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6.xml" ContentType="application/vnd.openxmlformats-officedocument.themeOverride+xml"/>
  <Override PartName="/xl/drawings/drawing6.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7.xml" ContentType="application/vnd.openxmlformats-officedocument.themeOverrid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8.xml" ContentType="application/vnd.openxmlformats-officedocument.themeOverride+xml"/>
  <Override PartName="/xl/drawings/drawing8.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9.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0.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1.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2.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3.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4.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5.xml" ContentType="application/vnd.openxmlformats-officedocument.themeOverrid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6.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7.xml" ContentType="application/vnd.openxmlformats-officedocument.themeOverride+xml"/>
  <Override PartName="/xl/drawings/drawing10.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8.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9.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0.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2.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3.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4.xml" ContentType="application/vnd.openxmlformats-officedocument.drawingml.chartshape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1.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2.xml" ContentType="application/vnd.openxmlformats-officedocument.themeOverrid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3.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4.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5.xml" ContentType="application/vnd.openxmlformats-officedocument.drawingml.chartshape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25.xml" ContentType="application/vnd.openxmlformats-officedocument.themeOverrid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26.xml" ContentType="application/vnd.openxmlformats-officedocument.themeOverrid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27.xml" ContentType="application/vnd.openxmlformats-officedocument.themeOverrid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28.xml" ContentType="application/vnd.openxmlformats-officedocument.themeOverrid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29.xml" ContentType="application/vnd.openxmlformats-officedocument.themeOverride+xml"/>
  <Override PartName="/xl/drawings/drawing16.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0.xml" ContentType="application/vnd.openxmlformats-officedocument.themeOverrid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31.xml" ContentType="application/vnd.openxmlformats-officedocument.themeOverrid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32.xml" ContentType="application/vnd.openxmlformats-officedocument.themeOverrid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33.xml" ContentType="application/vnd.openxmlformats-officedocument.themeOverrid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34.xml" ContentType="application/vnd.openxmlformats-officedocument.themeOverrid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35.xml" ContentType="application/vnd.openxmlformats-officedocument.themeOverrid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theme/themeOverride36.xml" ContentType="application/vnd.openxmlformats-officedocument.themeOverrid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37.xml" ContentType="application/vnd.openxmlformats-officedocument.themeOverrid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38.xml" ContentType="application/vnd.openxmlformats-officedocument.themeOverrid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theme/themeOverride39.xml" ContentType="application/vnd.openxmlformats-officedocument.themeOverrid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40.xml" ContentType="application/vnd.openxmlformats-officedocument.themeOverrid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41.xml" ContentType="application/vnd.openxmlformats-officedocument.themeOverride+xml"/>
  <Override PartName="/xl/drawings/drawing17.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42.xml" ContentType="application/vnd.openxmlformats-officedocument.themeOverrid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43.xml" ContentType="application/vnd.openxmlformats-officedocument.themeOverrid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44.xml" ContentType="application/vnd.openxmlformats-officedocument.themeOverrid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theme/themeOverride45.xml" ContentType="application/vnd.openxmlformats-officedocument.themeOverrid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theme/themeOverride46.xml" ContentType="application/vnd.openxmlformats-officedocument.themeOverrid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theme/themeOverride47.xml" ContentType="application/vnd.openxmlformats-officedocument.themeOverride+xml"/>
  <Override PartName="/xl/drawings/drawing18.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theme/themeOverride48.xml" ContentType="application/vnd.openxmlformats-officedocument.themeOverrid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49.xml" ContentType="application/vnd.openxmlformats-officedocument.themeOverrid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theme/themeOverride50.xml" ContentType="application/vnd.openxmlformats-officedocument.themeOverrid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theme/themeOverride51.xml" ContentType="application/vnd.openxmlformats-officedocument.themeOverrid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theme/themeOverride52.xml" ContentType="application/vnd.openxmlformats-officedocument.themeOverrid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theme/themeOverride53.xml" ContentType="application/vnd.openxmlformats-officedocument.themeOverrid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theme/themeOverride54.xml" ContentType="application/vnd.openxmlformats-officedocument.themeOverrid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55.xml" ContentType="application/vnd.openxmlformats-officedocument.themeOverrid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56.xml" ContentType="application/vnd.openxmlformats-officedocument.themeOverrid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theme/themeOverride57.xml" ContentType="application/vnd.openxmlformats-officedocument.themeOverride+xml"/>
  <Override PartName="/xl/drawings/drawing19.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theme/themeOverride58.xml" ContentType="application/vnd.openxmlformats-officedocument.themeOverride+xml"/>
  <Override PartName="/xl/drawings/drawing20.xml" ContentType="application/vnd.openxmlformats-officedocument.drawingml.chartshapes+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theme/themeOverride59.xml" ContentType="application/vnd.openxmlformats-officedocument.themeOverride+xml"/>
  <Override PartName="/xl/drawings/drawing21.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theme/themeOverride60.xml" ContentType="application/vnd.openxmlformats-officedocument.themeOverride+xml"/>
  <Override PartName="/xl/drawings/drawing22.xml" ContentType="application/vnd.openxmlformats-officedocument.drawingml.chartshapes+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theme/themeOverride61.xml" ContentType="application/vnd.openxmlformats-officedocument.themeOverride+xml"/>
  <Override PartName="/xl/drawings/drawing23.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theme/themeOverride62.xml" ContentType="application/vnd.openxmlformats-officedocument.themeOverrid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theme/themeOverride63.xml" ContentType="application/vnd.openxmlformats-officedocument.themeOverrid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theme/themeOverride64.xml" ContentType="application/vnd.openxmlformats-officedocument.themeOverrid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theme/themeOverride65.xml" ContentType="application/vnd.openxmlformats-officedocument.themeOverride+xml"/>
  <Override PartName="/xl/drawings/drawing24.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theme/themeOverride66.xml" ContentType="application/vnd.openxmlformats-officedocument.themeOverride+xml"/>
  <Override PartName="/xl/drawings/drawing25.xml" ContentType="application/vnd.openxmlformats-officedocument.drawingml.chartshapes+xml"/>
  <Override PartName="/xl/charts/chart79.xml" ContentType="application/vnd.openxmlformats-officedocument.drawingml.chart+xml"/>
  <Override PartName="/xl/theme/themeOverride67.xml" ContentType="application/vnd.openxmlformats-officedocument.themeOverride+xml"/>
  <Override PartName="/xl/drawings/drawing26.xml" ContentType="application/vnd.openxmlformats-officedocument.drawingml.chartshapes+xml"/>
  <Override PartName="/xl/charts/chart80.xml" ContentType="application/vnd.openxmlformats-officedocument.drawingml.chart+xml"/>
  <Override PartName="/xl/charts/style79.xml" ContentType="application/vnd.ms-office.chartstyle+xml"/>
  <Override PartName="/xl/charts/colors79.xml" ContentType="application/vnd.ms-office.chartcolorstyle+xml"/>
  <Override PartName="/xl/theme/themeOverride68.xml" ContentType="application/vnd.openxmlformats-officedocument.themeOverride+xml"/>
  <Override PartName="/xl/drawings/drawing27.xml" ContentType="application/vnd.openxmlformats-officedocument.drawingml.chartshapes+xml"/>
  <Override PartName="/xl/charts/chart81.xml" ContentType="application/vnd.openxmlformats-officedocument.drawingml.chart+xml"/>
  <Override PartName="/xl/theme/themeOverride69.xml" ContentType="application/vnd.openxmlformats-officedocument.themeOverride+xml"/>
  <Override PartName="/xl/drawings/drawing28.xml" ContentType="application/vnd.openxmlformats-officedocument.drawingml.chartshapes+xml"/>
  <Override PartName="/xl/charts/chart82.xml" ContentType="application/vnd.openxmlformats-officedocument.drawingml.chart+xml"/>
  <Override PartName="/xl/charts/style80.xml" ContentType="application/vnd.ms-office.chartstyle+xml"/>
  <Override PartName="/xl/charts/colors80.xml" ContentType="application/vnd.ms-office.chartcolorstyle+xml"/>
  <Override PartName="/xl/theme/themeOverride70.xml" ContentType="application/vnd.openxmlformats-officedocument.themeOverride+xml"/>
  <Override PartName="/xl/drawings/drawing29.xml" ContentType="application/vnd.openxmlformats-officedocument.drawingml.chartshapes+xml"/>
  <Override PartName="/xl/charts/chart83.xml" ContentType="application/vnd.openxmlformats-officedocument.drawingml.chart+xml"/>
  <Override PartName="/xl/charts/style81.xml" ContentType="application/vnd.ms-office.chartstyle+xml"/>
  <Override PartName="/xl/charts/colors81.xml" ContentType="application/vnd.ms-office.chartcolorstyle+xml"/>
  <Override PartName="/xl/charts/chart84.xml" ContentType="application/vnd.openxmlformats-officedocument.drawingml.chart+xml"/>
  <Override PartName="/xl/charts/style82.xml" ContentType="application/vnd.ms-office.chartstyle+xml"/>
  <Override PartName="/xl/charts/colors82.xml" ContentType="application/vnd.ms-office.chartcolorstyle+xml"/>
  <Override PartName="/xl/charts/chart85.xml" ContentType="application/vnd.openxmlformats-officedocument.drawingml.chart+xml"/>
  <Override PartName="/xl/charts/style83.xml" ContentType="application/vnd.ms-office.chartstyle+xml"/>
  <Override PartName="/xl/charts/colors83.xml" ContentType="application/vnd.ms-office.chartcolorstyle+xml"/>
  <Override PartName="/xl/charts/chart86.xml" ContentType="application/vnd.openxmlformats-officedocument.drawingml.chart+xml"/>
  <Override PartName="/xl/charts/style84.xml" ContentType="application/vnd.ms-office.chartstyle+xml"/>
  <Override PartName="/xl/charts/colors8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0.xml" ContentType="application/vnd.openxmlformats-officedocument.drawing+xml"/>
  <Override PartName="/xl/comments1.xml" ContentType="application/vnd.openxmlformats-officedocument.spreadsheetml.comments+xml"/>
  <Override PartName="/xl/charts/chart87.xml" ContentType="application/vnd.openxmlformats-officedocument.drawingml.chart+xml"/>
  <Override PartName="/xl/charts/style85.xml" ContentType="application/vnd.ms-office.chartstyle+xml"/>
  <Override PartName="/xl/charts/colors85.xml" ContentType="application/vnd.ms-office.chartcolorstyle+xml"/>
  <Override PartName="/xl/charts/chart88.xml" ContentType="application/vnd.openxmlformats-officedocument.drawingml.chart+xml"/>
  <Override PartName="/xl/charts/style86.xml" ContentType="application/vnd.ms-office.chartstyle+xml"/>
  <Override PartName="/xl/charts/colors86.xml" ContentType="application/vnd.ms-office.chartcolorstyle+xml"/>
  <Override PartName="/xl/charts/chart89.xml" ContentType="application/vnd.openxmlformats-officedocument.drawingml.chart+xml"/>
  <Override PartName="/xl/charts/style87.xml" ContentType="application/vnd.ms-office.chartstyle+xml"/>
  <Override PartName="/xl/charts/colors87.xml" ContentType="application/vnd.ms-office.chartcolorstyle+xml"/>
  <Override PartName="/xl/theme/themeOverride71.xml" ContentType="application/vnd.openxmlformats-officedocument.themeOverride+xml"/>
  <Override PartName="/xl/charts/chart90.xml" ContentType="application/vnd.openxmlformats-officedocument.drawingml.chart+xml"/>
  <Override PartName="/xl/charts/style88.xml" ContentType="application/vnd.ms-office.chartstyle+xml"/>
  <Override PartName="/xl/charts/colors88.xml" ContentType="application/vnd.ms-office.chartcolorstyle+xml"/>
  <Override PartName="/xl/theme/themeOverride72.xml" ContentType="application/vnd.openxmlformats-officedocument.themeOverride+xml"/>
  <Override PartName="/xl/charts/chart91.xml" ContentType="application/vnd.openxmlformats-officedocument.drawingml.chart+xml"/>
  <Override PartName="/xl/charts/style89.xml" ContentType="application/vnd.ms-office.chartstyle+xml"/>
  <Override PartName="/xl/charts/colors89.xml" ContentType="application/vnd.ms-office.chartcolorstyle+xml"/>
  <Override PartName="/xl/charts/chart92.xml" ContentType="application/vnd.openxmlformats-officedocument.drawingml.chart+xml"/>
  <Override PartName="/xl/charts/style90.xml" ContentType="application/vnd.ms-office.chartstyle+xml"/>
  <Override PartName="/xl/charts/colors90.xml" ContentType="application/vnd.ms-office.chartcolorstyle+xml"/>
  <Override PartName="/xl/charts/chart93.xml" ContentType="application/vnd.openxmlformats-officedocument.drawingml.chart+xml"/>
  <Override PartName="/xl/charts/style91.xml" ContentType="application/vnd.ms-office.chartstyle+xml"/>
  <Override PartName="/xl/charts/colors91.xml" ContentType="application/vnd.ms-office.chartcolorstyle+xml"/>
  <Override PartName="/xl/theme/themeOverride73.xml" ContentType="application/vnd.openxmlformats-officedocument.themeOverride+xml"/>
  <Override PartName="/xl/charts/chart94.xml" ContentType="application/vnd.openxmlformats-officedocument.drawingml.chart+xml"/>
  <Override PartName="/xl/charts/style92.xml" ContentType="application/vnd.ms-office.chartstyle+xml"/>
  <Override PartName="/xl/charts/colors92.xml" ContentType="application/vnd.ms-office.chartcolorstyle+xml"/>
  <Override PartName="/xl/theme/themeOverride74.xml" ContentType="application/vnd.openxmlformats-officedocument.themeOverride+xml"/>
  <Override PartName="/xl/pivotTables/pivotTable3.xml" ContentType="application/vnd.openxmlformats-officedocument.spreadsheetml.pivotTable+xml"/>
  <Override PartName="/xl/drawings/drawing31.xml" ContentType="application/vnd.openxmlformats-officedocument.drawing+xml"/>
  <Override PartName="/xl/charts/chart95.xml" ContentType="application/vnd.openxmlformats-officedocument.drawingml.chart+xml"/>
  <Override PartName="/xl/charts/style93.xml" ContentType="application/vnd.ms-office.chartstyle+xml"/>
  <Override PartName="/xl/charts/colors93.xml" ContentType="application/vnd.ms-office.chartcolorstyle+xml"/>
  <Override PartName="/xl/charts/chart96.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32.xml" ContentType="application/vnd.openxmlformats-officedocument.drawing+xml"/>
  <Override PartName="/xl/charts/chart97.xml" ContentType="application/vnd.openxmlformats-officedocument.drawingml.chart+xml"/>
  <Override PartName="/xl/charts/style95.xml" ContentType="application/vnd.ms-office.chartstyle+xml"/>
  <Override PartName="/xl/charts/colors95.xml" ContentType="application/vnd.ms-office.chartcolorstyle+xml"/>
  <Override PartName="/xl/charts/chart98.xml" ContentType="application/vnd.openxmlformats-officedocument.drawingml.chart+xml"/>
  <Override PartName="/xl/charts/style96.xml" ContentType="application/vnd.ms-office.chartstyle+xml"/>
  <Override PartName="/xl/charts/colors96.xml" ContentType="application/vnd.ms-office.chartcolorstyle+xml"/>
  <Override PartName="/xl/charts/chart99.xml" ContentType="application/vnd.openxmlformats-officedocument.drawingml.chart+xml"/>
  <Override PartName="/xl/charts/style97.xml" ContentType="application/vnd.ms-office.chartstyle+xml"/>
  <Override PartName="/xl/charts/colors97.xml" ContentType="application/vnd.ms-office.chartcolorstyle+xml"/>
  <Override PartName="/xl/charts/chart100.xml" ContentType="application/vnd.openxmlformats-officedocument.drawingml.chart+xml"/>
  <Override PartName="/xl/charts/style98.xml" ContentType="application/vnd.ms-office.chartstyle+xml"/>
  <Override PartName="/xl/charts/colors98.xml" ContentType="application/vnd.ms-office.chartcolorstyle+xml"/>
  <Override PartName="/xl/charts/chart101.xml" ContentType="application/vnd.openxmlformats-officedocument.drawingml.chart+xml"/>
  <Override PartName="/xl/charts/style99.xml" ContentType="application/vnd.ms-office.chartstyle+xml"/>
  <Override PartName="/xl/charts/colors99.xml" ContentType="application/vnd.ms-office.chartcolorstyle+xml"/>
  <Override PartName="/xl/charts/chart102.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3.xml" ContentType="application/vnd.openxmlformats-officedocument.drawingml.chart+xml"/>
  <Override PartName="/xl/charts/style101.xml" ContentType="application/vnd.ms-office.chartstyle+xml"/>
  <Override PartName="/xl/charts/colors101.xml" ContentType="application/vnd.ms-office.chartcolorstyle+xml"/>
  <Override PartName="/xl/drawings/drawing33.xml" ContentType="application/vnd.openxmlformats-officedocument.drawing+xml"/>
  <Override PartName="/xl/charts/chart104.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34.xml" ContentType="application/vnd.openxmlformats-officedocument.drawing+xml"/>
  <Override PartName="/xl/charts/chart105.xml" ContentType="application/vnd.openxmlformats-officedocument.drawingml.chart+xml"/>
  <Override PartName="/xl/charts/style103.xml" ContentType="application/vnd.ms-office.chartstyle+xml"/>
  <Override PartName="/xl/charts/colors10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5.xml" ContentType="application/vnd.openxmlformats-officedocument.drawing+xml"/>
  <Override PartName="/xl/charts/chart106.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7.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8.xml" ContentType="application/vnd.openxmlformats-officedocument.drawingml.chart+xml"/>
  <Override PartName="/xl/charts/style106.xml" ContentType="application/vnd.ms-office.chartstyle+xml"/>
  <Override PartName="/xl/charts/colors106.xml" ContentType="application/vnd.ms-office.chartcolorstyle+xml"/>
  <Override PartName="/xl/theme/themeOverride75.xml" ContentType="application/vnd.openxmlformats-officedocument.themeOverride+xml"/>
  <Override PartName="/xl/charts/chart109.xml" ContentType="application/vnd.openxmlformats-officedocument.drawingml.chart+xml"/>
  <Override PartName="/xl/charts/style107.xml" ContentType="application/vnd.ms-office.chartstyle+xml"/>
  <Override PartName="/xl/charts/colors107.xml" ContentType="application/vnd.ms-office.chartcolorstyle+xml"/>
  <Override PartName="/xl/theme/themeOverride76.xml" ContentType="application/vnd.openxmlformats-officedocument.themeOverride+xml"/>
  <Override PartName="/xl/charts/chart110.xml" ContentType="application/vnd.openxmlformats-officedocument.drawingml.chart+xml"/>
  <Override PartName="/xl/charts/style108.xml" ContentType="application/vnd.ms-office.chartstyle+xml"/>
  <Override PartName="/xl/charts/colors108.xml" ContentType="application/vnd.ms-office.chartcolorstyle+xml"/>
  <Override PartName="/xl/theme/themeOverride77.xml" ContentType="application/vnd.openxmlformats-officedocument.themeOverride+xml"/>
  <Override PartName="/xl/charts/chart111.xml" ContentType="application/vnd.openxmlformats-officedocument.drawingml.chart+xml"/>
  <Override PartName="/xl/charts/style109.xml" ContentType="application/vnd.ms-office.chartstyle+xml"/>
  <Override PartName="/xl/charts/colors109.xml" ContentType="application/vnd.ms-office.chartcolorstyle+xml"/>
  <Override PartName="/xl/theme/themeOverride78.xml" ContentType="application/vnd.openxmlformats-officedocument.themeOverride+xml"/>
  <Override PartName="/xl/charts/chart112.xml" ContentType="application/vnd.openxmlformats-officedocument.drawingml.chart+xml"/>
  <Override PartName="/xl/charts/style110.xml" ContentType="application/vnd.ms-office.chartstyle+xml"/>
  <Override PartName="/xl/charts/colors110.xml" ContentType="application/vnd.ms-office.chartcolorstyle+xml"/>
  <Override PartName="/xl/theme/themeOverride79.xml" ContentType="application/vnd.openxmlformats-officedocument.themeOverride+xml"/>
  <Override PartName="/xl/drawings/drawing36.xml" ContentType="application/vnd.openxmlformats-officedocument.drawingml.chartshapes+xml"/>
  <Override PartName="/xl/charts/chart113.xml" ContentType="application/vnd.openxmlformats-officedocument.drawingml.chart+xml"/>
  <Override PartName="/xl/charts/style111.xml" ContentType="application/vnd.ms-office.chartstyle+xml"/>
  <Override PartName="/xl/charts/colors111.xml" ContentType="application/vnd.ms-office.chartcolorstyle+xml"/>
  <Override PartName="/xl/theme/themeOverride80.xml" ContentType="application/vnd.openxmlformats-officedocument.themeOverride+xml"/>
  <Override PartName="/xl/charts/chart114.xml" ContentType="application/vnd.openxmlformats-officedocument.drawingml.chart+xml"/>
  <Override PartName="/xl/charts/style112.xml" ContentType="application/vnd.ms-office.chartstyle+xml"/>
  <Override PartName="/xl/charts/colors112.xml" ContentType="application/vnd.ms-office.chartcolorstyle+xml"/>
  <Override PartName="/xl/theme/themeOverride81.xml" ContentType="application/vnd.openxmlformats-officedocument.themeOverride+xml"/>
  <Override PartName="/xl/drawings/drawing37.xml" ContentType="application/vnd.openxmlformats-officedocument.drawingml.chartshapes+xml"/>
  <Override PartName="/xl/charts/chart115.xml" ContentType="application/vnd.openxmlformats-officedocument.drawingml.chart+xml"/>
  <Override PartName="/xl/charts/style113.xml" ContentType="application/vnd.ms-office.chartstyle+xml"/>
  <Override PartName="/xl/charts/colors113.xml" ContentType="application/vnd.ms-office.chartcolorstyle+xml"/>
  <Override PartName="/xl/theme/themeOverride82.xml" ContentType="application/vnd.openxmlformats-officedocument.themeOverride+xml"/>
  <Override PartName="/xl/charts/chart116.xml" ContentType="application/vnd.openxmlformats-officedocument.drawingml.chart+xml"/>
  <Override PartName="/xl/charts/style114.xml" ContentType="application/vnd.ms-office.chartstyle+xml"/>
  <Override PartName="/xl/charts/colors114.xml" ContentType="application/vnd.ms-office.chartcolorstyle+xml"/>
  <Override PartName="/xl/theme/themeOverride83.xml" ContentType="application/vnd.openxmlformats-officedocument.themeOverride+xml"/>
  <Override PartName="/xl/charts/chart117.xml" ContentType="application/vnd.openxmlformats-officedocument.drawingml.chart+xml"/>
  <Override PartName="/xl/charts/style115.xml" ContentType="application/vnd.ms-office.chartstyle+xml"/>
  <Override PartName="/xl/charts/colors115.xml" ContentType="application/vnd.ms-office.chartcolorstyle+xml"/>
  <Override PartName="/xl/theme/themeOverride84.xml" ContentType="application/vnd.openxmlformats-officedocument.themeOverride+xml"/>
  <Override PartName="/xl/charts/chart118.xml" ContentType="application/vnd.openxmlformats-officedocument.drawingml.chart+xml"/>
  <Override PartName="/xl/charts/style116.xml" ContentType="application/vnd.ms-office.chartstyle+xml"/>
  <Override PartName="/xl/charts/colors116.xml" ContentType="application/vnd.ms-office.chartcolorstyle+xml"/>
  <Override PartName="/xl/theme/themeOverride85.xml" ContentType="application/vnd.openxmlformats-officedocument.themeOverride+xml"/>
  <Override PartName="/xl/charts/chart119.xml" ContentType="application/vnd.openxmlformats-officedocument.drawingml.chart+xml"/>
  <Override PartName="/xl/charts/style117.xml" ContentType="application/vnd.ms-office.chartstyle+xml"/>
  <Override PartName="/xl/charts/colors117.xml" ContentType="application/vnd.ms-office.chartcolorstyle+xml"/>
  <Override PartName="/xl/theme/themeOverride86.xml" ContentType="application/vnd.openxmlformats-officedocument.themeOverride+xml"/>
  <Override PartName="/xl/charts/chart120.xml" ContentType="application/vnd.openxmlformats-officedocument.drawingml.chart+xml"/>
  <Override PartName="/xl/charts/style118.xml" ContentType="application/vnd.ms-office.chartstyle+xml"/>
  <Override PartName="/xl/charts/colors118.xml" ContentType="application/vnd.ms-office.chartcolorstyle+xml"/>
  <Override PartName="/xl/theme/themeOverride87.xml" ContentType="application/vnd.openxmlformats-officedocument.themeOverride+xml"/>
  <Override PartName="/xl/drawings/drawing38.xml" ContentType="application/vnd.openxmlformats-officedocument.drawingml.chartshapes+xml"/>
  <Override PartName="/xl/charts/chart121.xml" ContentType="application/vnd.openxmlformats-officedocument.drawingml.chart+xml"/>
  <Override PartName="/xl/charts/style119.xml" ContentType="application/vnd.ms-office.chartstyle+xml"/>
  <Override PartName="/xl/charts/colors119.xml" ContentType="application/vnd.ms-office.chartcolorstyle+xml"/>
  <Override PartName="/xl/theme/themeOverride88.xml" ContentType="application/vnd.openxmlformats-officedocument.themeOverride+xml"/>
  <Override PartName="/xl/drawings/drawing39.xml" ContentType="application/vnd.openxmlformats-officedocument.drawingml.chartshapes+xml"/>
  <Override PartName="/xl/charts/chart122.xml" ContentType="application/vnd.openxmlformats-officedocument.drawingml.chart+xml"/>
  <Override PartName="/xl/charts/style120.xml" ContentType="application/vnd.ms-office.chartstyle+xml"/>
  <Override PartName="/xl/charts/colors120.xml" ContentType="application/vnd.ms-office.chartcolorstyle+xml"/>
  <Override PartName="/xl/theme/themeOverride89.xml" ContentType="application/vnd.openxmlformats-officedocument.themeOverride+xml"/>
  <Override PartName="/xl/charts/chart123.xml" ContentType="application/vnd.openxmlformats-officedocument.drawingml.chart+xml"/>
  <Override PartName="/xl/charts/style121.xml" ContentType="application/vnd.ms-office.chartstyle+xml"/>
  <Override PartName="/xl/charts/colors121.xml" ContentType="application/vnd.ms-office.chartcolorstyle+xml"/>
  <Override PartName="/xl/theme/themeOverride90.xml" ContentType="application/vnd.openxmlformats-officedocument.themeOverride+xml"/>
  <Override PartName="/xl/charts/chart124.xml" ContentType="application/vnd.openxmlformats-officedocument.drawingml.chart+xml"/>
  <Override PartName="/xl/charts/style122.xml" ContentType="application/vnd.ms-office.chartstyle+xml"/>
  <Override PartName="/xl/charts/colors122.xml" ContentType="application/vnd.ms-office.chartcolorstyle+xml"/>
  <Override PartName="/xl/theme/themeOverride91.xml" ContentType="application/vnd.openxmlformats-officedocument.themeOverride+xml"/>
  <Override PartName="/xl/charts/chart125.xml" ContentType="application/vnd.openxmlformats-officedocument.drawingml.chart+xml"/>
  <Override PartName="/xl/charts/style123.xml" ContentType="application/vnd.ms-office.chartstyle+xml"/>
  <Override PartName="/xl/charts/colors123.xml" ContentType="application/vnd.ms-office.chartcolorstyle+xml"/>
  <Override PartName="/xl/theme/themeOverride92.xml" ContentType="application/vnd.openxmlformats-officedocument.themeOverride+xml"/>
  <Override PartName="/xl/charts/chart126.xml" ContentType="application/vnd.openxmlformats-officedocument.drawingml.chart+xml"/>
  <Override PartName="/xl/charts/style124.xml" ContentType="application/vnd.ms-office.chartstyle+xml"/>
  <Override PartName="/xl/charts/colors124.xml" ContentType="application/vnd.ms-office.chartcolorstyle+xml"/>
  <Override PartName="/xl/theme/themeOverride93.xml" ContentType="application/vnd.openxmlformats-officedocument.themeOverride+xml"/>
  <Override PartName="/xl/charts/chart127.xml" ContentType="application/vnd.openxmlformats-officedocument.drawingml.chart+xml"/>
  <Override PartName="/xl/charts/style125.xml" ContentType="application/vnd.ms-office.chartstyle+xml"/>
  <Override PartName="/xl/charts/colors125.xml" ContentType="application/vnd.ms-office.chartcolorstyle+xml"/>
  <Override PartName="/xl/theme/themeOverride94.xml" ContentType="application/vnd.openxmlformats-officedocument.themeOverride+xml"/>
  <Override PartName="/xl/charts/chart128.xml" ContentType="application/vnd.openxmlformats-officedocument.drawingml.chart+xml"/>
  <Override PartName="/xl/charts/style126.xml" ContentType="application/vnd.ms-office.chartstyle+xml"/>
  <Override PartName="/xl/charts/colors126.xml" ContentType="application/vnd.ms-office.chartcolorstyle+xml"/>
  <Override PartName="/xl/theme/themeOverride95.xml" ContentType="application/vnd.openxmlformats-officedocument.themeOverride+xml"/>
  <Override PartName="/xl/drawings/drawing40.xml" ContentType="application/vnd.openxmlformats-officedocument.drawingml.chartshapes+xml"/>
  <Override PartName="/xl/charts/chart129.xml" ContentType="application/vnd.openxmlformats-officedocument.drawingml.chart+xml"/>
  <Override PartName="/xl/charts/style127.xml" ContentType="application/vnd.ms-office.chartstyle+xml"/>
  <Override PartName="/xl/charts/colors127.xml" ContentType="application/vnd.ms-office.chartcolorstyle+xml"/>
  <Override PartName="/xl/theme/themeOverride96.xml" ContentType="application/vnd.openxmlformats-officedocument.themeOverride+xml"/>
  <Override PartName="/xl/drawings/drawing41.xml" ContentType="application/vnd.openxmlformats-officedocument.drawingml.chartshapes+xml"/>
  <Override PartName="/xl/charts/chart130.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1.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2.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3.xml" ContentType="application/vnd.openxmlformats-officedocument.drawingml.chart+xml"/>
  <Override PartName="/xl/charts/style131.xml" ContentType="application/vnd.ms-office.chartstyle+xml"/>
  <Override PartName="/xl/charts/colors131.xml" ContentType="application/vnd.ms-office.chartcolorstyle+xml"/>
  <Override PartName="/xl/theme/themeOverride97.xml" ContentType="application/vnd.openxmlformats-officedocument.themeOverride+xml"/>
  <Override PartName="/xl/charts/chart134.xml" ContentType="application/vnd.openxmlformats-officedocument.drawingml.chart+xml"/>
  <Override PartName="/xl/charts/style132.xml" ContentType="application/vnd.ms-office.chartstyle+xml"/>
  <Override PartName="/xl/charts/colors132.xml" ContentType="application/vnd.ms-office.chartcolorstyle+xml"/>
  <Override PartName="/xl/theme/themeOverride98.xml" ContentType="application/vnd.openxmlformats-officedocument.themeOverride+xml"/>
  <Override PartName="/xl/charts/chart135.xml" ContentType="application/vnd.openxmlformats-officedocument.drawingml.chart+xml"/>
  <Override PartName="/xl/charts/style133.xml" ContentType="application/vnd.ms-office.chartstyle+xml"/>
  <Override PartName="/xl/charts/colors133.xml" ContentType="application/vnd.ms-office.chartcolorstyle+xml"/>
  <Override PartName="/xl/theme/themeOverride99.xml" ContentType="application/vnd.openxmlformats-officedocument.themeOverride+xml"/>
  <Override PartName="/xl/charts/chart136.xml" ContentType="application/vnd.openxmlformats-officedocument.drawingml.chart+xml"/>
  <Override PartName="/xl/charts/style134.xml" ContentType="application/vnd.ms-office.chartstyle+xml"/>
  <Override PartName="/xl/charts/colors134.xml" ContentType="application/vnd.ms-office.chartcolorstyle+xml"/>
  <Override PartName="/xl/theme/themeOverride100.xml" ContentType="application/vnd.openxmlformats-officedocument.themeOverride+xml"/>
  <Override PartName="/xl/charts/chart137.xml" ContentType="application/vnd.openxmlformats-officedocument.drawingml.chart+xml"/>
  <Override PartName="/xl/charts/style135.xml" ContentType="application/vnd.ms-office.chartstyle+xml"/>
  <Override PartName="/xl/charts/colors135.xml" ContentType="application/vnd.ms-office.chartcolorstyle+xml"/>
  <Override PartName="/xl/theme/themeOverride101.xml" ContentType="application/vnd.openxmlformats-officedocument.themeOverride+xml"/>
  <Override PartName="/xl/charts/chart138.xml" ContentType="application/vnd.openxmlformats-officedocument.drawingml.chart+xml"/>
  <Override PartName="/xl/charts/style136.xml" ContentType="application/vnd.ms-office.chartstyle+xml"/>
  <Override PartName="/xl/charts/colors136.xml" ContentType="application/vnd.ms-office.chartcolorstyle+xml"/>
  <Override PartName="/xl/theme/themeOverride102.xml" ContentType="application/vnd.openxmlformats-officedocument.themeOverride+xml"/>
  <Override PartName="/xl/charts/chart139.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0.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1.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2.xml" ContentType="application/vnd.openxmlformats-officedocument.drawingml.chart+xml"/>
  <Override PartName="/xl/charts/style140.xml" ContentType="application/vnd.ms-office.chartstyle+xml"/>
  <Override PartName="/xl/charts/colors140.xml" ContentType="application/vnd.ms-office.chartcolorstyle+xml"/>
  <Override PartName="/xl/theme/themeOverride103.xml" ContentType="application/vnd.openxmlformats-officedocument.themeOverride+xml"/>
  <Override PartName="/xl/charts/chart143.xml" ContentType="application/vnd.openxmlformats-officedocument.drawingml.chart+xml"/>
  <Override PartName="/xl/charts/style141.xml" ContentType="application/vnd.ms-office.chartstyle+xml"/>
  <Override PartName="/xl/charts/colors141.xml" ContentType="application/vnd.ms-office.chartcolorstyle+xml"/>
  <Override PartName="/xl/theme/themeOverride104.xml" ContentType="application/vnd.openxmlformats-officedocument.themeOverride+xml"/>
  <Override PartName="/xl/charts/chart144.xml" ContentType="application/vnd.openxmlformats-officedocument.drawingml.chart+xml"/>
  <Override PartName="/xl/charts/style142.xml" ContentType="application/vnd.ms-office.chartstyle+xml"/>
  <Override PartName="/xl/charts/colors142.xml" ContentType="application/vnd.ms-office.chartcolorstyle+xml"/>
  <Override PartName="/xl/theme/themeOverride105.xml" ContentType="application/vnd.openxmlformats-officedocument.themeOverride+xml"/>
  <Override PartName="/xl/charts/chart145.xml" ContentType="application/vnd.openxmlformats-officedocument.drawingml.chart+xml"/>
  <Override PartName="/xl/charts/style143.xml" ContentType="application/vnd.ms-office.chartstyle+xml"/>
  <Override PartName="/xl/charts/colors143.xml" ContentType="application/vnd.ms-office.chartcolorstyle+xml"/>
  <Override PartName="/xl/theme/themeOverride106.xml" ContentType="application/vnd.openxmlformats-officedocument.themeOverride+xml"/>
  <Override PartName="/xl/charts/chart146.xml" ContentType="application/vnd.openxmlformats-officedocument.drawingml.chart+xml"/>
  <Override PartName="/xl/charts/style144.xml" ContentType="application/vnd.ms-office.chartstyle+xml"/>
  <Override PartName="/xl/charts/colors144.xml" ContentType="application/vnd.ms-office.chartcolorstyle+xml"/>
  <Override PartName="/xl/theme/themeOverride107.xml" ContentType="application/vnd.openxmlformats-officedocument.themeOverride+xml"/>
  <Override PartName="/xl/charts/chart147.xml" ContentType="application/vnd.openxmlformats-officedocument.drawingml.chart+xml"/>
  <Override PartName="/xl/charts/style145.xml" ContentType="application/vnd.ms-office.chartstyle+xml"/>
  <Override PartName="/xl/charts/colors145.xml" ContentType="application/vnd.ms-office.chartcolorstyle+xml"/>
  <Override PartName="/xl/theme/themeOverride108.xml" ContentType="application/vnd.openxmlformats-officedocument.themeOverride+xml"/>
  <Override PartName="/xl/charts/chart148.xml" ContentType="application/vnd.openxmlformats-officedocument.drawingml.chart+xml"/>
  <Override PartName="/xl/charts/style146.xml" ContentType="application/vnd.ms-office.chartstyle+xml"/>
  <Override PartName="/xl/charts/colors146.xml" ContentType="application/vnd.ms-office.chartcolorstyle+xml"/>
  <Override PartName="/xl/drawings/drawing42.xml" ContentType="application/vnd.openxmlformats-officedocument.drawingml.chartshapes+xml"/>
  <Override PartName="/xl/charts/chart149.xml" ContentType="application/vnd.openxmlformats-officedocument.drawingml.chart+xml"/>
  <Override PartName="/xl/charts/style147.xml" ContentType="application/vnd.ms-office.chartstyle+xml"/>
  <Override PartName="/xl/charts/colors147.xml" ContentType="application/vnd.ms-office.chartcolorstyle+xml"/>
  <Override PartName="/xl/drawings/drawing43.xml" ContentType="application/vnd.openxmlformats-officedocument.drawingml.chartshapes+xml"/>
  <Override PartName="/xl/charts/chart150.xml" ContentType="application/vnd.openxmlformats-officedocument.drawingml.chart+xml"/>
  <Override PartName="/xl/charts/style148.xml" ContentType="application/vnd.ms-office.chartstyle+xml"/>
  <Override PartName="/xl/charts/colors148.xml" ContentType="application/vnd.ms-office.chartcolorstyle+xml"/>
  <Override PartName="/xl/theme/themeOverride109.xml" ContentType="application/vnd.openxmlformats-officedocument.themeOverride+xml"/>
  <Override PartName="/xl/drawings/drawing44.xml" ContentType="application/vnd.openxmlformats-officedocument.drawingml.chartshapes+xml"/>
  <Override PartName="/xl/charts/chart151.xml" ContentType="application/vnd.openxmlformats-officedocument.drawingml.chart+xml"/>
  <Override PartName="/xl/charts/style149.xml" ContentType="application/vnd.ms-office.chartstyle+xml"/>
  <Override PartName="/xl/charts/colors149.xml" ContentType="application/vnd.ms-office.chartcolorstyle+xml"/>
  <Override PartName="/xl/theme/themeOverride110.xml" ContentType="application/vnd.openxmlformats-officedocument.themeOverride+xml"/>
  <Override PartName="/xl/drawings/drawing4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mc:AlternateContent xmlns:mc="http://schemas.openxmlformats.org/markup-compatibility/2006">
    <mc:Choice Requires="x15">
      <x15ac:absPath xmlns:x15ac="http://schemas.microsoft.com/office/spreadsheetml/2010/11/ac" url="C:\Users\5228\Desktop\Costrat\new\Costrat\COSTRAT\122023\"/>
    </mc:Choice>
  </mc:AlternateContent>
  <xr:revisionPtr revIDLastSave="0" documentId="13_ncr:1_{0FAA7A2B-EDC5-4270-99BF-99DE84688015}" xr6:coauthVersionLast="47" xr6:coauthVersionMax="47" xr10:uidLastSave="{00000000-0000-0000-0000-000000000000}"/>
  <bookViews>
    <workbookView xWindow="28692" yWindow="-108" windowWidth="29016" windowHeight="15816" tabRatio="817" activeTab="4" xr2:uid="{00000000-000D-0000-FFFF-FFFF00000000}"/>
  </bookViews>
  <sheets>
    <sheet name="Equipement_Efficité" sheetId="12" r:id="rId1"/>
    <sheet name="Mois courant" sheetId="1" r:id="rId2"/>
    <sheet name="Mois Y-1" sheetId="8" r:id="rId3"/>
    <sheet name="Equipement PPO" sheetId="26" state="hidden" r:id="rId4"/>
    <sheet name="PPT" sheetId="10" r:id="rId5"/>
    <sheet name="Objectifs" sheetId="16" state="hidden" r:id="rId6"/>
    <sheet name="Prod_Credit" sheetId="17" state="hidden" r:id="rId7"/>
    <sheet name="Prod_credit_Montant" sheetId="19" state="hidden" r:id="rId8"/>
    <sheet name="Tableau détaillé" sheetId="2" r:id="rId9"/>
    <sheet name="Client BGPAT" sheetId="23" state="hidden" r:id="rId10"/>
    <sheet name="Stock" sheetId="22" state="hidden" r:id="rId11"/>
    <sheet name="GRAPHES" sheetId="29" state="hidden" r:id="rId12"/>
    <sheet name="PPO AFS" sheetId="27" state="hidden" r:id="rId13"/>
    <sheet name="STOCK CLIENTS AFS" sheetId="28" r:id="rId14"/>
    <sheet name="Stock_renew" sheetId="18" state="hidden" r:id="rId15"/>
    <sheet name="PNB" sheetId="11" state="hidden" r:id="rId16"/>
    <sheet name="Source" sheetId="5" state="hidden" r:id="rId17"/>
    <sheet name="Gestionnaires_" sheetId="13" state="hidden" r:id="rId18"/>
    <sheet name="Feuil1" sheetId="30" state="hidden" r:id="rId19"/>
    <sheet name="Change" sheetId="14" state="hidden" r:id="rId20"/>
    <sheet name="Synthèse" sheetId="7" state="hidden" r:id="rId21"/>
    <sheet name="Dec A-1" sheetId="3" state="hidden" r:id="rId22"/>
    <sheet name="Dec2019_" sheetId="4" state="hidden" r:id="rId23"/>
  </sheets>
  <externalReferences>
    <externalReference r:id="rId24"/>
  </externalReferences>
  <definedNames>
    <definedName name="_xlnm._FilterDatabase" localSheetId="9" hidden="1">'Client BGPAT'!$G$16:$I$16</definedName>
    <definedName name="_xlnm._FilterDatabase" localSheetId="0" hidden="1">Equipement_Efficité!$A$1:$AW$42</definedName>
    <definedName name="_xlnm._FilterDatabase" localSheetId="17" hidden="1">Gestionnaires_!$A$1:$E$2307</definedName>
    <definedName name="_xlnm._FilterDatabase" localSheetId="15" hidden="1">PNB!$A$1:$J$1493</definedName>
    <definedName name="_xlnm._FilterDatabase" localSheetId="10" hidden="1">Stock!$A$1:$G$866</definedName>
    <definedName name="_xlnm._FilterDatabase" localSheetId="14" hidden="1">Stock_renew!$A$1:$D$729</definedName>
    <definedName name="_xlcn.WorksheetConnection_StockA1G8661" hidden="1">Stock!$A$1:$G$866</definedName>
    <definedName name="_xlnm.Print_Area" localSheetId="4">PPT!$B$1:$O$1117</definedName>
  </definedNames>
  <calcPr calcId="191029"/>
  <pivotCaches>
    <pivotCache cacheId="25" r:id="rId25"/>
    <pivotCache cacheId="27" r:id="rId26"/>
    <pivotCache cacheId="29" r:id="rId27"/>
    <pivotCache cacheId="30" r:id="rId28"/>
    <pivotCache cacheId="36" r:id="rId29"/>
    <pivotCache cacheId="57" r:id="rId30"/>
    <pivotCache cacheId="59" r:id="rId31"/>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lage" name="Plage" connection="WorksheetConnection_Stock!$A$1:$G$86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1" l="1"/>
  <c r="AP58" i="17"/>
  <c r="AP56" i="17"/>
  <c r="AQ56" i="17" s="1"/>
  <c r="AP55" i="17"/>
  <c r="AP57" i="17" s="1"/>
  <c r="GI7" i="5"/>
  <c r="GC7" i="5"/>
  <c r="BB10" i="17"/>
  <c r="AQ55" i="17" l="1"/>
  <c r="AQ58" i="17" s="1"/>
  <c r="BB13" i="17"/>
  <c r="BB16" i="17"/>
  <c r="BA16" i="17"/>
  <c r="BB15" i="17"/>
  <c r="BA15" i="17"/>
  <c r="BB14" i="17"/>
  <c r="BA14" i="17"/>
  <c r="BA5" i="17"/>
  <c r="BB5" i="17"/>
  <c r="BA6" i="17"/>
  <c r="BB6" i="17"/>
  <c r="BA7" i="17"/>
  <c r="BB7" i="17"/>
  <c r="BA8" i="17"/>
  <c r="BB8" i="17"/>
  <c r="BA9" i="17"/>
  <c r="BB9" i="17"/>
  <c r="BA10" i="17"/>
  <c r="BA11" i="17"/>
  <c r="BB11" i="17"/>
  <c r="BA13" i="17"/>
  <c r="E67" i="8"/>
  <c r="BB12" i="17" l="1"/>
  <c r="BA12" i="17"/>
  <c r="BB17" i="17"/>
  <c r="BB4" i="17"/>
  <c r="BA17" i="17"/>
  <c r="BA4" i="17" s="1"/>
  <c r="E13" i="26" l="1"/>
  <c r="F25" i="26"/>
  <c r="F24" i="26"/>
  <c r="B75" i="29" l="1"/>
  <c r="A39" i="29"/>
  <c r="A4" i="29" s="1"/>
  <c r="A15" i="29" s="1"/>
  <c r="A27" i="29" s="1"/>
  <c r="N58" i="2"/>
  <c r="P32" i="2"/>
  <c r="P64" i="2" s="1"/>
  <c r="P31" i="2"/>
  <c r="P63" i="2" s="1"/>
  <c r="P30" i="2"/>
  <c r="P62" i="2" s="1"/>
  <c r="P28" i="2"/>
  <c r="P60" i="2" s="1"/>
  <c r="P26" i="2"/>
  <c r="P58" i="2" s="1"/>
  <c r="P24" i="2"/>
  <c r="P56" i="2" s="1"/>
  <c r="P23" i="2"/>
  <c r="P55" i="2" s="1"/>
  <c r="P21" i="2"/>
  <c r="P53" i="2" s="1"/>
  <c r="N32" i="2"/>
  <c r="N64" i="2" s="1"/>
  <c r="N31" i="2"/>
  <c r="N63" i="2" s="1"/>
  <c r="N30" i="2"/>
  <c r="N62" i="2" s="1"/>
  <c r="N28" i="2"/>
  <c r="N60" i="2" s="1"/>
  <c r="N26" i="2"/>
  <c r="N24" i="2"/>
  <c r="N56" i="2" s="1"/>
  <c r="N23" i="2"/>
  <c r="N55" i="2" s="1"/>
  <c r="N21" i="2"/>
  <c r="N53" i="2" s="1"/>
  <c r="P14" i="2"/>
  <c r="P29" i="2" s="1"/>
  <c r="P61" i="2" s="1"/>
  <c r="N14" i="2"/>
  <c r="N29" i="2" s="1"/>
  <c r="N61" i="2" s="1"/>
  <c r="P12" i="2"/>
  <c r="P27" i="2" s="1"/>
  <c r="P59" i="2" s="1"/>
  <c r="N12" i="2"/>
  <c r="N27" i="2" s="1"/>
  <c r="N59" i="2" s="1"/>
  <c r="P10" i="2"/>
  <c r="P25" i="2" s="1"/>
  <c r="P57" i="2" s="1"/>
  <c r="N10" i="2"/>
  <c r="N25" i="2" s="1"/>
  <c r="N57" i="2" s="1"/>
  <c r="P7" i="2"/>
  <c r="P22" i="2" s="1"/>
  <c r="P54" i="2" s="1"/>
  <c r="N7" i="2"/>
  <c r="N22" i="2" s="1"/>
  <c r="N54" i="2" s="1"/>
  <c r="A52" i="29" l="1"/>
  <c r="C58" i="29"/>
  <c r="C75" i="29" s="1"/>
  <c r="I6" i="23"/>
  <c r="H6" i="23"/>
  <c r="I717" i="10" l="1"/>
  <c r="I756" i="10" s="1"/>
  <c r="R14" i="19"/>
  <c r="Q14" i="19"/>
  <c r="O14" i="19"/>
  <c r="N14" i="19"/>
  <c r="R19" i="19"/>
  <c r="Q19" i="19"/>
  <c r="O19" i="19"/>
  <c r="N19" i="19"/>
  <c r="R18" i="19"/>
  <c r="Q18" i="19"/>
  <c r="O18" i="19"/>
  <c r="N18" i="19"/>
  <c r="R17" i="19"/>
  <c r="Q17" i="19"/>
  <c r="O17" i="19"/>
  <c r="N17" i="19"/>
  <c r="R16" i="19"/>
  <c r="Q16" i="19"/>
  <c r="O16" i="19"/>
  <c r="N16" i="19"/>
  <c r="R13" i="19"/>
  <c r="Q13" i="19"/>
  <c r="O13" i="19"/>
  <c r="N13" i="19"/>
  <c r="R12" i="19"/>
  <c r="Q12" i="19"/>
  <c r="O12" i="19"/>
  <c r="N12" i="19"/>
  <c r="R11" i="19"/>
  <c r="Q11" i="19"/>
  <c r="O11" i="19"/>
  <c r="N11" i="19"/>
  <c r="R10" i="19"/>
  <c r="Q10" i="19"/>
  <c r="O10" i="19"/>
  <c r="N10" i="19"/>
  <c r="R9" i="19"/>
  <c r="Q9" i="19"/>
  <c r="O9" i="19"/>
  <c r="N9" i="19"/>
  <c r="R8" i="19"/>
  <c r="Q8" i="19"/>
  <c r="O8" i="19"/>
  <c r="N8" i="19"/>
  <c r="S11" i="19" l="1"/>
  <c r="P10" i="19"/>
  <c r="S10" i="19"/>
  <c r="P11" i="19"/>
  <c r="S17" i="19"/>
  <c r="P9" i="19"/>
  <c r="S9" i="19"/>
  <c r="P16" i="19"/>
  <c r="P18" i="19"/>
  <c r="S12" i="19"/>
  <c r="S18" i="19"/>
  <c r="P12" i="19"/>
  <c r="P13" i="19"/>
  <c r="P19" i="19"/>
  <c r="S13" i="19"/>
  <c r="S19" i="19"/>
  <c r="P14" i="19"/>
  <c r="S16" i="19"/>
  <c r="S14" i="19"/>
  <c r="P17" i="19"/>
  <c r="N15" i="19"/>
  <c r="O15" i="19"/>
  <c r="O7" i="19" s="1"/>
  <c r="R15" i="19"/>
  <c r="R7" i="19" s="1"/>
  <c r="Q15" i="19"/>
  <c r="Q7" i="19" s="1"/>
  <c r="P8" i="19"/>
  <c r="S8" i="19"/>
  <c r="S15" i="19" l="1"/>
  <c r="S7" i="19"/>
  <c r="P15" i="19"/>
  <c r="E1049" i="2" l="1"/>
  <c r="E10" i="26"/>
  <c r="E9" i="26"/>
  <c r="E8" i="26"/>
  <c r="E7" i="26"/>
  <c r="E6" i="26"/>
  <c r="E5" i="26"/>
  <c r="E4" i="26"/>
  <c r="E12" i="26"/>
  <c r="E11" i="26"/>
  <c r="D10" i="26"/>
  <c r="D9" i="26"/>
  <c r="D8" i="26"/>
  <c r="D7" i="26"/>
  <c r="D6" i="26"/>
  <c r="D5" i="26"/>
  <c r="D4" i="26"/>
  <c r="D14" i="26"/>
  <c r="D13" i="26"/>
  <c r="D12" i="26"/>
  <c r="D11" i="26"/>
  <c r="GI19" i="5" l="1"/>
  <c r="AF12" i="17" l="1"/>
  <c r="A70" i="17"/>
  <c r="A71" i="17" s="1"/>
  <c r="A65" i="17"/>
  <c r="A66" i="17" s="1"/>
  <c r="A60" i="17"/>
  <c r="A55" i="17"/>
  <c r="A50" i="17"/>
  <c r="A45" i="17"/>
  <c r="A73" i="17"/>
  <c r="A72" i="17"/>
  <c r="A69" i="17"/>
  <c r="A68" i="17"/>
  <c r="A67" i="17"/>
  <c r="A64" i="17"/>
  <c r="A63" i="17"/>
  <c r="A62" i="17"/>
  <c r="A59" i="17"/>
  <c r="A58" i="17"/>
  <c r="A57" i="17"/>
  <c r="A54" i="17"/>
  <c r="A53" i="17"/>
  <c r="A52" i="17"/>
  <c r="A49" i="17"/>
  <c r="A48" i="17"/>
  <c r="A47" i="17"/>
  <c r="A44" i="17"/>
  <c r="A43" i="17"/>
  <c r="A42" i="17"/>
  <c r="A41" i="17"/>
  <c r="A39" i="17"/>
  <c r="A40" i="17" s="1"/>
  <c r="A38" i="17"/>
  <c r="A37" i="17"/>
  <c r="A36" i="17"/>
  <c r="A34" i="17"/>
  <c r="A33" i="17"/>
  <c r="A32" i="17"/>
  <c r="A31" i="17"/>
  <c r="A29" i="17"/>
  <c r="A28" i="17"/>
  <c r="A27" i="17"/>
  <c r="A26" i="17"/>
  <c r="A24" i="17"/>
  <c r="A23" i="17"/>
  <c r="A22" i="17"/>
  <c r="A21" i="17"/>
  <c r="A19" i="17"/>
  <c r="A18" i="17"/>
  <c r="A17" i="17"/>
  <c r="A16" i="17"/>
  <c r="A14" i="17"/>
  <c r="A13" i="17"/>
  <c r="A12" i="17"/>
  <c r="A11" i="17"/>
  <c r="A9" i="17"/>
  <c r="A8" i="17"/>
  <c r="A7" i="17"/>
  <c r="A6" i="17"/>
  <c r="A4" i="17"/>
  <c r="AF26" i="17"/>
  <c r="AF27" i="17"/>
  <c r="AE6" i="17"/>
  <c r="H650" i="2"/>
  <c r="H683" i="2" s="1"/>
  <c r="F548" i="2"/>
  <c r="AP25" i="17" l="1"/>
  <c r="AP24" i="17"/>
  <c r="AP5" i="17"/>
  <c r="AP4" i="17"/>
  <c r="AP46" i="17"/>
  <c r="AP45" i="17"/>
  <c r="AP51" i="17"/>
  <c r="AP50" i="17"/>
  <c r="AP61" i="17"/>
  <c r="AP60" i="17"/>
  <c r="AP9" i="17"/>
  <c r="AP10" i="17"/>
  <c r="AP20" i="17"/>
  <c r="AP19" i="17"/>
  <c r="AP30" i="17"/>
  <c r="AP29" i="17"/>
  <c r="AP15" i="17"/>
  <c r="AP14" i="17"/>
  <c r="AP35" i="17"/>
  <c r="AP34" i="17"/>
  <c r="A10" i="17"/>
  <c r="A30" i="17"/>
  <c r="A56" i="17"/>
  <c r="A61" i="17"/>
  <c r="A5" i="17"/>
  <c r="A35" i="17"/>
  <c r="A46" i="17"/>
  <c r="A20" i="17"/>
  <c r="A15" i="17"/>
  <c r="A51" i="17"/>
  <c r="A25" i="17"/>
  <c r="AF66" i="17"/>
  <c r="AF65" i="17"/>
  <c r="AF63" i="17"/>
  <c r="AF62" i="17"/>
  <c r="AF58" i="17"/>
  <c r="AF57" i="17"/>
  <c r="AF53" i="17"/>
  <c r="AF52" i="17"/>
  <c r="AF48" i="17"/>
  <c r="AF47" i="17"/>
  <c r="AF40" i="17"/>
  <c r="AF39" i="17"/>
  <c r="AF37" i="17"/>
  <c r="AF36" i="17"/>
  <c r="AF32" i="17"/>
  <c r="AF31" i="17"/>
  <c r="AF22" i="17"/>
  <c r="AF21" i="17"/>
  <c r="AF16" i="17"/>
  <c r="AF17" i="17"/>
  <c r="AF11" i="17"/>
  <c r="AF6" i="17"/>
  <c r="AF7" i="17"/>
  <c r="AQ30" i="17" l="1"/>
  <c r="AP32" i="17"/>
  <c r="AQ19" i="17"/>
  <c r="AP21" i="17"/>
  <c r="AQ10" i="17"/>
  <c r="AP12" i="17"/>
  <c r="AQ20" i="17"/>
  <c r="AQ22" i="17" s="1"/>
  <c r="AP22" i="17"/>
  <c r="AQ9" i="17"/>
  <c r="AP11" i="17"/>
  <c r="AQ60" i="17"/>
  <c r="BD15" i="17" s="1"/>
  <c r="AP65" i="17"/>
  <c r="AP62" i="17"/>
  <c r="AQ61" i="17"/>
  <c r="AQ63" i="17" s="1"/>
  <c r="AP66" i="17"/>
  <c r="AP63" i="17"/>
  <c r="AQ50" i="17"/>
  <c r="AP52" i="17"/>
  <c r="AQ51" i="17"/>
  <c r="AQ53" i="17" s="1"/>
  <c r="AP53" i="17"/>
  <c r="AQ45" i="17"/>
  <c r="AP47" i="17"/>
  <c r="AQ46" i="17"/>
  <c r="AQ48" i="17" s="1"/>
  <c r="AP48" i="17"/>
  <c r="AQ34" i="17"/>
  <c r="AP36" i="17"/>
  <c r="AP39" i="17"/>
  <c r="AP6" i="17"/>
  <c r="AQ4" i="17"/>
  <c r="AQ35" i="17"/>
  <c r="AQ37" i="17" s="1"/>
  <c r="AP37" i="17"/>
  <c r="AP40" i="17"/>
  <c r="AP42" i="17" s="1"/>
  <c r="AQ5" i="17"/>
  <c r="AP7" i="17"/>
  <c r="AQ14" i="17"/>
  <c r="AP16" i="17"/>
  <c r="AQ24" i="17"/>
  <c r="AP26" i="17"/>
  <c r="AQ29" i="17"/>
  <c r="BD11" i="17" s="1"/>
  <c r="AP31" i="17"/>
  <c r="AQ15" i="17"/>
  <c r="AQ17" i="17" s="1"/>
  <c r="AP17" i="17"/>
  <c r="AQ25" i="17"/>
  <c r="AQ27" i="17" s="1"/>
  <c r="AP27" i="17"/>
  <c r="BD14" i="17"/>
  <c r="BD7" i="17"/>
  <c r="BD5" i="17"/>
  <c r="BD8" i="17"/>
  <c r="AQ6" i="17"/>
  <c r="BE8" i="17" s="1"/>
  <c r="BD13" i="17"/>
  <c r="AF41" i="17"/>
  <c r="AF70" i="17"/>
  <c r="AF68" i="17"/>
  <c r="AF42" i="17"/>
  <c r="AF67" i="17"/>
  <c r="AF71" i="17"/>
  <c r="GI23" i="5"/>
  <c r="GI3" i="5"/>
  <c r="AP71" i="17" l="1"/>
  <c r="AP68" i="17"/>
  <c r="AQ12" i="17"/>
  <c r="AP41" i="17"/>
  <c r="AP70" i="17"/>
  <c r="AP72" i="17" s="1"/>
  <c r="AP67" i="17"/>
  <c r="AQ7" i="17"/>
  <c r="AQ32" i="17"/>
  <c r="BD6" i="17"/>
  <c r="BD9" i="17"/>
  <c r="BD16" i="17"/>
  <c r="AF73" i="17"/>
  <c r="AF72" i="17"/>
  <c r="AD1" i="13"/>
  <c r="AC1" i="13"/>
  <c r="AB1" i="13"/>
  <c r="I134" i="10"/>
  <c r="I176" i="10" s="1"/>
  <c r="AP73" i="17" l="1"/>
  <c r="AW468" i="2"/>
  <c r="AV468" i="2"/>
  <c r="AW463" i="2"/>
  <c r="AV463" i="2"/>
  <c r="AW455" i="2"/>
  <c r="AV455" i="2"/>
  <c r="IB66" i="5"/>
  <c r="AT366" i="2" s="1"/>
  <c r="AU378" i="2"/>
  <c r="AU373" i="2"/>
  <c r="AU365" i="2"/>
  <c r="AT378" i="2"/>
  <c r="AT373" i="2"/>
  <c r="AT365" i="2"/>
  <c r="AE40" i="17" l="1"/>
  <c r="AQ40" i="17" s="1"/>
  <c r="AE39" i="17"/>
  <c r="AQ39" i="17" s="1"/>
  <c r="AE66" i="17"/>
  <c r="AQ66" i="17" s="1"/>
  <c r="AE65" i="17"/>
  <c r="AQ65" i="17" s="1"/>
  <c r="AE63" i="17"/>
  <c r="AE62" i="17"/>
  <c r="AQ62" i="17" s="1"/>
  <c r="AE58" i="17"/>
  <c r="AE57" i="17"/>
  <c r="AQ57" i="17" s="1"/>
  <c r="AE53" i="17"/>
  <c r="AE52" i="17"/>
  <c r="AQ52" i="17" s="1"/>
  <c r="AE48" i="17"/>
  <c r="AE47" i="17"/>
  <c r="AQ47" i="17" s="1"/>
  <c r="AE37" i="17"/>
  <c r="AE36" i="17"/>
  <c r="AQ36" i="17" s="1"/>
  <c r="AE32" i="17"/>
  <c r="AE31" i="17"/>
  <c r="AQ31" i="17" s="1"/>
  <c r="AE27" i="17"/>
  <c r="AE26" i="17"/>
  <c r="AQ26" i="17" s="1"/>
  <c r="AE22" i="17"/>
  <c r="AE21" i="17"/>
  <c r="AQ21" i="17" s="1"/>
  <c r="AE17" i="17"/>
  <c r="AE16" i="17"/>
  <c r="AQ16" i="17" s="1"/>
  <c r="AE12" i="17"/>
  <c r="AE11" i="17"/>
  <c r="AE7" i="17"/>
  <c r="AC66" i="17"/>
  <c r="AC71" i="17" s="1"/>
  <c r="AC65" i="17"/>
  <c r="AC70" i="17" s="1"/>
  <c r="GD29" i="5"/>
  <c r="GC29" i="5"/>
  <c r="GB29" i="5"/>
  <c r="FZ29" i="5"/>
  <c r="KO104" i="5"/>
  <c r="KO93" i="5"/>
  <c r="KO92" i="5"/>
  <c r="KO91" i="5"/>
  <c r="KO90" i="5"/>
  <c r="KO88" i="5"/>
  <c r="KO87" i="5"/>
  <c r="KO86" i="5"/>
  <c r="KO85" i="5"/>
  <c r="KO84" i="5"/>
  <c r="KO83" i="5"/>
  <c r="KO82" i="5"/>
  <c r="KO77" i="5"/>
  <c r="AW467" i="2" s="1"/>
  <c r="KO76" i="5"/>
  <c r="AW466" i="2" s="1"/>
  <c r="KO75" i="5"/>
  <c r="AW465" i="2" s="1"/>
  <c r="KO74" i="5"/>
  <c r="AW464" i="2" s="1"/>
  <c r="KO72" i="5"/>
  <c r="AW462" i="2" s="1"/>
  <c r="KO71" i="5"/>
  <c r="AW461" i="2" s="1"/>
  <c r="KO70" i="5"/>
  <c r="AW460" i="2" s="1"/>
  <c r="KO69" i="5"/>
  <c r="AW459" i="2" s="1"/>
  <c r="KO68" i="5"/>
  <c r="AW458" i="2" s="1"/>
  <c r="KO67" i="5"/>
  <c r="AW457" i="2" s="1"/>
  <c r="KO66" i="5"/>
  <c r="AW456" i="2" s="1"/>
  <c r="IC108" i="5"/>
  <c r="IC107" i="5"/>
  <c r="IC106" i="5"/>
  <c r="IC105" i="5"/>
  <c r="IC103" i="5"/>
  <c r="IC102" i="5"/>
  <c r="IC101" i="5"/>
  <c r="IC100" i="5"/>
  <c r="IC99" i="5"/>
  <c r="IC98" i="5"/>
  <c r="IC97" i="5"/>
  <c r="IC93" i="5"/>
  <c r="IC92" i="5"/>
  <c r="IC91" i="5"/>
  <c r="IC90" i="5"/>
  <c r="IC88" i="5"/>
  <c r="IC87" i="5"/>
  <c r="IC86" i="5"/>
  <c r="IC85" i="5"/>
  <c r="IC84" i="5"/>
  <c r="IC83" i="5"/>
  <c r="IC82" i="5"/>
  <c r="IC67" i="5"/>
  <c r="AU367" i="2" s="1"/>
  <c r="IC77" i="5"/>
  <c r="AU377" i="2" s="1"/>
  <c r="IC76" i="5"/>
  <c r="AU376" i="2" s="1"/>
  <c r="IC75" i="5"/>
  <c r="AU375" i="2" s="1"/>
  <c r="IC74" i="5"/>
  <c r="AU374" i="2" s="1"/>
  <c r="IC72" i="5"/>
  <c r="AU372" i="2" s="1"/>
  <c r="IC71" i="5"/>
  <c r="AU371" i="2" s="1"/>
  <c r="IC70" i="5"/>
  <c r="AU370" i="2" s="1"/>
  <c r="IC69" i="5"/>
  <c r="AU369" i="2" s="1"/>
  <c r="IC68" i="5"/>
  <c r="AU368" i="2" s="1"/>
  <c r="IC66" i="5"/>
  <c r="AU366" i="2" s="1"/>
  <c r="AQ11" i="17" l="1"/>
  <c r="BE10" i="17" s="1"/>
  <c r="AQ68" i="17"/>
  <c r="AQ42" i="17"/>
  <c r="BE7" i="17"/>
  <c r="BE14" i="17"/>
  <c r="BE13" i="17"/>
  <c r="BE16" i="17"/>
  <c r="BE11" i="17"/>
  <c r="BE5" i="17"/>
  <c r="BE15" i="17"/>
  <c r="BE6" i="17"/>
  <c r="BE9" i="17"/>
  <c r="AE67" i="17"/>
  <c r="AQ67" i="17" s="1"/>
  <c r="AE41" i="17"/>
  <c r="AQ41" i="17" s="1"/>
  <c r="AE68" i="17"/>
  <c r="AE70" i="17"/>
  <c r="AQ70" i="17" s="1"/>
  <c r="AE71" i="17"/>
  <c r="AQ71" i="17" s="1"/>
  <c r="AE42" i="17"/>
  <c r="KO103" i="5"/>
  <c r="KO105" i="5"/>
  <c r="KO106" i="5"/>
  <c r="KO107" i="5"/>
  <c r="KO108" i="5"/>
  <c r="KO97" i="5"/>
  <c r="KO98" i="5"/>
  <c r="KO99" i="5"/>
  <c r="KO100" i="5"/>
  <c r="KO101" i="5"/>
  <c r="KO102" i="5"/>
  <c r="AC72" i="17"/>
  <c r="AC73" i="17"/>
  <c r="AC67" i="17"/>
  <c r="AC68" i="17"/>
  <c r="KN104" i="5"/>
  <c r="KN93" i="5"/>
  <c r="KN92" i="5"/>
  <c r="KN91" i="5"/>
  <c r="KN90" i="5"/>
  <c r="KN88" i="5"/>
  <c r="KN87" i="5"/>
  <c r="KN86" i="5"/>
  <c r="KN85" i="5"/>
  <c r="KN84" i="5"/>
  <c r="KN83" i="5"/>
  <c r="KN82" i="5"/>
  <c r="KN77" i="5"/>
  <c r="AV467" i="2" s="1"/>
  <c r="KN76" i="5"/>
  <c r="AV466" i="2" s="1"/>
  <c r="KN75" i="5"/>
  <c r="AV465" i="2" s="1"/>
  <c r="KN74" i="5"/>
  <c r="AV464" i="2" s="1"/>
  <c r="KN72" i="5"/>
  <c r="AV462" i="2" s="1"/>
  <c r="KN71" i="5"/>
  <c r="AV461" i="2" s="1"/>
  <c r="KN70" i="5"/>
  <c r="AV460" i="2" s="1"/>
  <c r="KN69" i="5"/>
  <c r="AV459" i="2" s="1"/>
  <c r="KN68" i="5"/>
  <c r="AV458" i="2" s="1"/>
  <c r="KN67" i="5"/>
  <c r="AV457" i="2" s="1"/>
  <c r="KN66" i="5"/>
  <c r="AV456" i="2" s="1"/>
  <c r="IB108" i="5"/>
  <c r="IB107" i="5"/>
  <c r="IB106" i="5"/>
  <c r="IB105" i="5"/>
  <c r="IB103" i="5"/>
  <c r="IB102" i="5"/>
  <c r="IB101" i="5"/>
  <c r="IB100" i="5"/>
  <c r="IB99" i="5"/>
  <c r="IB98" i="5"/>
  <c r="IB97" i="5"/>
  <c r="IB93" i="5"/>
  <c r="IB92" i="5"/>
  <c r="IB91" i="5"/>
  <c r="IB90" i="5"/>
  <c r="IB88" i="5"/>
  <c r="IB87" i="5"/>
  <c r="IB86" i="5"/>
  <c r="IB85" i="5"/>
  <c r="IB84" i="5"/>
  <c r="IB83" i="5"/>
  <c r="IB82" i="5"/>
  <c r="IB77" i="5"/>
  <c r="AT377" i="2" s="1"/>
  <c r="IB76" i="5"/>
  <c r="AT376" i="2" s="1"/>
  <c r="IB75" i="5"/>
  <c r="AT375" i="2" s="1"/>
  <c r="IB74" i="5"/>
  <c r="AT374" i="2" s="1"/>
  <c r="IB72" i="5"/>
  <c r="AT372" i="2" s="1"/>
  <c r="IB71" i="5"/>
  <c r="AT371" i="2" s="1"/>
  <c r="IB70" i="5"/>
  <c r="AT370" i="2" s="1"/>
  <c r="IB69" i="5"/>
  <c r="AT369" i="2" s="1"/>
  <c r="IB68" i="5"/>
  <c r="AT368" i="2" s="1"/>
  <c r="IB67" i="5"/>
  <c r="AT367" i="2" s="1"/>
  <c r="AQ73" i="17" l="1"/>
  <c r="AE72" i="17"/>
  <c r="AQ72" i="17" s="1"/>
  <c r="AE73" i="17"/>
  <c r="KN97" i="5"/>
  <c r="KN108" i="5"/>
  <c r="KN101" i="5"/>
  <c r="KN102" i="5"/>
  <c r="KN99" i="5"/>
  <c r="KN103" i="5"/>
  <c r="KN98" i="5"/>
  <c r="KN100" i="5"/>
  <c r="KN105" i="5"/>
  <c r="KN106" i="5"/>
  <c r="KN107" i="5"/>
  <c r="P1" i="13"/>
  <c r="O1" i="13"/>
  <c r="P2" i="13"/>
  <c r="V4" i="2" l="1"/>
  <c r="Q61" i="17"/>
  <c r="Q60" i="17"/>
  <c r="Q56" i="17"/>
  <c r="Q55" i="17"/>
  <c r="Q51" i="17"/>
  <c r="Q50" i="17"/>
  <c r="Q46" i="17"/>
  <c r="Q45" i="17"/>
  <c r="Q35" i="17"/>
  <c r="Q34" i="17"/>
  <c r="Q30" i="17"/>
  <c r="Q29" i="17"/>
  <c r="Q25" i="17"/>
  <c r="Q24" i="17"/>
  <c r="Q20" i="17"/>
  <c r="Q19" i="17"/>
  <c r="Q15" i="17"/>
  <c r="Q14" i="17"/>
  <c r="Q10" i="17"/>
  <c r="Q9" i="17"/>
  <c r="Q5" i="17"/>
  <c r="Q4" i="17"/>
  <c r="H979" i="2" l="1"/>
  <c r="AU541" i="2" l="1"/>
  <c r="AU536" i="2"/>
  <c r="AU528" i="2"/>
  <c r="AU504" i="2"/>
  <c r="AU499" i="2"/>
  <c r="AU491" i="2"/>
  <c r="AU468" i="2"/>
  <c r="AU463" i="2"/>
  <c r="AU455" i="2"/>
  <c r="AS378" i="2"/>
  <c r="AS373" i="2"/>
  <c r="AS365" i="2"/>
  <c r="AA66" i="17" l="1"/>
  <c r="AA65" i="17"/>
  <c r="AA63" i="17"/>
  <c r="AA62" i="17"/>
  <c r="AA57" i="17"/>
  <c r="Z58" i="17"/>
  <c r="AA58" i="17"/>
  <c r="Z57" i="17"/>
  <c r="AA53" i="17"/>
  <c r="AA52" i="17"/>
  <c r="AA48" i="17"/>
  <c r="AA47" i="17"/>
  <c r="AA37" i="17"/>
  <c r="AA36" i="17"/>
  <c r="AA31" i="17"/>
  <c r="Z32" i="17"/>
  <c r="AA32" i="17"/>
  <c r="Z31" i="17"/>
  <c r="AA27" i="17"/>
  <c r="AA26" i="17"/>
  <c r="AA22" i="17"/>
  <c r="AA21" i="17"/>
  <c r="AA17" i="17"/>
  <c r="AA16" i="17"/>
  <c r="AA12" i="17"/>
  <c r="AA11" i="17"/>
  <c r="AA7" i="17"/>
  <c r="AA6" i="17"/>
  <c r="AA40" i="17"/>
  <c r="N40" i="17"/>
  <c r="Z40" i="17"/>
  <c r="AA39" i="17"/>
  <c r="Z39" i="17"/>
  <c r="Z65" i="17"/>
  <c r="Q7" i="17"/>
  <c r="O66" i="17"/>
  <c r="O71" i="17" s="1"/>
  <c r="IA74" i="5"/>
  <c r="AS374" i="2" s="1"/>
  <c r="IA75" i="5"/>
  <c r="AS375" i="2" s="1"/>
  <c r="IA76" i="5"/>
  <c r="AS376" i="2" s="1"/>
  <c r="IA77" i="5"/>
  <c r="AS377" i="2" s="1"/>
  <c r="IA66" i="5"/>
  <c r="AS366" i="2" s="1"/>
  <c r="IA67" i="5"/>
  <c r="AS367" i="2" s="1"/>
  <c r="IA68" i="5"/>
  <c r="AS368" i="2" s="1"/>
  <c r="IA69" i="5"/>
  <c r="AS369" i="2" s="1"/>
  <c r="IA70" i="5"/>
  <c r="AS370" i="2" s="1"/>
  <c r="IA71" i="5"/>
  <c r="AS371" i="2" s="1"/>
  <c r="IA72" i="5"/>
  <c r="AS372" i="2" s="1"/>
  <c r="IA90" i="5"/>
  <c r="IA91" i="5"/>
  <c r="IA92" i="5"/>
  <c r="IA93" i="5"/>
  <c r="IA82" i="5"/>
  <c r="IA83" i="5"/>
  <c r="IA84" i="5"/>
  <c r="IA85" i="5"/>
  <c r="IA86" i="5"/>
  <c r="IA87" i="5"/>
  <c r="IA88" i="5"/>
  <c r="IA105" i="5"/>
  <c r="IA106" i="5"/>
  <c r="IA107" i="5"/>
  <c r="IA108" i="5"/>
  <c r="IA97" i="5"/>
  <c r="IA98" i="5"/>
  <c r="IA99" i="5"/>
  <c r="IA100" i="5"/>
  <c r="IA101" i="5"/>
  <c r="IA102" i="5"/>
  <c r="IA103" i="5"/>
  <c r="KM105" i="5"/>
  <c r="AU537" i="2" s="1"/>
  <c r="KM106" i="5"/>
  <c r="AU538" i="2" s="1"/>
  <c r="KM107" i="5"/>
  <c r="AU539" i="2" s="1"/>
  <c r="KM108" i="5"/>
  <c r="AU540" i="2" s="1"/>
  <c r="KM97" i="5"/>
  <c r="AU529" i="2" s="1"/>
  <c r="KM98" i="5"/>
  <c r="AU530" i="2" s="1"/>
  <c r="KM99" i="5"/>
  <c r="AU531" i="2" s="1"/>
  <c r="KM100" i="5"/>
  <c r="AU532" i="2" s="1"/>
  <c r="KM101" i="5"/>
  <c r="AU533" i="2" s="1"/>
  <c r="KM102" i="5"/>
  <c r="AU534" i="2" s="1"/>
  <c r="KM103" i="5"/>
  <c r="AU535" i="2" s="1"/>
  <c r="KM90" i="5"/>
  <c r="AU500" i="2" s="1"/>
  <c r="KM91" i="5"/>
  <c r="AU501" i="2" s="1"/>
  <c r="KM92" i="5"/>
  <c r="AU502" i="2" s="1"/>
  <c r="KM93" i="5"/>
  <c r="AU503" i="2" s="1"/>
  <c r="KM82" i="5"/>
  <c r="AU492" i="2" s="1"/>
  <c r="KM83" i="5"/>
  <c r="AU493" i="2" s="1"/>
  <c r="KM84" i="5"/>
  <c r="AU494" i="2" s="1"/>
  <c r="KM85" i="5"/>
  <c r="AU495" i="2" s="1"/>
  <c r="KM86" i="5"/>
  <c r="AU496" i="2" s="1"/>
  <c r="KM87" i="5"/>
  <c r="AU497" i="2" s="1"/>
  <c r="KM88" i="5"/>
  <c r="AU498" i="2" s="1"/>
  <c r="KM74" i="5"/>
  <c r="AU464" i="2" s="1"/>
  <c r="KM75" i="5"/>
  <c r="AU465" i="2" s="1"/>
  <c r="KM76" i="5"/>
  <c r="AU466" i="2" s="1"/>
  <c r="KM77" i="5"/>
  <c r="AU467" i="2" s="1"/>
  <c r="KM66" i="5"/>
  <c r="AU456" i="2" s="1"/>
  <c r="KM67" i="5"/>
  <c r="AU457" i="2" s="1"/>
  <c r="KM68" i="5"/>
  <c r="AU458" i="2" s="1"/>
  <c r="KM69" i="5"/>
  <c r="AU459" i="2" s="1"/>
  <c r="KM70" i="5"/>
  <c r="AU460" i="2" s="1"/>
  <c r="KM71" i="5"/>
  <c r="AU461" i="2" s="1"/>
  <c r="KM72" i="5"/>
  <c r="AU462" i="2" s="1"/>
  <c r="GI25" i="5"/>
  <c r="B67" i="8" s="1"/>
  <c r="W914" i="13"/>
  <c r="W913" i="13"/>
  <c r="W912" i="13"/>
  <c r="W911" i="13"/>
  <c r="W910" i="13"/>
  <c r="W909" i="13"/>
  <c r="W908" i="13"/>
  <c r="W907" i="13"/>
  <c r="W906" i="13"/>
  <c r="W905" i="13"/>
  <c r="W904" i="13"/>
  <c r="W903" i="13"/>
  <c r="W902" i="13"/>
  <c r="W901" i="13"/>
  <c r="W900" i="13"/>
  <c r="W899" i="13"/>
  <c r="W898" i="13"/>
  <c r="W897" i="13"/>
  <c r="W896" i="13"/>
  <c r="W895" i="13"/>
  <c r="W894" i="13"/>
  <c r="W893" i="13"/>
  <c r="W892" i="13"/>
  <c r="W891" i="13"/>
  <c r="W890" i="13"/>
  <c r="W889" i="13"/>
  <c r="W888" i="13"/>
  <c r="W887" i="13"/>
  <c r="W886" i="13"/>
  <c r="W885" i="13"/>
  <c r="W884" i="13"/>
  <c r="W883" i="13"/>
  <c r="W882" i="13"/>
  <c r="W881" i="13"/>
  <c r="W880" i="13"/>
  <c r="W879" i="13"/>
  <c r="W878" i="13"/>
  <c r="W877" i="13"/>
  <c r="W876" i="13"/>
  <c r="W875" i="13"/>
  <c r="W874" i="13"/>
  <c r="W873" i="13"/>
  <c r="W872" i="13"/>
  <c r="W871" i="13"/>
  <c r="W870" i="13"/>
  <c r="W869" i="13"/>
  <c r="W868" i="13"/>
  <c r="W867" i="13"/>
  <c r="W866" i="13"/>
  <c r="W865" i="13"/>
  <c r="W864" i="13"/>
  <c r="W863" i="13"/>
  <c r="W862" i="13"/>
  <c r="W861" i="13"/>
  <c r="W860" i="13"/>
  <c r="W859" i="13"/>
  <c r="W858" i="13"/>
  <c r="W857" i="13"/>
  <c r="W856" i="13"/>
  <c r="W855" i="13"/>
  <c r="W854" i="13"/>
  <c r="W853" i="13"/>
  <c r="W852" i="13"/>
  <c r="W851" i="13"/>
  <c r="W850" i="13"/>
  <c r="W849" i="13"/>
  <c r="W848" i="13"/>
  <c r="W847" i="13"/>
  <c r="W846" i="13"/>
  <c r="W845" i="13"/>
  <c r="W844" i="13"/>
  <c r="W843" i="13"/>
  <c r="W842" i="13"/>
  <c r="W841" i="13"/>
  <c r="W840" i="13"/>
  <c r="W839" i="13"/>
  <c r="W838" i="13"/>
  <c r="W837" i="13"/>
  <c r="W836" i="13"/>
  <c r="W835" i="13"/>
  <c r="W834" i="13"/>
  <c r="W833" i="13"/>
  <c r="W832" i="13"/>
  <c r="W831" i="13"/>
  <c r="W830" i="13"/>
  <c r="W829" i="13"/>
  <c r="W828" i="13"/>
  <c r="W827" i="13"/>
  <c r="W826" i="13"/>
  <c r="W825" i="13"/>
  <c r="W824" i="13"/>
  <c r="W823" i="13"/>
  <c r="W822" i="13"/>
  <c r="W821" i="13"/>
  <c r="W820" i="13"/>
  <c r="W819" i="13"/>
  <c r="W818" i="13"/>
  <c r="W817" i="13"/>
  <c r="W816" i="13"/>
  <c r="W815" i="13"/>
  <c r="W814" i="13"/>
  <c r="W813" i="13"/>
  <c r="W812" i="13"/>
  <c r="W811" i="13"/>
  <c r="W810" i="13"/>
  <c r="W809" i="13"/>
  <c r="W808" i="13"/>
  <c r="W807" i="13"/>
  <c r="W806" i="13"/>
  <c r="W805" i="13"/>
  <c r="W804" i="13"/>
  <c r="W803" i="13"/>
  <c r="W802" i="13"/>
  <c r="W801" i="13"/>
  <c r="W800" i="13"/>
  <c r="W799" i="13"/>
  <c r="W798" i="13"/>
  <c r="W797" i="13"/>
  <c r="W796" i="13"/>
  <c r="W795" i="13"/>
  <c r="W794" i="13"/>
  <c r="W793" i="13"/>
  <c r="W792" i="13"/>
  <c r="W791" i="13"/>
  <c r="W790" i="13"/>
  <c r="W789" i="13"/>
  <c r="W788" i="13"/>
  <c r="W787" i="13"/>
  <c r="W786" i="13"/>
  <c r="W785" i="13"/>
  <c r="W784" i="13"/>
  <c r="W783" i="13"/>
  <c r="W782" i="13"/>
  <c r="W781" i="13"/>
  <c r="W780" i="13"/>
  <c r="W779" i="13"/>
  <c r="W778" i="13"/>
  <c r="W777" i="13"/>
  <c r="W776" i="13"/>
  <c r="W775" i="13"/>
  <c r="W774" i="13"/>
  <c r="W773" i="13"/>
  <c r="W772" i="13"/>
  <c r="W771" i="13"/>
  <c r="W770" i="13"/>
  <c r="W769" i="13"/>
  <c r="W768" i="13"/>
  <c r="W767" i="13"/>
  <c r="W766" i="13"/>
  <c r="W765" i="13"/>
  <c r="W764" i="13"/>
  <c r="W763" i="13"/>
  <c r="W762" i="13"/>
  <c r="W761" i="13"/>
  <c r="W760" i="13"/>
  <c r="W759" i="13"/>
  <c r="W758" i="13"/>
  <c r="W757" i="13"/>
  <c r="W756" i="13"/>
  <c r="W755" i="13"/>
  <c r="W754" i="13"/>
  <c r="W753" i="13"/>
  <c r="W752" i="13"/>
  <c r="W751" i="13"/>
  <c r="W750" i="13"/>
  <c r="W749" i="13"/>
  <c r="W748" i="13"/>
  <c r="W747" i="13"/>
  <c r="W746" i="13"/>
  <c r="W745" i="13"/>
  <c r="W744" i="13"/>
  <c r="W743" i="13"/>
  <c r="W742" i="13"/>
  <c r="W741" i="13"/>
  <c r="W740" i="13"/>
  <c r="W739" i="13"/>
  <c r="W738" i="13"/>
  <c r="W737" i="13"/>
  <c r="W736" i="13"/>
  <c r="W735" i="13"/>
  <c r="W734" i="13"/>
  <c r="W733" i="13"/>
  <c r="W732" i="13"/>
  <c r="W731" i="13"/>
  <c r="W730" i="13"/>
  <c r="W729" i="13"/>
  <c r="W728" i="13"/>
  <c r="W727" i="13"/>
  <c r="W726" i="13"/>
  <c r="W725" i="13"/>
  <c r="W724" i="13"/>
  <c r="W723" i="13"/>
  <c r="W722" i="13"/>
  <c r="W721" i="13"/>
  <c r="W720" i="13"/>
  <c r="W719" i="13"/>
  <c r="W718" i="13"/>
  <c r="W717" i="13"/>
  <c r="W716" i="13"/>
  <c r="W715" i="13"/>
  <c r="W714" i="13"/>
  <c r="W713" i="13"/>
  <c r="W712" i="13"/>
  <c r="W711" i="13"/>
  <c r="W710" i="13"/>
  <c r="W709" i="13"/>
  <c r="W708" i="13"/>
  <c r="W707" i="13"/>
  <c r="W706" i="13"/>
  <c r="W705" i="13"/>
  <c r="W704" i="13"/>
  <c r="W703" i="13"/>
  <c r="W702" i="13"/>
  <c r="W701" i="13"/>
  <c r="W700" i="13"/>
  <c r="W699" i="13"/>
  <c r="W698" i="13"/>
  <c r="W697" i="13"/>
  <c r="W696" i="13"/>
  <c r="W695" i="13"/>
  <c r="W694" i="13"/>
  <c r="W693" i="13"/>
  <c r="W692" i="13"/>
  <c r="W691" i="13"/>
  <c r="W690" i="13"/>
  <c r="W689" i="13"/>
  <c r="W688" i="13"/>
  <c r="W687" i="13"/>
  <c r="W686" i="13"/>
  <c r="W685" i="13"/>
  <c r="W684" i="13"/>
  <c r="W683" i="13"/>
  <c r="W682" i="13"/>
  <c r="W681" i="13"/>
  <c r="W680" i="13"/>
  <c r="W679" i="13"/>
  <c r="W678" i="13"/>
  <c r="W677" i="13"/>
  <c r="W676" i="13"/>
  <c r="W675" i="13"/>
  <c r="W674" i="13"/>
  <c r="W673" i="13"/>
  <c r="W672" i="13"/>
  <c r="W671" i="13"/>
  <c r="W670" i="13"/>
  <c r="W669" i="13"/>
  <c r="W668" i="13"/>
  <c r="W667" i="13"/>
  <c r="W666" i="13"/>
  <c r="W665" i="13"/>
  <c r="W664" i="13"/>
  <c r="W663" i="13"/>
  <c r="W662" i="13"/>
  <c r="W661" i="13"/>
  <c r="W660" i="13"/>
  <c r="W659" i="13"/>
  <c r="W658" i="13"/>
  <c r="W657" i="13"/>
  <c r="W656" i="13"/>
  <c r="W655" i="13"/>
  <c r="W654" i="13"/>
  <c r="W653" i="13"/>
  <c r="W652" i="13"/>
  <c r="W651" i="13"/>
  <c r="W650" i="13"/>
  <c r="W649" i="13"/>
  <c r="W648" i="13"/>
  <c r="W647" i="13"/>
  <c r="W646" i="13"/>
  <c r="W645" i="13"/>
  <c r="W644" i="13"/>
  <c r="W643" i="13"/>
  <c r="W642" i="13"/>
  <c r="W641" i="13"/>
  <c r="W640" i="13"/>
  <c r="W639" i="13"/>
  <c r="W638" i="13"/>
  <c r="W637" i="13"/>
  <c r="W636" i="13"/>
  <c r="W635" i="13"/>
  <c r="W634" i="13"/>
  <c r="W633" i="13"/>
  <c r="W632" i="13"/>
  <c r="W631" i="13"/>
  <c r="W630" i="13"/>
  <c r="W629" i="13"/>
  <c r="W628" i="13"/>
  <c r="W627" i="13"/>
  <c r="W626" i="13"/>
  <c r="W625" i="13"/>
  <c r="W624" i="13"/>
  <c r="W623" i="13"/>
  <c r="W622" i="13"/>
  <c r="W621" i="13"/>
  <c r="W620" i="13"/>
  <c r="W619" i="13"/>
  <c r="W618" i="13"/>
  <c r="W617" i="13"/>
  <c r="W616" i="13"/>
  <c r="W615" i="13"/>
  <c r="W614" i="13"/>
  <c r="W613" i="13"/>
  <c r="W612" i="13"/>
  <c r="W611" i="13"/>
  <c r="W610" i="13"/>
  <c r="W609" i="13"/>
  <c r="W608" i="13"/>
  <c r="W607" i="13"/>
  <c r="W606" i="13"/>
  <c r="W605" i="13"/>
  <c r="W604" i="13"/>
  <c r="W603" i="13"/>
  <c r="W602" i="13"/>
  <c r="W601" i="13"/>
  <c r="W600" i="13"/>
  <c r="W599" i="13"/>
  <c r="W598" i="13"/>
  <c r="W597" i="13"/>
  <c r="W596" i="13"/>
  <c r="W595" i="13"/>
  <c r="W594" i="13"/>
  <c r="W593" i="13"/>
  <c r="W592" i="13"/>
  <c r="W591" i="13"/>
  <c r="W590" i="13"/>
  <c r="W589" i="13"/>
  <c r="W588" i="13"/>
  <c r="W587" i="13"/>
  <c r="W586" i="13"/>
  <c r="W585" i="13"/>
  <c r="W584" i="13"/>
  <c r="W583" i="13"/>
  <c r="W582" i="13"/>
  <c r="W581" i="13"/>
  <c r="W580" i="13"/>
  <c r="W579" i="13"/>
  <c r="W578" i="13"/>
  <c r="W577" i="13"/>
  <c r="W576" i="13"/>
  <c r="W575" i="13"/>
  <c r="W574" i="13"/>
  <c r="W573" i="13"/>
  <c r="W572" i="13"/>
  <c r="W571" i="13"/>
  <c r="W570" i="13"/>
  <c r="W569" i="13"/>
  <c r="W568" i="13"/>
  <c r="W567" i="13"/>
  <c r="W566" i="13"/>
  <c r="W565" i="13"/>
  <c r="W564" i="13"/>
  <c r="W563" i="13"/>
  <c r="W562" i="13"/>
  <c r="W561" i="13"/>
  <c r="W560" i="13"/>
  <c r="W559" i="13"/>
  <c r="W558" i="13"/>
  <c r="W557" i="13"/>
  <c r="W556" i="13"/>
  <c r="W555" i="13"/>
  <c r="W554" i="13"/>
  <c r="W553" i="13"/>
  <c r="W552" i="13"/>
  <c r="W551" i="13"/>
  <c r="W550" i="13"/>
  <c r="W549" i="13"/>
  <c r="W548" i="13"/>
  <c r="W547" i="13"/>
  <c r="W546" i="13"/>
  <c r="W545" i="13"/>
  <c r="W544" i="13"/>
  <c r="W543" i="13"/>
  <c r="W542" i="13"/>
  <c r="W541" i="13"/>
  <c r="W540" i="13"/>
  <c r="W539" i="13"/>
  <c r="W538" i="13"/>
  <c r="W537" i="13"/>
  <c r="W536" i="13"/>
  <c r="W535" i="13"/>
  <c r="W534" i="13"/>
  <c r="W533" i="13"/>
  <c r="W532" i="13"/>
  <c r="W531" i="13"/>
  <c r="W530" i="13"/>
  <c r="W529" i="13"/>
  <c r="W528" i="13"/>
  <c r="W527" i="13"/>
  <c r="W526" i="13"/>
  <c r="W525" i="13"/>
  <c r="W524" i="13"/>
  <c r="W523" i="13"/>
  <c r="W522" i="13"/>
  <c r="W521" i="13"/>
  <c r="W520" i="13"/>
  <c r="W519" i="13"/>
  <c r="W518" i="13"/>
  <c r="W517" i="13"/>
  <c r="W516" i="13"/>
  <c r="W515" i="13"/>
  <c r="W514" i="13"/>
  <c r="W513" i="13"/>
  <c r="W512" i="13"/>
  <c r="W511" i="13"/>
  <c r="W510" i="13"/>
  <c r="W509" i="13"/>
  <c r="W508" i="13"/>
  <c r="W507" i="13"/>
  <c r="W506" i="13"/>
  <c r="W505" i="13"/>
  <c r="W504" i="13"/>
  <c r="W503" i="13"/>
  <c r="W502" i="13"/>
  <c r="W501" i="13"/>
  <c r="W500" i="13"/>
  <c r="W499" i="13"/>
  <c r="W498" i="13"/>
  <c r="W497" i="13"/>
  <c r="W496" i="13"/>
  <c r="W495" i="13"/>
  <c r="W494" i="13"/>
  <c r="W493" i="13"/>
  <c r="W492" i="13"/>
  <c r="W491" i="13"/>
  <c r="W490" i="13"/>
  <c r="W489" i="13"/>
  <c r="W488" i="13"/>
  <c r="W487" i="13"/>
  <c r="W486" i="13"/>
  <c r="W485" i="13"/>
  <c r="W484" i="13"/>
  <c r="W483" i="13"/>
  <c r="W482" i="13"/>
  <c r="W481" i="13"/>
  <c r="W480" i="13"/>
  <c r="W479" i="13"/>
  <c r="W478" i="13"/>
  <c r="W477" i="13"/>
  <c r="W476" i="13"/>
  <c r="W475" i="13"/>
  <c r="W474" i="13"/>
  <c r="W473" i="13"/>
  <c r="W472" i="13"/>
  <c r="W471" i="13"/>
  <c r="W470" i="13"/>
  <c r="W469" i="13"/>
  <c r="W468" i="13"/>
  <c r="W467" i="13"/>
  <c r="W466" i="13"/>
  <c r="W465" i="13"/>
  <c r="W464" i="13"/>
  <c r="W463" i="13"/>
  <c r="W462" i="13"/>
  <c r="W461" i="13"/>
  <c r="W460" i="13"/>
  <c r="W459" i="13"/>
  <c r="W458" i="13"/>
  <c r="W457" i="13"/>
  <c r="W456" i="13"/>
  <c r="W455" i="13"/>
  <c r="W454" i="13"/>
  <c r="W453" i="13"/>
  <c r="W452" i="13"/>
  <c r="W451" i="13"/>
  <c r="W450" i="13"/>
  <c r="W449" i="13"/>
  <c r="W448" i="13"/>
  <c r="W447" i="13"/>
  <c r="W446" i="13"/>
  <c r="W445" i="13"/>
  <c r="W444" i="13"/>
  <c r="W443" i="13"/>
  <c r="W442" i="13"/>
  <c r="W441" i="13"/>
  <c r="W440" i="13"/>
  <c r="W439" i="13"/>
  <c r="W438" i="13"/>
  <c r="W437" i="13"/>
  <c r="W436" i="13"/>
  <c r="W435" i="13"/>
  <c r="W434" i="13"/>
  <c r="W433" i="13"/>
  <c r="W432" i="13"/>
  <c r="W431" i="13"/>
  <c r="W430" i="13"/>
  <c r="W429" i="13"/>
  <c r="W428" i="13"/>
  <c r="W427" i="13"/>
  <c r="W426" i="13"/>
  <c r="W425" i="13"/>
  <c r="W424" i="13"/>
  <c r="W423" i="13"/>
  <c r="W422" i="13"/>
  <c r="W421" i="13"/>
  <c r="W420" i="13"/>
  <c r="W419" i="13"/>
  <c r="W418" i="13"/>
  <c r="W417" i="13"/>
  <c r="W416" i="13"/>
  <c r="W415" i="13"/>
  <c r="W414" i="13"/>
  <c r="W413" i="13"/>
  <c r="W412" i="13"/>
  <c r="W411" i="13"/>
  <c r="W410" i="13"/>
  <c r="W409" i="13"/>
  <c r="W408" i="13"/>
  <c r="W407" i="13"/>
  <c r="W406" i="13"/>
  <c r="W405" i="13"/>
  <c r="W404" i="13"/>
  <c r="W403" i="13"/>
  <c r="W402" i="13"/>
  <c r="W401" i="13"/>
  <c r="W400" i="13"/>
  <c r="W399" i="13"/>
  <c r="W398" i="13"/>
  <c r="W397" i="13"/>
  <c r="W396" i="13"/>
  <c r="W395" i="13"/>
  <c r="W394" i="13"/>
  <c r="W393" i="13"/>
  <c r="W392" i="13"/>
  <c r="W391" i="13"/>
  <c r="W390" i="13"/>
  <c r="W389" i="13"/>
  <c r="W388" i="13"/>
  <c r="W387" i="13"/>
  <c r="W386" i="13"/>
  <c r="W385" i="13"/>
  <c r="W384" i="13"/>
  <c r="W383" i="13"/>
  <c r="W382" i="13"/>
  <c r="W381" i="13"/>
  <c r="W380" i="13"/>
  <c r="W379" i="13"/>
  <c r="W378" i="13"/>
  <c r="W377" i="13"/>
  <c r="W376" i="13"/>
  <c r="W375" i="13"/>
  <c r="W374" i="13"/>
  <c r="W373" i="13"/>
  <c r="W372" i="13"/>
  <c r="W371" i="13"/>
  <c r="W370" i="13"/>
  <c r="W369" i="13"/>
  <c r="W368" i="13"/>
  <c r="W367" i="13"/>
  <c r="W366" i="13"/>
  <c r="W365" i="13"/>
  <c r="W364" i="13"/>
  <c r="W363" i="13"/>
  <c r="W362" i="13"/>
  <c r="W361" i="13"/>
  <c r="W360" i="13"/>
  <c r="W359" i="13"/>
  <c r="W358" i="13"/>
  <c r="W357" i="13"/>
  <c r="W356" i="13"/>
  <c r="W355" i="13"/>
  <c r="W354" i="13"/>
  <c r="W353" i="13"/>
  <c r="W352" i="13"/>
  <c r="W351" i="13"/>
  <c r="W350" i="13"/>
  <c r="W349" i="13"/>
  <c r="W348" i="13"/>
  <c r="W347" i="13"/>
  <c r="W346" i="13"/>
  <c r="W345" i="13"/>
  <c r="W344" i="13"/>
  <c r="W343" i="13"/>
  <c r="W342" i="13"/>
  <c r="W341" i="13"/>
  <c r="W340" i="13"/>
  <c r="W339" i="13"/>
  <c r="W338" i="13"/>
  <c r="W337" i="13"/>
  <c r="W336" i="13"/>
  <c r="W335" i="13"/>
  <c r="W334" i="13"/>
  <c r="W333" i="13"/>
  <c r="W332" i="13"/>
  <c r="W331" i="13"/>
  <c r="W330" i="13"/>
  <c r="W329" i="13"/>
  <c r="W328" i="13"/>
  <c r="W327" i="13"/>
  <c r="W326" i="13"/>
  <c r="W325" i="13"/>
  <c r="W324" i="13"/>
  <c r="W323" i="13"/>
  <c r="W322" i="13"/>
  <c r="W321" i="13"/>
  <c r="W320" i="13"/>
  <c r="W319" i="13"/>
  <c r="W318" i="13"/>
  <c r="W317" i="13"/>
  <c r="W316" i="13"/>
  <c r="W315" i="13"/>
  <c r="W314" i="13"/>
  <c r="W313" i="13"/>
  <c r="W312" i="13"/>
  <c r="W311" i="13"/>
  <c r="W310" i="13"/>
  <c r="W309" i="13"/>
  <c r="W308" i="13"/>
  <c r="W307" i="13"/>
  <c r="W306" i="13"/>
  <c r="W305" i="13"/>
  <c r="W304" i="13"/>
  <c r="W303" i="13"/>
  <c r="W302" i="13"/>
  <c r="W301" i="13"/>
  <c r="W300" i="13"/>
  <c r="W299" i="13"/>
  <c r="W298" i="13"/>
  <c r="W297" i="13"/>
  <c r="W296" i="13"/>
  <c r="W295" i="13"/>
  <c r="W294" i="13"/>
  <c r="W293" i="13"/>
  <c r="W292" i="13"/>
  <c r="W291" i="13"/>
  <c r="W290" i="13"/>
  <c r="W289" i="13"/>
  <c r="W288" i="13"/>
  <c r="W287" i="13"/>
  <c r="W286" i="13"/>
  <c r="W285" i="13"/>
  <c r="W284" i="13"/>
  <c r="W283" i="13"/>
  <c r="W282" i="13"/>
  <c r="W281" i="13"/>
  <c r="W280" i="13"/>
  <c r="W279" i="13"/>
  <c r="W278" i="13"/>
  <c r="W277" i="13"/>
  <c r="W276" i="13"/>
  <c r="W275" i="13"/>
  <c r="W274" i="13"/>
  <c r="W273" i="13"/>
  <c r="W272" i="13"/>
  <c r="W271" i="13"/>
  <c r="W270" i="13"/>
  <c r="W269" i="13"/>
  <c r="W268" i="13"/>
  <c r="W267" i="13"/>
  <c r="W266" i="13"/>
  <c r="W265" i="13"/>
  <c r="W264" i="13"/>
  <c r="W263" i="13"/>
  <c r="W262" i="13"/>
  <c r="W261" i="13"/>
  <c r="W260" i="13"/>
  <c r="W259" i="13"/>
  <c r="W258" i="13"/>
  <c r="W257" i="13"/>
  <c r="W256" i="13"/>
  <c r="W255" i="13"/>
  <c r="W254" i="13"/>
  <c r="W253" i="13"/>
  <c r="W252" i="13"/>
  <c r="W251" i="13"/>
  <c r="W250" i="13"/>
  <c r="W249" i="13"/>
  <c r="W248" i="13"/>
  <c r="W247" i="13"/>
  <c r="W246" i="13"/>
  <c r="W245" i="13"/>
  <c r="W244" i="13"/>
  <c r="W243" i="13"/>
  <c r="W242" i="13"/>
  <c r="W241" i="13"/>
  <c r="W240" i="13"/>
  <c r="W239" i="13"/>
  <c r="W238" i="13"/>
  <c r="W237" i="13"/>
  <c r="W236" i="13"/>
  <c r="W235" i="13"/>
  <c r="W234" i="13"/>
  <c r="W233" i="13"/>
  <c r="W232" i="13"/>
  <c r="W231" i="13"/>
  <c r="W230" i="13"/>
  <c r="W229" i="13"/>
  <c r="W228" i="13"/>
  <c r="W227" i="13"/>
  <c r="W226" i="13"/>
  <c r="W225" i="13"/>
  <c r="W224" i="13"/>
  <c r="W223" i="13"/>
  <c r="W222" i="13"/>
  <c r="W221" i="13"/>
  <c r="W220" i="13"/>
  <c r="W219" i="13"/>
  <c r="W218" i="13"/>
  <c r="W217" i="13"/>
  <c r="W216" i="13"/>
  <c r="W215" i="13"/>
  <c r="W214" i="13"/>
  <c r="W213" i="13"/>
  <c r="W212" i="13"/>
  <c r="W211" i="13"/>
  <c r="W210" i="13"/>
  <c r="W209" i="13"/>
  <c r="W208" i="13"/>
  <c r="W207" i="13"/>
  <c r="W206" i="13"/>
  <c r="W205" i="13"/>
  <c r="W204" i="13"/>
  <c r="W203" i="13"/>
  <c r="W202" i="13"/>
  <c r="W201" i="13"/>
  <c r="W200" i="13"/>
  <c r="W199" i="13"/>
  <c r="W198" i="13"/>
  <c r="W197" i="13"/>
  <c r="W196" i="13"/>
  <c r="W195" i="13"/>
  <c r="W194" i="13"/>
  <c r="W193" i="13"/>
  <c r="W192" i="13"/>
  <c r="W191" i="13"/>
  <c r="W190" i="13"/>
  <c r="W189" i="13"/>
  <c r="W188" i="13"/>
  <c r="W187" i="13"/>
  <c r="W186" i="13"/>
  <c r="W185" i="13"/>
  <c r="W184" i="13"/>
  <c r="W183" i="13"/>
  <c r="W182" i="13"/>
  <c r="W181" i="13"/>
  <c r="W180" i="13"/>
  <c r="W179" i="13"/>
  <c r="W178" i="13"/>
  <c r="W177" i="13"/>
  <c r="W176" i="13"/>
  <c r="W175" i="13"/>
  <c r="W174" i="13"/>
  <c r="W173" i="13"/>
  <c r="W172" i="13"/>
  <c r="W171" i="13"/>
  <c r="W170" i="13"/>
  <c r="W169" i="13"/>
  <c r="W168" i="13"/>
  <c r="W167" i="13"/>
  <c r="W166" i="13"/>
  <c r="W165" i="13"/>
  <c r="W164" i="13"/>
  <c r="W163" i="13"/>
  <c r="W162" i="13"/>
  <c r="W161" i="13"/>
  <c r="W160" i="13"/>
  <c r="W159" i="13"/>
  <c r="W158" i="13"/>
  <c r="W157" i="13"/>
  <c r="W156" i="13"/>
  <c r="W155" i="13"/>
  <c r="W154" i="13"/>
  <c r="W153" i="13"/>
  <c r="W152" i="13"/>
  <c r="W151" i="13"/>
  <c r="W150" i="13"/>
  <c r="W149" i="13"/>
  <c r="W148" i="13"/>
  <c r="W147" i="13"/>
  <c r="W146" i="13"/>
  <c r="W145" i="13"/>
  <c r="W144" i="13"/>
  <c r="W143" i="13"/>
  <c r="W142" i="13"/>
  <c r="W141" i="13"/>
  <c r="W140" i="13"/>
  <c r="W139" i="13"/>
  <c r="W138" i="13"/>
  <c r="W137" i="13"/>
  <c r="W136" i="13"/>
  <c r="W135" i="13"/>
  <c r="W134" i="13"/>
  <c r="W133" i="13"/>
  <c r="W132" i="13"/>
  <c r="W131" i="13"/>
  <c r="W130" i="13"/>
  <c r="W129" i="13"/>
  <c r="W128" i="13"/>
  <c r="W127" i="13"/>
  <c r="W126" i="13"/>
  <c r="W125" i="13"/>
  <c r="W124" i="13"/>
  <c r="W123" i="13"/>
  <c r="W122" i="13"/>
  <c r="W121" i="13"/>
  <c r="W120" i="13"/>
  <c r="W119" i="13"/>
  <c r="W118" i="13"/>
  <c r="W117" i="13"/>
  <c r="W116" i="13"/>
  <c r="W115" i="13"/>
  <c r="W114" i="13"/>
  <c r="W113" i="13"/>
  <c r="W112" i="13"/>
  <c r="W111" i="13"/>
  <c r="W110" i="13"/>
  <c r="W109" i="13"/>
  <c r="W108" i="13"/>
  <c r="W107" i="13"/>
  <c r="W106" i="13"/>
  <c r="W105" i="13"/>
  <c r="W104" i="13"/>
  <c r="W103" i="13"/>
  <c r="W102" i="13"/>
  <c r="W101" i="13"/>
  <c r="W100" i="13"/>
  <c r="W99" i="13"/>
  <c r="W98" i="13"/>
  <c r="W97" i="13"/>
  <c r="W96" i="13"/>
  <c r="W95" i="13"/>
  <c r="W94" i="13"/>
  <c r="W93" i="13"/>
  <c r="W92" i="13"/>
  <c r="W91" i="13"/>
  <c r="W90" i="13"/>
  <c r="W89" i="13"/>
  <c r="W88" i="13"/>
  <c r="W87" i="13"/>
  <c r="W86" i="13"/>
  <c r="W85" i="13"/>
  <c r="W84" i="13"/>
  <c r="W83" i="13"/>
  <c r="W82" i="13"/>
  <c r="W81" i="13"/>
  <c r="W80" i="13"/>
  <c r="W79" i="13"/>
  <c r="W78" i="13"/>
  <c r="W77" i="13"/>
  <c r="W76" i="13"/>
  <c r="W75" i="13"/>
  <c r="W74" i="13"/>
  <c r="W73" i="13"/>
  <c r="W72" i="13"/>
  <c r="W71" i="13"/>
  <c r="W70" i="13"/>
  <c r="W69" i="13"/>
  <c r="W68" i="13"/>
  <c r="W67" i="13"/>
  <c r="W66" i="13"/>
  <c r="W65" i="13"/>
  <c r="W64" i="13"/>
  <c r="W63" i="13"/>
  <c r="W62" i="13"/>
  <c r="W61" i="13"/>
  <c r="W60" i="13"/>
  <c r="W59" i="13"/>
  <c r="W58" i="13"/>
  <c r="W57" i="13"/>
  <c r="W56" i="13"/>
  <c r="W55" i="13"/>
  <c r="W54" i="13"/>
  <c r="W53" i="13"/>
  <c r="W52" i="13"/>
  <c r="W51" i="13"/>
  <c r="W50" i="13"/>
  <c r="W49" i="13"/>
  <c r="W48" i="13"/>
  <c r="W47" i="13"/>
  <c r="W46" i="13"/>
  <c r="W45" i="13"/>
  <c r="W44" i="13"/>
  <c r="W43" i="13"/>
  <c r="W42" i="13"/>
  <c r="W41" i="13"/>
  <c r="W40" i="13"/>
  <c r="W39" i="13"/>
  <c r="W38" i="13"/>
  <c r="W37" i="13"/>
  <c r="W36" i="13"/>
  <c r="W35" i="13"/>
  <c r="W34" i="13"/>
  <c r="W33" i="13"/>
  <c r="W32" i="13"/>
  <c r="W31" i="13"/>
  <c r="W30" i="13"/>
  <c r="W29" i="13"/>
  <c r="W28" i="13"/>
  <c r="W27" i="13"/>
  <c r="W26" i="13"/>
  <c r="W25" i="13"/>
  <c r="W24" i="13"/>
  <c r="W23" i="13"/>
  <c r="W22" i="13"/>
  <c r="W21" i="13"/>
  <c r="W20" i="13"/>
  <c r="W19" i="13"/>
  <c r="W18" i="13"/>
  <c r="W17" i="13"/>
  <c r="W16" i="13"/>
  <c r="W15" i="13"/>
  <c r="W14" i="13"/>
  <c r="W13" i="13"/>
  <c r="W12" i="13"/>
  <c r="W11" i="13"/>
  <c r="W10" i="13"/>
  <c r="W9" i="13"/>
  <c r="W8" i="13"/>
  <c r="W7" i="13"/>
  <c r="W6" i="13"/>
  <c r="W5" i="13"/>
  <c r="W4" i="13"/>
  <c r="W3" i="13"/>
  <c r="W2" i="13"/>
  <c r="E237" i="13"/>
  <c r="E236" i="13"/>
  <c r="E235" i="13"/>
  <c r="E234" i="13"/>
  <c r="E233" i="13"/>
  <c r="E232" i="13"/>
  <c r="E231" i="13"/>
  <c r="E230" i="13"/>
  <c r="E229" i="13"/>
  <c r="E228" i="13"/>
  <c r="E227" i="13"/>
  <c r="E226" i="13"/>
  <c r="E225" i="13"/>
  <c r="E224" i="13"/>
  <c r="E223" i="13"/>
  <c r="E222" i="13"/>
  <c r="E221" i="13"/>
  <c r="E220" i="13"/>
  <c r="E219" i="13"/>
  <c r="E218" i="13"/>
  <c r="E217" i="13"/>
  <c r="E216" i="13"/>
  <c r="E215" i="13"/>
  <c r="E214" i="13"/>
  <c r="E213" i="13"/>
  <c r="E212" i="13"/>
  <c r="E211" i="13"/>
  <c r="E210" i="13"/>
  <c r="E209" i="13"/>
  <c r="E208" i="13"/>
  <c r="E207" i="13"/>
  <c r="E206" i="13"/>
  <c r="E205" i="13"/>
  <c r="E204" i="13"/>
  <c r="E203" i="13"/>
  <c r="E202" i="13"/>
  <c r="E201" i="13"/>
  <c r="E200" i="13"/>
  <c r="E199" i="13"/>
  <c r="E198" i="13"/>
  <c r="E197" i="13"/>
  <c r="E196" i="13"/>
  <c r="E195" i="13"/>
  <c r="E194" i="13"/>
  <c r="E193" i="13"/>
  <c r="E192" i="13"/>
  <c r="E191" i="13"/>
  <c r="E190" i="13"/>
  <c r="E189" i="13"/>
  <c r="E188" i="13"/>
  <c r="E187" i="13"/>
  <c r="E186" i="13"/>
  <c r="E185" i="13"/>
  <c r="E184" i="13"/>
  <c r="E183" i="13"/>
  <c r="E182" i="13"/>
  <c r="E181" i="13"/>
  <c r="E180" i="13"/>
  <c r="E179" i="13"/>
  <c r="E178" i="13"/>
  <c r="E177" i="13"/>
  <c r="E176" i="13"/>
  <c r="E175" i="13"/>
  <c r="E174" i="13"/>
  <c r="E173" i="13"/>
  <c r="E172" i="13"/>
  <c r="E171" i="13"/>
  <c r="E170" i="13"/>
  <c r="E169" i="13"/>
  <c r="E168" i="13"/>
  <c r="E167" i="13"/>
  <c r="E166" i="13"/>
  <c r="E165" i="13"/>
  <c r="E164" i="13"/>
  <c r="E163" i="13"/>
  <c r="E162" i="13"/>
  <c r="E161" i="13"/>
  <c r="E160" i="13"/>
  <c r="E159" i="13"/>
  <c r="E158" i="13"/>
  <c r="E157" i="13"/>
  <c r="E156" i="13"/>
  <c r="E155" i="13"/>
  <c r="E154" i="13"/>
  <c r="E153" i="13"/>
  <c r="E152" i="13"/>
  <c r="E151" i="13"/>
  <c r="E150" i="13"/>
  <c r="E149" i="13"/>
  <c r="E148" i="13"/>
  <c r="E147" i="13"/>
  <c r="E146" i="13"/>
  <c r="E145" i="13"/>
  <c r="E144" i="13"/>
  <c r="E143" i="13"/>
  <c r="E142" i="13"/>
  <c r="E141" i="13"/>
  <c r="E140" i="13"/>
  <c r="E139" i="13"/>
  <c r="E138" i="13"/>
  <c r="E137" i="13"/>
  <c r="E136" i="13"/>
  <c r="E135" i="13"/>
  <c r="E134" i="13"/>
  <c r="E133" i="13"/>
  <c r="E132" i="13"/>
  <c r="E131" i="13"/>
  <c r="E130" i="13"/>
  <c r="E129" i="13"/>
  <c r="E128" i="13"/>
  <c r="E127" i="13"/>
  <c r="E126" i="13"/>
  <c r="E125" i="13"/>
  <c r="E124" i="13"/>
  <c r="E123" i="13"/>
  <c r="E122" i="13"/>
  <c r="E121" i="13"/>
  <c r="E120" i="13"/>
  <c r="E119" i="13"/>
  <c r="E118" i="13"/>
  <c r="E117" i="13"/>
  <c r="E116" i="13"/>
  <c r="E115" i="13"/>
  <c r="E114" i="13"/>
  <c r="E113" i="13"/>
  <c r="E112" i="13"/>
  <c r="E111" i="13"/>
  <c r="E110" i="13"/>
  <c r="E109" i="13"/>
  <c r="E108" i="13"/>
  <c r="E107" i="13"/>
  <c r="E106" i="13"/>
  <c r="E105" i="13"/>
  <c r="E104" i="13"/>
  <c r="E103" i="13"/>
  <c r="E102" i="13"/>
  <c r="E101" i="13"/>
  <c r="E100" i="13"/>
  <c r="E99" i="13"/>
  <c r="E98" i="13"/>
  <c r="E97" i="13"/>
  <c r="E96" i="13"/>
  <c r="E95" i="13"/>
  <c r="E94" i="13"/>
  <c r="E93" i="13"/>
  <c r="E92" i="13"/>
  <c r="E91" i="13"/>
  <c r="E90" i="13"/>
  <c r="E89" i="13"/>
  <c r="E88" i="13"/>
  <c r="E87" i="13"/>
  <c r="E86" i="13"/>
  <c r="E85" i="13"/>
  <c r="E84" i="13"/>
  <c r="E83" i="13"/>
  <c r="E82" i="13"/>
  <c r="E81" i="13"/>
  <c r="E80" i="13"/>
  <c r="E79" i="13"/>
  <c r="E78" i="13"/>
  <c r="E77" i="13"/>
  <c r="E76" i="13"/>
  <c r="E75" i="13"/>
  <c r="E74" i="13"/>
  <c r="E73" i="13"/>
  <c r="E72" i="13"/>
  <c r="E71" i="13"/>
  <c r="E70" i="13"/>
  <c r="E69" i="13"/>
  <c r="E68" i="13"/>
  <c r="E67" i="13"/>
  <c r="E66" i="13"/>
  <c r="E65" i="13"/>
  <c r="E64" i="13"/>
  <c r="E63" i="13"/>
  <c r="E62" i="13"/>
  <c r="E61" i="13"/>
  <c r="E60" i="13"/>
  <c r="E59" i="13"/>
  <c r="E58" i="13"/>
  <c r="E57" i="13"/>
  <c r="E56" i="13"/>
  <c r="E55" i="13"/>
  <c r="E54" i="13"/>
  <c r="E53" i="13"/>
  <c r="E52" i="13"/>
  <c r="E51" i="13"/>
  <c r="E50" i="13"/>
  <c r="E49" i="13"/>
  <c r="E48" i="13"/>
  <c r="E47" i="13"/>
  <c r="E46" i="13"/>
  <c r="E45" i="13"/>
  <c r="E44" i="13"/>
  <c r="E43" i="13"/>
  <c r="E42" i="13"/>
  <c r="E41" i="13"/>
  <c r="E40" i="13"/>
  <c r="E39" i="13"/>
  <c r="E38" i="13"/>
  <c r="E37" i="13"/>
  <c r="E36" i="13"/>
  <c r="E35" i="13"/>
  <c r="E34" i="13"/>
  <c r="E33" i="13"/>
  <c r="E32" i="13"/>
  <c r="E31" i="13"/>
  <c r="E30" i="13"/>
  <c r="E29" i="13"/>
  <c r="E28" i="13"/>
  <c r="E27" i="13"/>
  <c r="E26" i="13"/>
  <c r="E25" i="13"/>
  <c r="E24" i="13"/>
  <c r="E23" i="13"/>
  <c r="E22" i="13"/>
  <c r="E21" i="13"/>
  <c r="E20" i="13"/>
  <c r="E19" i="13"/>
  <c r="E18" i="13"/>
  <c r="E17" i="13"/>
  <c r="E16" i="13"/>
  <c r="E15" i="13"/>
  <c r="E14" i="13"/>
  <c r="E13" i="13"/>
  <c r="E12" i="13"/>
  <c r="E11" i="13"/>
  <c r="E10" i="13"/>
  <c r="E9" i="13"/>
  <c r="E8" i="13"/>
  <c r="E7" i="13"/>
  <c r="E6" i="13"/>
  <c r="E5" i="13"/>
  <c r="E4" i="13"/>
  <c r="E3" i="13"/>
  <c r="E2" i="13"/>
  <c r="AA70" i="17" l="1"/>
  <c r="AA67" i="17"/>
  <c r="AA71" i="17"/>
  <c r="Z42" i="17"/>
  <c r="AA41" i="17"/>
  <c r="AA68" i="17"/>
  <c r="AA42" i="17"/>
  <c r="AA72" i="17" l="1"/>
  <c r="AA73" i="17"/>
  <c r="I656" i="2"/>
  <c r="H271" i="2"/>
  <c r="G102" i="2"/>
  <c r="AT541" i="2" l="1"/>
  <c r="AS541" i="2"/>
  <c r="AT536" i="2"/>
  <c r="AT528" i="2"/>
  <c r="AT504" i="2"/>
  <c r="AT499" i="2"/>
  <c r="AT491" i="2"/>
  <c r="AT468" i="2"/>
  <c r="AT463" i="2"/>
  <c r="AT455" i="2"/>
  <c r="AR378" i="2"/>
  <c r="AR373" i="2"/>
  <c r="AR365" i="2"/>
  <c r="G175" i="2"/>
  <c r="P4" i="18"/>
  <c r="Z63" i="17" l="1"/>
  <c r="Z62" i="17"/>
  <c r="Z53" i="17"/>
  <c r="Z52" i="17"/>
  <c r="Z48" i="17"/>
  <c r="Z47" i="17"/>
  <c r="Z37" i="17"/>
  <c r="Z36" i="17"/>
  <c r="Z27" i="17"/>
  <c r="Z26" i="17"/>
  <c r="Z22" i="17"/>
  <c r="Z21" i="17"/>
  <c r="Z17" i="17"/>
  <c r="Z16" i="17"/>
  <c r="Z12" i="17"/>
  <c r="Z11" i="17"/>
  <c r="Z7" i="17"/>
  <c r="Z6" i="17"/>
  <c r="Y65" i="17"/>
  <c r="Y39" i="17"/>
  <c r="Z66" i="17"/>
  <c r="Y40" i="17"/>
  <c r="Q37" i="17"/>
  <c r="Y41" i="17" l="1"/>
  <c r="Z68" i="17"/>
  <c r="Z71" i="17"/>
  <c r="Z67" i="17"/>
  <c r="Q12" i="17"/>
  <c r="Q48" i="17"/>
  <c r="Z41" i="17"/>
  <c r="Q58" i="17"/>
  <c r="Q17" i="17"/>
  <c r="Q63" i="17"/>
  <c r="Q27" i="17"/>
  <c r="Q32" i="17"/>
  <c r="Z70" i="17"/>
  <c r="Q22" i="17"/>
  <c r="Q53" i="17"/>
  <c r="Z72" i="17" l="1"/>
  <c r="Z73" i="17"/>
  <c r="KL106" i="5"/>
  <c r="AT538" i="2" s="1"/>
  <c r="KL107" i="5"/>
  <c r="AT539" i="2" s="1"/>
  <c r="KL108" i="5"/>
  <c r="AT540" i="2" s="1"/>
  <c r="KL105" i="5"/>
  <c r="AT537" i="2" s="1"/>
  <c r="KL98" i="5"/>
  <c r="AT530" i="2" s="1"/>
  <c r="KL99" i="5"/>
  <c r="AT531" i="2" s="1"/>
  <c r="KL100" i="5"/>
  <c r="AT532" i="2" s="1"/>
  <c r="KL101" i="5"/>
  <c r="AT533" i="2" s="1"/>
  <c r="KL102" i="5"/>
  <c r="AT534" i="2" s="1"/>
  <c r="KL103" i="5"/>
  <c r="AT535" i="2" s="1"/>
  <c r="KL97" i="5"/>
  <c r="AT529" i="2" s="1"/>
  <c r="KL91" i="5"/>
  <c r="AT501" i="2" s="1"/>
  <c r="KL92" i="5"/>
  <c r="AT502" i="2" s="1"/>
  <c r="KL93" i="5"/>
  <c r="AT503" i="2" s="1"/>
  <c r="KL90" i="5"/>
  <c r="AT500" i="2" s="1"/>
  <c r="KL83" i="5"/>
  <c r="AT493" i="2" s="1"/>
  <c r="KL84" i="5"/>
  <c r="AT494" i="2" s="1"/>
  <c r="KL85" i="5"/>
  <c r="AT495" i="2" s="1"/>
  <c r="KL86" i="5"/>
  <c r="AT496" i="2" s="1"/>
  <c r="KL87" i="5"/>
  <c r="AT497" i="2" s="1"/>
  <c r="KL88" i="5"/>
  <c r="AT498" i="2" s="1"/>
  <c r="KL82" i="5"/>
  <c r="AT492" i="2" s="1"/>
  <c r="KL75" i="5"/>
  <c r="AT465" i="2" s="1"/>
  <c r="KL76" i="5"/>
  <c r="AT466" i="2" s="1"/>
  <c r="KL77" i="5"/>
  <c r="AT467" i="2" s="1"/>
  <c r="KL74" i="5"/>
  <c r="AT464" i="2" s="1"/>
  <c r="KL67" i="5"/>
  <c r="AT457" i="2" s="1"/>
  <c r="KL68" i="5"/>
  <c r="AT458" i="2" s="1"/>
  <c r="KL69" i="5"/>
  <c r="AT459" i="2" s="1"/>
  <c r="KL70" i="5"/>
  <c r="AT460" i="2" s="1"/>
  <c r="KL71" i="5"/>
  <c r="AT461" i="2" s="1"/>
  <c r="KL72" i="5"/>
  <c r="AT462" i="2" s="1"/>
  <c r="KL66" i="5"/>
  <c r="AT456" i="2" s="1"/>
  <c r="HZ106" i="5"/>
  <c r="HZ107" i="5"/>
  <c r="HZ108" i="5"/>
  <c r="HZ105" i="5"/>
  <c r="HZ98" i="5"/>
  <c r="HZ99" i="5"/>
  <c r="HZ100" i="5"/>
  <c r="HZ101" i="5"/>
  <c r="HZ102" i="5"/>
  <c r="HZ103" i="5"/>
  <c r="HZ97" i="5"/>
  <c r="HZ91" i="5"/>
  <c r="HZ92" i="5"/>
  <c r="HZ93" i="5"/>
  <c r="HZ90" i="5"/>
  <c r="HZ83" i="5"/>
  <c r="HZ84" i="5"/>
  <c r="HZ85" i="5"/>
  <c r="HZ86" i="5"/>
  <c r="HZ87" i="5"/>
  <c r="HZ88" i="5"/>
  <c r="HZ82" i="5"/>
  <c r="HZ75" i="5"/>
  <c r="AR375" i="2" s="1"/>
  <c r="HZ76" i="5"/>
  <c r="AR376" i="2" s="1"/>
  <c r="HZ77" i="5"/>
  <c r="AR377" i="2" s="1"/>
  <c r="HZ74" i="5"/>
  <c r="AR374" i="2" s="1"/>
  <c r="HZ67" i="5"/>
  <c r="AR367" i="2" s="1"/>
  <c r="HZ68" i="5"/>
  <c r="AR368" i="2" s="1"/>
  <c r="HZ69" i="5"/>
  <c r="AR369" i="2" s="1"/>
  <c r="HZ70" i="5"/>
  <c r="AR370" i="2" s="1"/>
  <c r="HZ71" i="5"/>
  <c r="AR371" i="2" s="1"/>
  <c r="HZ72" i="5"/>
  <c r="AR372" i="2" s="1"/>
  <c r="HZ66" i="5"/>
  <c r="AR366" i="2" s="1"/>
  <c r="G26" i="2" l="1"/>
  <c r="E26" i="2"/>
  <c r="E254" i="2"/>
  <c r="AS536" i="2"/>
  <c r="AS528" i="2"/>
  <c r="AS504" i="2"/>
  <c r="AS499" i="2"/>
  <c r="AS491" i="2"/>
  <c r="AS468" i="2"/>
  <c r="AS463" i="2"/>
  <c r="AS455" i="2"/>
  <c r="AQ378" i="2"/>
  <c r="AQ373" i="2"/>
  <c r="AQ365" i="2"/>
  <c r="F221" i="2"/>
  <c r="X6" i="17"/>
  <c r="Y6" i="17"/>
  <c r="X7" i="17"/>
  <c r="Y7" i="17"/>
  <c r="X62" i="17"/>
  <c r="Y62" i="17"/>
  <c r="X63" i="17"/>
  <c r="Y63" i="17"/>
  <c r="X57" i="17"/>
  <c r="Y57" i="17"/>
  <c r="X58" i="17"/>
  <c r="Y58" i="17"/>
  <c r="X52" i="17"/>
  <c r="Y52" i="17"/>
  <c r="X53" i="17"/>
  <c r="Y53" i="17"/>
  <c r="X47" i="17"/>
  <c r="Y47" i="17"/>
  <c r="X48" i="17"/>
  <c r="Y48" i="17"/>
  <c r="X36" i="17"/>
  <c r="Y36" i="17"/>
  <c r="X37" i="17"/>
  <c r="Y37" i="17"/>
  <c r="X31" i="17"/>
  <c r="Y31" i="17"/>
  <c r="X32" i="17"/>
  <c r="Y32" i="17"/>
  <c r="X26" i="17"/>
  <c r="Y26" i="17"/>
  <c r="X27" i="17"/>
  <c r="Y27" i="17"/>
  <c r="X21" i="17"/>
  <c r="Y21" i="17"/>
  <c r="X22" i="17"/>
  <c r="Y22" i="17"/>
  <c r="X16" i="17"/>
  <c r="Y16" i="17"/>
  <c r="X17" i="17"/>
  <c r="Y17" i="17"/>
  <c r="X12" i="17"/>
  <c r="Y12" i="17"/>
  <c r="X11" i="17"/>
  <c r="Y11" i="17"/>
  <c r="Y66" i="17"/>
  <c r="Y67" i="17" s="1"/>
  <c r="X65" i="17"/>
  <c r="X40" i="17"/>
  <c r="X39" i="17"/>
  <c r="W39" i="17"/>
  <c r="HY106" i="5"/>
  <c r="HY107" i="5"/>
  <c r="HY108" i="5"/>
  <c r="HY105" i="5"/>
  <c r="HY98" i="5"/>
  <c r="HY99" i="5"/>
  <c r="HY100" i="5"/>
  <c r="HY101" i="5"/>
  <c r="HY102" i="5"/>
  <c r="HY103" i="5"/>
  <c r="HY97" i="5"/>
  <c r="HY91" i="5"/>
  <c r="HY92" i="5"/>
  <c r="HY93" i="5"/>
  <c r="HY90" i="5"/>
  <c r="HY83" i="5"/>
  <c r="HY84" i="5"/>
  <c r="HY85" i="5"/>
  <c r="HY86" i="5"/>
  <c r="HY87" i="5"/>
  <c r="HY88" i="5"/>
  <c r="HY82" i="5"/>
  <c r="HY75" i="5"/>
  <c r="AQ375" i="2" s="1"/>
  <c r="HY76" i="5"/>
  <c r="AQ376" i="2" s="1"/>
  <c r="HY77" i="5"/>
  <c r="AQ377" i="2" s="1"/>
  <c r="HY74" i="5"/>
  <c r="AQ374" i="2" s="1"/>
  <c r="HY67" i="5"/>
  <c r="AQ367" i="2" s="1"/>
  <c r="HY68" i="5"/>
  <c r="AQ368" i="2" s="1"/>
  <c r="HY69" i="5"/>
  <c r="AQ369" i="2" s="1"/>
  <c r="HY70" i="5"/>
  <c r="AQ370" i="2" s="1"/>
  <c r="HY71" i="5"/>
  <c r="AQ371" i="2" s="1"/>
  <c r="HY72" i="5"/>
  <c r="AQ372" i="2" s="1"/>
  <c r="HY66" i="5"/>
  <c r="AQ366" i="2" s="1"/>
  <c r="KK106" i="5"/>
  <c r="AS538" i="2" s="1"/>
  <c r="KK107" i="5"/>
  <c r="AS539" i="2" s="1"/>
  <c r="KK108" i="5"/>
  <c r="AS540" i="2" s="1"/>
  <c r="KK105" i="5"/>
  <c r="AS537" i="2" s="1"/>
  <c r="KK98" i="5"/>
  <c r="AS530" i="2" s="1"/>
  <c r="KK99" i="5"/>
  <c r="AS531" i="2" s="1"/>
  <c r="KK100" i="5"/>
  <c r="AS532" i="2" s="1"/>
  <c r="KK101" i="5"/>
  <c r="AS533" i="2" s="1"/>
  <c r="KK102" i="5"/>
  <c r="AS534" i="2" s="1"/>
  <c r="KK103" i="5"/>
  <c r="AS535" i="2" s="1"/>
  <c r="KK97" i="5"/>
  <c r="AS529" i="2" s="1"/>
  <c r="KK91" i="5"/>
  <c r="AS501" i="2" s="1"/>
  <c r="KK92" i="5"/>
  <c r="AS502" i="2" s="1"/>
  <c r="KK93" i="5"/>
  <c r="AS503" i="2" s="1"/>
  <c r="KK90" i="5"/>
  <c r="AS500" i="2" s="1"/>
  <c r="KK83" i="5"/>
  <c r="AS493" i="2" s="1"/>
  <c r="KK84" i="5"/>
  <c r="AS494" i="2" s="1"/>
  <c r="KK85" i="5"/>
  <c r="AS495" i="2" s="1"/>
  <c r="KK86" i="5"/>
  <c r="AS496" i="2" s="1"/>
  <c r="KK87" i="5"/>
  <c r="AS497" i="2" s="1"/>
  <c r="KK88" i="5"/>
  <c r="AS498" i="2" s="1"/>
  <c r="KK82" i="5"/>
  <c r="AS492" i="2" s="1"/>
  <c r="KK75" i="5"/>
  <c r="AS465" i="2" s="1"/>
  <c r="KK76" i="5"/>
  <c r="AS466" i="2" s="1"/>
  <c r="KK77" i="5"/>
  <c r="AS467" i="2" s="1"/>
  <c r="KJ75" i="5"/>
  <c r="KJ76" i="5"/>
  <c r="KJ77" i="5"/>
  <c r="KK74" i="5"/>
  <c r="AS464" i="2" s="1"/>
  <c r="KK67" i="5"/>
  <c r="AS457" i="2" s="1"/>
  <c r="KK68" i="5"/>
  <c r="AS458" i="2" s="1"/>
  <c r="KK69" i="5"/>
  <c r="AS459" i="2" s="1"/>
  <c r="KK70" i="5"/>
  <c r="AS460" i="2" s="1"/>
  <c r="KK71" i="5"/>
  <c r="AS461" i="2" s="1"/>
  <c r="KK72" i="5"/>
  <c r="AS462" i="2" s="1"/>
  <c r="KK66" i="5"/>
  <c r="AS456" i="2" s="1"/>
  <c r="GC4" i="5"/>
  <c r="Y70" i="17" l="1"/>
  <c r="Y42" i="17"/>
  <c r="X70" i="17"/>
  <c r="Y68" i="17"/>
  <c r="X41" i="17"/>
  <c r="X42" i="17"/>
  <c r="X71" i="17"/>
  <c r="X73" i="17" s="1"/>
  <c r="Y71" i="17"/>
  <c r="Y73" i="17" l="1"/>
  <c r="X72" i="17"/>
  <c r="Y72" i="17"/>
  <c r="GC3" i="5" l="1"/>
  <c r="E21" i="8" l="1"/>
  <c r="AR455" i="2" l="1"/>
  <c r="AR463" i="2"/>
  <c r="AR465" i="2"/>
  <c r="AR466" i="2"/>
  <c r="AR467" i="2"/>
  <c r="AR468" i="2"/>
  <c r="AR491" i="2"/>
  <c r="AR499" i="2"/>
  <c r="AR504" i="2"/>
  <c r="AP365" i="2"/>
  <c r="AP373" i="2"/>
  <c r="AP378" i="2"/>
  <c r="X68" i="17"/>
  <c r="KJ66" i="5" l="1"/>
  <c r="AR456" i="2" s="1"/>
  <c r="KJ67" i="5"/>
  <c r="AR457" i="2" s="1"/>
  <c r="KJ68" i="5"/>
  <c r="AR458" i="2" s="1"/>
  <c r="KJ69" i="5"/>
  <c r="AR459" i="2" s="1"/>
  <c r="KJ70" i="5"/>
  <c r="AR460" i="2" s="1"/>
  <c r="KJ71" i="5"/>
  <c r="AR461" i="2" s="1"/>
  <c r="KJ72" i="5"/>
  <c r="AR462" i="2" s="1"/>
  <c r="KJ74" i="5"/>
  <c r="AR464" i="2" s="1"/>
  <c r="KJ82" i="5"/>
  <c r="AR492" i="2" s="1"/>
  <c r="KJ83" i="5"/>
  <c r="AR493" i="2" s="1"/>
  <c r="KJ84" i="5"/>
  <c r="AR494" i="2" s="1"/>
  <c r="KJ85" i="5"/>
  <c r="AR495" i="2" s="1"/>
  <c r="KJ86" i="5"/>
  <c r="AR496" i="2" s="1"/>
  <c r="KJ87" i="5"/>
  <c r="AR497" i="2" s="1"/>
  <c r="KJ88" i="5"/>
  <c r="AR498" i="2" s="1"/>
  <c r="KJ90" i="5"/>
  <c r="AR500" i="2" s="1"/>
  <c r="KJ91" i="5"/>
  <c r="AR501" i="2" s="1"/>
  <c r="KJ92" i="5"/>
  <c r="AR502" i="2" s="1"/>
  <c r="KJ93" i="5"/>
  <c r="AR503" i="2" s="1"/>
  <c r="KJ46" i="5"/>
  <c r="KJ102" i="5" s="1"/>
  <c r="AR534" i="2" s="1"/>
  <c r="KJ47" i="5"/>
  <c r="KJ100" i="5" s="1"/>
  <c r="AR532" i="2" s="1"/>
  <c r="KJ48" i="5"/>
  <c r="KJ97" i="5" s="1"/>
  <c r="AR529" i="2" s="1"/>
  <c r="KJ49" i="5"/>
  <c r="KJ50" i="5"/>
  <c r="KJ108" i="5" s="1"/>
  <c r="AR540" i="2" s="1"/>
  <c r="KJ51" i="5"/>
  <c r="KJ98" i="5" s="1"/>
  <c r="AR530" i="2" s="1"/>
  <c r="KJ52" i="5"/>
  <c r="KJ101" i="5" s="1"/>
  <c r="AR533" i="2" s="1"/>
  <c r="KJ53" i="5"/>
  <c r="KJ105" i="5" s="1"/>
  <c r="AR537" i="2" s="1"/>
  <c r="KJ54" i="5"/>
  <c r="KJ103" i="5" s="1"/>
  <c r="AR535" i="2" s="1"/>
  <c r="KJ55" i="5"/>
  <c r="KJ99" i="5" s="1"/>
  <c r="AR531" i="2" s="1"/>
  <c r="KJ56" i="5"/>
  <c r="KJ107" i="5" s="1"/>
  <c r="AR539" i="2" s="1"/>
  <c r="HX66" i="5"/>
  <c r="AP366" i="2" s="1"/>
  <c r="HX67" i="5"/>
  <c r="AP367" i="2" s="1"/>
  <c r="HX68" i="5"/>
  <c r="AP368" i="2" s="1"/>
  <c r="HX69" i="5"/>
  <c r="AP369" i="2" s="1"/>
  <c r="HX70" i="5"/>
  <c r="AP370" i="2" s="1"/>
  <c r="HX71" i="5"/>
  <c r="AP371" i="2" s="1"/>
  <c r="HX72" i="5"/>
  <c r="AP372" i="2" s="1"/>
  <c r="HX74" i="5"/>
  <c r="AP374" i="2" s="1"/>
  <c r="HX75" i="5"/>
  <c r="AP375" i="2" s="1"/>
  <c r="HX76" i="5"/>
  <c r="AP376" i="2" s="1"/>
  <c r="HX77" i="5"/>
  <c r="AP377" i="2" s="1"/>
  <c r="HX82" i="5"/>
  <c r="HX83" i="5"/>
  <c r="HX84" i="5"/>
  <c r="HX85" i="5"/>
  <c r="HX86" i="5"/>
  <c r="HX87" i="5"/>
  <c r="HX88" i="5"/>
  <c r="HX90" i="5"/>
  <c r="HX91" i="5"/>
  <c r="HX92" i="5"/>
  <c r="HX93" i="5"/>
  <c r="HX46" i="5"/>
  <c r="HX102" i="5" s="1"/>
  <c r="HX47" i="5"/>
  <c r="HX100" i="5" s="1"/>
  <c r="HX48" i="5"/>
  <c r="HX97" i="5" s="1"/>
  <c r="HX49" i="5"/>
  <c r="HX106" i="5" s="1"/>
  <c r="HX50" i="5"/>
  <c r="HX108" i="5" s="1"/>
  <c r="HX51" i="5"/>
  <c r="HX98" i="5" s="1"/>
  <c r="HX52" i="5"/>
  <c r="HX101" i="5" s="1"/>
  <c r="HX53" i="5"/>
  <c r="HX105" i="5" s="1"/>
  <c r="HX54" i="5"/>
  <c r="HX103" i="5" s="1"/>
  <c r="HX55" i="5"/>
  <c r="HX99" i="5" s="1"/>
  <c r="HX56" i="5"/>
  <c r="HX107" i="5" s="1"/>
  <c r="W791" i="10"/>
  <c r="AR541" i="2" l="1"/>
  <c r="AR536" i="2"/>
  <c r="AR528" i="2"/>
  <c r="KJ106" i="5"/>
  <c r="AR538" i="2" s="1"/>
  <c r="E1051" i="2"/>
  <c r="E1050" i="2"/>
  <c r="E1047" i="2"/>
  <c r="Q20" i="19"/>
  <c r="E1056" i="2"/>
  <c r="G1055" i="2"/>
  <c r="G1052" i="2"/>
  <c r="G1057" i="2"/>
  <c r="E1048" i="2"/>
  <c r="G1047" i="2"/>
  <c r="G1048" i="2"/>
  <c r="E1052" i="2"/>
  <c r="E1054" i="2"/>
  <c r="E1055" i="2"/>
  <c r="G1056" i="2"/>
  <c r="E1057" i="2"/>
  <c r="G1046" i="2"/>
  <c r="G1049" i="2"/>
  <c r="G1050" i="2"/>
  <c r="G1051" i="2"/>
  <c r="G1054" i="2"/>
  <c r="N20" i="19"/>
  <c r="N7" i="19" s="1"/>
  <c r="P7" i="19" s="1"/>
  <c r="E1046" i="2" s="1"/>
  <c r="R20" i="19"/>
  <c r="O20" i="19"/>
  <c r="W66" i="17"/>
  <c r="W65" i="17"/>
  <c r="W63" i="17"/>
  <c r="W62" i="17"/>
  <c r="W58" i="17"/>
  <c r="W57" i="17"/>
  <c r="W53" i="17"/>
  <c r="W52" i="17"/>
  <c r="W48" i="17"/>
  <c r="W47" i="17"/>
  <c r="W40" i="17"/>
  <c r="W37" i="17"/>
  <c r="W36" i="17"/>
  <c r="W32" i="17"/>
  <c r="W31" i="17"/>
  <c r="W27" i="17"/>
  <c r="W26" i="17"/>
  <c r="W22" i="17"/>
  <c r="W21" i="17"/>
  <c r="W17" i="17"/>
  <c r="W16" i="17"/>
  <c r="W12" i="17"/>
  <c r="W11" i="17"/>
  <c r="W7" i="17"/>
  <c r="W6" i="17"/>
  <c r="H1051" i="2" l="1"/>
  <c r="H1046" i="2"/>
  <c r="H1048" i="2"/>
  <c r="H1052" i="2"/>
  <c r="H1050" i="2"/>
  <c r="H1047" i="2"/>
  <c r="H1056" i="2"/>
  <c r="H1054" i="2"/>
  <c r="S20" i="19"/>
  <c r="G1058" i="2" s="1"/>
  <c r="H1055" i="2"/>
  <c r="H1057" i="2"/>
  <c r="W41" i="17"/>
  <c r="W71" i="17"/>
  <c r="H1049" i="2"/>
  <c r="W67" i="17"/>
  <c r="E1053" i="2"/>
  <c r="W42" i="17"/>
  <c r="P20" i="19"/>
  <c r="E1058" i="2" s="1"/>
  <c r="G1053" i="2"/>
  <c r="W70" i="17"/>
  <c r="W68" i="17"/>
  <c r="W72" i="17" l="1"/>
  <c r="G1045" i="2"/>
  <c r="E1045" i="2"/>
  <c r="H1053" i="2"/>
  <c r="H1058" i="2"/>
  <c r="W73" i="17"/>
  <c r="H1045" i="2" l="1"/>
  <c r="J1047" i="2" s="1"/>
  <c r="AQ455" i="2"/>
  <c r="AQ463" i="2"/>
  <c r="AQ468" i="2"/>
  <c r="AQ491" i="2"/>
  <c r="AQ499" i="2"/>
  <c r="AQ504" i="2"/>
  <c r="AO365" i="2"/>
  <c r="AO373" i="2"/>
  <c r="AO378" i="2"/>
  <c r="Q4" i="18"/>
  <c r="J1046" i="2" l="1"/>
  <c r="J1057" i="2"/>
  <c r="J1054" i="2"/>
  <c r="J1048" i="2"/>
  <c r="J1053" i="2"/>
  <c r="J1058" i="2"/>
  <c r="J1056" i="2"/>
  <c r="J1050" i="2"/>
  <c r="J1051" i="2"/>
  <c r="J1049" i="2"/>
  <c r="J1052" i="2"/>
  <c r="J1055" i="2"/>
  <c r="KI82" i="5" l="1"/>
  <c r="AQ492" i="2" s="1"/>
  <c r="KI83" i="5"/>
  <c r="AQ493" i="2" s="1"/>
  <c r="KI84" i="5"/>
  <c r="AQ494" i="2" s="1"/>
  <c r="KI85" i="5"/>
  <c r="AQ495" i="2" s="1"/>
  <c r="KI86" i="5"/>
  <c r="AQ496" i="2" s="1"/>
  <c r="KI87" i="5"/>
  <c r="AQ497" i="2" s="1"/>
  <c r="KI88" i="5"/>
  <c r="AQ498" i="2" s="1"/>
  <c r="KI90" i="5"/>
  <c r="AQ500" i="2" s="1"/>
  <c r="KI91" i="5"/>
  <c r="AQ501" i="2" s="1"/>
  <c r="KI92" i="5"/>
  <c r="AQ502" i="2" s="1"/>
  <c r="KI93" i="5"/>
  <c r="AQ503" i="2" s="1"/>
  <c r="KI66" i="5"/>
  <c r="AQ456" i="2" s="1"/>
  <c r="KI67" i="5"/>
  <c r="AQ457" i="2" s="1"/>
  <c r="KI68" i="5"/>
  <c r="AQ458" i="2" s="1"/>
  <c r="KI69" i="5"/>
  <c r="AQ459" i="2" s="1"/>
  <c r="KI70" i="5"/>
  <c r="AQ460" i="2" s="1"/>
  <c r="KI71" i="5"/>
  <c r="AQ461" i="2" s="1"/>
  <c r="KI72" i="5"/>
  <c r="AQ462" i="2" s="1"/>
  <c r="KI74" i="5"/>
  <c r="AQ464" i="2" s="1"/>
  <c r="KI75" i="5"/>
  <c r="AQ465" i="2" s="1"/>
  <c r="KI76" i="5"/>
  <c r="AQ466" i="2" s="1"/>
  <c r="KI77" i="5"/>
  <c r="AQ467" i="2" s="1"/>
  <c r="KI46" i="5"/>
  <c r="KI102" i="5" s="1"/>
  <c r="AQ534" i="2" s="1"/>
  <c r="KI47" i="5"/>
  <c r="KI100" i="5" s="1"/>
  <c r="AQ532" i="2" s="1"/>
  <c r="KI48" i="5"/>
  <c r="KI97" i="5" s="1"/>
  <c r="AQ529" i="2" s="1"/>
  <c r="KI49" i="5"/>
  <c r="KI106" i="5" s="1"/>
  <c r="AQ538" i="2" s="1"/>
  <c r="KI50" i="5"/>
  <c r="KI108" i="5" s="1"/>
  <c r="AQ540" i="2" s="1"/>
  <c r="KI51" i="5"/>
  <c r="KI98" i="5" s="1"/>
  <c r="AQ530" i="2" s="1"/>
  <c r="KI52" i="5"/>
  <c r="KI101" i="5" s="1"/>
  <c r="AQ533" i="2" s="1"/>
  <c r="KI53" i="5"/>
  <c r="KI105" i="5" s="1"/>
  <c r="AQ537" i="2" s="1"/>
  <c r="KI54" i="5"/>
  <c r="KI103" i="5" s="1"/>
  <c r="AQ535" i="2" s="1"/>
  <c r="KI55" i="5"/>
  <c r="KI99" i="5" s="1"/>
  <c r="AQ531" i="2" s="1"/>
  <c r="KI56" i="5"/>
  <c r="KI107" i="5" s="1"/>
  <c r="AQ539" i="2" s="1"/>
  <c r="HW82" i="5"/>
  <c r="HW83" i="5"/>
  <c r="HW84" i="5"/>
  <c r="HW85" i="5"/>
  <c r="HW86" i="5"/>
  <c r="HW87" i="5"/>
  <c r="HW88" i="5"/>
  <c r="HW90" i="5"/>
  <c r="HW91" i="5"/>
  <c r="HW92" i="5"/>
  <c r="HW93" i="5"/>
  <c r="HW66" i="5"/>
  <c r="AO366" i="2" s="1"/>
  <c r="HW67" i="5"/>
  <c r="AO367" i="2" s="1"/>
  <c r="HW68" i="5"/>
  <c r="AO368" i="2" s="1"/>
  <c r="HW69" i="5"/>
  <c r="AO369" i="2" s="1"/>
  <c r="HW70" i="5"/>
  <c r="AO370" i="2" s="1"/>
  <c r="HW71" i="5"/>
  <c r="AO371" i="2" s="1"/>
  <c r="HW72" i="5"/>
  <c r="AO372" i="2" s="1"/>
  <c r="HW74" i="5"/>
  <c r="AO374" i="2" s="1"/>
  <c r="HW75" i="5"/>
  <c r="AO375" i="2" s="1"/>
  <c r="HW76" i="5"/>
  <c r="AO376" i="2" s="1"/>
  <c r="HW77" i="5"/>
  <c r="AO377" i="2" s="1"/>
  <c r="HW46" i="5"/>
  <c r="HW102" i="5" s="1"/>
  <c r="HW47" i="5"/>
  <c r="HW100" i="5" s="1"/>
  <c r="HW48" i="5"/>
  <c r="HW97" i="5" s="1"/>
  <c r="HW49" i="5"/>
  <c r="HW106" i="5" s="1"/>
  <c r="HW50" i="5"/>
  <c r="HW108" i="5" s="1"/>
  <c r="HW51" i="5"/>
  <c r="HW98" i="5" s="1"/>
  <c r="HW52" i="5"/>
  <c r="HW101" i="5" s="1"/>
  <c r="HW53" i="5"/>
  <c r="HW105" i="5" s="1"/>
  <c r="HW54" i="5"/>
  <c r="HW103" i="5" s="1"/>
  <c r="HW55" i="5"/>
  <c r="HW99" i="5" s="1"/>
  <c r="HW56" i="5"/>
  <c r="HW107" i="5" s="1"/>
  <c r="AQ528" i="2" l="1"/>
  <c r="AQ536" i="2"/>
  <c r="AQ541" i="2"/>
  <c r="G1029" i="2"/>
  <c r="E1029" i="2"/>
  <c r="G1042" i="2"/>
  <c r="G1037" i="2"/>
  <c r="E1042" i="2"/>
  <c r="E1037" i="2"/>
  <c r="G1041" i="2"/>
  <c r="G1040" i="2"/>
  <c r="G1039" i="2"/>
  <c r="G1038" i="2"/>
  <c r="G1036" i="2"/>
  <c r="G1035" i="2"/>
  <c r="G1034" i="2"/>
  <c r="G1033" i="2"/>
  <c r="G1032" i="2"/>
  <c r="G1031" i="2"/>
  <c r="G1030" i="2"/>
  <c r="E1041" i="2"/>
  <c r="E1040" i="2"/>
  <c r="E1039" i="2"/>
  <c r="E1038" i="2"/>
  <c r="E1036" i="2"/>
  <c r="E1035" i="2"/>
  <c r="E1034" i="2"/>
  <c r="E1033" i="2"/>
  <c r="E1032" i="2"/>
  <c r="E1031" i="2"/>
  <c r="E1030" i="2"/>
  <c r="W751" i="10"/>
  <c r="H1037" i="2" l="1"/>
  <c r="H1029" i="2"/>
  <c r="H1042" i="2"/>
  <c r="H1040" i="2"/>
  <c r="H1041" i="2"/>
  <c r="H1038" i="2"/>
  <c r="H1039" i="2"/>
  <c r="H1034" i="2"/>
  <c r="H1036" i="2"/>
  <c r="H1033" i="2"/>
  <c r="H1035" i="2"/>
  <c r="H1031" i="2"/>
  <c r="H1032" i="2"/>
  <c r="H1030" i="2"/>
  <c r="V66" i="17"/>
  <c r="U66" i="17"/>
  <c r="T66" i="17"/>
  <c r="S66" i="17"/>
  <c r="R66" i="17"/>
  <c r="P66" i="17"/>
  <c r="P71" i="17" s="1"/>
  <c r="N66" i="17"/>
  <c r="M66" i="17"/>
  <c r="M71" i="17" s="1"/>
  <c r="L66" i="17"/>
  <c r="I66" i="17"/>
  <c r="I71" i="17" s="1"/>
  <c r="H66" i="17"/>
  <c r="G66" i="17"/>
  <c r="F66" i="17"/>
  <c r="E66" i="17"/>
  <c r="V65" i="17"/>
  <c r="U65" i="17"/>
  <c r="T65" i="17"/>
  <c r="S65" i="17"/>
  <c r="R65" i="17"/>
  <c r="P65" i="17"/>
  <c r="P70" i="17" s="1"/>
  <c r="O65" i="17"/>
  <c r="N65" i="17"/>
  <c r="M65" i="17"/>
  <c r="L65" i="17"/>
  <c r="I65" i="17"/>
  <c r="H65" i="17"/>
  <c r="G65" i="17"/>
  <c r="F65" i="17"/>
  <c r="E65" i="17"/>
  <c r="V63" i="17"/>
  <c r="U63" i="17"/>
  <c r="T63" i="17"/>
  <c r="S63" i="17"/>
  <c r="R63" i="17"/>
  <c r="P63" i="17"/>
  <c r="O63" i="17"/>
  <c r="N63" i="17"/>
  <c r="M63" i="17"/>
  <c r="L63" i="17"/>
  <c r="I63" i="17"/>
  <c r="H63" i="17"/>
  <c r="G63" i="17"/>
  <c r="F63" i="17"/>
  <c r="E63" i="17"/>
  <c r="V62" i="17"/>
  <c r="U62" i="17"/>
  <c r="T62" i="17"/>
  <c r="S62" i="17"/>
  <c r="R62" i="17"/>
  <c r="P62" i="17"/>
  <c r="O62" i="17"/>
  <c r="N62" i="17"/>
  <c r="M62" i="17"/>
  <c r="L62" i="17"/>
  <c r="I62" i="17"/>
  <c r="H62" i="17"/>
  <c r="G62" i="17"/>
  <c r="F62" i="17"/>
  <c r="E62" i="17"/>
  <c r="V58" i="17"/>
  <c r="U58" i="17"/>
  <c r="T58" i="17"/>
  <c r="S58" i="17"/>
  <c r="R58" i="17"/>
  <c r="P58" i="17"/>
  <c r="O58" i="17"/>
  <c r="N58" i="17"/>
  <c r="M58" i="17"/>
  <c r="L58" i="17"/>
  <c r="I58" i="17"/>
  <c r="H58" i="17"/>
  <c r="G58" i="17"/>
  <c r="F58" i="17"/>
  <c r="E58" i="17"/>
  <c r="V57" i="17"/>
  <c r="U57" i="17"/>
  <c r="T57" i="17"/>
  <c r="S57" i="17"/>
  <c r="R57" i="17"/>
  <c r="P57" i="17"/>
  <c r="O57" i="17"/>
  <c r="N57" i="17"/>
  <c r="M57" i="17"/>
  <c r="L57" i="17"/>
  <c r="I57" i="17"/>
  <c r="H57" i="17"/>
  <c r="G57" i="17"/>
  <c r="F57" i="17"/>
  <c r="E57" i="17"/>
  <c r="V53" i="17"/>
  <c r="U53" i="17"/>
  <c r="T53" i="17"/>
  <c r="S53" i="17"/>
  <c r="R53" i="17"/>
  <c r="P53" i="17"/>
  <c r="O53" i="17"/>
  <c r="N53" i="17"/>
  <c r="M53" i="17"/>
  <c r="L53" i="17"/>
  <c r="I53" i="17"/>
  <c r="H53" i="17"/>
  <c r="G53" i="17"/>
  <c r="F53" i="17"/>
  <c r="E53" i="17"/>
  <c r="V52" i="17"/>
  <c r="U52" i="17"/>
  <c r="T52" i="17"/>
  <c r="S52" i="17"/>
  <c r="R52" i="17"/>
  <c r="P52" i="17"/>
  <c r="O52" i="17"/>
  <c r="N52" i="17"/>
  <c r="M52" i="17"/>
  <c r="L52" i="17"/>
  <c r="I52" i="17"/>
  <c r="H52" i="17"/>
  <c r="G52" i="17"/>
  <c r="F52" i="17"/>
  <c r="E52" i="17"/>
  <c r="V48" i="17"/>
  <c r="U48" i="17"/>
  <c r="T48" i="17"/>
  <c r="S48" i="17"/>
  <c r="R48" i="17"/>
  <c r="P48" i="17"/>
  <c r="O48" i="17"/>
  <c r="N48" i="17"/>
  <c r="M48" i="17"/>
  <c r="L48" i="17"/>
  <c r="I48" i="17"/>
  <c r="H48" i="17"/>
  <c r="G48" i="17"/>
  <c r="F48" i="17"/>
  <c r="E48" i="17"/>
  <c r="V47" i="17"/>
  <c r="U47" i="17"/>
  <c r="T47" i="17"/>
  <c r="S47" i="17"/>
  <c r="R47" i="17"/>
  <c r="P47" i="17"/>
  <c r="O47" i="17"/>
  <c r="N47" i="17"/>
  <c r="M47" i="17"/>
  <c r="L47" i="17"/>
  <c r="I47" i="17"/>
  <c r="H47" i="17"/>
  <c r="G47" i="17"/>
  <c r="F47" i="17"/>
  <c r="E47" i="17"/>
  <c r="V40" i="17"/>
  <c r="U40" i="17"/>
  <c r="T40" i="17"/>
  <c r="S40" i="17"/>
  <c r="R40" i="17"/>
  <c r="P40" i="17"/>
  <c r="O40" i="17"/>
  <c r="M40" i="17"/>
  <c r="L40" i="17"/>
  <c r="I40" i="17"/>
  <c r="H40" i="17"/>
  <c r="G40" i="17"/>
  <c r="F40" i="17"/>
  <c r="E40" i="17"/>
  <c r="V39" i="17"/>
  <c r="U39" i="17"/>
  <c r="T39" i="17"/>
  <c r="S39" i="17"/>
  <c r="R39" i="17"/>
  <c r="P39" i="17"/>
  <c r="O39" i="17"/>
  <c r="N39" i="17"/>
  <c r="M39" i="17"/>
  <c r="L39" i="17"/>
  <c r="I39" i="17"/>
  <c r="H39" i="17"/>
  <c r="G39" i="17"/>
  <c r="F39" i="17"/>
  <c r="E39" i="17"/>
  <c r="V37" i="17"/>
  <c r="U37" i="17"/>
  <c r="T37" i="17"/>
  <c r="S37" i="17"/>
  <c r="R37" i="17"/>
  <c r="P37" i="17"/>
  <c r="O37" i="17"/>
  <c r="N37" i="17"/>
  <c r="M37" i="17"/>
  <c r="L37" i="17"/>
  <c r="I37" i="17"/>
  <c r="H37" i="17"/>
  <c r="G37" i="17"/>
  <c r="F37" i="17"/>
  <c r="E37" i="17"/>
  <c r="V36" i="17"/>
  <c r="U36" i="17"/>
  <c r="T36" i="17"/>
  <c r="S36" i="17"/>
  <c r="R36" i="17"/>
  <c r="P36" i="17"/>
  <c r="O36" i="17"/>
  <c r="N36" i="17"/>
  <c r="M36" i="17"/>
  <c r="L36" i="17"/>
  <c r="I36" i="17"/>
  <c r="H36" i="17"/>
  <c r="G36" i="17"/>
  <c r="F36" i="17"/>
  <c r="E36" i="17"/>
  <c r="V32" i="17"/>
  <c r="U32" i="17"/>
  <c r="T32" i="17"/>
  <c r="S32" i="17"/>
  <c r="R32" i="17"/>
  <c r="P32" i="17"/>
  <c r="O32" i="17"/>
  <c r="N32" i="17"/>
  <c r="M32" i="17"/>
  <c r="L32" i="17"/>
  <c r="I32" i="17"/>
  <c r="H32" i="17"/>
  <c r="G32" i="17"/>
  <c r="F32" i="17"/>
  <c r="E32" i="17"/>
  <c r="V31" i="17"/>
  <c r="U31" i="17"/>
  <c r="T31" i="17"/>
  <c r="S31" i="17"/>
  <c r="R31" i="17"/>
  <c r="P31" i="17"/>
  <c r="O31" i="17"/>
  <c r="N31" i="17"/>
  <c r="M31" i="17"/>
  <c r="L31" i="17"/>
  <c r="I31" i="17"/>
  <c r="H31" i="17"/>
  <c r="G31" i="17"/>
  <c r="F31" i="17"/>
  <c r="E31" i="17"/>
  <c r="V27" i="17"/>
  <c r="U27" i="17"/>
  <c r="T27" i="17"/>
  <c r="S27" i="17"/>
  <c r="R27" i="17"/>
  <c r="P27" i="17"/>
  <c r="O27" i="17"/>
  <c r="N27" i="17"/>
  <c r="M27" i="17"/>
  <c r="L27" i="17"/>
  <c r="I27" i="17"/>
  <c r="H27" i="17"/>
  <c r="G27" i="17"/>
  <c r="F27" i="17"/>
  <c r="E27" i="17"/>
  <c r="V26" i="17"/>
  <c r="U26" i="17"/>
  <c r="T26" i="17"/>
  <c r="S26" i="17"/>
  <c r="R26" i="17"/>
  <c r="P26" i="17"/>
  <c r="O26" i="17"/>
  <c r="N26" i="17"/>
  <c r="M26" i="17"/>
  <c r="L26" i="17"/>
  <c r="I26" i="17"/>
  <c r="H26" i="17"/>
  <c r="G26" i="17"/>
  <c r="F26" i="17"/>
  <c r="E26" i="17"/>
  <c r="V22" i="17"/>
  <c r="U22" i="17"/>
  <c r="T22" i="17"/>
  <c r="S22" i="17"/>
  <c r="R22" i="17"/>
  <c r="P22" i="17"/>
  <c r="O22" i="17"/>
  <c r="N22" i="17"/>
  <c r="M22" i="17"/>
  <c r="L22" i="17"/>
  <c r="I22" i="17"/>
  <c r="H22" i="17"/>
  <c r="G22" i="17"/>
  <c r="F22" i="17"/>
  <c r="E22" i="17"/>
  <c r="V21" i="17"/>
  <c r="U21" i="17"/>
  <c r="T21" i="17"/>
  <c r="S21" i="17"/>
  <c r="R21" i="17"/>
  <c r="P21" i="17"/>
  <c r="O21" i="17"/>
  <c r="N21" i="17"/>
  <c r="M21" i="17"/>
  <c r="L21" i="17"/>
  <c r="I21" i="17"/>
  <c r="H21" i="17"/>
  <c r="G21" i="17"/>
  <c r="F21" i="17"/>
  <c r="E21" i="17"/>
  <c r="V17" i="17"/>
  <c r="U17" i="17"/>
  <c r="T17" i="17"/>
  <c r="S17" i="17"/>
  <c r="R17" i="17"/>
  <c r="P17" i="17"/>
  <c r="O17" i="17"/>
  <c r="N17" i="17"/>
  <c r="M17" i="17"/>
  <c r="L17" i="17"/>
  <c r="I17" i="17"/>
  <c r="H17" i="17"/>
  <c r="G17" i="17"/>
  <c r="F17" i="17"/>
  <c r="E17" i="17"/>
  <c r="V16" i="17"/>
  <c r="U16" i="17"/>
  <c r="T16" i="17"/>
  <c r="S16" i="17"/>
  <c r="R16" i="17"/>
  <c r="P16" i="17"/>
  <c r="O16" i="17"/>
  <c r="N16" i="17"/>
  <c r="M16" i="17"/>
  <c r="L16" i="17"/>
  <c r="I16" i="17"/>
  <c r="H16" i="17"/>
  <c r="G16" i="17"/>
  <c r="F16" i="17"/>
  <c r="E16" i="17"/>
  <c r="V12" i="17"/>
  <c r="U12" i="17"/>
  <c r="T12" i="17"/>
  <c r="S12" i="17"/>
  <c r="R12" i="17"/>
  <c r="P12" i="17"/>
  <c r="O12" i="17"/>
  <c r="N12" i="17"/>
  <c r="M12" i="17"/>
  <c r="L12" i="17"/>
  <c r="I12" i="17"/>
  <c r="H12" i="17"/>
  <c r="G12" i="17"/>
  <c r="F12" i="17"/>
  <c r="E12" i="17"/>
  <c r="V11" i="17"/>
  <c r="U11" i="17"/>
  <c r="T11" i="17"/>
  <c r="S11" i="17"/>
  <c r="R11" i="17"/>
  <c r="P11" i="17"/>
  <c r="O11" i="17"/>
  <c r="N11" i="17"/>
  <c r="M11" i="17"/>
  <c r="L11" i="17"/>
  <c r="I11" i="17"/>
  <c r="H11" i="17"/>
  <c r="G11" i="17"/>
  <c r="F11" i="17"/>
  <c r="E11" i="17"/>
  <c r="V7" i="17"/>
  <c r="U7" i="17"/>
  <c r="T7" i="17"/>
  <c r="S7" i="17"/>
  <c r="R7" i="17"/>
  <c r="P7" i="17"/>
  <c r="O7" i="17"/>
  <c r="N7" i="17"/>
  <c r="M7" i="17"/>
  <c r="L7" i="17"/>
  <c r="I7" i="17"/>
  <c r="H7" i="17"/>
  <c r="G7" i="17"/>
  <c r="F7" i="17"/>
  <c r="E7" i="17"/>
  <c r="V6" i="17"/>
  <c r="U6" i="17"/>
  <c r="T6" i="17"/>
  <c r="S6" i="17"/>
  <c r="R6" i="17"/>
  <c r="P6" i="17"/>
  <c r="O6" i="17"/>
  <c r="N6" i="17"/>
  <c r="M6" i="17"/>
  <c r="L6" i="17"/>
  <c r="I6" i="17"/>
  <c r="H6" i="17"/>
  <c r="G6" i="17"/>
  <c r="F6" i="17"/>
  <c r="E6" i="17"/>
  <c r="Q31" i="17" l="1"/>
  <c r="BC11" i="17" s="1"/>
  <c r="E1019" i="2" s="1"/>
  <c r="Q40" i="17"/>
  <c r="Q36" i="17"/>
  <c r="BC7" i="17" s="1"/>
  <c r="E1015" i="2" s="1"/>
  <c r="Q47" i="17"/>
  <c r="Q52" i="17"/>
  <c r="BC13" i="17" s="1"/>
  <c r="E1021" i="2" s="1"/>
  <c r="Q39" i="17"/>
  <c r="Q26" i="17"/>
  <c r="BC9" i="17" s="1"/>
  <c r="E1017" i="2" s="1"/>
  <c r="Q21" i="17"/>
  <c r="BC6" i="17" s="1"/>
  <c r="E1014" i="2" s="1"/>
  <c r="Q66" i="17"/>
  <c r="Q16" i="17"/>
  <c r="BC5" i="17" s="1"/>
  <c r="E1013" i="2" s="1"/>
  <c r="BF14" i="17"/>
  <c r="G1022" i="2" s="1"/>
  <c r="Q65" i="17"/>
  <c r="Q11" i="17"/>
  <c r="BC10" i="17" s="1"/>
  <c r="E1018" i="2" s="1"/>
  <c r="Q62" i="17"/>
  <c r="BC15" i="17" s="1"/>
  <c r="E1023" i="2" s="1"/>
  <c r="Q57" i="17"/>
  <c r="BC16" i="17" s="1"/>
  <c r="E1024" i="2" s="1"/>
  <c r="Q6" i="17"/>
  <c r="BC8" i="17" s="1"/>
  <c r="E1016" i="2" s="1"/>
  <c r="BF5" i="17"/>
  <c r="G1013" i="2" s="1"/>
  <c r="N71" i="17"/>
  <c r="BF9" i="17"/>
  <c r="G1017" i="2" s="1"/>
  <c r="BF13" i="17"/>
  <c r="G1021" i="2" s="1"/>
  <c r="BF11" i="17"/>
  <c r="G1019" i="2" s="1"/>
  <c r="BC14" i="17"/>
  <c r="E1022" i="2" s="1"/>
  <c r="BF7" i="17"/>
  <c r="G1015" i="2" s="1"/>
  <c r="BF6" i="17"/>
  <c r="G1014" i="2" s="1"/>
  <c r="BF15" i="17"/>
  <c r="G1023" i="2" s="1"/>
  <c r="BF8" i="17"/>
  <c r="G1016" i="2" s="1"/>
  <c r="L70" i="17"/>
  <c r="O68" i="17"/>
  <c r="I68" i="17"/>
  <c r="H67" i="17"/>
  <c r="M67" i="17"/>
  <c r="V70" i="17"/>
  <c r="S68" i="17"/>
  <c r="G68" i="17"/>
  <c r="N67" i="17"/>
  <c r="F67" i="17"/>
  <c r="N41" i="17"/>
  <c r="S41" i="17"/>
  <c r="P67" i="17"/>
  <c r="T41" i="17"/>
  <c r="R67" i="17"/>
  <c r="BD17" i="17"/>
  <c r="S67" i="17"/>
  <c r="M41" i="17"/>
  <c r="T68" i="17"/>
  <c r="U71" i="17"/>
  <c r="M42" i="17"/>
  <c r="V71" i="17"/>
  <c r="V41" i="17"/>
  <c r="R41" i="17"/>
  <c r="O67" i="17"/>
  <c r="N42" i="17"/>
  <c r="BD10" i="17"/>
  <c r="H42" i="17"/>
  <c r="F41" i="17"/>
  <c r="N70" i="17"/>
  <c r="G41" i="17"/>
  <c r="U41" i="17"/>
  <c r="O70" i="17"/>
  <c r="G67" i="17"/>
  <c r="U68" i="17"/>
  <c r="E67" i="17"/>
  <c r="J1030" i="2"/>
  <c r="J1042" i="2"/>
  <c r="J1031" i="2"/>
  <c r="J1032" i="2"/>
  <c r="J1033" i="2"/>
  <c r="J1034" i="2"/>
  <c r="J1039" i="2"/>
  <c r="J1035" i="2"/>
  <c r="J1036" i="2"/>
  <c r="J1037" i="2"/>
  <c r="J1038" i="2"/>
  <c r="J1040" i="2"/>
  <c r="J1041" i="2"/>
  <c r="P73" i="17"/>
  <c r="H71" i="17"/>
  <c r="H68" i="17"/>
  <c r="V68" i="17"/>
  <c r="H41" i="17"/>
  <c r="E70" i="17"/>
  <c r="V42" i="17"/>
  <c r="O42" i="17"/>
  <c r="F70" i="17"/>
  <c r="U42" i="17"/>
  <c r="P68" i="17"/>
  <c r="E71" i="17"/>
  <c r="R71" i="17"/>
  <c r="E68" i="17"/>
  <c r="R68" i="17"/>
  <c r="L67" i="17"/>
  <c r="T71" i="17"/>
  <c r="I42" i="17"/>
  <c r="P41" i="17"/>
  <c r="L42" i="17"/>
  <c r="F71" i="17"/>
  <c r="S71" i="17"/>
  <c r="F68" i="17"/>
  <c r="S70" i="17"/>
  <c r="G71" i="17"/>
  <c r="T42" i="17"/>
  <c r="G70" i="17"/>
  <c r="T70" i="17"/>
  <c r="M70" i="17"/>
  <c r="M72" i="17" s="1"/>
  <c r="I41" i="17"/>
  <c r="R70" i="17"/>
  <c r="T67" i="17"/>
  <c r="L41" i="17"/>
  <c r="F42" i="17"/>
  <c r="R42" i="17"/>
  <c r="I67" i="17"/>
  <c r="U67" i="17"/>
  <c r="M68" i="17"/>
  <c r="P72" i="17"/>
  <c r="G42" i="17"/>
  <c r="S42" i="17"/>
  <c r="V67" i="17"/>
  <c r="N68" i="17"/>
  <c r="H70" i="17"/>
  <c r="L71" i="17"/>
  <c r="I70" i="17"/>
  <c r="I72" i="17" s="1"/>
  <c r="U70" i="17"/>
  <c r="E42" i="17"/>
  <c r="P42" i="17"/>
  <c r="L68" i="17"/>
  <c r="O41" i="17"/>
  <c r="E41" i="17"/>
  <c r="V73" i="17" l="1"/>
  <c r="Q41" i="17"/>
  <c r="Q67" i="17"/>
  <c r="Q71" i="17"/>
  <c r="Q70" i="17"/>
  <c r="Q42" i="17"/>
  <c r="N72" i="17"/>
  <c r="Q68" i="17"/>
  <c r="H1013" i="2"/>
  <c r="BD12" i="17"/>
  <c r="BD4" i="17" s="1"/>
  <c r="V72" i="17"/>
  <c r="H1014" i="2"/>
  <c r="U73" i="17"/>
  <c r="BF10" i="17"/>
  <c r="G1018" i="2" s="1"/>
  <c r="H1018" i="2" s="1"/>
  <c r="E73" i="17"/>
  <c r="S72" i="17"/>
  <c r="E72" i="17"/>
  <c r="T73" i="17"/>
  <c r="O73" i="17"/>
  <c r="N73" i="17"/>
  <c r="G73" i="17"/>
  <c r="H1019" i="2"/>
  <c r="H1023" i="2"/>
  <c r="BE17" i="17"/>
  <c r="BF17" i="17" s="1"/>
  <c r="G1025" i="2" s="1"/>
  <c r="BF16" i="17"/>
  <c r="G1024" i="2" s="1"/>
  <c r="H1024" i="2" s="1"/>
  <c r="H1016" i="2"/>
  <c r="I73" i="17"/>
  <c r="H1015" i="2"/>
  <c r="H1022" i="2"/>
  <c r="BE12" i="17"/>
  <c r="BC17" i="17"/>
  <c r="E1025" i="2" s="1"/>
  <c r="H1021" i="2"/>
  <c r="H1017" i="2"/>
  <c r="M73" i="17"/>
  <c r="T72" i="17"/>
  <c r="U72" i="17"/>
  <c r="R73" i="17"/>
  <c r="S73" i="17"/>
  <c r="F72" i="17"/>
  <c r="F73" i="17"/>
  <c r="R72" i="17"/>
  <c r="G72" i="17"/>
  <c r="O72" i="17"/>
  <c r="L72" i="17"/>
  <c r="L73" i="17"/>
  <c r="H72" i="17"/>
  <c r="H73" i="17"/>
  <c r="Q73" i="17" l="1"/>
  <c r="Q72" i="17"/>
  <c r="BF12" i="17"/>
  <c r="G1020" i="2" s="1"/>
  <c r="H1025" i="2"/>
  <c r="BE4" i="17"/>
  <c r="BC4" i="17"/>
  <c r="E1012" i="2" s="1"/>
  <c r="BC12" i="17"/>
  <c r="E1020" i="2" s="1"/>
  <c r="BF4" i="17" l="1"/>
  <c r="G1012" i="2" s="1"/>
  <c r="H1012" i="2" s="1"/>
  <c r="H1020" i="2"/>
  <c r="AN365" i="2"/>
  <c r="AN373" i="2"/>
  <c r="AN378" i="2"/>
  <c r="AP455" i="2"/>
  <c r="AP463" i="2"/>
  <c r="AP468" i="2"/>
  <c r="AP491" i="2"/>
  <c r="AP499" i="2"/>
  <c r="AP504" i="2"/>
  <c r="J1015" i="2" l="1"/>
  <c r="J1019" i="2"/>
  <c r="J1014" i="2"/>
  <c r="J1021" i="2"/>
  <c r="J1024" i="2"/>
  <c r="J1013" i="2"/>
  <c r="J1025" i="2"/>
  <c r="J1018" i="2"/>
  <c r="J1020" i="2"/>
  <c r="J1022" i="2"/>
  <c r="J1016" i="2"/>
  <c r="J1017" i="2"/>
  <c r="J1023" i="2"/>
  <c r="KH66" i="5"/>
  <c r="AP456" i="2" s="1"/>
  <c r="KH67" i="5"/>
  <c r="AP457" i="2" s="1"/>
  <c r="KH68" i="5"/>
  <c r="AP458" i="2" s="1"/>
  <c r="KH69" i="5"/>
  <c r="AP459" i="2" s="1"/>
  <c r="KH70" i="5"/>
  <c r="AP460" i="2" s="1"/>
  <c r="KH71" i="5"/>
  <c r="AP461" i="2" s="1"/>
  <c r="KH72" i="5"/>
  <c r="AP462" i="2" s="1"/>
  <c r="KH74" i="5"/>
  <c r="AP464" i="2" s="1"/>
  <c r="KH75" i="5"/>
  <c r="AP465" i="2" s="1"/>
  <c r="KH76" i="5"/>
  <c r="AP466" i="2" s="1"/>
  <c r="KH77" i="5"/>
  <c r="AP467" i="2" s="1"/>
  <c r="KH82" i="5"/>
  <c r="AP492" i="2" s="1"/>
  <c r="KH83" i="5"/>
  <c r="AP493" i="2" s="1"/>
  <c r="KH84" i="5"/>
  <c r="AP494" i="2" s="1"/>
  <c r="KH85" i="5"/>
  <c r="AP495" i="2" s="1"/>
  <c r="KH86" i="5"/>
  <c r="AP496" i="2" s="1"/>
  <c r="KH87" i="5"/>
  <c r="AP497" i="2" s="1"/>
  <c r="KH88" i="5"/>
  <c r="AP498" i="2" s="1"/>
  <c r="KH90" i="5"/>
  <c r="AP500" i="2" s="1"/>
  <c r="KH91" i="5"/>
  <c r="AP501" i="2" s="1"/>
  <c r="KH92" i="5"/>
  <c r="AP502" i="2" s="1"/>
  <c r="KH93" i="5"/>
  <c r="AP503" i="2" s="1"/>
  <c r="KH46" i="5"/>
  <c r="KH47" i="5"/>
  <c r="KH100" i="5" s="1"/>
  <c r="AP532" i="2" s="1"/>
  <c r="KH48" i="5"/>
  <c r="KH97" i="5" s="1"/>
  <c r="AP529" i="2" s="1"/>
  <c r="KH49" i="5"/>
  <c r="KH50" i="5"/>
  <c r="KH108" i="5" s="1"/>
  <c r="AP540" i="2" s="1"/>
  <c r="KH51" i="5"/>
  <c r="KH98" i="5" s="1"/>
  <c r="AP530" i="2" s="1"/>
  <c r="KH52" i="5"/>
  <c r="KH101" i="5" s="1"/>
  <c r="AP533" i="2" s="1"/>
  <c r="KH53" i="5"/>
  <c r="KH105" i="5" s="1"/>
  <c r="AP537" i="2" s="1"/>
  <c r="KH54" i="5"/>
  <c r="KH103" i="5" s="1"/>
  <c r="AP535" i="2" s="1"/>
  <c r="KH55" i="5"/>
  <c r="KH99" i="5" s="1"/>
  <c r="AP531" i="2" s="1"/>
  <c r="KH56" i="5"/>
  <c r="KH107" i="5" s="1"/>
  <c r="AP539" i="2" s="1"/>
  <c r="HV66" i="5"/>
  <c r="AN366" i="2" s="1"/>
  <c r="HV67" i="5"/>
  <c r="AN367" i="2" s="1"/>
  <c r="HV68" i="5"/>
  <c r="AN368" i="2" s="1"/>
  <c r="HV69" i="5"/>
  <c r="AN369" i="2" s="1"/>
  <c r="HV70" i="5"/>
  <c r="AN370" i="2" s="1"/>
  <c r="HV71" i="5"/>
  <c r="AN371" i="2" s="1"/>
  <c r="HV72" i="5"/>
  <c r="AN372" i="2" s="1"/>
  <c r="HV74" i="5"/>
  <c r="AN374" i="2" s="1"/>
  <c r="HV75" i="5"/>
  <c r="AN375" i="2" s="1"/>
  <c r="HV76" i="5"/>
  <c r="AN376" i="2" s="1"/>
  <c r="HV77" i="5"/>
  <c r="AN377" i="2" s="1"/>
  <c r="HV82" i="5"/>
  <c r="HV83" i="5"/>
  <c r="HV84" i="5"/>
  <c r="HV85" i="5"/>
  <c r="HV86" i="5"/>
  <c r="HV87" i="5"/>
  <c r="HV88" i="5"/>
  <c r="HV90" i="5"/>
  <c r="HV91" i="5"/>
  <c r="HV92" i="5"/>
  <c r="HV93" i="5"/>
  <c r="HV46" i="5"/>
  <c r="HV102" i="5" s="1"/>
  <c r="HV47" i="5"/>
  <c r="HV100" i="5" s="1"/>
  <c r="HV48" i="5"/>
  <c r="HV97" i="5" s="1"/>
  <c r="HV49" i="5"/>
  <c r="HV106" i="5" s="1"/>
  <c r="HV50" i="5"/>
  <c r="HV108" i="5" s="1"/>
  <c r="HV51" i="5"/>
  <c r="HV98" i="5" s="1"/>
  <c r="HV52" i="5"/>
  <c r="HV101" i="5" s="1"/>
  <c r="HV53" i="5"/>
  <c r="HV105" i="5" s="1"/>
  <c r="HV54" i="5"/>
  <c r="HV103" i="5" s="1"/>
  <c r="HV55" i="5"/>
  <c r="HV99" i="5" s="1"/>
  <c r="HV56" i="5"/>
  <c r="HV107" i="5" s="1"/>
  <c r="AP541" i="2" l="1"/>
  <c r="KH106" i="5"/>
  <c r="AP538" i="2" s="1"/>
  <c r="AP536" i="2"/>
  <c r="AP528" i="2"/>
  <c r="KH102" i="5"/>
  <c r="AP534" i="2" s="1"/>
  <c r="AO491" i="2"/>
  <c r="AO499" i="2"/>
  <c r="AO504" i="2"/>
  <c r="AO455" i="2"/>
  <c r="AO463" i="2"/>
  <c r="AO468" i="2"/>
  <c r="AM365" i="2"/>
  <c r="AM373" i="2"/>
  <c r="AM378" i="2"/>
  <c r="HU46" i="5" l="1"/>
  <c r="HU47" i="5"/>
  <c r="HU100" i="5" s="1"/>
  <c r="HU48" i="5"/>
  <c r="HU97" i="5" s="1"/>
  <c r="HU49" i="5"/>
  <c r="HU106" i="5" s="1"/>
  <c r="HU50" i="5"/>
  <c r="HU108" i="5" s="1"/>
  <c r="HU51" i="5"/>
  <c r="HU98" i="5" s="1"/>
  <c r="HU52" i="5"/>
  <c r="HU101" i="5" s="1"/>
  <c r="HU53" i="5"/>
  <c r="HU105" i="5" s="1"/>
  <c r="HU54" i="5"/>
  <c r="HU103" i="5" s="1"/>
  <c r="HU55" i="5"/>
  <c r="HU99" i="5" s="1"/>
  <c r="HU56" i="5"/>
  <c r="HU107" i="5" s="1"/>
  <c r="HU66" i="5"/>
  <c r="AM366" i="2" s="1"/>
  <c r="HU67" i="5"/>
  <c r="AM367" i="2" s="1"/>
  <c r="HU68" i="5"/>
  <c r="AM368" i="2" s="1"/>
  <c r="HU69" i="5"/>
  <c r="AM369" i="2" s="1"/>
  <c r="HU70" i="5"/>
  <c r="AM370" i="2" s="1"/>
  <c r="HU71" i="5"/>
  <c r="AM371" i="2" s="1"/>
  <c r="HU72" i="5"/>
  <c r="AM372" i="2" s="1"/>
  <c r="HU74" i="5"/>
  <c r="AM374" i="2" s="1"/>
  <c r="HU75" i="5"/>
  <c r="AM375" i="2" s="1"/>
  <c r="HU76" i="5"/>
  <c r="AM376" i="2" s="1"/>
  <c r="HU77" i="5"/>
  <c r="AM377" i="2" s="1"/>
  <c r="HU82" i="5"/>
  <c r="HU83" i="5"/>
  <c r="HU84" i="5"/>
  <c r="HU85" i="5"/>
  <c r="HU86" i="5"/>
  <c r="HU87" i="5"/>
  <c r="HU88" i="5"/>
  <c r="HU90" i="5"/>
  <c r="HU91" i="5"/>
  <c r="HU92" i="5"/>
  <c r="HU93" i="5"/>
  <c r="HU102" i="5"/>
  <c r="KG82" i="5"/>
  <c r="AO492" i="2" s="1"/>
  <c r="KG83" i="5"/>
  <c r="AO493" i="2" s="1"/>
  <c r="KG84" i="5"/>
  <c r="AO494" i="2" s="1"/>
  <c r="KG85" i="5"/>
  <c r="AO495" i="2" s="1"/>
  <c r="KG86" i="5"/>
  <c r="AO496" i="2" s="1"/>
  <c r="KG87" i="5"/>
  <c r="AO497" i="2" s="1"/>
  <c r="KG88" i="5"/>
  <c r="AO498" i="2" s="1"/>
  <c r="KG90" i="5"/>
  <c r="AO500" i="2" s="1"/>
  <c r="KG91" i="5"/>
  <c r="AO501" i="2" s="1"/>
  <c r="KG92" i="5"/>
  <c r="AO502" i="2" s="1"/>
  <c r="KG93" i="5"/>
  <c r="AO503" i="2" s="1"/>
  <c r="KG66" i="5"/>
  <c r="AO456" i="2" s="1"/>
  <c r="KG67" i="5"/>
  <c r="AO457" i="2" s="1"/>
  <c r="KG68" i="5"/>
  <c r="AO458" i="2" s="1"/>
  <c r="KG69" i="5"/>
  <c r="AO459" i="2" s="1"/>
  <c r="KG70" i="5"/>
  <c r="AO460" i="2" s="1"/>
  <c r="KG71" i="5"/>
  <c r="AO461" i="2" s="1"/>
  <c r="KG72" i="5"/>
  <c r="AO462" i="2" s="1"/>
  <c r="KG74" i="5"/>
  <c r="AO464" i="2" s="1"/>
  <c r="KG75" i="5"/>
  <c r="AO465" i="2" s="1"/>
  <c r="KG76" i="5"/>
  <c r="AO466" i="2" s="1"/>
  <c r="KG77" i="5"/>
  <c r="AO467" i="2" s="1"/>
  <c r="KG46" i="5"/>
  <c r="KG47" i="5"/>
  <c r="KG100" i="5" s="1"/>
  <c r="AO532" i="2" s="1"/>
  <c r="KG48" i="5"/>
  <c r="KG97" i="5" s="1"/>
  <c r="AO529" i="2" s="1"/>
  <c r="KG49" i="5"/>
  <c r="KG50" i="5"/>
  <c r="KG108" i="5" s="1"/>
  <c r="AO540" i="2" s="1"/>
  <c r="KG51" i="5"/>
  <c r="KG98" i="5" s="1"/>
  <c r="AO530" i="2" s="1"/>
  <c r="KG52" i="5"/>
  <c r="KG101" i="5" s="1"/>
  <c r="AO533" i="2" s="1"/>
  <c r="KG53" i="5"/>
  <c r="KG105" i="5" s="1"/>
  <c r="AO537" i="2" s="1"/>
  <c r="KG54" i="5"/>
  <c r="KG103" i="5" s="1"/>
  <c r="AO535" i="2" s="1"/>
  <c r="KG55" i="5"/>
  <c r="KG99" i="5" s="1"/>
  <c r="AO531" i="2" s="1"/>
  <c r="KG56" i="5"/>
  <c r="KG107" i="5" s="1"/>
  <c r="AO539" i="2" s="1"/>
  <c r="KG102" i="5" l="1"/>
  <c r="AO534" i="2" s="1"/>
  <c r="AO528" i="2"/>
  <c r="AO536" i="2"/>
  <c r="KG106" i="5"/>
  <c r="AO538" i="2" s="1"/>
  <c r="AO541" i="2"/>
  <c r="AN455" i="2"/>
  <c r="AN463" i="2"/>
  <c r="AN468" i="2"/>
  <c r="AN491" i="2"/>
  <c r="AN499" i="2"/>
  <c r="AN504" i="2"/>
  <c r="AL365" i="2"/>
  <c r="AL373" i="2"/>
  <c r="AL378" i="2"/>
  <c r="GI21" i="5"/>
  <c r="KF66" i="5"/>
  <c r="AN456" i="2" s="1"/>
  <c r="KF67" i="5"/>
  <c r="AN457" i="2" s="1"/>
  <c r="KF68" i="5"/>
  <c r="AN458" i="2" s="1"/>
  <c r="KF69" i="5"/>
  <c r="AN459" i="2" s="1"/>
  <c r="KF70" i="5"/>
  <c r="AN460" i="2" s="1"/>
  <c r="KF71" i="5"/>
  <c r="AN461" i="2" s="1"/>
  <c r="KF72" i="5"/>
  <c r="AN462" i="2" s="1"/>
  <c r="KF74" i="5"/>
  <c r="AN464" i="2" s="1"/>
  <c r="KF75" i="5"/>
  <c r="AN465" i="2" s="1"/>
  <c r="KF76" i="5"/>
  <c r="AN466" i="2" s="1"/>
  <c r="KF77" i="5"/>
  <c r="AN467" i="2" s="1"/>
  <c r="KF82" i="5"/>
  <c r="AN492" i="2" s="1"/>
  <c r="KF83" i="5"/>
  <c r="AN493" i="2" s="1"/>
  <c r="KF84" i="5"/>
  <c r="AN494" i="2" s="1"/>
  <c r="KF85" i="5"/>
  <c r="AN495" i="2" s="1"/>
  <c r="KF86" i="5"/>
  <c r="AN496" i="2" s="1"/>
  <c r="KF87" i="5"/>
  <c r="AN497" i="2" s="1"/>
  <c r="KF88" i="5"/>
  <c r="AN498" i="2" s="1"/>
  <c r="KF90" i="5"/>
  <c r="AN500" i="2" s="1"/>
  <c r="KF91" i="5"/>
  <c r="AN501" i="2" s="1"/>
  <c r="KF92" i="5"/>
  <c r="AN502" i="2" s="1"/>
  <c r="KF93" i="5"/>
  <c r="AN503" i="2" s="1"/>
  <c r="KF48" i="5"/>
  <c r="KF97" i="5" s="1"/>
  <c r="AN529" i="2" s="1"/>
  <c r="KF51" i="5"/>
  <c r="KF98" i="5" s="1"/>
  <c r="AN530" i="2" s="1"/>
  <c r="KF55" i="5"/>
  <c r="KF99" i="5" s="1"/>
  <c r="AN531" i="2" s="1"/>
  <c r="KF47" i="5"/>
  <c r="KF100" i="5" s="1"/>
  <c r="AN532" i="2" s="1"/>
  <c r="KF52" i="5"/>
  <c r="KF101" i="5" s="1"/>
  <c r="AN533" i="2" s="1"/>
  <c r="KF46" i="5"/>
  <c r="KF54" i="5"/>
  <c r="KF103" i="5" s="1"/>
  <c r="AN535" i="2" s="1"/>
  <c r="KF53" i="5"/>
  <c r="KF105" i="5" s="1"/>
  <c r="AN537" i="2" s="1"/>
  <c r="KF49" i="5"/>
  <c r="KF56" i="5"/>
  <c r="KF107" i="5" s="1"/>
  <c r="AN539" i="2" s="1"/>
  <c r="KF50" i="5"/>
  <c r="KF108" i="5" s="1"/>
  <c r="AN540" i="2" s="1"/>
  <c r="HT66" i="5"/>
  <c r="AL366" i="2" s="1"/>
  <c r="HT67" i="5"/>
  <c r="AL367" i="2" s="1"/>
  <c r="HT68" i="5"/>
  <c r="AL368" i="2" s="1"/>
  <c r="HT69" i="5"/>
  <c r="AL369" i="2" s="1"/>
  <c r="HT70" i="5"/>
  <c r="AL370" i="2" s="1"/>
  <c r="HT71" i="5"/>
  <c r="AL371" i="2" s="1"/>
  <c r="HT72" i="5"/>
  <c r="AL372" i="2" s="1"/>
  <c r="HT74" i="5"/>
  <c r="AL374" i="2" s="1"/>
  <c r="HT75" i="5"/>
  <c r="AL375" i="2" s="1"/>
  <c r="HT76" i="5"/>
  <c r="AL376" i="2" s="1"/>
  <c r="HT77" i="5"/>
  <c r="AL377" i="2" s="1"/>
  <c r="HT82" i="5"/>
  <c r="HT83" i="5"/>
  <c r="HT84" i="5"/>
  <c r="HT85" i="5"/>
  <c r="HT86" i="5"/>
  <c r="HT87" i="5"/>
  <c r="HT88" i="5"/>
  <c r="HT90" i="5"/>
  <c r="HT91" i="5"/>
  <c r="HT92" i="5"/>
  <c r="HT93" i="5"/>
  <c r="HT48" i="5"/>
  <c r="HT97" i="5" s="1"/>
  <c r="HT51" i="5"/>
  <c r="HT98" i="5" s="1"/>
  <c r="HT55" i="5"/>
  <c r="HT99" i="5" s="1"/>
  <c r="HT47" i="5"/>
  <c r="HT100" i="5" s="1"/>
  <c r="HT52" i="5"/>
  <c r="HT101" i="5" s="1"/>
  <c r="HT46" i="5"/>
  <c r="HT102" i="5" s="1"/>
  <c r="HT54" i="5"/>
  <c r="HT103" i="5" s="1"/>
  <c r="HT53" i="5"/>
  <c r="HT105" i="5" s="1"/>
  <c r="HT49" i="5"/>
  <c r="HT106" i="5" s="1"/>
  <c r="HT56" i="5"/>
  <c r="HT107" i="5" s="1"/>
  <c r="HT50" i="5"/>
  <c r="HT108" i="5" s="1"/>
  <c r="B71" i="8"/>
  <c r="G6" i="2"/>
  <c r="R6" i="2" s="1"/>
  <c r="G7" i="2"/>
  <c r="G8" i="2"/>
  <c r="H8" i="2" s="1"/>
  <c r="G9" i="2"/>
  <c r="S9" i="2" s="1"/>
  <c r="G10" i="2"/>
  <c r="R10" i="2" s="1"/>
  <c r="G11" i="2"/>
  <c r="H11" i="2" s="1"/>
  <c r="G12" i="2"/>
  <c r="S12" i="2" s="1"/>
  <c r="G14" i="2"/>
  <c r="H14" i="2" s="1"/>
  <c r="G15" i="2"/>
  <c r="R15" i="2" s="1"/>
  <c r="G16" i="2"/>
  <c r="S16" i="2" s="1"/>
  <c r="G17" i="2"/>
  <c r="R17" i="2" s="1"/>
  <c r="N576" i="10"/>
  <c r="P3" i="11"/>
  <c r="P4" i="11"/>
  <c r="P5" i="11"/>
  <c r="P6" i="11"/>
  <c r="P7" i="11"/>
  <c r="P8" i="11"/>
  <c r="P9" i="11"/>
  <c r="P10" i="11"/>
  <c r="P11" i="11"/>
  <c r="P12" i="11"/>
  <c r="P13" i="11"/>
  <c r="AM455" i="2"/>
  <c r="AM463" i="2"/>
  <c r="AM468" i="2"/>
  <c r="AM491" i="2"/>
  <c r="AM499" i="2"/>
  <c r="AM504" i="2"/>
  <c r="KE46" i="5"/>
  <c r="KE102" i="5" s="1"/>
  <c r="AM534" i="2" s="1"/>
  <c r="KE47" i="5"/>
  <c r="KE100" i="5" s="1"/>
  <c r="AM532" i="2" s="1"/>
  <c r="KE48" i="5"/>
  <c r="KE97" i="5" s="1"/>
  <c r="AM529" i="2" s="1"/>
  <c r="KE49" i="5"/>
  <c r="KE106" i="5" s="1"/>
  <c r="AM538" i="2" s="1"/>
  <c r="KE50" i="5"/>
  <c r="KE108" i="5" s="1"/>
  <c r="AM540" i="2" s="1"/>
  <c r="KE51" i="5"/>
  <c r="KE98" i="5" s="1"/>
  <c r="AM530" i="2" s="1"/>
  <c r="KE52" i="5"/>
  <c r="KE101" i="5" s="1"/>
  <c r="AM533" i="2" s="1"/>
  <c r="KE53" i="5"/>
  <c r="KE54" i="5"/>
  <c r="KE103" i="5" s="1"/>
  <c r="AM535" i="2" s="1"/>
  <c r="KE55" i="5"/>
  <c r="KE99" i="5" s="1"/>
  <c r="AM531" i="2" s="1"/>
  <c r="KE56" i="5"/>
  <c r="KE107" i="5" s="1"/>
  <c r="AM539" i="2" s="1"/>
  <c r="AK365" i="2"/>
  <c r="AK373" i="2"/>
  <c r="AK378" i="2"/>
  <c r="KE82" i="5"/>
  <c r="AM492" i="2" s="1"/>
  <c r="KE83" i="5"/>
  <c r="AM493" i="2" s="1"/>
  <c r="KE84" i="5"/>
  <c r="AM494" i="2" s="1"/>
  <c r="KE85" i="5"/>
  <c r="AM495" i="2" s="1"/>
  <c r="KE86" i="5"/>
  <c r="AM496" i="2" s="1"/>
  <c r="KE87" i="5"/>
  <c r="AM497" i="2" s="1"/>
  <c r="KE88" i="5"/>
  <c r="AM498" i="2" s="1"/>
  <c r="KE90" i="5"/>
  <c r="AM500" i="2" s="1"/>
  <c r="KE91" i="5"/>
  <c r="AM501" i="2" s="1"/>
  <c r="KE92" i="5"/>
  <c r="AM502" i="2" s="1"/>
  <c r="KE93" i="5"/>
  <c r="AM503" i="2" s="1"/>
  <c r="KE66" i="5"/>
  <c r="AM456" i="2" s="1"/>
  <c r="KE67" i="5"/>
  <c r="AM457" i="2" s="1"/>
  <c r="KE68" i="5"/>
  <c r="AM458" i="2" s="1"/>
  <c r="KE69" i="5"/>
  <c r="AM459" i="2" s="1"/>
  <c r="KE70" i="5"/>
  <c r="AM460" i="2" s="1"/>
  <c r="KE71" i="5"/>
  <c r="AM461" i="2" s="1"/>
  <c r="KE72" i="5"/>
  <c r="AM462" i="2" s="1"/>
  <c r="KE74" i="5"/>
  <c r="AM464" i="2" s="1"/>
  <c r="KE75" i="5"/>
  <c r="AM465" i="2" s="1"/>
  <c r="KE76" i="5"/>
  <c r="AM466" i="2" s="1"/>
  <c r="KE77" i="5"/>
  <c r="AM467" i="2" s="1"/>
  <c r="HS48" i="5"/>
  <c r="HS97" i="5" s="1"/>
  <c r="HS51" i="5"/>
  <c r="HS98" i="5" s="1"/>
  <c r="HS55" i="5"/>
  <c r="HS99" i="5" s="1"/>
  <c r="HS47" i="5"/>
  <c r="HS100" i="5" s="1"/>
  <c r="HS52" i="5"/>
  <c r="HS101" i="5" s="1"/>
  <c r="HS46" i="5"/>
  <c r="HS102" i="5" s="1"/>
  <c r="HS54" i="5"/>
  <c r="HS103" i="5" s="1"/>
  <c r="HS53" i="5"/>
  <c r="HS105" i="5" s="1"/>
  <c r="HS49" i="5"/>
  <c r="HS106" i="5" s="1"/>
  <c r="HS56" i="5"/>
  <c r="HS107" i="5" s="1"/>
  <c r="HS50" i="5"/>
  <c r="HS108" i="5" s="1"/>
  <c r="HS82" i="5"/>
  <c r="HS83" i="5"/>
  <c r="HS84" i="5"/>
  <c r="HS85" i="5"/>
  <c r="HS86" i="5"/>
  <c r="HS87" i="5"/>
  <c r="HS88" i="5"/>
  <c r="HS90" i="5"/>
  <c r="HS91" i="5"/>
  <c r="HS92" i="5"/>
  <c r="HS93" i="5"/>
  <c r="HS66" i="5"/>
  <c r="AK366" i="2" s="1"/>
  <c r="HS67" i="5"/>
  <c r="AK367" i="2" s="1"/>
  <c r="HS68" i="5"/>
  <c r="AK368" i="2" s="1"/>
  <c r="HS69" i="5"/>
  <c r="AK369" i="2" s="1"/>
  <c r="HS70" i="5"/>
  <c r="AK370" i="2" s="1"/>
  <c r="HS71" i="5"/>
  <c r="AK371" i="2" s="1"/>
  <c r="HS72" i="5"/>
  <c r="AK372" i="2" s="1"/>
  <c r="HS74" i="5"/>
  <c r="AK374" i="2" s="1"/>
  <c r="HS75" i="5"/>
  <c r="AK375" i="2" s="1"/>
  <c r="HS76" i="5"/>
  <c r="AK376" i="2" s="1"/>
  <c r="HS77" i="5"/>
  <c r="AK377" i="2" s="1"/>
  <c r="C30" i="16"/>
  <c r="C29" i="16"/>
  <c r="C28" i="16"/>
  <c r="C27" i="16"/>
  <c r="C25" i="16"/>
  <c r="C24" i="16"/>
  <c r="C23" i="16"/>
  <c r="C22" i="16"/>
  <c r="C21" i="16"/>
  <c r="C20" i="16"/>
  <c r="C19" i="16"/>
  <c r="P5" i="16"/>
  <c r="P6" i="16"/>
  <c r="P7" i="16"/>
  <c r="P8" i="16"/>
  <c r="P9" i="16"/>
  <c r="P10" i="16"/>
  <c r="P11" i="16"/>
  <c r="P12" i="16"/>
  <c r="P13" i="16"/>
  <c r="P14" i="16"/>
  <c r="P4" i="16"/>
  <c r="H990" i="2"/>
  <c r="H989" i="2"/>
  <c r="H1006" i="2" s="1"/>
  <c r="H988" i="2"/>
  <c r="H1005" i="2" s="1"/>
  <c r="H987" i="2"/>
  <c r="H985" i="2"/>
  <c r="H984" i="2"/>
  <c r="H983" i="2"/>
  <c r="H982" i="2"/>
  <c r="H981" i="2"/>
  <c r="H980" i="2"/>
  <c r="I990" i="2"/>
  <c r="I989" i="2"/>
  <c r="I1006" i="2" s="1"/>
  <c r="I988" i="2"/>
  <c r="I1005" i="2" s="1"/>
  <c r="L1005" i="2" s="1"/>
  <c r="I987" i="2"/>
  <c r="K987" i="2" s="1"/>
  <c r="I985" i="2"/>
  <c r="K985" i="2" s="1"/>
  <c r="I984" i="2"/>
  <c r="K984" i="2" s="1"/>
  <c r="I983" i="2"/>
  <c r="K983" i="2" s="1"/>
  <c r="I982" i="2"/>
  <c r="K982" i="2" s="1"/>
  <c r="I981" i="2"/>
  <c r="K981" i="2" s="1"/>
  <c r="I980" i="2"/>
  <c r="K980" i="2" s="1"/>
  <c r="I979" i="2"/>
  <c r="K979" i="2" s="1"/>
  <c r="W113" i="10"/>
  <c r="I18" i="2"/>
  <c r="I13" i="2"/>
  <c r="E13" i="16"/>
  <c r="E14" i="16"/>
  <c r="E12" i="16"/>
  <c r="E5" i="16"/>
  <c r="E6" i="16"/>
  <c r="E4" i="16"/>
  <c r="KD82" i="5"/>
  <c r="AL492" i="2" s="1"/>
  <c r="KD83" i="5"/>
  <c r="AL493" i="2" s="1"/>
  <c r="KD84" i="5"/>
  <c r="AL494" i="2" s="1"/>
  <c r="KD85" i="5"/>
  <c r="AL495" i="2" s="1"/>
  <c r="KD86" i="5"/>
  <c r="AL496" i="2" s="1"/>
  <c r="KD87" i="5"/>
  <c r="AL497" i="2" s="1"/>
  <c r="KD88" i="5"/>
  <c r="AL498" i="2" s="1"/>
  <c r="KD90" i="5"/>
  <c r="AL500" i="2" s="1"/>
  <c r="KD91" i="5"/>
  <c r="AL501" i="2" s="1"/>
  <c r="KD92" i="5"/>
  <c r="AL502" i="2" s="1"/>
  <c r="KD93" i="5"/>
  <c r="AL503" i="2" s="1"/>
  <c r="KD66" i="5"/>
  <c r="KD67" i="5"/>
  <c r="AL457" i="2" s="1"/>
  <c r="KD68" i="5"/>
  <c r="AL458" i="2" s="1"/>
  <c r="KD69" i="5"/>
  <c r="AL459" i="2" s="1"/>
  <c r="KD70" i="5"/>
  <c r="AL460" i="2" s="1"/>
  <c r="KD71" i="5"/>
  <c r="AL461" i="2" s="1"/>
  <c r="KD72" i="5"/>
  <c r="AL462" i="2" s="1"/>
  <c r="KD74" i="5"/>
  <c r="AL464" i="2" s="1"/>
  <c r="KD75" i="5"/>
  <c r="AL465" i="2" s="1"/>
  <c r="KD76" i="5"/>
  <c r="AL466" i="2" s="1"/>
  <c r="KD77" i="5"/>
  <c r="AL467" i="2" s="1"/>
  <c r="AL455" i="2"/>
  <c r="AL456" i="2"/>
  <c r="AL463" i="2"/>
  <c r="AL468" i="2"/>
  <c r="AL491" i="2"/>
  <c r="AL499" i="2"/>
  <c r="AL504" i="2"/>
  <c r="AJ365" i="2"/>
  <c r="AJ373" i="2"/>
  <c r="AJ378" i="2"/>
  <c r="Z365" i="2"/>
  <c r="AA365" i="2"/>
  <c r="AB365" i="2"/>
  <c r="AC365" i="2"/>
  <c r="Z373" i="2"/>
  <c r="AA373" i="2"/>
  <c r="AB373" i="2"/>
  <c r="AC373" i="2"/>
  <c r="KD46" i="5"/>
  <c r="KD102" i="5" s="1"/>
  <c r="AL534" i="2" s="1"/>
  <c r="KD47" i="5"/>
  <c r="KD100" i="5" s="1"/>
  <c r="AL532" i="2" s="1"/>
  <c r="KD48" i="5"/>
  <c r="KD97" i="5" s="1"/>
  <c r="AL529" i="2" s="1"/>
  <c r="KD49" i="5"/>
  <c r="KD106" i="5" s="1"/>
  <c r="AL538" i="2" s="1"/>
  <c r="KD50" i="5"/>
  <c r="KD108" i="5" s="1"/>
  <c r="AL540" i="2" s="1"/>
  <c r="KD51" i="5"/>
  <c r="KD98" i="5" s="1"/>
  <c r="AL530" i="2" s="1"/>
  <c r="KD52" i="5"/>
  <c r="KD101" i="5" s="1"/>
  <c r="AL533" i="2" s="1"/>
  <c r="KD53" i="5"/>
  <c r="KD54" i="5"/>
  <c r="KD103" i="5" s="1"/>
  <c r="AL535" i="2" s="1"/>
  <c r="KD55" i="5"/>
  <c r="KD99" i="5" s="1"/>
  <c r="AL531" i="2" s="1"/>
  <c r="KD56" i="5"/>
  <c r="KD107" i="5" s="1"/>
  <c r="AL539" i="2" s="1"/>
  <c r="HR66" i="5"/>
  <c r="AJ366" i="2" s="1"/>
  <c r="HR67" i="5"/>
  <c r="AJ367" i="2" s="1"/>
  <c r="HR68" i="5"/>
  <c r="AJ368" i="2" s="1"/>
  <c r="HR69" i="5"/>
  <c r="AJ369" i="2" s="1"/>
  <c r="HR70" i="5"/>
  <c r="AJ370" i="2" s="1"/>
  <c r="HR71" i="5"/>
  <c r="AJ371" i="2" s="1"/>
  <c r="HR72" i="5"/>
  <c r="AJ372" i="2" s="1"/>
  <c r="HR74" i="5"/>
  <c r="AJ374" i="2" s="1"/>
  <c r="HR75" i="5"/>
  <c r="AJ375" i="2" s="1"/>
  <c r="HR76" i="5"/>
  <c r="AJ376" i="2" s="1"/>
  <c r="HR77" i="5"/>
  <c r="AJ377" i="2" s="1"/>
  <c r="HR82" i="5"/>
  <c r="HR83" i="5"/>
  <c r="HR84" i="5"/>
  <c r="HR85" i="5"/>
  <c r="HR86" i="5"/>
  <c r="HR87" i="5"/>
  <c r="HR88" i="5"/>
  <c r="HR90" i="5"/>
  <c r="HR91" i="5"/>
  <c r="HR92" i="5"/>
  <c r="HR93" i="5"/>
  <c r="HR46" i="5"/>
  <c r="HR102" i="5" s="1"/>
  <c r="HR47" i="5"/>
  <c r="HR100" i="5" s="1"/>
  <c r="HR48" i="5"/>
  <c r="HR97" i="5" s="1"/>
  <c r="HR49" i="5"/>
  <c r="HR106" i="5" s="1"/>
  <c r="HR50" i="5"/>
  <c r="HR108" i="5" s="1"/>
  <c r="HR51" i="5"/>
  <c r="HR98" i="5" s="1"/>
  <c r="HR52" i="5"/>
  <c r="HR101" i="5" s="1"/>
  <c r="HR53" i="5"/>
  <c r="HR105" i="5" s="1"/>
  <c r="HR54" i="5"/>
  <c r="HR103" i="5" s="1"/>
  <c r="HR55" i="5"/>
  <c r="HR99" i="5" s="1"/>
  <c r="HR56" i="5"/>
  <c r="HR107" i="5" s="1"/>
  <c r="G167" i="2"/>
  <c r="F167" i="2"/>
  <c r="G180" i="2"/>
  <c r="F180" i="2"/>
  <c r="F175" i="2"/>
  <c r="H175" i="2" s="1"/>
  <c r="AK455" i="2"/>
  <c r="AK463" i="2"/>
  <c r="AK468" i="2"/>
  <c r="AK491" i="2"/>
  <c r="AK499" i="2"/>
  <c r="AK504" i="2"/>
  <c r="AI365" i="2"/>
  <c r="AI373" i="2"/>
  <c r="AI378" i="2"/>
  <c r="F100" i="1"/>
  <c r="KC66" i="5"/>
  <c r="AK456" i="2" s="1"/>
  <c r="KC67" i="5"/>
  <c r="AK457" i="2" s="1"/>
  <c r="KC68" i="5"/>
  <c r="AK458" i="2" s="1"/>
  <c r="KC69" i="5"/>
  <c r="AK459" i="2" s="1"/>
  <c r="KC70" i="5"/>
  <c r="AK460" i="2" s="1"/>
  <c r="KC71" i="5"/>
  <c r="AK461" i="2" s="1"/>
  <c r="KC72" i="5"/>
  <c r="AK462" i="2" s="1"/>
  <c r="KC74" i="5"/>
  <c r="AK464" i="2" s="1"/>
  <c r="KC75" i="5"/>
  <c r="AK465" i="2" s="1"/>
  <c r="KC76" i="5"/>
  <c r="AK466" i="2" s="1"/>
  <c r="KC77" i="5"/>
  <c r="AK467" i="2" s="1"/>
  <c r="KC82" i="5"/>
  <c r="AK492" i="2" s="1"/>
  <c r="KC83" i="5"/>
  <c r="AK493" i="2" s="1"/>
  <c r="KC84" i="5"/>
  <c r="AK494" i="2" s="1"/>
  <c r="KC85" i="5"/>
  <c r="AK495" i="2" s="1"/>
  <c r="KC86" i="5"/>
  <c r="AK496" i="2" s="1"/>
  <c r="KC87" i="5"/>
  <c r="AK497" i="2" s="1"/>
  <c r="KC88" i="5"/>
  <c r="AK498" i="2" s="1"/>
  <c r="KC90" i="5"/>
  <c r="AK500" i="2" s="1"/>
  <c r="KC91" i="5"/>
  <c r="AK501" i="2" s="1"/>
  <c r="KC92" i="5"/>
  <c r="AK502" i="2" s="1"/>
  <c r="KC93" i="5"/>
  <c r="AK503" i="2" s="1"/>
  <c r="KC46" i="5"/>
  <c r="KC47" i="5"/>
  <c r="KC100" i="5" s="1"/>
  <c r="AK532" i="2" s="1"/>
  <c r="KC48" i="5"/>
  <c r="KC97" i="5" s="1"/>
  <c r="AK529" i="2" s="1"/>
  <c r="KC49" i="5"/>
  <c r="KC50" i="5"/>
  <c r="KC108" i="5" s="1"/>
  <c r="AK540" i="2" s="1"/>
  <c r="KC51" i="5"/>
  <c r="KC98" i="5" s="1"/>
  <c r="AK530" i="2" s="1"/>
  <c r="KC52" i="5"/>
  <c r="KC101" i="5" s="1"/>
  <c r="AK533" i="2" s="1"/>
  <c r="KC53" i="5"/>
  <c r="KC105" i="5" s="1"/>
  <c r="AK537" i="2" s="1"/>
  <c r="KC54" i="5"/>
  <c r="KC103" i="5" s="1"/>
  <c r="AK535" i="2" s="1"/>
  <c r="KC55" i="5"/>
  <c r="KC99" i="5" s="1"/>
  <c r="AK531" i="2" s="1"/>
  <c r="KC56" i="5"/>
  <c r="KC107" i="5" s="1"/>
  <c r="AK539" i="2" s="1"/>
  <c r="HQ66" i="5"/>
  <c r="AI366" i="2" s="1"/>
  <c r="HQ67" i="5"/>
  <c r="AI367" i="2" s="1"/>
  <c r="HQ68" i="5"/>
  <c r="AI368" i="2" s="1"/>
  <c r="HQ69" i="5"/>
  <c r="AI369" i="2" s="1"/>
  <c r="HQ70" i="5"/>
  <c r="AI370" i="2" s="1"/>
  <c r="HQ71" i="5"/>
  <c r="AI371" i="2" s="1"/>
  <c r="HQ72" i="5"/>
  <c r="AI372" i="2" s="1"/>
  <c r="HQ74" i="5"/>
  <c r="AI374" i="2" s="1"/>
  <c r="HQ75" i="5"/>
  <c r="AI375" i="2" s="1"/>
  <c r="HQ76" i="5"/>
  <c r="AI376" i="2" s="1"/>
  <c r="HQ77" i="5"/>
  <c r="AI377" i="2" s="1"/>
  <c r="HQ82" i="5"/>
  <c r="HQ83" i="5"/>
  <c r="HQ84" i="5"/>
  <c r="HQ85" i="5"/>
  <c r="HQ86" i="5"/>
  <c r="HQ87" i="5"/>
  <c r="HQ88" i="5"/>
  <c r="HQ90" i="5"/>
  <c r="HQ91" i="5"/>
  <c r="HQ92" i="5"/>
  <c r="HQ93" i="5"/>
  <c r="HQ46" i="5"/>
  <c r="HQ102" i="5" s="1"/>
  <c r="HQ47" i="5"/>
  <c r="HQ100" i="5" s="1"/>
  <c r="HQ48" i="5"/>
  <c r="HQ97" i="5" s="1"/>
  <c r="HQ49" i="5"/>
  <c r="HQ106" i="5" s="1"/>
  <c r="HQ50" i="5"/>
  <c r="HQ108" i="5" s="1"/>
  <c r="HQ51" i="5"/>
  <c r="HQ98" i="5" s="1"/>
  <c r="HQ52" i="5"/>
  <c r="HQ101" i="5" s="1"/>
  <c r="HQ53" i="5"/>
  <c r="HQ105" i="5" s="1"/>
  <c r="HQ54" i="5"/>
  <c r="HQ103" i="5" s="1"/>
  <c r="HQ55" i="5"/>
  <c r="HQ99" i="5" s="1"/>
  <c r="HQ56" i="5"/>
  <c r="HQ107" i="5" s="1"/>
  <c r="AJ455" i="2"/>
  <c r="AJ463" i="2"/>
  <c r="AJ468" i="2"/>
  <c r="AJ491" i="2"/>
  <c r="AJ499" i="2"/>
  <c r="AJ504" i="2"/>
  <c r="AH365" i="2"/>
  <c r="AH373" i="2"/>
  <c r="AH378" i="2"/>
  <c r="KB82" i="5"/>
  <c r="AJ492" i="2" s="1"/>
  <c r="KB83" i="5"/>
  <c r="AJ493" i="2" s="1"/>
  <c r="KB84" i="5"/>
  <c r="AJ494" i="2" s="1"/>
  <c r="KB85" i="5"/>
  <c r="AJ495" i="2" s="1"/>
  <c r="KB86" i="5"/>
  <c r="AJ496" i="2" s="1"/>
  <c r="KB87" i="5"/>
  <c r="AJ497" i="2" s="1"/>
  <c r="KB88" i="5"/>
  <c r="AJ498" i="2" s="1"/>
  <c r="KB90" i="5"/>
  <c r="AJ500" i="2" s="1"/>
  <c r="KB91" i="5"/>
  <c r="AJ501" i="2" s="1"/>
  <c r="KB92" i="5"/>
  <c r="AJ502" i="2" s="1"/>
  <c r="KB93" i="5"/>
  <c r="AJ503" i="2" s="1"/>
  <c r="KB66" i="5"/>
  <c r="AJ456" i="2" s="1"/>
  <c r="KB67" i="5"/>
  <c r="AJ457" i="2" s="1"/>
  <c r="KB68" i="5"/>
  <c r="AJ458" i="2" s="1"/>
  <c r="KB69" i="5"/>
  <c r="AJ459" i="2" s="1"/>
  <c r="KB70" i="5"/>
  <c r="AJ460" i="2" s="1"/>
  <c r="KB71" i="5"/>
  <c r="AJ461" i="2" s="1"/>
  <c r="KB72" i="5"/>
  <c r="AJ462" i="2" s="1"/>
  <c r="KB74" i="5"/>
  <c r="AJ464" i="2" s="1"/>
  <c r="KB75" i="5"/>
  <c r="AJ465" i="2" s="1"/>
  <c r="KB76" i="5"/>
  <c r="AJ466" i="2" s="1"/>
  <c r="KB77" i="5"/>
  <c r="AJ467" i="2" s="1"/>
  <c r="KB46" i="5"/>
  <c r="KB102" i="5" s="1"/>
  <c r="AJ534" i="2" s="1"/>
  <c r="KB47" i="5"/>
  <c r="KB100" i="5" s="1"/>
  <c r="AJ532" i="2" s="1"/>
  <c r="KB48" i="5"/>
  <c r="KB97" i="5" s="1"/>
  <c r="AJ529" i="2" s="1"/>
  <c r="KB49" i="5"/>
  <c r="KB106" i="5" s="1"/>
  <c r="AJ538" i="2" s="1"/>
  <c r="KB50" i="5"/>
  <c r="KB108" i="5" s="1"/>
  <c r="AJ540" i="2" s="1"/>
  <c r="KB51" i="5"/>
  <c r="KB98" i="5" s="1"/>
  <c r="AJ530" i="2" s="1"/>
  <c r="KB52" i="5"/>
  <c r="KB101" i="5" s="1"/>
  <c r="AJ533" i="2" s="1"/>
  <c r="KB53" i="5"/>
  <c r="KB105" i="5" s="1"/>
  <c r="AJ537" i="2" s="1"/>
  <c r="KB54" i="5"/>
  <c r="KB55" i="5"/>
  <c r="KB99" i="5" s="1"/>
  <c r="AJ531" i="2" s="1"/>
  <c r="KB56" i="5"/>
  <c r="KB107" i="5" s="1"/>
  <c r="AJ539" i="2" s="1"/>
  <c r="HM82" i="5"/>
  <c r="HN82" i="5"/>
  <c r="HO82" i="5"/>
  <c r="HP82" i="5"/>
  <c r="HM83" i="5"/>
  <c r="HN83" i="5"/>
  <c r="HO83" i="5"/>
  <c r="HP83" i="5"/>
  <c r="HM84" i="5"/>
  <c r="HN84" i="5"/>
  <c r="HO84" i="5"/>
  <c r="HP84" i="5"/>
  <c r="HM85" i="5"/>
  <c r="HN85" i="5"/>
  <c r="HO85" i="5"/>
  <c r="HP85" i="5"/>
  <c r="HM86" i="5"/>
  <c r="HN86" i="5"/>
  <c r="HO86" i="5"/>
  <c r="HP86" i="5"/>
  <c r="HM87" i="5"/>
  <c r="HN87" i="5"/>
  <c r="HO87" i="5"/>
  <c r="HP87" i="5"/>
  <c r="HM88" i="5"/>
  <c r="HN88" i="5"/>
  <c r="HO88" i="5"/>
  <c r="HP88" i="5"/>
  <c r="HM90" i="5"/>
  <c r="HN90" i="5"/>
  <c r="HO90" i="5"/>
  <c r="HP90" i="5"/>
  <c r="HM91" i="5"/>
  <c r="HN91" i="5"/>
  <c r="HO91" i="5"/>
  <c r="HP91" i="5"/>
  <c r="HM92" i="5"/>
  <c r="HN92" i="5"/>
  <c r="HO92" i="5"/>
  <c r="HP92" i="5"/>
  <c r="HM93" i="5"/>
  <c r="HN93" i="5"/>
  <c r="HO93" i="5"/>
  <c r="HP93" i="5"/>
  <c r="HP66" i="5"/>
  <c r="AH366" i="2" s="1"/>
  <c r="HP67" i="5"/>
  <c r="AH367" i="2" s="1"/>
  <c r="HP68" i="5"/>
  <c r="AH368" i="2" s="1"/>
  <c r="HP69" i="5"/>
  <c r="AH369" i="2" s="1"/>
  <c r="HP70" i="5"/>
  <c r="AH370" i="2" s="1"/>
  <c r="HP71" i="5"/>
  <c r="AH371" i="2" s="1"/>
  <c r="HP72" i="5"/>
  <c r="AH372" i="2" s="1"/>
  <c r="HP74" i="5"/>
  <c r="AH374" i="2" s="1"/>
  <c r="HP75" i="5"/>
  <c r="AH375" i="2" s="1"/>
  <c r="HP76" i="5"/>
  <c r="AH376" i="2" s="1"/>
  <c r="HP77" i="5"/>
  <c r="AH377" i="2" s="1"/>
  <c r="HP46" i="5"/>
  <c r="HP102" i="5" s="1"/>
  <c r="HP47" i="5"/>
  <c r="HP100" i="5" s="1"/>
  <c r="HP48" i="5"/>
  <c r="HP97" i="5" s="1"/>
  <c r="HP49" i="5"/>
  <c r="HP106" i="5" s="1"/>
  <c r="HP50" i="5"/>
  <c r="HP108" i="5" s="1"/>
  <c r="HP51" i="5"/>
  <c r="HP98" i="5" s="1"/>
  <c r="HP52" i="5"/>
  <c r="HP101" i="5" s="1"/>
  <c r="HP53" i="5"/>
  <c r="HP105" i="5" s="1"/>
  <c r="HP54" i="5"/>
  <c r="HP103" i="5" s="1"/>
  <c r="HP55" i="5"/>
  <c r="HP99" i="5" s="1"/>
  <c r="HP56" i="5"/>
  <c r="HP107" i="5" s="1"/>
  <c r="AG365" i="2"/>
  <c r="AG373" i="2"/>
  <c r="AG378" i="2"/>
  <c r="AI455" i="2"/>
  <c r="AI463" i="2"/>
  <c r="AI468" i="2"/>
  <c r="AI491" i="2"/>
  <c r="AI499" i="2"/>
  <c r="AI504" i="2"/>
  <c r="HM46" i="5"/>
  <c r="HM102" i="5" s="1"/>
  <c r="HN46" i="5"/>
  <c r="HN102" i="5" s="1"/>
  <c r="HO46" i="5"/>
  <c r="HO102" i="5" s="1"/>
  <c r="HM47" i="5"/>
  <c r="HM100" i="5" s="1"/>
  <c r="HN47" i="5"/>
  <c r="HN100" i="5" s="1"/>
  <c r="HO47" i="5"/>
  <c r="HO100" i="5" s="1"/>
  <c r="HM48" i="5"/>
  <c r="HM97" i="5" s="1"/>
  <c r="HN48" i="5"/>
  <c r="HN97" i="5" s="1"/>
  <c r="HO48" i="5"/>
  <c r="HO97" i="5" s="1"/>
  <c r="HM49" i="5"/>
  <c r="HM106" i="5" s="1"/>
  <c r="HN49" i="5"/>
  <c r="HN106" i="5" s="1"/>
  <c r="HO49" i="5"/>
  <c r="HO106" i="5" s="1"/>
  <c r="HM50" i="5"/>
  <c r="HM108" i="5" s="1"/>
  <c r="HN50" i="5"/>
  <c r="HN108" i="5" s="1"/>
  <c r="HO50" i="5"/>
  <c r="HO108" i="5" s="1"/>
  <c r="HM51" i="5"/>
  <c r="HM98" i="5" s="1"/>
  <c r="HN51" i="5"/>
  <c r="HN98" i="5" s="1"/>
  <c r="HO51" i="5"/>
  <c r="HO98" i="5" s="1"/>
  <c r="HM52" i="5"/>
  <c r="HM101" i="5" s="1"/>
  <c r="HN52" i="5"/>
  <c r="HN101" i="5" s="1"/>
  <c r="HO52" i="5"/>
  <c r="HO101" i="5" s="1"/>
  <c r="HM53" i="5"/>
  <c r="HM105" i="5" s="1"/>
  <c r="HN53" i="5"/>
  <c r="HN105" i="5" s="1"/>
  <c r="HO53" i="5"/>
  <c r="HO105" i="5" s="1"/>
  <c r="HM54" i="5"/>
  <c r="HM103" i="5" s="1"/>
  <c r="HN54" i="5"/>
  <c r="HN103" i="5" s="1"/>
  <c r="HO54" i="5"/>
  <c r="HO103" i="5" s="1"/>
  <c r="HM55" i="5"/>
  <c r="HM99" i="5" s="1"/>
  <c r="HN55" i="5"/>
  <c r="HN99" i="5" s="1"/>
  <c r="HO55" i="5"/>
  <c r="HO99" i="5" s="1"/>
  <c r="HM56" i="5"/>
  <c r="HM107" i="5" s="1"/>
  <c r="HN56" i="5"/>
  <c r="HN107" i="5" s="1"/>
  <c r="HO56" i="5"/>
  <c r="HO107" i="5" s="1"/>
  <c r="KA46" i="5"/>
  <c r="KA102" i="5" s="1"/>
  <c r="AI534" i="2" s="1"/>
  <c r="KA47" i="5"/>
  <c r="KA100" i="5" s="1"/>
  <c r="AI532" i="2" s="1"/>
  <c r="KA48" i="5"/>
  <c r="KA49" i="5"/>
  <c r="KA106" i="5" s="1"/>
  <c r="AI538" i="2" s="1"/>
  <c r="KA50" i="5"/>
  <c r="KA108" i="5" s="1"/>
  <c r="AI540" i="2" s="1"/>
  <c r="KA51" i="5"/>
  <c r="KA98" i="5" s="1"/>
  <c r="AI530" i="2" s="1"/>
  <c r="KA52" i="5"/>
  <c r="KA101" i="5" s="1"/>
  <c r="AI533" i="2" s="1"/>
  <c r="KA53" i="5"/>
  <c r="KA54" i="5"/>
  <c r="KA103" i="5" s="1"/>
  <c r="AI535" i="2" s="1"/>
  <c r="KA55" i="5"/>
  <c r="KA99" i="5" s="1"/>
  <c r="AI531" i="2" s="1"/>
  <c r="KA56" i="5"/>
  <c r="KA107" i="5" s="1"/>
  <c r="AI539" i="2" s="1"/>
  <c r="KA82" i="5"/>
  <c r="AI492" i="2" s="1"/>
  <c r="KA83" i="5"/>
  <c r="AI493" i="2" s="1"/>
  <c r="KA84" i="5"/>
  <c r="AI494" i="2" s="1"/>
  <c r="KA85" i="5"/>
  <c r="AI495" i="2" s="1"/>
  <c r="KA86" i="5"/>
  <c r="AI496" i="2" s="1"/>
  <c r="KA87" i="5"/>
  <c r="AI497" i="2" s="1"/>
  <c r="KA88" i="5"/>
  <c r="AI498" i="2" s="1"/>
  <c r="KA90" i="5"/>
  <c r="AI500" i="2" s="1"/>
  <c r="KA91" i="5"/>
  <c r="AI501" i="2" s="1"/>
  <c r="KA92" i="5"/>
  <c r="AI502" i="2" s="1"/>
  <c r="KA93" i="5"/>
  <c r="AI503" i="2" s="1"/>
  <c r="KA66" i="5"/>
  <c r="AI456" i="2" s="1"/>
  <c r="KA67" i="5"/>
  <c r="AI457" i="2" s="1"/>
  <c r="KA68" i="5"/>
  <c r="AI458" i="2" s="1"/>
  <c r="KA69" i="5"/>
  <c r="AI459" i="2" s="1"/>
  <c r="KA70" i="5"/>
  <c r="AI460" i="2" s="1"/>
  <c r="KA71" i="5"/>
  <c r="AI461" i="2" s="1"/>
  <c r="KA72" i="5"/>
  <c r="AI462" i="2" s="1"/>
  <c r="KA74" i="5"/>
  <c r="AI464" i="2" s="1"/>
  <c r="KA75" i="5"/>
  <c r="AI465" i="2" s="1"/>
  <c r="KA76" i="5"/>
  <c r="AI466" i="2" s="1"/>
  <c r="KA77" i="5"/>
  <c r="AI467" i="2" s="1"/>
  <c r="HO66" i="5"/>
  <c r="AG366" i="2" s="1"/>
  <c r="HO67" i="5"/>
  <c r="AG367" i="2" s="1"/>
  <c r="HO68" i="5"/>
  <c r="AG368" i="2" s="1"/>
  <c r="HO69" i="5"/>
  <c r="AG369" i="2" s="1"/>
  <c r="HO70" i="5"/>
  <c r="AG370" i="2" s="1"/>
  <c r="HO71" i="5"/>
  <c r="AG371" i="2" s="1"/>
  <c r="HO72" i="5"/>
  <c r="AG372" i="2" s="1"/>
  <c r="HO74" i="5"/>
  <c r="AG374" i="2" s="1"/>
  <c r="HO75" i="5"/>
  <c r="AG375" i="2" s="1"/>
  <c r="HO76" i="5"/>
  <c r="AG376" i="2" s="1"/>
  <c r="HO77" i="5"/>
  <c r="AG377" i="2" s="1"/>
  <c r="AE365" i="2"/>
  <c r="AF365" i="2"/>
  <c r="AE373" i="2"/>
  <c r="AF373" i="2"/>
  <c r="AE378" i="2"/>
  <c r="AF378" i="2"/>
  <c r="HM66" i="5"/>
  <c r="AE366" i="2" s="1"/>
  <c r="HN66" i="5"/>
  <c r="AF366" i="2" s="1"/>
  <c r="HM67" i="5"/>
  <c r="AE367" i="2" s="1"/>
  <c r="HN67" i="5"/>
  <c r="AF367" i="2" s="1"/>
  <c r="HM68" i="5"/>
  <c r="AE368" i="2" s="1"/>
  <c r="HN68" i="5"/>
  <c r="AF368" i="2" s="1"/>
  <c r="HM69" i="5"/>
  <c r="AE369" i="2" s="1"/>
  <c r="HN69" i="5"/>
  <c r="AF369" i="2" s="1"/>
  <c r="HM70" i="5"/>
  <c r="AE370" i="2" s="1"/>
  <c r="HN70" i="5"/>
  <c r="AF370" i="2" s="1"/>
  <c r="HM71" i="5"/>
  <c r="AE371" i="2" s="1"/>
  <c r="HN71" i="5"/>
  <c r="AF371" i="2" s="1"/>
  <c r="HM72" i="5"/>
  <c r="AE372" i="2" s="1"/>
  <c r="HN72" i="5"/>
  <c r="AF372" i="2" s="1"/>
  <c r="HM74" i="5"/>
  <c r="AE374" i="2" s="1"/>
  <c r="HN74" i="5"/>
  <c r="AF374" i="2" s="1"/>
  <c r="HM75" i="5"/>
  <c r="AE375" i="2" s="1"/>
  <c r="HN75" i="5"/>
  <c r="AF375" i="2" s="1"/>
  <c r="HM76" i="5"/>
  <c r="AE376" i="2" s="1"/>
  <c r="HN76" i="5"/>
  <c r="AF376" i="2" s="1"/>
  <c r="HM77" i="5"/>
  <c r="AE377" i="2" s="1"/>
  <c r="HN77" i="5"/>
  <c r="AF377" i="2" s="1"/>
  <c r="G255" i="2"/>
  <c r="E255" i="2"/>
  <c r="N1" i="13"/>
  <c r="W408" i="10"/>
  <c r="W568" i="10"/>
  <c r="W528" i="10"/>
  <c r="W488" i="10"/>
  <c r="W448" i="10"/>
  <c r="AH455" i="2"/>
  <c r="AH463" i="2"/>
  <c r="AH468" i="2"/>
  <c r="AH491" i="2"/>
  <c r="AH499" i="2"/>
  <c r="AH504" i="2"/>
  <c r="AG455" i="2"/>
  <c r="AG463" i="2"/>
  <c r="AG468" i="2"/>
  <c r="AG491" i="2"/>
  <c r="AG499" i="2"/>
  <c r="AG504" i="2"/>
  <c r="JZ66" i="5"/>
  <c r="AH456" i="2" s="1"/>
  <c r="JZ67" i="5"/>
  <c r="AH457" i="2" s="1"/>
  <c r="JZ68" i="5"/>
  <c r="AH458" i="2" s="1"/>
  <c r="JZ69" i="5"/>
  <c r="AH459" i="2" s="1"/>
  <c r="JZ70" i="5"/>
  <c r="AH460" i="2" s="1"/>
  <c r="JZ71" i="5"/>
  <c r="AH461" i="2" s="1"/>
  <c r="JZ72" i="5"/>
  <c r="AH462" i="2" s="1"/>
  <c r="JZ74" i="5"/>
  <c r="AH464" i="2" s="1"/>
  <c r="JZ75" i="5"/>
  <c r="AH465" i="2" s="1"/>
  <c r="JZ76" i="5"/>
  <c r="AH466" i="2" s="1"/>
  <c r="JZ77" i="5"/>
  <c r="AH467" i="2" s="1"/>
  <c r="JZ82" i="5"/>
  <c r="AH492" i="2" s="1"/>
  <c r="JZ83" i="5"/>
  <c r="AH493" i="2" s="1"/>
  <c r="JZ84" i="5"/>
  <c r="AH494" i="2" s="1"/>
  <c r="JZ85" i="5"/>
  <c r="AH495" i="2" s="1"/>
  <c r="JZ86" i="5"/>
  <c r="AH496" i="2" s="1"/>
  <c r="JZ87" i="5"/>
  <c r="AH497" i="2" s="1"/>
  <c r="JZ88" i="5"/>
  <c r="AH498" i="2" s="1"/>
  <c r="JZ90" i="5"/>
  <c r="AH500" i="2" s="1"/>
  <c r="JZ91" i="5"/>
  <c r="AH501" i="2" s="1"/>
  <c r="JZ92" i="5"/>
  <c r="AH502" i="2" s="1"/>
  <c r="JZ93" i="5"/>
  <c r="AH503" i="2" s="1"/>
  <c r="JZ46" i="5"/>
  <c r="JZ102" i="5" s="1"/>
  <c r="AH534" i="2" s="1"/>
  <c r="JZ47" i="5"/>
  <c r="JZ100" i="5" s="1"/>
  <c r="AH532" i="2" s="1"/>
  <c r="JZ48" i="5"/>
  <c r="JZ49" i="5"/>
  <c r="JZ50" i="5"/>
  <c r="JZ108" i="5" s="1"/>
  <c r="AH540" i="2" s="1"/>
  <c r="JZ51" i="5"/>
  <c r="JZ98" i="5" s="1"/>
  <c r="AH530" i="2" s="1"/>
  <c r="JZ52" i="5"/>
  <c r="JZ101" i="5" s="1"/>
  <c r="AH533" i="2" s="1"/>
  <c r="JZ53" i="5"/>
  <c r="JZ105" i="5" s="1"/>
  <c r="AH537" i="2" s="1"/>
  <c r="JZ54" i="5"/>
  <c r="JZ103" i="5" s="1"/>
  <c r="AH535" i="2" s="1"/>
  <c r="JZ55" i="5"/>
  <c r="JZ99" i="5" s="1"/>
  <c r="AH531" i="2" s="1"/>
  <c r="JZ56" i="5"/>
  <c r="JZ107" i="5" s="1"/>
  <c r="AH539" i="2" s="1"/>
  <c r="JY93" i="5"/>
  <c r="AG503" i="2" s="1"/>
  <c r="JY92" i="5"/>
  <c r="AG502" i="2" s="1"/>
  <c r="JY91" i="5"/>
  <c r="AG501" i="2" s="1"/>
  <c r="JY90" i="5"/>
  <c r="AG500" i="2" s="1"/>
  <c r="JY88" i="5"/>
  <c r="AG498" i="2" s="1"/>
  <c r="JY87" i="5"/>
  <c r="AG497" i="2" s="1"/>
  <c r="JY86" i="5"/>
  <c r="AG496" i="2" s="1"/>
  <c r="JY85" i="5"/>
  <c r="AG495" i="2" s="1"/>
  <c r="JY84" i="5"/>
  <c r="AG494" i="2" s="1"/>
  <c r="JY83" i="5"/>
  <c r="AG493" i="2" s="1"/>
  <c r="JY82" i="5"/>
  <c r="AG492" i="2" s="1"/>
  <c r="JY77" i="5"/>
  <c r="AG467" i="2" s="1"/>
  <c r="JY76" i="5"/>
  <c r="AG466" i="2" s="1"/>
  <c r="JY75" i="5"/>
  <c r="AG465" i="2" s="1"/>
  <c r="JY74" i="5"/>
  <c r="AG464" i="2" s="1"/>
  <c r="JY72" i="5"/>
  <c r="AG462" i="2" s="1"/>
  <c r="JY71" i="5"/>
  <c r="AG461" i="2" s="1"/>
  <c r="JY70" i="5"/>
  <c r="AG460" i="2" s="1"/>
  <c r="JY69" i="5"/>
  <c r="AG459" i="2" s="1"/>
  <c r="JY68" i="5"/>
  <c r="AG458" i="2" s="1"/>
  <c r="JY67" i="5"/>
  <c r="AG457" i="2" s="1"/>
  <c r="JY66" i="5"/>
  <c r="AG456" i="2" s="1"/>
  <c r="JY56" i="5"/>
  <c r="JY107" i="5" s="1"/>
  <c r="AG539" i="2" s="1"/>
  <c r="JY55" i="5"/>
  <c r="JY99" i="5" s="1"/>
  <c r="AG531" i="2" s="1"/>
  <c r="JY54" i="5"/>
  <c r="JY103" i="5" s="1"/>
  <c r="AG535" i="2" s="1"/>
  <c r="JY53" i="5"/>
  <c r="JY105" i="5" s="1"/>
  <c r="AG537" i="2" s="1"/>
  <c r="JY52" i="5"/>
  <c r="JY101" i="5" s="1"/>
  <c r="AG533" i="2" s="1"/>
  <c r="JY51" i="5"/>
  <c r="JY98" i="5" s="1"/>
  <c r="AG530" i="2" s="1"/>
  <c r="JY50" i="5"/>
  <c r="JY108" i="5" s="1"/>
  <c r="AG540" i="2" s="1"/>
  <c r="JY49" i="5"/>
  <c r="JY106" i="5" s="1"/>
  <c r="AG538" i="2" s="1"/>
  <c r="JY48" i="5"/>
  <c r="JY97" i="5" s="1"/>
  <c r="AG529" i="2" s="1"/>
  <c r="JY47" i="5"/>
  <c r="JY100" i="5" s="1"/>
  <c r="AG532" i="2" s="1"/>
  <c r="JY46" i="5"/>
  <c r="JY102" i="5" s="1"/>
  <c r="AG534" i="2" s="1"/>
  <c r="F938" i="2"/>
  <c r="F937" i="2"/>
  <c r="F970" i="2" s="1"/>
  <c r="F936" i="2"/>
  <c r="F935" i="2"/>
  <c r="F933" i="2"/>
  <c r="F932" i="2"/>
  <c r="F931" i="2"/>
  <c r="F930" i="2"/>
  <c r="F929" i="2"/>
  <c r="F928" i="2"/>
  <c r="F927" i="2"/>
  <c r="G938" i="2"/>
  <c r="G937" i="2"/>
  <c r="G936" i="2"/>
  <c r="G969" i="2" s="1"/>
  <c r="G935" i="2"/>
  <c r="G933" i="2"/>
  <c r="G932" i="2"/>
  <c r="G931" i="2"/>
  <c r="G930" i="2"/>
  <c r="G929" i="2"/>
  <c r="G928" i="2"/>
  <c r="G927" i="2"/>
  <c r="H938" i="2"/>
  <c r="H937" i="2"/>
  <c r="H970" i="2" s="1"/>
  <c r="H936" i="2"/>
  <c r="H969" i="2" s="1"/>
  <c r="H935" i="2"/>
  <c r="H933" i="2"/>
  <c r="H932" i="2"/>
  <c r="H931" i="2"/>
  <c r="H930" i="2"/>
  <c r="H929" i="2"/>
  <c r="H928" i="2"/>
  <c r="H927" i="2"/>
  <c r="I938" i="2"/>
  <c r="I937" i="2"/>
  <c r="I970" i="2" s="1"/>
  <c r="I936" i="2"/>
  <c r="I969" i="2" s="1"/>
  <c r="I935" i="2"/>
  <c r="I933" i="2"/>
  <c r="I932" i="2"/>
  <c r="I931" i="2"/>
  <c r="I930" i="2"/>
  <c r="I929" i="2"/>
  <c r="I928" i="2"/>
  <c r="I927" i="2"/>
  <c r="G921" i="2"/>
  <c r="G920" i="2"/>
  <c r="G953" i="2" s="1"/>
  <c r="G919" i="2"/>
  <c r="G952" i="2" s="1"/>
  <c r="G918" i="2"/>
  <c r="G916" i="2"/>
  <c r="G915" i="2"/>
  <c r="G914" i="2"/>
  <c r="G913" i="2"/>
  <c r="G912" i="2"/>
  <c r="G911" i="2"/>
  <c r="G910" i="2"/>
  <c r="I921" i="2"/>
  <c r="I920" i="2"/>
  <c r="I953" i="2" s="1"/>
  <c r="I919" i="2"/>
  <c r="I918" i="2"/>
  <c r="I916" i="2"/>
  <c r="I915" i="2"/>
  <c r="I914" i="2"/>
  <c r="I913" i="2"/>
  <c r="I912" i="2"/>
  <c r="I911" i="2"/>
  <c r="I910" i="2"/>
  <c r="F869" i="2"/>
  <c r="F868" i="2"/>
  <c r="F901" i="2" s="1"/>
  <c r="F867" i="2"/>
  <c r="F866" i="2"/>
  <c r="F864" i="2"/>
  <c r="F863" i="2"/>
  <c r="F862" i="2"/>
  <c r="F861" i="2"/>
  <c r="F860" i="2"/>
  <c r="F859" i="2"/>
  <c r="F858" i="2"/>
  <c r="G869" i="2"/>
  <c r="G868" i="2"/>
  <c r="G901" i="2" s="1"/>
  <c r="G867" i="2"/>
  <c r="G900" i="2" s="1"/>
  <c r="G866" i="2"/>
  <c r="G864" i="2"/>
  <c r="G863" i="2"/>
  <c r="G862" i="2"/>
  <c r="G861" i="2"/>
  <c r="G860" i="2"/>
  <c r="G859" i="2"/>
  <c r="G858" i="2"/>
  <c r="H869" i="2"/>
  <c r="H868" i="2"/>
  <c r="H901" i="2" s="1"/>
  <c r="H867" i="2"/>
  <c r="H866" i="2"/>
  <c r="H864" i="2"/>
  <c r="H863" i="2"/>
  <c r="H862" i="2"/>
  <c r="H861" i="2"/>
  <c r="H860" i="2"/>
  <c r="H859" i="2"/>
  <c r="H858" i="2"/>
  <c r="I852" i="2"/>
  <c r="I851" i="2"/>
  <c r="I884" i="2" s="1"/>
  <c r="I850" i="2"/>
  <c r="I849" i="2"/>
  <c r="I847" i="2"/>
  <c r="I846" i="2"/>
  <c r="I845" i="2"/>
  <c r="I844" i="2"/>
  <c r="I843" i="2"/>
  <c r="I842" i="2"/>
  <c r="I869" i="2"/>
  <c r="I868" i="2"/>
  <c r="I901" i="2" s="1"/>
  <c r="I867" i="2"/>
  <c r="I900" i="2" s="1"/>
  <c r="I866" i="2"/>
  <c r="I864" i="2"/>
  <c r="I863" i="2"/>
  <c r="I862" i="2"/>
  <c r="I861" i="2"/>
  <c r="I860" i="2"/>
  <c r="I859" i="2"/>
  <c r="I858" i="2"/>
  <c r="G852" i="2"/>
  <c r="G851" i="2"/>
  <c r="G850" i="2"/>
  <c r="G883" i="2" s="1"/>
  <c r="G849" i="2"/>
  <c r="G847" i="2"/>
  <c r="G846" i="2"/>
  <c r="G845" i="2"/>
  <c r="G844" i="2"/>
  <c r="G843" i="2"/>
  <c r="G842" i="2"/>
  <c r="G841" i="2"/>
  <c r="I841" i="2"/>
  <c r="F800" i="2"/>
  <c r="F799" i="2"/>
  <c r="F832" i="2" s="1"/>
  <c r="F798" i="2"/>
  <c r="F831" i="2" s="1"/>
  <c r="F797" i="2"/>
  <c r="F795" i="2"/>
  <c r="F794" i="2"/>
  <c r="F793" i="2"/>
  <c r="F792" i="2"/>
  <c r="F791" i="2"/>
  <c r="F790" i="2"/>
  <c r="F789" i="2"/>
  <c r="G800" i="2"/>
  <c r="G799" i="2"/>
  <c r="G798" i="2"/>
  <c r="G831" i="2" s="1"/>
  <c r="G797" i="2"/>
  <c r="G795" i="2"/>
  <c r="G794" i="2"/>
  <c r="G793" i="2"/>
  <c r="G792" i="2"/>
  <c r="G791" i="2"/>
  <c r="G790" i="2"/>
  <c r="G789" i="2"/>
  <c r="H800" i="2"/>
  <c r="H799" i="2"/>
  <c r="H832" i="2" s="1"/>
  <c r="H798" i="2"/>
  <c r="H797" i="2"/>
  <c r="H795" i="2"/>
  <c r="H794" i="2"/>
  <c r="H793" i="2"/>
  <c r="H792" i="2"/>
  <c r="H791" i="2"/>
  <c r="H790" i="2"/>
  <c r="H789" i="2"/>
  <c r="I800" i="2"/>
  <c r="I799" i="2"/>
  <c r="I832" i="2" s="1"/>
  <c r="I798" i="2"/>
  <c r="I831" i="2" s="1"/>
  <c r="I797" i="2"/>
  <c r="I795" i="2"/>
  <c r="I794" i="2"/>
  <c r="I793" i="2"/>
  <c r="I792" i="2"/>
  <c r="I791" i="2"/>
  <c r="I790" i="2"/>
  <c r="I789" i="2"/>
  <c r="G783" i="2"/>
  <c r="G782" i="2"/>
  <c r="G815" i="2" s="1"/>
  <c r="G781" i="2"/>
  <c r="G814" i="2" s="1"/>
  <c r="G780" i="2"/>
  <c r="G778" i="2"/>
  <c r="G777" i="2"/>
  <c r="G776" i="2"/>
  <c r="G775" i="2"/>
  <c r="G774" i="2"/>
  <c r="G773" i="2"/>
  <c r="G772" i="2"/>
  <c r="I783" i="2"/>
  <c r="I782" i="2"/>
  <c r="I781" i="2"/>
  <c r="I780" i="2"/>
  <c r="I778" i="2"/>
  <c r="I777" i="2"/>
  <c r="I776" i="2"/>
  <c r="I775" i="2"/>
  <c r="I774" i="2"/>
  <c r="I773" i="2"/>
  <c r="I772" i="2"/>
  <c r="F730" i="2"/>
  <c r="F729" i="2"/>
  <c r="F762" i="2" s="1"/>
  <c r="F728" i="2"/>
  <c r="F727" i="2"/>
  <c r="F725" i="2"/>
  <c r="F724" i="2"/>
  <c r="F723" i="2"/>
  <c r="F722" i="2"/>
  <c r="F721" i="2"/>
  <c r="F720" i="2"/>
  <c r="F719" i="2"/>
  <c r="G730" i="2"/>
  <c r="G729" i="2"/>
  <c r="G728" i="2"/>
  <c r="G727" i="2"/>
  <c r="G725" i="2"/>
  <c r="G724" i="2"/>
  <c r="G723" i="2"/>
  <c r="G722" i="2"/>
  <c r="G721" i="2"/>
  <c r="G720" i="2"/>
  <c r="G719" i="2"/>
  <c r="H730" i="2"/>
  <c r="H729" i="2"/>
  <c r="H762" i="2" s="1"/>
  <c r="H728" i="2"/>
  <c r="H761" i="2" s="1"/>
  <c r="H727" i="2"/>
  <c r="H725" i="2"/>
  <c r="H758" i="2" s="1"/>
  <c r="H724" i="2"/>
  <c r="H757" i="2" s="1"/>
  <c r="H723" i="2"/>
  <c r="H756" i="2" s="1"/>
  <c r="H722" i="2"/>
  <c r="H755" i="2" s="1"/>
  <c r="H721" i="2"/>
  <c r="H754" i="2" s="1"/>
  <c r="H720" i="2"/>
  <c r="H753" i="2" s="1"/>
  <c r="H719" i="2"/>
  <c r="H752" i="2" s="1"/>
  <c r="I730" i="2"/>
  <c r="I729" i="2"/>
  <c r="I762" i="2" s="1"/>
  <c r="I728" i="2"/>
  <c r="I761" i="2" s="1"/>
  <c r="I727" i="2"/>
  <c r="I725" i="2"/>
  <c r="I724" i="2"/>
  <c r="I723" i="2"/>
  <c r="I722" i="2"/>
  <c r="I721" i="2"/>
  <c r="I720" i="2"/>
  <c r="I719" i="2"/>
  <c r="G713" i="2"/>
  <c r="G712" i="2"/>
  <c r="G745" i="2" s="1"/>
  <c r="G711" i="2"/>
  <c r="G744" i="2" s="1"/>
  <c r="G710" i="2"/>
  <c r="G708" i="2"/>
  <c r="G707" i="2"/>
  <c r="G706" i="2"/>
  <c r="G705" i="2"/>
  <c r="G704" i="2"/>
  <c r="G703" i="2"/>
  <c r="G702" i="2"/>
  <c r="I713" i="2"/>
  <c r="I712" i="2"/>
  <c r="I745" i="2" s="1"/>
  <c r="I711" i="2"/>
  <c r="I744" i="2" s="1"/>
  <c r="I710" i="2"/>
  <c r="I708" i="2"/>
  <c r="I707" i="2"/>
  <c r="I706" i="2"/>
  <c r="I705" i="2"/>
  <c r="I704" i="2"/>
  <c r="I703" i="2"/>
  <c r="I702" i="2"/>
  <c r="F661" i="2"/>
  <c r="F660" i="2"/>
  <c r="F693" i="2" s="1"/>
  <c r="F659" i="2"/>
  <c r="F692" i="2" s="1"/>
  <c r="F658" i="2"/>
  <c r="F656" i="2"/>
  <c r="F655" i="2"/>
  <c r="F654" i="2"/>
  <c r="F653" i="2"/>
  <c r="F652" i="2"/>
  <c r="F651" i="2"/>
  <c r="F650" i="2"/>
  <c r="G661" i="2"/>
  <c r="G660" i="2"/>
  <c r="G659" i="2"/>
  <c r="G692" i="2" s="1"/>
  <c r="G658" i="2"/>
  <c r="G656" i="2"/>
  <c r="G655" i="2"/>
  <c r="G654" i="2"/>
  <c r="G653" i="2"/>
  <c r="G652" i="2"/>
  <c r="G651" i="2"/>
  <c r="G650" i="2"/>
  <c r="H661" i="2"/>
  <c r="H660" i="2"/>
  <c r="H693" i="2" s="1"/>
  <c r="H659" i="2"/>
  <c r="H692" i="2" s="1"/>
  <c r="H658" i="2"/>
  <c r="H656" i="2"/>
  <c r="H689" i="2" s="1"/>
  <c r="H655" i="2"/>
  <c r="H688" i="2" s="1"/>
  <c r="H654" i="2"/>
  <c r="H687" i="2" s="1"/>
  <c r="H653" i="2"/>
  <c r="H686" i="2" s="1"/>
  <c r="H652" i="2"/>
  <c r="H685" i="2" s="1"/>
  <c r="H651" i="2"/>
  <c r="H684" i="2" s="1"/>
  <c r="I661" i="2"/>
  <c r="I660" i="2"/>
  <c r="I693" i="2" s="1"/>
  <c r="I659" i="2"/>
  <c r="I658" i="2"/>
  <c r="I655" i="2"/>
  <c r="I654" i="2"/>
  <c r="I653" i="2"/>
  <c r="I652" i="2"/>
  <c r="I651" i="2"/>
  <c r="I650" i="2"/>
  <c r="G644" i="2"/>
  <c r="G643" i="2"/>
  <c r="G676" i="2" s="1"/>
  <c r="G642" i="2"/>
  <c r="G675" i="2" s="1"/>
  <c r="G641" i="2"/>
  <c r="G639" i="2"/>
  <c r="G638" i="2"/>
  <c r="G637" i="2"/>
  <c r="G636" i="2"/>
  <c r="G635" i="2"/>
  <c r="G634" i="2"/>
  <c r="G633" i="2"/>
  <c r="I644" i="2"/>
  <c r="I643" i="2"/>
  <c r="I642" i="2"/>
  <c r="I641" i="2"/>
  <c r="I639" i="2"/>
  <c r="I638" i="2"/>
  <c r="I637" i="2"/>
  <c r="I636" i="2"/>
  <c r="I635" i="2"/>
  <c r="I634" i="2"/>
  <c r="I633" i="2"/>
  <c r="G576" i="2"/>
  <c r="G575" i="2"/>
  <c r="G608" i="2" s="1"/>
  <c r="G574" i="2"/>
  <c r="G607" i="2" s="1"/>
  <c r="G573" i="2"/>
  <c r="G571" i="2"/>
  <c r="G570" i="2"/>
  <c r="G569" i="2"/>
  <c r="G568" i="2"/>
  <c r="G567" i="2"/>
  <c r="G566" i="2"/>
  <c r="F593" i="2"/>
  <c r="F592" i="2"/>
  <c r="F625" i="2" s="1"/>
  <c r="F591" i="2"/>
  <c r="F624" i="2" s="1"/>
  <c r="F590" i="2"/>
  <c r="F588" i="2"/>
  <c r="F587" i="2"/>
  <c r="F586" i="2"/>
  <c r="F585" i="2"/>
  <c r="F584" i="2"/>
  <c r="F583" i="2"/>
  <c r="F582" i="2"/>
  <c r="H593" i="2"/>
  <c r="H592" i="2"/>
  <c r="H625" i="2" s="1"/>
  <c r="H591" i="2"/>
  <c r="H624" i="2" s="1"/>
  <c r="H590" i="2"/>
  <c r="H588" i="2"/>
  <c r="H587" i="2"/>
  <c r="H586" i="2"/>
  <c r="H585" i="2"/>
  <c r="H584" i="2"/>
  <c r="H583" i="2"/>
  <c r="H582" i="2"/>
  <c r="G593" i="2"/>
  <c r="G592" i="2"/>
  <c r="G625" i="2" s="1"/>
  <c r="G591" i="2"/>
  <c r="G624" i="2" s="1"/>
  <c r="G590" i="2"/>
  <c r="G588" i="2"/>
  <c r="G587" i="2"/>
  <c r="G586" i="2"/>
  <c r="G585" i="2"/>
  <c r="G584" i="2"/>
  <c r="G583" i="2"/>
  <c r="G582" i="2"/>
  <c r="I582" i="2"/>
  <c r="I583" i="2"/>
  <c r="I584" i="2"/>
  <c r="I585" i="2"/>
  <c r="I586" i="2"/>
  <c r="I587" i="2"/>
  <c r="I588" i="2"/>
  <c r="I590" i="2"/>
  <c r="I591" i="2"/>
  <c r="I592" i="2"/>
  <c r="I625" i="2" s="1"/>
  <c r="I593" i="2"/>
  <c r="G565" i="2"/>
  <c r="G598" i="2" s="1"/>
  <c r="I576" i="2"/>
  <c r="I575" i="2"/>
  <c r="I608" i="2" s="1"/>
  <c r="I574" i="2"/>
  <c r="I607" i="2" s="1"/>
  <c r="I573" i="2"/>
  <c r="I571" i="2"/>
  <c r="I570" i="2"/>
  <c r="I569" i="2"/>
  <c r="I568" i="2"/>
  <c r="I567" i="2"/>
  <c r="I566" i="2"/>
  <c r="I565" i="2"/>
  <c r="H559" i="2"/>
  <c r="G559" i="2"/>
  <c r="F559" i="2"/>
  <c r="H556" i="2"/>
  <c r="G556" i="2"/>
  <c r="F556" i="2"/>
  <c r="F554" i="2"/>
  <c r="F553" i="2"/>
  <c r="G965" i="2" s="1"/>
  <c r="F552" i="2"/>
  <c r="F551" i="2"/>
  <c r="F550" i="2"/>
  <c r="F549" i="2"/>
  <c r="I944" i="2"/>
  <c r="I689" i="2"/>
  <c r="G267" i="2"/>
  <c r="E267" i="2"/>
  <c r="G262" i="2"/>
  <c r="E262" i="2"/>
  <c r="G254" i="2"/>
  <c r="E256" i="2"/>
  <c r="E257" i="2"/>
  <c r="E258" i="2"/>
  <c r="E259" i="2"/>
  <c r="E260" i="2"/>
  <c r="E261" i="2"/>
  <c r="E263" i="2"/>
  <c r="E264" i="2"/>
  <c r="E265" i="2"/>
  <c r="E266" i="2"/>
  <c r="G266" i="2"/>
  <c r="G265" i="2"/>
  <c r="G264" i="2"/>
  <c r="G263" i="2"/>
  <c r="G256" i="2"/>
  <c r="G257" i="2"/>
  <c r="G258" i="2"/>
  <c r="G259" i="2"/>
  <c r="G260" i="2"/>
  <c r="G261" i="2"/>
  <c r="F168" i="2"/>
  <c r="F169" i="2"/>
  <c r="F170" i="2"/>
  <c r="F171" i="2"/>
  <c r="F172" i="2"/>
  <c r="F173" i="2"/>
  <c r="F174" i="2"/>
  <c r="F176" i="2"/>
  <c r="F177" i="2"/>
  <c r="F178" i="2"/>
  <c r="F179" i="2"/>
  <c r="G179" i="2"/>
  <c r="G178" i="2"/>
  <c r="G177" i="2"/>
  <c r="G176" i="2"/>
  <c r="G169" i="2"/>
  <c r="G170" i="2"/>
  <c r="G171" i="2"/>
  <c r="G172" i="2"/>
  <c r="G173" i="2"/>
  <c r="G174" i="2"/>
  <c r="G168" i="2"/>
  <c r="G232" i="2"/>
  <c r="F232" i="2"/>
  <c r="F249" i="2" s="1"/>
  <c r="E232" i="2"/>
  <c r="E249" i="2" s="1"/>
  <c r="G231" i="2"/>
  <c r="F231" i="2"/>
  <c r="F248" i="2" s="1"/>
  <c r="E231" i="2"/>
  <c r="G230" i="2"/>
  <c r="F230" i="2"/>
  <c r="F247" i="2" s="1"/>
  <c r="E230" i="2"/>
  <c r="G229" i="2"/>
  <c r="F229" i="2"/>
  <c r="E229" i="2"/>
  <c r="E246" i="2" s="1"/>
  <c r="E221" i="2"/>
  <c r="E238" i="2" s="1"/>
  <c r="F238" i="2"/>
  <c r="E222" i="2"/>
  <c r="E239" i="2" s="1"/>
  <c r="F222" i="2"/>
  <c r="F239" i="2" s="1"/>
  <c r="E223" i="2"/>
  <c r="F223" i="2"/>
  <c r="E224" i="2"/>
  <c r="F224" i="2"/>
  <c r="F241" i="2" s="1"/>
  <c r="E225" i="2"/>
  <c r="E242" i="2" s="1"/>
  <c r="F225" i="2"/>
  <c r="F242" i="2" s="1"/>
  <c r="E226" i="2"/>
  <c r="E243" i="2" s="1"/>
  <c r="F226" i="2"/>
  <c r="F243" i="2" s="1"/>
  <c r="E227" i="2"/>
  <c r="E244" i="2" s="1"/>
  <c r="F227" i="2"/>
  <c r="F244" i="2" s="1"/>
  <c r="G222" i="2"/>
  <c r="G223" i="2"/>
  <c r="G224" i="2"/>
  <c r="G225" i="2"/>
  <c r="G226" i="2"/>
  <c r="G227" i="2"/>
  <c r="G221" i="2"/>
  <c r="W368" i="10"/>
  <c r="W328" i="10"/>
  <c r="W252" i="10"/>
  <c r="I216" i="10"/>
  <c r="I257" i="10" s="1"/>
  <c r="L1064" i="10"/>
  <c r="M1064" i="10" s="1"/>
  <c r="W14" i="11"/>
  <c r="W15" i="11"/>
  <c r="W13" i="11"/>
  <c r="W12" i="11"/>
  <c r="W11" i="11"/>
  <c r="W10" i="11"/>
  <c r="W9" i="11"/>
  <c r="W8" i="11"/>
  <c r="W7" i="11"/>
  <c r="W6" i="11"/>
  <c r="W5" i="11"/>
  <c r="I303" i="2"/>
  <c r="L1047" i="10" s="1"/>
  <c r="M1047" i="10" s="1"/>
  <c r="G81" i="2"/>
  <c r="G80" i="2"/>
  <c r="G79" i="2"/>
  <c r="G78" i="2"/>
  <c r="G77" i="2"/>
  <c r="G76" i="2"/>
  <c r="G75" i="2"/>
  <c r="G74" i="2"/>
  <c r="G73" i="2"/>
  <c r="G72" i="2"/>
  <c r="G71" i="2"/>
  <c r="G70" i="2"/>
  <c r="G68" i="2"/>
  <c r="G69" i="2"/>
  <c r="F81" i="2"/>
  <c r="F80" i="2"/>
  <c r="F79" i="2"/>
  <c r="F78" i="2"/>
  <c r="F77" i="2"/>
  <c r="F76" i="2"/>
  <c r="F75" i="2"/>
  <c r="F74" i="2"/>
  <c r="F73" i="2"/>
  <c r="F72" i="2"/>
  <c r="F71" i="2"/>
  <c r="F70" i="2"/>
  <c r="F68" i="2"/>
  <c r="F69" i="2"/>
  <c r="F49" i="2"/>
  <c r="F48" i="2"/>
  <c r="F47" i="2"/>
  <c r="F46" i="2"/>
  <c r="F45" i="2"/>
  <c r="F44" i="2"/>
  <c r="F43" i="2"/>
  <c r="F42" i="2"/>
  <c r="F41" i="2"/>
  <c r="F40" i="2"/>
  <c r="F39" i="2"/>
  <c r="F38" i="2"/>
  <c r="F37" i="2"/>
  <c r="F36" i="2"/>
  <c r="B38" i="29" s="1"/>
  <c r="G49" i="2"/>
  <c r="G48" i="2"/>
  <c r="G47" i="2"/>
  <c r="G46" i="2"/>
  <c r="G45" i="2"/>
  <c r="G44" i="2"/>
  <c r="G43" i="2"/>
  <c r="G42" i="2"/>
  <c r="G41" i="2"/>
  <c r="G40" i="2"/>
  <c r="G39" i="2"/>
  <c r="G38" i="2"/>
  <c r="G36" i="2"/>
  <c r="B39" i="29" s="1"/>
  <c r="G37" i="2"/>
  <c r="W688" i="10"/>
  <c r="G115" i="2"/>
  <c r="G114" i="2"/>
  <c r="G113" i="2"/>
  <c r="G112" i="2"/>
  <c r="G111" i="2"/>
  <c r="G110" i="2"/>
  <c r="G109" i="2"/>
  <c r="G108" i="2"/>
  <c r="G107" i="2"/>
  <c r="G106" i="2"/>
  <c r="G105" i="2"/>
  <c r="G104" i="2"/>
  <c r="G103" i="2"/>
  <c r="F115" i="2"/>
  <c r="F110" i="2"/>
  <c r="F102" i="2"/>
  <c r="F114" i="2"/>
  <c r="F113" i="2"/>
  <c r="F112" i="2"/>
  <c r="F111" i="2"/>
  <c r="F109" i="2"/>
  <c r="F108" i="2"/>
  <c r="F107" i="2"/>
  <c r="F106" i="2"/>
  <c r="F105" i="2"/>
  <c r="F104" i="2"/>
  <c r="F103" i="2"/>
  <c r="W648" i="10"/>
  <c r="W608" i="10"/>
  <c r="W211" i="10"/>
  <c r="W171" i="10"/>
  <c r="W73" i="10"/>
  <c r="AF491" i="2"/>
  <c r="AF499" i="2"/>
  <c r="AF504" i="2"/>
  <c r="AF455" i="2"/>
  <c r="AF463" i="2"/>
  <c r="AF468" i="2"/>
  <c r="AD365" i="2"/>
  <c r="AD373" i="2"/>
  <c r="AD378" i="2"/>
  <c r="AD401" i="2"/>
  <c r="AD409" i="2"/>
  <c r="AD414" i="2"/>
  <c r="JX82" i="5"/>
  <c r="AF492" i="2" s="1"/>
  <c r="JX83" i="5"/>
  <c r="AF493" i="2" s="1"/>
  <c r="JX84" i="5"/>
  <c r="AF494" i="2" s="1"/>
  <c r="JX85" i="5"/>
  <c r="AF495" i="2" s="1"/>
  <c r="JX86" i="5"/>
  <c r="AF496" i="2" s="1"/>
  <c r="JX87" i="5"/>
  <c r="AF497" i="2" s="1"/>
  <c r="JX88" i="5"/>
  <c r="AF498" i="2" s="1"/>
  <c r="JX90" i="5"/>
  <c r="AF500" i="2" s="1"/>
  <c r="JX91" i="5"/>
  <c r="AF501" i="2" s="1"/>
  <c r="JX92" i="5"/>
  <c r="AF502" i="2" s="1"/>
  <c r="JX93" i="5"/>
  <c r="AF503" i="2" s="1"/>
  <c r="JX66" i="5"/>
  <c r="AF456" i="2" s="1"/>
  <c r="JX67" i="5"/>
  <c r="AF457" i="2" s="1"/>
  <c r="JX68" i="5"/>
  <c r="AF458" i="2" s="1"/>
  <c r="JX69" i="5"/>
  <c r="AF459" i="2" s="1"/>
  <c r="JX70" i="5"/>
  <c r="AF460" i="2" s="1"/>
  <c r="JX71" i="5"/>
  <c r="AF461" i="2" s="1"/>
  <c r="JX72" i="5"/>
  <c r="AF462" i="2" s="1"/>
  <c r="JX74" i="5"/>
  <c r="AF464" i="2" s="1"/>
  <c r="JX75" i="5"/>
  <c r="AF465" i="2" s="1"/>
  <c r="JX76" i="5"/>
  <c r="AF466" i="2" s="1"/>
  <c r="JX77" i="5"/>
  <c r="AF467" i="2" s="1"/>
  <c r="JX46" i="5"/>
  <c r="JX102" i="5" s="1"/>
  <c r="AF534" i="2" s="1"/>
  <c r="JX47" i="5"/>
  <c r="JX100" i="5" s="1"/>
  <c r="AF532" i="2" s="1"/>
  <c r="JX48" i="5"/>
  <c r="JX97" i="5" s="1"/>
  <c r="AF529" i="2" s="1"/>
  <c r="JX49" i="5"/>
  <c r="JX106" i="5" s="1"/>
  <c r="AF538" i="2" s="1"/>
  <c r="JX50" i="5"/>
  <c r="JX108" i="5" s="1"/>
  <c r="AF540" i="2" s="1"/>
  <c r="JX51" i="5"/>
  <c r="JX98" i="5" s="1"/>
  <c r="AF530" i="2" s="1"/>
  <c r="JX52" i="5"/>
  <c r="JX101" i="5" s="1"/>
  <c r="AF533" i="2" s="1"/>
  <c r="JX53" i="5"/>
  <c r="JX105" i="5" s="1"/>
  <c r="AF537" i="2" s="1"/>
  <c r="JX54" i="5"/>
  <c r="JX103" i="5" s="1"/>
  <c r="AF535" i="2" s="1"/>
  <c r="JX55" i="5"/>
  <c r="JX99" i="5" s="1"/>
  <c r="AF531" i="2" s="1"/>
  <c r="JX56" i="5"/>
  <c r="JX107" i="5" s="1"/>
  <c r="AF539" i="2" s="1"/>
  <c r="HL66" i="5"/>
  <c r="AD366" i="2" s="1"/>
  <c r="HL67" i="5"/>
  <c r="AD367" i="2" s="1"/>
  <c r="HL68" i="5"/>
  <c r="AD368" i="2" s="1"/>
  <c r="HL69" i="5"/>
  <c r="AD369" i="2" s="1"/>
  <c r="HL70" i="5"/>
  <c r="AD370" i="2" s="1"/>
  <c r="HL71" i="5"/>
  <c r="AD371" i="2" s="1"/>
  <c r="HL72" i="5"/>
  <c r="AD372" i="2" s="1"/>
  <c r="HL74" i="5"/>
  <c r="AD374" i="2" s="1"/>
  <c r="HL75" i="5"/>
  <c r="AD375" i="2" s="1"/>
  <c r="HL76" i="5"/>
  <c r="AD376" i="2" s="1"/>
  <c r="HL77" i="5"/>
  <c r="AD377" i="2" s="1"/>
  <c r="HL82" i="5"/>
  <c r="AD402" i="2" s="1"/>
  <c r="HL83" i="5"/>
  <c r="AD403" i="2" s="1"/>
  <c r="HL84" i="5"/>
  <c r="AD404" i="2" s="1"/>
  <c r="HL85" i="5"/>
  <c r="AD405" i="2" s="1"/>
  <c r="HL86" i="5"/>
  <c r="AD406" i="2" s="1"/>
  <c r="HL87" i="5"/>
  <c r="AD407" i="2" s="1"/>
  <c r="HL88" i="5"/>
  <c r="AD408" i="2" s="1"/>
  <c r="HL90" i="5"/>
  <c r="AD410" i="2" s="1"/>
  <c r="HL91" i="5"/>
  <c r="AD411" i="2" s="1"/>
  <c r="HL92" i="5"/>
  <c r="AD412" i="2" s="1"/>
  <c r="HL93" i="5"/>
  <c r="AD413" i="2" s="1"/>
  <c r="HL46" i="5"/>
  <c r="HL102" i="5" s="1"/>
  <c r="AD444" i="2" s="1"/>
  <c r="HL47" i="5"/>
  <c r="HL100" i="5" s="1"/>
  <c r="AD442" i="2" s="1"/>
  <c r="HL48" i="5"/>
  <c r="HL97" i="5" s="1"/>
  <c r="AD439" i="2" s="1"/>
  <c r="HL49" i="5"/>
  <c r="HL106" i="5" s="1"/>
  <c r="AD448" i="2" s="1"/>
  <c r="HL50" i="5"/>
  <c r="HL108" i="5" s="1"/>
  <c r="AD450" i="2" s="1"/>
  <c r="HL51" i="5"/>
  <c r="HL98" i="5" s="1"/>
  <c r="AD440" i="2" s="1"/>
  <c r="HL52" i="5"/>
  <c r="HL101" i="5" s="1"/>
  <c r="AD443" i="2" s="1"/>
  <c r="HL53" i="5"/>
  <c r="HL105" i="5" s="1"/>
  <c r="AD447" i="2" s="1"/>
  <c r="HL54" i="5"/>
  <c r="HL103" i="5" s="1"/>
  <c r="AD445" i="2" s="1"/>
  <c r="HL55" i="5"/>
  <c r="HL99" i="5" s="1"/>
  <c r="AD441" i="2" s="1"/>
  <c r="HL56" i="5"/>
  <c r="HL107" i="5" s="1"/>
  <c r="AD449" i="2" s="1"/>
  <c r="AC491" i="2"/>
  <c r="AD491" i="2"/>
  <c r="AE491" i="2"/>
  <c r="AC499" i="2"/>
  <c r="AD499" i="2"/>
  <c r="AE499" i="2"/>
  <c r="AC504" i="2"/>
  <c r="AD504" i="2"/>
  <c r="AE504" i="2"/>
  <c r="AC455" i="2"/>
  <c r="AD455" i="2"/>
  <c r="AE455" i="2"/>
  <c r="AC463" i="2"/>
  <c r="AD463" i="2"/>
  <c r="AE463" i="2"/>
  <c r="AC468" i="2"/>
  <c r="AD468" i="2"/>
  <c r="AE468" i="2"/>
  <c r="AA401" i="2"/>
  <c r="AB401" i="2"/>
  <c r="AC401" i="2"/>
  <c r="AA409" i="2"/>
  <c r="AB409" i="2"/>
  <c r="AC409" i="2"/>
  <c r="AA414" i="2"/>
  <c r="AB414" i="2"/>
  <c r="AC414" i="2"/>
  <c r="AA378" i="2"/>
  <c r="AB378" i="2"/>
  <c r="AC378" i="2"/>
  <c r="HI82" i="5"/>
  <c r="AA402" i="2" s="1"/>
  <c r="HJ82" i="5"/>
  <c r="AB402" i="2" s="1"/>
  <c r="HK82" i="5"/>
  <c r="AC402" i="2" s="1"/>
  <c r="HI83" i="5"/>
  <c r="AA403" i="2" s="1"/>
  <c r="HJ83" i="5"/>
  <c r="AB403" i="2" s="1"/>
  <c r="HK83" i="5"/>
  <c r="AC403" i="2" s="1"/>
  <c r="HI84" i="5"/>
  <c r="AA404" i="2" s="1"/>
  <c r="HJ84" i="5"/>
  <c r="AB404" i="2" s="1"/>
  <c r="HK84" i="5"/>
  <c r="AC404" i="2" s="1"/>
  <c r="HI85" i="5"/>
  <c r="AA405" i="2" s="1"/>
  <c r="HJ85" i="5"/>
  <c r="AB405" i="2" s="1"/>
  <c r="HK85" i="5"/>
  <c r="AC405" i="2" s="1"/>
  <c r="HI86" i="5"/>
  <c r="AA406" i="2" s="1"/>
  <c r="HJ86" i="5"/>
  <c r="AB406" i="2" s="1"/>
  <c r="HK86" i="5"/>
  <c r="AC406" i="2" s="1"/>
  <c r="HI87" i="5"/>
  <c r="AA407" i="2" s="1"/>
  <c r="HJ87" i="5"/>
  <c r="AB407" i="2" s="1"/>
  <c r="HK87" i="5"/>
  <c r="AC407" i="2" s="1"/>
  <c r="HI88" i="5"/>
  <c r="AA408" i="2" s="1"/>
  <c r="HJ88" i="5"/>
  <c r="AB408" i="2" s="1"/>
  <c r="HK88" i="5"/>
  <c r="AC408" i="2" s="1"/>
  <c r="HI90" i="5"/>
  <c r="AA410" i="2" s="1"/>
  <c r="HJ90" i="5"/>
  <c r="AB410" i="2" s="1"/>
  <c r="HK90" i="5"/>
  <c r="AC410" i="2" s="1"/>
  <c r="HI91" i="5"/>
  <c r="AA411" i="2" s="1"/>
  <c r="HJ91" i="5"/>
  <c r="AB411" i="2" s="1"/>
  <c r="HK91" i="5"/>
  <c r="AC411" i="2" s="1"/>
  <c r="HI92" i="5"/>
  <c r="AA412" i="2" s="1"/>
  <c r="HJ92" i="5"/>
  <c r="AB412" i="2" s="1"/>
  <c r="HK92" i="5"/>
  <c r="AC412" i="2" s="1"/>
  <c r="HI93" i="5"/>
  <c r="AA413" i="2" s="1"/>
  <c r="HJ93" i="5"/>
  <c r="AB413" i="2" s="1"/>
  <c r="HK93" i="5"/>
  <c r="AC413" i="2" s="1"/>
  <c r="HI66" i="5"/>
  <c r="AA366" i="2" s="1"/>
  <c r="HJ66" i="5"/>
  <c r="AB366" i="2" s="1"/>
  <c r="HK66" i="5"/>
  <c r="AC366" i="2" s="1"/>
  <c r="HI67" i="5"/>
  <c r="AA367" i="2" s="1"/>
  <c r="HJ67" i="5"/>
  <c r="AB367" i="2" s="1"/>
  <c r="HK67" i="5"/>
  <c r="AC367" i="2" s="1"/>
  <c r="HI68" i="5"/>
  <c r="AA368" i="2" s="1"/>
  <c r="HJ68" i="5"/>
  <c r="AB368" i="2" s="1"/>
  <c r="HK68" i="5"/>
  <c r="AC368" i="2" s="1"/>
  <c r="HI69" i="5"/>
  <c r="AA369" i="2" s="1"/>
  <c r="HJ69" i="5"/>
  <c r="AB369" i="2" s="1"/>
  <c r="HK69" i="5"/>
  <c r="AC369" i="2" s="1"/>
  <c r="HI70" i="5"/>
  <c r="AA370" i="2" s="1"/>
  <c r="HJ70" i="5"/>
  <c r="AB370" i="2" s="1"/>
  <c r="HK70" i="5"/>
  <c r="AC370" i="2" s="1"/>
  <c r="HI71" i="5"/>
  <c r="AA371" i="2" s="1"/>
  <c r="HJ71" i="5"/>
  <c r="AB371" i="2" s="1"/>
  <c r="HK71" i="5"/>
  <c r="AC371" i="2" s="1"/>
  <c r="HI72" i="5"/>
  <c r="AA372" i="2" s="1"/>
  <c r="HJ72" i="5"/>
  <c r="AB372" i="2" s="1"/>
  <c r="HK72" i="5"/>
  <c r="AC372" i="2" s="1"/>
  <c r="HI74" i="5"/>
  <c r="AA374" i="2" s="1"/>
  <c r="HJ74" i="5"/>
  <c r="AB374" i="2" s="1"/>
  <c r="HK74" i="5"/>
  <c r="AC374" i="2" s="1"/>
  <c r="HI75" i="5"/>
  <c r="AA375" i="2" s="1"/>
  <c r="HJ75" i="5"/>
  <c r="AB375" i="2" s="1"/>
  <c r="HK75" i="5"/>
  <c r="AC375" i="2" s="1"/>
  <c r="HI76" i="5"/>
  <c r="AA376" i="2" s="1"/>
  <c r="HJ76" i="5"/>
  <c r="AB376" i="2" s="1"/>
  <c r="HK76" i="5"/>
  <c r="AC376" i="2" s="1"/>
  <c r="HI77" i="5"/>
  <c r="AA377" i="2" s="1"/>
  <c r="HJ77" i="5"/>
  <c r="AB377" i="2" s="1"/>
  <c r="HK77" i="5"/>
  <c r="AC377" i="2" s="1"/>
  <c r="HI46" i="5"/>
  <c r="HJ46" i="5"/>
  <c r="HJ102" i="5" s="1"/>
  <c r="AB444" i="2" s="1"/>
  <c r="HK46" i="5"/>
  <c r="HK102" i="5" s="1"/>
  <c r="AC444" i="2" s="1"/>
  <c r="HI47" i="5"/>
  <c r="HI100" i="5" s="1"/>
  <c r="AA442" i="2" s="1"/>
  <c r="HJ47" i="5"/>
  <c r="HJ100" i="5" s="1"/>
  <c r="AB442" i="2" s="1"/>
  <c r="HK47" i="5"/>
  <c r="HI48" i="5"/>
  <c r="HI97" i="5" s="1"/>
  <c r="AA439" i="2" s="1"/>
  <c r="HJ48" i="5"/>
  <c r="HJ97" i="5" s="1"/>
  <c r="AB439" i="2" s="1"/>
  <c r="HK48" i="5"/>
  <c r="HK97" i="5" s="1"/>
  <c r="AC439" i="2" s="1"/>
  <c r="HI49" i="5"/>
  <c r="HI106" i="5" s="1"/>
  <c r="AA448" i="2" s="1"/>
  <c r="HJ49" i="5"/>
  <c r="HJ106" i="5" s="1"/>
  <c r="AB448" i="2" s="1"/>
  <c r="HK49" i="5"/>
  <c r="HI50" i="5"/>
  <c r="HI108" i="5" s="1"/>
  <c r="AA450" i="2" s="1"/>
  <c r="HJ50" i="5"/>
  <c r="HJ108" i="5" s="1"/>
  <c r="AB450" i="2" s="1"/>
  <c r="HK50" i="5"/>
  <c r="HK108" i="5" s="1"/>
  <c r="AC450" i="2" s="1"/>
  <c r="HI51" i="5"/>
  <c r="HI98" i="5" s="1"/>
  <c r="AA440" i="2" s="1"/>
  <c r="HJ51" i="5"/>
  <c r="HK51" i="5"/>
  <c r="HK98" i="5" s="1"/>
  <c r="AC440" i="2" s="1"/>
  <c r="HI52" i="5"/>
  <c r="HI101" i="5" s="1"/>
  <c r="AA443" i="2" s="1"/>
  <c r="HJ52" i="5"/>
  <c r="HJ101" i="5" s="1"/>
  <c r="AB443" i="2" s="1"/>
  <c r="HK52" i="5"/>
  <c r="HK101" i="5" s="1"/>
  <c r="AC443" i="2" s="1"/>
  <c r="HI53" i="5"/>
  <c r="HI105" i="5" s="1"/>
  <c r="AA447" i="2" s="1"/>
  <c r="HJ53" i="5"/>
  <c r="HJ105" i="5" s="1"/>
  <c r="AB447" i="2" s="1"/>
  <c r="HK53" i="5"/>
  <c r="HK105" i="5" s="1"/>
  <c r="AC447" i="2" s="1"/>
  <c r="HI54" i="5"/>
  <c r="HI103" i="5" s="1"/>
  <c r="AA445" i="2" s="1"/>
  <c r="HJ54" i="5"/>
  <c r="HJ103" i="5" s="1"/>
  <c r="AB445" i="2" s="1"/>
  <c r="HK54" i="5"/>
  <c r="HK103" i="5" s="1"/>
  <c r="AC445" i="2" s="1"/>
  <c r="HI55" i="5"/>
  <c r="HI99" i="5" s="1"/>
  <c r="AA441" i="2" s="1"/>
  <c r="HJ55" i="5"/>
  <c r="HJ99" i="5" s="1"/>
  <c r="AB441" i="2" s="1"/>
  <c r="HK55" i="5"/>
  <c r="HK99" i="5" s="1"/>
  <c r="AC441" i="2" s="1"/>
  <c r="HI56" i="5"/>
  <c r="HI107" i="5" s="1"/>
  <c r="AA449" i="2" s="1"/>
  <c r="HJ56" i="5"/>
  <c r="HJ107" i="5" s="1"/>
  <c r="AB449" i="2" s="1"/>
  <c r="HK56" i="5"/>
  <c r="HK107" i="5" s="1"/>
  <c r="AC449" i="2" s="1"/>
  <c r="JU82" i="5"/>
  <c r="AC492" i="2" s="1"/>
  <c r="JV82" i="5"/>
  <c r="AD492" i="2" s="1"/>
  <c r="JW82" i="5"/>
  <c r="AE492" i="2" s="1"/>
  <c r="JU83" i="5"/>
  <c r="AC493" i="2" s="1"/>
  <c r="JV83" i="5"/>
  <c r="AD493" i="2" s="1"/>
  <c r="JW83" i="5"/>
  <c r="AE493" i="2" s="1"/>
  <c r="JU84" i="5"/>
  <c r="AC494" i="2" s="1"/>
  <c r="JV84" i="5"/>
  <c r="AD494" i="2" s="1"/>
  <c r="JW84" i="5"/>
  <c r="AE494" i="2" s="1"/>
  <c r="JU85" i="5"/>
  <c r="AC495" i="2" s="1"/>
  <c r="JV85" i="5"/>
  <c r="AD495" i="2" s="1"/>
  <c r="JW85" i="5"/>
  <c r="AE495" i="2" s="1"/>
  <c r="JU86" i="5"/>
  <c r="AC496" i="2" s="1"/>
  <c r="JV86" i="5"/>
  <c r="AD496" i="2" s="1"/>
  <c r="JW86" i="5"/>
  <c r="AE496" i="2" s="1"/>
  <c r="JU87" i="5"/>
  <c r="AC497" i="2" s="1"/>
  <c r="JV87" i="5"/>
  <c r="AD497" i="2" s="1"/>
  <c r="JW87" i="5"/>
  <c r="AE497" i="2" s="1"/>
  <c r="JU88" i="5"/>
  <c r="AC498" i="2" s="1"/>
  <c r="JV88" i="5"/>
  <c r="AD498" i="2" s="1"/>
  <c r="JW88" i="5"/>
  <c r="AE498" i="2" s="1"/>
  <c r="JU90" i="5"/>
  <c r="AC500" i="2" s="1"/>
  <c r="JV90" i="5"/>
  <c r="AD500" i="2" s="1"/>
  <c r="JW90" i="5"/>
  <c r="AE500" i="2" s="1"/>
  <c r="JU91" i="5"/>
  <c r="AC501" i="2" s="1"/>
  <c r="JV91" i="5"/>
  <c r="AD501" i="2" s="1"/>
  <c r="JW91" i="5"/>
  <c r="AE501" i="2" s="1"/>
  <c r="JU92" i="5"/>
  <c r="AC502" i="2" s="1"/>
  <c r="JV92" i="5"/>
  <c r="AD502" i="2" s="1"/>
  <c r="JW92" i="5"/>
  <c r="AE502" i="2" s="1"/>
  <c r="JU93" i="5"/>
  <c r="AC503" i="2" s="1"/>
  <c r="JV93" i="5"/>
  <c r="AD503" i="2" s="1"/>
  <c r="JW93" i="5"/>
  <c r="AE503" i="2" s="1"/>
  <c r="JU66" i="5"/>
  <c r="AC456" i="2" s="1"/>
  <c r="JV66" i="5"/>
  <c r="AD456" i="2" s="1"/>
  <c r="JW66" i="5"/>
  <c r="AE456" i="2" s="1"/>
  <c r="JU67" i="5"/>
  <c r="AC457" i="2" s="1"/>
  <c r="JV67" i="5"/>
  <c r="AD457" i="2" s="1"/>
  <c r="JW67" i="5"/>
  <c r="AE457" i="2" s="1"/>
  <c r="JU68" i="5"/>
  <c r="AC458" i="2" s="1"/>
  <c r="JV68" i="5"/>
  <c r="AD458" i="2" s="1"/>
  <c r="JW68" i="5"/>
  <c r="AE458" i="2" s="1"/>
  <c r="JU69" i="5"/>
  <c r="AC459" i="2" s="1"/>
  <c r="JV69" i="5"/>
  <c r="AD459" i="2" s="1"/>
  <c r="JW69" i="5"/>
  <c r="AE459" i="2" s="1"/>
  <c r="JU70" i="5"/>
  <c r="AC460" i="2" s="1"/>
  <c r="JV70" i="5"/>
  <c r="AD460" i="2" s="1"/>
  <c r="JW70" i="5"/>
  <c r="AE460" i="2" s="1"/>
  <c r="JU71" i="5"/>
  <c r="AC461" i="2" s="1"/>
  <c r="JV71" i="5"/>
  <c r="AD461" i="2" s="1"/>
  <c r="JW71" i="5"/>
  <c r="AE461" i="2" s="1"/>
  <c r="JU72" i="5"/>
  <c r="AC462" i="2" s="1"/>
  <c r="JV72" i="5"/>
  <c r="AD462" i="2" s="1"/>
  <c r="JW72" i="5"/>
  <c r="AE462" i="2" s="1"/>
  <c r="JU74" i="5"/>
  <c r="AC464" i="2" s="1"/>
  <c r="JV74" i="5"/>
  <c r="AD464" i="2" s="1"/>
  <c r="JW74" i="5"/>
  <c r="AE464" i="2" s="1"/>
  <c r="JU75" i="5"/>
  <c r="AC465" i="2" s="1"/>
  <c r="JV75" i="5"/>
  <c r="AD465" i="2" s="1"/>
  <c r="JW75" i="5"/>
  <c r="AE465" i="2" s="1"/>
  <c r="JU76" i="5"/>
  <c r="AC466" i="2" s="1"/>
  <c r="JV76" i="5"/>
  <c r="AD466" i="2" s="1"/>
  <c r="JW76" i="5"/>
  <c r="AE466" i="2" s="1"/>
  <c r="JU77" i="5"/>
  <c r="AC467" i="2" s="1"/>
  <c r="JV77" i="5"/>
  <c r="AD467" i="2" s="1"/>
  <c r="JW77" i="5"/>
  <c r="AE467" i="2" s="1"/>
  <c r="JU46" i="5"/>
  <c r="JU102" i="5" s="1"/>
  <c r="AC534" i="2" s="1"/>
  <c r="JV46" i="5"/>
  <c r="JV102" i="5" s="1"/>
  <c r="AD534" i="2" s="1"/>
  <c r="JW46" i="5"/>
  <c r="JW102" i="5" s="1"/>
  <c r="AE534" i="2" s="1"/>
  <c r="JU47" i="5"/>
  <c r="JU100" i="5" s="1"/>
  <c r="AC532" i="2" s="1"/>
  <c r="JV47" i="5"/>
  <c r="JV100" i="5" s="1"/>
  <c r="AD532" i="2" s="1"/>
  <c r="JW47" i="5"/>
  <c r="JW100" i="5" s="1"/>
  <c r="AE532" i="2" s="1"/>
  <c r="JU48" i="5"/>
  <c r="JU97" i="5" s="1"/>
  <c r="AC529" i="2" s="1"/>
  <c r="JV48" i="5"/>
  <c r="JV97" i="5" s="1"/>
  <c r="AD529" i="2" s="1"/>
  <c r="JW48" i="5"/>
  <c r="JW97" i="5" s="1"/>
  <c r="AE529" i="2" s="1"/>
  <c r="JU49" i="5"/>
  <c r="JU106" i="5" s="1"/>
  <c r="AC538" i="2" s="1"/>
  <c r="JV49" i="5"/>
  <c r="JW49" i="5"/>
  <c r="JU50" i="5"/>
  <c r="JU108" i="5" s="1"/>
  <c r="AC540" i="2" s="1"/>
  <c r="JV50" i="5"/>
  <c r="JV108" i="5" s="1"/>
  <c r="AD540" i="2" s="1"/>
  <c r="JW50" i="5"/>
  <c r="JW108" i="5" s="1"/>
  <c r="AE540" i="2" s="1"/>
  <c r="JU51" i="5"/>
  <c r="JU98" i="5" s="1"/>
  <c r="AC530" i="2" s="1"/>
  <c r="JV51" i="5"/>
  <c r="JV98" i="5" s="1"/>
  <c r="AD530" i="2" s="1"/>
  <c r="JW51" i="5"/>
  <c r="JW98" i="5" s="1"/>
  <c r="AE530" i="2" s="1"/>
  <c r="JU52" i="5"/>
  <c r="JU101" i="5" s="1"/>
  <c r="AC533" i="2" s="1"/>
  <c r="JV52" i="5"/>
  <c r="JV101" i="5" s="1"/>
  <c r="AD533" i="2" s="1"/>
  <c r="JW52" i="5"/>
  <c r="JW101" i="5" s="1"/>
  <c r="AE533" i="2" s="1"/>
  <c r="JU53" i="5"/>
  <c r="JV53" i="5"/>
  <c r="JV105" i="5" s="1"/>
  <c r="AD537" i="2" s="1"/>
  <c r="JW53" i="5"/>
  <c r="JW105" i="5" s="1"/>
  <c r="AE537" i="2" s="1"/>
  <c r="JU54" i="5"/>
  <c r="JU103" i="5" s="1"/>
  <c r="AC535" i="2" s="1"/>
  <c r="JV54" i="5"/>
  <c r="JV103" i="5" s="1"/>
  <c r="AD535" i="2" s="1"/>
  <c r="JW54" i="5"/>
  <c r="JW103" i="5" s="1"/>
  <c r="AE535" i="2" s="1"/>
  <c r="JU55" i="5"/>
  <c r="JU99" i="5" s="1"/>
  <c r="AC531" i="2" s="1"/>
  <c r="JV55" i="5"/>
  <c r="JW55" i="5"/>
  <c r="JW99" i="5" s="1"/>
  <c r="AE531" i="2" s="1"/>
  <c r="JU56" i="5"/>
  <c r="JU107" i="5" s="1"/>
  <c r="AC539" i="2" s="1"/>
  <c r="JV56" i="5"/>
  <c r="JV107" i="5" s="1"/>
  <c r="AD539" i="2" s="1"/>
  <c r="JW56" i="5"/>
  <c r="JW107" i="5" s="1"/>
  <c r="AE539" i="2" s="1"/>
  <c r="AB491" i="2"/>
  <c r="AB499" i="2"/>
  <c r="AB504" i="2"/>
  <c r="AB455" i="2"/>
  <c r="AB463" i="2"/>
  <c r="AB468" i="2"/>
  <c r="JT82" i="5"/>
  <c r="AB492" i="2" s="1"/>
  <c r="JT83" i="5"/>
  <c r="AB493" i="2" s="1"/>
  <c r="JT84" i="5"/>
  <c r="AB494" i="2" s="1"/>
  <c r="JT85" i="5"/>
  <c r="AB495" i="2" s="1"/>
  <c r="JT86" i="5"/>
  <c r="AB496" i="2" s="1"/>
  <c r="JT87" i="5"/>
  <c r="AB497" i="2" s="1"/>
  <c r="JT88" i="5"/>
  <c r="AB498" i="2" s="1"/>
  <c r="JT90" i="5"/>
  <c r="AB500" i="2" s="1"/>
  <c r="JT91" i="5"/>
  <c r="AB501" i="2" s="1"/>
  <c r="JT92" i="5"/>
  <c r="AB502" i="2" s="1"/>
  <c r="JT93" i="5"/>
  <c r="AB503" i="2" s="1"/>
  <c r="JT66" i="5"/>
  <c r="AB456" i="2" s="1"/>
  <c r="JT67" i="5"/>
  <c r="AB457" i="2" s="1"/>
  <c r="JT68" i="5"/>
  <c r="AB458" i="2" s="1"/>
  <c r="JT69" i="5"/>
  <c r="AB459" i="2" s="1"/>
  <c r="JT70" i="5"/>
  <c r="AB460" i="2" s="1"/>
  <c r="JT71" i="5"/>
  <c r="AB461" i="2" s="1"/>
  <c r="JT72" i="5"/>
  <c r="AB462" i="2" s="1"/>
  <c r="JT74" i="5"/>
  <c r="AB464" i="2" s="1"/>
  <c r="JT75" i="5"/>
  <c r="AB465" i="2" s="1"/>
  <c r="JT76" i="5"/>
  <c r="AB466" i="2" s="1"/>
  <c r="JT77" i="5"/>
  <c r="AB467" i="2" s="1"/>
  <c r="JT46" i="5"/>
  <c r="JT102" i="5" s="1"/>
  <c r="AB534" i="2" s="1"/>
  <c r="JT47" i="5"/>
  <c r="JT48" i="5"/>
  <c r="JT97" i="5" s="1"/>
  <c r="AB529" i="2" s="1"/>
  <c r="JT49" i="5"/>
  <c r="JT106" i="5" s="1"/>
  <c r="AB538" i="2" s="1"/>
  <c r="JT50" i="5"/>
  <c r="JT108" i="5" s="1"/>
  <c r="AB540" i="2" s="1"/>
  <c r="JT51" i="5"/>
  <c r="JT98" i="5" s="1"/>
  <c r="AB530" i="2" s="1"/>
  <c r="JT52" i="5"/>
  <c r="JT101" i="5" s="1"/>
  <c r="AB533" i="2" s="1"/>
  <c r="JT53" i="5"/>
  <c r="JT105" i="5" s="1"/>
  <c r="AB537" i="2" s="1"/>
  <c r="JT54" i="5"/>
  <c r="JT103" i="5" s="1"/>
  <c r="AB535" i="2" s="1"/>
  <c r="JT55" i="5"/>
  <c r="JT99" i="5" s="1"/>
  <c r="AB531" i="2" s="1"/>
  <c r="JT56" i="5"/>
  <c r="JT107" i="5" s="1"/>
  <c r="AB539" i="2" s="1"/>
  <c r="D95" i="3"/>
  <c r="D104" i="1"/>
  <c r="F130" i="2"/>
  <c r="F129" i="2"/>
  <c r="F128" i="2"/>
  <c r="F127" i="2"/>
  <c r="F126" i="2"/>
  <c r="F125" i="2"/>
  <c r="F124" i="2"/>
  <c r="F123" i="2"/>
  <c r="F122" i="2"/>
  <c r="F121" i="2"/>
  <c r="F120" i="2"/>
  <c r="F119" i="2"/>
  <c r="F118" i="2"/>
  <c r="F117" i="2"/>
  <c r="G130" i="2"/>
  <c r="G129" i="2"/>
  <c r="G128" i="2"/>
  <c r="G127" i="2"/>
  <c r="G126" i="2"/>
  <c r="G125" i="2"/>
  <c r="H125" i="2" s="1"/>
  <c r="G124" i="2"/>
  <c r="G123" i="2"/>
  <c r="G122" i="2"/>
  <c r="G121" i="2"/>
  <c r="G120" i="2"/>
  <c r="G119" i="2"/>
  <c r="G117" i="2"/>
  <c r="G118" i="2"/>
  <c r="H283" i="2"/>
  <c r="G283" i="2" s="1"/>
  <c r="H282" i="2"/>
  <c r="G282" i="2" s="1"/>
  <c r="H281" i="2"/>
  <c r="G281" i="2" s="1"/>
  <c r="H280" i="2"/>
  <c r="G280" i="2" s="1"/>
  <c r="H279" i="2"/>
  <c r="G279" i="2" s="1"/>
  <c r="H278" i="2"/>
  <c r="G278" i="2" s="1"/>
  <c r="H277" i="2"/>
  <c r="G277" i="2" s="1"/>
  <c r="H276" i="2"/>
  <c r="G276" i="2" s="1"/>
  <c r="H275" i="2"/>
  <c r="G275" i="2" s="1"/>
  <c r="H274" i="2"/>
  <c r="G274" i="2" s="1"/>
  <c r="H273" i="2"/>
  <c r="G273" i="2" s="1"/>
  <c r="H272" i="2"/>
  <c r="G272" i="2" s="1"/>
  <c r="H270" i="2"/>
  <c r="J282" i="2" s="1"/>
  <c r="G271" i="2"/>
  <c r="E108" i="1"/>
  <c r="Z401" i="2"/>
  <c r="Z409" i="2"/>
  <c r="Z414" i="2"/>
  <c r="Z378" i="2"/>
  <c r="HH46" i="5"/>
  <c r="HH47" i="5"/>
  <c r="HH48" i="5"/>
  <c r="HH97" i="5" s="1"/>
  <c r="Z439" i="2" s="1"/>
  <c r="HH49" i="5"/>
  <c r="HH106" i="5" s="1"/>
  <c r="Z448" i="2" s="1"/>
  <c r="HH50" i="5"/>
  <c r="HH51" i="5"/>
  <c r="HH98" i="5" s="1"/>
  <c r="Z440" i="2" s="1"/>
  <c r="HH52" i="5"/>
  <c r="HH101" i="5" s="1"/>
  <c r="Z443" i="2" s="1"/>
  <c r="HH53" i="5"/>
  <c r="HH105" i="5" s="1"/>
  <c r="Z447" i="2" s="1"/>
  <c r="HH54" i="5"/>
  <c r="HH103" i="5" s="1"/>
  <c r="Z445" i="2" s="1"/>
  <c r="HH55" i="5"/>
  <c r="HH99" i="5" s="1"/>
  <c r="Z441" i="2" s="1"/>
  <c r="HH56" i="5"/>
  <c r="HH107" i="5" s="1"/>
  <c r="Z449" i="2" s="1"/>
  <c r="HH66" i="5"/>
  <c r="Z366" i="2" s="1"/>
  <c r="HH67" i="5"/>
  <c r="Z367" i="2" s="1"/>
  <c r="HH68" i="5"/>
  <c r="Z368" i="2" s="1"/>
  <c r="HH69" i="5"/>
  <c r="Z369" i="2" s="1"/>
  <c r="HH70" i="5"/>
  <c r="Z370" i="2" s="1"/>
  <c r="HH71" i="5"/>
  <c r="Z371" i="2" s="1"/>
  <c r="HH72" i="5"/>
  <c r="Z372" i="2" s="1"/>
  <c r="HH74" i="5"/>
  <c r="Z374" i="2" s="1"/>
  <c r="HH75" i="5"/>
  <c r="Z375" i="2" s="1"/>
  <c r="HH76" i="5"/>
  <c r="Z376" i="2" s="1"/>
  <c r="HH77" i="5"/>
  <c r="Z377" i="2" s="1"/>
  <c r="HH82" i="5"/>
  <c r="Z402" i="2" s="1"/>
  <c r="HH83" i="5"/>
  <c r="Z403" i="2" s="1"/>
  <c r="HH84" i="5"/>
  <c r="Z404" i="2" s="1"/>
  <c r="HH85" i="5"/>
  <c r="Z405" i="2" s="1"/>
  <c r="HH86" i="5"/>
  <c r="Z406" i="2" s="1"/>
  <c r="HH87" i="5"/>
  <c r="Z407" i="2" s="1"/>
  <c r="HH88" i="5"/>
  <c r="Z408" i="2" s="1"/>
  <c r="HH90" i="5"/>
  <c r="Z410" i="2" s="1"/>
  <c r="HH91" i="5"/>
  <c r="Z411" i="2" s="1"/>
  <c r="HH92" i="5"/>
  <c r="Z412" i="2" s="1"/>
  <c r="HH93" i="5"/>
  <c r="Z413" i="2" s="1"/>
  <c r="Z455" i="2"/>
  <c r="AA455" i="2"/>
  <c r="Z463" i="2"/>
  <c r="AA463" i="2"/>
  <c r="Z468" i="2"/>
  <c r="AA468" i="2"/>
  <c r="Z491" i="2"/>
  <c r="AA491" i="2"/>
  <c r="Z499" i="2"/>
  <c r="AA499" i="2"/>
  <c r="Z504" i="2"/>
  <c r="AA504" i="2"/>
  <c r="X365" i="2"/>
  <c r="Y365" i="2"/>
  <c r="X373" i="2"/>
  <c r="Y373" i="2"/>
  <c r="X378" i="2"/>
  <c r="Y378" i="2"/>
  <c r="X401" i="2"/>
  <c r="Y401" i="2"/>
  <c r="X409" i="2"/>
  <c r="Y409" i="2"/>
  <c r="X414" i="2"/>
  <c r="Y414" i="2"/>
  <c r="HF82" i="5"/>
  <c r="X402" i="2" s="1"/>
  <c r="HG82" i="5"/>
  <c r="Y402" i="2" s="1"/>
  <c r="HF83" i="5"/>
  <c r="X403" i="2" s="1"/>
  <c r="HG83" i="5"/>
  <c r="Y403" i="2" s="1"/>
  <c r="HF84" i="5"/>
  <c r="X404" i="2" s="1"/>
  <c r="HG84" i="5"/>
  <c r="Y404" i="2" s="1"/>
  <c r="HF85" i="5"/>
  <c r="X405" i="2" s="1"/>
  <c r="HG85" i="5"/>
  <c r="Y405" i="2" s="1"/>
  <c r="HF86" i="5"/>
  <c r="X406" i="2" s="1"/>
  <c r="HG86" i="5"/>
  <c r="Y406" i="2" s="1"/>
  <c r="HF87" i="5"/>
  <c r="X407" i="2" s="1"/>
  <c r="HG87" i="5"/>
  <c r="Y407" i="2" s="1"/>
  <c r="HF88" i="5"/>
  <c r="X408" i="2" s="1"/>
  <c r="HG88" i="5"/>
  <c r="Y408" i="2" s="1"/>
  <c r="HF90" i="5"/>
  <c r="X410" i="2" s="1"/>
  <c r="HG90" i="5"/>
  <c r="Y410" i="2" s="1"/>
  <c r="HF91" i="5"/>
  <c r="X411" i="2" s="1"/>
  <c r="HG91" i="5"/>
  <c r="Y411" i="2" s="1"/>
  <c r="HF92" i="5"/>
  <c r="X412" i="2" s="1"/>
  <c r="HG92" i="5"/>
  <c r="Y412" i="2" s="1"/>
  <c r="HF93" i="5"/>
  <c r="X413" i="2" s="1"/>
  <c r="HG93" i="5"/>
  <c r="Y413" i="2" s="1"/>
  <c r="HF66" i="5"/>
  <c r="X366" i="2" s="1"/>
  <c r="HG66" i="5"/>
  <c r="Y366" i="2" s="1"/>
  <c r="HF67" i="5"/>
  <c r="X367" i="2" s="1"/>
  <c r="HG67" i="5"/>
  <c r="Y367" i="2" s="1"/>
  <c r="HF68" i="5"/>
  <c r="X368" i="2" s="1"/>
  <c r="HG68" i="5"/>
  <c r="Y368" i="2" s="1"/>
  <c r="HF69" i="5"/>
  <c r="X369" i="2" s="1"/>
  <c r="HG69" i="5"/>
  <c r="Y369" i="2" s="1"/>
  <c r="HF70" i="5"/>
  <c r="X370" i="2" s="1"/>
  <c r="HG70" i="5"/>
  <c r="Y370" i="2" s="1"/>
  <c r="HF71" i="5"/>
  <c r="X371" i="2" s="1"/>
  <c r="HG71" i="5"/>
  <c r="Y371" i="2" s="1"/>
  <c r="HF72" i="5"/>
  <c r="X372" i="2" s="1"/>
  <c r="HG72" i="5"/>
  <c r="Y372" i="2" s="1"/>
  <c r="HF74" i="5"/>
  <c r="X374" i="2" s="1"/>
  <c r="HG74" i="5"/>
  <c r="Y374" i="2" s="1"/>
  <c r="HF75" i="5"/>
  <c r="X375" i="2" s="1"/>
  <c r="HG75" i="5"/>
  <c r="Y375" i="2" s="1"/>
  <c r="HF76" i="5"/>
  <c r="X376" i="2" s="1"/>
  <c r="HG76" i="5"/>
  <c r="Y376" i="2" s="1"/>
  <c r="HF77" i="5"/>
  <c r="X377" i="2" s="1"/>
  <c r="HG77" i="5"/>
  <c r="Y377" i="2" s="1"/>
  <c r="HF46" i="5"/>
  <c r="HF102" i="5" s="1"/>
  <c r="X444" i="2" s="1"/>
  <c r="HG46" i="5"/>
  <c r="HG102" i="5" s="1"/>
  <c r="Y444" i="2" s="1"/>
  <c r="HF47" i="5"/>
  <c r="HG47" i="5"/>
  <c r="HG100" i="5" s="1"/>
  <c r="Y442" i="2" s="1"/>
  <c r="HF48" i="5"/>
  <c r="HF97" i="5" s="1"/>
  <c r="X439" i="2" s="1"/>
  <c r="HG48" i="5"/>
  <c r="HG97" i="5" s="1"/>
  <c r="Y439" i="2" s="1"/>
  <c r="HF49" i="5"/>
  <c r="HF106" i="5" s="1"/>
  <c r="X448" i="2" s="1"/>
  <c r="HG49" i="5"/>
  <c r="HG106" i="5" s="1"/>
  <c r="Y448" i="2" s="1"/>
  <c r="HF50" i="5"/>
  <c r="HG50" i="5"/>
  <c r="HF51" i="5"/>
  <c r="HF98" i="5" s="1"/>
  <c r="X440" i="2" s="1"/>
  <c r="HG51" i="5"/>
  <c r="HG98" i="5" s="1"/>
  <c r="Y440" i="2" s="1"/>
  <c r="HF52" i="5"/>
  <c r="HF101" i="5" s="1"/>
  <c r="X443" i="2" s="1"/>
  <c r="HG52" i="5"/>
  <c r="HG101" i="5" s="1"/>
  <c r="Y443" i="2" s="1"/>
  <c r="HF53" i="5"/>
  <c r="HF105" i="5" s="1"/>
  <c r="X447" i="2" s="1"/>
  <c r="HG53" i="5"/>
  <c r="HG105" i="5" s="1"/>
  <c r="Y447" i="2" s="1"/>
  <c r="HF54" i="5"/>
  <c r="HF103" i="5" s="1"/>
  <c r="X445" i="2" s="1"/>
  <c r="HG54" i="5"/>
  <c r="HG103" i="5" s="1"/>
  <c r="Y445" i="2" s="1"/>
  <c r="HF55" i="5"/>
  <c r="HF99" i="5" s="1"/>
  <c r="X441" i="2" s="1"/>
  <c r="HG55" i="5"/>
  <c r="HG99" i="5" s="1"/>
  <c r="Y441" i="2" s="1"/>
  <c r="HF56" i="5"/>
  <c r="HF107" i="5" s="1"/>
  <c r="X449" i="2" s="1"/>
  <c r="HG56" i="5"/>
  <c r="HG107" i="5" s="1"/>
  <c r="Y449" i="2" s="1"/>
  <c r="JR82" i="5"/>
  <c r="Z492" i="2" s="1"/>
  <c r="JS82" i="5"/>
  <c r="AA492" i="2" s="1"/>
  <c r="JR83" i="5"/>
  <c r="Z493" i="2" s="1"/>
  <c r="JS83" i="5"/>
  <c r="AA493" i="2" s="1"/>
  <c r="JR84" i="5"/>
  <c r="Z494" i="2" s="1"/>
  <c r="JS84" i="5"/>
  <c r="AA494" i="2" s="1"/>
  <c r="JR85" i="5"/>
  <c r="Z495" i="2" s="1"/>
  <c r="JS85" i="5"/>
  <c r="AA495" i="2" s="1"/>
  <c r="JR86" i="5"/>
  <c r="Z496" i="2" s="1"/>
  <c r="JS86" i="5"/>
  <c r="AA496" i="2" s="1"/>
  <c r="JR87" i="5"/>
  <c r="Z497" i="2" s="1"/>
  <c r="JS87" i="5"/>
  <c r="AA497" i="2" s="1"/>
  <c r="JR88" i="5"/>
  <c r="Z498" i="2" s="1"/>
  <c r="JS88" i="5"/>
  <c r="AA498" i="2" s="1"/>
  <c r="JR90" i="5"/>
  <c r="Z500" i="2" s="1"/>
  <c r="JS90" i="5"/>
  <c r="AA500" i="2" s="1"/>
  <c r="JR91" i="5"/>
  <c r="Z501" i="2" s="1"/>
  <c r="JS91" i="5"/>
  <c r="AA501" i="2" s="1"/>
  <c r="JR92" i="5"/>
  <c r="Z502" i="2" s="1"/>
  <c r="JS92" i="5"/>
  <c r="AA502" i="2" s="1"/>
  <c r="JR93" i="5"/>
  <c r="Z503" i="2" s="1"/>
  <c r="JS93" i="5"/>
  <c r="AA503" i="2" s="1"/>
  <c r="JR66" i="5"/>
  <c r="Z456" i="2" s="1"/>
  <c r="JS66" i="5"/>
  <c r="AA456" i="2" s="1"/>
  <c r="JR67" i="5"/>
  <c r="Z457" i="2" s="1"/>
  <c r="JS67" i="5"/>
  <c r="AA457" i="2" s="1"/>
  <c r="JR68" i="5"/>
  <c r="Z458" i="2" s="1"/>
  <c r="JS68" i="5"/>
  <c r="AA458" i="2" s="1"/>
  <c r="JR69" i="5"/>
  <c r="Z459" i="2" s="1"/>
  <c r="JS69" i="5"/>
  <c r="AA459" i="2" s="1"/>
  <c r="JR70" i="5"/>
  <c r="Z460" i="2" s="1"/>
  <c r="JS70" i="5"/>
  <c r="AA460" i="2" s="1"/>
  <c r="JR71" i="5"/>
  <c r="Z461" i="2" s="1"/>
  <c r="JS71" i="5"/>
  <c r="AA461" i="2" s="1"/>
  <c r="JR72" i="5"/>
  <c r="Z462" i="2" s="1"/>
  <c r="JS72" i="5"/>
  <c r="AA462" i="2" s="1"/>
  <c r="JR74" i="5"/>
  <c r="Z464" i="2" s="1"/>
  <c r="JS74" i="5"/>
  <c r="AA464" i="2" s="1"/>
  <c r="JR75" i="5"/>
  <c r="Z465" i="2" s="1"/>
  <c r="JS75" i="5"/>
  <c r="AA465" i="2" s="1"/>
  <c r="JR76" i="5"/>
  <c r="Z466" i="2" s="1"/>
  <c r="JS76" i="5"/>
  <c r="AA466" i="2" s="1"/>
  <c r="JR77" i="5"/>
  <c r="Z467" i="2" s="1"/>
  <c r="JS77" i="5"/>
  <c r="AA467" i="2" s="1"/>
  <c r="JR46" i="5"/>
  <c r="JR102" i="5" s="1"/>
  <c r="Z534" i="2" s="1"/>
  <c r="JS46" i="5"/>
  <c r="JR47" i="5"/>
  <c r="JR100" i="5" s="1"/>
  <c r="Z532" i="2" s="1"/>
  <c r="JS47" i="5"/>
  <c r="JS100" i="5" s="1"/>
  <c r="AA532" i="2" s="1"/>
  <c r="JR48" i="5"/>
  <c r="JR97" i="5" s="1"/>
  <c r="Z529" i="2" s="1"/>
  <c r="JS48" i="5"/>
  <c r="JS97" i="5" s="1"/>
  <c r="AA529" i="2" s="1"/>
  <c r="JR49" i="5"/>
  <c r="JR106" i="5" s="1"/>
  <c r="Z538" i="2" s="1"/>
  <c r="JS49" i="5"/>
  <c r="JS106" i="5" s="1"/>
  <c r="AA538" i="2" s="1"/>
  <c r="JR50" i="5"/>
  <c r="JS50" i="5"/>
  <c r="JS108" i="5" s="1"/>
  <c r="AA540" i="2" s="1"/>
  <c r="JR51" i="5"/>
  <c r="JR98" i="5" s="1"/>
  <c r="Z530" i="2" s="1"/>
  <c r="JS51" i="5"/>
  <c r="JS98" i="5" s="1"/>
  <c r="AA530" i="2" s="1"/>
  <c r="JR52" i="5"/>
  <c r="JR101" i="5" s="1"/>
  <c r="Z533" i="2" s="1"/>
  <c r="JS52" i="5"/>
  <c r="JS101" i="5" s="1"/>
  <c r="AA533" i="2" s="1"/>
  <c r="JR53" i="5"/>
  <c r="JR105" i="5" s="1"/>
  <c r="Z537" i="2" s="1"/>
  <c r="JS53" i="5"/>
  <c r="JS105" i="5" s="1"/>
  <c r="AA537" i="2" s="1"/>
  <c r="JR54" i="5"/>
  <c r="JR103" i="5" s="1"/>
  <c r="Z535" i="2" s="1"/>
  <c r="JS54" i="5"/>
  <c r="JS103" i="5" s="1"/>
  <c r="AA535" i="2" s="1"/>
  <c r="JR55" i="5"/>
  <c r="JR99" i="5" s="1"/>
  <c r="Z531" i="2" s="1"/>
  <c r="JS55" i="5"/>
  <c r="JS99" i="5" s="1"/>
  <c r="AA531" i="2" s="1"/>
  <c r="JR56" i="5"/>
  <c r="JR107" i="5" s="1"/>
  <c r="Z539" i="2" s="1"/>
  <c r="JS56" i="5"/>
  <c r="JS107" i="5" s="1"/>
  <c r="AA539" i="2" s="1"/>
  <c r="AN57" i="5"/>
  <c r="AN56" i="5"/>
  <c r="F297" i="2"/>
  <c r="F296" i="2"/>
  <c r="F295" i="2"/>
  <c r="F294" i="2"/>
  <c r="F292" i="2"/>
  <c r="F291" i="2"/>
  <c r="F290" i="2"/>
  <c r="F289" i="2"/>
  <c r="F288" i="2"/>
  <c r="F287" i="2"/>
  <c r="F286" i="2"/>
  <c r="E6" i="2"/>
  <c r="J56" i="5"/>
  <c r="FN57" i="5"/>
  <c r="FN56" i="5"/>
  <c r="EX57" i="5"/>
  <c r="EX56" i="5"/>
  <c r="EH54" i="5"/>
  <c r="EH53" i="5"/>
  <c r="DR59" i="5"/>
  <c r="DR58" i="5"/>
  <c r="DB55" i="5"/>
  <c r="DB54" i="5"/>
  <c r="CL57" i="5"/>
  <c r="CL56" i="5"/>
  <c r="BV57" i="5"/>
  <c r="BV56" i="5"/>
  <c r="BF56" i="5"/>
  <c r="BF55" i="5"/>
  <c r="AP57" i="5"/>
  <c r="AP56" i="5"/>
  <c r="Z57" i="5"/>
  <c r="Z56" i="5"/>
  <c r="J57" i="5"/>
  <c r="Y455" i="2"/>
  <c r="Y463" i="2"/>
  <c r="Y468" i="2"/>
  <c r="Y491" i="2"/>
  <c r="Y499" i="2"/>
  <c r="Y504" i="2"/>
  <c r="W365" i="2"/>
  <c r="W373" i="2"/>
  <c r="W378" i="2"/>
  <c r="W401" i="2"/>
  <c r="W409" i="2"/>
  <c r="W414" i="2"/>
  <c r="HE82" i="5"/>
  <c r="W402" i="2" s="1"/>
  <c r="HE83" i="5"/>
  <c r="W403" i="2" s="1"/>
  <c r="HE84" i="5"/>
  <c r="W404" i="2" s="1"/>
  <c r="HE85" i="5"/>
  <c r="W405" i="2" s="1"/>
  <c r="HE86" i="5"/>
  <c r="W406" i="2" s="1"/>
  <c r="HE87" i="5"/>
  <c r="W407" i="2" s="1"/>
  <c r="HE88" i="5"/>
  <c r="W408" i="2" s="1"/>
  <c r="HE90" i="5"/>
  <c r="W410" i="2" s="1"/>
  <c r="HE91" i="5"/>
  <c r="W411" i="2" s="1"/>
  <c r="HE92" i="5"/>
  <c r="W412" i="2" s="1"/>
  <c r="HE93" i="5"/>
  <c r="W413" i="2" s="1"/>
  <c r="HE66" i="5"/>
  <c r="W366" i="2" s="1"/>
  <c r="HE67" i="5"/>
  <c r="W367" i="2" s="1"/>
  <c r="HE68" i="5"/>
  <c r="W368" i="2" s="1"/>
  <c r="HE69" i="5"/>
  <c r="W369" i="2" s="1"/>
  <c r="HE70" i="5"/>
  <c r="W370" i="2" s="1"/>
  <c r="HE71" i="5"/>
  <c r="W371" i="2" s="1"/>
  <c r="HE72" i="5"/>
  <c r="W372" i="2" s="1"/>
  <c r="HE74" i="5"/>
  <c r="W374" i="2" s="1"/>
  <c r="HE75" i="5"/>
  <c r="W375" i="2" s="1"/>
  <c r="HE76" i="5"/>
  <c r="W376" i="2" s="1"/>
  <c r="HE77" i="5"/>
  <c r="W377" i="2" s="1"/>
  <c r="HE46" i="5"/>
  <c r="HE102" i="5" s="1"/>
  <c r="W444" i="2" s="1"/>
  <c r="HE47" i="5"/>
  <c r="HE100" i="5" s="1"/>
  <c r="W442" i="2" s="1"/>
  <c r="HE48" i="5"/>
  <c r="HE97" i="5" s="1"/>
  <c r="W439" i="2" s="1"/>
  <c r="HE49" i="5"/>
  <c r="HE50" i="5"/>
  <c r="HE108" i="5" s="1"/>
  <c r="W450" i="2" s="1"/>
  <c r="HE51" i="5"/>
  <c r="HE98" i="5" s="1"/>
  <c r="W440" i="2" s="1"/>
  <c r="HE52" i="5"/>
  <c r="HE101" i="5" s="1"/>
  <c r="W443" i="2" s="1"/>
  <c r="HE53" i="5"/>
  <c r="HE105" i="5" s="1"/>
  <c r="W447" i="2" s="1"/>
  <c r="HE54" i="5"/>
  <c r="HE103" i="5" s="1"/>
  <c r="W445" i="2" s="1"/>
  <c r="HE55" i="5"/>
  <c r="HE99" i="5" s="1"/>
  <c r="W441" i="2" s="1"/>
  <c r="HE56" i="5"/>
  <c r="HE107" i="5" s="1"/>
  <c r="W449" i="2" s="1"/>
  <c r="JQ82" i="5"/>
  <c r="Y492" i="2" s="1"/>
  <c r="JQ83" i="5"/>
  <c r="Y493" i="2" s="1"/>
  <c r="JQ84" i="5"/>
  <c r="Y494" i="2" s="1"/>
  <c r="JQ85" i="5"/>
  <c r="Y495" i="2" s="1"/>
  <c r="JQ86" i="5"/>
  <c r="Y496" i="2" s="1"/>
  <c r="JQ87" i="5"/>
  <c r="Y497" i="2" s="1"/>
  <c r="JQ88" i="5"/>
  <c r="Y498" i="2" s="1"/>
  <c r="JQ90" i="5"/>
  <c r="Y500" i="2" s="1"/>
  <c r="JQ91" i="5"/>
  <c r="Y501" i="2" s="1"/>
  <c r="JQ92" i="5"/>
  <c r="Y502" i="2" s="1"/>
  <c r="JQ93" i="5"/>
  <c r="Y503" i="2" s="1"/>
  <c r="JQ66" i="5"/>
  <c r="Y456" i="2" s="1"/>
  <c r="JQ67" i="5"/>
  <c r="Y457" i="2" s="1"/>
  <c r="JQ68" i="5"/>
  <c r="Y458" i="2" s="1"/>
  <c r="JQ69" i="5"/>
  <c r="Y459" i="2" s="1"/>
  <c r="JQ70" i="5"/>
  <c r="Y460" i="2" s="1"/>
  <c r="JQ71" i="5"/>
  <c r="Y461" i="2" s="1"/>
  <c r="JQ72" i="5"/>
  <c r="Y462" i="2" s="1"/>
  <c r="JQ74" i="5"/>
  <c r="Y464" i="2" s="1"/>
  <c r="JQ75" i="5"/>
  <c r="Y465" i="2" s="1"/>
  <c r="JQ76" i="5"/>
  <c r="Y466" i="2" s="1"/>
  <c r="JQ77" i="5"/>
  <c r="Y467" i="2" s="1"/>
  <c r="JQ46" i="5"/>
  <c r="JQ47" i="5"/>
  <c r="JQ100" i="5" s="1"/>
  <c r="Y532" i="2" s="1"/>
  <c r="JQ48" i="5"/>
  <c r="JQ97" i="5" s="1"/>
  <c r="Y529" i="2" s="1"/>
  <c r="JQ49" i="5"/>
  <c r="JQ106" i="5" s="1"/>
  <c r="Y538" i="2" s="1"/>
  <c r="JQ50" i="5"/>
  <c r="JQ108" i="5" s="1"/>
  <c r="Y540" i="2" s="1"/>
  <c r="JQ51" i="5"/>
  <c r="JQ98" i="5" s="1"/>
  <c r="Y530" i="2" s="1"/>
  <c r="JQ52" i="5"/>
  <c r="JQ101" i="5" s="1"/>
  <c r="Y533" i="2" s="1"/>
  <c r="JQ53" i="5"/>
  <c r="JQ105" i="5" s="1"/>
  <c r="Y537" i="2" s="1"/>
  <c r="JQ54" i="5"/>
  <c r="JQ103" i="5" s="1"/>
  <c r="Y535" i="2" s="1"/>
  <c r="JQ55" i="5"/>
  <c r="JQ99" i="5" s="1"/>
  <c r="Y531" i="2" s="1"/>
  <c r="JQ56" i="5"/>
  <c r="JQ107" i="5" s="1"/>
  <c r="Y539" i="2" s="1"/>
  <c r="E100" i="1"/>
  <c r="D100" i="1"/>
  <c r="C100" i="1"/>
  <c r="E7" i="2"/>
  <c r="E8" i="2"/>
  <c r="E9" i="2"/>
  <c r="E10" i="2"/>
  <c r="E11" i="2"/>
  <c r="E12" i="2"/>
  <c r="E14" i="2"/>
  <c r="E15" i="2"/>
  <c r="E16" i="2"/>
  <c r="E17" i="2"/>
  <c r="E21" i="2"/>
  <c r="E22" i="2"/>
  <c r="E23" i="2"/>
  <c r="E24" i="2"/>
  <c r="E25" i="2"/>
  <c r="E27" i="2"/>
  <c r="E29" i="2"/>
  <c r="E30" i="2"/>
  <c r="E31" i="2"/>
  <c r="E32" i="2"/>
  <c r="E53" i="2"/>
  <c r="E54" i="2"/>
  <c r="E55" i="2"/>
  <c r="E56" i="2"/>
  <c r="E57" i="2"/>
  <c r="E58" i="2"/>
  <c r="E59" i="2"/>
  <c r="E61" i="2"/>
  <c r="E62" i="2"/>
  <c r="E63" i="2"/>
  <c r="E64" i="2"/>
  <c r="E186" i="2"/>
  <c r="E187" i="2"/>
  <c r="E188" i="2"/>
  <c r="E189" i="2"/>
  <c r="E190" i="2"/>
  <c r="E191" i="2"/>
  <c r="E192" i="2"/>
  <c r="E194" i="2"/>
  <c r="E195" i="2"/>
  <c r="E196" i="2"/>
  <c r="E197" i="2"/>
  <c r="W491" i="2"/>
  <c r="X491" i="2"/>
  <c r="W499" i="2"/>
  <c r="X499" i="2"/>
  <c r="W504" i="2"/>
  <c r="X504" i="2"/>
  <c r="W455" i="2"/>
  <c r="X455" i="2"/>
  <c r="W463" i="2"/>
  <c r="X463" i="2"/>
  <c r="W468" i="2"/>
  <c r="X468" i="2"/>
  <c r="V401" i="2"/>
  <c r="V409" i="2"/>
  <c r="V414" i="2"/>
  <c r="V365" i="2"/>
  <c r="V373" i="2"/>
  <c r="V378" i="2"/>
  <c r="HD66" i="5"/>
  <c r="V366" i="2" s="1"/>
  <c r="HD67" i="5"/>
  <c r="V367" i="2" s="1"/>
  <c r="HD68" i="5"/>
  <c r="V368" i="2" s="1"/>
  <c r="HD69" i="5"/>
  <c r="V369" i="2" s="1"/>
  <c r="HD70" i="5"/>
  <c r="V370" i="2" s="1"/>
  <c r="HD71" i="5"/>
  <c r="V371" i="2" s="1"/>
  <c r="HD72" i="5"/>
  <c r="V372" i="2" s="1"/>
  <c r="HD74" i="5"/>
  <c r="V374" i="2" s="1"/>
  <c r="HD75" i="5"/>
  <c r="V375" i="2" s="1"/>
  <c r="HD76" i="5"/>
  <c r="V376" i="2" s="1"/>
  <c r="HD77" i="5"/>
  <c r="V377" i="2" s="1"/>
  <c r="HD82" i="5"/>
  <c r="V402" i="2" s="1"/>
  <c r="HD83" i="5"/>
  <c r="V403" i="2" s="1"/>
  <c r="HD84" i="5"/>
  <c r="V404" i="2" s="1"/>
  <c r="HD85" i="5"/>
  <c r="V405" i="2" s="1"/>
  <c r="HD86" i="5"/>
  <c r="V406" i="2" s="1"/>
  <c r="HD87" i="5"/>
  <c r="V407" i="2" s="1"/>
  <c r="HD88" i="5"/>
  <c r="V408" i="2" s="1"/>
  <c r="HD90" i="5"/>
  <c r="V410" i="2" s="1"/>
  <c r="HD91" i="5"/>
  <c r="V411" i="2" s="1"/>
  <c r="HD92" i="5"/>
  <c r="V412" i="2" s="1"/>
  <c r="HD93" i="5"/>
  <c r="V413" i="2" s="1"/>
  <c r="HD46" i="5"/>
  <c r="HD102" i="5" s="1"/>
  <c r="V444" i="2" s="1"/>
  <c r="HD47" i="5"/>
  <c r="HD48" i="5"/>
  <c r="HD97" i="5" s="1"/>
  <c r="V439" i="2" s="1"/>
  <c r="HD49" i="5"/>
  <c r="HD50" i="5"/>
  <c r="HD108" i="5" s="1"/>
  <c r="V450" i="2" s="1"/>
  <c r="HD51" i="5"/>
  <c r="HD98" i="5" s="1"/>
  <c r="V440" i="2" s="1"/>
  <c r="HD52" i="5"/>
  <c r="HD101" i="5" s="1"/>
  <c r="V443" i="2" s="1"/>
  <c r="HD53" i="5"/>
  <c r="HD105" i="5" s="1"/>
  <c r="V447" i="2" s="1"/>
  <c r="HD54" i="5"/>
  <c r="HD103" i="5" s="1"/>
  <c r="V445" i="2" s="1"/>
  <c r="HD55" i="5"/>
  <c r="HD99" i="5" s="1"/>
  <c r="V441" i="2" s="1"/>
  <c r="HD56" i="5"/>
  <c r="HD107" i="5" s="1"/>
  <c r="V449" i="2" s="1"/>
  <c r="JO66" i="5"/>
  <c r="W456" i="2" s="1"/>
  <c r="JP66" i="5"/>
  <c r="X456" i="2" s="1"/>
  <c r="JO67" i="5"/>
  <c r="W457" i="2" s="1"/>
  <c r="JP67" i="5"/>
  <c r="X457" i="2" s="1"/>
  <c r="JO68" i="5"/>
  <c r="W458" i="2" s="1"/>
  <c r="JP68" i="5"/>
  <c r="X458" i="2" s="1"/>
  <c r="JO69" i="5"/>
  <c r="W459" i="2" s="1"/>
  <c r="JP69" i="5"/>
  <c r="X459" i="2" s="1"/>
  <c r="JO70" i="5"/>
  <c r="W460" i="2" s="1"/>
  <c r="JP70" i="5"/>
  <c r="X460" i="2" s="1"/>
  <c r="JO71" i="5"/>
  <c r="W461" i="2" s="1"/>
  <c r="JP71" i="5"/>
  <c r="X461" i="2" s="1"/>
  <c r="JO72" i="5"/>
  <c r="W462" i="2" s="1"/>
  <c r="JP72" i="5"/>
  <c r="X462" i="2" s="1"/>
  <c r="JO74" i="5"/>
  <c r="W464" i="2" s="1"/>
  <c r="JP74" i="5"/>
  <c r="X464" i="2" s="1"/>
  <c r="JO75" i="5"/>
  <c r="W465" i="2" s="1"/>
  <c r="JP75" i="5"/>
  <c r="X465" i="2" s="1"/>
  <c r="JO76" i="5"/>
  <c r="W466" i="2" s="1"/>
  <c r="JP76" i="5"/>
  <c r="X466" i="2" s="1"/>
  <c r="JO77" i="5"/>
  <c r="W467" i="2" s="1"/>
  <c r="JP77" i="5"/>
  <c r="X467" i="2" s="1"/>
  <c r="JO82" i="5"/>
  <c r="W492" i="2" s="1"/>
  <c r="JP82" i="5"/>
  <c r="X492" i="2" s="1"/>
  <c r="JO83" i="5"/>
  <c r="W493" i="2" s="1"/>
  <c r="JP83" i="5"/>
  <c r="X493" i="2" s="1"/>
  <c r="JO84" i="5"/>
  <c r="W494" i="2" s="1"/>
  <c r="JP84" i="5"/>
  <c r="X494" i="2" s="1"/>
  <c r="JO85" i="5"/>
  <c r="W495" i="2" s="1"/>
  <c r="JP85" i="5"/>
  <c r="X495" i="2" s="1"/>
  <c r="JO86" i="5"/>
  <c r="W496" i="2" s="1"/>
  <c r="JP86" i="5"/>
  <c r="X496" i="2" s="1"/>
  <c r="JO87" i="5"/>
  <c r="W497" i="2" s="1"/>
  <c r="JP87" i="5"/>
  <c r="X497" i="2" s="1"/>
  <c r="JO88" i="5"/>
  <c r="W498" i="2" s="1"/>
  <c r="JP88" i="5"/>
  <c r="X498" i="2" s="1"/>
  <c r="JO90" i="5"/>
  <c r="W500" i="2" s="1"/>
  <c r="JP90" i="5"/>
  <c r="X500" i="2" s="1"/>
  <c r="JO91" i="5"/>
  <c r="W501" i="2" s="1"/>
  <c r="JP91" i="5"/>
  <c r="X501" i="2" s="1"/>
  <c r="JO92" i="5"/>
  <c r="W502" i="2" s="1"/>
  <c r="JP92" i="5"/>
  <c r="X502" i="2" s="1"/>
  <c r="JO93" i="5"/>
  <c r="W503" i="2" s="1"/>
  <c r="JP93" i="5"/>
  <c r="X503" i="2" s="1"/>
  <c r="JO46" i="5"/>
  <c r="JP46" i="5"/>
  <c r="JP102" i="5" s="1"/>
  <c r="X534" i="2" s="1"/>
  <c r="JO47" i="5"/>
  <c r="JO100" i="5" s="1"/>
  <c r="W532" i="2" s="1"/>
  <c r="JP47" i="5"/>
  <c r="JP100" i="5" s="1"/>
  <c r="X532" i="2" s="1"/>
  <c r="JO48" i="5"/>
  <c r="JO97" i="5" s="1"/>
  <c r="W529" i="2" s="1"/>
  <c r="JP48" i="5"/>
  <c r="JO49" i="5"/>
  <c r="JO106" i="5" s="1"/>
  <c r="W538" i="2" s="1"/>
  <c r="JP49" i="5"/>
  <c r="JO50" i="5"/>
  <c r="JO108" i="5" s="1"/>
  <c r="W540" i="2" s="1"/>
  <c r="JP50" i="5"/>
  <c r="JP108" i="5" s="1"/>
  <c r="X540" i="2" s="1"/>
  <c r="JO51" i="5"/>
  <c r="JO98" i="5" s="1"/>
  <c r="W530" i="2" s="1"/>
  <c r="JP51" i="5"/>
  <c r="JP98" i="5" s="1"/>
  <c r="X530" i="2" s="1"/>
  <c r="JO52" i="5"/>
  <c r="JO101" i="5" s="1"/>
  <c r="W533" i="2" s="1"/>
  <c r="JP52" i="5"/>
  <c r="JP101" i="5" s="1"/>
  <c r="X533" i="2" s="1"/>
  <c r="JO53" i="5"/>
  <c r="JO105" i="5" s="1"/>
  <c r="W537" i="2" s="1"/>
  <c r="JP53" i="5"/>
  <c r="JP105" i="5" s="1"/>
  <c r="X537" i="2" s="1"/>
  <c r="JO54" i="5"/>
  <c r="JO103" i="5" s="1"/>
  <c r="W535" i="2" s="1"/>
  <c r="JP54" i="5"/>
  <c r="JP103" i="5" s="1"/>
  <c r="X535" i="2" s="1"/>
  <c r="JO55" i="5"/>
  <c r="JO99" i="5" s="1"/>
  <c r="W531" i="2" s="1"/>
  <c r="JP55" i="5"/>
  <c r="JP99" i="5" s="1"/>
  <c r="X531" i="2" s="1"/>
  <c r="JO56" i="5"/>
  <c r="JO107" i="5" s="1"/>
  <c r="W539" i="2" s="1"/>
  <c r="JP56" i="5"/>
  <c r="JP107" i="5" s="1"/>
  <c r="X539" i="2" s="1"/>
  <c r="HC82" i="5"/>
  <c r="U402" i="2" s="1"/>
  <c r="HC83" i="5"/>
  <c r="U403" i="2" s="1"/>
  <c r="HC84" i="5"/>
  <c r="U404" i="2" s="1"/>
  <c r="HC85" i="5"/>
  <c r="U405" i="2" s="1"/>
  <c r="HC86" i="5"/>
  <c r="U406" i="2" s="1"/>
  <c r="HC87" i="5"/>
  <c r="U407" i="2" s="1"/>
  <c r="HC88" i="5"/>
  <c r="U408" i="2" s="1"/>
  <c r="HC90" i="5"/>
  <c r="U410" i="2" s="1"/>
  <c r="HC91" i="5"/>
  <c r="U411" i="2" s="1"/>
  <c r="HC92" i="5"/>
  <c r="U412" i="2" s="1"/>
  <c r="HC93" i="5"/>
  <c r="U413" i="2" s="1"/>
  <c r="HC66" i="5"/>
  <c r="U366" i="2" s="1"/>
  <c r="HC67" i="5"/>
  <c r="U367" i="2" s="1"/>
  <c r="HC68" i="5"/>
  <c r="U368" i="2" s="1"/>
  <c r="HC69" i="5"/>
  <c r="U369" i="2" s="1"/>
  <c r="HC70" i="5"/>
  <c r="U370" i="2" s="1"/>
  <c r="HC71" i="5"/>
  <c r="U371" i="2" s="1"/>
  <c r="HC72" i="5"/>
  <c r="U372" i="2" s="1"/>
  <c r="HC74" i="5"/>
  <c r="U374" i="2" s="1"/>
  <c r="HC75" i="5"/>
  <c r="U375" i="2" s="1"/>
  <c r="HC76" i="5"/>
  <c r="U376" i="2" s="1"/>
  <c r="HC77" i="5"/>
  <c r="U377" i="2" s="1"/>
  <c r="U365" i="2"/>
  <c r="U373" i="2"/>
  <c r="U378" i="2"/>
  <c r="U401" i="2"/>
  <c r="U409" i="2"/>
  <c r="U414" i="2"/>
  <c r="HC46" i="5"/>
  <c r="HC47" i="5"/>
  <c r="HC100" i="5" s="1"/>
  <c r="U442" i="2" s="1"/>
  <c r="HC48" i="5"/>
  <c r="HC97" i="5" s="1"/>
  <c r="U439" i="2" s="1"/>
  <c r="HC49" i="5"/>
  <c r="HC106" i="5" s="1"/>
  <c r="U448" i="2" s="1"/>
  <c r="HC50" i="5"/>
  <c r="HC108" i="5" s="1"/>
  <c r="U450" i="2" s="1"/>
  <c r="HC51" i="5"/>
  <c r="HC98" i="5" s="1"/>
  <c r="U440" i="2" s="1"/>
  <c r="HC52" i="5"/>
  <c r="HC101" i="5" s="1"/>
  <c r="U443" i="2" s="1"/>
  <c r="HC53" i="5"/>
  <c r="HC105" i="5" s="1"/>
  <c r="U447" i="2" s="1"/>
  <c r="HC54" i="5"/>
  <c r="HC103" i="5" s="1"/>
  <c r="U445" i="2" s="1"/>
  <c r="HC55" i="5"/>
  <c r="HC99" i="5" s="1"/>
  <c r="U441" i="2" s="1"/>
  <c r="HC56" i="5"/>
  <c r="HC107" i="5" s="1"/>
  <c r="U449" i="2" s="1"/>
  <c r="GG31" i="5"/>
  <c r="V491" i="2"/>
  <c r="V499" i="2"/>
  <c r="V504" i="2"/>
  <c r="V455" i="2"/>
  <c r="V463" i="2"/>
  <c r="V468" i="2"/>
  <c r="T401" i="2"/>
  <c r="T409" i="2"/>
  <c r="T414" i="2"/>
  <c r="T365" i="2"/>
  <c r="T373" i="2"/>
  <c r="T378" i="2"/>
  <c r="JN46" i="5"/>
  <c r="JN102" i="5" s="1"/>
  <c r="V534" i="2" s="1"/>
  <c r="JN47" i="5"/>
  <c r="JN100" i="5" s="1"/>
  <c r="V532" i="2" s="1"/>
  <c r="JN48" i="5"/>
  <c r="JN97" i="5" s="1"/>
  <c r="V529" i="2" s="1"/>
  <c r="JN49" i="5"/>
  <c r="JN50" i="5"/>
  <c r="JN108" i="5" s="1"/>
  <c r="V540" i="2" s="1"/>
  <c r="JN51" i="5"/>
  <c r="JN98" i="5" s="1"/>
  <c r="V530" i="2" s="1"/>
  <c r="JN52" i="5"/>
  <c r="JN101" i="5" s="1"/>
  <c r="V533" i="2" s="1"/>
  <c r="JN53" i="5"/>
  <c r="JN105" i="5" s="1"/>
  <c r="V537" i="2" s="1"/>
  <c r="JN54" i="5"/>
  <c r="JN103" i="5" s="1"/>
  <c r="V535" i="2" s="1"/>
  <c r="JN55" i="5"/>
  <c r="JN99" i="5" s="1"/>
  <c r="V531" i="2" s="1"/>
  <c r="JN56" i="5"/>
  <c r="JN107" i="5" s="1"/>
  <c r="V539" i="2" s="1"/>
  <c r="HB46" i="5"/>
  <c r="HB102" i="5" s="1"/>
  <c r="T444" i="2" s="1"/>
  <c r="HB47" i="5"/>
  <c r="HB100" i="5" s="1"/>
  <c r="T442" i="2" s="1"/>
  <c r="HB48" i="5"/>
  <c r="HB97" i="5" s="1"/>
  <c r="T439" i="2" s="1"/>
  <c r="HB49" i="5"/>
  <c r="HB50" i="5"/>
  <c r="HB108" i="5" s="1"/>
  <c r="T450" i="2" s="1"/>
  <c r="HB51" i="5"/>
  <c r="HB52" i="5"/>
  <c r="HB101" i="5" s="1"/>
  <c r="T443" i="2" s="1"/>
  <c r="HB53" i="5"/>
  <c r="HB105" i="5" s="1"/>
  <c r="T447" i="2" s="1"/>
  <c r="HB54" i="5"/>
  <c r="HB103" i="5" s="1"/>
  <c r="T445" i="2" s="1"/>
  <c r="HB55" i="5"/>
  <c r="HB99" i="5" s="1"/>
  <c r="T441" i="2" s="1"/>
  <c r="HB56" i="5"/>
  <c r="HB107" i="5" s="1"/>
  <c r="T449" i="2" s="1"/>
  <c r="HB82" i="5"/>
  <c r="T402" i="2" s="1"/>
  <c r="HB83" i="5"/>
  <c r="T403" i="2" s="1"/>
  <c r="HB84" i="5"/>
  <c r="T404" i="2" s="1"/>
  <c r="HB85" i="5"/>
  <c r="T405" i="2" s="1"/>
  <c r="HB86" i="5"/>
  <c r="T406" i="2" s="1"/>
  <c r="HB87" i="5"/>
  <c r="T407" i="2" s="1"/>
  <c r="HB88" i="5"/>
  <c r="T408" i="2" s="1"/>
  <c r="HB90" i="5"/>
  <c r="T410" i="2" s="1"/>
  <c r="HB91" i="5"/>
  <c r="T411" i="2" s="1"/>
  <c r="HB92" i="5"/>
  <c r="T412" i="2" s="1"/>
  <c r="HB93" i="5"/>
  <c r="T413" i="2" s="1"/>
  <c r="HB66" i="5"/>
  <c r="T366" i="2" s="1"/>
  <c r="HB67" i="5"/>
  <c r="T367" i="2" s="1"/>
  <c r="HB68" i="5"/>
  <c r="T368" i="2" s="1"/>
  <c r="HB69" i="5"/>
  <c r="T369" i="2" s="1"/>
  <c r="HB70" i="5"/>
  <c r="T370" i="2" s="1"/>
  <c r="HB71" i="5"/>
  <c r="T371" i="2" s="1"/>
  <c r="HB72" i="5"/>
  <c r="T372" i="2" s="1"/>
  <c r="HB74" i="5"/>
  <c r="T374" i="2" s="1"/>
  <c r="HB75" i="5"/>
  <c r="T375" i="2" s="1"/>
  <c r="HB76" i="5"/>
  <c r="T376" i="2" s="1"/>
  <c r="HB77" i="5"/>
  <c r="T377" i="2" s="1"/>
  <c r="JN82" i="5"/>
  <c r="V492" i="2" s="1"/>
  <c r="JN83" i="5"/>
  <c r="V493" i="2" s="1"/>
  <c r="JN84" i="5"/>
  <c r="V494" i="2" s="1"/>
  <c r="JN85" i="5"/>
  <c r="V495" i="2" s="1"/>
  <c r="JN86" i="5"/>
  <c r="V496" i="2" s="1"/>
  <c r="JN87" i="5"/>
  <c r="V497" i="2" s="1"/>
  <c r="JN88" i="5"/>
  <c r="V498" i="2" s="1"/>
  <c r="JN90" i="5"/>
  <c r="V500" i="2" s="1"/>
  <c r="JN91" i="5"/>
  <c r="V501" i="2" s="1"/>
  <c r="JN92" i="5"/>
  <c r="V502" i="2" s="1"/>
  <c r="JN93" i="5"/>
  <c r="V503" i="2" s="1"/>
  <c r="JN66" i="5"/>
  <c r="V456" i="2" s="1"/>
  <c r="JN67" i="5"/>
  <c r="V457" i="2" s="1"/>
  <c r="JN68" i="5"/>
  <c r="V458" i="2" s="1"/>
  <c r="JN69" i="5"/>
  <c r="V459" i="2" s="1"/>
  <c r="JN70" i="5"/>
  <c r="V460" i="2" s="1"/>
  <c r="JN71" i="5"/>
  <c r="V461" i="2" s="1"/>
  <c r="JN72" i="5"/>
  <c r="V462" i="2" s="1"/>
  <c r="JN74" i="5"/>
  <c r="V464" i="2" s="1"/>
  <c r="JN75" i="5"/>
  <c r="V465" i="2" s="1"/>
  <c r="JN76" i="5"/>
  <c r="V466" i="2" s="1"/>
  <c r="JN77" i="5"/>
  <c r="V467" i="2" s="1"/>
  <c r="D110" i="1"/>
  <c r="B93" i="8"/>
  <c r="C109" i="1"/>
  <c r="D109" i="1" s="1"/>
  <c r="E297" i="2"/>
  <c r="E296" i="2"/>
  <c r="E295" i="2"/>
  <c r="E294" i="2"/>
  <c r="E287" i="2"/>
  <c r="E288" i="2"/>
  <c r="E289" i="2"/>
  <c r="E290" i="2"/>
  <c r="E291" i="2"/>
  <c r="E292" i="2"/>
  <c r="E286" i="2"/>
  <c r="JM82" i="5"/>
  <c r="U492" i="2" s="1"/>
  <c r="JM83" i="5"/>
  <c r="U493" i="2" s="1"/>
  <c r="JM84" i="5"/>
  <c r="U494" i="2" s="1"/>
  <c r="JM85" i="5"/>
  <c r="U495" i="2" s="1"/>
  <c r="JM86" i="5"/>
  <c r="U496" i="2" s="1"/>
  <c r="JM87" i="5"/>
  <c r="U497" i="2" s="1"/>
  <c r="JM88" i="5"/>
  <c r="U498" i="2" s="1"/>
  <c r="JM90" i="5"/>
  <c r="U500" i="2" s="1"/>
  <c r="JM91" i="5"/>
  <c r="U501" i="2" s="1"/>
  <c r="JM92" i="5"/>
  <c r="U502" i="2" s="1"/>
  <c r="JM93" i="5"/>
  <c r="U503" i="2" s="1"/>
  <c r="JM66" i="5"/>
  <c r="U456" i="2" s="1"/>
  <c r="JM67" i="5"/>
  <c r="U457" i="2" s="1"/>
  <c r="JM68" i="5"/>
  <c r="U458" i="2" s="1"/>
  <c r="JM69" i="5"/>
  <c r="U459" i="2" s="1"/>
  <c r="JM70" i="5"/>
  <c r="U460" i="2" s="1"/>
  <c r="JM71" i="5"/>
  <c r="U461" i="2" s="1"/>
  <c r="JM72" i="5"/>
  <c r="U462" i="2" s="1"/>
  <c r="JM74" i="5"/>
  <c r="U464" i="2" s="1"/>
  <c r="JM75" i="5"/>
  <c r="U465" i="2" s="1"/>
  <c r="JM76" i="5"/>
  <c r="U466" i="2" s="1"/>
  <c r="JM77" i="5"/>
  <c r="U467" i="2" s="1"/>
  <c r="JM46" i="5"/>
  <c r="JM102" i="5" s="1"/>
  <c r="U534" i="2" s="1"/>
  <c r="JM47" i="5"/>
  <c r="JM48" i="5"/>
  <c r="JM97" i="5" s="1"/>
  <c r="U529" i="2" s="1"/>
  <c r="JM49" i="5"/>
  <c r="JM50" i="5"/>
  <c r="JM108" i="5" s="1"/>
  <c r="U540" i="2" s="1"/>
  <c r="JM51" i="5"/>
  <c r="JM98" i="5" s="1"/>
  <c r="U530" i="2" s="1"/>
  <c r="JM52" i="5"/>
  <c r="JM101" i="5" s="1"/>
  <c r="U533" i="2" s="1"/>
  <c r="JM53" i="5"/>
  <c r="JM105" i="5" s="1"/>
  <c r="U537" i="2" s="1"/>
  <c r="JM54" i="5"/>
  <c r="JM103" i="5" s="1"/>
  <c r="U535" i="2" s="1"/>
  <c r="JM55" i="5"/>
  <c r="JM99" i="5" s="1"/>
  <c r="U531" i="2" s="1"/>
  <c r="JM56" i="5"/>
  <c r="JM107" i="5" s="1"/>
  <c r="U539" i="2" s="1"/>
  <c r="U455" i="2"/>
  <c r="U463" i="2"/>
  <c r="U468" i="2"/>
  <c r="U491" i="2"/>
  <c r="U499" i="2"/>
  <c r="U504" i="2"/>
  <c r="S365" i="2"/>
  <c r="S373" i="2"/>
  <c r="S378" i="2"/>
  <c r="S401" i="2"/>
  <c r="S409" i="2"/>
  <c r="S414" i="2"/>
  <c r="HA82" i="5"/>
  <c r="S402" i="2" s="1"/>
  <c r="HA83" i="5"/>
  <c r="S403" i="2" s="1"/>
  <c r="HA84" i="5"/>
  <c r="S404" i="2" s="1"/>
  <c r="HA85" i="5"/>
  <c r="S405" i="2" s="1"/>
  <c r="HA86" i="5"/>
  <c r="S406" i="2" s="1"/>
  <c r="HA87" i="5"/>
  <c r="S407" i="2" s="1"/>
  <c r="HA88" i="5"/>
  <c r="S408" i="2" s="1"/>
  <c r="HA90" i="5"/>
  <c r="S410" i="2" s="1"/>
  <c r="HA91" i="5"/>
  <c r="S411" i="2" s="1"/>
  <c r="HA92" i="5"/>
  <c r="S412" i="2" s="1"/>
  <c r="HA93" i="5"/>
  <c r="S413" i="2" s="1"/>
  <c r="HA66" i="5"/>
  <c r="S366" i="2" s="1"/>
  <c r="HA67" i="5"/>
  <c r="S367" i="2" s="1"/>
  <c r="HA68" i="5"/>
  <c r="S368" i="2" s="1"/>
  <c r="HA69" i="5"/>
  <c r="S369" i="2" s="1"/>
  <c r="HA70" i="5"/>
  <c r="S370" i="2" s="1"/>
  <c r="HA71" i="5"/>
  <c r="S371" i="2" s="1"/>
  <c r="HA72" i="5"/>
  <c r="S372" i="2" s="1"/>
  <c r="HA74" i="5"/>
  <c r="S374" i="2" s="1"/>
  <c r="HA75" i="5"/>
  <c r="S375" i="2" s="1"/>
  <c r="HA76" i="5"/>
  <c r="S376" i="2" s="1"/>
  <c r="HA77" i="5"/>
  <c r="S377" i="2" s="1"/>
  <c r="HA46" i="5"/>
  <c r="HA102" i="5" s="1"/>
  <c r="S444" i="2" s="1"/>
  <c r="HA47" i="5"/>
  <c r="HA100" i="5" s="1"/>
  <c r="S442" i="2" s="1"/>
  <c r="HA48" i="5"/>
  <c r="HA97" i="5" s="1"/>
  <c r="S439" i="2" s="1"/>
  <c r="HA49" i="5"/>
  <c r="HA50" i="5"/>
  <c r="HA108" i="5" s="1"/>
  <c r="S450" i="2" s="1"/>
  <c r="HA51" i="5"/>
  <c r="HA98" i="5" s="1"/>
  <c r="S440" i="2" s="1"/>
  <c r="HA52" i="5"/>
  <c r="HA101" i="5" s="1"/>
  <c r="S443" i="2" s="1"/>
  <c r="HA53" i="5"/>
  <c r="HA105" i="5" s="1"/>
  <c r="S447" i="2" s="1"/>
  <c r="HA54" i="5"/>
  <c r="HA103" i="5" s="1"/>
  <c r="S445" i="2" s="1"/>
  <c r="HA55" i="5"/>
  <c r="HA99" i="5" s="1"/>
  <c r="S441" i="2" s="1"/>
  <c r="HA56" i="5"/>
  <c r="HA107" i="5" s="1"/>
  <c r="S449" i="2" s="1"/>
  <c r="GZ82" i="5"/>
  <c r="R402" i="2" s="1"/>
  <c r="GZ83" i="5"/>
  <c r="R403" i="2" s="1"/>
  <c r="GZ84" i="5"/>
  <c r="R404" i="2" s="1"/>
  <c r="GZ85" i="5"/>
  <c r="R405" i="2" s="1"/>
  <c r="GZ86" i="5"/>
  <c r="R406" i="2" s="1"/>
  <c r="GZ87" i="5"/>
  <c r="R407" i="2" s="1"/>
  <c r="GZ88" i="5"/>
  <c r="R408" i="2" s="1"/>
  <c r="GZ90" i="5"/>
  <c r="R410" i="2" s="1"/>
  <c r="GZ91" i="5"/>
  <c r="R411" i="2" s="1"/>
  <c r="GZ92" i="5"/>
  <c r="R412" i="2" s="1"/>
  <c r="GZ93" i="5"/>
  <c r="R413" i="2" s="1"/>
  <c r="GZ66" i="5"/>
  <c r="R366" i="2" s="1"/>
  <c r="GZ67" i="5"/>
  <c r="R367" i="2" s="1"/>
  <c r="GZ68" i="5"/>
  <c r="R368" i="2" s="1"/>
  <c r="GZ69" i="5"/>
  <c r="R369" i="2" s="1"/>
  <c r="GZ70" i="5"/>
  <c r="R370" i="2" s="1"/>
  <c r="GZ71" i="5"/>
  <c r="R371" i="2" s="1"/>
  <c r="GZ72" i="5"/>
  <c r="R372" i="2" s="1"/>
  <c r="GZ74" i="5"/>
  <c r="R374" i="2" s="1"/>
  <c r="GZ75" i="5"/>
  <c r="R375" i="2" s="1"/>
  <c r="GZ76" i="5"/>
  <c r="R376" i="2" s="1"/>
  <c r="GZ77" i="5"/>
  <c r="R377" i="2" s="1"/>
  <c r="GZ46" i="5"/>
  <c r="GZ102" i="5" s="1"/>
  <c r="R444" i="2" s="1"/>
  <c r="GZ47" i="5"/>
  <c r="GZ100" i="5" s="1"/>
  <c r="R442" i="2" s="1"/>
  <c r="GZ48" i="5"/>
  <c r="GZ97" i="5" s="1"/>
  <c r="R439" i="2" s="1"/>
  <c r="GZ49" i="5"/>
  <c r="GZ106" i="5" s="1"/>
  <c r="R448" i="2" s="1"/>
  <c r="GZ50" i="5"/>
  <c r="GZ108" i="5" s="1"/>
  <c r="R450" i="2" s="1"/>
  <c r="GZ51" i="5"/>
  <c r="GZ98" i="5" s="1"/>
  <c r="R440" i="2" s="1"/>
  <c r="GZ52" i="5"/>
  <c r="GZ101" i="5" s="1"/>
  <c r="R443" i="2" s="1"/>
  <c r="GZ53" i="5"/>
  <c r="GZ105" i="5" s="1"/>
  <c r="R447" i="2" s="1"/>
  <c r="GZ54" i="5"/>
  <c r="GZ103" i="5" s="1"/>
  <c r="R445" i="2" s="1"/>
  <c r="GZ55" i="5"/>
  <c r="GZ99" i="5" s="1"/>
  <c r="R441" i="2" s="1"/>
  <c r="GZ56" i="5"/>
  <c r="GZ107" i="5" s="1"/>
  <c r="R449" i="2" s="1"/>
  <c r="JL82" i="5"/>
  <c r="T492" i="2" s="1"/>
  <c r="JL83" i="5"/>
  <c r="T493" i="2" s="1"/>
  <c r="JL84" i="5"/>
  <c r="T494" i="2" s="1"/>
  <c r="JL85" i="5"/>
  <c r="T495" i="2" s="1"/>
  <c r="JL86" i="5"/>
  <c r="T496" i="2" s="1"/>
  <c r="JL87" i="5"/>
  <c r="T497" i="2" s="1"/>
  <c r="JL88" i="5"/>
  <c r="T498" i="2" s="1"/>
  <c r="JL90" i="5"/>
  <c r="T500" i="2" s="1"/>
  <c r="JL91" i="5"/>
  <c r="T501" i="2" s="1"/>
  <c r="JL92" i="5"/>
  <c r="T502" i="2" s="1"/>
  <c r="JL93" i="5"/>
  <c r="T503" i="2" s="1"/>
  <c r="JL66" i="5"/>
  <c r="T456" i="2" s="1"/>
  <c r="JL67" i="5"/>
  <c r="T457" i="2" s="1"/>
  <c r="JL68" i="5"/>
  <c r="T458" i="2" s="1"/>
  <c r="JL69" i="5"/>
  <c r="T459" i="2" s="1"/>
  <c r="JL70" i="5"/>
  <c r="T460" i="2" s="1"/>
  <c r="JL71" i="5"/>
  <c r="T461" i="2" s="1"/>
  <c r="JL72" i="5"/>
  <c r="T462" i="2" s="1"/>
  <c r="JL74" i="5"/>
  <c r="T464" i="2" s="1"/>
  <c r="JL75" i="5"/>
  <c r="T465" i="2" s="1"/>
  <c r="JL76" i="5"/>
  <c r="T466" i="2" s="1"/>
  <c r="JL77" i="5"/>
  <c r="T467" i="2" s="1"/>
  <c r="JL46" i="5"/>
  <c r="JL102" i="5" s="1"/>
  <c r="T534" i="2" s="1"/>
  <c r="JL47" i="5"/>
  <c r="JL100" i="5" s="1"/>
  <c r="T532" i="2" s="1"/>
  <c r="JL48" i="5"/>
  <c r="JL97" i="5" s="1"/>
  <c r="T529" i="2" s="1"/>
  <c r="JL49" i="5"/>
  <c r="JL106" i="5" s="1"/>
  <c r="T538" i="2" s="1"/>
  <c r="JL50" i="5"/>
  <c r="JL108" i="5" s="1"/>
  <c r="T540" i="2" s="1"/>
  <c r="JL51" i="5"/>
  <c r="JL98" i="5" s="1"/>
  <c r="T530" i="2" s="1"/>
  <c r="JL52" i="5"/>
  <c r="JL101" i="5" s="1"/>
  <c r="T533" i="2" s="1"/>
  <c r="JL53" i="5"/>
  <c r="JL105" i="5" s="1"/>
  <c r="T537" i="2" s="1"/>
  <c r="JL54" i="5"/>
  <c r="JL103" i="5" s="1"/>
  <c r="T535" i="2" s="1"/>
  <c r="JL55" i="5"/>
  <c r="JL99" i="5" s="1"/>
  <c r="T531" i="2" s="1"/>
  <c r="JL56" i="5"/>
  <c r="JL107" i="5" s="1"/>
  <c r="T539" i="2" s="1"/>
  <c r="T455" i="2"/>
  <c r="T463" i="2"/>
  <c r="T468" i="2"/>
  <c r="T491" i="2"/>
  <c r="T499" i="2"/>
  <c r="T504" i="2"/>
  <c r="R365" i="2"/>
  <c r="R373" i="2"/>
  <c r="R378" i="2"/>
  <c r="R401" i="2"/>
  <c r="R409" i="2"/>
  <c r="R414" i="2"/>
  <c r="Q491" i="2"/>
  <c r="R491" i="2"/>
  <c r="S491" i="2"/>
  <c r="Q499" i="2"/>
  <c r="R499" i="2"/>
  <c r="S499" i="2"/>
  <c r="Q504" i="2"/>
  <c r="R504" i="2"/>
  <c r="S504" i="2"/>
  <c r="Q455" i="2"/>
  <c r="R455" i="2"/>
  <c r="S455" i="2"/>
  <c r="Q463" i="2"/>
  <c r="R463" i="2"/>
  <c r="S463" i="2"/>
  <c r="Q468" i="2"/>
  <c r="R468" i="2"/>
  <c r="S468" i="2"/>
  <c r="O401" i="2"/>
  <c r="P401" i="2"/>
  <c r="Q401" i="2"/>
  <c r="O409" i="2"/>
  <c r="P409" i="2"/>
  <c r="Q409" i="2"/>
  <c r="O414" i="2"/>
  <c r="P414" i="2"/>
  <c r="Q414" i="2"/>
  <c r="O365" i="2"/>
  <c r="P365" i="2"/>
  <c r="Q365" i="2"/>
  <c r="O373" i="2"/>
  <c r="P373" i="2"/>
  <c r="Q373" i="2"/>
  <c r="O378" i="2"/>
  <c r="P378" i="2"/>
  <c r="Q378" i="2"/>
  <c r="JK46" i="5"/>
  <c r="JK102" i="5" s="1"/>
  <c r="S534" i="2" s="1"/>
  <c r="JK47" i="5"/>
  <c r="JK100" i="5" s="1"/>
  <c r="S532" i="2" s="1"/>
  <c r="JK48" i="5"/>
  <c r="JK97" i="5" s="1"/>
  <c r="S529" i="2" s="1"/>
  <c r="JK49" i="5"/>
  <c r="JK106" i="5" s="1"/>
  <c r="S538" i="2" s="1"/>
  <c r="JK50" i="5"/>
  <c r="JK108" i="5" s="1"/>
  <c r="S540" i="2" s="1"/>
  <c r="JK51" i="5"/>
  <c r="JK98" i="5" s="1"/>
  <c r="S530" i="2" s="1"/>
  <c r="JK52" i="5"/>
  <c r="JK101" i="5" s="1"/>
  <c r="S533" i="2" s="1"/>
  <c r="JK53" i="5"/>
  <c r="JK105" i="5" s="1"/>
  <c r="S537" i="2" s="1"/>
  <c r="JK54" i="5"/>
  <c r="JK103" i="5" s="1"/>
  <c r="S535" i="2" s="1"/>
  <c r="JK55" i="5"/>
  <c r="JK99" i="5" s="1"/>
  <c r="S531" i="2" s="1"/>
  <c r="JK56" i="5"/>
  <c r="JK107" i="5" s="1"/>
  <c r="S539" i="2" s="1"/>
  <c r="JK66" i="5"/>
  <c r="S456" i="2" s="1"/>
  <c r="JK67" i="5"/>
  <c r="S457" i="2" s="1"/>
  <c r="JK68" i="5"/>
  <c r="S458" i="2" s="1"/>
  <c r="JK69" i="5"/>
  <c r="S459" i="2" s="1"/>
  <c r="JK70" i="5"/>
  <c r="S460" i="2" s="1"/>
  <c r="JK71" i="5"/>
  <c r="S461" i="2" s="1"/>
  <c r="JK72" i="5"/>
  <c r="S462" i="2" s="1"/>
  <c r="JK74" i="5"/>
  <c r="S464" i="2" s="1"/>
  <c r="JK75" i="5"/>
  <c r="S465" i="2" s="1"/>
  <c r="JK76" i="5"/>
  <c r="S466" i="2" s="1"/>
  <c r="JK77" i="5"/>
  <c r="S467" i="2" s="1"/>
  <c r="JK82" i="5"/>
  <c r="S492" i="2" s="1"/>
  <c r="JK83" i="5"/>
  <c r="S493" i="2" s="1"/>
  <c r="JK84" i="5"/>
  <c r="S494" i="2" s="1"/>
  <c r="JK85" i="5"/>
  <c r="S495" i="2" s="1"/>
  <c r="JK86" i="5"/>
  <c r="S496" i="2" s="1"/>
  <c r="JK87" i="5"/>
  <c r="S497" i="2" s="1"/>
  <c r="JK88" i="5"/>
  <c r="S498" i="2" s="1"/>
  <c r="JK90" i="5"/>
  <c r="S500" i="2" s="1"/>
  <c r="JK91" i="5"/>
  <c r="S501" i="2" s="1"/>
  <c r="JK92" i="5"/>
  <c r="S502" i="2" s="1"/>
  <c r="JK93" i="5"/>
  <c r="S503" i="2" s="1"/>
  <c r="GW82" i="5"/>
  <c r="O402" i="2" s="1"/>
  <c r="GX82" i="5"/>
  <c r="P402" i="2" s="1"/>
  <c r="GY82" i="5"/>
  <c r="Q402" i="2" s="1"/>
  <c r="GW83" i="5"/>
  <c r="O403" i="2" s="1"/>
  <c r="GX83" i="5"/>
  <c r="P403" i="2" s="1"/>
  <c r="GY83" i="5"/>
  <c r="Q403" i="2" s="1"/>
  <c r="GW84" i="5"/>
  <c r="O404" i="2" s="1"/>
  <c r="GX84" i="5"/>
  <c r="P404" i="2" s="1"/>
  <c r="GY84" i="5"/>
  <c r="Q404" i="2" s="1"/>
  <c r="GW85" i="5"/>
  <c r="O405" i="2" s="1"/>
  <c r="GX85" i="5"/>
  <c r="P405" i="2" s="1"/>
  <c r="GY85" i="5"/>
  <c r="Q405" i="2" s="1"/>
  <c r="GW86" i="5"/>
  <c r="O406" i="2" s="1"/>
  <c r="GX86" i="5"/>
  <c r="P406" i="2" s="1"/>
  <c r="GY86" i="5"/>
  <c r="Q406" i="2" s="1"/>
  <c r="GW87" i="5"/>
  <c r="O407" i="2" s="1"/>
  <c r="GX87" i="5"/>
  <c r="P407" i="2" s="1"/>
  <c r="GY87" i="5"/>
  <c r="Q407" i="2" s="1"/>
  <c r="GW88" i="5"/>
  <c r="O408" i="2" s="1"/>
  <c r="GX88" i="5"/>
  <c r="P408" i="2" s="1"/>
  <c r="GY88" i="5"/>
  <c r="Q408" i="2" s="1"/>
  <c r="GW90" i="5"/>
  <c r="O410" i="2" s="1"/>
  <c r="GX90" i="5"/>
  <c r="P410" i="2" s="1"/>
  <c r="GY90" i="5"/>
  <c r="Q410" i="2" s="1"/>
  <c r="GW91" i="5"/>
  <c r="O411" i="2" s="1"/>
  <c r="GX91" i="5"/>
  <c r="P411" i="2" s="1"/>
  <c r="GY91" i="5"/>
  <c r="Q411" i="2" s="1"/>
  <c r="GW92" i="5"/>
  <c r="O412" i="2" s="1"/>
  <c r="GX92" i="5"/>
  <c r="P412" i="2" s="1"/>
  <c r="GY92" i="5"/>
  <c r="Q412" i="2" s="1"/>
  <c r="GW93" i="5"/>
  <c r="O413" i="2" s="1"/>
  <c r="GX93" i="5"/>
  <c r="P413" i="2" s="1"/>
  <c r="GY93" i="5"/>
  <c r="Q413" i="2" s="1"/>
  <c r="GW66" i="5"/>
  <c r="O366" i="2" s="1"/>
  <c r="GX66" i="5"/>
  <c r="P366" i="2" s="1"/>
  <c r="GY66" i="5"/>
  <c r="Q366" i="2" s="1"/>
  <c r="GW67" i="5"/>
  <c r="O367" i="2" s="1"/>
  <c r="GX67" i="5"/>
  <c r="P367" i="2" s="1"/>
  <c r="GY67" i="5"/>
  <c r="Q367" i="2" s="1"/>
  <c r="GW68" i="5"/>
  <c r="O368" i="2" s="1"/>
  <c r="GX68" i="5"/>
  <c r="P368" i="2" s="1"/>
  <c r="GY68" i="5"/>
  <c r="Q368" i="2" s="1"/>
  <c r="GW69" i="5"/>
  <c r="O369" i="2" s="1"/>
  <c r="GX69" i="5"/>
  <c r="P369" i="2" s="1"/>
  <c r="GY69" i="5"/>
  <c r="Q369" i="2" s="1"/>
  <c r="GW70" i="5"/>
  <c r="O370" i="2" s="1"/>
  <c r="GX70" i="5"/>
  <c r="P370" i="2" s="1"/>
  <c r="GY70" i="5"/>
  <c r="Q370" i="2" s="1"/>
  <c r="GW71" i="5"/>
  <c r="O371" i="2" s="1"/>
  <c r="GX71" i="5"/>
  <c r="P371" i="2" s="1"/>
  <c r="GY71" i="5"/>
  <c r="Q371" i="2" s="1"/>
  <c r="GW72" i="5"/>
  <c r="O372" i="2" s="1"/>
  <c r="GX72" i="5"/>
  <c r="P372" i="2" s="1"/>
  <c r="GY72" i="5"/>
  <c r="Q372" i="2" s="1"/>
  <c r="GW74" i="5"/>
  <c r="O374" i="2" s="1"/>
  <c r="GX74" i="5"/>
  <c r="P374" i="2" s="1"/>
  <c r="GY74" i="5"/>
  <c r="Q374" i="2" s="1"/>
  <c r="GW75" i="5"/>
  <c r="O375" i="2" s="1"/>
  <c r="GX75" i="5"/>
  <c r="P375" i="2" s="1"/>
  <c r="GY75" i="5"/>
  <c r="Q375" i="2" s="1"/>
  <c r="GW76" i="5"/>
  <c r="O376" i="2" s="1"/>
  <c r="GX76" i="5"/>
  <c r="P376" i="2" s="1"/>
  <c r="GY76" i="5"/>
  <c r="Q376" i="2" s="1"/>
  <c r="GW77" i="5"/>
  <c r="O377" i="2" s="1"/>
  <c r="GX77" i="5"/>
  <c r="P377" i="2" s="1"/>
  <c r="GY77" i="5"/>
  <c r="Q377" i="2" s="1"/>
  <c r="GW46" i="5"/>
  <c r="GW102" i="5" s="1"/>
  <c r="O444" i="2" s="1"/>
  <c r="GX46" i="5"/>
  <c r="GY46" i="5"/>
  <c r="GW47" i="5"/>
  <c r="GW100" i="5" s="1"/>
  <c r="O442" i="2" s="1"/>
  <c r="GX47" i="5"/>
  <c r="GX100" i="5" s="1"/>
  <c r="P442" i="2" s="1"/>
  <c r="GY47" i="5"/>
  <c r="GY100" i="5" s="1"/>
  <c r="Q442" i="2" s="1"/>
  <c r="GW48" i="5"/>
  <c r="GW97" i="5" s="1"/>
  <c r="O439" i="2" s="1"/>
  <c r="GX48" i="5"/>
  <c r="GX97" i="5" s="1"/>
  <c r="P439" i="2" s="1"/>
  <c r="GY48" i="5"/>
  <c r="GY97" i="5" s="1"/>
  <c r="Q439" i="2" s="1"/>
  <c r="GW49" i="5"/>
  <c r="GX49" i="5"/>
  <c r="GY49" i="5"/>
  <c r="GY106" i="5" s="1"/>
  <c r="Q448" i="2" s="1"/>
  <c r="GW50" i="5"/>
  <c r="GW108" i="5" s="1"/>
  <c r="O450" i="2" s="1"/>
  <c r="GX50" i="5"/>
  <c r="GX108" i="5" s="1"/>
  <c r="P450" i="2" s="1"/>
  <c r="GY50" i="5"/>
  <c r="GY108" i="5" s="1"/>
  <c r="Q450" i="2" s="1"/>
  <c r="GW51" i="5"/>
  <c r="GX51" i="5"/>
  <c r="GX98" i="5" s="1"/>
  <c r="P440" i="2" s="1"/>
  <c r="GY51" i="5"/>
  <c r="GY98" i="5" s="1"/>
  <c r="Q440" i="2" s="1"/>
  <c r="GW52" i="5"/>
  <c r="GW101" i="5" s="1"/>
  <c r="O443" i="2" s="1"/>
  <c r="GX52" i="5"/>
  <c r="GX101" i="5" s="1"/>
  <c r="P443" i="2" s="1"/>
  <c r="GY52" i="5"/>
  <c r="GY101" i="5" s="1"/>
  <c r="Q443" i="2" s="1"/>
  <c r="GW53" i="5"/>
  <c r="GW105" i="5" s="1"/>
  <c r="O447" i="2" s="1"/>
  <c r="GX53" i="5"/>
  <c r="GX105" i="5" s="1"/>
  <c r="P447" i="2" s="1"/>
  <c r="GY53" i="5"/>
  <c r="GY105" i="5" s="1"/>
  <c r="Q447" i="2" s="1"/>
  <c r="GW54" i="5"/>
  <c r="GW103" i="5" s="1"/>
  <c r="O445" i="2" s="1"/>
  <c r="GX54" i="5"/>
  <c r="GX103" i="5" s="1"/>
  <c r="P445" i="2" s="1"/>
  <c r="GY54" i="5"/>
  <c r="GY103" i="5" s="1"/>
  <c r="Q445" i="2" s="1"/>
  <c r="GW55" i="5"/>
  <c r="GW99" i="5" s="1"/>
  <c r="O441" i="2" s="1"/>
  <c r="GX55" i="5"/>
  <c r="GX99" i="5" s="1"/>
  <c r="P441" i="2" s="1"/>
  <c r="GY55" i="5"/>
  <c r="GY99" i="5" s="1"/>
  <c r="Q441" i="2" s="1"/>
  <c r="GW56" i="5"/>
  <c r="GW107" i="5" s="1"/>
  <c r="O449" i="2" s="1"/>
  <c r="GX56" i="5"/>
  <c r="GX107" i="5" s="1"/>
  <c r="P449" i="2" s="1"/>
  <c r="GY56" i="5"/>
  <c r="GY107" i="5" s="1"/>
  <c r="Q449" i="2" s="1"/>
  <c r="JI82" i="5"/>
  <c r="Q492" i="2" s="1"/>
  <c r="JJ82" i="5"/>
  <c r="R492" i="2" s="1"/>
  <c r="JI83" i="5"/>
  <c r="Q493" i="2" s="1"/>
  <c r="JJ83" i="5"/>
  <c r="R493" i="2" s="1"/>
  <c r="JI84" i="5"/>
  <c r="Q494" i="2" s="1"/>
  <c r="JJ84" i="5"/>
  <c r="R494" i="2" s="1"/>
  <c r="JI85" i="5"/>
  <c r="Q495" i="2" s="1"/>
  <c r="JJ85" i="5"/>
  <c r="R495" i="2" s="1"/>
  <c r="JI86" i="5"/>
  <c r="Q496" i="2" s="1"/>
  <c r="JJ86" i="5"/>
  <c r="R496" i="2" s="1"/>
  <c r="JI87" i="5"/>
  <c r="Q497" i="2" s="1"/>
  <c r="JJ87" i="5"/>
  <c r="R497" i="2" s="1"/>
  <c r="JI88" i="5"/>
  <c r="Q498" i="2" s="1"/>
  <c r="JJ88" i="5"/>
  <c r="R498" i="2" s="1"/>
  <c r="JI90" i="5"/>
  <c r="Q500" i="2" s="1"/>
  <c r="JJ90" i="5"/>
  <c r="R500" i="2" s="1"/>
  <c r="JI91" i="5"/>
  <c r="Q501" i="2" s="1"/>
  <c r="JJ91" i="5"/>
  <c r="R501" i="2" s="1"/>
  <c r="JI92" i="5"/>
  <c r="Q502" i="2" s="1"/>
  <c r="JJ92" i="5"/>
  <c r="R502" i="2" s="1"/>
  <c r="JI93" i="5"/>
  <c r="Q503" i="2" s="1"/>
  <c r="JJ93" i="5"/>
  <c r="R503" i="2" s="1"/>
  <c r="JI66" i="5"/>
  <c r="Q456" i="2" s="1"/>
  <c r="JJ66" i="5"/>
  <c r="R456" i="2" s="1"/>
  <c r="JI67" i="5"/>
  <c r="Q457" i="2" s="1"/>
  <c r="JJ67" i="5"/>
  <c r="R457" i="2" s="1"/>
  <c r="JI68" i="5"/>
  <c r="Q458" i="2" s="1"/>
  <c r="JJ68" i="5"/>
  <c r="R458" i="2" s="1"/>
  <c r="JI69" i="5"/>
  <c r="Q459" i="2" s="1"/>
  <c r="JJ69" i="5"/>
  <c r="R459" i="2" s="1"/>
  <c r="JI70" i="5"/>
  <c r="Q460" i="2" s="1"/>
  <c r="JJ70" i="5"/>
  <c r="R460" i="2" s="1"/>
  <c r="JI71" i="5"/>
  <c r="Q461" i="2" s="1"/>
  <c r="JJ71" i="5"/>
  <c r="R461" i="2" s="1"/>
  <c r="JI72" i="5"/>
  <c r="Q462" i="2" s="1"/>
  <c r="JJ72" i="5"/>
  <c r="R462" i="2" s="1"/>
  <c r="JI74" i="5"/>
  <c r="Q464" i="2" s="1"/>
  <c r="JJ74" i="5"/>
  <c r="R464" i="2" s="1"/>
  <c r="JI75" i="5"/>
  <c r="Q465" i="2" s="1"/>
  <c r="JJ75" i="5"/>
  <c r="R465" i="2" s="1"/>
  <c r="JI76" i="5"/>
  <c r="Q466" i="2" s="1"/>
  <c r="JJ76" i="5"/>
  <c r="R466" i="2" s="1"/>
  <c r="JI77" i="5"/>
  <c r="Q467" i="2" s="1"/>
  <c r="JJ77" i="5"/>
  <c r="R467" i="2" s="1"/>
  <c r="JI46" i="5"/>
  <c r="JJ46" i="5"/>
  <c r="JJ102" i="5" s="1"/>
  <c r="R534" i="2" s="1"/>
  <c r="JI47" i="5"/>
  <c r="JI100" i="5" s="1"/>
  <c r="Q532" i="2" s="1"/>
  <c r="JJ47" i="5"/>
  <c r="JJ100" i="5" s="1"/>
  <c r="R532" i="2" s="1"/>
  <c r="JI48" i="5"/>
  <c r="JI97" i="5" s="1"/>
  <c r="Q529" i="2" s="1"/>
  <c r="JJ48" i="5"/>
  <c r="JJ97" i="5" s="1"/>
  <c r="R529" i="2" s="1"/>
  <c r="JI49" i="5"/>
  <c r="JJ49" i="5"/>
  <c r="JJ106" i="5" s="1"/>
  <c r="R538" i="2" s="1"/>
  <c r="JI50" i="5"/>
  <c r="JI108" i="5" s="1"/>
  <c r="Q540" i="2" s="1"/>
  <c r="JJ50" i="5"/>
  <c r="JI51" i="5"/>
  <c r="JI98" i="5" s="1"/>
  <c r="Q530" i="2" s="1"/>
  <c r="JJ51" i="5"/>
  <c r="JJ98" i="5" s="1"/>
  <c r="R530" i="2" s="1"/>
  <c r="JI52" i="5"/>
  <c r="JI101" i="5" s="1"/>
  <c r="Q533" i="2" s="1"/>
  <c r="JJ52" i="5"/>
  <c r="JJ101" i="5" s="1"/>
  <c r="R533" i="2" s="1"/>
  <c r="JI53" i="5"/>
  <c r="JI105" i="5" s="1"/>
  <c r="Q537" i="2" s="1"/>
  <c r="JJ53" i="5"/>
  <c r="JJ105" i="5" s="1"/>
  <c r="R537" i="2" s="1"/>
  <c r="JI54" i="5"/>
  <c r="JI103" i="5" s="1"/>
  <c r="Q535" i="2" s="1"/>
  <c r="JJ54" i="5"/>
  <c r="JJ103" i="5" s="1"/>
  <c r="R535" i="2" s="1"/>
  <c r="JI55" i="5"/>
  <c r="JI99" i="5" s="1"/>
  <c r="Q531" i="2" s="1"/>
  <c r="JJ55" i="5"/>
  <c r="JJ99" i="5" s="1"/>
  <c r="R531" i="2" s="1"/>
  <c r="JI56" i="5"/>
  <c r="JI107" i="5" s="1"/>
  <c r="Q539" i="2" s="1"/>
  <c r="JJ56" i="5"/>
  <c r="JJ107" i="5" s="1"/>
  <c r="R539" i="2" s="1"/>
  <c r="GV82" i="5"/>
  <c r="N402" i="2" s="1"/>
  <c r="GV83" i="5"/>
  <c r="N403" i="2" s="1"/>
  <c r="GV84" i="5"/>
  <c r="N404" i="2" s="1"/>
  <c r="GV85" i="5"/>
  <c r="N405" i="2" s="1"/>
  <c r="GV86" i="5"/>
  <c r="N406" i="2" s="1"/>
  <c r="GV87" i="5"/>
  <c r="N407" i="2" s="1"/>
  <c r="GV88" i="5"/>
  <c r="N408" i="2" s="1"/>
  <c r="GV90" i="5"/>
  <c r="N410" i="2" s="1"/>
  <c r="GV91" i="5"/>
  <c r="N411" i="2" s="1"/>
  <c r="GV92" i="5"/>
  <c r="N412" i="2" s="1"/>
  <c r="GV93" i="5"/>
  <c r="N413" i="2" s="1"/>
  <c r="GV66" i="5"/>
  <c r="N366" i="2" s="1"/>
  <c r="GV67" i="5"/>
  <c r="N367" i="2" s="1"/>
  <c r="GV68" i="5"/>
  <c r="N368" i="2" s="1"/>
  <c r="GV69" i="5"/>
  <c r="N369" i="2" s="1"/>
  <c r="GV70" i="5"/>
  <c r="N370" i="2" s="1"/>
  <c r="GV71" i="5"/>
  <c r="N371" i="2" s="1"/>
  <c r="GV72" i="5"/>
  <c r="N372" i="2" s="1"/>
  <c r="GV74" i="5"/>
  <c r="N374" i="2" s="1"/>
  <c r="GV75" i="5"/>
  <c r="N375" i="2" s="1"/>
  <c r="GV76" i="5"/>
  <c r="N376" i="2" s="1"/>
  <c r="GV77" i="5"/>
  <c r="N377" i="2" s="1"/>
  <c r="JH82" i="5"/>
  <c r="P492" i="2" s="1"/>
  <c r="JH83" i="5"/>
  <c r="P493" i="2" s="1"/>
  <c r="JH84" i="5"/>
  <c r="P494" i="2" s="1"/>
  <c r="JH85" i="5"/>
  <c r="P495" i="2" s="1"/>
  <c r="JH86" i="5"/>
  <c r="P496" i="2" s="1"/>
  <c r="JH87" i="5"/>
  <c r="P497" i="2" s="1"/>
  <c r="JH88" i="5"/>
  <c r="P498" i="2" s="1"/>
  <c r="JH90" i="5"/>
  <c r="P500" i="2" s="1"/>
  <c r="JH91" i="5"/>
  <c r="P501" i="2" s="1"/>
  <c r="JH92" i="5"/>
  <c r="P502" i="2" s="1"/>
  <c r="JH93" i="5"/>
  <c r="P503" i="2" s="1"/>
  <c r="JH66" i="5"/>
  <c r="P456" i="2" s="1"/>
  <c r="JH67" i="5"/>
  <c r="P457" i="2" s="1"/>
  <c r="JH68" i="5"/>
  <c r="P458" i="2" s="1"/>
  <c r="JH69" i="5"/>
  <c r="P459" i="2" s="1"/>
  <c r="JH70" i="5"/>
  <c r="P460" i="2" s="1"/>
  <c r="JH71" i="5"/>
  <c r="P461" i="2" s="1"/>
  <c r="JH72" i="5"/>
  <c r="P462" i="2" s="1"/>
  <c r="JH74" i="5"/>
  <c r="P464" i="2" s="1"/>
  <c r="JH75" i="5"/>
  <c r="P465" i="2" s="1"/>
  <c r="JH76" i="5"/>
  <c r="P466" i="2" s="1"/>
  <c r="JH77" i="5"/>
  <c r="P467" i="2" s="1"/>
  <c r="JH46" i="5"/>
  <c r="JH102" i="5" s="1"/>
  <c r="P534" i="2" s="1"/>
  <c r="JH47" i="5"/>
  <c r="JH48" i="5"/>
  <c r="JH97" i="5" s="1"/>
  <c r="P529" i="2" s="1"/>
  <c r="JH49" i="5"/>
  <c r="JH50" i="5"/>
  <c r="JH108" i="5" s="1"/>
  <c r="P540" i="2" s="1"/>
  <c r="JH51" i="5"/>
  <c r="JH98" i="5" s="1"/>
  <c r="P530" i="2" s="1"/>
  <c r="JH52" i="5"/>
  <c r="JH101" i="5" s="1"/>
  <c r="P533" i="2" s="1"/>
  <c r="JH53" i="5"/>
  <c r="JH105" i="5" s="1"/>
  <c r="P537" i="2" s="1"/>
  <c r="JH54" i="5"/>
  <c r="JH103" i="5" s="1"/>
  <c r="P535" i="2" s="1"/>
  <c r="JH55" i="5"/>
  <c r="JH99" i="5" s="1"/>
  <c r="P531" i="2" s="1"/>
  <c r="JH56" i="5"/>
  <c r="JH107" i="5" s="1"/>
  <c r="P539" i="2" s="1"/>
  <c r="GV46" i="5"/>
  <c r="GV47" i="5"/>
  <c r="GV100" i="5" s="1"/>
  <c r="N442" i="2" s="1"/>
  <c r="GV48" i="5"/>
  <c r="GV97" i="5" s="1"/>
  <c r="N439" i="2" s="1"/>
  <c r="GV49" i="5"/>
  <c r="GV106" i="5" s="1"/>
  <c r="N448" i="2" s="1"/>
  <c r="GV50" i="5"/>
  <c r="GV108" i="5" s="1"/>
  <c r="N450" i="2" s="1"/>
  <c r="GV51" i="5"/>
  <c r="GV98" i="5" s="1"/>
  <c r="N440" i="2" s="1"/>
  <c r="GV52" i="5"/>
  <c r="GV101" i="5" s="1"/>
  <c r="N443" i="2" s="1"/>
  <c r="GV53" i="5"/>
  <c r="GV105" i="5" s="1"/>
  <c r="N447" i="2" s="1"/>
  <c r="GV54" i="5"/>
  <c r="GV103" i="5" s="1"/>
  <c r="N445" i="2" s="1"/>
  <c r="GV55" i="5"/>
  <c r="GV99" i="5" s="1"/>
  <c r="N441" i="2" s="1"/>
  <c r="GV56" i="5"/>
  <c r="GV107" i="5" s="1"/>
  <c r="N449" i="2" s="1"/>
  <c r="P491" i="2"/>
  <c r="P499" i="2"/>
  <c r="P504" i="2"/>
  <c r="P455" i="2"/>
  <c r="P463" i="2"/>
  <c r="P468" i="2"/>
  <c r="N401" i="2"/>
  <c r="N409" i="2"/>
  <c r="N414" i="2"/>
  <c r="N365" i="2"/>
  <c r="N373" i="2"/>
  <c r="N378" i="2"/>
  <c r="L365" i="2"/>
  <c r="M365" i="2"/>
  <c r="L373" i="2"/>
  <c r="M373" i="2"/>
  <c r="L378" i="2"/>
  <c r="M378" i="2"/>
  <c r="N491" i="2"/>
  <c r="O491" i="2"/>
  <c r="N499" i="2"/>
  <c r="O499" i="2"/>
  <c r="N504" i="2"/>
  <c r="O504" i="2"/>
  <c r="N455" i="2"/>
  <c r="O455" i="2"/>
  <c r="N463" i="2"/>
  <c r="O463" i="2"/>
  <c r="N468" i="2"/>
  <c r="O468" i="2"/>
  <c r="L401" i="2"/>
  <c r="M401" i="2"/>
  <c r="L409" i="2"/>
  <c r="M409" i="2"/>
  <c r="L414" i="2"/>
  <c r="M414" i="2"/>
  <c r="JF46" i="5"/>
  <c r="JG46" i="5"/>
  <c r="JG102" i="5" s="1"/>
  <c r="O534" i="2" s="1"/>
  <c r="JF47" i="5"/>
  <c r="JF100" i="5" s="1"/>
  <c r="N532" i="2" s="1"/>
  <c r="JG47" i="5"/>
  <c r="JG100" i="5" s="1"/>
  <c r="O532" i="2" s="1"/>
  <c r="JF48" i="5"/>
  <c r="JF97" i="5" s="1"/>
  <c r="N529" i="2" s="1"/>
  <c r="JG48" i="5"/>
  <c r="JG97" i="5" s="1"/>
  <c r="O529" i="2" s="1"/>
  <c r="JF49" i="5"/>
  <c r="JG49" i="5"/>
  <c r="JG106" i="5" s="1"/>
  <c r="O538" i="2" s="1"/>
  <c r="JF50" i="5"/>
  <c r="JF108" i="5" s="1"/>
  <c r="N540" i="2" s="1"/>
  <c r="JG50" i="5"/>
  <c r="JF51" i="5"/>
  <c r="JF98" i="5" s="1"/>
  <c r="N530" i="2" s="1"/>
  <c r="JG51" i="5"/>
  <c r="JG98" i="5" s="1"/>
  <c r="O530" i="2" s="1"/>
  <c r="JF52" i="5"/>
  <c r="JF101" i="5" s="1"/>
  <c r="N533" i="2" s="1"/>
  <c r="JG52" i="5"/>
  <c r="JG101" i="5" s="1"/>
  <c r="O533" i="2" s="1"/>
  <c r="JF53" i="5"/>
  <c r="JF105" i="5" s="1"/>
  <c r="N537" i="2" s="1"/>
  <c r="JG53" i="5"/>
  <c r="JG105" i="5" s="1"/>
  <c r="O537" i="2" s="1"/>
  <c r="JF54" i="5"/>
  <c r="JF103" i="5" s="1"/>
  <c r="N535" i="2" s="1"/>
  <c r="JG54" i="5"/>
  <c r="JG103" i="5" s="1"/>
  <c r="O535" i="2" s="1"/>
  <c r="JF55" i="5"/>
  <c r="JF99" i="5" s="1"/>
  <c r="N531" i="2" s="1"/>
  <c r="JG55" i="5"/>
  <c r="JG99" i="5" s="1"/>
  <c r="O531" i="2" s="1"/>
  <c r="JF56" i="5"/>
  <c r="JF107" i="5" s="1"/>
  <c r="N539" i="2" s="1"/>
  <c r="JG56" i="5"/>
  <c r="JG107" i="5" s="1"/>
  <c r="O539" i="2" s="1"/>
  <c r="GT46" i="5"/>
  <c r="GU46" i="5"/>
  <c r="GT47" i="5"/>
  <c r="GT100" i="5" s="1"/>
  <c r="L442" i="2" s="1"/>
  <c r="GU47" i="5"/>
  <c r="GU100" i="5" s="1"/>
  <c r="M442" i="2" s="1"/>
  <c r="GT48" i="5"/>
  <c r="GT97" i="5" s="1"/>
  <c r="L439" i="2" s="1"/>
  <c r="GU48" i="5"/>
  <c r="GU97" i="5" s="1"/>
  <c r="M439" i="2" s="1"/>
  <c r="GT49" i="5"/>
  <c r="GT106" i="5" s="1"/>
  <c r="L448" i="2" s="1"/>
  <c r="GU49" i="5"/>
  <c r="GU106" i="5" s="1"/>
  <c r="M448" i="2" s="1"/>
  <c r="GT50" i="5"/>
  <c r="GU50" i="5"/>
  <c r="GU108" i="5" s="1"/>
  <c r="M450" i="2" s="1"/>
  <c r="GT51" i="5"/>
  <c r="GT98" i="5" s="1"/>
  <c r="L440" i="2" s="1"/>
  <c r="GU51" i="5"/>
  <c r="GU98" i="5" s="1"/>
  <c r="M440" i="2" s="1"/>
  <c r="GT52" i="5"/>
  <c r="GT101" i="5" s="1"/>
  <c r="L443" i="2" s="1"/>
  <c r="GU52" i="5"/>
  <c r="GU101" i="5" s="1"/>
  <c r="M443" i="2" s="1"/>
  <c r="GT53" i="5"/>
  <c r="GT105" i="5" s="1"/>
  <c r="L447" i="2" s="1"/>
  <c r="GU53" i="5"/>
  <c r="GU105" i="5" s="1"/>
  <c r="M447" i="2" s="1"/>
  <c r="GT54" i="5"/>
  <c r="GT103" i="5" s="1"/>
  <c r="L445" i="2" s="1"/>
  <c r="GU54" i="5"/>
  <c r="GU103" i="5" s="1"/>
  <c r="M445" i="2" s="1"/>
  <c r="GT55" i="5"/>
  <c r="GT99" i="5" s="1"/>
  <c r="L441" i="2" s="1"/>
  <c r="GU55" i="5"/>
  <c r="GU99" i="5" s="1"/>
  <c r="M441" i="2" s="1"/>
  <c r="GT56" i="5"/>
  <c r="GT107" i="5" s="1"/>
  <c r="L449" i="2" s="1"/>
  <c r="GU56" i="5"/>
  <c r="GU107" i="5" s="1"/>
  <c r="M449" i="2" s="1"/>
  <c r="GT82" i="5"/>
  <c r="L402" i="2" s="1"/>
  <c r="GU82" i="5"/>
  <c r="M402" i="2" s="1"/>
  <c r="GT83" i="5"/>
  <c r="L403" i="2" s="1"/>
  <c r="GU83" i="5"/>
  <c r="M403" i="2" s="1"/>
  <c r="GT84" i="5"/>
  <c r="L404" i="2" s="1"/>
  <c r="GU84" i="5"/>
  <c r="M404" i="2" s="1"/>
  <c r="GT85" i="5"/>
  <c r="L405" i="2" s="1"/>
  <c r="GU85" i="5"/>
  <c r="M405" i="2" s="1"/>
  <c r="GT86" i="5"/>
  <c r="L406" i="2" s="1"/>
  <c r="GU86" i="5"/>
  <c r="M406" i="2" s="1"/>
  <c r="GT87" i="5"/>
  <c r="L407" i="2" s="1"/>
  <c r="GU87" i="5"/>
  <c r="M407" i="2" s="1"/>
  <c r="GT88" i="5"/>
  <c r="L408" i="2" s="1"/>
  <c r="GU88" i="5"/>
  <c r="M408" i="2" s="1"/>
  <c r="GT90" i="5"/>
  <c r="L410" i="2" s="1"/>
  <c r="GU90" i="5"/>
  <c r="M410" i="2" s="1"/>
  <c r="GT91" i="5"/>
  <c r="L411" i="2" s="1"/>
  <c r="GU91" i="5"/>
  <c r="M411" i="2" s="1"/>
  <c r="GT92" i="5"/>
  <c r="L412" i="2" s="1"/>
  <c r="GU92" i="5"/>
  <c r="M412" i="2" s="1"/>
  <c r="GT93" i="5"/>
  <c r="L413" i="2" s="1"/>
  <c r="GU93" i="5"/>
  <c r="M413" i="2" s="1"/>
  <c r="GT66" i="5"/>
  <c r="L366" i="2" s="1"/>
  <c r="GU66" i="5"/>
  <c r="M366" i="2" s="1"/>
  <c r="GT67" i="5"/>
  <c r="L367" i="2" s="1"/>
  <c r="GU67" i="5"/>
  <c r="M367" i="2" s="1"/>
  <c r="GT68" i="5"/>
  <c r="L368" i="2" s="1"/>
  <c r="GU68" i="5"/>
  <c r="M368" i="2" s="1"/>
  <c r="GT69" i="5"/>
  <c r="L369" i="2" s="1"/>
  <c r="GU69" i="5"/>
  <c r="M369" i="2" s="1"/>
  <c r="GT70" i="5"/>
  <c r="L370" i="2" s="1"/>
  <c r="GU70" i="5"/>
  <c r="M370" i="2" s="1"/>
  <c r="GT71" i="5"/>
  <c r="L371" i="2" s="1"/>
  <c r="GU71" i="5"/>
  <c r="M371" i="2" s="1"/>
  <c r="GT72" i="5"/>
  <c r="L372" i="2" s="1"/>
  <c r="GU72" i="5"/>
  <c r="M372" i="2" s="1"/>
  <c r="GT74" i="5"/>
  <c r="L374" i="2" s="1"/>
  <c r="GU74" i="5"/>
  <c r="M374" i="2" s="1"/>
  <c r="GT75" i="5"/>
  <c r="L375" i="2" s="1"/>
  <c r="GU75" i="5"/>
  <c r="M375" i="2" s="1"/>
  <c r="GT76" i="5"/>
  <c r="L376" i="2" s="1"/>
  <c r="GU76" i="5"/>
  <c r="M376" i="2" s="1"/>
  <c r="GT77" i="5"/>
  <c r="L377" i="2" s="1"/>
  <c r="GU77" i="5"/>
  <c r="M377" i="2" s="1"/>
  <c r="JF66" i="5"/>
  <c r="N456" i="2" s="1"/>
  <c r="JG66" i="5"/>
  <c r="O456" i="2" s="1"/>
  <c r="JF67" i="5"/>
  <c r="N457" i="2" s="1"/>
  <c r="JG67" i="5"/>
  <c r="O457" i="2" s="1"/>
  <c r="JF68" i="5"/>
  <c r="N458" i="2" s="1"/>
  <c r="JG68" i="5"/>
  <c r="O458" i="2" s="1"/>
  <c r="JF69" i="5"/>
  <c r="N459" i="2" s="1"/>
  <c r="JG69" i="5"/>
  <c r="O459" i="2" s="1"/>
  <c r="JF70" i="5"/>
  <c r="N460" i="2" s="1"/>
  <c r="JG70" i="5"/>
  <c r="O460" i="2" s="1"/>
  <c r="JF71" i="5"/>
  <c r="N461" i="2" s="1"/>
  <c r="JG71" i="5"/>
  <c r="O461" i="2" s="1"/>
  <c r="JF72" i="5"/>
  <c r="N462" i="2" s="1"/>
  <c r="JG72" i="5"/>
  <c r="O462" i="2" s="1"/>
  <c r="JF74" i="5"/>
  <c r="N464" i="2" s="1"/>
  <c r="JG74" i="5"/>
  <c r="O464" i="2" s="1"/>
  <c r="JF75" i="5"/>
  <c r="N465" i="2" s="1"/>
  <c r="JG75" i="5"/>
  <c r="O465" i="2" s="1"/>
  <c r="JF76" i="5"/>
  <c r="N466" i="2" s="1"/>
  <c r="JG76" i="5"/>
  <c r="O466" i="2" s="1"/>
  <c r="JF77" i="5"/>
  <c r="N467" i="2" s="1"/>
  <c r="JG77" i="5"/>
  <c r="O467" i="2" s="1"/>
  <c r="JF82" i="5"/>
  <c r="N492" i="2" s="1"/>
  <c r="JG82" i="5"/>
  <c r="O492" i="2" s="1"/>
  <c r="JF83" i="5"/>
  <c r="N493" i="2" s="1"/>
  <c r="JG83" i="5"/>
  <c r="O493" i="2" s="1"/>
  <c r="JF84" i="5"/>
  <c r="N494" i="2" s="1"/>
  <c r="JG84" i="5"/>
  <c r="O494" i="2" s="1"/>
  <c r="JF85" i="5"/>
  <c r="N495" i="2" s="1"/>
  <c r="JG85" i="5"/>
  <c r="O495" i="2" s="1"/>
  <c r="JF86" i="5"/>
  <c r="N496" i="2" s="1"/>
  <c r="JG86" i="5"/>
  <c r="O496" i="2" s="1"/>
  <c r="JF87" i="5"/>
  <c r="N497" i="2" s="1"/>
  <c r="JG87" i="5"/>
  <c r="O497" i="2" s="1"/>
  <c r="JF88" i="5"/>
  <c r="N498" i="2" s="1"/>
  <c r="JG88" i="5"/>
  <c r="O498" i="2" s="1"/>
  <c r="JF90" i="5"/>
  <c r="N500" i="2" s="1"/>
  <c r="JG90" i="5"/>
  <c r="O500" i="2" s="1"/>
  <c r="JF91" i="5"/>
  <c r="N501" i="2" s="1"/>
  <c r="JG91" i="5"/>
  <c r="O501" i="2" s="1"/>
  <c r="JF92" i="5"/>
  <c r="N502" i="2" s="1"/>
  <c r="JG92" i="5"/>
  <c r="O502" i="2" s="1"/>
  <c r="JF93" i="5"/>
  <c r="N503" i="2" s="1"/>
  <c r="JG93" i="5"/>
  <c r="O503" i="2" s="1"/>
  <c r="F197" i="2"/>
  <c r="F215" i="2" s="1"/>
  <c r="F196" i="2"/>
  <c r="F195" i="2"/>
  <c r="F213" i="2" s="1"/>
  <c r="F194" i="2"/>
  <c r="F192" i="2"/>
  <c r="F191" i="2"/>
  <c r="F190" i="2"/>
  <c r="F189" i="2"/>
  <c r="F188" i="2"/>
  <c r="F187" i="2"/>
  <c r="F186" i="2"/>
  <c r="S6" i="2"/>
  <c r="H6" i="2"/>
  <c r="L455" i="2"/>
  <c r="M455" i="2"/>
  <c r="L463" i="2"/>
  <c r="M463" i="2"/>
  <c r="L468" i="2"/>
  <c r="M468" i="2"/>
  <c r="L491" i="2"/>
  <c r="M491" i="2"/>
  <c r="L499" i="2"/>
  <c r="M499" i="2"/>
  <c r="L504" i="2"/>
  <c r="M504" i="2"/>
  <c r="G504" i="2"/>
  <c r="H504" i="2"/>
  <c r="I504" i="2"/>
  <c r="J504" i="2"/>
  <c r="K504" i="2"/>
  <c r="F504" i="2"/>
  <c r="G499" i="2"/>
  <c r="H499" i="2"/>
  <c r="I499" i="2"/>
  <c r="J499" i="2"/>
  <c r="K499" i="2"/>
  <c r="F499" i="2"/>
  <c r="G491" i="2"/>
  <c r="H491" i="2"/>
  <c r="I491" i="2"/>
  <c r="J491" i="2"/>
  <c r="K491" i="2"/>
  <c r="F491" i="2"/>
  <c r="G468" i="2"/>
  <c r="H468" i="2"/>
  <c r="I468" i="2"/>
  <c r="J468" i="2"/>
  <c r="K468" i="2"/>
  <c r="F468" i="2"/>
  <c r="G463" i="2"/>
  <c r="H463" i="2"/>
  <c r="I463" i="2"/>
  <c r="J463" i="2"/>
  <c r="K463" i="2"/>
  <c r="F463" i="2"/>
  <c r="G455" i="2"/>
  <c r="H455" i="2"/>
  <c r="I455" i="2"/>
  <c r="J455" i="2"/>
  <c r="K455" i="2"/>
  <c r="F455" i="2"/>
  <c r="F378" i="2"/>
  <c r="F373" i="2"/>
  <c r="F365" i="2"/>
  <c r="JD82" i="5"/>
  <c r="L492" i="2" s="1"/>
  <c r="JE82" i="5"/>
  <c r="M492" i="2" s="1"/>
  <c r="JD83" i="5"/>
  <c r="L493" i="2" s="1"/>
  <c r="JE83" i="5"/>
  <c r="M493" i="2" s="1"/>
  <c r="JD84" i="5"/>
  <c r="L494" i="2" s="1"/>
  <c r="JE84" i="5"/>
  <c r="M494" i="2" s="1"/>
  <c r="JD85" i="5"/>
  <c r="L495" i="2" s="1"/>
  <c r="JE85" i="5"/>
  <c r="M495" i="2" s="1"/>
  <c r="JD86" i="5"/>
  <c r="L496" i="2" s="1"/>
  <c r="JE86" i="5"/>
  <c r="M496" i="2" s="1"/>
  <c r="JD87" i="5"/>
  <c r="L497" i="2" s="1"/>
  <c r="JE87" i="5"/>
  <c r="M497" i="2" s="1"/>
  <c r="JD88" i="5"/>
  <c r="L498" i="2" s="1"/>
  <c r="JE88" i="5"/>
  <c r="M498" i="2" s="1"/>
  <c r="JD90" i="5"/>
  <c r="L500" i="2" s="1"/>
  <c r="JE90" i="5"/>
  <c r="M500" i="2" s="1"/>
  <c r="JD91" i="5"/>
  <c r="L501" i="2" s="1"/>
  <c r="JE91" i="5"/>
  <c r="M501" i="2" s="1"/>
  <c r="JD92" i="5"/>
  <c r="L502" i="2" s="1"/>
  <c r="JE92" i="5"/>
  <c r="M502" i="2" s="1"/>
  <c r="JD93" i="5"/>
  <c r="L503" i="2" s="1"/>
  <c r="JE93" i="5"/>
  <c r="M503" i="2" s="1"/>
  <c r="JD66" i="5"/>
  <c r="L456" i="2" s="1"/>
  <c r="JE66" i="5"/>
  <c r="M456" i="2" s="1"/>
  <c r="JD67" i="5"/>
  <c r="L457" i="2" s="1"/>
  <c r="JE67" i="5"/>
  <c r="M457" i="2" s="1"/>
  <c r="JD68" i="5"/>
  <c r="L458" i="2" s="1"/>
  <c r="JE68" i="5"/>
  <c r="M458" i="2" s="1"/>
  <c r="JD69" i="5"/>
  <c r="L459" i="2" s="1"/>
  <c r="JE69" i="5"/>
  <c r="M459" i="2" s="1"/>
  <c r="JD70" i="5"/>
  <c r="L460" i="2" s="1"/>
  <c r="JE70" i="5"/>
  <c r="M460" i="2" s="1"/>
  <c r="JD71" i="5"/>
  <c r="L461" i="2" s="1"/>
  <c r="JE71" i="5"/>
  <c r="M461" i="2" s="1"/>
  <c r="JD72" i="5"/>
  <c r="L462" i="2" s="1"/>
  <c r="JE72" i="5"/>
  <c r="M462" i="2" s="1"/>
  <c r="JD74" i="5"/>
  <c r="L464" i="2" s="1"/>
  <c r="JE74" i="5"/>
  <c r="M464" i="2" s="1"/>
  <c r="JD75" i="5"/>
  <c r="L465" i="2" s="1"/>
  <c r="JE75" i="5"/>
  <c r="M465" i="2" s="1"/>
  <c r="JD76" i="5"/>
  <c r="L466" i="2" s="1"/>
  <c r="JE76" i="5"/>
  <c r="M466" i="2" s="1"/>
  <c r="JD77" i="5"/>
  <c r="L467" i="2" s="1"/>
  <c r="JE77" i="5"/>
  <c r="M467" i="2" s="1"/>
  <c r="JD46" i="5"/>
  <c r="JD102" i="5" s="1"/>
  <c r="L534" i="2" s="1"/>
  <c r="JE46" i="5"/>
  <c r="JD47" i="5"/>
  <c r="JD100" i="5" s="1"/>
  <c r="L532" i="2" s="1"/>
  <c r="JE47" i="5"/>
  <c r="JE100" i="5" s="1"/>
  <c r="M532" i="2" s="1"/>
  <c r="JD48" i="5"/>
  <c r="JD97" i="5" s="1"/>
  <c r="L529" i="2" s="1"/>
  <c r="JE48" i="5"/>
  <c r="JE97" i="5" s="1"/>
  <c r="M529" i="2" s="1"/>
  <c r="JD49" i="5"/>
  <c r="JD106" i="5" s="1"/>
  <c r="L538" i="2" s="1"/>
  <c r="JE49" i="5"/>
  <c r="JE106" i="5" s="1"/>
  <c r="M538" i="2" s="1"/>
  <c r="JD50" i="5"/>
  <c r="JD108" i="5" s="1"/>
  <c r="L540" i="2" s="1"/>
  <c r="JE50" i="5"/>
  <c r="JE108" i="5" s="1"/>
  <c r="M540" i="2" s="1"/>
  <c r="JD51" i="5"/>
  <c r="JD98" i="5" s="1"/>
  <c r="L530" i="2" s="1"/>
  <c r="JE51" i="5"/>
  <c r="JE98" i="5" s="1"/>
  <c r="M530" i="2" s="1"/>
  <c r="JD52" i="5"/>
  <c r="JD101" i="5" s="1"/>
  <c r="L533" i="2" s="1"/>
  <c r="JE52" i="5"/>
  <c r="JE101" i="5" s="1"/>
  <c r="M533" i="2" s="1"/>
  <c r="JD53" i="5"/>
  <c r="JD105" i="5" s="1"/>
  <c r="L537" i="2" s="1"/>
  <c r="JE53" i="5"/>
  <c r="JD54" i="5"/>
  <c r="JD103" i="5" s="1"/>
  <c r="L535" i="2" s="1"/>
  <c r="JE54" i="5"/>
  <c r="JE103" i="5" s="1"/>
  <c r="M535" i="2" s="1"/>
  <c r="JD55" i="5"/>
  <c r="JD99" i="5" s="1"/>
  <c r="L531" i="2" s="1"/>
  <c r="JE55" i="5"/>
  <c r="JE99" i="5" s="1"/>
  <c r="M531" i="2" s="1"/>
  <c r="JD56" i="5"/>
  <c r="JD107" i="5" s="1"/>
  <c r="L539" i="2" s="1"/>
  <c r="JE56" i="5"/>
  <c r="JE107" i="5" s="1"/>
  <c r="M539" i="2" s="1"/>
  <c r="GN46" i="5"/>
  <c r="GN102" i="5" s="1"/>
  <c r="F444" i="2" s="1"/>
  <c r="GN47" i="5"/>
  <c r="GN100" i="5" s="1"/>
  <c r="F442" i="2" s="1"/>
  <c r="GN48" i="5"/>
  <c r="GN97" i="5" s="1"/>
  <c r="F439" i="2" s="1"/>
  <c r="GN49" i="5"/>
  <c r="GN106" i="5" s="1"/>
  <c r="F448" i="2" s="1"/>
  <c r="GN50" i="5"/>
  <c r="GN51" i="5"/>
  <c r="GN98" i="5" s="1"/>
  <c r="F440" i="2" s="1"/>
  <c r="GN52" i="5"/>
  <c r="GN53" i="5"/>
  <c r="GN105" i="5" s="1"/>
  <c r="F447" i="2" s="1"/>
  <c r="GN54" i="5"/>
  <c r="GN103" i="5" s="1"/>
  <c r="F445" i="2" s="1"/>
  <c r="GN55" i="5"/>
  <c r="GN99" i="5" s="1"/>
  <c r="F441" i="2" s="1"/>
  <c r="GN56" i="5"/>
  <c r="GN107" i="5" s="1"/>
  <c r="F449" i="2" s="1"/>
  <c r="JA82" i="5"/>
  <c r="I492" i="2" s="1"/>
  <c r="JB82" i="5"/>
  <c r="J492" i="2" s="1"/>
  <c r="JC82" i="5"/>
  <c r="K492" i="2" s="1"/>
  <c r="JA83" i="5"/>
  <c r="I493" i="2" s="1"/>
  <c r="JB83" i="5"/>
  <c r="J493" i="2" s="1"/>
  <c r="JC83" i="5"/>
  <c r="K493" i="2" s="1"/>
  <c r="JA84" i="5"/>
  <c r="I494" i="2" s="1"/>
  <c r="JB84" i="5"/>
  <c r="J494" i="2" s="1"/>
  <c r="JC84" i="5"/>
  <c r="K494" i="2" s="1"/>
  <c r="JA85" i="5"/>
  <c r="I495" i="2" s="1"/>
  <c r="JB85" i="5"/>
  <c r="J495" i="2" s="1"/>
  <c r="JC85" i="5"/>
  <c r="K495" i="2" s="1"/>
  <c r="JA86" i="5"/>
  <c r="I496" i="2" s="1"/>
  <c r="JB86" i="5"/>
  <c r="J496" i="2" s="1"/>
  <c r="JC86" i="5"/>
  <c r="K496" i="2" s="1"/>
  <c r="JA87" i="5"/>
  <c r="I497" i="2" s="1"/>
  <c r="JB87" i="5"/>
  <c r="J497" i="2" s="1"/>
  <c r="JC87" i="5"/>
  <c r="K497" i="2" s="1"/>
  <c r="JA88" i="5"/>
  <c r="I498" i="2" s="1"/>
  <c r="JB88" i="5"/>
  <c r="J498" i="2" s="1"/>
  <c r="JC88" i="5"/>
  <c r="K498" i="2" s="1"/>
  <c r="JA90" i="5"/>
  <c r="I500" i="2" s="1"/>
  <c r="JB90" i="5"/>
  <c r="J500" i="2" s="1"/>
  <c r="JC90" i="5"/>
  <c r="K500" i="2" s="1"/>
  <c r="JA91" i="5"/>
  <c r="I501" i="2" s="1"/>
  <c r="JB91" i="5"/>
  <c r="J501" i="2" s="1"/>
  <c r="JC91" i="5"/>
  <c r="K501" i="2" s="1"/>
  <c r="JA92" i="5"/>
  <c r="I502" i="2" s="1"/>
  <c r="JB92" i="5"/>
  <c r="J502" i="2" s="1"/>
  <c r="JC92" i="5"/>
  <c r="K502" i="2" s="1"/>
  <c r="JA93" i="5"/>
  <c r="I503" i="2" s="1"/>
  <c r="JB93" i="5"/>
  <c r="J503" i="2" s="1"/>
  <c r="JC93" i="5"/>
  <c r="K503" i="2" s="1"/>
  <c r="JA66" i="5"/>
  <c r="I456" i="2" s="1"/>
  <c r="JB66" i="5"/>
  <c r="J456" i="2" s="1"/>
  <c r="JC66" i="5"/>
  <c r="K456" i="2" s="1"/>
  <c r="JA67" i="5"/>
  <c r="I457" i="2" s="1"/>
  <c r="JB67" i="5"/>
  <c r="J457" i="2" s="1"/>
  <c r="JC67" i="5"/>
  <c r="K457" i="2" s="1"/>
  <c r="JA68" i="5"/>
  <c r="I458" i="2" s="1"/>
  <c r="JB68" i="5"/>
  <c r="J458" i="2" s="1"/>
  <c r="JC68" i="5"/>
  <c r="K458" i="2" s="1"/>
  <c r="JA69" i="5"/>
  <c r="I459" i="2" s="1"/>
  <c r="JB69" i="5"/>
  <c r="J459" i="2" s="1"/>
  <c r="JC69" i="5"/>
  <c r="K459" i="2" s="1"/>
  <c r="JA70" i="5"/>
  <c r="I460" i="2" s="1"/>
  <c r="JB70" i="5"/>
  <c r="J460" i="2" s="1"/>
  <c r="JC70" i="5"/>
  <c r="K460" i="2" s="1"/>
  <c r="JA71" i="5"/>
  <c r="I461" i="2" s="1"/>
  <c r="JB71" i="5"/>
  <c r="J461" i="2" s="1"/>
  <c r="JC71" i="5"/>
  <c r="K461" i="2" s="1"/>
  <c r="JA72" i="5"/>
  <c r="I462" i="2" s="1"/>
  <c r="JB72" i="5"/>
  <c r="J462" i="2" s="1"/>
  <c r="JC72" i="5"/>
  <c r="K462" i="2" s="1"/>
  <c r="JA74" i="5"/>
  <c r="I464" i="2" s="1"/>
  <c r="JB74" i="5"/>
  <c r="J464" i="2" s="1"/>
  <c r="JC74" i="5"/>
  <c r="K464" i="2" s="1"/>
  <c r="JA75" i="5"/>
  <c r="I465" i="2" s="1"/>
  <c r="JB75" i="5"/>
  <c r="J465" i="2" s="1"/>
  <c r="JC75" i="5"/>
  <c r="K465" i="2" s="1"/>
  <c r="JA76" i="5"/>
  <c r="I466" i="2" s="1"/>
  <c r="JB76" i="5"/>
  <c r="J466" i="2" s="1"/>
  <c r="JC76" i="5"/>
  <c r="K466" i="2" s="1"/>
  <c r="JA77" i="5"/>
  <c r="I467" i="2" s="1"/>
  <c r="JB77" i="5"/>
  <c r="J467" i="2" s="1"/>
  <c r="JC77" i="5"/>
  <c r="K467" i="2" s="1"/>
  <c r="IX46" i="5"/>
  <c r="IX102" i="5" s="1"/>
  <c r="F534" i="2" s="1"/>
  <c r="GN66" i="5"/>
  <c r="F366" i="2" s="1"/>
  <c r="GN67" i="5"/>
  <c r="F367" i="2" s="1"/>
  <c r="GN68" i="5"/>
  <c r="F368" i="2" s="1"/>
  <c r="GN69" i="5"/>
  <c r="F369" i="2" s="1"/>
  <c r="GN70" i="5"/>
  <c r="GN71" i="5"/>
  <c r="F371" i="2" s="1"/>
  <c r="GN72" i="5"/>
  <c r="F372" i="2" s="1"/>
  <c r="GN74" i="5"/>
  <c r="F374" i="2" s="1"/>
  <c r="GN75" i="5"/>
  <c r="F375" i="2" s="1"/>
  <c r="GN76" i="5"/>
  <c r="F376" i="2" s="1"/>
  <c r="GN77" i="5"/>
  <c r="F377" i="2" s="1"/>
  <c r="GQ82" i="5"/>
  <c r="I402" i="2" s="1"/>
  <c r="GR82" i="5"/>
  <c r="J402" i="2" s="1"/>
  <c r="GS82" i="5"/>
  <c r="K402" i="2" s="1"/>
  <c r="GQ83" i="5"/>
  <c r="I403" i="2" s="1"/>
  <c r="GR83" i="5"/>
  <c r="J403" i="2" s="1"/>
  <c r="GS83" i="5"/>
  <c r="K403" i="2" s="1"/>
  <c r="GQ84" i="5"/>
  <c r="I404" i="2" s="1"/>
  <c r="GR84" i="5"/>
  <c r="J404" i="2" s="1"/>
  <c r="GS84" i="5"/>
  <c r="K404" i="2" s="1"/>
  <c r="GQ85" i="5"/>
  <c r="I405" i="2" s="1"/>
  <c r="GR85" i="5"/>
  <c r="J405" i="2" s="1"/>
  <c r="GS85" i="5"/>
  <c r="K405" i="2" s="1"/>
  <c r="GQ86" i="5"/>
  <c r="I406" i="2" s="1"/>
  <c r="GR86" i="5"/>
  <c r="J406" i="2" s="1"/>
  <c r="GS86" i="5"/>
  <c r="K406" i="2" s="1"/>
  <c r="GQ87" i="5"/>
  <c r="I407" i="2" s="1"/>
  <c r="GR87" i="5"/>
  <c r="J407" i="2" s="1"/>
  <c r="GS87" i="5"/>
  <c r="K407" i="2" s="1"/>
  <c r="GQ88" i="5"/>
  <c r="I408" i="2" s="1"/>
  <c r="GR88" i="5"/>
  <c r="J408" i="2" s="1"/>
  <c r="GS88" i="5"/>
  <c r="K408" i="2" s="1"/>
  <c r="GQ90" i="5"/>
  <c r="I410" i="2" s="1"/>
  <c r="GR90" i="5"/>
  <c r="J410" i="2" s="1"/>
  <c r="GS90" i="5"/>
  <c r="K410" i="2" s="1"/>
  <c r="GQ91" i="5"/>
  <c r="I411" i="2" s="1"/>
  <c r="GR91" i="5"/>
  <c r="J411" i="2" s="1"/>
  <c r="GS91" i="5"/>
  <c r="K411" i="2" s="1"/>
  <c r="GQ92" i="5"/>
  <c r="I412" i="2" s="1"/>
  <c r="GR92" i="5"/>
  <c r="J412" i="2" s="1"/>
  <c r="GS92" i="5"/>
  <c r="K412" i="2" s="1"/>
  <c r="GQ93" i="5"/>
  <c r="I413" i="2" s="1"/>
  <c r="GR93" i="5"/>
  <c r="J413" i="2" s="1"/>
  <c r="GS93" i="5"/>
  <c r="K413" i="2" s="1"/>
  <c r="GQ66" i="5"/>
  <c r="I366" i="2" s="1"/>
  <c r="GR66" i="5"/>
  <c r="J366" i="2" s="1"/>
  <c r="GS66" i="5"/>
  <c r="K366" i="2" s="1"/>
  <c r="GQ67" i="5"/>
  <c r="I367" i="2" s="1"/>
  <c r="GR67" i="5"/>
  <c r="J367" i="2" s="1"/>
  <c r="GS67" i="5"/>
  <c r="K367" i="2" s="1"/>
  <c r="GQ68" i="5"/>
  <c r="I368" i="2" s="1"/>
  <c r="GR68" i="5"/>
  <c r="J368" i="2" s="1"/>
  <c r="GS68" i="5"/>
  <c r="K368" i="2" s="1"/>
  <c r="GQ69" i="5"/>
  <c r="I369" i="2" s="1"/>
  <c r="GR69" i="5"/>
  <c r="J369" i="2" s="1"/>
  <c r="GS69" i="5"/>
  <c r="K369" i="2" s="1"/>
  <c r="GQ70" i="5"/>
  <c r="I370" i="2" s="1"/>
  <c r="GR70" i="5"/>
  <c r="J370" i="2" s="1"/>
  <c r="GS70" i="5"/>
  <c r="K370" i="2" s="1"/>
  <c r="GQ71" i="5"/>
  <c r="I371" i="2" s="1"/>
  <c r="GR71" i="5"/>
  <c r="J371" i="2" s="1"/>
  <c r="GS71" i="5"/>
  <c r="K371" i="2" s="1"/>
  <c r="GQ72" i="5"/>
  <c r="I372" i="2" s="1"/>
  <c r="GR72" i="5"/>
  <c r="J372" i="2" s="1"/>
  <c r="GS72" i="5"/>
  <c r="K372" i="2" s="1"/>
  <c r="GQ74" i="5"/>
  <c r="I374" i="2" s="1"/>
  <c r="GR74" i="5"/>
  <c r="J374" i="2" s="1"/>
  <c r="GS74" i="5"/>
  <c r="K374" i="2" s="1"/>
  <c r="GQ75" i="5"/>
  <c r="I375" i="2" s="1"/>
  <c r="GR75" i="5"/>
  <c r="J375" i="2" s="1"/>
  <c r="GS75" i="5"/>
  <c r="K375" i="2" s="1"/>
  <c r="GQ76" i="5"/>
  <c r="I376" i="2" s="1"/>
  <c r="GR76" i="5"/>
  <c r="J376" i="2" s="1"/>
  <c r="GS76" i="5"/>
  <c r="K376" i="2" s="1"/>
  <c r="GQ77" i="5"/>
  <c r="I377" i="2" s="1"/>
  <c r="GR77" i="5"/>
  <c r="J377" i="2" s="1"/>
  <c r="GS77" i="5"/>
  <c r="K377" i="2" s="1"/>
  <c r="IZ93" i="5"/>
  <c r="H503" i="2" s="1"/>
  <c r="IY93" i="5"/>
  <c r="G503" i="2" s="1"/>
  <c r="IX93" i="5"/>
  <c r="F503" i="2" s="1"/>
  <c r="IZ92" i="5"/>
  <c r="H502" i="2" s="1"/>
  <c r="IY92" i="5"/>
  <c r="G502" i="2" s="1"/>
  <c r="IX92" i="5"/>
  <c r="F502" i="2" s="1"/>
  <c r="IZ91" i="5"/>
  <c r="H501" i="2" s="1"/>
  <c r="IY91" i="5"/>
  <c r="G501" i="2" s="1"/>
  <c r="IX91" i="5"/>
  <c r="F501" i="2" s="1"/>
  <c r="IZ90" i="5"/>
  <c r="H500" i="2" s="1"/>
  <c r="IY90" i="5"/>
  <c r="G500" i="2" s="1"/>
  <c r="IX90" i="5"/>
  <c r="F500" i="2" s="1"/>
  <c r="IZ88" i="5"/>
  <c r="H498" i="2" s="1"/>
  <c r="IY88" i="5"/>
  <c r="G498" i="2" s="1"/>
  <c r="IX88" i="5"/>
  <c r="F498" i="2" s="1"/>
  <c r="IZ87" i="5"/>
  <c r="H497" i="2" s="1"/>
  <c r="IY87" i="5"/>
  <c r="G497" i="2" s="1"/>
  <c r="IX87" i="5"/>
  <c r="F497" i="2" s="1"/>
  <c r="IZ86" i="5"/>
  <c r="H496" i="2" s="1"/>
  <c r="IY86" i="5"/>
  <c r="G496" i="2" s="1"/>
  <c r="IX86" i="5"/>
  <c r="F496" i="2" s="1"/>
  <c r="IZ85" i="5"/>
  <c r="H495" i="2" s="1"/>
  <c r="IY85" i="5"/>
  <c r="G495" i="2" s="1"/>
  <c r="IX85" i="5"/>
  <c r="F495" i="2" s="1"/>
  <c r="IZ84" i="5"/>
  <c r="H494" i="2" s="1"/>
  <c r="IY84" i="5"/>
  <c r="G494" i="2" s="1"/>
  <c r="IX84" i="5"/>
  <c r="F494" i="2" s="1"/>
  <c r="IZ83" i="5"/>
  <c r="H493" i="2" s="1"/>
  <c r="IY83" i="5"/>
  <c r="G493" i="2" s="1"/>
  <c r="IX83" i="5"/>
  <c r="F493" i="2" s="1"/>
  <c r="IZ82" i="5"/>
  <c r="H492" i="2" s="1"/>
  <c r="IY82" i="5"/>
  <c r="G492" i="2" s="1"/>
  <c r="IX82" i="5"/>
  <c r="F492" i="2" s="1"/>
  <c r="IZ77" i="5"/>
  <c r="H467" i="2" s="1"/>
  <c r="IY77" i="5"/>
  <c r="G467" i="2" s="1"/>
  <c r="IX77" i="5"/>
  <c r="F467" i="2" s="1"/>
  <c r="IZ76" i="5"/>
  <c r="H466" i="2" s="1"/>
  <c r="IY76" i="5"/>
  <c r="G466" i="2" s="1"/>
  <c r="IX76" i="5"/>
  <c r="F466" i="2" s="1"/>
  <c r="IZ75" i="5"/>
  <c r="H465" i="2" s="1"/>
  <c r="IY75" i="5"/>
  <c r="G465" i="2" s="1"/>
  <c r="IX75" i="5"/>
  <c r="F465" i="2" s="1"/>
  <c r="IZ74" i="5"/>
  <c r="H464" i="2" s="1"/>
  <c r="IY74" i="5"/>
  <c r="G464" i="2" s="1"/>
  <c r="IX74" i="5"/>
  <c r="F464" i="2" s="1"/>
  <c r="IZ72" i="5"/>
  <c r="H462" i="2" s="1"/>
  <c r="IY72" i="5"/>
  <c r="G462" i="2" s="1"/>
  <c r="IX72" i="5"/>
  <c r="F462" i="2" s="1"/>
  <c r="IZ71" i="5"/>
  <c r="H461" i="2" s="1"/>
  <c r="IY71" i="5"/>
  <c r="G461" i="2" s="1"/>
  <c r="IX71" i="5"/>
  <c r="F461" i="2" s="1"/>
  <c r="IZ70" i="5"/>
  <c r="H460" i="2" s="1"/>
  <c r="IY70" i="5"/>
  <c r="G460" i="2" s="1"/>
  <c r="IX70" i="5"/>
  <c r="F460" i="2" s="1"/>
  <c r="IZ69" i="5"/>
  <c r="H459" i="2" s="1"/>
  <c r="IY69" i="5"/>
  <c r="G459" i="2" s="1"/>
  <c r="IX69" i="5"/>
  <c r="F459" i="2" s="1"/>
  <c r="IZ68" i="5"/>
  <c r="H458" i="2" s="1"/>
  <c r="IY68" i="5"/>
  <c r="G458" i="2" s="1"/>
  <c r="IX68" i="5"/>
  <c r="F458" i="2" s="1"/>
  <c r="IZ67" i="5"/>
  <c r="H457" i="2" s="1"/>
  <c r="IY67" i="5"/>
  <c r="G457" i="2" s="1"/>
  <c r="IX67" i="5"/>
  <c r="F457" i="2" s="1"/>
  <c r="IZ66" i="5"/>
  <c r="H456" i="2" s="1"/>
  <c r="IY66" i="5"/>
  <c r="G456" i="2" s="1"/>
  <c r="IX66" i="5"/>
  <c r="F456" i="2" s="1"/>
  <c r="JC56" i="5"/>
  <c r="JC107" i="5" s="1"/>
  <c r="K539" i="2" s="1"/>
  <c r="JB56" i="5"/>
  <c r="JB107" i="5" s="1"/>
  <c r="J539" i="2" s="1"/>
  <c r="JA56" i="5"/>
  <c r="JA107" i="5" s="1"/>
  <c r="I539" i="2" s="1"/>
  <c r="IZ56" i="5"/>
  <c r="IZ107" i="5" s="1"/>
  <c r="H539" i="2" s="1"/>
  <c r="IY56" i="5"/>
  <c r="IY107" i="5" s="1"/>
  <c r="G539" i="2" s="1"/>
  <c r="IX56" i="5"/>
  <c r="IX107" i="5" s="1"/>
  <c r="F539" i="2" s="1"/>
  <c r="JC55" i="5"/>
  <c r="JC99" i="5" s="1"/>
  <c r="K531" i="2" s="1"/>
  <c r="JB55" i="5"/>
  <c r="JB99" i="5" s="1"/>
  <c r="J531" i="2" s="1"/>
  <c r="JA55" i="5"/>
  <c r="JA99" i="5" s="1"/>
  <c r="I531" i="2" s="1"/>
  <c r="IZ55" i="5"/>
  <c r="IZ99" i="5" s="1"/>
  <c r="H531" i="2" s="1"/>
  <c r="IY55" i="5"/>
  <c r="IY99" i="5" s="1"/>
  <c r="G531" i="2" s="1"/>
  <c r="IX55" i="5"/>
  <c r="IX99" i="5" s="1"/>
  <c r="F531" i="2" s="1"/>
  <c r="JC54" i="5"/>
  <c r="JC103" i="5" s="1"/>
  <c r="K535" i="2" s="1"/>
  <c r="JB54" i="5"/>
  <c r="JB103" i="5" s="1"/>
  <c r="J535" i="2" s="1"/>
  <c r="JA54" i="5"/>
  <c r="JA103" i="5" s="1"/>
  <c r="I535" i="2" s="1"/>
  <c r="IZ54" i="5"/>
  <c r="IZ103" i="5" s="1"/>
  <c r="H535" i="2" s="1"/>
  <c r="IY54" i="5"/>
  <c r="IY103" i="5" s="1"/>
  <c r="G535" i="2" s="1"/>
  <c r="IX54" i="5"/>
  <c r="IX103" i="5" s="1"/>
  <c r="F535" i="2" s="1"/>
  <c r="JC53" i="5"/>
  <c r="JC105" i="5" s="1"/>
  <c r="K537" i="2" s="1"/>
  <c r="JB53" i="5"/>
  <c r="JB105" i="5" s="1"/>
  <c r="J537" i="2" s="1"/>
  <c r="JA53" i="5"/>
  <c r="JA105" i="5" s="1"/>
  <c r="I537" i="2" s="1"/>
  <c r="IZ53" i="5"/>
  <c r="IZ105" i="5" s="1"/>
  <c r="H537" i="2" s="1"/>
  <c r="IY53" i="5"/>
  <c r="IY105" i="5" s="1"/>
  <c r="G537" i="2" s="1"/>
  <c r="IX53" i="5"/>
  <c r="IX105" i="5" s="1"/>
  <c r="F537" i="2" s="1"/>
  <c r="JC52" i="5"/>
  <c r="JC101" i="5" s="1"/>
  <c r="K533" i="2" s="1"/>
  <c r="JB52" i="5"/>
  <c r="JB101" i="5" s="1"/>
  <c r="J533" i="2" s="1"/>
  <c r="JA52" i="5"/>
  <c r="JA101" i="5" s="1"/>
  <c r="I533" i="2" s="1"/>
  <c r="IZ52" i="5"/>
  <c r="IZ101" i="5" s="1"/>
  <c r="H533" i="2" s="1"/>
  <c r="IY52" i="5"/>
  <c r="IY101" i="5" s="1"/>
  <c r="G533" i="2" s="1"/>
  <c r="IX52" i="5"/>
  <c r="IX101" i="5" s="1"/>
  <c r="F533" i="2" s="1"/>
  <c r="JC51" i="5"/>
  <c r="JC98" i="5" s="1"/>
  <c r="K530" i="2" s="1"/>
  <c r="JB51" i="5"/>
  <c r="JB98" i="5" s="1"/>
  <c r="J530" i="2" s="1"/>
  <c r="JA51" i="5"/>
  <c r="JA98" i="5" s="1"/>
  <c r="I530" i="2" s="1"/>
  <c r="IZ51" i="5"/>
  <c r="IZ98" i="5" s="1"/>
  <c r="H530" i="2" s="1"/>
  <c r="IY51" i="5"/>
  <c r="IY98" i="5" s="1"/>
  <c r="G530" i="2" s="1"/>
  <c r="IX51" i="5"/>
  <c r="IX98" i="5" s="1"/>
  <c r="F530" i="2" s="1"/>
  <c r="JC50" i="5"/>
  <c r="JC108" i="5" s="1"/>
  <c r="K540" i="2" s="1"/>
  <c r="JB50" i="5"/>
  <c r="JB108" i="5" s="1"/>
  <c r="J540" i="2" s="1"/>
  <c r="JA50" i="5"/>
  <c r="JA108" i="5" s="1"/>
  <c r="I540" i="2" s="1"/>
  <c r="IZ50" i="5"/>
  <c r="IZ108" i="5" s="1"/>
  <c r="H540" i="2" s="1"/>
  <c r="IY50" i="5"/>
  <c r="IY108" i="5" s="1"/>
  <c r="G540" i="2" s="1"/>
  <c r="IX50" i="5"/>
  <c r="IX108" i="5" s="1"/>
  <c r="F540" i="2" s="1"/>
  <c r="JC49" i="5"/>
  <c r="JC106" i="5" s="1"/>
  <c r="K538" i="2" s="1"/>
  <c r="JB49" i="5"/>
  <c r="JB106" i="5" s="1"/>
  <c r="J538" i="2" s="1"/>
  <c r="JA49" i="5"/>
  <c r="JA106" i="5" s="1"/>
  <c r="I538" i="2" s="1"/>
  <c r="IZ49" i="5"/>
  <c r="IZ106" i="5" s="1"/>
  <c r="H538" i="2" s="1"/>
  <c r="IY49" i="5"/>
  <c r="IX49" i="5"/>
  <c r="IX106" i="5" s="1"/>
  <c r="F538" i="2" s="1"/>
  <c r="JC48" i="5"/>
  <c r="JC97" i="5" s="1"/>
  <c r="K529" i="2" s="1"/>
  <c r="JB48" i="5"/>
  <c r="JB97" i="5" s="1"/>
  <c r="J529" i="2" s="1"/>
  <c r="JA48" i="5"/>
  <c r="JA97" i="5" s="1"/>
  <c r="I529" i="2" s="1"/>
  <c r="IZ48" i="5"/>
  <c r="IZ97" i="5" s="1"/>
  <c r="H529" i="2" s="1"/>
  <c r="IY48" i="5"/>
  <c r="IY97" i="5" s="1"/>
  <c r="G529" i="2" s="1"/>
  <c r="IX48" i="5"/>
  <c r="IX97" i="5" s="1"/>
  <c r="F529" i="2" s="1"/>
  <c r="JC47" i="5"/>
  <c r="JC100" i="5" s="1"/>
  <c r="K532" i="2" s="1"/>
  <c r="JB47" i="5"/>
  <c r="JB100" i="5" s="1"/>
  <c r="J532" i="2" s="1"/>
  <c r="JA47" i="5"/>
  <c r="IZ47" i="5"/>
  <c r="IZ100" i="5" s="1"/>
  <c r="H532" i="2" s="1"/>
  <c r="IY47" i="5"/>
  <c r="IY100" i="5" s="1"/>
  <c r="G532" i="2" s="1"/>
  <c r="IX47" i="5"/>
  <c r="IX100" i="5" s="1"/>
  <c r="F532" i="2" s="1"/>
  <c r="JC46" i="5"/>
  <c r="JC102" i="5" s="1"/>
  <c r="K534" i="2" s="1"/>
  <c r="JB46" i="5"/>
  <c r="JA46" i="5"/>
  <c r="JA102" i="5" s="1"/>
  <c r="I534" i="2" s="1"/>
  <c r="IZ46" i="5"/>
  <c r="IZ102" i="5" s="1"/>
  <c r="H534" i="2" s="1"/>
  <c r="IY46" i="5"/>
  <c r="IY102" i="5" s="1"/>
  <c r="G534" i="2" s="1"/>
  <c r="GQ46" i="5"/>
  <c r="GQ102" i="5" s="1"/>
  <c r="I444" i="2" s="1"/>
  <c r="GR46" i="5"/>
  <c r="GR102" i="5" s="1"/>
  <c r="J444" i="2" s="1"/>
  <c r="GS46" i="5"/>
  <c r="GQ47" i="5"/>
  <c r="GR47" i="5"/>
  <c r="GR100" i="5" s="1"/>
  <c r="J442" i="2" s="1"/>
  <c r="GS47" i="5"/>
  <c r="GS100" i="5" s="1"/>
  <c r="K442" i="2" s="1"/>
  <c r="GQ48" i="5"/>
  <c r="GQ97" i="5" s="1"/>
  <c r="I439" i="2" s="1"/>
  <c r="GR48" i="5"/>
  <c r="GS48" i="5"/>
  <c r="GS97" i="5" s="1"/>
  <c r="K439" i="2" s="1"/>
  <c r="GQ49" i="5"/>
  <c r="GQ106" i="5" s="1"/>
  <c r="I448" i="2" s="1"/>
  <c r="GR49" i="5"/>
  <c r="GR106" i="5" s="1"/>
  <c r="J448" i="2" s="1"/>
  <c r="GS49" i="5"/>
  <c r="GS106" i="5" s="1"/>
  <c r="K448" i="2" s="1"/>
  <c r="GQ50" i="5"/>
  <c r="GQ108" i="5" s="1"/>
  <c r="I450" i="2" s="1"/>
  <c r="GR50" i="5"/>
  <c r="GR108" i="5" s="1"/>
  <c r="J450" i="2" s="1"/>
  <c r="GS50" i="5"/>
  <c r="GS108" i="5" s="1"/>
  <c r="K450" i="2" s="1"/>
  <c r="GQ51" i="5"/>
  <c r="GQ98" i="5" s="1"/>
  <c r="I440" i="2" s="1"/>
  <c r="GR51" i="5"/>
  <c r="GS51" i="5"/>
  <c r="GS98" i="5" s="1"/>
  <c r="K440" i="2" s="1"/>
  <c r="GQ52" i="5"/>
  <c r="GQ101" i="5" s="1"/>
  <c r="I443" i="2" s="1"/>
  <c r="GR52" i="5"/>
  <c r="GR101" i="5" s="1"/>
  <c r="J443" i="2" s="1"/>
  <c r="GS52" i="5"/>
  <c r="GS101" i="5" s="1"/>
  <c r="K443" i="2" s="1"/>
  <c r="GQ53" i="5"/>
  <c r="GQ105" i="5" s="1"/>
  <c r="I447" i="2" s="1"/>
  <c r="GR53" i="5"/>
  <c r="GR105" i="5" s="1"/>
  <c r="J447" i="2" s="1"/>
  <c r="GS53" i="5"/>
  <c r="GS105" i="5" s="1"/>
  <c r="K447" i="2" s="1"/>
  <c r="GQ54" i="5"/>
  <c r="GQ103" i="5" s="1"/>
  <c r="I445" i="2" s="1"/>
  <c r="GR54" i="5"/>
  <c r="GR103" i="5" s="1"/>
  <c r="J445" i="2" s="1"/>
  <c r="GS54" i="5"/>
  <c r="GS103" i="5" s="1"/>
  <c r="K445" i="2" s="1"/>
  <c r="GQ55" i="5"/>
  <c r="GQ99" i="5" s="1"/>
  <c r="I441" i="2" s="1"/>
  <c r="GR55" i="5"/>
  <c r="GR99" i="5" s="1"/>
  <c r="J441" i="2" s="1"/>
  <c r="GS55" i="5"/>
  <c r="GS99" i="5" s="1"/>
  <c r="K441" i="2" s="1"/>
  <c r="GQ56" i="5"/>
  <c r="GQ107" i="5" s="1"/>
  <c r="I449" i="2" s="1"/>
  <c r="GR56" i="5"/>
  <c r="GR107" i="5" s="1"/>
  <c r="J449" i="2" s="1"/>
  <c r="GS56" i="5"/>
  <c r="GS107" i="5" s="1"/>
  <c r="K449" i="2" s="1"/>
  <c r="I365" i="2"/>
  <c r="J365" i="2"/>
  <c r="K365" i="2"/>
  <c r="I373" i="2"/>
  <c r="J373" i="2"/>
  <c r="K373" i="2"/>
  <c r="I378" i="2"/>
  <c r="J378" i="2"/>
  <c r="K378" i="2"/>
  <c r="I401" i="2"/>
  <c r="J401" i="2"/>
  <c r="K401" i="2"/>
  <c r="I409" i="2"/>
  <c r="J409" i="2"/>
  <c r="K409" i="2"/>
  <c r="I414" i="2"/>
  <c r="J414" i="2"/>
  <c r="K414" i="2"/>
  <c r="GI13" i="5"/>
  <c r="GI12" i="5"/>
  <c r="GI11" i="5"/>
  <c r="GI10" i="5"/>
  <c r="GI9" i="5"/>
  <c r="GI8" i="5"/>
  <c r="GI6" i="5"/>
  <c r="GI5" i="5"/>
  <c r="GI4" i="5"/>
  <c r="GC12" i="5"/>
  <c r="GC11" i="5"/>
  <c r="GC10" i="5"/>
  <c r="GC9" i="5"/>
  <c r="GC8" i="5"/>
  <c r="GC6" i="5"/>
  <c r="GC5" i="5"/>
  <c r="GC13" i="5"/>
  <c r="GO46" i="5"/>
  <c r="GO102" i="5" s="1"/>
  <c r="G444" i="2" s="1"/>
  <c r="GP46" i="5"/>
  <c r="GP102" i="5" s="1"/>
  <c r="H444" i="2" s="1"/>
  <c r="GO47" i="5"/>
  <c r="GO100" i="5" s="1"/>
  <c r="G442" i="2" s="1"/>
  <c r="GP47" i="5"/>
  <c r="GP100" i="5" s="1"/>
  <c r="H442" i="2" s="1"/>
  <c r="GO48" i="5"/>
  <c r="GP48" i="5"/>
  <c r="GP97" i="5" s="1"/>
  <c r="H439" i="2" s="1"/>
  <c r="GO49" i="5"/>
  <c r="GO106" i="5" s="1"/>
  <c r="G448" i="2" s="1"/>
  <c r="GP49" i="5"/>
  <c r="GP106" i="5" s="1"/>
  <c r="H448" i="2" s="1"/>
  <c r="GO50" i="5"/>
  <c r="GP50" i="5"/>
  <c r="GP108" i="5" s="1"/>
  <c r="H450" i="2" s="1"/>
  <c r="GO51" i="5"/>
  <c r="GO98" i="5" s="1"/>
  <c r="G440" i="2" s="1"/>
  <c r="GP51" i="5"/>
  <c r="GP98" i="5" s="1"/>
  <c r="H440" i="2" s="1"/>
  <c r="GO52" i="5"/>
  <c r="GO101" i="5" s="1"/>
  <c r="G443" i="2" s="1"/>
  <c r="GP52" i="5"/>
  <c r="GP101" i="5" s="1"/>
  <c r="H443" i="2" s="1"/>
  <c r="GO53" i="5"/>
  <c r="GO105" i="5" s="1"/>
  <c r="G447" i="2" s="1"/>
  <c r="GP53" i="5"/>
  <c r="GP105" i="5" s="1"/>
  <c r="H447" i="2" s="1"/>
  <c r="GO54" i="5"/>
  <c r="GO103" i="5" s="1"/>
  <c r="G445" i="2" s="1"/>
  <c r="GP54" i="5"/>
  <c r="GP103" i="5" s="1"/>
  <c r="H445" i="2" s="1"/>
  <c r="GO55" i="5"/>
  <c r="GO99" i="5" s="1"/>
  <c r="G441" i="2" s="1"/>
  <c r="GP55" i="5"/>
  <c r="GP99" i="5" s="1"/>
  <c r="H441" i="2" s="1"/>
  <c r="GO56" i="5"/>
  <c r="GO107" i="5" s="1"/>
  <c r="G449" i="2" s="1"/>
  <c r="GP56" i="5"/>
  <c r="GP107" i="5" s="1"/>
  <c r="H449" i="2" s="1"/>
  <c r="F414" i="2"/>
  <c r="G414" i="2"/>
  <c r="H414" i="2"/>
  <c r="G409" i="2"/>
  <c r="H409" i="2"/>
  <c r="F409" i="2"/>
  <c r="G401" i="2"/>
  <c r="H401" i="2"/>
  <c r="F401" i="2"/>
  <c r="G365" i="2"/>
  <c r="H365" i="2"/>
  <c r="G378" i="2"/>
  <c r="H378" i="2"/>
  <c r="G373" i="2"/>
  <c r="H373" i="2"/>
  <c r="GO87" i="5"/>
  <c r="G407" i="2" s="1"/>
  <c r="GP87" i="5"/>
  <c r="H407" i="2" s="1"/>
  <c r="GO85" i="5"/>
  <c r="G405" i="2" s="1"/>
  <c r="GP85" i="5"/>
  <c r="H405" i="2" s="1"/>
  <c r="GO82" i="5"/>
  <c r="G402" i="2" s="1"/>
  <c r="GP82" i="5"/>
  <c r="H402" i="2" s="1"/>
  <c r="GO91" i="5"/>
  <c r="G411" i="2" s="1"/>
  <c r="GP91" i="5"/>
  <c r="H411" i="2" s="1"/>
  <c r="GO93" i="5"/>
  <c r="G413" i="2" s="1"/>
  <c r="GP93" i="5"/>
  <c r="H413" i="2" s="1"/>
  <c r="GO83" i="5"/>
  <c r="G403" i="2" s="1"/>
  <c r="GP83" i="5"/>
  <c r="H403" i="2" s="1"/>
  <c r="GO86" i="5"/>
  <c r="G406" i="2" s="1"/>
  <c r="GP86" i="5"/>
  <c r="H406" i="2" s="1"/>
  <c r="GO90" i="5"/>
  <c r="G410" i="2" s="1"/>
  <c r="GP90" i="5"/>
  <c r="H410" i="2" s="1"/>
  <c r="GO88" i="5"/>
  <c r="G408" i="2" s="1"/>
  <c r="GP88" i="5"/>
  <c r="H408" i="2" s="1"/>
  <c r="GO84" i="5"/>
  <c r="G404" i="2" s="1"/>
  <c r="GP84" i="5"/>
  <c r="H404" i="2" s="1"/>
  <c r="GO92" i="5"/>
  <c r="G412" i="2" s="1"/>
  <c r="GP92" i="5"/>
  <c r="H412" i="2" s="1"/>
  <c r="GN85" i="5"/>
  <c r="F405" i="2" s="1"/>
  <c r="GN82" i="5"/>
  <c r="F402" i="2" s="1"/>
  <c r="GN91" i="5"/>
  <c r="F411" i="2" s="1"/>
  <c r="GN93" i="5"/>
  <c r="F413" i="2" s="1"/>
  <c r="GN83" i="5"/>
  <c r="F403" i="2" s="1"/>
  <c r="GN86" i="5"/>
  <c r="F406" i="2" s="1"/>
  <c r="GN90" i="5"/>
  <c r="F410" i="2" s="1"/>
  <c r="GN88" i="5"/>
  <c r="F408" i="2" s="1"/>
  <c r="GN84" i="5"/>
  <c r="F404" i="2" s="1"/>
  <c r="GN92" i="5"/>
  <c r="F412" i="2" s="1"/>
  <c r="GN87" i="5"/>
  <c r="F407" i="2" s="1"/>
  <c r="GO71" i="5"/>
  <c r="G371" i="2" s="1"/>
  <c r="GP71" i="5"/>
  <c r="H371" i="2" s="1"/>
  <c r="GO69" i="5"/>
  <c r="G369" i="2" s="1"/>
  <c r="GP69" i="5"/>
  <c r="H369" i="2" s="1"/>
  <c r="GO66" i="5"/>
  <c r="G366" i="2" s="1"/>
  <c r="GP66" i="5"/>
  <c r="H366" i="2" s="1"/>
  <c r="GO75" i="5"/>
  <c r="G375" i="2" s="1"/>
  <c r="GP75" i="5"/>
  <c r="H375" i="2" s="1"/>
  <c r="GO77" i="5"/>
  <c r="G377" i="2" s="1"/>
  <c r="GP77" i="5"/>
  <c r="H377" i="2" s="1"/>
  <c r="GO67" i="5"/>
  <c r="G367" i="2" s="1"/>
  <c r="GP67" i="5"/>
  <c r="H367" i="2" s="1"/>
  <c r="GO70" i="5"/>
  <c r="G370" i="2" s="1"/>
  <c r="GP70" i="5"/>
  <c r="H370" i="2" s="1"/>
  <c r="GO74" i="5"/>
  <c r="G374" i="2" s="1"/>
  <c r="GP74" i="5"/>
  <c r="H374" i="2" s="1"/>
  <c r="GO72" i="5"/>
  <c r="G372" i="2" s="1"/>
  <c r="GP72" i="5"/>
  <c r="H372" i="2" s="1"/>
  <c r="GO68" i="5"/>
  <c r="G368" i="2" s="1"/>
  <c r="GP68" i="5"/>
  <c r="H368" i="2" s="1"/>
  <c r="GO76" i="5"/>
  <c r="G376" i="2" s="1"/>
  <c r="GP76" i="5"/>
  <c r="H376" i="2" s="1"/>
  <c r="F370" i="2"/>
  <c r="D141" i="5"/>
  <c r="G197" i="2"/>
  <c r="FV107" i="5"/>
  <c r="FV114" i="5"/>
  <c r="FV113" i="5"/>
  <c r="FU114" i="5"/>
  <c r="FU113" i="5"/>
  <c r="FV106" i="5"/>
  <c r="FU107" i="5"/>
  <c r="FU106" i="5"/>
  <c r="G297" i="2"/>
  <c r="H297" i="2" s="1"/>
  <c r="G296" i="2"/>
  <c r="G295" i="2"/>
  <c r="H295" i="2" s="1"/>
  <c r="G294" i="2"/>
  <c r="G287" i="2"/>
  <c r="G288" i="2"/>
  <c r="G289" i="2"/>
  <c r="H289" i="2" s="1"/>
  <c r="G290" i="2"/>
  <c r="H290" i="2" s="1"/>
  <c r="G291" i="2"/>
  <c r="G191" i="2"/>
  <c r="G292" i="2"/>
  <c r="G286" i="2"/>
  <c r="G196" i="2"/>
  <c r="H196" i="2" s="1"/>
  <c r="G195" i="2"/>
  <c r="G194" i="2"/>
  <c r="G192" i="2"/>
  <c r="G190" i="2"/>
  <c r="G189" i="2"/>
  <c r="G188" i="2"/>
  <c r="G187" i="2"/>
  <c r="G186" i="2"/>
  <c r="G97" i="2"/>
  <c r="G162" i="2" s="1"/>
  <c r="G96" i="2"/>
  <c r="G161" i="2" s="1"/>
  <c r="G95" i="2"/>
  <c r="G160" i="2" s="1"/>
  <c r="G94" i="2"/>
  <c r="G159" i="2" s="1"/>
  <c r="G92" i="2"/>
  <c r="G139" i="2" s="1"/>
  <c r="G91" i="2"/>
  <c r="G156" i="2" s="1"/>
  <c r="G90" i="2"/>
  <c r="G155" i="2" s="1"/>
  <c r="G89" i="2"/>
  <c r="G154" i="2" s="1"/>
  <c r="G88" i="2"/>
  <c r="G153" i="2" s="1"/>
  <c r="G87" i="2"/>
  <c r="G134" i="2" s="1"/>
  <c r="G86" i="2"/>
  <c r="G151" i="2" s="1"/>
  <c r="F97" i="2"/>
  <c r="F144" i="2" s="1"/>
  <c r="F96" i="2"/>
  <c r="F161" i="2" s="1"/>
  <c r="F95" i="2"/>
  <c r="F160" i="2" s="1"/>
  <c r="F94" i="2"/>
  <c r="F159" i="2" s="1"/>
  <c r="F92" i="2"/>
  <c r="F139" i="2" s="1"/>
  <c r="F91" i="2"/>
  <c r="F156" i="2" s="1"/>
  <c r="F90" i="2"/>
  <c r="F155" i="2" s="1"/>
  <c r="F89" i="2"/>
  <c r="F136" i="2" s="1"/>
  <c r="F88" i="2"/>
  <c r="F153" i="2" s="1"/>
  <c r="F87" i="2"/>
  <c r="F152" i="2" s="1"/>
  <c r="F86" i="2"/>
  <c r="F151" i="2" s="1"/>
  <c r="G64" i="2"/>
  <c r="S64" i="2" s="1"/>
  <c r="G63" i="2"/>
  <c r="S63" i="2" s="1"/>
  <c r="G62" i="2"/>
  <c r="S62" i="2" s="1"/>
  <c r="G61" i="2"/>
  <c r="S61" i="2" s="1"/>
  <c r="G59" i="2"/>
  <c r="R59" i="2" s="1"/>
  <c r="G58" i="2"/>
  <c r="R58" i="2" s="1"/>
  <c r="G57" i="2"/>
  <c r="G56" i="2"/>
  <c r="S56" i="2" s="1"/>
  <c r="G55" i="2"/>
  <c r="R55" i="2" s="1"/>
  <c r="G54" i="2"/>
  <c r="R54" i="2" s="1"/>
  <c r="G53" i="2"/>
  <c r="F57" i="2"/>
  <c r="F56" i="2"/>
  <c r="F55" i="2"/>
  <c r="F54" i="2"/>
  <c r="F53" i="2"/>
  <c r="F64" i="2"/>
  <c r="F63" i="2"/>
  <c r="F62" i="2"/>
  <c r="F61" i="2"/>
  <c r="F59" i="2"/>
  <c r="F58" i="2"/>
  <c r="G32" i="2"/>
  <c r="R32" i="2" s="1"/>
  <c r="G31" i="2"/>
  <c r="R31" i="2" s="1"/>
  <c r="G30" i="2"/>
  <c r="R30" i="2" s="1"/>
  <c r="G29" i="2"/>
  <c r="S29" i="2" s="1"/>
  <c r="G27" i="2"/>
  <c r="S27" i="2" s="1"/>
  <c r="R26" i="2"/>
  <c r="G25" i="2"/>
  <c r="G24" i="2"/>
  <c r="G23" i="2"/>
  <c r="R23" i="2" s="1"/>
  <c r="G22" i="2"/>
  <c r="S22" i="2" s="1"/>
  <c r="G21" i="2"/>
  <c r="S21" i="2" s="1"/>
  <c r="F32" i="2"/>
  <c r="F31" i="2"/>
  <c r="F30" i="2"/>
  <c r="F29" i="2"/>
  <c r="F22" i="2"/>
  <c r="F23" i="2"/>
  <c r="F24" i="2"/>
  <c r="F25" i="2"/>
  <c r="F26" i="2"/>
  <c r="H26" i="2" s="1"/>
  <c r="F27" i="2"/>
  <c r="F21" i="2"/>
  <c r="F17" i="2"/>
  <c r="F16" i="2"/>
  <c r="F15" i="2"/>
  <c r="F14" i="2"/>
  <c r="F7" i="2"/>
  <c r="F8" i="2"/>
  <c r="F9" i="2"/>
  <c r="F10" i="2"/>
  <c r="F11" i="2"/>
  <c r="F12" i="2"/>
  <c r="F6" i="2"/>
  <c r="K6" i="2" s="1"/>
  <c r="S10" i="2"/>
  <c r="Y24" i="11"/>
  <c r="Z24" i="11"/>
  <c r="H43" i="2" l="1"/>
  <c r="H187" i="2"/>
  <c r="G342" i="2"/>
  <c r="R24" i="2"/>
  <c r="H24" i="2"/>
  <c r="J689" i="2"/>
  <c r="J693" i="2"/>
  <c r="J832" i="2"/>
  <c r="G880" i="2"/>
  <c r="K720" i="2"/>
  <c r="H763" i="2"/>
  <c r="H691" i="2"/>
  <c r="H760" i="2"/>
  <c r="H694" i="2"/>
  <c r="G668" i="2"/>
  <c r="I333" i="10"/>
  <c r="I373" i="10" s="1"/>
  <c r="I413" i="10" s="1"/>
  <c r="I453" i="10" s="1"/>
  <c r="I493" i="10" s="1"/>
  <c r="I533" i="10" s="1"/>
  <c r="I573" i="10" s="1"/>
  <c r="I613" i="10" s="1"/>
  <c r="I653" i="10" s="1"/>
  <c r="I693" i="10" s="1"/>
  <c r="H130" i="2"/>
  <c r="F142" i="2"/>
  <c r="E335" i="2"/>
  <c r="E351" i="2" s="1"/>
  <c r="H15" i="2"/>
  <c r="K15" i="2"/>
  <c r="S15" i="2"/>
  <c r="K16" i="2"/>
  <c r="H16" i="2"/>
  <c r="R16" i="2"/>
  <c r="L16" i="2" s="1"/>
  <c r="K932" i="2"/>
  <c r="K774" i="2"/>
  <c r="F206" i="2"/>
  <c r="H81" i="2"/>
  <c r="H127" i="2"/>
  <c r="H128" i="2"/>
  <c r="H118" i="2"/>
  <c r="H286" i="2"/>
  <c r="F135" i="2"/>
  <c r="H7" i="2"/>
  <c r="S7" i="2"/>
  <c r="R7" i="2"/>
  <c r="L7" i="2" s="1"/>
  <c r="H25" i="2"/>
  <c r="H122" i="2"/>
  <c r="H123" i="2"/>
  <c r="H68" i="2"/>
  <c r="J73" i="2" s="1"/>
  <c r="K851" i="2"/>
  <c r="K937" i="2"/>
  <c r="G136" i="2"/>
  <c r="H136" i="2" s="1"/>
  <c r="H17" i="2"/>
  <c r="S17" i="2"/>
  <c r="K17" i="2"/>
  <c r="H107" i="2"/>
  <c r="E213" i="2"/>
  <c r="K915" i="2"/>
  <c r="K918" i="2"/>
  <c r="K936" i="2"/>
  <c r="G884" i="2"/>
  <c r="K884" i="2" s="1"/>
  <c r="K912" i="2"/>
  <c r="I828" i="2"/>
  <c r="K794" i="2"/>
  <c r="K703" i="2"/>
  <c r="K841" i="2"/>
  <c r="K800" i="2"/>
  <c r="K938" i="2"/>
  <c r="G970" i="2"/>
  <c r="K970" i="2" s="1"/>
  <c r="M401" i="10" s="1"/>
  <c r="K862" i="2"/>
  <c r="K858" i="2"/>
  <c r="G971" i="2"/>
  <c r="F960" i="2"/>
  <c r="K844" i="2"/>
  <c r="K656" i="2"/>
  <c r="K795" i="2"/>
  <c r="K776" i="2"/>
  <c r="K859" i="2"/>
  <c r="K914" i="2"/>
  <c r="K541" i="2"/>
  <c r="P528" i="2"/>
  <c r="AM541" i="2"/>
  <c r="FW113" i="5"/>
  <c r="AL541" i="2"/>
  <c r="M446" i="2"/>
  <c r="U451" i="2"/>
  <c r="X536" i="2"/>
  <c r="J541" i="2"/>
  <c r="AN528" i="2"/>
  <c r="F451" i="2"/>
  <c r="I528" i="2"/>
  <c r="AE541" i="2"/>
  <c r="AJ536" i="2"/>
  <c r="K536" i="2"/>
  <c r="K528" i="2"/>
  <c r="G528" i="2"/>
  <c r="G541" i="2"/>
  <c r="Q446" i="2"/>
  <c r="AB541" i="2"/>
  <c r="P446" i="2"/>
  <c r="U446" i="2"/>
  <c r="J451" i="2"/>
  <c r="M536" i="2"/>
  <c r="M451" i="2"/>
  <c r="GU102" i="5"/>
  <c r="M444" i="2" s="1"/>
  <c r="Z446" i="2"/>
  <c r="H79" i="2"/>
  <c r="H120" i="2"/>
  <c r="S8" i="2"/>
  <c r="K7" i="2"/>
  <c r="H10" i="2"/>
  <c r="K10" i="2"/>
  <c r="Y438" i="2"/>
  <c r="H528" i="2"/>
  <c r="Y541" i="2"/>
  <c r="HK100" i="5"/>
  <c r="AC442" i="2" s="1"/>
  <c r="AC438" i="2"/>
  <c r="AC446" i="2"/>
  <c r="F446" i="2"/>
  <c r="JN106" i="5"/>
  <c r="V538" i="2" s="1"/>
  <c r="V541" i="2"/>
  <c r="AB536" i="2"/>
  <c r="AE536" i="2"/>
  <c r="H451" i="2"/>
  <c r="I541" i="2"/>
  <c r="AA541" i="2"/>
  <c r="L536" i="2"/>
  <c r="G138" i="2"/>
  <c r="Q528" i="2"/>
  <c r="H446" i="2"/>
  <c r="F137" i="2"/>
  <c r="L451" i="2"/>
  <c r="K712" i="2"/>
  <c r="JF102" i="5"/>
  <c r="N534" i="2" s="1"/>
  <c r="N528" i="2"/>
  <c r="G536" i="2"/>
  <c r="JA100" i="5"/>
  <c r="I532" i="2" s="1"/>
  <c r="M541" i="2"/>
  <c r="JE102" i="5"/>
  <c r="M534" i="2" s="1"/>
  <c r="JF106" i="5"/>
  <c r="N538" i="2" s="1"/>
  <c r="N541" i="2"/>
  <c r="K913" i="2"/>
  <c r="H438" i="2"/>
  <c r="H541" i="2"/>
  <c r="I536" i="2"/>
  <c r="GY102" i="5"/>
  <c r="Q444" i="2" s="1"/>
  <c r="GW106" i="5"/>
  <c r="O448" i="2" s="1"/>
  <c r="O451" i="2"/>
  <c r="U541" i="2"/>
  <c r="T451" i="2"/>
  <c r="HB106" i="5"/>
  <c r="T448" i="2" s="1"/>
  <c r="N446" i="2"/>
  <c r="GV102" i="5"/>
  <c r="N444" i="2" s="1"/>
  <c r="F162" i="2"/>
  <c r="H162" i="2" s="1"/>
  <c r="GN101" i="5"/>
  <c r="F443" i="2" s="1"/>
  <c r="IY106" i="5"/>
  <c r="G538" i="2" s="1"/>
  <c r="JH100" i="5"/>
  <c r="P532" i="2" s="1"/>
  <c r="P451" i="2"/>
  <c r="GX106" i="5"/>
  <c r="P448" i="2" s="1"/>
  <c r="H536" i="2"/>
  <c r="F536" i="2"/>
  <c r="Y451" i="2"/>
  <c r="AF541" i="2"/>
  <c r="T446" i="2"/>
  <c r="W446" i="2"/>
  <c r="HH102" i="5"/>
  <c r="Z444" i="2" s="1"/>
  <c r="H827" i="2"/>
  <c r="KD105" i="5"/>
  <c r="AL537" i="2" s="1"/>
  <c r="O536" i="2"/>
  <c r="N451" i="2"/>
  <c r="R528" i="2"/>
  <c r="E207" i="2"/>
  <c r="AL536" i="2"/>
  <c r="AN541" i="2"/>
  <c r="AC528" i="2"/>
  <c r="I945" i="2"/>
  <c r="AH541" i="2"/>
  <c r="X446" i="2"/>
  <c r="AC536" i="2"/>
  <c r="AB451" i="2"/>
  <c r="K591" i="2"/>
  <c r="K704" i="2"/>
  <c r="K781" i="2"/>
  <c r="K919" i="2"/>
  <c r="AH528" i="2"/>
  <c r="F198" i="2"/>
  <c r="N536" i="2"/>
  <c r="R451" i="2"/>
  <c r="JP97" i="5"/>
  <c r="X529" i="2" s="1"/>
  <c r="H49" i="2"/>
  <c r="H77" i="2"/>
  <c r="Y446" i="2"/>
  <c r="JW106" i="5"/>
  <c r="AE538" i="2" s="1"/>
  <c r="AK536" i="2"/>
  <c r="I5" i="2"/>
  <c r="AN536" i="2"/>
  <c r="AF528" i="2"/>
  <c r="F968" i="2"/>
  <c r="AI541" i="2"/>
  <c r="AI536" i="2"/>
  <c r="HG108" i="5"/>
  <c r="Y450" i="2" s="1"/>
  <c r="AF536" i="2"/>
  <c r="AD451" i="2"/>
  <c r="H40" i="2"/>
  <c r="AG528" i="2"/>
  <c r="C26" i="16"/>
  <c r="I876" i="2"/>
  <c r="L10" i="2"/>
  <c r="G157" i="2"/>
  <c r="F133" i="2"/>
  <c r="F204" i="2"/>
  <c r="G204" i="2"/>
  <c r="H204" i="2" s="1"/>
  <c r="H291" i="2"/>
  <c r="E210" i="2"/>
  <c r="H42" i="2"/>
  <c r="H80" i="2"/>
  <c r="H91" i="2"/>
  <c r="K711" i="2"/>
  <c r="K719" i="2"/>
  <c r="F208" i="2"/>
  <c r="H119" i="2"/>
  <c r="G948" i="2"/>
  <c r="H155" i="2"/>
  <c r="G212" i="2"/>
  <c r="G215" i="2"/>
  <c r="H215" i="2" s="1"/>
  <c r="H47" i="2"/>
  <c r="G247" i="2"/>
  <c r="F212" i="2"/>
  <c r="H37" i="2"/>
  <c r="H48" i="2"/>
  <c r="H156" i="2"/>
  <c r="H151" i="2"/>
  <c r="I26" i="2"/>
  <c r="K8" i="2"/>
  <c r="R8" i="2"/>
  <c r="L8" i="2" s="1"/>
  <c r="H75" i="2"/>
  <c r="H129" i="2"/>
  <c r="H105" i="2"/>
  <c r="H159" i="2"/>
  <c r="G141" i="2"/>
  <c r="H41" i="2"/>
  <c r="H191" i="2"/>
  <c r="K635" i="2"/>
  <c r="G669" i="2"/>
  <c r="K566" i="2"/>
  <c r="G620" i="2"/>
  <c r="K642" i="2"/>
  <c r="F757" i="2"/>
  <c r="K724" i="2"/>
  <c r="K793" i="2"/>
  <c r="G560" i="2"/>
  <c r="I962" i="2"/>
  <c r="I657" i="2"/>
  <c r="K636" i="2"/>
  <c r="K637" i="2"/>
  <c r="K655" i="2"/>
  <c r="K713" i="2"/>
  <c r="I824" i="2"/>
  <c r="H90" i="2"/>
  <c r="F138" i="2"/>
  <c r="F157" i="2"/>
  <c r="H194" i="2"/>
  <c r="F210" i="2"/>
  <c r="K633" i="2"/>
  <c r="K772" i="2"/>
  <c r="H121" i="2"/>
  <c r="H71" i="2"/>
  <c r="F293" i="2"/>
  <c r="F60" i="2"/>
  <c r="H292" i="2"/>
  <c r="H72" i="2"/>
  <c r="G214" i="2"/>
  <c r="H53" i="2"/>
  <c r="H294" i="2"/>
  <c r="H63" i="2"/>
  <c r="H110" i="2"/>
  <c r="H74" i="2"/>
  <c r="K576" i="2"/>
  <c r="H102" i="2"/>
  <c r="J103" i="2" s="1"/>
  <c r="H111" i="2"/>
  <c r="H197" i="2"/>
  <c r="H95" i="2"/>
  <c r="H94" i="2"/>
  <c r="G142" i="2"/>
  <c r="F28" i="2"/>
  <c r="F65" i="2"/>
  <c r="G207" i="2"/>
  <c r="H288" i="2"/>
  <c r="H296" i="2"/>
  <c r="H126" i="2"/>
  <c r="H124" i="2"/>
  <c r="H38" i="2"/>
  <c r="H78" i="2"/>
  <c r="I32" i="2"/>
  <c r="H92" i="2"/>
  <c r="G137" i="2"/>
  <c r="F141" i="2"/>
  <c r="F205" i="2"/>
  <c r="H113" i="2"/>
  <c r="H39" i="2"/>
  <c r="F154" i="2"/>
  <c r="H154" i="2" s="1"/>
  <c r="I31" i="2"/>
  <c r="H112" i="2"/>
  <c r="H44" i="2"/>
  <c r="H70" i="2"/>
  <c r="F98" i="2"/>
  <c r="F298" i="2"/>
  <c r="I54" i="2"/>
  <c r="E208" i="2"/>
  <c r="H46" i="2"/>
  <c r="G240" i="2"/>
  <c r="F143" i="2"/>
  <c r="G209" i="2"/>
  <c r="H21" i="2"/>
  <c r="H153" i="2"/>
  <c r="H188" i="2"/>
  <c r="E204" i="2"/>
  <c r="H117" i="2"/>
  <c r="J128" i="2" s="1"/>
  <c r="H73" i="2"/>
  <c r="G239" i="2"/>
  <c r="H239" i="2" s="1"/>
  <c r="K654" i="2"/>
  <c r="G208" i="2"/>
  <c r="H36" i="2"/>
  <c r="H96" i="2"/>
  <c r="G210" i="2"/>
  <c r="H106" i="2"/>
  <c r="H76" i="2"/>
  <c r="K775" i="2"/>
  <c r="H180" i="2"/>
  <c r="H89" i="2"/>
  <c r="H139" i="2"/>
  <c r="F214" i="2"/>
  <c r="E214" i="2"/>
  <c r="H108" i="2"/>
  <c r="H167" i="2"/>
  <c r="J170" i="2" s="1"/>
  <c r="F33" i="2"/>
  <c r="B60" i="29" s="1"/>
  <c r="G238" i="2"/>
  <c r="H238" i="2" s="1"/>
  <c r="I952" i="2"/>
  <c r="L969" i="2" s="1"/>
  <c r="N400" i="10" s="1"/>
  <c r="J272" i="2"/>
  <c r="J281" i="2"/>
  <c r="F193" i="2"/>
  <c r="G143" i="2"/>
  <c r="L15" i="2"/>
  <c r="H69" i="2"/>
  <c r="K592" i="2"/>
  <c r="F620" i="2"/>
  <c r="I893" i="2"/>
  <c r="E337" i="2"/>
  <c r="E321" i="2" s="1"/>
  <c r="K745" i="2"/>
  <c r="G753" i="2"/>
  <c r="K911" i="2"/>
  <c r="I714" i="2"/>
  <c r="G746" i="2"/>
  <c r="I827" i="2"/>
  <c r="K969" i="2"/>
  <c r="M400" i="10" s="1"/>
  <c r="K584" i="2"/>
  <c r="K1005" i="2"/>
  <c r="K705" i="2"/>
  <c r="K782" i="2"/>
  <c r="K789" i="2"/>
  <c r="K845" i="2"/>
  <c r="K863" i="2"/>
  <c r="K571" i="2"/>
  <c r="G594" i="2"/>
  <c r="K634" i="2"/>
  <c r="K864" i="2"/>
  <c r="K850" i="2"/>
  <c r="J901" i="2"/>
  <c r="L561" i="10" s="1"/>
  <c r="K931" i="2"/>
  <c r="I675" i="2"/>
  <c r="K675" i="2" s="1"/>
  <c r="I814" i="2"/>
  <c r="L831" i="2" s="1"/>
  <c r="N520" i="10" s="1"/>
  <c r="I807" i="2"/>
  <c r="K650" i="2"/>
  <c r="F965" i="2"/>
  <c r="K608" i="2"/>
  <c r="K725" i="2"/>
  <c r="H173" i="2"/>
  <c r="I737" i="2"/>
  <c r="K860" i="2"/>
  <c r="L901" i="2"/>
  <c r="N561" i="10" s="1"/>
  <c r="H172" i="2"/>
  <c r="H256" i="2"/>
  <c r="K643" i="2"/>
  <c r="H57" i="2"/>
  <c r="I55" i="2"/>
  <c r="L17" i="2"/>
  <c r="E18" i="2"/>
  <c r="B77" i="29" s="1"/>
  <c r="I23" i="2"/>
  <c r="L6" i="2"/>
  <c r="I24" i="2"/>
  <c r="E205" i="2"/>
  <c r="E209" i="2"/>
  <c r="S57" i="2"/>
  <c r="R57" i="2"/>
  <c r="I57" i="2" s="1"/>
  <c r="H9" i="2"/>
  <c r="R9" i="2"/>
  <c r="L9" i="2" s="1"/>
  <c r="K9" i="2"/>
  <c r="R11" i="2"/>
  <c r="L11" i="2" s="1"/>
  <c r="S14" i="2"/>
  <c r="R14" i="2"/>
  <c r="L14" i="2" s="1"/>
  <c r="K14" i="2"/>
  <c r="J273" i="2"/>
  <c r="J280" i="2"/>
  <c r="J275" i="2"/>
  <c r="J274" i="2"/>
  <c r="J277" i="2"/>
  <c r="J279" i="2"/>
  <c r="J271" i="2"/>
  <c r="J283" i="2"/>
  <c r="J278" i="2"/>
  <c r="G270" i="2"/>
  <c r="J276" i="2"/>
  <c r="H190" i="2"/>
  <c r="G198" i="2"/>
  <c r="H186" i="2"/>
  <c r="H189" i="2"/>
  <c r="G206" i="2"/>
  <c r="H206" i="2" s="1"/>
  <c r="E338" i="2"/>
  <c r="E354" i="2" s="1"/>
  <c r="G763" i="2"/>
  <c r="H1002" i="2"/>
  <c r="H996" i="2"/>
  <c r="H257" i="2"/>
  <c r="H998" i="2"/>
  <c r="K728" i="2"/>
  <c r="K791" i="2"/>
  <c r="H177" i="2"/>
  <c r="I883" i="2"/>
  <c r="K883" i="2" s="1"/>
  <c r="G902" i="2"/>
  <c r="H965" i="2"/>
  <c r="G761" i="2"/>
  <c r="K761" i="2" s="1"/>
  <c r="M480" i="10" s="1"/>
  <c r="I688" i="2"/>
  <c r="J688" i="2" s="1"/>
  <c r="K568" i="2"/>
  <c r="I1002" i="2"/>
  <c r="L1002" i="2" s="1"/>
  <c r="H168" i="2"/>
  <c r="I897" i="2"/>
  <c r="H178" i="2"/>
  <c r="H997" i="2"/>
  <c r="H1004" i="2"/>
  <c r="H255" i="2"/>
  <c r="I758" i="2"/>
  <c r="I621" i="2"/>
  <c r="H621" i="2"/>
  <c r="F686" i="2"/>
  <c r="G740" i="2"/>
  <c r="I880" i="2"/>
  <c r="F963" i="2"/>
  <c r="I891" i="2"/>
  <c r="H254" i="2"/>
  <c r="J265" i="2" s="1"/>
  <c r="K707" i="2"/>
  <c r="K929" i="2"/>
  <c r="K575" i="2"/>
  <c r="K867" i="2"/>
  <c r="H261" i="2"/>
  <c r="I822" i="2"/>
  <c r="K847" i="2"/>
  <c r="K798" i="2"/>
  <c r="H169" i="2"/>
  <c r="H171" i="2"/>
  <c r="H265" i="2"/>
  <c r="K586" i="2"/>
  <c r="K644" i="2"/>
  <c r="H657" i="2"/>
  <c r="F657" i="2"/>
  <c r="K706" i="2"/>
  <c r="F731" i="2"/>
  <c r="K790" i="2"/>
  <c r="F796" i="2"/>
  <c r="G870" i="2"/>
  <c r="H262" i="2"/>
  <c r="I603" i="2"/>
  <c r="I620" i="2"/>
  <c r="K588" i="2"/>
  <c r="H594" i="2"/>
  <c r="G609" i="2"/>
  <c r="K651" i="2"/>
  <c r="K653" i="2"/>
  <c r="I731" i="2"/>
  <c r="H731" i="2"/>
  <c r="K729" i="2"/>
  <c r="I796" i="2"/>
  <c r="G825" i="2"/>
  <c r="I853" i="2"/>
  <c r="H870" i="2"/>
  <c r="K901" i="2"/>
  <c r="M561" i="10" s="1"/>
  <c r="K910" i="2"/>
  <c r="I961" i="2"/>
  <c r="L961" i="2" s="1"/>
  <c r="N393" i="10" s="1"/>
  <c r="K930" i="2"/>
  <c r="H267" i="2"/>
  <c r="I685" i="2"/>
  <c r="I741" i="2"/>
  <c r="G714" i="2"/>
  <c r="K730" i="2"/>
  <c r="K773" i="2"/>
  <c r="G879" i="2"/>
  <c r="I577" i="2"/>
  <c r="I589" i="2"/>
  <c r="H939" i="2"/>
  <c r="K866" i="2"/>
  <c r="G848" i="2"/>
  <c r="F870" i="2"/>
  <c r="F594" i="2"/>
  <c r="K652" i="2"/>
  <c r="I666" i="2"/>
  <c r="G762" i="2"/>
  <c r="K762" i="2" s="1"/>
  <c r="M481" i="10" s="1"/>
  <c r="H900" i="2"/>
  <c r="J900" i="2" s="1"/>
  <c r="L560" i="10" s="1"/>
  <c r="I948" i="2"/>
  <c r="I1001" i="2"/>
  <c r="L1001" i="2" s="1"/>
  <c r="H266" i="2"/>
  <c r="K868" i="2"/>
  <c r="G244" i="2"/>
  <c r="H244" i="2" s="1"/>
  <c r="K587" i="2"/>
  <c r="K710" i="2"/>
  <c r="K849" i="2"/>
  <c r="I896" i="2"/>
  <c r="H260" i="2"/>
  <c r="H263" i="2"/>
  <c r="G246" i="2"/>
  <c r="H246" i="2" s="1"/>
  <c r="F760" i="2"/>
  <c r="L761" i="2"/>
  <c r="N480" i="10" s="1"/>
  <c r="J762" i="2"/>
  <c r="L481" i="10" s="1"/>
  <c r="G686" i="2"/>
  <c r="F902" i="2"/>
  <c r="H222" i="2"/>
  <c r="K708" i="2"/>
  <c r="K792" i="2"/>
  <c r="H226" i="2"/>
  <c r="K928" i="2"/>
  <c r="I676" i="2"/>
  <c r="K676" i="2" s="1"/>
  <c r="K831" i="2"/>
  <c r="M520" i="10" s="1"/>
  <c r="G963" i="2"/>
  <c r="H824" i="2"/>
  <c r="J761" i="2"/>
  <c r="L480" i="10" s="1"/>
  <c r="F689" i="2"/>
  <c r="I939" i="2"/>
  <c r="K989" i="2"/>
  <c r="I606" i="2"/>
  <c r="H962" i="2"/>
  <c r="I951" i="2"/>
  <c r="I674" i="2"/>
  <c r="K744" i="2"/>
  <c r="I805" i="2"/>
  <c r="I899" i="2"/>
  <c r="I968" i="2"/>
  <c r="H623" i="2"/>
  <c r="H968" i="2"/>
  <c r="I813" i="2"/>
  <c r="H615" i="2"/>
  <c r="H899" i="2"/>
  <c r="I615" i="2"/>
  <c r="I960" i="2"/>
  <c r="I760" i="2"/>
  <c r="H830" i="2"/>
  <c r="I1004" i="2"/>
  <c r="I743" i="2"/>
  <c r="I617" i="2"/>
  <c r="I740" i="2"/>
  <c r="H828" i="2"/>
  <c r="H896" i="2"/>
  <c r="I966" i="2"/>
  <c r="I965" i="2"/>
  <c r="H1001" i="2"/>
  <c r="I623" i="2"/>
  <c r="H620" i="2"/>
  <c r="H822" i="2"/>
  <c r="I879" i="2"/>
  <c r="H897" i="2"/>
  <c r="I882" i="2"/>
  <c r="I604" i="2"/>
  <c r="I668" i="2"/>
  <c r="I683" i="2"/>
  <c r="J683" i="2" s="1"/>
  <c r="I735" i="2"/>
  <c r="I949" i="2"/>
  <c r="F560" i="2"/>
  <c r="F626" i="2"/>
  <c r="G667" i="2"/>
  <c r="F688" i="2"/>
  <c r="G743" i="2"/>
  <c r="F896" i="2"/>
  <c r="F893" i="2"/>
  <c r="F616" i="2"/>
  <c r="G671" i="2"/>
  <c r="G808" i="2"/>
  <c r="G945" i="2"/>
  <c r="G807" i="2"/>
  <c r="F823" i="2"/>
  <c r="F962" i="2"/>
  <c r="F684" i="2"/>
  <c r="G599" i="2"/>
  <c r="G691" i="2"/>
  <c r="F753" i="2"/>
  <c r="G892" i="2"/>
  <c r="G685" i="2"/>
  <c r="G754" i="2"/>
  <c r="G806" i="2"/>
  <c r="G962" i="2"/>
  <c r="G626" i="2"/>
  <c r="G623" i="2"/>
  <c r="F763" i="2"/>
  <c r="F754" i="2"/>
  <c r="F825" i="2"/>
  <c r="G882" i="2"/>
  <c r="F899" i="2"/>
  <c r="F971" i="2"/>
  <c r="G944" i="2"/>
  <c r="K944" i="2" s="1"/>
  <c r="G606" i="2"/>
  <c r="G600" i="2"/>
  <c r="F691" i="2"/>
  <c r="G738" i="2"/>
  <c r="F755" i="2"/>
  <c r="F830" i="2"/>
  <c r="G830" i="2"/>
  <c r="G877" i="2"/>
  <c r="G875" i="2"/>
  <c r="G946" i="2"/>
  <c r="G618" i="2"/>
  <c r="G737" i="2"/>
  <c r="F827" i="2"/>
  <c r="G896" i="2"/>
  <c r="F892" i="2"/>
  <c r="G810" i="2"/>
  <c r="G951" i="2"/>
  <c r="G688" i="2"/>
  <c r="G960" i="2"/>
  <c r="F961" i="2"/>
  <c r="G961" i="2"/>
  <c r="F623" i="2"/>
  <c r="G813" i="2"/>
  <c r="G824" i="2"/>
  <c r="F621" i="2"/>
  <c r="G684" i="2"/>
  <c r="G760" i="2"/>
  <c r="G816" i="2"/>
  <c r="F824" i="2"/>
  <c r="G899" i="2"/>
  <c r="K953" i="2"/>
  <c r="G954" i="2"/>
  <c r="G617" i="2"/>
  <c r="G601" i="2"/>
  <c r="G757" i="2"/>
  <c r="G827" i="2"/>
  <c r="K900" i="2"/>
  <c r="M560" i="10" s="1"/>
  <c r="J969" i="2"/>
  <c r="L400" i="10" s="1"/>
  <c r="K607" i="2"/>
  <c r="L625" i="2"/>
  <c r="G758" i="2"/>
  <c r="H796" i="2"/>
  <c r="G876" i="2"/>
  <c r="K927" i="2"/>
  <c r="G621" i="2"/>
  <c r="I757" i="2"/>
  <c r="G922" i="2"/>
  <c r="H991" i="2"/>
  <c r="K574" i="2"/>
  <c r="K590" i="2"/>
  <c r="G657" i="2"/>
  <c r="I784" i="2"/>
  <c r="I815" i="2"/>
  <c r="K815" i="2" s="1"/>
  <c r="K921" i="2"/>
  <c r="G966" i="2"/>
  <c r="G233" i="2"/>
  <c r="I870" i="2"/>
  <c r="H892" i="2"/>
  <c r="I917" i="2"/>
  <c r="G917" i="2"/>
  <c r="I934" i="2"/>
  <c r="H966" i="2"/>
  <c r="G604" i="2"/>
  <c r="I645" i="2"/>
  <c r="F752" i="2"/>
  <c r="F761" i="2"/>
  <c r="H891" i="2"/>
  <c r="G934" i="2"/>
  <c r="I943" i="2"/>
  <c r="H176" i="2"/>
  <c r="H259" i="2"/>
  <c r="F833" i="2"/>
  <c r="H893" i="2"/>
  <c r="K916" i="2"/>
  <c r="K933" i="2"/>
  <c r="F685" i="2"/>
  <c r="I752" i="2"/>
  <c r="K846" i="2"/>
  <c r="F891" i="2"/>
  <c r="G796" i="2"/>
  <c r="K843" i="2"/>
  <c r="F934" i="2"/>
  <c r="H174" i="2"/>
  <c r="H258" i="2"/>
  <c r="G555" i="2"/>
  <c r="H617" i="2"/>
  <c r="F618" i="2"/>
  <c r="K570" i="2"/>
  <c r="L441" i="10"/>
  <c r="G694" i="2"/>
  <c r="G736" i="2"/>
  <c r="K780" i="2"/>
  <c r="L521" i="10"/>
  <c r="G833" i="2"/>
  <c r="I865" i="2"/>
  <c r="H986" i="2"/>
  <c r="G677" i="2"/>
  <c r="G731" i="2"/>
  <c r="F758" i="2"/>
  <c r="G741" i="2"/>
  <c r="G823" i="2"/>
  <c r="F900" i="2"/>
  <c r="I874" i="2"/>
  <c r="G243" i="2"/>
  <c r="H243" i="2" s="1"/>
  <c r="H960" i="2"/>
  <c r="G689" i="2"/>
  <c r="K783" i="2"/>
  <c r="H170" i="2"/>
  <c r="H264" i="2"/>
  <c r="K585" i="2"/>
  <c r="G577" i="2"/>
  <c r="F828" i="2"/>
  <c r="G666" i="2"/>
  <c r="K727" i="2"/>
  <c r="F966" i="2"/>
  <c r="G943" i="2"/>
  <c r="G897" i="2"/>
  <c r="K920" i="2"/>
  <c r="G822" i="2"/>
  <c r="G828" i="2"/>
  <c r="G874" i="2"/>
  <c r="L762" i="2"/>
  <c r="N481" i="10" s="1"/>
  <c r="H225" i="2"/>
  <c r="G683" i="2"/>
  <c r="F822" i="2"/>
  <c r="G784" i="2"/>
  <c r="G805" i="2"/>
  <c r="I922" i="2"/>
  <c r="F615" i="2"/>
  <c r="F683" i="2"/>
  <c r="G752" i="2"/>
  <c r="G891" i="2"/>
  <c r="F897" i="2"/>
  <c r="H232" i="2"/>
  <c r="K988" i="2"/>
  <c r="I998" i="2"/>
  <c r="H179" i="2"/>
  <c r="J1005" i="2"/>
  <c r="E336" i="2"/>
  <c r="E352" i="2" s="1"/>
  <c r="E334" i="2"/>
  <c r="E350" i="2" s="1"/>
  <c r="E345" i="2"/>
  <c r="E329" i="2" s="1"/>
  <c r="E344" i="2"/>
  <c r="E360" i="2" s="1"/>
  <c r="G335" i="2"/>
  <c r="R335" i="2" s="1"/>
  <c r="E343" i="2"/>
  <c r="E359" i="2" s="1"/>
  <c r="E342" i="2"/>
  <c r="E326" i="2" s="1"/>
  <c r="E340" i="2"/>
  <c r="E356" i="2" s="1"/>
  <c r="H103" i="2"/>
  <c r="J115" i="2"/>
  <c r="H109" i="2"/>
  <c r="S54" i="2"/>
  <c r="I59" i="2"/>
  <c r="G98" i="2"/>
  <c r="R63" i="2"/>
  <c r="I63" i="2" s="1"/>
  <c r="G93" i="2"/>
  <c r="G65" i="2"/>
  <c r="R56" i="2"/>
  <c r="I56" i="2" s="1"/>
  <c r="G152" i="2"/>
  <c r="H152" i="2" s="1"/>
  <c r="S59" i="2"/>
  <c r="H56" i="2"/>
  <c r="H88" i="2"/>
  <c r="G133" i="2"/>
  <c r="H59" i="2"/>
  <c r="H97" i="2"/>
  <c r="G135" i="2"/>
  <c r="S58" i="2"/>
  <c r="S55" i="2"/>
  <c r="R62" i="2"/>
  <c r="I62" i="2" s="1"/>
  <c r="H58" i="2"/>
  <c r="H62" i="2"/>
  <c r="R61" i="2"/>
  <c r="I61" i="2" s="1"/>
  <c r="H86" i="2"/>
  <c r="H61" i="2"/>
  <c r="G144" i="2"/>
  <c r="H144" i="2" s="1"/>
  <c r="H55" i="2"/>
  <c r="H54" i="2"/>
  <c r="H161" i="2"/>
  <c r="H160" i="2"/>
  <c r="S11" i="2"/>
  <c r="K12" i="2"/>
  <c r="G13" i="2"/>
  <c r="K11" i="2"/>
  <c r="H22" i="2"/>
  <c r="R25" i="2"/>
  <c r="I25" i="2" s="1"/>
  <c r="S25" i="2"/>
  <c r="R29" i="2"/>
  <c r="I29" i="2" s="1"/>
  <c r="S23" i="2"/>
  <c r="H45" i="2"/>
  <c r="R12" i="2"/>
  <c r="L12" i="2" s="1"/>
  <c r="H12" i="2"/>
  <c r="G18" i="2"/>
  <c r="G28" i="2"/>
  <c r="C59" i="29" s="1"/>
  <c r="R21" i="2"/>
  <c r="I21" i="2" s="1"/>
  <c r="S31" i="2"/>
  <c r="S26" i="2"/>
  <c r="H23" i="2"/>
  <c r="H29" i="2"/>
  <c r="S24" i="2"/>
  <c r="S30" i="2"/>
  <c r="H30" i="2"/>
  <c r="H195" i="2"/>
  <c r="G293" i="2"/>
  <c r="G298" i="2"/>
  <c r="G193" i="2"/>
  <c r="G213" i="2"/>
  <c r="H213" i="2" s="1"/>
  <c r="H287" i="2"/>
  <c r="G205" i="2"/>
  <c r="H205" i="2" s="1"/>
  <c r="H192" i="2"/>
  <c r="E60" i="2"/>
  <c r="I58" i="2"/>
  <c r="E13" i="2"/>
  <c r="B76" i="29" s="1"/>
  <c r="E28" i="2"/>
  <c r="E206" i="2"/>
  <c r="E215" i="2"/>
  <c r="S65" i="2"/>
  <c r="H65" i="2" s="1"/>
  <c r="I30" i="2"/>
  <c r="H31" i="2"/>
  <c r="JB102" i="5"/>
  <c r="J534" i="2" s="1"/>
  <c r="J536" i="2"/>
  <c r="E241" i="2"/>
  <c r="H224" i="2"/>
  <c r="R22" i="2"/>
  <c r="I22" i="2" s="1"/>
  <c r="GO108" i="5"/>
  <c r="G450" i="2" s="1"/>
  <c r="G451" i="2"/>
  <c r="JG108" i="5"/>
  <c r="O540" i="2" s="1"/>
  <c r="O528" i="2"/>
  <c r="I946" i="2"/>
  <c r="I755" i="2"/>
  <c r="I738" i="2"/>
  <c r="I601" i="2"/>
  <c r="H999" i="2"/>
  <c r="I894" i="2"/>
  <c r="I999" i="2"/>
  <c r="H963" i="2"/>
  <c r="H825" i="2"/>
  <c r="I669" i="2"/>
  <c r="I877" i="2"/>
  <c r="I808" i="2"/>
  <c r="H618" i="2"/>
  <c r="H894" i="2"/>
  <c r="I963" i="2"/>
  <c r="I618" i="2"/>
  <c r="I825" i="2"/>
  <c r="I686" i="2"/>
  <c r="J686" i="2" s="1"/>
  <c r="H87" i="2"/>
  <c r="I438" i="2"/>
  <c r="F18" i="2"/>
  <c r="H27" i="2"/>
  <c r="GS102" i="5"/>
  <c r="K444" i="2" s="1"/>
  <c r="K446" i="2"/>
  <c r="K438" i="2"/>
  <c r="O541" i="2"/>
  <c r="F541" i="2"/>
  <c r="F528" i="2"/>
  <c r="F93" i="2"/>
  <c r="FW114" i="5"/>
  <c r="K451" i="2"/>
  <c r="F13" i="2"/>
  <c r="R27" i="2"/>
  <c r="I27" i="2" s="1"/>
  <c r="G33" i="2"/>
  <c r="C60" i="29" s="1"/>
  <c r="I446" i="2"/>
  <c r="F438" i="2"/>
  <c r="GN108" i="5"/>
  <c r="F450" i="2" s="1"/>
  <c r="L446" i="2"/>
  <c r="L438" i="2"/>
  <c r="GT102" i="5"/>
  <c r="L444" i="2" s="1"/>
  <c r="I451" i="2"/>
  <c r="G60" i="2"/>
  <c r="S32" i="2"/>
  <c r="G446" i="2"/>
  <c r="GO97" i="5"/>
  <c r="G439" i="2" s="1"/>
  <c r="G438" i="2"/>
  <c r="H32" i="2"/>
  <c r="S53" i="2"/>
  <c r="F134" i="2"/>
  <c r="H134" i="2" s="1"/>
  <c r="J528" i="2"/>
  <c r="GR98" i="5"/>
  <c r="J440" i="2" s="1"/>
  <c r="J446" i="2"/>
  <c r="J438" i="2"/>
  <c r="M528" i="2"/>
  <c r="JE105" i="5"/>
  <c r="M537" i="2" s="1"/>
  <c r="R53" i="2"/>
  <c r="R64" i="2"/>
  <c r="I64" i="2" s="1"/>
  <c r="H64" i="2"/>
  <c r="W528" i="2"/>
  <c r="W536" i="2"/>
  <c r="JO102" i="5"/>
  <c r="W534" i="2" s="1"/>
  <c r="E240" i="2"/>
  <c r="E228" i="2"/>
  <c r="H223" i="2"/>
  <c r="L528" i="2"/>
  <c r="L541" i="2"/>
  <c r="Q541" i="2"/>
  <c r="JI106" i="5"/>
  <c r="Q538" i="2" s="1"/>
  <c r="GW98" i="5"/>
  <c r="O440" i="2" s="1"/>
  <c r="O446" i="2"/>
  <c r="T541" i="2"/>
  <c r="JM100" i="5"/>
  <c r="U532" i="2" s="1"/>
  <c r="U536" i="2"/>
  <c r="L970" i="2"/>
  <c r="N401" i="10" s="1"/>
  <c r="J970" i="2"/>
  <c r="L401" i="10" s="1"/>
  <c r="F240" i="2"/>
  <c r="F228" i="2"/>
  <c r="E247" i="2"/>
  <c r="H230" i="2"/>
  <c r="GR97" i="5"/>
  <c r="J439" i="2" s="1"/>
  <c r="G242" i="2"/>
  <c r="H242" i="2" s="1"/>
  <c r="G249" i="2"/>
  <c r="H249" i="2" s="1"/>
  <c r="T528" i="2"/>
  <c r="Z541" i="2"/>
  <c r="JR108" i="5"/>
  <c r="Z540" i="2" s="1"/>
  <c r="F207" i="2"/>
  <c r="G241" i="2"/>
  <c r="HC102" i="5"/>
  <c r="U444" i="2" s="1"/>
  <c r="U438" i="2"/>
  <c r="U528" i="2"/>
  <c r="T438" i="2"/>
  <c r="HB98" i="5"/>
  <c r="T440" i="2" s="1"/>
  <c r="GQ100" i="5"/>
  <c r="I442" i="2" s="1"/>
  <c r="F209" i="2"/>
  <c r="GT108" i="5"/>
  <c r="L450" i="2" s="1"/>
  <c r="R541" i="2"/>
  <c r="JJ108" i="5"/>
  <c r="R540" i="2" s="1"/>
  <c r="JM106" i="5"/>
  <c r="U538" i="2" s="1"/>
  <c r="HD106" i="5"/>
  <c r="V448" i="2" s="1"/>
  <c r="V451" i="2"/>
  <c r="R536" i="2"/>
  <c r="M438" i="2"/>
  <c r="P536" i="2"/>
  <c r="N438" i="2"/>
  <c r="JH106" i="5"/>
  <c r="P538" i="2" s="1"/>
  <c r="P541" i="2"/>
  <c r="JI102" i="5"/>
  <c r="Q534" i="2" s="1"/>
  <c r="Q536" i="2"/>
  <c r="HD100" i="5"/>
  <c r="V442" i="2" s="1"/>
  <c r="V438" i="2"/>
  <c r="V446" i="2"/>
  <c r="Q438" i="2"/>
  <c r="H1000" i="2"/>
  <c r="I878" i="2"/>
  <c r="I895" i="2"/>
  <c r="I739" i="2"/>
  <c r="I826" i="2"/>
  <c r="I964" i="2"/>
  <c r="H826" i="2"/>
  <c r="I602" i="2"/>
  <c r="H964" i="2"/>
  <c r="I619" i="2"/>
  <c r="I1000" i="2"/>
  <c r="I756" i="2"/>
  <c r="H895" i="2"/>
  <c r="I947" i="2"/>
  <c r="I670" i="2"/>
  <c r="I809" i="2"/>
  <c r="I687" i="2"/>
  <c r="J687" i="2" s="1"/>
  <c r="H619" i="2"/>
  <c r="G878" i="2"/>
  <c r="G687" i="2"/>
  <c r="F964" i="2"/>
  <c r="G739" i="2"/>
  <c r="G619" i="2"/>
  <c r="G895" i="2"/>
  <c r="G947" i="2"/>
  <c r="F687" i="2"/>
  <c r="G670" i="2"/>
  <c r="F826" i="2"/>
  <c r="F555" i="2"/>
  <c r="F619" i="2"/>
  <c r="G826" i="2"/>
  <c r="G964" i="2"/>
  <c r="G809" i="2"/>
  <c r="I954" i="2"/>
  <c r="H902" i="2"/>
  <c r="I885" i="2"/>
  <c r="I816" i="2"/>
  <c r="I746" i="2"/>
  <c r="H626" i="2"/>
  <c r="H833" i="2"/>
  <c r="I833" i="2"/>
  <c r="H971" i="2"/>
  <c r="I1007" i="2"/>
  <c r="I971" i="2"/>
  <c r="I677" i="2"/>
  <c r="I609" i="2"/>
  <c r="I763" i="2"/>
  <c r="H560" i="2"/>
  <c r="H1007" i="2"/>
  <c r="G572" i="2"/>
  <c r="G615" i="2"/>
  <c r="K582" i="2"/>
  <c r="G589" i="2"/>
  <c r="H589" i="2"/>
  <c r="H616" i="2"/>
  <c r="I572" i="2"/>
  <c r="K565" i="2"/>
  <c r="I598" i="2"/>
  <c r="K593" i="2"/>
  <c r="I626" i="2"/>
  <c r="K583" i="2"/>
  <c r="G616" i="2"/>
  <c r="R446" i="2"/>
  <c r="E293" i="2"/>
  <c r="R438" i="2"/>
  <c r="HE106" i="5"/>
  <c r="W448" i="2" s="1"/>
  <c r="W451" i="2"/>
  <c r="AA438" i="2"/>
  <c r="HI102" i="5"/>
  <c r="AA444" i="2" s="1"/>
  <c r="P438" i="2"/>
  <c r="S438" i="2"/>
  <c r="E33" i="2"/>
  <c r="HF108" i="5"/>
  <c r="X450" i="2" s="1"/>
  <c r="X451" i="2"/>
  <c r="AA446" i="2"/>
  <c r="JV99" i="5"/>
  <c r="AD531" i="2" s="1"/>
  <c r="AD536" i="2"/>
  <c r="S536" i="2"/>
  <c r="O438" i="2"/>
  <c r="V528" i="2"/>
  <c r="V536" i="2"/>
  <c r="JP106" i="5"/>
  <c r="X538" i="2" s="1"/>
  <c r="X541" i="2"/>
  <c r="X528" i="2"/>
  <c r="E198" i="2"/>
  <c r="E65" i="2"/>
  <c r="HJ98" i="5"/>
  <c r="AB440" i="2" s="1"/>
  <c r="AB446" i="2"/>
  <c r="S541" i="2"/>
  <c r="S528" i="2"/>
  <c r="E212" i="2"/>
  <c r="G248" i="2"/>
  <c r="S446" i="2"/>
  <c r="AA536" i="2"/>
  <c r="JS102" i="5"/>
  <c r="AA534" i="2" s="1"/>
  <c r="AA528" i="2"/>
  <c r="GX102" i="5"/>
  <c r="P444" i="2" s="1"/>
  <c r="HA106" i="5"/>
  <c r="S448" i="2" s="1"/>
  <c r="S451" i="2"/>
  <c r="Q451" i="2"/>
  <c r="T536" i="2"/>
  <c r="F589" i="2"/>
  <c r="F617" i="2"/>
  <c r="G602" i="2"/>
  <c r="K569" i="2"/>
  <c r="I671" i="2"/>
  <c r="K638" i="2"/>
  <c r="I640" i="2"/>
  <c r="G640" i="2"/>
  <c r="G672" i="2"/>
  <c r="I691" i="2"/>
  <c r="K658" i="2"/>
  <c r="I662" i="2"/>
  <c r="H662" i="2"/>
  <c r="K660" i="2"/>
  <c r="G662" i="2"/>
  <c r="G693" i="2"/>
  <c r="K693" i="2" s="1"/>
  <c r="M441" i="10" s="1"/>
  <c r="F694" i="2"/>
  <c r="F662" i="2"/>
  <c r="G709" i="2"/>
  <c r="G735" i="2"/>
  <c r="I753" i="2"/>
  <c r="I726" i="2"/>
  <c r="I672" i="2"/>
  <c r="K639" i="2"/>
  <c r="G645" i="2"/>
  <c r="K641" i="2"/>
  <c r="G674" i="2"/>
  <c r="I692" i="2"/>
  <c r="J692" i="2" s="1"/>
  <c r="K659" i="2"/>
  <c r="AE528" i="2"/>
  <c r="Y536" i="2"/>
  <c r="Y528" i="2"/>
  <c r="JQ102" i="5"/>
  <c r="Y534" i="2" s="1"/>
  <c r="HF100" i="5"/>
  <c r="X442" i="2" s="1"/>
  <c r="AD541" i="2"/>
  <c r="E298" i="2"/>
  <c r="J112" i="2"/>
  <c r="X438" i="2"/>
  <c r="HK106" i="5"/>
  <c r="AC448" i="2" s="1"/>
  <c r="AC451" i="2"/>
  <c r="Z451" i="2"/>
  <c r="HH108" i="5"/>
  <c r="Z450" i="2" s="1"/>
  <c r="G603" i="2"/>
  <c r="J625" i="2"/>
  <c r="K625" i="2"/>
  <c r="W541" i="2"/>
  <c r="E193" i="2"/>
  <c r="JU105" i="5"/>
  <c r="AC537" i="2" s="1"/>
  <c r="AC541" i="2"/>
  <c r="AB438" i="2"/>
  <c r="Z528" i="2"/>
  <c r="Z536" i="2"/>
  <c r="HH100" i="5"/>
  <c r="Z442" i="2" s="1"/>
  <c r="Z438" i="2"/>
  <c r="JT100" i="5"/>
  <c r="AB532" i="2" s="1"/>
  <c r="AB528" i="2"/>
  <c r="H726" i="2"/>
  <c r="G755" i="2"/>
  <c r="K722" i="2"/>
  <c r="G726" i="2"/>
  <c r="F726" i="2"/>
  <c r="F756" i="2"/>
  <c r="I779" i="2"/>
  <c r="K777" i="2"/>
  <c r="G779" i="2"/>
  <c r="G811" i="2"/>
  <c r="I830" i="2"/>
  <c r="K797" i="2"/>
  <c r="H831" i="2"/>
  <c r="H801" i="2"/>
  <c r="G832" i="2"/>
  <c r="K832" i="2" s="1"/>
  <c r="M521" i="10" s="1"/>
  <c r="K799" i="2"/>
  <c r="K852" i="2"/>
  <c r="G885" i="2"/>
  <c r="G853" i="2"/>
  <c r="I875" i="2"/>
  <c r="K842" i="2"/>
  <c r="G894" i="2"/>
  <c r="K861" i="2"/>
  <c r="F895" i="2"/>
  <c r="AA451" i="2"/>
  <c r="JV106" i="5"/>
  <c r="AD538" i="2" s="1"/>
  <c r="I810" i="2"/>
  <c r="AD528" i="2"/>
  <c r="H231" i="2"/>
  <c r="E248" i="2"/>
  <c r="H114" i="2"/>
  <c r="F801" i="2"/>
  <c r="H115" i="2"/>
  <c r="H104" i="2"/>
  <c r="G801" i="2"/>
  <c r="W438" i="2"/>
  <c r="AD446" i="2"/>
  <c r="I801" i="2"/>
  <c r="AD438" i="2"/>
  <c r="I709" i="2"/>
  <c r="K702" i="2"/>
  <c r="K721" i="2"/>
  <c r="I754" i="2"/>
  <c r="G756" i="2"/>
  <c r="I811" i="2"/>
  <c r="K778" i="2"/>
  <c r="H961" i="2"/>
  <c r="I806" i="2"/>
  <c r="I667" i="2"/>
  <c r="H555" i="2"/>
  <c r="H823" i="2"/>
  <c r="I684" i="2"/>
  <c r="J684" i="2" s="1"/>
  <c r="I599" i="2"/>
  <c r="I892" i="2"/>
  <c r="I736" i="2"/>
  <c r="I616" i="2"/>
  <c r="I823" i="2"/>
  <c r="K567" i="2"/>
  <c r="I600" i="2"/>
  <c r="I594" i="2"/>
  <c r="I997" i="2"/>
  <c r="G336" i="2"/>
  <c r="E339" i="2"/>
  <c r="I624" i="2"/>
  <c r="K723" i="2"/>
  <c r="E233" i="2"/>
  <c r="E250" i="2" s="1"/>
  <c r="K869" i="2"/>
  <c r="I902" i="2"/>
  <c r="H865" i="2"/>
  <c r="G865" i="2"/>
  <c r="G893" i="2"/>
  <c r="F865" i="2"/>
  <c r="F894" i="2"/>
  <c r="G949" i="2"/>
  <c r="F246" i="2"/>
  <c r="F233" i="2"/>
  <c r="F250" i="2" s="1"/>
  <c r="C31" i="16"/>
  <c r="C18" i="16" s="1"/>
  <c r="G340" i="2"/>
  <c r="G334" i="2"/>
  <c r="G343" i="2"/>
  <c r="G337" i="2"/>
  <c r="G344" i="2"/>
  <c r="G338" i="2"/>
  <c r="G345" i="2"/>
  <c r="G339" i="2"/>
  <c r="G939" i="2"/>
  <c r="K935" i="2"/>
  <c r="G968" i="2"/>
  <c r="F939" i="2"/>
  <c r="F969" i="2"/>
  <c r="JZ106" i="5"/>
  <c r="AH538" i="2" s="1"/>
  <c r="AI528" i="2"/>
  <c r="KA97" i="5"/>
  <c r="AI529" i="2" s="1"/>
  <c r="L1006" i="2"/>
  <c r="K1006" i="2"/>
  <c r="AM528" i="2"/>
  <c r="I991" i="2"/>
  <c r="K990" i="2"/>
  <c r="I848" i="2"/>
  <c r="AJ541" i="2"/>
  <c r="AL528" i="2"/>
  <c r="H229" i="2"/>
  <c r="H934" i="2"/>
  <c r="I996" i="2"/>
  <c r="I986" i="2"/>
  <c r="K661" i="2"/>
  <c r="AK541" i="2"/>
  <c r="KC106" i="5"/>
  <c r="AK538" i="2" s="1"/>
  <c r="K573" i="2"/>
  <c r="H221" i="2"/>
  <c r="G228" i="2"/>
  <c r="AJ528" i="2"/>
  <c r="H227" i="2"/>
  <c r="AK528" i="2"/>
  <c r="J1006" i="2"/>
  <c r="AG536" i="2"/>
  <c r="KE105" i="5"/>
  <c r="AM537" i="2" s="1"/>
  <c r="I694" i="2"/>
  <c r="AH536" i="2"/>
  <c r="AM536" i="2"/>
  <c r="AG541" i="2"/>
  <c r="KF106" i="5"/>
  <c r="AN538" i="2" s="1"/>
  <c r="JZ97" i="5"/>
  <c r="AH529" i="2" s="1"/>
  <c r="KA105" i="5"/>
  <c r="AI537" i="2" s="1"/>
  <c r="KB103" i="5"/>
  <c r="AJ535" i="2" s="1"/>
  <c r="KC102" i="5"/>
  <c r="AK534" i="2" s="1"/>
  <c r="KF102" i="5"/>
  <c r="AN534" i="2" s="1"/>
  <c r="F216" i="2" l="1"/>
  <c r="G250" i="2"/>
  <c r="H198" i="2"/>
  <c r="F20" i="2"/>
  <c r="B61" i="29" s="1"/>
  <c r="B59" i="29"/>
  <c r="J694" i="2"/>
  <c r="H209" i="2"/>
  <c r="J113" i="2"/>
  <c r="H142" i="2"/>
  <c r="J47" i="2"/>
  <c r="B40" i="29"/>
  <c r="H18" i="2"/>
  <c r="C77" i="29"/>
  <c r="H13" i="2"/>
  <c r="C76" i="29"/>
  <c r="J827" i="2"/>
  <c r="L517" i="10" s="1"/>
  <c r="H690" i="2"/>
  <c r="H759" i="2"/>
  <c r="J691" i="2"/>
  <c r="J830" i="2"/>
  <c r="L519" i="10" s="1"/>
  <c r="J825" i="2"/>
  <c r="L515" i="10" s="1"/>
  <c r="J833" i="2"/>
  <c r="L522" i="10" s="1"/>
  <c r="J828" i="2"/>
  <c r="H764" i="2"/>
  <c r="J685" i="2"/>
  <c r="L434" i="10" s="1"/>
  <c r="K685" i="2"/>
  <c r="L685" i="2"/>
  <c r="N434" i="10" s="1"/>
  <c r="J826" i="2"/>
  <c r="J822" i="2"/>
  <c r="H695" i="2"/>
  <c r="J831" i="2"/>
  <c r="L520" i="10" s="1"/>
  <c r="J824" i="2"/>
  <c r="J80" i="2"/>
  <c r="J71" i="2"/>
  <c r="J69" i="2"/>
  <c r="J119" i="2"/>
  <c r="J76" i="2"/>
  <c r="J75" i="2"/>
  <c r="J74" i="2"/>
  <c r="J77" i="2"/>
  <c r="J81" i="2"/>
  <c r="J72" i="2"/>
  <c r="J79" i="2"/>
  <c r="J78" i="2"/>
  <c r="J70" i="2"/>
  <c r="J110" i="2"/>
  <c r="J114" i="2"/>
  <c r="J108" i="2"/>
  <c r="J109" i="2"/>
  <c r="J104" i="2"/>
  <c r="J111" i="2"/>
  <c r="J105" i="2"/>
  <c r="J107" i="2"/>
  <c r="F547" i="2"/>
  <c r="H135" i="2"/>
  <c r="H978" i="2"/>
  <c r="H208" i="2"/>
  <c r="J106" i="2"/>
  <c r="H212" i="2"/>
  <c r="H133" i="2"/>
  <c r="S18" i="2"/>
  <c r="H298" i="2"/>
  <c r="H137" i="2"/>
  <c r="F185" i="2"/>
  <c r="B3" i="29" s="1"/>
  <c r="E5" i="2"/>
  <c r="B78" i="29" s="1"/>
  <c r="K893" i="2"/>
  <c r="M554" i="10" s="1"/>
  <c r="K669" i="2"/>
  <c r="L893" i="2"/>
  <c r="N554" i="10" s="1"/>
  <c r="K876" i="2"/>
  <c r="L962" i="2"/>
  <c r="N394" i="10" s="1"/>
  <c r="K828" i="2"/>
  <c r="K945" i="2"/>
  <c r="H247" i="2"/>
  <c r="H138" i="2"/>
  <c r="H157" i="2"/>
  <c r="J125" i="2"/>
  <c r="S13" i="2"/>
  <c r="H214" i="2"/>
  <c r="I796" i="10"/>
  <c r="I836" i="10" s="1"/>
  <c r="I876" i="10" s="1"/>
  <c r="I916" i="10" s="1"/>
  <c r="F211" i="2"/>
  <c r="F203" i="2" s="1"/>
  <c r="B14" i="29" s="1"/>
  <c r="H210" i="2"/>
  <c r="H141" i="2"/>
  <c r="K948" i="2"/>
  <c r="F52" i="2"/>
  <c r="B51" i="29" s="1"/>
  <c r="J173" i="2"/>
  <c r="J172" i="2"/>
  <c r="J168" i="2"/>
  <c r="J174" i="2"/>
  <c r="J180" i="2"/>
  <c r="J175" i="2"/>
  <c r="J179" i="2"/>
  <c r="J177" i="2"/>
  <c r="J171" i="2"/>
  <c r="J120" i="2"/>
  <c r="J122" i="2"/>
  <c r="J130" i="2"/>
  <c r="J127" i="2"/>
  <c r="J129" i="2"/>
  <c r="J123" i="2"/>
  <c r="J121" i="2"/>
  <c r="J126" i="2"/>
  <c r="J118" i="2"/>
  <c r="J124" i="2"/>
  <c r="J38" i="2"/>
  <c r="J37" i="2"/>
  <c r="K620" i="2"/>
  <c r="G547" i="2"/>
  <c r="K657" i="2"/>
  <c r="K824" i="2"/>
  <c r="K870" i="2"/>
  <c r="I747" i="2"/>
  <c r="K962" i="2"/>
  <c r="M394" i="10" s="1"/>
  <c r="J962" i="2"/>
  <c r="L394" i="10" s="1"/>
  <c r="K714" i="2"/>
  <c r="K577" i="2"/>
  <c r="L824" i="2"/>
  <c r="J893" i="2"/>
  <c r="L554" i="10" s="1"/>
  <c r="H240" i="2"/>
  <c r="K746" i="2"/>
  <c r="K645" i="2"/>
  <c r="K952" i="2"/>
  <c r="H207" i="2"/>
  <c r="G216" i="2"/>
  <c r="H216" i="2" s="1"/>
  <c r="J176" i="2"/>
  <c r="H143" i="2"/>
  <c r="J178" i="2"/>
  <c r="J169" i="2"/>
  <c r="E216" i="2"/>
  <c r="F285" i="2"/>
  <c r="H193" i="2"/>
  <c r="J40" i="2"/>
  <c r="J42" i="2"/>
  <c r="J44" i="2"/>
  <c r="F145" i="2"/>
  <c r="F163" i="2"/>
  <c r="J45" i="2"/>
  <c r="G627" i="2"/>
  <c r="J39" i="2"/>
  <c r="K807" i="2"/>
  <c r="J49" i="2"/>
  <c r="G211" i="2"/>
  <c r="G20" i="2"/>
  <c r="C61" i="29" s="1"/>
  <c r="J41" i="2"/>
  <c r="K934" i="2"/>
  <c r="J46" i="2"/>
  <c r="J43" i="2"/>
  <c r="J48" i="2"/>
  <c r="E353" i="2"/>
  <c r="E322" i="2"/>
  <c r="E358" i="2"/>
  <c r="K827" i="2"/>
  <c r="M517" i="10" s="1"/>
  <c r="K737" i="2"/>
  <c r="K731" i="2"/>
  <c r="K949" i="2"/>
  <c r="F903" i="2"/>
  <c r="L968" i="2"/>
  <c r="N399" i="10" s="1"/>
  <c r="I857" i="2"/>
  <c r="G909" i="2"/>
  <c r="K814" i="2"/>
  <c r="E20" i="2"/>
  <c r="E285" i="2"/>
  <c r="E211" i="2"/>
  <c r="S60" i="2"/>
  <c r="R18" i="2"/>
  <c r="L18" i="2" s="1"/>
  <c r="D77" i="29" s="1"/>
  <c r="S33" i="2"/>
  <c r="H33" i="2" s="1"/>
  <c r="D60" i="29" s="1"/>
  <c r="E361" i="2"/>
  <c r="E346" i="2"/>
  <c r="E362" i="2" s="1"/>
  <c r="K741" i="2"/>
  <c r="K966" i="2"/>
  <c r="M398" i="10" s="1"/>
  <c r="K599" i="2"/>
  <c r="L438" i="10"/>
  <c r="K758" i="2"/>
  <c r="M478" i="10" s="1"/>
  <c r="J266" i="2"/>
  <c r="J256" i="2"/>
  <c r="J258" i="2"/>
  <c r="J255" i="2"/>
  <c r="J267" i="2"/>
  <c r="J259" i="2"/>
  <c r="L620" i="2"/>
  <c r="J261" i="2"/>
  <c r="K897" i="2"/>
  <c r="M558" i="10" s="1"/>
  <c r="J897" i="2"/>
  <c r="L558" i="10" s="1"/>
  <c r="L758" i="2"/>
  <c r="N478" i="10" s="1"/>
  <c r="K689" i="2"/>
  <c r="M438" i="10" s="1"/>
  <c r="J1004" i="2"/>
  <c r="K601" i="2"/>
  <c r="L897" i="2"/>
  <c r="N558" i="10" s="1"/>
  <c r="K879" i="2"/>
  <c r="J620" i="2"/>
  <c r="L896" i="2"/>
  <c r="N557" i="10" s="1"/>
  <c r="K1002" i="2"/>
  <c r="G649" i="2"/>
  <c r="L900" i="2"/>
  <c r="N560" i="10" s="1"/>
  <c r="K688" i="2"/>
  <c r="M437" i="10" s="1"/>
  <c r="G610" i="2"/>
  <c r="J1002" i="2"/>
  <c r="J891" i="2"/>
  <c r="L552" i="10" s="1"/>
  <c r="K603" i="2"/>
  <c r="K671" i="2"/>
  <c r="G764" i="2"/>
  <c r="K891" i="2"/>
  <c r="M552" i="10" s="1"/>
  <c r="J961" i="2"/>
  <c r="L393" i="10" s="1"/>
  <c r="K609" i="2"/>
  <c r="K922" i="2"/>
  <c r="L437" i="10"/>
  <c r="K822" i="2"/>
  <c r="M512" i="10" s="1"/>
  <c r="L623" i="2"/>
  <c r="G817" i="2"/>
  <c r="K743" i="2"/>
  <c r="J758" i="2"/>
  <c r="L478" i="10" s="1"/>
  <c r="K880" i="2"/>
  <c r="L822" i="2"/>
  <c r="N512" i="10" s="1"/>
  <c r="J621" i="2"/>
  <c r="K606" i="2"/>
  <c r="K961" i="2"/>
  <c r="M393" i="10" s="1"/>
  <c r="K874" i="2"/>
  <c r="K740" i="2"/>
  <c r="L621" i="2"/>
  <c r="M434" i="10"/>
  <c r="K602" i="2"/>
  <c r="K951" i="2"/>
  <c r="L512" i="10"/>
  <c r="K875" i="2"/>
  <c r="K621" i="2"/>
  <c r="K896" i="2"/>
  <c r="M557" i="10" s="1"/>
  <c r="J263" i="2"/>
  <c r="J257" i="2"/>
  <c r="J264" i="2"/>
  <c r="J260" i="2"/>
  <c r="J262" i="2"/>
  <c r="I581" i="2"/>
  <c r="K667" i="2"/>
  <c r="J1001" i="2"/>
  <c r="L693" i="2"/>
  <c r="N441" i="10" s="1"/>
  <c r="K666" i="2"/>
  <c r="K1001" i="2"/>
  <c r="K736" i="2"/>
  <c r="L891" i="2"/>
  <c r="N552" i="10" s="1"/>
  <c r="G690" i="2"/>
  <c r="K808" i="2"/>
  <c r="K796" i="2"/>
  <c r="K813" i="2"/>
  <c r="K760" i="2"/>
  <c r="M479" i="10" s="1"/>
  <c r="J760" i="2"/>
  <c r="L479" i="10" s="1"/>
  <c r="K623" i="2"/>
  <c r="H788" i="2"/>
  <c r="K757" i="2"/>
  <c r="M477" i="10" s="1"/>
  <c r="J752" i="2"/>
  <c r="L472" i="10" s="1"/>
  <c r="K668" i="2"/>
  <c r="I909" i="2"/>
  <c r="K735" i="2"/>
  <c r="F764" i="2"/>
  <c r="G678" i="2"/>
  <c r="J968" i="2"/>
  <c r="L399" i="10" s="1"/>
  <c r="G695" i="2"/>
  <c r="K877" i="2"/>
  <c r="I950" i="2"/>
  <c r="F627" i="2"/>
  <c r="K816" i="2"/>
  <c r="L683" i="2"/>
  <c r="N432" i="10" s="1"/>
  <c r="J899" i="2"/>
  <c r="L559" i="10" s="1"/>
  <c r="H250" i="2"/>
  <c r="K885" i="2"/>
  <c r="I926" i="2"/>
  <c r="K617" i="2"/>
  <c r="L966" i="2"/>
  <c r="N398" i="10" s="1"/>
  <c r="G747" i="2"/>
  <c r="L688" i="2"/>
  <c r="N437" i="10" s="1"/>
  <c r="K806" i="2"/>
  <c r="G903" i="2"/>
  <c r="K882" i="2"/>
  <c r="J896" i="2"/>
  <c r="L557" i="10" s="1"/>
  <c r="J623" i="2"/>
  <c r="L752" i="2"/>
  <c r="N472" i="10" s="1"/>
  <c r="J615" i="2"/>
  <c r="J617" i="2"/>
  <c r="K968" i="2"/>
  <c r="M399" i="10" s="1"/>
  <c r="K899" i="2"/>
  <c r="M559" i="10" s="1"/>
  <c r="K615" i="2"/>
  <c r="K805" i="2"/>
  <c r="J960" i="2"/>
  <c r="L392" i="10" s="1"/>
  <c r="L432" i="10"/>
  <c r="K674" i="2"/>
  <c r="L1004" i="2"/>
  <c r="K1004" i="2"/>
  <c r="K683" i="2"/>
  <c r="M432" i="10" s="1"/>
  <c r="K604" i="2"/>
  <c r="J966" i="2"/>
  <c r="L398" i="10" s="1"/>
  <c r="L760" i="2"/>
  <c r="N479" i="10" s="1"/>
  <c r="L965" i="2"/>
  <c r="N397" i="10" s="1"/>
  <c r="J965" i="2"/>
  <c r="L397" i="10" s="1"/>
  <c r="K965" i="2"/>
  <c r="M397" i="10" s="1"/>
  <c r="K752" i="2"/>
  <c r="M472" i="10" s="1"/>
  <c r="L899" i="2"/>
  <c r="N559" i="10" s="1"/>
  <c r="K960" i="2"/>
  <c r="M392" i="10" s="1"/>
  <c r="K738" i="2"/>
  <c r="K946" i="2"/>
  <c r="G955" i="2"/>
  <c r="K739" i="2"/>
  <c r="K677" i="2"/>
  <c r="K954" i="2"/>
  <c r="G967" i="2"/>
  <c r="K784" i="2"/>
  <c r="K917" i="2"/>
  <c r="J998" i="2"/>
  <c r="L998" i="2"/>
  <c r="K998" i="2"/>
  <c r="K943" i="2"/>
  <c r="K878" i="2"/>
  <c r="H233" i="2"/>
  <c r="L960" i="2"/>
  <c r="N392" i="10" s="1"/>
  <c r="J757" i="2"/>
  <c r="L477" i="10" s="1"/>
  <c r="L757" i="2"/>
  <c r="N477" i="10" s="1"/>
  <c r="L832" i="2"/>
  <c r="N521" i="10" s="1"/>
  <c r="E328" i="2"/>
  <c r="E341" i="2"/>
  <c r="E357" i="2" s="1"/>
  <c r="E327" i="2"/>
  <c r="E320" i="2"/>
  <c r="G351" i="2"/>
  <c r="R351" i="2" s="1"/>
  <c r="E324" i="2"/>
  <c r="E318" i="2"/>
  <c r="G52" i="2"/>
  <c r="B52" i="29" s="1"/>
  <c r="G163" i="2"/>
  <c r="G145" i="2"/>
  <c r="G85" i="2"/>
  <c r="G132" i="2" s="1"/>
  <c r="H98" i="2"/>
  <c r="G158" i="2"/>
  <c r="G140" i="2"/>
  <c r="K18" i="2"/>
  <c r="G5" i="2"/>
  <c r="C78" i="29" s="1"/>
  <c r="R33" i="2"/>
  <c r="I33" i="2" s="1"/>
  <c r="S28" i="2"/>
  <c r="H28" i="2" s="1"/>
  <c r="D59" i="29" s="1"/>
  <c r="R13" i="2"/>
  <c r="R28" i="2"/>
  <c r="G285" i="2"/>
  <c r="H293" i="2"/>
  <c r="G185" i="2"/>
  <c r="E52" i="2"/>
  <c r="I886" i="2"/>
  <c r="I955" i="2"/>
  <c r="H627" i="2"/>
  <c r="I678" i="2"/>
  <c r="I610" i="2"/>
  <c r="L996" i="2"/>
  <c r="K996" i="2"/>
  <c r="J996" i="2"/>
  <c r="I829" i="2"/>
  <c r="H1003" i="2"/>
  <c r="H547" i="2"/>
  <c r="I898" i="2"/>
  <c r="I690" i="2"/>
  <c r="I967" i="2"/>
  <c r="H829" i="2"/>
  <c r="I622" i="2"/>
  <c r="K686" i="2"/>
  <c r="M435" i="10" s="1"/>
  <c r="L435" i="10"/>
  <c r="L686" i="2"/>
  <c r="N435" i="10" s="1"/>
  <c r="L894" i="2"/>
  <c r="N555" i="10" s="1"/>
  <c r="K894" i="2"/>
  <c r="M555" i="10" s="1"/>
  <c r="J894" i="2"/>
  <c r="L555" i="10" s="1"/>
  <c r="H967" i="2"/>
  <c r="H926" i="2"/>
  <c r="R344" i="2"/>
  <c r="I344" i="2" s="1"/>
  <c r="G328" i="2"/>
  <c r="G360" i="2"/>
  <c r="R360" i="2" s="1"/>
  <c r="I360" i="2" s="1"/>
  <c r="F857" i="2"/>
  <c r="F898" i="2"/>
  <c r="I627" i="2"/>
  <c r="K594" i="2"/>
  <c r="K754" i="2"/>
  <c r="M474" i="10" s="1"/>
  <c r="L754" i="2"/>
  <c r="N474" i="10" s="1"/>
  <c r="J754" i="2"/>
  <c r="L474" i="10" s="1"/>
  <c r="F718" i="2"/>
  <c r="F759" i="2"/>
  <c r="J753" i="2"/>
  <c r="L473" i="10" s="1"/>
  <c r="K753" i="2"/>
  <c r="M473" i="10" s="1"/>
  <c r="L753" i="2"/>
  <c r="N473" i="10" s="1"/>
  <c r="L439" i="10"/>
  <c r="L691" i="2"/>
  <c r="N439" i="10" s="1"/>
  <c r="K691" i="2"/>
  <c r="M439" i="10" s="1"/>
  <c r="I605" i="2"/>
  <c r="K572" i="2"/>
  <c r="I564" i="2"/>
  <c r="J756" i="2"/>
  <c r="L476" i="10" s="1"/>
  <c r="K756" i="2"/>
  <c r="M476" i="10" s="1"/>
  <c r="L756" i="2"/>
  <c r="N476" i="10" s="1"/>
  <c r="L825" i="2"/>
  <c r="N515" i="10" s="1"/>
  <c r="K825" i="2"/>
  <c r="M515" i="10" s="1"/>
  <c r="I759" i="2"/>
  <c r="I718" i="2"/>
  <c r="K726" i="2"/>
  <c r="L763" i="2"/>
  <c r="N482" i="10" s="1"/>
  <c r="K763" i="2"/>
  <c r="M482" i="10" s="1"/>
  <c r="J763" i="2"/>
  <c r="L482" i="10" s="1"/>
  <c r="R337" i="2"/>
  <c r="I337" i="2" s="1"/>
  <c r="G321" i="2"/>
  <c r="I321" i="2" s="1"/>
  <c r="L1066" i="10" s="1"/>
  <c r="M1066" i="10" s="1"/>
  <c r="G353" i="2"/>
  <c r="R353" i="2" s="1"/>
  <c r="L617" i="2"/>
  <c r="K600" i="2"/>
  <c r="K810" i="2"/>
  <c r="L827" i="2"/>
  <c r="N517" i="10" s="1"/>
  <c r="G759" i="2"/>
  <c r="G718" i="2"/>
  <c r="J1000" i="2"/>
  <c r="L1000" i="2"/>
  <c r="K1000" i="2"/>
  <c r="K618" i="2"/>
  <c r="J618" i="2"/>
  <c r="L618" i="2"/>
  <c r="K779" i="2"/>
  <c r="I812" i="2"/>
  <c r="I771" i="2"/>
  <c r="R338" i="2"/>
  <c r="I338" i="2" s="1"/>
  <c r="G322" i="2"/>
  <c r="G354" i="2"/>
  <c r="R354" i="2" s="1"/>
  <c r="I354" i="2" s="1"/>
  <c r="E245" i="2"/>
  <c r="E220" i="2"/>
  <c r="R343" i="2"/>
  <c r="I343" i="2" s="1"/>
  <c r="G327" i="2"/>
  <c r="G359" i="2"/>
  <c r="R359" i="2" s="1"/>
  <c r="I359" i="2" s="1"/>
  <c r="G857" i="2"/>
  <c r="K865" i="2"/>
  <c r="G898" i="2"/>
  <c r="G742" i="2"/>
  <c r="G701" i="2"/>
  <c r="G673" i="2"/>
  <c r="G632" i="2"/>
  <c r="H622" i="2"/>
  <c r="H581" i="2"/>
  <c r="K971" i="2"/>
  <c r="M402" i="10" s="1"/>
  <c r="L971" i="2"/>
  <c r="N402" i="10" s="1"/>
  <c r="J971" i="2"/>
  <c r="L402" i="10" s="1"/>
  <c r="K619" i="2"/>
  <c r="L619" i="2"/>
  <c r="J619" i="2"/>
  <c r="F245" i="2"/>
  <c r="F220" i="2"/>
  <c r="F237" i="2" s="1"/>
  <c r="L963" i="2"/>
  <c r="N395" i="10" s="1"/>
  <c r="K963" i="2"/>
  <c r="M395" i="10" s="1"/>
  <c r="J963" i="2"/>
  <c r="L395" i="10" s="1"/>
  <c r="K598" i="2"/>
  <c r="L615" i="2"/>
  <c r="L999" i="2"/>
  <c r="K999" i="2"/>
  <c r="J999" i="2"/>
  <c r="H228" i="2"/>
  <c r="G220" i="2"/>
  <c r="B27" i="29" s="1"/>
  <c r="G245" i="2"/>
  <c r="R334" i="2"/>
  <c r="G318" i="2"/>
  <c r="G341" i="2"/>
  <c r="G350" i="2"/>
  <c r="R350" i="2" s="1"/>
  <c r="I350" i="2" s="1"/>
  <c r="H898" i="2"/>
  <c r="H857" i="2"/>
  <c r="K823" i="2"/>
  <c r="M513" i="10" s="1"/>
  <c r="L823" i="2"/>
  <c r="N513" i="10" s="1"/>
  <c r="J823" i="2"/>
  <c r="L513" i="10" s="1"/>
  <c r="I701" i="2"/>
  <c r="I742" i="2"/>
  <c r="K709" i="2"/>
  <c r="H834" i="2"/>
  <c r="E185" i="2"/>
  <c r="F695" i="2"/>
  <c r="F649" i="2"/>
  <c r="K640" i="2"/>
  <c r="I673" i="2"/>
  <c r="I632" i="2"/>
  <c r="G581" i="2"/>
  <c r="G622" i="2"/>
  <c r="K589" i="2"/>
  <c r="K1007" i="2"/>
  <c r="J1007" i="2"/>
  <c r="L1007" i="2"/>
  <c r="F5" i="2"/>
  <c r="K13" i="2"/>
  <c r="K755" i="2"/>
  <c r="M475" i="10" s="1"/>
  <c r="L755" i="2"/>
  <c r="N475" i="10" s="1"/>
  <c r="J755" i="2"/>
  <c r="L475" i="10" s="1"/>
  <c r="R342" i="2"/>
  <c r="G326" i="2"/>
  <c r="I326" i="2" s="1"/>
  <c r="L1070" i="10" s="1"/>
  <c r="M1070" i="10" s="1"/>
  <c r="G346" i="2"/>
  <c r="G358" i="2"/>
  <c r="R358" i="2" s="1"/>
  <c r="L692" i="2"/>
  <c r="N440" i="10" s="1"/>
  <c r="K692" i="2"/>
  <c r="M440" i="10" s="1"/>
  <c r="L440" i="10"/>
  <c r="H241" i="2"/>
  <c r="H903" i="2"/>
  <c r="E355" i="2"/>
  <c r="E323" i="2"/>
  <c r="J616" i="2"/>
  <c r="K616" i="2"/>
  <c r="L616" i="2"/>
  <c r="F788" i="2"/>
  <c r="F834" i="2"/>
  <c r="L833" i="2"/>
  <c r="N522" i="10" s="1"/>
  <c r="K833" i="2"/>
  <c r="M522" i="10" s="1"/>
  <c r="R65" i="2"/>
  <c r="I65" i="2" s="1"/>
  <c r="K662" i="2"/>
  <c r="I695" i="2"/>
  <c r="I649" i="2"/>
  <c r="H972" i="2"/>
  <c r="H718" i="2"/>
  <c r="I840" i="2"/>
  <c r="K848" i="2"/>
  <c r="I881" i="2"/>
  <c r="J902" i="2"/>
  <c r="L562" i="10" s="1"/>
  <c r="L902" i="2"/>
  <c r="N562" i="10" s="1"/>
  <c r="K902" i="2"/>
  <c r="M562" i="10" s="1"/>
  <c r="L964" i="2"/>
  <c r="N396" i="10" s="1"/>
  <c r="K964" i="2"/>
  <c r="M396" i="10" s="1"/>
  <c r="J964" i="2"/>
  <c r="L396" i="10" s="1"/>
  <c r="F972" i="2"/>
  <c r="F926" i="2"/>
  <c r="R336" i="2"/>
  <c r="I336" i="2" s="1"/>
  <c r="G320" i="2"/>
  <c r="G352" i="2"/>
  <c r="R352" i="2" s="1"/>
  <c r="I352" i="2" s="1"/>
  <c r="L830" i="2"/>
  <c r="N519" i="10" s="1"/>
  <c r="K830" i="2"/>
  <c r="M519" i="10" s="1"/>
  <c r="G881" i="2"/>
  <c r="G829" i="2"/>
  <c r="F829" i="2"/>
  <c r="G950" i="2"/>
  <c r="F967" i="2"/>
  <c r="F690" i="2"/>
  <c r="K687" i="2"/>
  <c r="M436" i="10" s="1"/>
  <c r="L687" i="2"/>
  <c r="N436" i="10" s="1"/>
  <c r="L436" i="10"/>
  <c r="I903" i="2"/>
  <c r="L694" i="2"/>
  <c r="N442" i="10" s="1"/>
  <c r="K694" i="2"/>
  <c r="M442" i="10" s="1"/>
  <c r="L442" i="10"/>
  <c r="G972" i="2"/>
  <c r="K939" i="2"/>
  <c r="K624" i="2"/>
  <c r="J624" i="2"/>
  <c r="L624" i="2"/>
  <c r="K997" i="2"/>
  <c r="L997" i="2"/>
  <c r="J997" i="2"/>
  <c r="J892" i="2"/>
  <c r="L553" i="10" s="1"/>
  <c r="L892" i="2"/>
  <c r="N553" i="10" s="1"/>
  <c r="K892" i="2"/>
  <c r="M553" i="10" s="1"/>
  <c r="I972" i="2"/>
  <c r="H248" i="2"/>
  <c r="G564" i="2"/>
  <c r="G605" i="2"/>
  <c r="K809" i="2"/>
  <c r="K826" i="2"/>
  <c r="L826" i="2"/>
  <c r="I53" i="2"/>
  <c r="R60" i="2"/>
  <c r="G886" i="2"/>
  <c r="K853" i="2"/>
  <c r="G840" i="2"/>
  <c r="K991" i="2"/>
  <c r="I1008" i="2"/>
  <c r="H1008" i="2"/>
  <c r="G834" i="2"/>
  <c r="G788" i="2"/>
  <c r="G812" i="2"/>
  <c r="G771" i="2"/>
  <c r="L626" i="2"/>
  <c r="J626" i="2"/>
  <c r="K626" i="2"/>
  <c r="R345" i="2"/>
  <c r="I345" i="2" s="1"/>
  <c r="G329" i="2"/>
  <c r="I329" i="2" s="1"/>
  <c r="L1073" i="10" s="1"/>
  <c r="M1073" i="10" s="1"/>
  <c r="G361" i="2"/>
  <c r="R361" i="2" s="1"/>
  <c r="R340" i="2"/>
  <c r="I340" i="2" s="1"/>
  <c r="G324" i="2"/>
  <c r="G356" i="2"/>
  <c r="R356" i="2" s="1"/>
  <c r="I356" i="2" s="1"/>
  <c r="I817" i="2"/>
  <c r="I834" i="2"/>
  <c r="K801" i="2"/>
  <c r="I788" i="2"/>
  <c r="K670" i="2"/>
  <c r="I978" i="2"/>
  <c r="K986" i="2"/>
  <c r="I1003" i="2"/>
  <c r="R339" i="2"/>
  <c r="I339" i="2" s="1"/>
  <c r="G323" i="2"/>
  <c r="G355" i="2"/>
  <c r="R355" i="2" s="1"/>
  <c r="L433" i="10"/>
  <c r="L684" i="2"/>
  <c r="N433" i="10" s="1"/>
  <c r="K684" i="2"/>
  <c r="M433" i="10" s="1"/>
  <c r="K811" i="2"/>
  <c r="L828" i="2"/>
  <c r="I764" i="2"/>
  <c r="K672" i="2"/>
  <c r="L689" i="2"/>
  <c r="N438" i="10" s="1"/>
  <c r="H649" i="2"/>
  <c r="F622" i="2"/>
  <c r="F581" i="2"/>
  <c r="K947" i="2"/>
  <c r="L895" i="2"/>
  <c r="N556" i="10" s="1"/>
  <c r="J895" i="2"/>
  <c r="L556" i="10" s="1"/>
  <c r="K895" i="2"/>
  <c r="M556" i="10" s="1"/>
  <c r="G926" i="2"/>
  <c r="F158" i="2"/>
  <c r="F85" i="2"/>
  <c r="H93" i="2"/>
  <c r="F140" i="2"/>
  <c r="H211" i="2" l="1"/>
  <c r="J690" i="2"/>
  <c r="L444" i="10" s="1"/>
  <c r="G183" i="2"/>
  <c r="B4" i="29"/>
  <c r="E237" i="2"/>
  <c r="B26" i="29"/>
  <c r="J695" i="2"/>
  <c r="L445" i="10" s="1"/>
  <c r="H995" i="2"/>
  <c r="J834" i="2"/>
  <c r="L525" i="10" s="1"/>
  <c r="H682" i="2"/>
  <c r="H751" i="2"/>
  <c r="J829" i="2"/>
  <c r="L524" i="10" s="1"/>
  <c r="S5" i="2"/>
  <c r="H614" i="2"/>
  <c r="P46" i="2"/>
  <c r="H185" i="2"/>
  <c r="P185" i="2"/>
  <c r="Q46" i="2"/>
  <c r="H60" i="2"/>
  <c r="S52" i="2"/>
  <c r="I614" i="2"/>
  <c r="I956" i="10"/>
  <c r="I996" i="10" s="1"/>
  <c r="I324" i="2"/>
  <c r="L1069" i="10" s="1"/>
  <c r="M1069" i="10" s="1"/>
  <c r="H285" i="2"/>
  <c r="J291" i="2" s="1"/>
  <c r="H145" i="2"/>
  <c r="E330" i="2"/>
  <c r="H140" i="2"/>
  <c r="H163" i="2"/>
  <c r="G150" i="2"/>
  <c r="G203" i="2"/>
  <c r="B15" i="29" s="1"/>
  <c r="G942" i="2"/>
  <c r="K909" i="2"/>
  <c r="K747" i="2"/>
  <c r="K857" i="2"/>
  <c r="I959" i="2"/>
  <c r="E333" i="2"/>
  <c r="I361" i="2"/>
  <c r="E203" i="2"/>
  <c r="I318" i="2"/>
  <c r="L1063" i="10" s="1"/>
  <c r="M1063" i="10" s="1"/>
  <c r="I322" i="2"/>
  <c r="L1067" i="10" s="1"/>
  <c r="M1067" i="10" s="1"/>
  <c r="R20" i="2"/>
  <c r="I20" i="2" s="1"/>
  <c r="R5" i="2"/>
  <c r="L5" i="2" s="1"/>
  <c r="I358" i="2"/>
  <c r="K5" i="2"/>
  <c r="I353" i="2"/>
  <c r="K817" i="2"/>
  <c r="I890" i="2"/>
  <c r="H85" i="2"/>
  <c r="J93" i="2" s="1"/>
  <c r="H158" i="2"/>
  <c r="GG33" i="5"/>
  <c r="S20" i="2"/>
  <c r="H20" i="2" s="1"/>
  <c r="D61" i="29" s="1"/>
  <c r="L13" i="2"/>
  <c r="D76" i="29" s="1"/>
  <c r="I323" i="2"/>
  <c r="L1068" i="10" s="1"/>
  <c r="M1068" i="10" s="1"/>
  <c r="I328" i="2"/>
  <c r="L1072" i="10" s="1"/>
  <c r="M1072" i="10" s="1"/>
  <c r="E325" i="2"/>
  <c r="K950" i="2"/>
  <c r="K610" i="2"/>
  <c r="K742" i="2"/>
  <c r="K678" i="2"/>
  <c r="H890" i="2"/>
  <c r="H821" i="2"/>
  <c r="K673" i="2"/>
  <c r="K955" i="2"/>
  <c r="K812" i="2"/>
  <c r="G804" i="2"/>
  <c r="G890" i="2"/>
  <c r="G821" i="2"/>
  <c r="F682" i="2"/>
  <c r="K881" i="2"/>
  <c r="G597" i="2"/>
  <c r="I320" i="2"/>
  <c r="L1065" i="10" s="1"/>
  <c r="M1065" i="10" s="1"/>
  <c r="I327" i="2"/>
  <c r="L1071" i="10" s="1"/>
  <c r="M1071" i="10" s="1"/>
  <c r="H5" i="2"/>
  <c r="I28" i="2"/>
  <c r="K978" i="2"/>
  <c r="I995" i="2"/>
  <c r="F821" i="2"/>
  <c r="F751" i="2"/>
  <c r="H959" i="2"/>
  <c r="K690" i="2"/>
  <c r="M444" i="10" s="1"/>
  <c r="L690" i="2"/>
  <c r="N444" i="10" s="1"/>
  <c r="K1008" i="2"/>
  <c r="J1008" i="2"/>
  <c r="L1008" i="2"/>
  <c r="K649" i="2"/>
  <c r="I682" i="2"/>
  <c r="G362" i="2"/>
  <c r="G330" i="2"/>
  <c r="R341" i="2"/>
  <c r="I334" i="2"/>
  <c r="K898" i="2"/>
  <c r="M564" i="10" s="1"/>
  <c r="J898" i="2"/>
  <c r="L564" i="10" s="1"/>
  <c r="L898" i="2"/>
  <c r="N564" i="10" s="1"/>
  <c r="G325" i="2"/>
  <c r="G333" i="2"/>
  <c r="G314" i="2" s="1"/>
  <c r="G357" i="2"/>
  <c r="G665" i="2"/>
  <c r="K564" i="2"/>
  <c r="I597" i="2"/>
  <c r="F132" i="2"/>
  <c r="H132" i="2" s="1"/>
  <c r="F150" i="2"/>
  <c r="K1003" i="2"/>
  <c r="J1003" i="2"/>
  <c r="L1003" i="2"/>
  <c r="K840" i="2"/>
  <c r="I873" i="2"/>
  <c r="G959" i="2"/>
  <c r="K926" i="2"/>
  <c r="I60" i="2"/>
  <c r="R52" i="2"/>
  <c r="I52" i="2" s="1"/>
  <c r="F959" i="2"/>
  <c r="L972" i="2"/>
  <c r="N405" i="10" s="1"/>
  <c r="K972" i="2"/>
  <c r="M405" i="10" s="1"/>
  <c r="J972" i="2"/>
  <c r="L405" i="10" s="1"/>
  <c r="F614" i="2"/>
  <c r="I942" i="2"/>
  <c r="G873" i="2"/>
  <c r="I734" i="2"/>
  <c r="K701" i="2"/>
  <c r="H245" i="2"/>
  <c r="L764" i="2"/>
  <c r="N485" i="10" s="1"/>
  <c r="K764" i="2"/>
  <c r="M485" i="10" s="1"/>
  <c r="J764" i="2"/>
  <c r="L485" i="10" s="1"/>
  <c r="G734" i="2"/>
  <c r="G751" i="2"/>
  <c r="K605" i="2"/>
  <c r="K829" i="2"/>
  <c r="M524" i="10" s="1"/>
  <c r="L829" i="2"/>
  <c r="N524" i="10" s="1"/>
  <c r="L695" i="2"/>
  <c r="N445" i="10" s="1"/>
  <c r="K695" i="2"/>
  <c r="M445" i="10" s="1"/>
  <c r="K788" i="2"/>
  <c r="I821" i="2"/>
  <c r="R346" i="2"/>
  <c r="I342" i="2"/>
  <c r="H220" i="2"/>
  <c r="B28" i="29" s="1"/>
  <c r="G237" i="2"/>
  <c r="H237" i="2" s="1"/>
  <c r="I355" i="2"/>
  <c r="L903" i="2"/>
  <c r="N565" i="10" s="1"/>
  <c r="J903" i="2"/>
  <c r="L565" i="10" s="1"/>
  <c r="K903" i="2"/>
  <c r="M565" i="10" s="1"/>
  <c r="G682" i="2"/>
  <c r="G614" i="2"/>
  <c r="L627" i="2"/>
  <c r="K627" i="2"/>
  <c r="J627" i="2"/>
  <c r="K581" i="2"/>
  <c r="K886" i="2"/>
  <c r="K834" i="2"/>
  <c r="M525" i="10" s="1"/>
  <c r="L834" i="2"/>
  <c r="N525" i="10" s="1"/>
  <c r="K632" i="2"/>
  <c r="I665" i="2"/>
  <c r="K718" i="2"/>
  <c r="I751" i="2"/>
  <c r="I804" i="2"/>
  <c r="K771" i="2"/>
  <c r="L759" i="2"/>
  <c r="N484" i="10" s="1"/>
  <c r="K759" i="2"/>
  <c r="M484" i="10" s="1"/>
  <c r="J759" i="2"/>
  <c r="L484" i="10" s="1"/>
  <c r="F890" i="2"/>
  <c r="L622" i="2"/>
  <c r="K622" i="2"/>
  <c r="J622" i="2"/>
  <c r="J967" i="2"/>
  <c r="L404" i="10" s="1"/>
  <c r="L967" i="2"/>
  <c r="N404" i="10" s="1"/>
  <c r="K967" i="2"/>
  <c r="M404" i="10" s="1"/>
  <c r="H52" i="2" l="1"/>
  <c r="J187" i="2"/>
  <c r="B5" i="29"/>
  <c r="M7" i="2"/>
  <c r="M5" i="2"/>
  <c r="D78" i="29"/>
  <c r="J193" i="2"/>
  <c r="J190" i="2"/>
  <c r="J189" i="2"/>
  <c r="J191" i="2"/>
  <c r="J195" i="2"/>
  <c r="J196" i="2"/>
  <c r="J192" i="2"/>
  <c r="J198" i="2"/>
  <c r="J188" i="2"/>
  <c r="J194" i="2"/>
  <c r="J821" i="2"/>
  <c r="L526" i="10" s="1"/>
  <c r="L682" i="2"/>
  <c r="N446" i="10" s="1"/>
  <c r="J682" i="2"/>
  <c r="L446" i="10" s="1"/>
  <c r="J287" i="2"/>
  <c r="J197" i="2"/>
  <c r="J297" i="2"/>
  <c r="J293" i="2"/>
  <c r="J186" i="2"/>
  <c r="J30" i="2"/>
  <c r="J21" i="2"/>
  <c r="E307" i="2"/>
  <c r="E349" i="2"/>
  <c r="H203" i="2"/>
  <c r="J206" i="2" s="1"/>
  <c r="N203" i="2"/>
  <c r="E311" i="2"/>
  <c r="K30" i="2"/>
  <c r="K29" i="2"/>
  <c r="I330" i="2"/>
  <c r="J57" i="2"/>
  <c r="J63" i="2"/>
  <c r="J58" i="2"/>
  <c r="J64" i="2"/>
  <c r="J54" i="2"/>
  <c r="J61" i="2"/>
  <c r="J25" i="2"/>
  <c r="J295" i="2"/>
  <c r="J290" i="2"/>
  <c r="J292" i="2"/>
  <c r="J294" i="2"/>
  <c r="I1036" i="10"/>
  <c r="I1076" i="10" s="1"/>
  <c r="I1116" i="10" s="1"/>
  <c r="J211" i="2"/>
  <c r="J31" i="2"/>
  <c r="J288" i="2"/>
  <c r="J296" i="2"/>
  <c r="J289" i="2"/>
  <c r="J29" i="2"/>
  <c r="J298" i="2"/>
  <c r="J286" i="2"/>
  <c r="K942" i="2"/>
  <c r="J959" i="2"/>
  <c r="M406" i="10" s="1"/>
  <c r="J62" i="2"/>
  <c r="J55" i="2"/>
  <c r="J59" i="2"/>
  <c r="J28" i="2"/>
  <c r="J27" i="2"/>
  <c r="K28" i="2"/>
  <c r="J23" i="2"/>
  <c r="K22" i="2"/>
  <c r="K24" i="2"/>
  <c r="J65" i="2"/>
  <c r="J56" i="2"/>
  <c r="H150" i="2"/>
  <c r="J161" i="2" s="1"/>
  <c r="M14" i="2"/>
  <c r="M12" i="2"/>
  <c r="M10" i="2"/>
  <c r="M8" i="2"/>
  <c r="M18" i="2"/>
  <c r="M15" i="2"/>
  <c r="M9" i="2"/>
  <c r="M17" i="2"/>
  <c r="M11" i="2"/>
  <c r="M16" i="2"/>
  <c r="M6" i="2"/>
  <c r="J24" i="2"/>
  <c r="J32" i="2"/>
  <c r="K959" i="2"/>
  <c r="E317" i="2"/>
  <c r="E308" i="2"/>
  <c r="E305" i="2"/>
  <c r="E314" i="2"/>
  <c r="I314" i="2" s="1"/>
  <c r="E309" i="2"/>
  <c r="E301" i="2" s="1"/>
  <c r="E306" i="2"/>
  <c r="E312" i="2"/>
  <c r="E313" i="2"/>
  <c r="E304" i="2"/>
  <c r="E310" i="2"/>
  <c r="E302" i="2"/>
  <c r="K27" i="2"/>
  <c r="M13" i="2"/>
  <c r="K23" i="2"/>
  <c r="K25" i="2"/>
  <c r="K21" i="2"/>
  <c r="G309" i="2"/>
  <c r="G301" i="2" s="1"/>
  <c r="K32" i="2"/>
  <c r="K26" i="2"/>
  <c r="K31" i="2"/>
  <c r="J15" i="2"/>
  <c r="K33" i="2"/>
  <c r="J26" i="2"/>
  <c r="I325" i="2"/>
  <c r="J890" i="2"/>
  <c r="L566" i="10" s="1"/>
  <c r="K890" i="2"/>
  <c r="M566" i="10" s="1"/>
  <c r="L890" i="2"/>
  <c r="N566" i="10" s="1"/>
  <c r="J11" i="2"/>
  <c r="J13" i="2"/>
  <c r="J12" i="2"/>
  <c r="J14" i="2"/>
  <c r="J33" i="2"/>
  <c r="J22" i="2"/>
  <c r="J94" i="2"/>
  <c r="J87" i="2"/>
  <c r="J96" i="2"/>
  <c r="J98" i="2"/>
  <c r="J86" i="2"/>
  <c r="J97" i="2"/>
  <c r="J95" i="2"/>
  <c r="J91" i="2"/>
  <c r="J92" i="2"/>
  <c r="J88" i="2"/>
  <c r="J89" i="2"/>
  <c r="J90" i="2"/>
  <c r="J614" i="2"/>
  <c r="K597" i="2"/>
  <c r="K804" i="2"/>
  <c r="K614" i="2"/>
  <c r="K665" i="2"/>
  <c r="L959" i="2"/>
  <c r="J8" i="2"/>
  <c r="J17" i="2"/>
  <c r="J18" i="2"/>
  <c r="J9" i="2"/>
  <c r="J7" i="2"/>
  <c r="J6" i="2"/>
  <c r="J10" i="2"/>
  <c r="J5" i="2"/>
  <c r="J16" i="2"/>
  <c r="J144" i="2"/>
  <c r="J143" i="2"/>
  <c r="J140" i="2"/>
  <c r="J133" i="2"/>
  <c r="J145" i="2"/>
  <c r="J142" i="2"/>
  <c r="J136" i="2"/>
  <c r="J138" i="2"/>
  <c r="J139" i="2"/>
  <c r="J134" i="2"/>
  <c r="J141" i="2"/>
  <c r="J137" i="2"/>
  <c r="J135" i="2"/>
  <c r="L614" i="2"/>
  <c r="J246" i="2"/>
  <c r="J247" i="2"/>
  <c r="J242" i="2"/>
  <c r="J238" i="2"/>
  <c r="J249" i="2"/>
  <c r="J245" i="2"/>
  <c r="J241" i="2"/>
  <c r="J248" i="2"/>
  <c r="J239" i="2"/>
  <c r="J240" i="2"/>
  <c r="J243" i="2"/>
  <c r="J244" i="2"/>
  <c r="J250" i="2"/>
  <c r="K734" i="2"/>
  <c r="K682" i="2"/>
  <c r="M446" i="10" s="1"/>
  <c r="K57" i="2"/>
  <c r="K64" i="2"/>
  <c r="K60" i="2"/>
  <c r="K63" i="2"/>
  <c r="K56" i="2"/>
  <c r="K55" i="2"/>
  <c r="K61" i="2"/>
  <c r="K54" i="2"/>
  <c r="K62" i="2"/>
  <c r="K59" i="2"/>
  <c r="K65" i="2"/>
  <c r="K53" i="2"/>
  <c r="K58" i="2"/>
  <c r="J228" i="2"/>
  <c r="J232" i="2"/>
  <c r="J231" i="2"/>
  <c r="J225" i="2"/>
  <c r="J229" i="2"/>
  <c r="J223" i="2"/>
  <c r="J222" i="2"/>
  <c r="J233" i="2"/>
  <c r="J221" i="2"/>
  <c r="J224" i="2"/>
  <c r="J230" i="2"/>
  <c r="J227" i="2"/>
  <c r="J226" i="2"/>
  <c r="R333" i="2"/>
  <c r="R357" i="2"/>
  <c r="I357" i="2" s="1"/>
  <c r="I341" i="2"/>
  <c r="L821" i="2"/>
  <c r="N526" i="10" s="1"/>
  <c r="K821" i="2"/>
  <c r="M526" i="10" s="1"/>
  <c r="G317" i="2"/>
  <c r="G349" i="2"/>
  <c r="G312" i="2"/>
  <c r="G304" i="2"/>
  <c r="G307" i="2"/>
  <c r="G306" i="2"/>
  <c r="G302" i="2"/>
  <c r="G310" i="2"/>
  <c r="G305" i="2"/>
  <c r="G311" i="2"/>
  <c r="G308" i="2"/>
  <c r="G313" i="2"/>
  <c r="L995" i="2"/>
  <c r="J995" i="2"/>
  <c r="K995" i="2"/>
  <c r="R362" i="2"/>
  <c r="I362" i="2" s="1"/>
  <c r="I346" i="2"/>
  <c r="L751" i="2"/>
  <c r="N486" i="10" s="1"/>
  <c r="K751" i="2"/>
  <c r="M486" i="10" s="1"/>
  <c r="J751" i="2"/>
  <c r="L486" i="10" s="1"/>
  <c r="K873" i="2"/>
  <c r="B53" i="29" l="1"/>
  <c r="J53" i="2"/>
  <c r="J60" i="2"/>
  <c r="J204" i="2"/>
  <c r="B16" i="29"/>
  <c r="I308" i="2"/>
  <c r="L1052" i="10" s="1"/>
  <c r="M1052" i="10" s="1"/>
  <c r="J209" i="2"/>
  <c r="J212" i="2"/>
  <c r="J208" i="2"/>
  <c r="J207" i="2"/>
  <c r="I311" i="2"/>
  <c r="L1054" i="10" s="1"/>
  <c r="M1054" i="10" s="1"/>
  <c r="J214" i="2"/>
  <c r="J215" i="2"/>
  <c r="J213" i="2"/>
  <c r="J216" i="2"/>
  <c r="J210" i="2"/>
  <c r="J205" i="2"/>
  <c r="I307" i="2"/>
  <c r="L1051" i="10" s="1"/>
  <c r="M1051" i="10" s="1"/>
  <c r="L406" i="10"/>
  <c r="I305" i="2"/>
  <c r="L1049" i="10" s="1"/>
  <c r="M1049" i="10" s="1"/>
  <c r="I309" i="2"/>
  <c r="I313" i="2"/>
  <c r="L1056" i="10" s="1"/>
  <c r="M1056" i="10" s="1"/>
  <c r="N406" i="10"/>
  <c r="J155" i="2"/>
  <c r="J157" i="2"/>
  <c r="J162" i="2"/>
  <c r="J163" i="2"/>
  <c r="J153" i="2"/>
  <c r="J152" i="2"/>
  <c r="J154" i="2"/>
  <c r="J156" i="2"/>
  <c r="J160" i="2"/>
  <c r="J158" i="2"/>
  <c r="J159" i="2"/>
  <c r="J151" i="2"/>
  <c r="I306" i="2"/>
  <c r="L1050" i="10" s="1"/>
  <c r="M1050" i="10" s="1"/>
  <c r="I310" i="2"/>
  <c r="L1053" i="10" s="1"/>
  <c r="M1053" i="10" s="1"/>
  <c r="I302" i="2"/>
  <c r="L1046" i="10" s="1"/>
  <c r="M1046" i="10" s="1"/>
  <c r="I304" i="2"/>
  <c r="L1048" i="10" s="1"/>
  <c r="M1048" i="10" s="1"/>
  <c r="I312" i="2"/>
  <c r="L1055" i="10" s="1"/>
  <c r="M1055" i="10" s="1"/>
  <c r="I301" i="2"/>
  <c r="J321" i="2"/>
  <c r="J318" i="2"/>
  <c r="J326" i="2"/>
  <c r="J328" i="2"/>
  <c r="J325" i="2"/>
  <c r="I317" i="2"/>
  <c r="J322" i="2"/>
  <c r="J323" i="2"/>
  <c r="J319" i="2"/>
  <c r="J324" i="2"/>
  <c r="J330" i="2"/>
  <c r="J327" i="2"/>
  <c r="J329" i="2"/>
  <c r="J320" i="2"/>
  <c r="R349" i="2"/>
  <c r="I349" i="2" s="1"/>
  <c r="I333" i="2"/>
  <c r="J350" i="2" l="1"/>
  <c r="J352" i="2"/>
  <c r="J361" i="2"/>
  <c r="J355" i="2"/>
  <c r="J351" i="2"/>
  <c r="J357" i="2"/>
  <c r="J359" i="2"/>
  <c r="J362" i="2"/>
  <c r="J353" i="2"/>
  <c r="J358" i="2"/>
  <c r="J360" i="2"/>
  <c r="J354" i="2"/>
  <c r="J356" i="2"/>
  <c r="J346" i="2"/>
  <c r="J335" i="2"/>
  <c r="J344" i="2"/>
  <c r="J340" i="2"/>
  <c r="J337" i="2"/>
  <c r="J339" i="2"/>
  <c r="J336" i="2"/>
  <c r="J341" i="2"/>
  <c r="J342" i="2"/>
  <c r="J345" i="2"/>
  <c r="J343" i="2"/>
  <c r="J334" i="2"/>
  <c r="J33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NGOUANDI Franck</author>
  </authors>
  <commentList>
    <comment ref="E309" authorId="0" shapeId="0" xr:uid="{00000000-0006-0000-0400-000001000000}">
      <text>
        <r>
          <rPr>
            <b/>
            <sz val="9"/>
            <color indexed="81"/>
            <rFont val="Tahoma"/>
            <family val="2"/>
          </rPr>
          <t>NGOUANDI Franck:</t>
        </r>
        <r>
          <rPr>
            <sz val="9"/>
            <color indexed="81"/>
            <rFont val="Tahoma"/>
            <family val="2"/>
          </rPr>
          <t xml:space="preserve">
Hors GHANA</t>
        </r>
      </text>
    </comment>
    <comment ref="G309" authorId="0" shapeId="0" xr:uid="{00000000-0006-0000-0400-000002000000}">
      <text>
        <r>
          <rPr>
            <b/>
            <sz val="9"/>
            <color indexed="81"/>
            <rFont val="Tahoma"/>
            <family val="2"/>
          </rPr>
          <t>NGOUANDI Franck:</t>
        </r>
        <r>
          <rPr>
            <sz val="9"/>
            <color indexed="81"/>
            <rFont val="Tahoma"/>
            <family val="2"/>
          </rPr>
          <t xml:space="preserve">
Hors GHANA</t>
        </r>
      </text>
    </comment>
    <comment ref="E341" authorId="0" shapeId="0" xr:uid="{00000000-0006-0000-0400-000003000000}">
      <text>
        <r>
          <rPr>
            <b/>
            <sz val="9"/>
            <color indexed="81"/>
            <rFont val="Tahoma"/>
            <family val="2"/>
          </rPr>
          <t>NGOUANDI Franck:</t>
        </r>
        <r>
          <rPr>
            <sz val="9"/>
            <color indexed="81"/>
            <rFont val="Tahoma"/>
            <family val="2"/>
          </rPr>
          <t xml:space="preserve">
Hors GHANA</t>
        </r>
      </text>
    </comment>
    <comment ref="G341" authorId="0" shapeId="0" xr:uid="{00000000-0006-0000-0400-000004000000}">
      <text>
        <r>
          <rPr>
            <b/>
            <sz val="9"/>
            <color indexed="81"/>
            <rFont val="Tahoma"/>
            <family val="2"/>
          </rPr>
          <t>NGOUANDI Franck:</t>
        </r>
        <r>
          <rPr>
            <sz val="9"/>
            <color indexed="81"/>
            <rFont val="Tahoma"/>
            <family val="2"/>
          </rPr>
          <t xml:space="preserve">
Hors GHANA</t>
        </r>
      </text>
    </comment>
    <comment ref="E357" authorId="0" shapeId="0" xr:uid="{00000000-0006-0000-0400-000005000000}">
      <text>
        <r>
          <rPr>
            <b/>
            <sz val="9"/>
            <color indexed="81"/>
            <rFont val="Tahoma"/>
            <family val="2"/>
          </rPr>
          <t>NGOUANDI Franck:</t>
        </r>
        <r>
          <rPr>
            <sz val="9"/>
            <color indexed="81"/>
            <rFont val="Tahoma"/>
            <family val="2"/>
          </rPr>
          <t xml:space="preserve">
Hors GHANA</t>
        </r>
      </text>
    </comment>
    <comment ref="G357" authorId="0" shapeId="0" xr:uid="{00000000-0006-0000-0400-000006000000}">
      <text>
        <r>
          <rPr>
            <b/>
            <sz val="9"/>
            <color indexed="81"/>
            <rFont val="Tahoma"/>
            <family val="2"/>
          </rPr>
          <t>NGOUANDI Franck:</t>
        </r>
        <r>
          <rPr>
            <sz val="9"/>
            <color indexed="81"/>
            <rFont val="Tahoma"/>
            <family val="2"/>
          </rPr>
          <t xml:space="preserve">
Hors GHANA</t>
        </r>
      </text>
    </comment>
    <comment ref="R357" authorId="0" shapeId="0" xr:uid="{00000000-0006-0000-0400-000007000000}">
      <text>
        <r>
          <rPr>
            <b/>
            <sz val="9"/>
            <color indexed="81"/>
            <rFont val="Tahoma"/>
            <family val="2"/>
          </rPr>
          <t>NGOUANDI Franck:</t>
        </r>
        <r>
          <rPr>
            <sz val="9"/>
            <color indexed="81"/>
            <rFont val="Tahoma"/>
            <family val="2"/>
          </rPr>
          <t xml:space="preserve">
Hors GHANA</t>
        </r>
      </text>
    </comment>
    <comment ref="E362" authorId="0" shapeId="0" xr:uid="{00000000-0006-0000-0400-000008000000}">
      <text>
        <r>
          <rPr>
            <b/>
            <sz val="9"/>
            <color indexed="81"/>
            <rFont val="Tahoma"/>
            <family val="2"/>
          </rPr>
          <t>NGOUANDI Franck:</t>
        </r>
        <r>
          <rPr>
            <sz val="9"/>
            <color indexed="81"/>
            <rFont val="Tahoma"/>
            <family val="2"/>
          </rPr>
          <t xml:space="preserve">
Hors TCHAD</t>
        </r>
      </text>
    </comment>
    <comment ref="G362" authorId="0" shapeId="0" xr:uid="{00000000-0006-0000-0400-000009000000}">
      <text>
        <r>
          <rPr>
            <b/>
            <sz val="9"/>
            <color indexed="81"/>
            <rFont val="Tahoma"/>
            <family val="2"/>
          </rPr>
          <t>NGOUANDI Franck:</t>
        </r>
        <r>
          <rPr>
            <sz val="9"/>
            <color indexed="81"/>
            <rFont val="Tahoma"/>
            <family val="2"/>
          </rPr>
          <t xml:space="preserve">
Hors TCHAD</t>
        </r>
      </text>
    </comment>
    <comment ref="R362" authorId="0" shapeId="0" xr:uid="{00000000-0006-0000-0400-00000A000000}">
      <text>
        <r>
          <rPr>
            <b/>
            <sz val="9"/>
            <color indexed="81"/>
            <rFont val="Tahoma"/>
            <family val="2"/>
          </rPr>
          <t>NGOUANDI Franck:</t>
        </r>
        <r>
          <rPr>
            <sz val="9"/>
            <color indexed="81"/>
            <rFont val="Tahoma"/>
            <family val="2"/>
          </rPr>
          <t xml:space="preserve">
Hors TCHAD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4DD603-7828-42D0-A27E-F4B40F43A071}"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73CDCD6-A926-402F-95B2-786ADF0E8B83}" name="WorksheetConnection_Stock!$A$1:$G$866" type="102" refreshedVersion="8" minRefreshableVersion="5">
    <extLst>
      <ext xmlns:x15="http://schemas.microsoft.com/office/spreadsheetml/2010/11/main" uri="{DE250136-89BD-433C-8126-D09CA5730AF9}">
        <x15:connection id="Plage" autoDelete="1">
          <x15:rangePr sourceName="_xlcn.WorksheetConnection_StockA1G8661"/>
        </x15:connection>
      </ext>
    </extLst>
  </connection>
</connections>
</file>

<file path=xl/sharedStrings.xml><?xml version="1.0" encoding="utf-8"?>
<sst xmlns="http://schemas.openxmlformats.org/spreadsheetml/2006/main" count="35743" uniqueCount="562">
  <si>
    <t>Paramètres sélectionnés:</t>
  </si>
  <si>
    <t>Clients</t>
  </si>
  <si>
    <t>Efficacité commerciale</t>
  </si>
  <si>
    <t>Nom de l'entité</t>
  </si>
  <si>
    <t>Stock de clients</t>
  </si>
  <si>
    <t xml:space="preserve">Stock de Clients Actifs </t>
  </si>
  <si>
    <t>Part de clients actifs</t>
  </si>
  <si>
    <t>Conquête de clients actifs depuis le début de l'année</t>
  </si>
  <si>
    <t>Variation des clients actifs de l'année en cours</t>
  </si>
  <si>
    <t>Variation mensuelle des clients actifs</t>
  </si>
  <si>
    <t>Variation mensuelle des clients actifs (%)</t>
  </si>
  <si>
    <t>Taux d’attrition annuel clients actifs</t>
  </si>
  <si>
    <t>Acquisition cumulée depuis le début de l'année par conseiller</t>
  </si>
  <si>
    <t>COTE D'IVOIRE</t>
  </si>
  <si>
    <t>GHANA</t>
  </si>
  <si>
    <t>MADAGASCAR</t>
  </si>
  <si>
    <t>CAMEROUN</t>
  </si>
  <si>
    <t>SENEGAL</t>
  </si>
  <si>
    <t>BURKINA FASO</t>
  </si>
  <si>
    <t>GUINEE</t>
  </si>
  <si>
    <t>TCHAD</t>
  </si>
  <si>
    <t>BENIN</t>
  </si>
  <si>
    <t>MAURITANIE</t>
  </si>
  <si>
    <t>CONGO</t>
  </si>
  <si>
    <t>Stock</t>
  </si>
  <si>
    <t>Production</t>
  </si>
  <si>
    <t>Equipement</t>
  </si>
  <si>
    <t>Encours (en K euros)</t>
  </si>
  <si>
    <t>Variation encours depuis le début de l'année</t>
  </si>
  <si>
    <t>Variation de l'encours depuis le début de l'année en taux constants</t>
  </si>
  <si>
    <t>Production en encours depuis le début de l'année brut des renouvellements  (en K euros)</t>
  </si>
  <si>
    <t>Production en encours depuis le début de l'année net des renouvellements (en K euros)</t>
  </si>
  <si>
    <t>Production mensuelle (en nombre)</t>
  </si>
  <si>
    <t>Evolution mensuelle de la production (%)</t>
  </si>
  <si>
    <t>Production mensuelle (en K euros)</t>
  </si>
  <si>
    <t>Evolution mensuelle de la production en encours %</t>
  </si>
  <si>
    <t>Equipement parmi les clients actifs détenteurs de comptes courant</t>
  </si>
  <si>
    <t>Ventes cumulées net des renouvellements par conseiller</t>
  </si>
  <si>
    <t>Ventes cumulées brut des renouvellements par conseiller</t>
  </si>
  <si>
    <t>Cartes</t>
  </si>
  <si>
    <t xml:space="preserve">Variation de stock de l'année en cours </t>
  </si>
  <si>
    <t>Production en nombre depuis le début d'année</t>
  </si>
  <si>
    <t>Equipement parmi les clients actifs</t>
  </si>
  <si>
    <t>Ventes annuelles par conseiller de l'année passée</t>
  </si>
  <si>
    <t>Ventes cumulées depuis le début de l'année par conseiller</t>
  </si>
  <si>
    <t>Nombre de comptes courants</t>
  </si>
  <si>
    <t>Encours sur les comptes courants</t>
  </si>
  <si>
    <t xml:space="preserve">Encours sur les comptes épargne </t>
  </si>
  <si>
    <t xml:space="preserve">Encours sur les placements </t>
  </si>
  <si>
    <t>Variation encours depuis le début de l'année à taux constant</t>
  </si>
  <si>
    <t>Production de compte courant en nombre depuis le début de l'année</t>
  </si>
  <si>
    <t>Production de compte épargne en nombre depuis le début de l'année</t>
  </si>
  <si>
    <t>Taux équipement compte courant parmi clients actifs</t>
  </si>
  <si>
    <t>Taux équipement compte épargne parmi clients actifs</t>
  </si>
  <si>
    <r>
      <rPr>
        <sz val="8"/>
        <color rgb="FF808080"/>
        <rFont val="Arial"/>
        <family val="2"/>
      </rPr>
      <t xml:space="preserve">Numéro de page: </t>
    </r>
    <r>
      <rPr>
        <sz val="8"/>
        <color rgb="FF808080"/>
        <rFont val="Arial"/>
        <family val="2"/>
      </rPr>
      <t>1</t>
    </r>
    <r>
      <rPr>
        <sz val="8"/>
        <color rgb="FF808080"/>
        <rFont val="Arial"/>
        <family val="2"/>
      </rPr>
      <t xml:space="preserve"> sur </t>
    </r>
    <r>
      <rPr>
        <sz val="8"/>
        <color rgb="FF808080"/>
        <rFont val="Arial"/>
        <family val="2"/>
      </rPr>
      <t>1</t>
    </r>
  </si>
  <si>
    <t xml:space="preserve">Niveau de confidentialité: </t>
  </si>
  <si>
    <t>C2 – Diffusion restreinte</t>
  </si>
  <si>
    <t xml:space="preserve">Données fournies par: </t>
  </si>
  <si>
    <t>Information Management</t>
  </si>
  <si>
    <t>Crédits</t>
  </si>
  <si>
    <t>% evol</t>
  </si>
  <si>
    <t>Encours fin de mois</t>
  </si>
  <si>
    <t>Total AFO</t>
  </si>
  <si>
    <t>Total AFCE</t>
  </si>
  <si>
    <t>Total AFS</t>
  </si>
  <si>
    <t>Dépôts</t>
  </si>
  <si>
    <t>Equipement (stock)</t>
  </si>
  <si>
    <t>Nb de CAV</t>
  </si>
  <si>
    <t>Package en % sur nb de CAV</t>
  </si>
  <si>
    <t>B@D Equipement en % sur nb de CAV</t>
  </si>
  <si>
    <t>B@D actif  en % sur nb de CAV</t>
  </si>
  <si>
    <t>Carte Equipement en % sur nb de CAV</t>
  </si>
  <si>
    <t>Carte active en % sur nb de CAV</t>
  </si>
  <si>
    <t>% Segments Patrimoniaux + Bonne gamme VS Total</t>
  </si>
  <si>
    <t>Recrutement Clients</t>
  </si>
  <si>
    <t>Nb de Clients</t>
  </si>
  <si>
    <t>PILOTAGE COMMERCIAL</t>
  </si>
  <si>
    <t>1 - STOCK DE CLIENTS PARTICULIERS</t>
  </si>
  <si>
    <t>31-12-2018</t>
  </si>
  <si>
    <t>Évolution Mensuelle (%)</t>
  </si>
  <si>
    <t>Évolution Annuelle (%)</t>
  </si>
  <si>
    <t>Évolution Annuelle (#)</t>
  </si>
  <si>
    <t>Taux de Réalisation</t>
  </si>
  <si>
    <t>Total - Nombre de client Actif</t>
  </si>
  <si>
    <t>Nombre de clients Actifs avec compte d'épargne orphelin</t>
  </si>
  <si>
    <t>Nombre de client Actif - BONNE GAMME</t>
  </si>
  <si>
    <t>Nombre de client Actif - GRAND PUBLIC</t>
  </si>
  <si>
    <t>Nombre de client Actif - NON SEGMENTE</t>
  </si>
  <si>
    <t>Nombre de client Actif - PATRIMONIAUX</t>
  </si>
  <si>
    <t>Total - Nombre de client Inactif</t>
  </si>
  <si>
    <t>Nombre de clients Inactifs avec compte d'épargne orphelin</t>
  </si>
  <si>
    <t>Nombre de client Inactif - BONNE GAMME</t>
  </si>
  <si>
    <t>Nombre de client Inactif - GRAND PUBLIC</t>
  </si>
  <si>
    <t>Nombre de client Inactif - NON SEGMENTE</t>
  </si>
  <si>
    <t>Nombre de client Inactif - PATRIMONIAUX</t>
  </si>
  <si>
    <t>Total - Nombre de clients</t>
  </si>
  <si>
    <t>2 - STOCK DE PRODUITS (Nombre)</t>
  </si>
  <si>
    <t xml:space="preserve">Nombre de comptes epargnes </t>
  </si>
  <si>
    <t>Nombre de comptes placements</t>
  </si>
  <si>
    <t>Nombre de comptes cartes domestiques</t>
  </si>
  <si>
    <t>Nombre de comptes cartes internationales</t>
  </si>
  <si>
    <t>Nombre de produits banque sur internet</t>
  </si>
  <si>
    <t>Nombre de produits banque sur téléphone mobile</t>
  </si>
  <si>
    <t>Nombre de packages</t>
  </si>
  <si>
    <t>3 - STOCK DE PRODUITS (Montant)</t>
  </si>
  <si>
    <t>Encours de crédits (K)</t>
  </si>
  <si>
    <t>Crédits à la Consommation - Encours (K)</t>
  </si>
  <si>
    <t>Crédits Immobiliers - Encours (K)</t>
  </si>
  <si>
    <t>Encours de dépôts (K)</t>
  </si>
  <si>
    <t>Comptes Courants (+) - Encours (K)</t>
  </si>
  <si>
    <t>Epargne - Encours (K)</t>
  </si>
  <si>
    <t>Placements - Encours (K)</t>
  </si>
  <si>
    <t>PILOTAGE MARKETING</t>
  </si>
  <si>
    <t>CLIENTS</t>
  </si>
  <si>
    <t>Part de clients actifs dans le portefeuille</t>
  </si>
  <si>
    <t>Taux d'attrition annuel des clients actifs</t>
  </si>
  <si>
    <t>Equipement moyen - Nombre de produits</t>
  </si>
  <si>
    <t>Clients avec Vente YTD</t>
  </si>
  <si>
    <t>EQUIPMENT (Taux d'équipement)</t>
  </si>
  <si>
    <t>Comptes Courants</t>
  </si>
  <si>
    <t>Epargne et Placements</t>
  </si>
  <si>
    <t>Crédits à la Consommation (clients avec comptes courants)</t>
  </si>
  <si>
    <t>Banque à Distance</t>
  </si>
  <si>
    <t>BEN</t>
  </si>
  <si>
    <t>BFA</t>
  </si>
  <si>
    <t>Nombre de client Actif - BANQUE PRIVEE</t>
  </si>
  <si>
    <t>Nombre de client Inactif - BANQUE PRIVEE</t>
  </si>
  <si>
    <t>Nombre de comptes chèques</t>
  </si>
  <si>
    <t>Crédits à la Consommation (clients éligibles avec comptes courants)</t>
  </si>
  <si>
    <t>Nombre de client Actif - SEGMENT INCONNU</t>
  </si>
  <si>
    <t>Nombre de client Inactif - SEGMENT INCONNU</t>
  </si>
  <si>
    <t>CIV</t>
  </si>
  <si>
    <t>CMR</t>
  </si>
  <si>
    <t>Nombre de client Actif - HAUT DE GAMME</t>
  </si>
  <si>
    <t>Nombre de client Inactif - HAUT DE GAMME</t>
  </si>
  <si>
    <t>COG</t>
  </si>
  <si>
    <t>GHA</t>
  </si>
  <si>
    <t>GIN</t>
  </si>
  <si>
    <t>MDG</t>
  </si>
  <si>
    <t>MRT</t>
  </si>
  <si>
    <t>TCD</t>
  </si>
  <si>
    <t>SEN</t>
  </si>
  <si>
    <t>AFCE</t>
  </si>
  <si>
    <t>CARTE</t>
  </si>
  <si>
    <t>BAD</t>
  </si>
  <si>
    <t>AFO</t>
  </si>
  <si>
    <t>% Actifs</t>
  </si>
  <si>
    <t>CREDITS</t>
  </si>
  <si>
    <t>DEPOTS</t>
  </si>
  <si>
    <t>Entité</t>
  </si>
  <si>
    <t>PROD CAV</t>
  </si>
  <si>
    <t>31/01/2019</t>
  </si>
  <si>
    <t>% yty</t>
  </si>
  <si>
    <t>% Attrition Large CAV à 6 mois</t>
  </si>
  <si>
    <t>% Attrition pure (CAV fermé) CAV à 6 mois</t>
  </si>
  <si>
    <t>% Attrition (Perte de l'activité) CAV à 6 mois</t>
  </si>
  <si>
    <t>PORTEFEUILLE CLIENTS</t>
  </si>
  <si>
    <t>Moyenne % Evol</t>
  </si>
  <si>
    <t>Moyenne % YtY</t>
  </si>
  <si>
    <t>Entités</t>
  </si>
  <si>
    <t>Indicateurs</t>
  </si>
  <si>
    <t>30-11-2019</t>
  </si>
  <si>
    <t>31-12-2019</t>
  </si>
  <si>
    <t>MOIS COURANT</t>
  </si>
  <si>
    <t>Crédits à la consommation</t>
  </si>
  <si>
    <t>Crédits immobiliers</t>
  </si>
  <si>
    <t>Fermé ou inactifs après 6 mois</t>
  </si>
  <si>
    <t>Fermé après 6 mois</t>
  </si>
  <si>
    <t>Inactifs après 6 mois</t>
  </si>
  <si>
    <t>Fermé ou inactifs  après 6 mois</t>
  </si>
  <si>
    <t>Fermé  après 6 mois</t>
  </si>
  <si>
    <t>Inactifs  après 6 mois</t>
  </si>
  <si>
    <t>Fermé ou inactifs après 4 mois</t>
  </si>
  <si>
    <t>Fermé après 4 mois</t>
  </si>
  <si>
    <t>Inactifs après 4 mois</t>
  </si>
  <si>
    <t>Fermé ou inactifs  après 4 mois</t>
  </si>
  <si>
    <t>Fermé  après 4 mois</t>
  </si>
  <si>
    <t>Inactifs  après 4 mois</t>
  </si>
  <si>
    <t>% Attrition Large CAV à 4 mois</t>
  </si>
  <si>
    <t>% Attrition pure (CAV fermé) CAV à 4 mois</t>
  </si>
  <si>
    <t>% Attrition (Perte de l'activité) CAV à 4 mois</t>
  </si>
  <si>
    <r>
      <rPr>
        <sz val="10"/>
        <color rgb="FF222222"/>
        <rFont val="Ebrima"/>
        <family val="2"/>
      </rPr>
      <t xml:space="preserve">Date de Validité: </t>
    </r>
    <r>
      <rPr>
        <sz val="10"/>
        <color rgb="FF222222"/>
        <rFont val="Ebrima"/>
        <family val="2"/>
      </rPr>
      <t>2019-12-31</t>
    </r>
    <r>
      <rPr>
        <sz val="10"/>
        <color rgb="FF222222"/>
        <rFont val="Ebrima"/>
        <family val="2"/>
      </rPr>
      <t xml:space="preserve">; Nom de la région AFMO: </t>
    </r>
    <r>
      <rPr>
        <sz val="10"/>
        <color rgb="FF222222"/>
        <rFont val="Ebrima"/>
        <family val="2"/>
      </rPr>
      <t>AFRIQUE CENTRALE et AUSTRALE, AFRIQUE OUEST</t>
    </r>
  </si>
  <si>
    <r>
      <rPr>
        <sz val="8"/>
        <color rgb="FF808080"/>
        <rFont val="Arial"/>
        <family val="2"/>
      </rPr>
      <t xml:space="preserve">Date et Heure: </t>
    </r>
    <r>
      <rPr>
        <sz val="8"/>
        <color rgb="FF808080"/>
        <rFont val="Arial"/>
        <family val="2"/>
      </rPr>
      <t>13.01.2020</t>
    </r>
    <r>
      <rPr>
        <sz val="9"/>
        <color rgb="FF808080"/>
        <rFont val="Arial"/>
        <family val="2"/>
      </rPr>
      <t xml:space="preserve">, </t>
    </r>
    <r>
      <rPr>
        <sz val="8"/>
        <color rgb="FF808080"/>
        <rFont val="Arial"/>
        <family val="2"/>
      </rPr>
      <t>10:47</t>
    </r>
  </si>
  <si>
    <t>DEC 19</t>
  </si>
  <si>
    <t>30/07/2019</t>
  </si>
  <si>
    <t>30/09/2019</t>
  </si>
  <si>
    <t>31/10/2019</t>
  </si>
  <si>
    <t>R/O</t>
  </si>
  <si>
    <t>Cible</t>
  </si>
  <si>
    <t>30/11/2019</t>
  </si>
  <si>
    <t>31/12/2019</t>
  </si>
  <si>
    <t>31/01/2020</t>
  </si>
  <si>
    <t>29/02/2020</t>
  </si>
  <si>
    <t>Objectif</t>
  </si>
  <si>
    <t>Objectif d'acquisition clients</t>
  </si>
  <si>
    <t>% evol à taux constant</t>
  </si>
  <si>
    <t>% yty à taux  constant</t>
  </si>
  <si>
    <t>Objectif de Production en Encours</t>
  </si>
  <si>
    <t xml:space="preserve">Objectif de Production en Nombre </t>
  </si>
  <si>
    <t>Assurance épargne</t>
  </si>
  <si>
    <t>Assurance protection</t>
  </si>
  <si>
    <t>Assurances</t>
  </si>
  <si>
    <t>31-12-2020</t>
  </si>
  <si>
    <t>Taux actifs</t>
  </si>
  <si>
    <t>Nombre de CAV</t>
  </si>
  <si>
    <t>Encours depots</t>
  </si>
  <si>
    <t>Encours credits</t>
  </si>
  <si>
    <t>Prod Credits</t>
  </si>
  <si>
    <t>ok</t>
  </si>
  <si>
    <t>AFS</t>
  </si>
  <si>
    <t>Date de Validité: 2020-12-31; Nom de la région AFMO: AFRIQUE CENTRALE et AUSTRALE, AFRIQUE OUEST</t>
  </si>
  <si>
    <t>31-01-2021</t>
  </si>
  <si>
    <t>28-02-2021</t>
  </si>
  <si>
    <t>30/09/2020</t>
  </si>
  <si>
    <t>31/10/2020</t>
  </si>
  <si>
    <t>Production YTD</t>
  </si>
  <si>
    <t xml:space="preserve"> </t>
  </si>
  <si>
    <t>0.00%</t>
  </si>
  <si>
    <t>Evolution des clients par segment depuis le début de l'année</t>
  </si>
  <si>
    <t xml:space="preserve">Evolution des clients actifs par segment depuis le début de l'année </t>
  </si>
  <si>
    <t>Croissance brute du stock de clients</t>
  </si>
  <si>
    <t>Taux de conquête hors clients actifs</t>
  </si>
  <si>
    <t>Evolution de la part des MM+GP dans le portefeuille depuis le début de l'année</t>
  </si>
  <si>
    <t>Evolution de la part des (BG+PAT+HG) dans le portefeuille depuis le début de l'année</t>
  </si>
  <si>
    <t>Evolution de la part des BG dans le portefeuille depuis le début de l'année</t>
  </si>
  <si>
    <t>Evolution de la part des PAT dans le portefeuille depuis le début de l'année</t>
  </si>
  <si>
    <t>Evolution de la part des HG dans le portefeuille depuis le début de l'année</t>
  </si>
  <si>
    <t>Taux d'attrition sur BG</t>
  </si>
  <si>
    <t>Taux d'attrition sur PAT</t>
  </si>
  <si>
    <t>Taux d'attrition sur HG</t>
  </si>
  <si>
    <t>Conquête brute de clients depuis le début de l'année</t>
  </si>
  <si>
    <t>Nombre  de comptes épargnes (#)</t>
  </si>
  <si>
    <t>Evolution de la part de clients CAV équipés de package</t>
  </si>
  <si>
    <t>Pourcentage de clients CAV équipés de Comptes épargnes</t>
  </si>
  <si>
    <t>Part des clients Comptes courants  équipés de packages</t>
  </si>
  <si>
    <t>Total AFMO</t>
  </si>
  <si>
    <r>
      <rPr>
        <b/>
        <sz val="10"/>
        <color rgb="FFFFFFFF"/>
        <rFont val="Ebrima"/>
        <family val="2"/>
      </rPr>
      <t>AFRIQUE CENTRALE et DE L'EST</t>
    </r>
    <r>
      <rPr>
        <b/>
        <sz val="10"/>
        <color rgb="FFFFFFFF"/>
        <rFont val="Ebrima"/>
        <family val="2"/>
      </rPr>
      <t xml:space="preserve"> - </t>
    </r>
    <r>
      <rPr>
        <b/>
        <sz val="10"/>
        <color rgb="FFFFFFFF"/>
        <rFont val="Ebrima"/>
        <family val="2"/>
      </rPr>
      <t>Total</t>
    </r>
  </si>
  <si>
    <r>
      <rPr>
        <b/>
        <sz val="10"/>
        <color rgb="FFFFFFFF"/>
        <rFont val="Ebrima"/>
        <family val="2"/>
      </rPr>
      <t>AFRIQUE DE L'OUEST</t>
    </r>
    <r>
      <rPr>
        <b/>
        <sz val="10"/>
        <color rgb="FFFFFFFF"/>
        <rFont val="Ebrima"/>
        <family val="2"/>
      </rPr>
      <t xml:space="preserve"> - </t>
    </r>
    <r>
      <rPr>
        <b/>
        <sz val="10"/>
        <color rgb="FFFFFFFF"/>
        <rFont val="Ebrima"/>
        <family val="2"/>
      </rPr>
      <t>Total</t>
    </r>
  </si>
  <si>
    <t>Nom de la région AFMO</t>
  </si>
  <si>
    <t>AFRIQUE CENTRALE et DE L'EST</t>
  </si>
  <si>
    <t>AFRIQUE DE L'OUEST</t>
  </si>
  <si>
    <t>Taux de change Y-1</t>
  </si>
  <si>
    <t>30/11/2020</t>
  </si>
  <si>
    <t>31/12/2020</t>
  </si>
  <si>
    <t>31/01/2021</t>
  </si>
  <si>
    <t>TDB RETAIL AFS - 07 / 2021</t>
  </si>
  <si>
    <t>EVOLUTION 07/2021 - 12/2020</t>
  </si>
  <si>
    <t>RECRUTEMENT CLIENTS - EVOLUTION STOCK CLIENTS 07/2021 - 12/2020</t>
  </si>
  <si>
    <t>ACTIVITE CLIENTS - EVOLUTION 07/2021 - 12/2020</t>
  </si>
  <si>
    <t>CAV - EVOLUTION 07/2021 - 12/2020</t>
  </si>
  <si>
    <t>EQUIPEMENT BAD - EVOLUTION 07/2021 - 12/2020</t>
  </si>
  <si>
    <t>EQUIPEMENT CARTE - EVOLUTION 07/2021 - 12/2020</t>
  </si>
  <si>
    <t>EVOLUTION 07/2021 - 07/2020</t>
  </si>
  <si>
    <t>ACTIVITE CLIENTS - EVOLUTION 07/2021 - 07/2020</t>
  </si>
  <si>
    <t>ATTRITION A 6 MOIS SUR LES CAV OUVERTS DE - 08/2020 A 01/2021</t>
  </si>
  <si>
    <t>CAV OUVERTS DE - 08/2020 A 01/2021 FERMES OU INACTIFS SUR LES 06 MOIS SUIVANTS</t>
  </si>
  <si>
    <t>CAV OUVERTS DE - 08/2020 A 01/2021  FERMES SUR LES 06 MOIS SUIVANTS</t>
  </si>
  <si>
    <t>CAV OUVERTS DE - 08/2020 A 01/2021  INACTIFS SUR LES 06 MOIS SUIVANTS</t>
  </si>
  <si>
    <t xml:space="preserve">ATTRITION A 4 MOIS SUR LES CAV OUVERTS DE - 10/2020 A 03/2021 </t>
  </si>
  <si>
    <t>CAV OUVERTS DE - 10/2020 A 03/2021  FERMES OU INACTIFS SUR LES 04 MOIS SUIVANTS</t>
  </si>
  <si>
    <t>CAV OUVERTS DE - 10/2020 A 03/2021  FERMES SUR LES 04 MOIS SUIVANTS</t>
  </si>
  <si>
    <t>CAV OUVERTS DE - 10/2020 A 03/2021 INACTIFS SUR LES 04 MOIS SUIVANTS</t>
  </si>
  <si>
    <t>ND</t>
  </si>
  <si>
    <t>Indicateur métier - TOUS TYPES ET CANAUX</t>
  </si>
  <si>
    <t xml:space="preserve">SYNTHESE </t>
  </si>
  <si>
    <t>PORTEFEUILLE CLIENTS (1/4)</t>
  </si>
  <si>
    <t>PORTEFEUILLE CLIENTS (2/4)</t>
  </si>
  <si>
    <t>Equipement en CAV</t>
  </si>
  <si>
    <t>Rentabilité PNB par clients actifs</t>
  </si>
  <si>
    <t>Entity</t>
  </si>
  <si>
    <t>Date_Valid</t>
  </si>
  <si>
    <t>Segments</t>
  </si>
  <si>
    <t>Marge intérêt en LC</t>
  </si>
  <si>
    <t>Commission en LC</t>
  </si>
  <si>
    <t>PNB en LC</t>
  </si>
  <si>
    <t>Marge intérêt en EUR</t>
  </si>
  <si>
    <t>Commission en EUR</t>
  </si>
  <si>
    <t>PNB en EUR</t>
  </si>
  <si>
    <t>BONNE GAMME</t>
  </si>
  <si>
    <t>GRAND PUBLIC</t>
  </si>
  <si>
    <t>NON SEGMENTE</t>
  </si>
  <si>
    <t>PATRIMONIAUX</t>
  </si>
  <si>
    <t>Somme de PNB en EUR</t>
  </si>
  <si>
    <t>Rentabilité PNB global (en Keuros)</t>
  </si>
  <si>
    <t>Equipement Credits</t>
  </si>
  <si>
    <t>Equipement Epargnes</t>
  </si>
  <si>
    <t>DEPÔTS (2/2)</t>
  </si>
  <si>
    <t>RENTABILITE (1/2)</t>
  </si>
  <si>
    <t>Evolution YTY</t>
  </si>
  <si>
    <t>Part du PNB BG+PAT dans le PNB Global</t>
  </si>
  <si>
    <t xml:space="preserve">Part Filiale dans le PNB global </t>
  </si>
  <si>
    <t>RENTABILITE (2/2)</t>
  </si>
  <si>
    <t>DEPÔTS (1/2)</t>
  </si>
  <si>
    <t>En nbre</t>
  </si>
  <si>
    <t>Equipement en niveau</t>
  </si>
  <si>
    <t>BANQUE AU QUOTIDIEN (1/4)</t>
  </si>
  <si>
    <t>BANQUE AU QUOTIDIEN (2/4)</t>
  </si>
  <si>
    <t>BANQUE AU QUOTIDIEN (3/4)</t>
  </si>
  <si>
    <t>BANQUE AU QUOTIDIEN (4/4)</t>
  </si>
  <si>
    <t>En taux vs Dec</t>
  </si>
  <si>
    <t>Numéro de page: 1 sur 1</t>
  </si>
  <si>
    <t>Conquête Clients</t>
  </si>
  <si>
    <t>Nb de Clients entrants</t>
  </si>
  <si>
    <t>Entity_Code</t>
  </si>
  <si>
    <t>Nb_client_In</t>
  </si>
  <si>
    <t>Nb_Gestionnaire</t>
  </si>
  <si>
    <t>Nb_client_entrant_M1</t>
  </si>
  <si>
    <t>Nb_client_entrant_M3</t>
  </si>
  <si>
    <t>Nb_prod_entrant_M1</t>
  </si>
  <si>
    <t>Nb_prod_entrant_M3</t>
  </si>
  <si>
    <t>Y1_Nb_client_entrant_M1</t>
  </si>
  <si>
    <t>Y1_Nb_client_entrant_M3</t>
  </si>
  <si>
    <t>Y1_Nb_prod_entrant_M1</t>
  </si>
  <si>
    <t>Y1_Nb_prod_entrant_M3</t>
  </si>
  <si>
    <t>Equip_moyen_100</t>
  </si>
  <si>
    <t>Nb_prod_tot_vend_YTD</t>
  </si>
  <si>
    <t>Y1_Nb_prod_tot_vend_YTD</t>
  </si>
  <si>
    <t>Nb_prod_tot_vend_MTD</t>
  </si>
  <si>
    <t>Y1_Nb_prod_tot_vend_MTD</t>
  </si>
  <si>
    <t>Nb_prod_tot_vend_MTD_M1</t>
  </si>
  <si>
    <t>Y1_Nb_prod_tot_vend_MTD_M1</t>
  </si>
  <si>
    <t>Nb_prod_ppo_vend_YTD</t>
  </si>
  <si>
    <t>Y1_Nb_prod_ppo_vend_YTD</t>
  </si>
  <si>
    <t>Nb_prod_ppo_vend_MTD</t>
  </si>
  <si>
    <t>Y1_Nb_prod_ppo_vend_MTD</t>
  </si>
  <si>
    <t>Nb_prod_ppo_vend_MTD_M1</t>
  </si>
  <si>
    <t>Y1_Nb_prod_ppo_vend_MTD_M1</t>
  </si>
  <si>
    <t>Nb_prod_epa_vend_YTD</t>
  </si>
  <si>
    <t>Y1_Nb_prod_epa_vend_YTD</t>
  </si>
  <si>
    <t>Nb_prod_epa_vend_MTD</t>
  </si>
  <si>
    <t>Y1_Nb_prod_epa_vend_MTD</t>
  </si>
  <si>
    <t>Nb_prod_epa_vend_MTD_M1</t>
  </si>
  <si>
    <t>Y1_Nb_prod_epa_vend_MTD_M1</t>
  </si>
  <si>
    <t>Nb_prod_cart_vend_YTD</t>
  </si>
  <si>
    <t>Y1_Nb_prod_cart_vend_YTD</t>
  </si>
  <si>
    <t>Nb_prod_cart_vend_MTD</t>
  </si>
  <si>
    <t>Y1_Nb_prod_cart_vend_MTD</t>
  </si>
  <si>
    <t>Nb_prod_cart_vend_MTD_M1</t>
  </si>
  <si>
    <t>Y1_Nb_prod_cart_vend_MTD_M1</t>
  </si>
  <si>
    <t>Nb_prod_bad_vend_YTD</t>
  </si>
  <si>
    <t>Y1_Nb_prod_bad_vend_YTD</t>
  </si>
  <si>
    <t>Nb_prod_bad_vend_MTD</t>
  </si>
  <si>
    <t>Y1_Nb_prod_bad_vend_MTD</t>
  </si>
  <si>
    <t>Nb_prod_bad_vend_MTD_M1</t>
  </si>
  <si>
    <t>Y1_Nb_prod_bad_vend_MTD_M1</t>
  </si>
  <si>
    <t>Nb_prod_cav_vend_YTD</t>
  </si>
  <si>
    <t>Y1_Nb_prod_cav_vend_YTD</t>
  </si>
  <si>
    <t>Nb_prod_cav_vend_MTD</t>
  </si>
  <si>
    <t>Y1_Nb_prod_cav_vend_MTD</t>
  </si>
  <si>
    <t>Nb_prod_cav_vend_MTD_M1</t>
  </si>
  <si>
    <t>Y1_Nb_prod_cav_vend_MTD_M1</t>
  </si>
  <si>
    <t/>
  </si>
  <si>
    <t>DZA</t>
  </si>
  <si>
    <t>MAR_BNK</t>
  </si>
  <si>
    <t>TGO</t>
  </si>
  <si>
    <t>Taux d'acquisition brute</t>
  </si>
  <si>
    <t>Equipement moyen</t>
  </si>
  <si>
    <t>Equipement des clients entrants YTD</t>
  </si>
  <si>
    <t>Commerciaux</t>
  </si>
  <si>
    <t>Nombre de commerciaux</t>
  </si>
  <si>
    <t>Production tous produits YTD</t>
  </si>
  <si>
    <t>Production tous produits MTD</t>
  </si>
  <si>
    <t>Efficaité commerciale moyenne MTD</t>
  </si>
  <si>
    <t>Efficaité commerciale moyenne mensuelle YTD</t>
  </si>
  <si>
    <t>% evol à M/M-1</t>
  </si>
  <si>
    <t xml:space="preserve">% M/Moy YTD </t>
  </si>
  <si>
    <t>PPO</t>
  </si>
  <si>
    <t>Production PPO YTD</t>
  </si>
  <si>
    <t>Production PPO MTD</t>
  </si>
  <si>
    <t>Production PPO</t>
  </si>
  <si>
    <t>EPARGNE ET PLACEMENT</t>
  </si>
  <si>
    <t>Production EPA YTD</t>
  </si>
  <si>
    <t>Production EPA MTD</t>
  </si>
  <si>
    <t>Production EPA</t>
  </si>
  <si>
    <t>Production CARTE YTD</t>
  </si>
  <si>
    <t>Production CARTE MTD</t>
  </si>
  <si>
    <t>Production CARTE</t>
  </si>
  <si>
    <t>Production BAD MTD</t>
  </si>
  <si>
    <t>Production BAD YTD</t>
  </si>
  <si>
    <t>CAV</t>
  </si>
  <si>
    <t>Production BAD</t>
  </si>
  <si>
    <t>Production CAV YTD</t>
  </si>
  <si>
    <t>Production CAV</t>
  </si>
  <si>
    <t>Production CAV MTD</t>
  </si>
  <si>
    <t>entity_code</t>
  </si>
  <si>
    <t>Officer_Id</t>
  </si>
  <si>
    <t>Count(Distinct(Party_Id))</t>
  </si>
  <si>
    <t>31.12.2020</t>
  </si>
  <si>
    <t>Somme de Count(Distinct(Party_Id))</t>
  </si>
  <si>
    <t>Top 100 clients</t>
  </si>
  <si>
    <t>N</t>
  </si>
  <si>
    <t>EFFICACITE COMMERCIALE (6/6)</t>
  </si>
  <si>
    <t>EFFICACITE COMMERCIALE (5/6)</t>
  </si>
  <si>
    <t>EFFICACITE COMMERCIALE (4/6)</t>
  </si>
  <si>
    <t>EFFICACITE COMMERCIALE (3/6)</t>
  </si>
  <si>
    <t>EFFICACITE COMMERCIALE (2/6)</t>
  </si>
  <si>
    <t>EFFICACITE COMMERCIALE (1/6)</t>
  </si>
  <si>
    <t>% evol M/M-1</t>
  </si>
  <si>
    <t>%evol yty</t>
  </si>
  <si>
    <t>Currency1_Code</t>
  </si>
  <si>
    <t>Currency2_Code</t>
  </si>
  <si>
    <t>Rate_Value</t>
  </si>
  <si>
    <t>GHS</t>
  </si>
  <si>
    <t>EUR</t>
  </si>
  <si>
    <t>GNF</t>
  </si>
  <si>
    <t>MGA</t>
  </si>
  <si>
    <t>MRU</t>
  </si>
  <si>
    <r>
      <t xml:space="preserve">* </t>
    </r>
    <r>
      <rPr>
        <i/>
        <sz val="9"/>
        <color theme="1"/>
        <rFont val="Calibri"/>
        <family val="2"/>
        <scheme val="minor"/>
      </rPr>
      <t xml:space="preserve">Les données sur les productions et stocks de cartes présentent des incohérences impactant les indicateurs d'efficacité commerciale sur l'ensemble des filiales </t>
    </r>
  </si>
  <si>
    <t>30.11.2020</t>
  </si>
  <si>
    <t>30.11.2021</t>
  </si>
  <si>
    <t>O</t>
  </si>
  <si>
    <r>
      <t>Date et Heure: 05.03.2020</t>
    </r>
    <r>
      <rPr>
        <sz val="9"/>
        <rFont val="Arial"/>
        <family val="2"/>
      </rPr>
      <t xml:space="preserve">, </t>
    </r>
    <r>
      <rPr>
        <sz val="8"/>
        <rFont val="Arial"/>
        <family val="2"/>
      </rPr>
      <t>20:57</t>
    </r>
  </si>
  <si>
    <r>
      <t>Date et Heure: 07.01.2020</t>
    </r>
    <r>
      <rPr>
        <sz val="9"/>
        <rFont val="Arial"/>
        <family val="2"/>
      </rPr>
      <t xml:space="preserve">, </t>
    </r>
    <r>
      <rPr>
        <sz val="8"/>
        <rFont val="Arial"/>
        <family val="2"/>
      </rPr>
      <t>12:27</t>
    </r>
  </si>
  <si>
    <t>31.12.2021</t>
  </si>
  <si>
    <t>date_valid</t>
  </si>
  <si>
    <t>Num</t>
  </si>
  <si>
    <t>Denom</t>
  </si>
  <si>
    <t>TOTAL AFCE</t>
  </si>
  <si>
    <t>Taux de change 12/2021</t>
  </si>
  <si>
    <t>30/09/2021</t>
  </si>
  <si>
    <t>PPI</t>
  </si>
  <si>
    <t>Nouveaux clients</t>
  </si>
  <si>
    <t>PRI</t>
  </si>
  <si>
    <t>PRO</t>
  </si>
  <si>
    <t>Total Prod Credits</t>
  </si>
  <si>
    <t>Filiales</t>
  </si>
  <si>
    <t>Objectifs 2022</t>
  </si>
  <si>
    <t>Nb de Clients actifs</t>
  </si>
  <si>
    <t>PORTEFEUILLE CLIENTS (3/4)</t>
  </si>
  <si>
    <t>PRODUCTION SUR LES NOUVEAUX CLIENTS</t>
  </si>
  <si>
    <t>28.2.2021</t>
  </si>
  <si>
    <t>28.2.2022</t>
  </si>
  <si>
    <t>Activity_Flag</t>
  </si>
  <si>
    <t>Nb_cli</t>
  </si>
  <si>
    <t>Nb_Carte</t>
  </si>
  <si>
    <t>Y</t>
  </si>
  <si>
    <t>Stock Cartes</t>
  </si>
  <si>
    <t>Region</t>
  </si>
  <si>
    <t>Filiale</t>
  </si>
  <si>
    <t>DR Afrique de l'Ouest</t>
  </si>
  <si>
    <t>DR Afrique Centrale et de l'Est</t>
  </si>
  <si>
    <t>Credits à la consommation</t>
  </si>
  <si>
    <t>Credits immobiliers</t>
  </si>
  <si>
    <t>Cible Budget</t>
  </si>
  <si>
    <t>R/O régional</t>
  </si>
  <si>
    <t>CORRECTION MRT-SEN-GIN</t>
  </si>
  <si>
    <t>Date de Validité: 2022-03-31; Nom de la région AFMO: N/A</t>
  </si>
  <si>
    <t>Objectif (02-2021)</t>
  </si>
  <si>
    <t>Objectif (12-2019)</t>
  </si>
  <si>
    <t>Date de Validité: 2021-05-31; Nom de la région AFMO: N/A</t>
  </si>
  <si>
    <t>YTD 2021</t>
  </si>
  <si>
    <t>YTD 2022</t>
  </si>
  <si>
    <t>Production Total</t>
  </si>
  <si>
    <t>Dont Nouveau PPO</t>
  </si>
  <si>
    <t>Dont Client déja Equipé</t>
  </si>
  <si>
    <t>% Nouvelle Production</t>
  </si>
  <si>
    <t>Dont Client déjà Equipé</t>
  </si>
  <si>
    <t>Part renouvelé Production YTD Nombre</t>
  </si>
  <si>
    <t>Renew</t>
  </si>
  <si>
    <t>Nb_contrats</t>
  </si>
  <si>
    <t>Date_valid</t>
  </si>
  <si>
    <t>Somme de Nb_contrats</t>
  </si>
  <si>
    <t>Part renouvelé Stock Nombre</t>
  </si>
  <si>
    <t>Toute production</t>
  </si>
  <si>
    <t>Nouvelle production</t>
  </si>
  <si>
    <t>Entite</t>
  </si>
  <si>
    <t>Somme de montant</t>
  </si>
  <si>
    <t>2022</t>
  </si>
  <si>
    <t>Part renouvelé Production YTD Montant</t>
  </si>
  <si>
    <t>30.6.2021</t>
  </si>
  <si>
    <t>30.6.2022</t>
  </si>
  <si>
    <t>Étiquettes de colonnes</t>
  </si>
  <si>
    <t>Étiquettes de lignes</t>
  </si>
  <si>
    <t>Total général</t>
  </si>
  <si>
    <t>Total CMR</t>
  </si>
  <si>
    <t>(Plusieurs éléments)</t>
  </si>
  <si>
    <t>Total TCD</t>
  </si>
  <si>
    <t>31.7.2021</t>
  </si>
  <si>
    <t>31.7.2022</t>
  </si>
  <si>
    <t>31/09/2022</t>
  </si>
  <si>
    <t>31.8.2021</t>
  </si>
  <si>
    <t>31.8.2022</t>
  </si>
  <si>
    <t>31/09/2021</t>
  </si>
  <si>
    <t>Taux de change 09/2021</t>
  </si>
  <si>
    <t>Taux de change 09/2022</t>
  </si>
  <si>
    <t>30/03/2022</t>
  </si>
  <si>
    <t>30.9.2021</t>
  </si>
  <si>
    <t>30.9.2022</t>
  </si>
  <si>
    <t>30.11.2022</t>
  </si>
  <si>
    <t>d</t>
  </si>
  <si>
    <t>s</t>
  </si>
  <si>
    <t>YTD 2023</t>
  </si>
  <si>
    <t>2023</t>
  </si>
  <si>
    <t>31/12/2022</t>
  </si>
  <si>
    <t>Taux de change 12/2022</t>
  </si>
  <si>
    <t>% ytd2023 vs R2022</t>
  </si>
  <si>
    <t>Objectifs 2023</t>
  </si>
  <si>
    <t>31/01/2023</t>
  </si>
  <si>
    <t>Taux de change 03/2022</t>
  </si>
  <si>
    <t>Taux de change 03/2023</t>
  </si>
  <si>
    <t>Annee</t>
  </si>
  <si>
    <t>Marche</t>
  </si>
  <si>
    <t>Segment</t>
  </si>
  <si>
    <t>ClientCntIn</t>
  </si>
  <si>
    <t>CLIPRI</t>
  </si>
  <si>
    <t>BG</t>
  </si>
  <si>
    <t>PAT</t>
  </si>
  <si>
    <t>Somme de ClientCntIn</t>
  </si>
  <si>
    <t>TOTAL AFO</t>
  </si>
  <si>
    <t>CONQUÊTE CLIENT (1/3)</t>
  </si>
  <si>
    <t>CONQUÊTE CLIENT (3/3)</t>
  </si>
  <si>
    <t>CREDITS (1/6)</t>
  </si>
  <si>
    <t>CREDITS (2/6)</t>
  </si>
  <si>
    <t>CREDITS (3/6)</t>
  </si>
  <si>
    <t>CREDITS (4/6)</t>
  </si>
  <si>
    <t>CREDITS (5/6)</t>
  </si>
  <si>
    <t>CREDITS (6/6)</t>
  </si>
  <si>
    <t>Total</t>
  </si>
  <si>
    <t>Nouvelle prod</t>
  </si>
  <si>
    <t>Part</t>
  </si>
  <si>
    <t>PPO 2022</t>
  </si>
  <si>
    <t>PPO 2023</t>
  </si>
  <si>
    <t>JANVIER</t>
  </si>
  <si>
    <t>FEVRIER</t>
  </si>
  <si>
    <t>MARS</t>
  </si>
  <si>
    <t>AVRIL</t>
  </si>
  <si>
    <t>STOCKS CLIENTS</t>
  </si>
  <si>
    <t>STOCKS CLIENTS ACTIFS</t>
  </si>
  <si>
    <t>Stock client</t>
  </si>
  <si>
    <t>Stock clients actifs AFS</t>
  </si>
  <si>
    <t>EER AFS</t>
  </si>
  <si>
    <t>Taux d'équipement AFS</t>
  </si>
  <si>
    <t xml:space="preserve">Dépots </t>
  </si>
  <si>
    <t>evol</t>
  </si>
  <si>
    <t>production credits</t>
  </si>
  <si>
    <t xml:space="preserve"> AFO</t>
  </si>
  <si>
    <t xml:space="preserve"> AFCE</t>
  </si>
  <si>
    <t xml:space="preserve"> AFS</t>
  </si>
  <si>
    <t>TOTAL AFS</t>
  </si>
  <si>
    <t>MAI</t>
  </si>
  <si>
    <t>JUIN</t>
  </si>
  <si>
    <t>30.6.2023</t>
  </si>
  <si>
    <t>JUILLET</t>
  </si>
  <si>
    <t>31.7.2023</t>
  </si>
  <si>
    <t>AOUT</t>
  </si>
  <si>
    <t>1 027</t>
  </si>
  <si>
    <t>1 660</t>
  </si>
  <si>
    <t>1 548</t>
  </si>
  <si>
    <t>2 488</t>
  </si>
  <si>
    <t>2 481</t>
  </si>
  <si>
    <t>1 918</t>
  </si>
  <si>
    <t>31.8.2023</t>
  </si>
  <si>
    <t>SEPTEMBRE</t>
  </si>
  <si>
    <t>30.9.2023</t>
  </si>
  <si>
    <t>OCTOBRE</t>
  </si>
  <si>
    <t>NOVEMBRE</t>
  </si>
  <si>
    <t>30.11.2023</t>
  </si>
  <si>
    <t>31.12.2022</t>
  </si>
  <si>
    <t>31.12.2023</t>
  </si>
  <si>
    <t>31/12/2023</t>
  </si>
  <si>
    <t>Taux de change 12/2023</t>
  </si>
  <si>
    <t>DECEMBRE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</si>
</sst>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 #,##0.00_-;_-* &quot;-&quot;??_-;_-@_-"/>
    <numFmt numFmtId="164" formatCode="_-* #,##0.00\ _€_-;\-* #,##0.00\ _€_-;_-* &quot;-&quot;??\ _€_-;_-@_-"/>
    <numFmt numFmtId="165" formatCode="#,##0.00\ %"/>
    <numFmt numFmtId="166" formatCode="_-* #,##0\ _€_-;\-* #,##0\ _€_-;_-* &quot;-&quot;??\ _€_-;_-@_-"/>
    <numFmt numFmtId="167" formatCode="0.0%"/>
    <numFmt numFmtId="168" formatCode="#,##0.0&quot; pts&quot;"/>
    <numFmt numFmtId="169" formatCode="#,##0.00%"/>
    <numFmt numFmtId="170" formatCode="#,##0.00;\-#,##0.00;\0\.\0\0"/>
    <numFmt numFmtId="171" formatCode="#,##0.00%;\-#,##0.00%;\0\.\0\0\ \%"/>
    <numFmt numFmtId="172" formatCode="_-* #,##0.0\ _€_-;\-* #,##0.0\ _€_-;_-* &quot;-&quot;??\ _€_-;_-@_-"/>
    <numFmt numFmtId="173" formatCode="#,##0;\-#,##0;\0"/>
    <numFmt numFmtId="174" formatCode="#,##0.00\ %;\-#,##0.00\ %;\0\.\0\0\ \%"/>
    <numFmt numFmtId="175" formatCode="0.0000%"/>
    <numFmt numFmtId="176" formatCode="#,##0.00\ %;\-#,##0.00\ %;\ "/>
    <numFmt numFmtId="177" formatCode="#,##0.00\ %;\-#,##0.00\ %;\0\.\0\0\%"/>
    <numFmt numFmtId="178" formatCode="0.0"/>
    <numFmt numFmtId="179" formatCode="_-* #,##0_-;\-* #,##0_-;_-* &quot;-&quot;??_-;_-@_-"/>
    <numFmt numFmtId="180" formatCode="[$-40C]mmm\-yy;@"/>
    <numFmt numFmtId="181" formatCode="#######0"/>
    <numFmt numFmtId="182" formatCode="_-* #,##0.000\ _€_-;\-* #,##0.000\ _€_-;_-* &quot;-&quot;??\ _€_-;_-@_-"/>
    <numFmt numFmtId="183" formatCode="#,##0.00%;\-#,##0.00%;\0\.\0\0\%"/>
  </numFmts>
  <fonts count="97">
    <font>
      <sz val="11"/>
      <color theme="1"/>
      <name val="Calibri"/>
      <family val="2"/>
      <scheme val="minor"/>
    </font>
    <font>
      <sz val="11"/>
      <color theme="1"/>
      <name val="Calibri"/>
      <family val="2"/>
      <scheme val="minor"/>
    </font>
    <font>
      <b/>
      <sz val="11"/>
      <color theme="1"/>
      <name val="Calibri"/>
      <family val="2"/>
      <scheme val="minor"/>
    </font>
    <font>
      <sz val="10"/>
      <color rgb="FF222222"/>
      <name val="Ebrima"/>
      <family val="2"/>
    </font>
    <font>
      <b/>
      <sz val="14"/>
      <color rgb="FF222222"/>
      <name val="Ebrima"/>
      <family val="2"/>
    </font>
    <font>
      <sz val="10"/>
      <color rgb="FFFFFFFF"/>
      <name val="Ebrima"/>
      <family val="2"/>
    </font>
    <font>
      <sz val="10"/>
      <color rgb="FF222222"/>
      <name val="Arial"/>
      <family val="2"/>
    </font>
    <font>
      <sz val="8"/>
      <color rgb="FF808080"/>
      <name val="Arial"/>
      <family val="2"/>
    </font>
    <font>
      <sz val="9"/>
      <color rgb="FF808080"/>
      <name val="Arial"/>
      <family val="2"/>
    </font>
    <font>
      <sz val="10"/>
      <color theme="1"/>
      <name val="Tahoma"/>
      <family val="2"/>
    </font>
    <font>
      <sz val="9"/>
      <color theme="1"/>
      <name val="Calibri"/>
      <family val="2"/>
      <scheme val="minor"/>
    </font>
    <font>
      <sz val="11"/>
      <color theme="1"/>
      <name val="Arial Narrow"/>
      <family val="2"/>
    </font>
    <font>
      <b/>
      <sz val="11"/>
      <color theme="1"/>
      <name val="Arial Narrow"/>
      <family val="2"/>
    </font>
    <font>
      <sz val="10"/>
      <color rgb="FF222222"/>
      <name val="Arial Narrow"/>
      <family val="2"/>
    </font>
    <font>
      <b/>
      <sz val="10"/>
      <color rgb="FF222222"/>
      <name val="Arial Narrow"/>
      <family val="2"/>
    </font>
    <font>
      <b/>
      <sz val="14"/>
      <color theme="0"/>
      <name val="Calibri"/>
      <family val="2"/>
      <scheme val="minor"/>
    </font>
    <font>
      <b/>
      <sz val="24"/>
      <color theme="0"/>
      <name val="Calibri"/>
      <family val="2"/>
      <scheme val="minor"/>
    </font>
    <font>
      <b/>
      <sz val="14"/>
      <name val="Calibri"/>
      <family val="2"/>
      <scheme val="minor"/>
    </font>
    <font>
      <b/>
      <sz val="9"/>
      <color theme="1"/>
      <name val="Arial Narrow"/>
      <family val="2"/>
    </font>
    <font>
      <sz val="10"/>
      <color theme="1"/>
      <name val="Arial"/>
      <family val="2"/>
    </font>
    <font>
      <b/>
      <sz val="11"/>
      <color theme="0"/>
      <name val="Arial Narrow"/>
      <family val="2"/>
    </font>
    <font>
      <b/>
      <sz val="11"/>
      <name val="Arial Narrow"/>
      <family val="2"/>
    </font>
    <font>
      <sz val="11"/>
      <name val="Arial Narrow"/>
      <family val="2"/>
    </font>
    <font>
      <sz val="10"/>
      <name val="Arial"/>
      <family val="2"/>
    </font>
    <font>
      <b/>
      <sz val="10"/>
      <color rgb="FFFFFFFF"/>
      <name val="Ebrima"/>
      <family val="2"/>
    </font>
    <font>
      <sz val="9"/>
      <color indexed="81"/>
      <name val="Tahoma"/>
      <family val="2"/>
    </font>
    <font>
      <b/>
      <sz val="9"/>
      <color indexed="81"/>
      <name val="Tahoma"/>
      <family val="2"/>
    </font>
    <font>
      <b/>
      <sz val="18"/>
      <color theme="0"/>
      <name val="Calibri"/>
      <family val="2"/>
      <scheme val="minor"/>
    </font>
    <font>
      <b/>
      <sz val="18"/>
      <color rgb="FFC00000"/>
      <name val="Arial"/>
      <family val="2"/>
    </font>
    <font>
      <i/>
      <sz val="14"/>
      <name val="Calibri"/>
      <family val="2"/>
      <scheme val="minor"/>
    </font>
    <font>
      <i/>
      <sz val="8"/>
      <color theme="1"/>
      <name val="Calibri"/>
      <family val="2"/>
      <scheme val="minor"/>
    </font>
    <font>
      <b/>
      <sz val="12"/>
      <color theme="1"/>
      <name val="Calibri"/>
      <family val="2"/>
      <scheme val="minor"/>
    </font>
    <font>
      <sz val="11"/>
      <color rgb="FFFF0000"/>
      <name val="Arial Narrow"/>
      <family val="2"/>
    </font>
    <font>
      <b/>
      <sz val="10"/>
      <color rgb="FFFF0000"/>
      <name val="Arial Narrow"/>
      <family val="2"/>
    </font>
    <font>
      <sz val="8"/>
      <color rgb="FF222222"/>
      <name val="Arial Narrow"/>
      <family val="2"/>
    </font>
    <font>
      <sz val="8"/>
      <color theme="1"/>
      <name val="Arial Narrow"/>
      <family val="2"/>
    </font>
    <font>
      <sz val="8"/>
      <color theme="0"/>
      <name val="Calibri"/>
      <family val="2"/>
      <scheme val="minor"/>
    </font>
    <font>
      <sz val="11"/>
      <name val="Calibri"/>
      <family val="2"/>
      <scheme val="minor"/>
    </font>
    <font>
      <sz val="11"/>
      <color rgb="FF00B050"/>
      <name val="Arial Narrow"/>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name val="Calibri"/>
      <family val="2"/>
    </font>
    <font>
      <sz val="11"/>
      <color rgb="FF9C6500"/>
      <name val="Calibri"/>
      <family val="2"/>
      <charset val="238"/>
      <scheme val="minor"/>
    </font>
    <font>
      <b/>
      <sz val="11"/>
      <color rgb="FF3F3F3F"/>
      <name val="Calibri"/>
      <family val="2"/>
      <charset val="238"/>
      <scheme val="minor"/>
    </font>
    <font>
      <sz val="18"/>
      <color theme="3"/>
      <name val="Calibri Light"/>
      <family val="2"/>
      <charset val="238"/>
      <scheme val="major"/>
    </font>
    <font>
      <sz val="11"/>
      <color rgb="FFFF0000"/>
      <name val="Calibri"/>
      <family val="2"/>
      <charset val="238"/>
      <scheme val="minor"/>
    </font>
    <font>
      <b/>
      <sz val="16"/>
      <color theme="0"/>
      <name val="Arial Narrow"/>
      <family val="2"/>
    </font>
    <font>
      <sz val="11"/>
      <color theme="0"/>
      <name val="Calibri"/>
      <family val="2"/>
    </font>
    <font>
      <i/>
      <sz val="9"/>
      <color theme="1"/>
      <name val="Calibri"/>
      <family val="2"/>
      <scheme val="minor"/>
    </font>
    <font>
      <b/>
      <sz val="8"/>
      <name val="Arial Narrow"/>
      <family val="2"/>
    </font>
    <font>
      <sz val="10"/>
      <name val="Ebrima"/>
      <family val="2"/>
    </font>
    <font>
      <b/>
      <sz val="14"/>
      <name val="Ebrima"/>
      <family val="2"/>
    </font>
    <font>
      <sz val="8"/>
      <name val="Arial"/>
      <family val="2"/>
    </font>
    <font>
      <sz val="9"/>
      <name val="Arial"/>
      <family val="2"/>
    </font>
    <font>
      <sz val="11"/>
      <color rgb="FF00B050"/>
      <name val="Calibri"/>
      <family val="2"/>
    </font>
    <font>
      <sz val="9"/>
      <name val="Calibri"/>
      <family val="2"/>
      <scheme val="minor"/>
    </font>
    <font>
      <b/>
      <sz val="10"/>
      <color rgb="FF00B050"/>
      <name val="Ebrima"/>
      <family val="2"/>
    </font>
    <font>
      <sz val="10"/>
      <color rgb="FF00B050"/>
      <name val="Arial"/>
      <family val="2"/>
    </font>
    <font>
      <sz val="10"/>
      <color rgb="FF00B050"/>
      <name val="Ebrima"/>
      <family val="2"/>
    </font>
    <font>
      <b/>
      <sz val="10"/>
      <color rgb="FF00B050"/>
      <name val="Arial"/>
      <family val="2"/>
    </font>
    <font>
      <sz val="11"/>
      <color rgb="FF00B050"/>
      <name val="Calibri"/>
      <family val="2"/>
      <scheme val="minor"/>
    </font>
    <font>
      <b/>
      <sz val="11"/>
      <color rgb="FF00B050"/>
      <name val="Arial Narrow"/>
      <family val="2"/>
    </font>
    <font>
      <b/>
      <sz val="20"/>
      <color theme="0"/>
      <name val="Arial Narrow"/>
      <family val="2"/>
    </font>
    <font>
      <sz val="9"/>
      <color theme="1"/>
      <name val="Calibri"/>
      <family val="2"/>
      <charset val="238"/>
      <scheme val="minor"/>
    </font>
    <font>
      <sz val="9"/>
      <color theme="1"/>
      <name val="Arial Narrow"/>
      <family val="2"/>
    </font>
    <font>
      <b/>
      <sz val="8"/>
      <color rgb="FF00B050"/>
      <name val="Arial Narrow"/>
      <family val="2"/>
    </font>
    <font>
      <sz val="11"/>
      <color rgb="FFFF0000"/>
      <name val="Calibri"/>
      <family val="2"/>
    </font>
    <font>
      <b/>
      <sz val="14"/>
      <color theme="1"/>
      <name val="Calibri"/>
      <family val="2"/>
      <scheme val="minor"/>
    </font>
    <font>
      <b/>
      <sz val="14"/>
      <color rgb="FFC00000"/>
      <name val="Calibri"/>
      <family val="2"/>
      <scheme val="minor"/>
    </font>
    <font>
      <b/>
      <sz val="10"/>
      <name val="Ebrima"/>
      <family val="2"/>
    </font>
    <font>
      <b/>
      <sz val="10"/>
      <name val="Arial Narrow"/>
      <family val="2"/>
    </font>
    <font>
      <b/>
      <sz val="11"/>
      <name val="Calibri"/>
      <family val="2"/>
      <scheme val="minor"/>
    </font>
    <font>
      <b/>
      <sz val="13"/>
      <name val="Ebrima"/>
      <family val="2"/>
    </font>
    <font>
      <b/>
      <sz val="9"/>
      <name val="Arial"/>
      <family val="2"/>
    </font>
    <font>
      <i/>
      <sz val="7"/>
      <name val="Arial"/>
      <family val="2"/>
    </font>
    <font>
      <sz val="10"/>
      <name val="Arial Narrow"/>
      <family val="2"/>
    </font>
    <font>
      <sz val="10"/>
      <color theme="0"/>
      <name val="Arial"/>
      <family val="2"/>
    </font>
    <font>
      <b/>
      <i/>
      <sz val="11"/>
      <color theme="1"/>
      <name val="Calibri"/>
      <family val="2"/>
      <scheme val="minor"/>
    </font>
    <font>
      <b/>
      <i/>
      <sz val="11"/>
      <color theme="1"/>
      <name val="Arial Narrow"/>
      <family val="2"/>
    </font>
    <font>
      <sz val="11"/>
      <color theme="0"/>
      <name val="Arial Narrow"/>
      <family val="2"/>
    </font>
    <font>
      <i/>
      <sz val="11"/>
      <color theme="1"/>
      <name val="Arial Narrow"/>
      <family val="2"/>
    </font>
    <font>
      <sz val="9.5"/>
      <color rgb="FF000000"/>
      <name val="Albany AMT"/>
    </font>
    <font>
      <b/>
      <sz val="9.5"/>
      <color rgb="FF112277"/>
      <name val="Albany AMT"/>
    </font>
    <font>
      <b/>
      <sz val="11"/>
      <color theme="0"/>
      <name val="Calibri"/>
      <family val="2"/>
      <scheme val="minor"/>
    </font>
    <font>
      <sz val="8"/>
      <name val="Calibri"/>
      <family val="2"/>
      <scheme val="minor"/>
    </font>
    <font>
      <sz val="11"/>
      <name val="Calibri"/>
      <family val="2"/>
    </font>
    <font>
      <sz val="11"/>
      <name val="Calibri"/>
      <family val="2"/>
    </font>
  </fonts>
  <fills count="74">
    <fill>
      <patternFill patternType="none"/>
    </fill>
    <fill>
      <patternFill patternType="gray125"/>
    </fill>
    <fill>
      <patternFill patternType="solid">
        <fgColor rgb="FF3F6EC0"/>
      </patternFill>
    </fill>
    <fill>
      <patternFill patternType="solid">
        <fgColor rgb="FFFFFFFF"/>
      </patternFill>
    </fill>
    <fill>
      <patternFill patternType="solid">
        <fgColor rgb="FF000080"/>
      </patternFill>
    </fill>
    <fill>
      <patternFill patternType="solid">
        <fgColor rgb="FFD6D6D6"/>
      </patternFill>
    </fill>
    <fill>
      <patternFill patternType="solid">
        <fgColor rgb="FFEBEBEB"/>
      </patternFill>
    </fill>
    <fill>
      <patternFill patternType="solid">
        <fgColor theme="2" tint="-9.9978637043366805E-2"/>
        <bgColor indexed="64"/>
      </patternFill>
    </fill>
    <fill>
      <patternFill patternType="solid">
        <fgColor theme="1" tint="0.14999847407452621"/>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F0000"/>
        <bgColor indexed="64"/>
      </patternFill>
    </fill>
    <fill>
      <patternFill patternType="solid">
        <fgColor rgb="FFFF9900"/>
      </patternFill>
    </fill>
    <fill>
      <patternFill patternType="solid">
        <fgColor rgb="FFFF0000"/>
      </patternFill>
    </fill>
    <fill>
      <patternFill patternType="solid">
        <fgColor rgb="FF008000"/>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rgb="FF666666"/>
      </patternFill>
    </fill>
    <fill>
      <patternFill patternType="solid">
        <fgColor rgb="FF000000"/>
      </patternFill>
    </fill>
    <fill>
      <patternFill patternType="solid">
        <fgColor rgb="FF92D050"/>
        <bgColor indexed="64"/>
      </patternFill>
    </fill>
    <fill>
      <patternFill patternType="solid">
        <fgColor rgb="FFC00000"/>
        <bgColor indexed="64"/>
      </patternFill>
    </fill>
    <fill>
      <patternFill patternType="lightGray"/>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rgb="FFFFFF00"/>
        <bgColor indexed="64"/>
      </patternFill>
    </fill>
    <fill>
      <patternFill patternType="solid">
        <fgColor theme="7"/>
        <bgColor indexed="64"/>
      </patternFill>
    </fill>
    <fill>
      <patternFill patternType="solid">
        <fgColor theme="8" tint="0.39997558519241921"/>
        <bgColor indexed="64"/>
      </patternFill>
    </fill>
    <fill>
      <patternFill patternType="solid">
        <fgColor rgb="FF00B0F0"/>
        <bgColor indexed="64"/>
      </patternFill>
    </fill>
    <fill>
      <patternFill patternType="solid">
        <fgColor theme="9" tint="0.59999389629810485"/>
        <bgColor indexed="64"/>
      </patternFill>
    </fill>
    <fill>
      <patternFill patternType="lightGray">
        <bgColor rgb="FFFFFFFF"/>
      </patternFill>
    </fill>
    <fill>
      <patternFill patternType="solid">
        <fgColor theme="7" tint="0.59999389629810485"/>
        <bgColor indexed="64"/>
      </patternFill>
    </fill>
    <fill>
      <patternFill patternType="solid">
        <fgColor theme="0"/>
        <bgColor indexed="64"/>
      </patternFill>
    </fill>
    <fill>
      <patternFill patternType="solid">
        <fgColor theme="0" tint="-0.249977111117893"/>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rgb="FF00B050"/>
        <bgColor indexed="64"/>
      </patternFill>
    </fill>
    <fill>
      <patternFill patternType="solid">
        <fgColor theme="5" tint="0.79998168889431442"/>
        <bgColor indexed="64"/>
      </patternFill>
    </fill>
    <fill>
      <patternFill patternType="solid">
        <fgColor rgb="FF002060"/>
        <bgColor indexed="64"/>
      </patternFill>
    </fill>
    <fill>
      <patternFill patternType="solid">
        <fgColor rgb="FFEDF2F9"/>
        <bgColor indexed="64"/>
      </patternFill>
    </fill>
    <fill>
      <patternFill patternType="solid">
        <fgColor rgb="FFFFFFFF"/>
        <bgColor indexed="64"/>
      </patternFill>
    </fill>
    <fill>
      <patternFill patternType="mediumGray"/>
    </fill>
    <fill>
      <patternFill patternType="solid">
        <fgColor theme="4" tint="0.79998168889431442"/>
        <bgColor theme="4" tint="0.79998168889431442"/>
      </patternFill>
    </fill>
    <fill>
      <patternFill patternType="lightGray">
        <bgColor rgb="FFFFFF00"/>
      </patternFill>
    </fill>
    <fill>
      <patternFill patternType="gray125">
        <bgColor rgb="FFFFFF00"/>
      </patternFill>
    </fill>
    <fill>
      <patternFill patternType="solid">
        <fgColor theme="4" tint="0.39997558519241921"/>
        <bgColor indexed="64"/>
      </patternFill>
    </fill>
    <fill>
      <patternFill patternType="mediumGray">
        <bgColor theme="9" tint="0.79998168889431442"/>
      </patternFill>
    </fill>
    <fill>
      <patternFill patternType="solid">
        <fgColor theme="8" tint="-0.249977111117893"/>
        <bgColor indexed="64"/>
      </patternFill>
    </fill>
  </fills>
  <borders count="156">
    <border>
      <left/>
      <right/>
      <top/>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rgb="FFCCCCCC"/>
      </right>
      <top style="medium">
        <color auto="1"/>
      </top>
      <bottom style="medium">
        <color auto="1"/>
      </bottom>
      <diagonal/>
    </border>
    <border>
      <left style="medium">
        <color rgb="FFCCCCCC"/>
      </left>
      <right style="medium">
        <color auto="1"/>
      </right>
      <top/>
      <bottom/>
      <diagonal/>
    </border>
    <border>
      <left style="medium">
        <color auto="1"/>
      </left>
      <right style="medium">
        <color auto="1"/>
      </right>
      <top/>
      <bottom style="medium">
        <color auto="1"/>
      </bottom>
      <diagonal/>
    </border>
    <border>
      <left style="medium">
        <color auto="1"/>
      </left>
      <right style="medium">
        <color rgb="FFCCCCCC"/>
      </right>
      <top/>
      <bottom style="medium">
        <color auto="1"/>
      </bottom>
      <diagonal/>
    </border>
    <border>
      <left style="medium">
        <color rgb="FFCCCCCC"/>
      </left>
      <right style="medium">
        <color rgb="FFDCDADA"/>
      </right>
      <top style="medium">
        <color rgb="FFDCDADA"/>
      </top>
      <bottom style="medium">
        <color rgb="FFDCDADA"/>
      </bottom>
      <diagonal/>
    </border>
    <border>
      <left style="medium">
        <color rgb="FFDCDADA"/>
      </left>
      <right style="medium">
        <color rgb="FFDCDADA"/>
      </right>
      <top/>
      <bottom style="medium">
        <color rgb="FFDCDADA"/>
      </bottom>
      <diagonal/>
    </border>
    <border>
      <left style="medium">
        <color rgb="FFDCDADA"/>
      </left>
      <right style="medium">
        <color rgb="FFCCCCCC"/>
      </right>
      <top/>
      <bottom style="medium">
        <color rgb="FFDCDADA"/>
      </bottom>
      <diagonal/>
    </border>
    <border>
      <left style="medium">
        <color rgb="FFCCCCCC"/>
      </left>
      <right style="medium">
        <color rgb="FFDCDADA"/>
      </right>
      <top/>
      <bottom style="medium">
        <color rgb="FFDCDADA"/>
      </bottom>
      <diagonal/>
    </border>
    <border>
      <left style="medium">
        <color rgb="FFCCCCCC"/>
      </left>
      <right style="medium">
        <color rgb="FFDCDADA"/>
      </right>
      <top/>
      <bottom style="medium">
        <color rgb="FFCCCCCC"/>
      </bottom>
      <diagonal/>
    </border>
    <border>
      <left style="medium">
        <color rgb="FFDCDADA"/>
      </left>
      <right style="medium">
        <color rgb="FFDCDADA"/>
      </right>
      <top/>
      <bottom style="medium">
        <color rgb="FFCCCCCC"/>
      </bottom>
      <diagonal/>
    </border>
    <border>
      <left style="medium">
        <color rgb="FFDCDADA"/>
      </left>
      <right style="medium">
        <color rgb="FFCCCCCC"/>
      </right>
      <top/>
      <bottom style="medium">
        <color rgb="FFCCCCCC"/>
      </bottom>
      <diagonal/>
    </border>
    <border>
      <left style="medium">
        <color rgb="FFCCCCCC"/>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rgb="FFCCCCCC"/>
      </right>
      <top style="medium">
        <color auto="1"/>
      </top>
      <bottom style="medium">
        <color auto="1"/>
      </bottom>
      <diagonal/>
    </border>
    <border>
      <left/>
      <right/>
      <top style="medium">
        <color rgb="FFCC0033"/>
      </top>
      <bottom/>
      <diagonal/>
    </border>
    <border>
      <left/>
      <right/>
      <top/>
      <bottom style="medium">
        <color rgb="FF666666"/>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top/>
      <bottom style="medium">
        <color auto="1"/>
      </bottom>
      <diagonal/>
    </border>
    <border>
      <left/>
      <right/>
      <top style="medium">
        <color rgb="FFDCDADA"/>
      </top>
      <bottom style="medium">
        <color rgb="FFDCDADA"/>
      </bottom>
      <diagonal/>
    </border>
    <border>
      <left/>
      <right style="medium">
        <color rgb="FFDCDADA"/>
      </right>
      <top style="medium">
        <color rgb="FFDCDADA"/>
      </top>
      <bottom style="medium">
        <color rgb="FFDCDADA"/>
      </bottom>
      <diagonal/>
    </border>
    <border>
      <left style="medium">
        <color auto="1"/>
      </left>
      <right style="medium">
        <color rgb="FFDCDADA"/>
      </right>
      <top style="medium">
        <color rgb="FFDCDADA"/>
      </top>
      <bottom style="medium">
        <color rgb="FFDCDADA"/>
      </bottom>
      <diagonal/>
    </border>
    <border>
      <left style="medium">
        <color rgb="FFDCDADA"/>
      </left>
      <right style="medium">
        <color auto="1"/>
      </right>
      <top/>
      <bottom style="medium">
        <color rgb="FFDCDADA"/>
      </bottom>
      <diagonal/>
    </border>
    <border>
      <left/>
      <right/>
      <top/>
      <bottom style="medium">
        <color rgb="FFDCDADA"/>
      </bottom>
      <diagonal/>
    </border>
    <border>
      <left/>
      <right style="medium">
        <color rgb="FFDCDADA"/>
      </right>
      <top/>
      <bottom style="medium">
        <color rgb="FFDCDADA"/>
      </bottom>
      <diagonal/>
    </border>
    <border>
      <left style="medium">
        <color auto="1"/>
      </left>
      <right style="medium">
        <color rgb="FFDCDADA"/>
      </right>
      <top/>
      <bottom style="medium">
        <color rgb="FFDCDADA"/>
      </bottom>
      <diagonal/>
    </border>
    <border>
      <left/>
      <right style="medium">
        <color rgb="FFDCDADA"/>
      </right>
      <top/>
      <bottom style="medium">
        <color auto="1"/>
      </bottom>
      <diagonal/>
    </border>
    <border>
      <left style="medium">
        <color auto="1"/>
      </left>
      <right style="medium">
        <color rgb="FFDCDADA"/>
      </right>
      <top/>
      <bottom style="medium">
        <color auto="1"/>
      </bottom>
      <diagonal/>
    </border>
    <border>
      <left style="medium">
        <color rgb="FFDCDADA"/>
      </left>
      <right style="medium">
        <color rgb="FFDCDADA"/>
      </right>
      <top/>
      <bottom style="medium">
        <color auto="1"/>
      </bottom>
      <diagonal/>
    </border>
    <border>
      <left style="medium">
        <color rgb="FFDCDADA"/>
      </left>
      <right style="medium">
        <color auto="1"/>
      </right>
      <top/>
      <bottom style="medium">
        <color auto="1"/>
      </bottom>
      <diagonal/>
    </border>
    <border>
      <left/>
      <right/>
      <top style="double">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top style="thin">
        <color theme="0" tint="-0.34998626667073579"/>
      </top>
      <bottom style="double">
        <color theme="0" tint="-0.34998626667073579"/>
      </bottom>
      <diagonal/>
    </border>
    <border>
      <left/>
      <right/>
      <top style="double">
        <color theme="0" tint="-0.34998626667073579"/>
      </top>
      <bottom/>
      <diagonal/>
    </border>
    <border>
      <left style="double">
        <color theme="0" tint="-0.499984740745262"/>
      </left>
      <right/>
      <top style="double">
        <color theme="0" tint="-0.499984740745262"/>
      </top>
      <bottom/>
      <diagonal/>
    </border>
    <border>
      <left/>
      <right/>
      <top style="double">
        <color theme="0" tint="-0.499984740745262"/>
      </top>
      <bottom/>
      <diagonal/>
    </border>
    <border>
      <left/>
      <right style="double">
        <color theme="0" tint="-0.499984740745262"/>
      </right>
      <top style="double">
        <color theme="0" tint="-0.499984740745262"/>
      </top>
      <bottom/>
      <diagonal/>
    </border>
    <border>
      <left style="double">
        <color theme="0" tint="-0.499984740745262"/>
      </left>
      <right/>
      <top/>
      <bottom/>
      <diagonal/>
    </border>
    <border>
      <left/>
      <right style="double">
        <color theme="0" tint="-0.499984740745262"/>
      </right>
      <top/>
      <bottom/>
      <diagonal/>
    </border>
    <border>
      <left style="double">
        <color theme="0" tint="-0.499984740745262"/>
      </left>
      <right/>
      <top/>
      <bottom style="double">
        <color theme="0" tint="-0.499984740745262"/>
      </bottom>
      <diagonal/>
    </border>
    <border>
      <left/>
      <right/>
      <top/>
      <bottom style="double">
        <color theme="0" tint="-0.499984740745262"/>
      </bottom>
      <diagonal/>
    </border>
    <border>
      <left/>
      <right style="double">
        <color theme="0" tint="-0.499984740745262"/>
      </right>
      <top/>
      <bottom style="double">
        <color theme="0" tint="-0.499984740745262"/>
      </bottom>
      <diagonal/>
    </border>
    <border>
      <left/>
      <right/>
      <top/>
      <bottom style="double">
        <color theme="0" tint="-0.34998626667073579"/>
      </bottom>
      <diagonal/>
    </border>
    <border>
      <left/>
      <right/>
      <top style="double">
        <color theme="0" tint="-0.34998626667073579"/>
      </top>
      <bottom style="double">
        <color theme="0" tint="-0.34998626667073579"/>
      </bottom>
      <diagonal/>
    </border>
    <border>
      <left/>
      <right/>
      <top style="double">
        <color theme="0" tint="-0.499984740745262"/>
      </top>
      <bottom style="thin">
        <color theme="0" tint="-0.499984740745262"/>
      </bottom>
      <diagonal/>
    </border>
    <border>
      <left/>
      <right/>
      <top style="thin">
        <color theme="0" tint="-0.499984740745262"/>
      </top>
      <bottom style="thin">
        <color theme="0" tint="-0.499984740745262"/>
      </bottom>
      <diagonal/>
    </border>
    <border>
      <left/>
      <right/>
      <top style="thin">
        <color theme="0" tint="-0.499984740745262"/>
      </top>
      <bottom style="double">
        <color theme="0" tint="-0.499984740745262"/>
      </bottom>
      <diagonal/>
    </border>
    <border>
      <left style="double">
        <color theme="0" tint="-0.34998626667073579"/>
      </left>
      <right/>
      <top style="double">
        <color theme="0" tint="-0.34998626667073579"/>
      </top>
      <bottom/>
      <diagonal/>
    </border>
    <border>
      <left/>
      <right style="double">
        <color theme="0" tint="-0.34998626667073579"/>
      </right>
      <top style="double">
        <color theme="0" tint="-0.34998626667073579"/>
      </top>
      <bottom/>
      <diagonal/>
    </border>
    <border>
      <left style="double">
        <color theme="0" tint="-0.34998626667073579"/>
      </left>
      <right/>
      <top/>
      <bottom/>
      <diagonal/>
    </border>
    <border>
      <left/>
      <right style="double">
        <color theme="0" tint="-0.34998626667073579"/>
      </right>
      <top/>
      <bottom/>
      <diagonal/>
    </border>
    <border>
      <left style="double">
        <color theme="0" tint="-0.34998626667073579"/>
      </left>
      <right/>
      <top/>
      <bottom style="double">
        <color theme="0" tint="-0.34998626667073579"/>
      </bottom>
      <diagonal/>
    </border>
    <border>
      <left/>
      <right style="double">
        <color theme="0" tint="-0.34998626667073579"/>
      </right>
      <top/>
      <bottom style="double">
        <color theme="0" tint="-0.34998626667073579"/>
      </bottom>
      <diagonal/>
    </border>
    <border>
      <left style="medium">
        <color auto="1"/>
      </left>
      <right/>
      <top style="medium">
        <color auto="1"/>
      </top>
      <bottom style="medium">
        <color auto="1"/>
      </bottom>
      <diagonal/>
    </border>
    <border>
      <left style="medium">
        <color rgb="FFCCCCCC"/>
      </left>
      <right/>
      <top style="medium">
        <color rgb="FFCCCCCC"/>
      </top>
      <bottom style="medium">
        <color auto="1"/>
      </bottom>
      <diagonal/>
    </border>
    <border>
      <left/>
      <right/>
      <top style="medium">
        <color rgb="FFCCCCCC"/>
      </top>
      <bottom style="medium">
        <color auto="1"/>
      </bottom>
      <diagonal/>
    </border>
    <border>
      <left/>
      <right style="medium">
        <color rgb="FFCCCCCC"/>
      </right>
      <top style="medium">
        <color rgb="FFCCCCCC"/>
      </top>
      <bottom style="medium">
        <color auto="1"/>
      </bottom>
      <diagonal/>
    </border>
    <border>
      <left style="medium">
        <color auto="1"/>
      </left>
      <right style="medium">
        <color rgb="FFDCDADA"/>
      </right>
      <top/>
      <bottom/>
      <diagonal/>
    </border>
    <border>
      <left/>
      <right style="medium">
        <color rgb="FFDCDADA"/>
      </right>
      <top/>
      <bottom/>
      <diagonal/>
    </border>
    <border>
      <left style="medium">
        <color rgb="FFDCDADA"/>
      </left>
      <right style="medium">
        <color rgb="FFDCDADA"/>
      </right>
      <top/>
      <bottom/>
      <diagonal/>
    </border>
    <border>
      <left style="medium">
        <color rgb="FFDCDADA"/>
      </left>
      <right style="medium">
        <color auto="1"/>
      </right>
      <top/>
      <bottom/>
      <diagonal/>
    </border>
    <border>
      <left style="medium">
        <color auto="1"/>
      </left>
      <right style="medium">
        <color auto="1"/>
      </right>
      <top/>
      <bottom/>
      <diagonal/>
    </border>
    <border>
      <left/>
      <right/>
      <top/>
      <bottom style="thin">
        <color theme="0" tint="-0.34998626667073579"/>
      </bottom>
      <diagonal/>
    </border>
    <border>
      <left style="double">
        <color auto="1"/>
      </left>
      <right/>
      <top/>
      <bottom/>
      <diagonal/>
    </border>
    <border>
      <left/>
      <right style="double">
        <color auto="1"/>
      </right>
      <top/>
      <bottom/>
      <diagonal/>
    </border>
    <border>
      <left/>
      <right/>
      <top style="double">
        <color theme="0" tint="-0.34998626667073579"/>
      </top>
      <bottom style="thin">
        <color theme="0" tint="-0.499984740745262"/>
      </bottom>
      <diagonal/>
    </border>
    <border>
      <left style="medium">
        <color auto="1"/>
      </left>
      <right style="medium">
        <color auto="1"/>
      </right>
      <top style="medium">
        <color auto="1"/>
      </top>
      <bottom/>
      <diagonal/>
    </border>
    <border>
      <left style="medium">
        <color auto="1"/>
      </left>
      <right/>
      <top/>
      <bottom/>
      <diagonal/>
    </border>
    <border>
      <left style="medium">
        <color auto="1"/>
      </left>
      <right style="medium">
        <color rgb="FF808080"/>
      </right>
      <top/>
      <bottom style="medium">
        <color auto="1"/>
      </bottom>
      <diagonal/>
    </border>
    <border>
      <left style="medium">
        <color rgb="FF808080"/>
      </left>
      <right style="medium">
        <color rgb="FF808080"/>
      </right>
      <top/>
      <bottom style="medium">
        <color auto="1"/>
      </bottom>
      <diagonal/>
    </border>
    <border>
      <left style="medium">
        <color rgb="FF333333"/>
      </left>
      <right style="medium">
        <color rgb="FF333333"/>
      </right>
      <top/>
      <bottom style="medium">
        <color auto="1"/>
      </bottom>
      <diagonal/>
    </border>
    <border>
      <left style="medium">
        <color auto="1"/>
      </left>
      <right/>
      <top/>
      <bottom style="medium">
        <color auto="1"/>
      </bottom>
      <diagonal/>
    </border>
    <border>
      <left style="medium">
        <color rgb="FF333333"/>
      </left>
      <right style="medium">
        <color auto="1"/>
      </right>
      <top/>
      <bottom style="medium">
        <color auto="1"/>
      </bottom>
      <diagonal/>
    </border>
    <border>
      <left/>
      <right style="medium">
        <color auto="1"/>
      </right>
      <top/>
      <bottom style="medium">
        <color auto="1"/>
      </bottom>
      <diagonal/>
    </border>
    <border>
      <left/>
      <right style="medium">
        <color rgb="FF808080"/>
      </right>
      <top/>
      <bottom style="medium">
        <color auto="1"/>
      </bottom>
      <diagonal/>
    </border>
    <border>
      <left style="medium">
        <color theme="0" tint="-0.34998626667073579"/>
      </left>
      <right/>
      <top style="medium">
        <color theme="0" tint="-0.34998626667073579"/>
      </top>
      <bottom style="hair">
        <color theme="0" tint="-0.34998626667073579"/>
      </bottom>
      <diagonal/>
    </border>
    <border>
      <left/>
      <right/>
      <top style="medium">
        <color theme="0" tint="-0.34998626667073579"/>
      </top>
      <bottom style="hair">
        <color theme="0" tint="-0.34998626667073579"/>
      </bottom>
      <diagonal/>
    </border>
    <border>
      <left/>
      <right style="medium">
        <color theme="0" tint="-0.34998626667073579"/>
      </right>
      <top style="medium">
        <color theme="0" tint="-0.34998626667073579"/>
      </top>
      <bottom style="hair">
        <color theme="0" tint="-0.34998626667073579"/>
      </bottom>
      <diagonal/>
    </border>
    <border>
      <left style="medium">
        <color theme="0" tint="-0.34998626667073579"/>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medium">
        <color theme="0" tint="-0.34998626667073579"/>
      </right>
      <top style="hair">
        <color theme="0" tint="-0.34998626667073579"/>
      </top>
      <bottom style="hair">
        <color theme="0" tint="-0.34998626667073579"/>
      </bottom>
      <diagonal/>
    </border>
    <border>
      <left style="medium">
        <color theme="0" tint="-0.34998626667073579"/>
      </left>
      <right/>
      <top style="hair">
        <color theme="0" tint="-0.34998626667073579"/>
      </top>
      <bottom style="medium">
        <color theme="0" tint="-0.34998626667073579"/>
      </bottom>
      <diagonal/>
    </border>
    <border>
      <left/>
      <right/>
      <top style="hair">
        <color theme="0" tint="-0.34998626667073579"/>
      </top>
      <bottom style="medium">
        <color theme="0" tint="-0.34998626667073579"/>
      </bottom>
      <diagonal/>
    </border>
    <border>
      <left/>
      <right style="medium">
        <color theme="0" tint="-0.34998626667073579"/>
      </right>
      <top style="hair">
        <color theme="0" tint="-0.34998626667073579"/>
      </top>
      <bottom style="medium">
        <color theme="0" tint="-0.3499862666707357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theme="0" tint="-0.24994659260841701"/>
      </bottom>
      <diagonal/>
    </border>
    <border>
      <left style="dashDot">
        <color theme="0" tint="-0.34998626667073579"/>
      </left>
      <right style="dashDot">
        <color theme="0" tint="-0.34998626667073579"/>
      </right>
      <top style="medium">
        <color theme="0" tint="-0.34998626667073579"/>
      </top>
      <bottom style="hair">
        <color theme="0" tint="-0.34998626667073579"/>
      </bottom>
      <diagonal/>
    </border>
    <border>
      <left style="dashDot">
        <color theme="0" tint="-0.34998626667073579"/>
      </left>
      <right style="dashDot">
        <color theme="0" tint="-0.34998626667073579"/>
      </right>
      <top style="hair">
        <color theme="0" tint="-0.34998626667073579"/>
      </top>
      <bottom style="hair">
        <color theme="0" tint="-0.34998626667073579"/>
      </bottom>
      <diagonal/>
    </border>
    <border>
      <left style="dashDot">
        <color theme="0" tint="-0.34998626667073579"/>
      </left>
      <right style="dashDot">
        <color theme="0" tint="-0.34998626667073579"/>
      </right>
      <top style="hair">
        <color theme="0" tint="-0.34998626667073579"/>
      </top>
      <bottom style="medium">
        <color theme="0" tint="-0.34998626667073579"/>
      </bottom>
      <diagonal/>
    </border>
    <border>
      <left style="dashDot">
        <color theme="0" tint="-0.34998626667073579"/>
      </left>
      <right style="medium">
        <color theme="0" tint="-0.34998626667073579"/>
      </right>
      <top style="medium">
        <color theme="0" tint="-0.34998626667073579"/>
      </top>
      <bottom style="hair">
        <color theme="0" tint="-0.34998626667073579"/>
      </bottom>
      <diagonal/>
    </border>
    <border>
      <left style="dashDot">
        <color theme="0" tint="-0.34998626667073579"/>
      </left>
      <right style="medium">
        <color theme="0" tint="-0.34998626667073579"/>
      </right>
      <top style="hair">
        <color theme="0" tint="-0.34998626667073579"/>
      </top>
      <bottom style="hair">
        <color theme="0" tint="-0.34998626667073579"/>
      </bottom>
      <diagonal/>
    </border>
    <border>
      <left style="dashDot">
        <color theme="0" tint="-0.34998626667073579"/>
      </left>
      <right style="medium">
        <color theme="0" tint="-0.34998626667073579"/>
      </right>
      <top style="hair">
        <color theme="0" tint="-0.34998626667073579"/>
      </top>
      <bottom style="medium">
        <color theme="0" tint="-0.34998626667073579"/>
      </bottom>
      <diagonal/>
    </border>
    <border>
      <left style="double">
        <color theme="0" tint="-0.24994659260841701"/>
      </left>
      <right/>
      <top style="double">
        <color theme="0" tint="-0.24994659260841701"/>
      </top>
      <bottom/>
      <diagonal/>
    </border>
    <border>
      <left/>
      <right/>
      <top style="double">
        <color theme="0" tint="-0.24994659260841701"/>
      </top>
      <bottom/>
      <diagonal/>
    </border>
    <border>
      <left/>
      <right style="double">
        <color theme="0" tint="-0.24994659260841701"/>
      </right>
      <top style="double">
        <color theme="0" tint="-0.24994659260841701"/>
      </top>
      <bottom/>
      <diagonal/>
    </border>
    <border>
      <left style="double">
        <color theme="0" tint="-0.24994659260841701"/>
      </left>
      <right/>
      <top/>
      <bottom/>
      <diagonal/>
    </border>
    <border>
      <left/>
      <right style="double">
        <color theme="0" tint="-0.24994659260841701"/>
      </right>
      <top/>
      <bottom/>
      <diagonal/>
    </border>
    <border>
      <left style="double">
        <color theme="0" tint="-0.24994659260841701"/>
      </left>
      <right/>
      <top/>
      <bottom style="double">
        <color theme="0" tint="-0.24994659260841701"/>
      </bottom>
      <diagonal/>
    </border>
    <border>
      <left/>
      <right style="double">
        <color theme="0" tint="-0.24994659260841701"/>
      </right>
      <top/>
      <bottom style="double">
        <color theme="0" tint="-0.24994659260841701"/>
      </bottom>
      <diagonal/>
    </border>
    <border>
      <left/>
      <right/>
      <top style="medium">
        <color theme="0" tint="-0.34998626667073579"/>
      </top>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top style="thin">
        <color theme="0" tint="-0.14993743705557422"/>
      </top>
      <bottom style="thin">
        <color theme="0" tint="-0.14993743705557422"/>
      </bottom>
      <diagonal/>
    </border>
    <border>
      <left/>
      <right/>
      <top style="thin">
        <color theme="0" tint="-0.14993743705557422"/>
      </top>
      <bottom style="thin">
        <color theme="0" tint="-0.14996795556505021"/>
      </bottom>
      <diagonal/>
    </border>
    <border>
      <left style="medium">
        <color indexed="64"/>
      </left>
      <right style="thin">
        <color theme="0"/>
      </right>
      <top style="thin">
        <color indexed="64"/>
      </top>
      <bottom style="medium">
        <color indexed="64"/>
      </bottom>
      <diagonal/>
    </border>
    <border>
      <left style="thin">
        <color theme="0"/>
      </left>
      <right style="thin">
        <color theme="0"/>
      </right>
      <top style="thin">
        <color indexed="64"/>
      </top>
      <bottom style="medium">
        <color indexed="64"/>
      </bottom>
      <diagonal/>
    </border>
    <border>
      <left style="thin">
        <color theme="0"/>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dashed">
        <color indexed="64"/>
      </bottom>
      <diagonal/>
    </border>
    <border>
      <left style="medium">
        <color indexed="64"/>
      </left>
      <right/>
      <top style="thin">
        <color indexed="64"/>
      </top>
      <bottom style="dashed">
        <color indexed="64"/>
      </bottom>
      <diagonal/>
    </border>
    <border>
      <left/>
      <right/>
      <top style="thin">
        <color indexed="64"/>
      </top>
      <bottom style="dashed">
        <color indexed="64"/>
      </bottom>
      <diagonal/>
    </border>
    <border>
      <left style="thin">
        <color indexed="64"/>
      </left>
      <right style="medium">
        <color indexed="64"/>
      </right>
      <top style="dashed">
        <color indexed="64"/>
      </top>
      <bottom style="thin">
        <color indexed="64"/>
      </bottom>
      <diagonal/>
    </border>
    <border>
      <left style="medium">
        <color indexed="64"/>
      </left>
      <right/>
      <top style="dashed">
        <color indexed="64"/>
      </top>
      <bottom style="thin">
        <color indexed="64"/>
      </bottom>
      <diagonal/>
    </border>
    <border>
      <left/>
      <right/>
      <top style="dashed">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diagonal/>
    </border>
    <border>
      <left/>
      <right/>
      <top/>
      <bottom style="double">
        <color indexed="64"/>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C1C1C1"/>
      </bottom>
      <diagonal/>
    </border>
    <border>
      <left/>
      <right/>
      <top/>
      <bottom style="thin">
        <color theme="4" tint="0.39997558519241921"/>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s>
  <cellStyleXfs count="49">
    <xf numFmtId="0" fontId="0" fillId="0" borderId="0"/>
    <xf numFmtId="164" fontId="1" fillId="0" borderId="0" applyFont="0" applyFill="0" applyBorder="0" applyAlignment="0" applyProtection="0"/>
    <xf numFmtId="9" fontId="1" fillId="0" borderId="0" applyFont="0" applyFill="0" applyBorder="0" applyAlignment="0" applyProtection="0"/>
    <xf numFmtId="0" fontId="9" fillId="0" borderId="0"/>
    <xf numFmtId="0" fontId="39" fillId="31" borderId="0" applyNumberFormat="0" applyBorder="0" applyAlignment="0" applyProtection="0"/>
    <xf numFmtId="0" fontId="39" fillId="34" borderId="0" applyNumberFormat="0" applyBorder="0" applyAlignment="0" applyProtection="0"/>
    <xf numFmtId="0" fontId="39" fillId="37" borderId="0" applyNumberFormat="0" applyBorder="0" applyAlignment="0" applyProtection="0"/>
    <xf numFmtId="0" fontId="39" fillId="40" borderId="0" applyNumberFormat="0" applyBorder="0" applyAlignment="0" applyProtection="0"/>
    <xf numFmtId="0" fontId="39" fillId="43" borderId="0" applyNumberFormat="0" applyBorder="0" applyAlignment="0" applyProtection="0"/>
    <xf numFmtId="0" fontId="39" fillId="46" borderId="0" applyNumberFormat="0" applyBorder="0" applyAlignment="0" applyProtection="0"/>
    <xf numFmtId="0" fontId="39" fillId="32" borderId="0" applyNumberFormat="0" applyBorder="0" applyAlignment="0" applyProtection="0"/>
    <xf numFmtId="0" fontId="39" fillId="35" borderId="0" applyNumberFormat="0" applyBorder="0" applyAlignment="0" applyProtection="0"/>
    <xf numFmtId="0" fontId="39" fillId="38" borderId="0" applyNumberFormat="0" applyBorder="0" applyAlignment="0" applyProtection="0"/>
    <xf numFmtId="0" fontId="39" fillId="41" borderId="0" applyNumberFormat="0" applyBorder="0" applyAlignment="0" applyProtection="0"/>
    <xf numFmtId="0" fontId="39" fillId="44" borderId="0" applyNumberFormat="0" applyBorder="0" applyAlignment="0" applyProtection="0"/>
    <xf numFmtId="0" fontId="39" fillId="47" borderId="0" applyNumberFormat="0" applyBorder="0" applyAlignment="0" applyProtection="0"/>
    <xf numFmtId="0" fontId="40" fillId="33" borderId="0" applyNumberFormat="0" applyBorder="0" applyAlignment="0" applyProtection="0"/>
    <xf numFmtId="0" fontId="40" fillId="36" borderId="0" applyNumberFormat="0" applyBorder="0" applyAlignment="0" applyProtection="0"/>
    <xf numFmtId="0" fontId="40" fillId="39" borderId="0" applyNumberFormat="0" applyBorder="0" applyAlignment="0" applyProtection="0"/>
    <xf numFmtId="0" fontId="40" fillId="42" borderId="0" applyNumberFormat="0" applyBorder="0" applyAlignment="0" applyProtection="0"/>
    <xf numFmtId="0" fontId="40" fillId="45" borderId="0" applyNumberFormat="0" applyBorder="0" applyAlignment="0" applyProtection="0"/>
    <xf numFmtId="0" fontId="40" fillId="48" borderId="0" applyNumberFormat="0" applyBorder="0" applyAlignment="0" applyProtection="0"/>
    <xf numFmtId="0" fontId="41" fillId="25" borderId="0" applyNumberFormat="0" applyBorder="0" applyAlignment="0" applyProtection="0"/>
    <xf numFmtId="0" fontId="42" fillId="28" borderId="95" applyNumberFormat="0" applyAlignment="0" applyProtection="0"/>
    <xf numFmtId="0" fontId="43" fillId="29" borderId="98" applyNumberFormat="0" applyAlignment="0" applyProtection="0"/>
    <xf numFmtId="0" fontId="44" fillId="0" borderId="0" applyNumberFormat="0" applyFill="0" applyBorder="0" applyAlignment="0" applyProtection="0"/>
    <xf numFmtId="0" fontId="45" fillId="24" borderId="0" applyNumberFormat="0" applyBorder="0" applyAlignment="0" applyProtection="0"/>
    <xf numFmtId="0" fontId="46" fillId="0" borderId="92" applyNumberFormat="0" applyFill="0" applyAlignment="0" applyProtection="0"/>
    <xf numFmtId="0" fontId="47" fillId="0" borderId="93" applyNumberFormat="0" applyFill="0" applyAlignment="0" applyProtection="0"/>
    <xf numFmtId="0" fontId="48" fillId="0" borderId="94" applyNumberFormat="0" applyFill="0" applyAlignment="0" applyProtection="0"/>
    <xf numFmtId="0" fontId="48" fillId="0" borderId="0" applyNumberFormat="0" applyFill="0" applyBorder="0" applyAlignment="0" applyProtection="0"/>
    <xf numFmtId="0" fontId="49" fillId="27" borderId="95" applyNumberFormat="0" applyAlignment="0" applyProtection="0"/>
    <xf numFmtId="0" fontId="50" fillId="0" borderId="97" applyNumberFormat="0" applyFill="0" applyAlignment="0" applyProtection="0"/>
    <xf numFmtId="0" fontId="52" fillId="26" borderId="0" applyNumberFormat="0" applyBorder="0" applyAlignment="0" applyProtection="0"/>
    <xf numFmtId="0" fontId="51" fillId="0" borderId="0"/>
    <xf numFmtId="0" fontId="51" fillId="30" borderId="99" applyNumberFormat="0" applyFont="0" applyAlignment="0" applyProtection="0"/>
    <xf numFmtId="0" fontId="53" fillId="28" borderId="96" applyNumberFormat="0" applyAlignment="0" applyProtection="0"/>
    <xf numFmtId="0" fontId="54" fillId="0" borderId="0" applyNumberFormat="0" applyFill="0" applyBorder="0" applyAlignment="0" applyProtection="0"/>
    <xf numFmtId="0" fontId="55" fillId="0" borderId="0" applyNumberFormat="0" applyFill="0" applyBorder="0" applyAlignment="0" applyProtection="0"/>
    <xf numFmtId="0" fontId="51" fillId="0" borderId="0"/>
    <xf numFmtId="0" fontId="39" fillId="0" borderId="0"/>
    <xf numFmtId="0" fontId="39" fillId="0" borderId="0"/>
    <xf numFmtId="0" fontId="91" fillId="0" borderId="0"/>
    <xf numFmtId="0" fontId="91" fillId="0" borderId="0"/>
    <xf numFmtId="0" fontId="95" fillId="0" borderId="0"/>
    <xf numFmtId="0" fontId="96" fillId="0" borderId="0"/>
    <xf numFmtId="43" fontId="1" fillId="0" borderId="0" applyFont="0" applyFill="0" applyBorder="0" applyAlignment="0" applyProtection="0"/>
    <xf numFmtId="0" fontId="39" fillId="0" borderId="0"/>
    <xf numFmtId="0" fontId="39" fillId="0" borderId="0"/>
  </cellStyleXfs>
  <cellXfs count="1014">
    <xf numFmtId="0" fontId="0" fillId="0" borderId="0" xfId="0"/>
    <xf numFmtId="0" fontId="0" fillId="0" borderId="0" xfId="0"/>
    <xf numFmtId="0" fontId="5" fillId="2" borderId="7" xfId="0" applyFont="1" applyFill="1" applyBorder="1" applyAlignment="1">
      <alignment horizontal="center" vertical="top"/>
    </xf>
    <xf numFmtId="0" fontId="5" fillId="2" borderId="8" xfId="0" applyFont="1" applyFill="1" applyBorder="1" applyAlignment="1">
      <alignment horizontal="center" vertical="top"/>
    </xf>
    <xf numFmtId="0" fontId="5" fillId="2" borderId="9" xfId="0" applyFont="1" applyFill="1" applyBorder="1" applyAlignment="1">
      <alignment horizontal="center" vertical="top"/>
    </xf>
    <xf numFmtId="0" fontId="5" fillId="2" borderId="10" xfId="0" applyFont="1" applyFill="1" applyBorder="1" applyAlignment="1">
      <alignment horizontal="center" vertical="top"/>
    </xf>
    <xf numFmtId="0" fontId="6" fillId="3" borderId="11" xfId="0" applyFont="1" applyFill="1" applyBorder="1" applyAlignment="1">
      <alignment horizontal="left" vertical="center"/>
    </xf>
    <xf numFmtId="3" fontId="6" fillId="3" borderId="12" xfId="0" applyNumberFormat="1" applyFont="1" applyFill="1" applyBorder="1" applyAlignment="1">
      <alignment horizontal="right" vertical="center"/>
    </xf>
    <xf numFmtId="165" fontId="6" fillId="3" borderId="12" xfId="0" applyNumberFormat="1" applyFont="1" applyFill="1" applyBorder="1" applyAlignment="1">
      <alignment horizontal="right" vertical="center"/>
    </xf>
    <xf numFmtId="3" fontId="6" fillId="3" borderId="13" xfId="0" applyNumberFormat="1" applyFont="1" applyFill="1" applyBorder="1" applyAlignment="1">
      <alignment horizontal="right" vertical="center"/>
    </xf>
    <xf numFmtId="0" fontId="6" fillId="3" borderId="14" xfId="0" applyFont="1" applyFill="1" applyBorder="1" applyAlignment="1">
      <alignment horizontal="left" vertical="center"/>
    </xf>
    <xf numFmtId="0" fontId="6" fillId="3" borderId="15" xfId="0" applyFont="1" applyFill="1" applyBorder="1" applyAlignment="1">
      <alignment horizontal="left" vertical="center"/>
    </xf>
    <xf numFmtId="3" fontId="6" fillId="3" borderId="16" xfId="0" applyNumberFormat="1" applyFont="1" applyFill="1" applyBorder="1" applyAlignment="1">
      <alignment horizontal="right" vertical="center"/>
    </xf>
    <xf numFmtId="165" fontId="6" fillId="3" borderId="16" xfId="0" applyNumberFormat="1" applyFont="1" applyFill="1" applyBorder="1" applyAlignment="1">
      <alignment horizontal="right" vertical="center"/>
    </xf>
    <xf numFmtId="3" fontId="6" fillId="3" borderId="17" xfId="0" applyNumberFormat="1" applyFont="1" applyFill="1" applyBorder="1" applyAlignment="1">
      <alignment horizontal="right" vertical="center"/>
    </xf>
    <xf numFmtId="0" fontId="0" fillId="2" borderId="18" xfId="0" applyFill="1" applyBorder="1"/>
    <xf numFmtId="4" fontId="6" fillId="3" borderId="12" xfId="0" applyNumberFormat="1" applyFont="1" applyFill="1" applyBorder="1" applyAlignment="1">
      <alignment horizontal="right" vertical="center"/>
    </xf>
    <xf numFmtId="4" fontId="6" fillId="3" borderId="16" xfId="0" applyNumberFormat="1" applyFont="1" applyFill="1" applyBorder="1" applyAlignment="1">
      <alignment horizontal="right" vertical="center"/>
    </xf>
    <xf numFmtId="0" fontId="0" fillId="3" borderId="12" xfId="0" applyFill="1" applyBorder="1"/>
    <xf numFmtId="165" fontId="6" fillId="3" borderId="13" xfId="0" applyNumberFormat="1" applyFont="1" applyFill="1" applyBorder="1" applyAlignment="1">
      <alignment horizontal="right" vertical="center"/>
    </xf>
    <xf numFmtId="165" fontId="6" fillId="3" borderId="17" xfId="0" applyNumberFormat="1" applyFont="1" applyFill="1" applyBorder="1" applyAlignment="1">
      <alignment horizontal="right" vertical="center"/>
    </xf>
    <xf numFmtId="0" fontId="7" fillId="0" borderId="21" xfId="0" applyFont="1" applyBorder="1" applyAlignment="1">
      <alignment horizontal="left" vertical="center"/>
    </xf>
    <xf numFmtId="0" fontId="0" fillId="0" borderId="21" xfId="0" applyBorder="1"/>
    <xf numFmtId="0" fontId="7" fillId="0" borderId="21" xfId="0" applyFont="1" applyBorder="1" applyAlignment="1">
      <alignment horizontal="right" vertical="center"/>
    </xf>
    <xf numFmtId="0" fontId="7" fillId="0" borderId="0" xfId="0" applyFont="1" applyAlignment="1">
      <alignment horizontal="left" vertical="center"/>
    </xf>
    <xf numFmtId="0" fontId="7" fillId="0" borderId="0" xfId="0" applyFont="1" applyAlignment="1">
      <alignment horizontal="right" vertical="center"/>
    </xf>
    <xf numFmtId="0" fontId="0" fillId="0" borderId="0" xfId="0" applyAlignment="1">
      <alignment wrapText="1"/>
    </xf>
    <xf numFmtId="14" fontId="0" fillId="0" borderId="0" xfId="0" applyNumberFormat="1"/>
    <xf numFmtId="0" fontId="11" fillId="0" borderId="0" xfId="0" applyFont="1"/>
    <xf numFmtId="0" fontId="12" fillId="0" borderId="38" xfId="0" applyFont="1" applyBorder="1"/>
    <xf numFmtId="0" fontId="12" fillId="0" borderId="39" xfId="0" applyFont="1" applyBorder="1"/>
    <xf numFmtId="167" fontId="12" fillId="0" borderId="39" xfId="2" applyNumberFormat="1" applyFont="1" applyBorder="1" applyAlignment="1">
      <alignment horizontal="center" vertical="center"/>
    </xf>
    <xf numFmtId="167" fontId="11" fillId="0" borderId="39" xfId="2" applyNumberFormat="1" applyFont="1" applyBorder="1" applyAlignment="1">
      <alignment horizontal="center" vertical="center"/>
    </xf>
    <xf numFmtId="167" fontId="12" fillId="0" borderId="40" xfId="2" applyNumberFormat="1" applyFont="1" applyBorder="1" applyAlignment="1">
      <alignment horizontal="center" vertical="center"/>
    </xf>
    <xf numFmtId="0" fontId="14" fillId="3" borderId="0" xfId="0" applyFont="1" applyFill="1" applyBorder="1" applyAlignment="1">
      <alignment horizontal="left" vertical="center"/>
    </xf>
    <xf numFmtId="167" fontId="12" fillId="0" borderId="0" xfId="2" applyNumberFormat="1" applyFont="1" applyAlignment="1">
      <alignment horizontal="center" vertical="center"/>
    </xf>
    <xf numFmtId="0" fontId="12" fillId="0" borderId="38" xfId="0" applyFont="1" applyFill="1" applyBorder="1"/>
    <xf numFmtId="9" fontId="12" fillId="0" borderId="38" xfId="2" applyFont="1" applyFill="1" applyBorder="1" applyAlignment="1">
      <alignment horizontal="center" vertical="center"/>
    </xf>
    <xf numFmtId="168" fontId="12" fillId="0" borderId="38" xfId="2" applyNumberFormat="1" applyFont="1" applyFill="1" applyBorder="1" applyAlignment="1">
      <alignment horizontal="center" vertical="center"/>
    </xf>
    <xf numFmtId="9" fontId="11" fillId="0" borderId="39" xfId="2" applyFont="1" applyFill="1" applyBorder="1" applyAlignment="1">
      <alignment horizontal="center"/>
    </xf>
    <xf numFmtId="168" fontId="11" fillId="0" borderId="39" xfId="2" applyNumberFormat="1" applyFont="1" applyFill="1" applyBorder="1" applyAlignment="1">
      <alignment horizontal="center" vertical="center"/>
    </xf>
    <xf numFmtId="9" fontId="12" fillId="0" borderId="39" xfId="2" applyFont="1" applyFill="1" applyBorder="1" applyAlignment="1">
      <alignment horizontal="center" vertical="center"/>
    </xf>
    <xf numFmtId="168" fontId="12" fillId="0" borderId="39" xfId="2" applyNumberFormat="1" applyFont="1" applyFill="1" applyBorder="1" applyAlignment="1">
      <alignment horizontal="center" vertical="center"/>
    </xf>
    <xf numFmtId="9" fontId="12" fillId="0" borderId="40" xfId="2" applyNumberFormat="1" applyFont="1" applyFill="1" applyBorder="1" applyAlignment="1">
      <alignment horizontal="center" vertical="center"/>
    </xf>
    <xf numFmtId="168" fontId="12" fillId="0" borderId="40" xfId="2" applyNumberFormat="1" applyFont="1" applyFill="1" applyBorder="1" applyAlignment="1">
      <alignment horizontal="center" vertical="center"/>
    </xf>
    <xf numFmtId="0" fontId="12" fillId="0" borderId="38" xfId="0" applyFont="1" applyFill="1" applyBorder="1" applyAlignment="1">
      <alignment vertical="center"/>
    </xf>
    <xf numFmtId="0" fontId="11" fillId="0" borderId="0" xfId="0" applyFont="1" applyAlignment="1">
      <alignment vertical="center"/>
    </xf>
    <xf numFmtId="0" fontId="13" fillId="3" borderId="39" xfId="0" applyFont="1" applyFill="1" applyBorder="1" applyAlignment="1">
      <alignment horizontal="left" vertical="center"/>
    </xf>
    <xf numFmtId="0" fontId="14" fillId="3" borderId="39" xfId="0" applyFont="1" applyFill="1" applyBorder="1" applyAlignment="1">
      <alignment horizontal="left" vertical="center"/>
    </xf>
    <xf numFmtId="0" fontId="14" fillId="3" borderId="40" xfId="0" applyFont="1" applyFill="1" applyBorder="1" applyAlignment="1">
      <alignment horizontal="left" vertical="center"/>
    </xf>
    <xf numFmtId="167" fontId="12" fillId="0" borderId="38" xfId="2" applyNumberFormat="1" applyFont="1" applyBorder="1" applyAlignment="1">
      <alignment horizontal="center" vertical="center"/>
    </xf>
    <xf numFmtId="167" fontId="11" fillId="0" borderId="0" xfId="2" applyNumberFormat="1" applyFont="1" applyAlignment="1">
      <alignment vertical="center"/>
    </xf>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xf numFmtId="0" fontId="0" fillId="0" borderId="46" xfId="0" applyBorder="1"/>
    <xf numFmtId="0" fontId="0" fillId="0" borderId="47" xfId="0" applyBorder="1"/>
    <xf numFmtId="0" fontId="0" fillId="0" borderId="48" xfId="0" applyBorder="1"/>
    <xf numFmtId="0" fontId="0" fillId="0" borderId="49" xfId="0" applyBorder="1"/>
    <xf numFmtId="167" fontId="12" fillId="0" borderId="0" xfId="2" applyNumberFormat="1" applyFont="1" applyBorder="1" applyAlignment="1">
      <alignment horizontal="center" vertical="center"/>
    </xf>
    <xf numFmtId="167" fontId="11" fillId="0" borderId="0" xfId="2" applyNumberFormat="1" applyFont="1" applyBorder="1" applyAlignment="1">
      <alignment horizontal="center" vertical="center"/>
    </xf>
    <xf numFmtId="168" fontId="11" fillId="0" borderId="0" xfId="2" applyNumberFormat="1" applyFont="1" applyFill="1" applyBorder="1" applyAlignment="1">
      <alignment horizontal="center" vertical="center"/>
    </xf>
    <xf numFmtId="0" fontId="0" fillId="0" borderId="0" xfId="0" applyAlignment="1">
      <alignment horizontal="center" vertical="center"/>
    </xf>
    <xf numFmtId="9" fontId="0" fillId="0" borderId="0" xfId="2" applyFont="1"/>
    <xf numFmtId="167" fontId="0" fillId="0" borderId="0" xfId="2" applyNumberFormat="1" applyFont="1"/>
    <xf numFmtId="14" fontId="12" fillId="0" borderId="0" xfId="0" quotePrefix="1" applyNumberFormat="1" applyFont="1" applyAlignment="1">
      <alignment horizontal="center" vertical="center"/>
    </xf>
    <xf numFmtId="167" fontId="11" fillId="0" borderId="50" xfId="2" applyNumberFormat="1" applyFont="1" applyBorder="1" applyAlignment="1">
      <alignment horizontal="center" vertical="center"/>
    </xf>
    <xf numFmtId="167" fontId="12" fillId="0" borderId="52" xfId="2" applyNumberFormat="1" applyFont="1" applyBorder="1" applyAlignment="1">
      <alignment horizontal="center" vertical="center"/>
    </xf>
    <xf numFmtId="0" fontId="15" fillId="0" borderId="48" xfId="0" applyFont="1" applyFill="1" applyBorder="1" applyAlignment="1"/>
    <xf numFmtId="0" fontId="0" fillId="0" borderId="42" xfId="0" applyFill="1" applyBorder="1"/>
    <xf numFmtId="0" fontId="0" fillId="0" borderId="43" xfId="0" applyFill="1" applyBorder="1"/>
    <xf numFmtId="0" fontId="0" fillId="0" borderId="44" xfId="0" applyFill="1" applyBorder="1"/>
    <xf numFmtId="0" fontId="0" fillId="0" borderId="45" xfId="0" applyFill="1" applyBorder="1"/>
    <xf numFmtId="0" fontId="0" fillId="0" borderId="0" xfId="0" applyFill="1" applyBorder="1"/>
    <xf numFmtId="0" fontId="0" fillId="0" borderId="46" xfId="0" applyFill="1" applyBorder="1"/>
    <xf numFmtId="0" fontId="0" fillId="0" borderId="47" xfId="0" applyFill="1" applyBorder="1"/>
    <xf numFmtId="0" fontId="0" fillId="0" borderId="48" xfId="0" applyFill="1" applyBorder="1"/>
    <xf numFmtId="0" fontId="0" fillId="0" borderId="49" xfId="0" applyFill="1" applyBorder="1"/>
    <xf numFmtId="0" fontId="15" fillId="0" borderId="0" xfId="0" applyFont="1" applyFill="1" applyBorder="1" applyAlignment="1"/>
    <xf numFmtId="0" fontId="15" fillId="0" borderId="45" xfId="0" applyFont="1" applyFill="1" applyBorder="1" applyAlignment="1"/>
    <xf numFmtId="0" fontId="15" fillId="0" borderId="46" xfId="0" applyFont="1" applyFill="1" applyBorder="1" applyAlignment="1"/>
    <xf numFmtId="0" fontId="15" fillId="0" borderId="47" xfId="0" applyFont="1" applyFill="1" applyBorder="1" applyAlignment="1"/>
    <xf numFmtId="0" fontId="15" fillId="0" borderId="49" xfId="0" applyFont="1" applyFill="1" applyBorder="1" applyAlignment="1"/>
    <xf numFmtId="167" fontId="11" fillId="0" borderId="39" xfId="2" applyNumberFormat="1" applyFont="1" applyFill="1" applyBorder="1" applyAlignment="1">
      <alignment horizontal="center"/>
    </xf>
    <xf numFmtId="167" fontId="12" fillId="0" borderId="40" xfId="2" applyNumberFormat="1" applyFont="1" applyFill="1" applyBorder="1" applyAlignment="1">
      <alignment horizontal="center" vertical="center"/>
    </xf>
    <xf numFmtId="168" fontId="11" fillId="0" borderId="50" xfId="2" applyNumberFormat="1" applyFont="1" applyFill="1" applyBorder="1" applyAlignment="1">
      <alignment horizontal="center" vertical="center"/>
    </xf>
    <xf numFmtId="167" fontId="12" fillId="1" borderId="0" xfId="2" applyNumberFormat="1" applyFont="1" applyFill="1" applyBorder="1" applyAlignment="1">
      <alignment horizontal="center" vertical="center"/>
    </xf>
    <xf numFmtId="167" fontId="11" fillId="1" borderId="0" xfId="2" applyNumberFormat="1" applyFont="1" applyFill="1" applyBorder="1" applyAlignment="1">
      <alignment horizontal="center" vertical="center"/>
    </xf>
    <xf numFmtId="167" fontId="12" fillId="1" borderId="50" xfId="2" applyNumberFormat="1" applyFont="1" applyFill="1" applyBorder="1" applyAlignment="1">
      <alignment horizontal="center" vertical="center"/>
    </xf>
    <xf numFmtId="168" fontId="11" fillId="1" borderId="0" xfId="2" applyNumberFormat="1" applyFont="1" applyFill="1" applyBorder="1" applyAlignment="1">
      <alignment horizontal="center" vertical="center"/>
    </xf>
    <xf numFmtId="168" fontId="12" fillId="1" borderId="0" xfId="2" applyNumberFormat="1" applyFont="1" applyFill="1" applyBorder="1" applyAlignment="1">
      <alignment horizontal="center" vertical="center"/>
    </xf>
    <xf numFmtId="168" fontId="12" fillId="1" borderId="50" xfId="2" applyNumberFormat="1" applyFont="1" applyFill="1" applyBorder="1" applyAlignment="1">
      <alignment horizontal="center" vertical="center"/>
    </xf>
    <xf numFmtId="14" fontId="12" fillId="10" borderId="51" xfId="0" applyNumberFormat="1" applyFont="1" applyFill="1" applyBorder="1" applyAlignment="1">
      <alignment horizontal="center" vertical="center"/>
    </xf>
    <xf numFmtId="167" fontId="12" fillId="10" borderId="51" xfId="2" applyNumberFormat="1" applyFont="1" applyFill="1" applyBorder="1" applyAlignment="1">
      <alignment horizontal="center" vertical="center" wrapText="1"/>
    </xf>
    <xf numFmtId="0" fontId="0" fillId="0" borderId="0" xfId="0"/>
    <xf numFmtId="167" fontId="12" fillId="0" borderId="0" xfId="2" applyNumberFormat="1" applyFont="1" applyFill="1" applyBorder="1" applyAlignment="1">
      <alignment horizontal="center" vertical="center"/>
    </xf>
    <xf numFmtId="167" fontId="11" fillId="0" borderId="0" xfId="2" applyNumberFormat="1" applyFont="1" applyFill="1" applyAlignment="1">
      <alignment vertical="center"/>
    </xf>
    <xf numFmtId="167" fontId="12" fillId="0" borderId="0" xfId="2" applyNumberFormat="1" applyFont="1" applyFill="1" applyBorder="1" applyAlignment="1">
      <alignment horizontal="center" vertical="center" wrapText="1"/>
    </xf>
    <xf numFmtId="167" fontId="11" fillId="0" borderId="0" xfId="2" applyNumberFormat="1" applyFont="1" applyFill="1" applyBorder="1" applyAlignment="1">
      <alignment horizontal="center" vertical="center"/>
    </xf>
    <xf numFmtId="167" fontId="12" fillId="0" borderId="0" xfId="2" applyNumberFormat="1" applyFont="1" applyFill="1" applyAlignment="1">
      <alignment horizontal="center" vertical="center"/>
    </xf>
    <xf numFmtId="168" fontId="12" fillId="0" borderId="0" xfId="2" applyNumberFormat="1" applyFont="1" applyFill="1" applyBorder="1" applyAlignment="1">
      <alignment horizontal="center" vertical="center"/>
    </xf>
    <xf numFmtId="167" fontId="12" fillId="0" borderId="39" xfId="2" applyNumberFormat="1" applyFont="1" applyFill="1" applyBorder="1" applyAlignment="1">
      <alignment horizontal="center" vertical="center"/>
    </xf>
    <xf numFmtId="167" fontId="12" fillId="0" borderId="38" xfId="2" applyNumberFormat="1" applyFont="1" applyFill="1" applyBorder="1" applyAlignment="1">
      <alignment horizontal="center" vertical="center"/>
    </xf>
    <xf numFmtId="0" fontId="0" fillId="0" borderId="55" xfId="0" applyBorder="1"/>
    <xf numFmtId="0" fontId="0" fillId="0" borderId="41"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50" xfId="0" applyBorder="1"/>
    <xf numFmtId="0" fontId="0" fillId="0" borderId="60" xfId="0" applyBorder="1"/>
    <xf numFmtId="0" fontId="0" fillId="0" borderId="0" xfId="0" applyBorder="1" applyAlignment="1">
      <alignment vertical="center"/>
    </xf>
    <xf numFmtId="0" fontId="0" fillId="0" borderId="0" xfId="0" applyAlignment="1">
      <alignment vertical="center"/>
    </xf>
    <xf numFmtId="4" fontId="6" fillId="11" borderId="12" xfId="0" applyNumberFormat="1" applyFont="1" applyFill="1" applyBorder="1" applyAlignment="1">
      <alignment horizontal="right" vertical="center"/>
    </xf>
    <xf numFmtId="4" fontId="6" fillId="12" borderId="12" xfId="0" applyNumberFormat="1" applyFont="1" applyFill="1" applyBorder="1" applyAlignment="1">
      <alignment horizontal="right" vertical="center"/>
    </xf>
    <xf numFmtId="164" fontId="11" fillId="0" borderId="0" xfId="1" applyFont="1" applyFill="1" applyBorder="1" applyAlignment="1">
      <alignment horizontal="center" vertical="center"/>
    </xf>
    <xf numFmtId="0" fontId="0" fillId="0" borderId="0" xfId="0"/>
    <xf numFmtId="0" fontId="5" fillId="2" borderId="19" xfId="0" applyFont="1" applyFill="1" applyBorder="1" applyAlignment="1">
      <alignment horizontal="center" vertical="top"/>
    </xf>
    <xf numFmtId="167" fontId="18" fillId="0" borderId="38" xfId="2" applyNumberFormat="1" applyFont="1" applyBorder="1" applyAlignment="1">
      <alignment horizontal="center" vertical="center" wrapText="1"/>
    </xf>
    <xf numFmtId="9" fontId="11" fillId="0" borderId="39" xfId="2" applyNumberFormat="1" applyFont="1" applyFill="1" applyBorder="1" applyAlignment="1">
      <alignment horizontal="center"/>
    </xf>
    <xf numFmtId="14" fontId="12" fillId="0" borderId="51" xfId="0" applyNumberFormat="1" applyFont="1" applyFill="1" applyBorder="1" applyAlignment="1">
      <alignment horizontal="center" vertical="center"/>
    </xf>
    <xf numFmtId="0" fontId="12" fillId="0" borderId="39" xfId="0" applyFont="1" applyFill="1" applyBorder="1"/>
    <xf numFmtId="166" fontId="12" fillId="0" borderId="39" xfId="0" applyNumberFormat="1" applyFont="1" applyFill="1" applyBorder="1"/>
    <xf numFmtId="0" fontId="13" fillId="0" borderId="39" xfId="0" applyFont="1" applyFill="1" applyBorder="1" applyAlignment="1">
      <alignment horizontal="left" vertical="center"/>
    </xf>
    <xf numFmtId="166" fontId="11" fillId="0" borderId="39" xfId="1" applyNumberFormat="1" applyFont="1" applyFill="1" applyBorder="1"/>
    <xf numFmtId="0" fontId="14" fillId="0" borderId="39" xfId="0" applyFont="1" applyFill="1" applyBorder="1" applyAlignment="1">
      <alignment horizontal="left" vertical="center"/>
    </xf>
    <xf numFmtId="0" fontId="14" fillId="0" borderId="40" xfId="0" applyFont="1" applyFill="1" applyBorder="1" applyAlignment="1">
      <alignment horizontal="left" vertical="center"/>
    </xf>
    <xf numFmtId="166" fontId="12" fillId="0" borderId="40" xfId="0" applyNumberFormat="1" applyFont="1" applyFill="1" applyBorder="1"/>
    <xf numFmtId="0" fontId="14" fillId="0" borderId="0" xfId="0" applyFont="1" applyFill="1" applyBorder="1" applyAlignment="1">
      <alignment horizontal="left" vertical="center"/>
    </xf>
    <xf numFmtId="166" fontId="12" fillId="0" borderId="0" xfId="0" applyNumberFormat="1" applyFont="1" applyFill="1"/>
    <xf numFmtId="0" fontId="11" fillId="0" borderId="0" xfId="0" applyFont="1" applyFill="1"/>
    <xf numFmtId="14" fontId="12" fillId="10" borderId="51" xfId="2" applyNumberFormat="1" applyFont="1" applyFill="1" applyBorder="1" applyAlignment="1">
      <alignment horizontal="center" vertical="center"/>
    </xf>
    <xf numFmtId="167" fontId="12" fillId="0" borderId="50" xfId="2" applyNumberFormat="1" applyFont="1" applyBorder="1" applyAlignment="1">
      <alignment horizontal="center" vertical="center"/>
    </xf>
    <xf numFmtId="0" fontId="0" fillId="0" borderId="0" xfId="0" applyAlignment="1"/>
    <xf numFmtId="0" fontId="0" fillId="0" borderId="0" xfId="0" applyFill="1"/>
    <xf numFmtId="0" fontId="5" fillId="2" borderId="19" xfId="0" applyFont="1" applyFill="1" applyBorder="1" applyAlignment="1">
      <alignment vertical="top"/>
    </xf>
    <xf numFmtId="0" fontId="0" fillId="2" borderId="6" xfId="0" applyFill="1" applyBorder="1" applyAlignment="1"/>
    <xf numFmtId="0" fontId="5" fillId="2" borderId="69" xfId="0" applyFont="1" applyFill="1" applyBorder="1" applyAlignment="1">
      <alignment horizontal="center" vertical="top"/>
    </xf>
    <xf numFmtId="0" fontId="6" fillId="3" borderId="19" xfId="0" applyFont="1" applyFill="1" applyBorder="1" applyAlignment="1">
      <alignment horizontal="left" vertical="center"/>
    </xf>
    <xf numFmtId="4" fontId="6" fillId="3" borderId="9" xfId="0" applyNumberFormat="1" applyFont="1" applyFill="1" applyBorder="1" applyAlignment="1">
      <alignment horizontal="right" vertical="center"/>
    </xf>
    <xf numFmtId="3" fontId="6" fillId="3" borderId="9" xfId="0" applyNumberFormat="1" applyFont="1" applyFill="1" applyBorder="1" applyAlignment="1">
      <alignment horizontal="right" vertical="center"/>
    </xf>
    <xf numFmtId="0" fontId="6" fillId="3" borderId="9" xfId="0" applyFont="1" applyFill="1" applyBorder="1" applyAlignment="1">
      <alignment horizontal="left" vertical="center"/>
    </xf>
    <xf numFmtId="0" fontId="0" fillId="3" borderId="9" xfId="0" applyFill="1" applyBorder="1"/>
    <xf numFmtId="3" fontId="19" fillId="3" borderId="9" xfId="0" applyNumberFormat="1" applyFont="1" applyFill="1" applyBorder="1" applyAlignment="1">
      <alignment horizontal="right" vertical="center"/>
    </xf>
    <xf numFmtId="0" fontId="0" fillId="0" borderId="0" xfId="0"/>
    <xf numFmtId="169" fontId="6" fillId="3" borderId="9" xfId="0" applyNumberFormat="1" applyFont="1" applyFill="1" applyBorder="1" applyAlignment="1">
      <alignment horizontal="right" vertical="center"/>
    </xf>
    <xf numFmtId="170" fontId="6" fillId="3" borderId="9" xfId="0" applyNumberFormat="1" applyFont="1" applyFill="1" applyBorder="1" applyAlignment="1">
      <alignment horizontal="right" vertical="center"/>
    </xf>
    <xf numFmtId="171" fontId="6" fillId="13" borderId="9" xfId="0" applyNumberFormat="1" applyFont="1" applyFill="1" applyBorder="1" applyAlignment="1">
      <alignment horizontal="right" vertical="center"/>
    </xf>
    <xf numFmtId="171" fontId="6" fillId="14" borderId="9" xfId="0" applyNumberFormat="1" applyFont="1" applyFill="1" applyBorder="1" applyAlignment="1">
      <alignment horizontal="right" vertical="center"/>
    </xf>
    <xf numFmtId="171" fontId="6" fillId="15" borderId="9" xfId="0" applyNumberFormat="1" applyFont="1" applyFill="1" applyBorder="1" applyAlignment="1">
      <alignment horizontal="right" vertical="center"/>
    </xf>
    <xf numFmtId="169" fontId="19" fillId="3" borderId="9" xfId="0" applyNumberFormat="1" applyFont="1" applyFill="1" applyBorder="1" applyAlignment="1">
      <alignment horizontal="right" vertical="center"/>
    </xf>
    <xf numFmtId="171" fontId="19" fillId="13" borderId="9" xfId="0" applyNumberFormat="1" applyFont="1" applyFill="1" applyBorder="1" applyAlignment="1">
      <alignment horizontal="right" vertical="center"/>
    </xf>
    <xf numFmtId="171" fontId="19" fillId="15" borderId="9" xfId="0" applyNumberFormat="1" applyFont="1" applyFill="1" applyBorder="1" applyAlignment="1">
      <alignment horizontal="right" vertical="center"/>
    </xf>
    <xf numFmtId="171" fontId="19" fillId="14" borderId="9" xfId="0" applyNumberFormat="1" applyFont="1" applyFill="1" applyBorder="1" applyAlignment="1">
      <alignment horizontal="right" vertical="center"/>
    </xf>
    <xf numFmtId="167" fontId="12" fillId="0" borderId="70" xfId="2" applyNumberFormat="1" applyFont="1" applyBorder="1" applyAlignment="1">
      <alignment horizontal="center" vertical="center"/>
    </xf>
    <xf numFmtId="166" fontId="12" fillId="0" borderId="70" xfId="0" applyNumberFormat="1" applyFont="1" applyFill="1" applyBorder="1"/>
    <xf numFmtId="167" fontId="18" fillId="0" borderId="51" xfId="2" applyNumberFormat="1" applyFont="1" applyBorder="1" applyAlignment="1">
      <alignment horizontal="center" vertical="center" wrapText="1"/>
    </xf>
    <xf numFmtId="167" fontId="12" fillId="0" borderId="51" xfId="2" applyNumberFormat="1" applyFont="1" applyBorder="1" applyAlignment="1">
      <alignment horizontal="center" vertical="center"/>
    </xf>
    <xf numFmtId="0" fontId="0" fillId="0" borderId="71" xfId="0" applyBorder="1"/>
    <xf numFmtId="0" fontId="0" fillId="0" borderId="72" xfId="0" applyBorder="1"/>
    <xf numFmtId="4" fontId="0" fillId="0" borderId="0" xfId="0" applyNumberFormat="1"/>
    <xf numFmtId="167" fontId="11" fillId="0" borderId="39" xfId="2" applyNumberFormat="1" applyFont="1" applyFill="1" applyBorder="1" applyAlignment="1">
      <alignment horizontal="center" vertical="center"/>
    </xf>
    <xf numFmtId="167" fontId="11" fillId="0" borderId="53" xfId="2" applyNumberFormat="1" applyFont="1" applyFill="1" applyBorder="1" applyAlignment="1">
      <alignment horizontal="center" vertical="center"/>
    </xf>
    <xf numFmtId="167" fontId="12" fillId="0" borderId="53" xfId="2" applyNumberFormat="1" applyFont="1" applyFill="1" applyBorder="1" applyAlignment="1">
      <alignment horizontal="center" vertical="center"/>
    </xf>
    <xf numFmtId="167" fontId="12" fillId="0" borderId="54" xfId="2" applyNumberFormat="1" applyFont="1" applyFill="1" applyBorder="1" applyAlignment="1">
      <alignment horizontal="center" vertical="center"/>
    </xf>
    <xf numFmtId="165" fontId="6" fillId="3" borderId="9" xfId="0" applyNumberFormat="1" applyFont="1" applyFill="1" applyBorder="1" applyAlignment="1">
      <alignment horizontal="right" vertical="center"/>
    </xf>
    <xf numFmtId="174" fontId="6" fillId="15" borderId="9" xfId="0" applyNumberFormat="1" applyFont="1" applyFill="1" applyBorder="1" applyAlignment="1">
      <alignment horizontal="right" vertical="center"/>
    </xf>
    <xf numFmtId="167" fontId="21" fillId="0" borderId="0" xfId="2" applyNumberFormat="1" applyFont="1" applyFill="1" applyBorder="1" applyAlignment="1">
      <alignment horizontal="center" vertical="center"/>
    </xf>
    <xf numFmtId="167" fontId="22" fillId="0" borderId="0" xfId="2" applyNumberFormat="1" applyFont="1" applyFill="1" applyAlignment="1">
      <alignment vertical="center"/>
    </xf>
    <xf numFmtId="14" fontId="12" fillId="0" borderId="38" xfId="0" applyNumberFormat="1" applyFont="1" applyFill="1" applyBorder="1" applyAlignment="1">
      <alignment horizontal="center" vertical="center"/>
    </xf>
    <xf numFmtId="166" fontId="11" fillId="0" borderId="40" xfId="1" applyNumberFormat="1" applyFont="1" applyFill="1" applyBorder="1"/>
    <xf numFmtId="167" fontId="11" fillId="0" borderId="40" xfId="2" applyNumberFormat="1" applyFont="1" applyBorder="1" applyAlignment="1">
      <alignment horizontal="center" vertical="center"/>
    </xf>
    <xf numFmtId="172" fontId="20" fillId="17" borderId="51" xfId="1" applyNumberFormat="1" applyFont="1" applyFill="1" applyBorder="1" applyAlignment="1">
      <alignment horizontal="center" vertical="center" wrapText="1"/>
    </xf>
    <xf numFmtId="167" fontId="20" fillId="17" borderId="51" xfId="2" applyNumberFormat="1" applyFont="1" applyFill="1" applyBorder="1" applyAlignment="1">
      <alignment horizontal="center" vertical="center" wrapText="1"/>
    </xf>
    <xf numFmtId="0" fontId="0" fillId="0" borderId="0" xfId="0"/>
    <xf numFmtId="165" fontId="19" fillId="3" borderId="9" xfId="0" applyNumberFormat="1" applyFont="1" applyFill="1" applyBorder="1" applyAlignment="1">
      <alignment horizontal="right" vertical="center"/>
    </xf>
    <xf numFmtId="0" fontId="5" fillId="2" borderId="69" xfId="0" applyFont="1" applyFill="1" applyBorder="1" applyAlignment="1">
      <alignment horizontal="center" vertical="top" wrapText="1"/>
    </xf>
    <xf numFmtId="165" fontId="24" fillId="19" borderId="19" xfId="0" applyNumberFormat="1" applyFont="1" applyFill="1" applyBorder="1" applyAlignment="1">
      <alignment horizontal="right" vertical="center"/>
    </xf>
    <xf numFmtId="165" fontId="24" fillId="19" borderId="9" xfId="0" applyNumberFormat="1" applyFont="1" applyFill="1" applyBorder="1" applyAlignment="1">
      <alignment horizontal="right" vertical="center"/>
    </xf>
    <xf numFmtId="0" fontId="24" fillId="20" borderId="76" xfId="0" applyFont="1" applyFill="1" applyBorder="1" applyAlignment="1">
      <alignment vertical="top"/>
    </xf>
    <xf numFmtId="177" fontId="24" fillId="20" borderId="78" xfId="0" applyNumberFormat="1" applyFont="1" applyFill="1" applyBorder="1" applyAlignment="1">
      <alignment horizontal="right" vertical="top"/>
    </xf>
    <xf numFmtId="0" fontId="24" fillId="19" borderId="61" xfId="0" applyFont="1" applyFill="1" applyBorder="1" applyAlignment="1">
      <alignment vertical="top"/>
    </xf>
    <xf numFmtId="0" fontId="24" fillId="19" borderId="79" xfId="0" applyFont="1" applyFill="1" applyBorder="1" applyAlignment="1">
      <alignment vertical="top"/>
    </xf>
    <xf numFmtId="0" fontId="0" fillId="2" borderId="5" xfId="0" applyFill="1" applyBorder="1" applyAlignment="1"/>
    <xf numFmtId="0" fontId="0" fillId="2" borderId="20" xfId="0" applyFill="1" applyBorder="1" applyAlignment="1"/>
    <xf numFmtId="0" fontId="0" fillId="19" borderId="6" xfId="0" applyFill="1" applyBorder="1" applyAlignment="1"/>
    <xf numFmtId="0" fontId="6" fillId="3" borderId="9" xfId="0" applyFont="1" applyFill="1" applyBorder="1" applyAlignment="1">
      <alignment vertical="center"/>
    </xf>
    <xf numFmtId="0" fontId="0" fillId="0" borderId="69" xfId="0" applyBorder="1" applyAlignment="1"/>
    <xf numFmtId="0" fontId="0" fillId="0" borderId="9" xfId="0" applyBorder="1" applyAlignment="1"/>
    <xf numFmtId="0" fontId="0" fillId="19" borderId="81" xfId="0" applyFill="1" applyBorder="1" applyAlignment="1"/>
    <xf numFmtId="0" fontId="0" fillId="20" borderId="82" xfId="0" applyFill="1" applyBorder="1" applyAlignment="1"/>
    <xf numFmtId="165" fontId="19" fillId="21" borderId="9" xfId="0" applyNumberFormat="1" applyFont="1" applyFill="1" applyBorder="1" applyAlignment="1">
      <alignment horizontal="right" vertical="center"/>
    </xf>
    <xf numFmtId="165" fontId="24" fillId="21" borderId="19" xfId="0" applyNumberFormat="1" applyFont="1" applyFill="1" applyBorder="1" applyAlignment="1">
      <alignment horizontal="right" vertical="center"/>
    </xf>
    <xf numFmtId="165" fontId="24" fillId="21" borderId="9" xfId="0" applyNumberFormat="1" applyFont="1" applyFill="1" applyBorder="1" applyAlignment="1">
      <alignment horizontal="right" vertical="center"/>
    </xf>
    <xf numFmtId="165" fontId="24" fillId="21" borderId="77" xfId="0" applyNumberFormat="1" applyFont="1" applyFill="1" applyBorder="1" applyAlignment="1">
      <alignment horizontal="right" vertical="top"/>
    </xf>
    <xf numFmtId="0" fontId="0" fillId="0" borderId="0" xfId="0"/>
    <xf numFmtId="166" fontId="12" fillId="0" borderId="38" xfId="0" applyNumberFormat="1" applyFont="1" applyFill="1" applyBorder="1"/>
    <xf numFmtId="0" fontId="0" fillId="0" borderId="0" xfId="0"/>
    <xf numFmtId="0" fontId="27" fillId="0" borderId="0" xfId="0" applyFont="1" applyFill="1" applyAlignment="1">
      <alignment vertical="center"/>
    </xf>
    <xf numFmtId="0" fontId="28" fillId="0" borderId="0" xfId="0" applyFont="1" applyFill="1"/>
    <xf numFmtId="0" fontId="28" fillId="0" borderId="0" xfId="0" applyFont="1"/>
    <xf numFmtId="0" fontId="0" fillId="22" borderId="0" xfId="0" applyFill="1"/>
    <xf numFmtId="10" fontId="0" fillId="0" borderId="0" xfId="0" applyNumberFormat="1" applyFill="1" applyBorder="1"/>
    <xf numFmtId="3" fontId="0" fillId="0" borderId="0" xfId="0" applyNumberFormat="1" applyFill="1" applyBorder="1"/>
    <xf numFmtId="0" fontId="30" fillId="0" borderId="0" xfId="0" applyFont="1" applyFill="1" applyBorder="1"/>
    <xf numFmtId="0" fontId="0" fillId="0" borderId="0" xfId="0" pivotButton="1"/>
    <xf numFmtId="0" fontId="0" fillId="0" borderId="0" xfId="0" applyAlignment="1">
      <alignment horizontal="left"/>
    </xf>
    <xf numFmtId="166" fontId="0" fillId="0" borderId="0" xfId="0" applyNumberFormat="1"/>
    <xf numFmtId="167" fontId="12" fillId="23" borderId="38" xfId="2" applyNumberFormat="1" applyFont="1" applyFill="1" applyBorder="1" applyAlignment="1">
      <alignment horizontal="center" vertical="center"/>
    </xf>
    <xf numFmtId="167" fontId="11" fillId="23" borderId="39" xfId="2" applyNumberFormat="1" applyFont="1" applyFill="1" applyBorder="1" applyAlignment="1">
      <alignment horizontal="center"/>
    </xf>
    <xf numFmtId="167" fontId="12" fillId="23" borderId="39" xfId="2" applyNumberFormat="1" applyFont="1" applyFill="1" applyBorder="1" applyAlignment="1">
      <alignment horizontal="center" vertical="center"/>
    </xf>
    <xf numFmtId="167" fontId="12" fillId="23" borderId="40" xfId="2" applyNumberFormat="1" applyFont="1" applyFill="1" applyBorder="1" applyAlignment="1">
      <alignment horizontal="center" vertical="center"/>
    </xf>
    <xf numFmtId="166" fontId="11" fillId="0" borderId="39" xfId="1" applyNumberFormat="1" applyFont="1" applyFill="1" applyBorder="1" applyAlignment="1">
      <alignment horizontal="center"/>
    </xf>
    <xf numFmtId="166" fontId="12" fillId="0" borderId="40" xfId="2" applyNumberFormat="1" applyFont="1" applyFill="1" applyBorder="1" applyAlignment="1">
      <alignment horizontal="center" vertical="center"/>
    </xf>
    <xf numFmtId="166" fontId="12" fillId="0" borderId="39" xfId="2" applyNumberFormat="1" applyFont="1" applyFill="1" applyBorder="1" applyAlignment="1">
      <alignment horizontal="center" vertical="center"/>
    </xf>
    <xf numFmtId="166" fontId="12" fillId="0" borderId="38" xfId="1" applyNumberFormat="1" applyFont="1" applyFill="1" applyBorder="1" applyAlignment="1">
      <alignment horizontal="center" vertical="center"/>
    </xf>
    <xf numFmtId="167" fontId="11" fillId="0" borderId="50" xfId="2" applyNumberFormat="1" applyFont="1" applyFill="1" applyBorder="1" applyAlignment="1">
      <alignment horizontal="center" vertical="center"/>
    </xf>
    <xf numFmtId="167" fontId="32" fillId="0" borderId="53" xfId="2" applyNumberFormat="1" applyFont="1" applyFill="1" applyBorder="1" applyAlignment="1">
      <alignment horizontal="center" vertical="center"/>
    </xf>
    <xf numFmtId="0" fontId="5" fillId="2" borderId="8" xfId="0" applyFont="1" applyFill="1" applyBorder="1" applyAlignment="1">
      <alignment horizontal="center" vertical="top" wrapText="1"/>
    </xf>
    <xf numFmtId="0" fontId="5" fillId="2" borderId="9" xfId="0" applyFont="1" applyFill="1" applyBorder="1" applyAlignment="1">
      <alignment horizontal="center" vertical="top" wrapText="1"/>
    </xf>
    <xf numFmtId="0" fontId="5" fillId="2" borderId="10" xfId="0" applyFont="1" applyFill="1" applyBorder="1" applyAlignment="1">
      <alignment horizontal="center" vertical="top" wrapText="1"/>
    </xf>
    <xf numFmtId="0" fontId="33" fillId="0" borderId="0" xfId="0" applyFont="1" applyFill="1" applyBorder="1" applyAlignment="1">
      <alignment horizontal="center" vertical="center"/>
    </xf>
    <xf numFmtId="9" fontId="11" fillId="0" borderId="39" xfId="2" applyFont="1" applyFill="1" applyBorder="1" applyAlignment="1">
      <alignment horizontal="center" vertical="center"/>
    </xf>
    <xf numFmtId="168" fontId="32" fillId="0" borderId="39" xfId="2" applyNumberFormat="1" applyFont="1" applyFill="1" applyBorder="1" applyAlignment="1">
      <alignment horizontal="center" vertical="center"/>
    </xf>
    <xf numFmtId="168" fontId="35" fillId="0" borderId="85" xfId="2" applyNumberFormat="1" applyFont="1" applyFill="1" applyBorder="1" applyAlignment="1">
      <alignment horizontal="center" vertical="center"/>
    </xf>
    <xf numFmtId="1" fontId="36" fillId="0" borderId="0" xfId="0" applyNumberFormat="1" applyFont="1" applyFill="1" applyBorder="1"/>
    <xf numFmtId="168" fontId="35" fillId="0" borderId="88" xfId="2" applyNumberFormat="1" applyFont="1" applyFill="1" applyBorder="1" applyAlignment="1">
      <alignment horizontal="center" vertical="center"/>
    </xf>
    <xf numFmtId="168" fontId="35" fillId="0" borderId="91" xfId="2" applyNumberFormat="1" applyFont="1" applyFill="1" applyBorder="1" applyAlignment="1">
      <alignment horizontal="center" vertical="center"/>
    </xf>
    <xf numFmtId="0" fontId="2" fillId="0" borderId="0" xfId="0" applyFont="1" applyFill="1" applyBorder="1"/>
    <xf numFmtId="0" fontId="0" fillId="0" borderId="0" xfId="0"/>
    <xf numFmtId="167" fontId="18" fillId="0" borderId="51" xfId="2" applyNumberFormat="1" applyFont="1" applyFill="1" applyBorder="1" applyAlignment="1">
      <alignment horizontal="center" vertical="center" wrapText="1"/>
    </xf>
    <xf numFmtId="167" fontId="12" fillId="0" borderId="51" xfId="2" applyNumberFormat="1" applyFont="1" applyFill="1" applyBorder="1" applyAlignment="1">
      <alignment horizontal="center" vertical="center"/>
    </xf>
    <xf numFmtId="167" fontId="12" fillId="0" borderId="70" xfId="2" applyNumberFormat="1" applyFont="1" applyFill="1" applyBorder="1" applyAlignment="1">
      <alignment horizontal="center" vertical="center"/>
    </xf>
    <xf numFmtId="167" fontId="12" fillId="0" borderId="73" xfId="2" applyNumberFormat="1" applyFont="1" applyFill="1" applyBorder="1" applyAlignment="1">
      <alignment horizontal="center" vertical="center"/>
    </xf>
    <xf numFmtId="14" fontId="51" fillId="0" borderId="0" xfId="34" applyNumberFormat="1"/>
    <xf numFmtId="0" fontId="51" fillId="0" borderId="0" xfId="34"/>
    <xf numFmtId="168" fontId="11" fillId="0" borderId="100" xfId="2" applyNumberFormat="1" applyFont="1" applyFill="1" applyBorder="1" applyAlignment="1">
      <alignment horizontal="center" vertical="center"/>
    </xf>
    <xf numFmtId="0" fontId="51" fillId="51" borderId="0" xfId="34" applyFill="1"/>
    <xf numFmtId="0" fontId="51" fillId="52" borderId="0" xfId="34" applyFill="1"/>
    <xf numFmtId="0" fontId="51" fillId="18" borderId="0" xfId="34" applyFill="1"/>
    <xf numFmtId="0" fontId="51" fillId="50" borderId="0" xfId="34" applyFill="1"/>
    <xf numFmtId="0" fontId="57" fillId="53" borderId="0" xfId="34" applyFont="1" applyFill="1"/>
    <xf numFmtId="0" fontId="0" fillId="0" borderId="0" xfId="0" applyNumberFormat="1"/>
    <xf numFmtId="167" fontId="35" fillId="0" borderId="101" xfId="2" applyNumberFormat="1" applyFont="1" applyFill="1" applyBorder="1" applyAlignment="1">
      <alignment horizontal="center" vertical="center"/>
    </xf>
    <xf numFmtId="167" fontId="35" fillId="0" borderId="102" xfId="2" applyNumberFormat="1" applyFont="1" applyFill="1" applyBorder="1" applyAlignment="1">
      <alignment horizontal="center" vertical="center"/>
    </xf>
    <xf numFmtId="167" fontId="35" fillId="0" borderId="103" xfId="2" applyNumberFormat="1" applyFont="1" applyFill="1" applyBorder="1" applyAlignment="1">
      <alignment horizontal="center" vertical="center"/>
    </xf>
    <xf numFmtId="167" fontId="35" fillId="0" borderId="104" xfId="2" applyNumberFormat="1" applyFont="1" applyFill="1" applyBorder="1" applyAlignment="1">
      <alignment horizontal="center" vertical="center"/>
    </xf>
    <xf numFmtId="167" fontId="35" fillId="0" borderId="105" xfId="2" applyNumberFormat="1" applyFont="1" applyFill="1" applyBorder="1" applyAlignment="1">
      <alignment horizontal="center" vertical="center"/>
    </xf>
    <xf numFmtId="167" fontId="35" fillId="0" borderId="106" xfId="2" applyNumberFormat="1" applyFont="1" applyFill="1" applyBorder="1" applyAlignment="1">
      <alignment horizontal="center" vertical="center"/>
    </xf>
    <xf numFmtId="166" fontId="22" fillId="0" borderId="0" xfId="1" applyNumberFormat="1" applyFont="1" applyFill="1" applyBorder="1" applyAlignment="1">
      <alignment horizontal="center" vertical="center"/>
    </xf>
    <xf numFmtId="0" fontId="22" fillId="0" borderId="0" xfId="0" applyFont="1" applyFill="1"/>
    <xf numFmtId="166" fontId="21" fillId="0" borderId="0" xfId="1" applyNumberFormat="1" applyFont="1" applyFill="1" applyBorder="1" applyAlignment="1">
      <alignment horizontal="center" vertical="center"/>
    </xf>
    <xf numFmtId="167" fontId="22" fillId="0" borderId="0" xfId="2" applyNumberFormat="1" applyFont="1" applyFill="1" applyBorder="1" applyAlignment="1">
      <alignment horizontal="center" vertical="center"/>
    </xf>
    <xf numFmtId="178" fontId="12" fillId="0" borderId="38" xfId="2" applyNumberFormat="1" applyFont="1" applyFill="1" applyBorder="1" applyAlignment="1">
      <alignment horizontal="center" vertical="center"/>
    </xf>
    <xf numFmtId="178" fontId="11" fillId="0" borderId="39" xfId="2" applyNumberFormat="1" applyFont="1" applyFill="1" applyBorder="1" applyAlignment="1">
      <alignment horizontal="center"/>
    </xf>
    <xf numFmtId="178" fontId="12" fillId="0" borderId="39" xfId="2" applyNumberFormat="1" applyFont="1" applyFill="1" applyBorder="1" applyAlignment="1">
      <alignment horizontal="center" vertical="center"/>
    </xf>
    <xf numFmtId="178" fontId="12" fillId="0" borderId="40" xfId="2" applyNumberFormat="1" applyFont="1" applyFill="1" applyBorder="1" applyAlignment="1">
      <alignment horizontal="center" vertical="center"/>
    </xf>
    <xf numFmtId="178" fontId="12" fillId="0" borderId="39" xfId="2" applyNumberFormat="1" applyFont="1" applyFill="1" applyBorder="1" applyAlignment="1">
      <alignment horizontal="center"/>
    </xf>
    <xf numFmtId="167" fontId="12" fillId="0" borderId="50" xfId="2" applyNumberFormat="1" applyFont="1" applyFill="1" applyBorder="1" applyAlignment="1">
      <alignment horizontal="center" vertical="center"/>
    </xf>
    <xf numFmtId="14" fontId="12" fillId="0" borderId="0" xfId="0" quotePrefix="1" applyNumberFormat="1" applyFont="1" applyFill="1" applyAlignment="1">
      <alignment horizontal="center" vertical="center"/>
    </xf>
    <xf numFmtId="166" fontId="38" fillId="0" borderId="39" xfId="1" applyNumberFormat="1" applyFont="1" applyFill="1" applyBorder="1"/>
    <xf numFmtId="0" fontId="37" fillId="0" borderId="0" xfId="0" applyFont="1"/>
    <xf numFmtId="0" fontId="0" fillId="0" borderId="0" xfId="0"/>
    <xf numFmtId="0" fontId="22" fillId="0" borderId="0" xfId="0" applyFont="1"/>
    <xf numFmtId="167" fontId="21" fillId="0" borderId="0" xfId="2" applyNumberFormat="1" applyFont="1" applyFill="1" applyAlignment="1">
      <alignment horizontal="center" vertical="center"/>
    </xf>
    <xf numFmtId="168" fontId="22" fillId="0" borderId="0" xfId="2" applyNumberFormat="1" applyFont="1" applyFill="1" applyBorder="1" applyAlignment="1">
      <alignment horizontal="center" vertical="center"/>
    </xf>
    <xf numFmtId="168" fontId="21" fillId="0" borderId="0" xfId="2" applyNumberFormat="1" applyFont="1" applyFill="1" applyBorder="1" applyAlignment="1">
      <alignment horizontal="center" vertical="center"/>
    </xf>
    <xf numFmtId="14" fontId="21" fillId="0" borderId="51" xfId="0" applyNumberFormat="1" applyFont="1" applyFill="1" applyBorder="1" applyAlignment="1">
      <alignment horizontal="center" vertical="center"/>
    </xf>
    <xf numFmtId="166" fontId="21" fillId="10" borderId="39" xfId="0" applyNumberFormat="1" applyFont="1" applyFill="1" applyBorder="1"/>
    <xf numFmtId="166" fontId="22" fillId="10" borderId="39" xfId="1" applyNumberFormat="1" applyFont="1" applyFill="1" applyBorder="1"/>
    <xf numFmtId="166" fontId="21" fillId="10" borderId="40" xfId="0" applyNumberFormat="1" applyFont="1" applyFill="1" applyBorder="1"/>
    <xf numFmtId="164" fontId="21" fillId="0" borderId="0" xfId="1" applyFont="1" applyFill="1" applyBorder="1" applyAlignment="1">
      <alignment horizontal="center" vertical="center"/>
    </xf>
    <xf numFmtId="0" fontId="22" fillId="0" borderId="0" xfId="0" applyFont="1" applyAlignment="1">
      <alignment vertical="center"/>
    </xf>
    <xf numFmtId="0" fontId="0" fillId="0" borderId="0" xfId="0"/>
    <xf numFmtId="168" fontId="35" fillId="23" borderId="88" xfId="2" applyNumberFormat="1" applyFont="1" applyFill="1" applyBorder="1" applyAlignment="1">
      <alignment horizontal="center" vertical="center"/>
    </xf>
    <xf numFmtId="166" fontId="38" fillId="10" borderId="0" xfId="1" applyNumberFormat="1" applyFont="1" applyFill="1" applyBorder="1" applyAlignment="1">
      <alignment horizontal="center" vertical="center"/>
    </xf>
    <xf numFmtId="164" fontId="38" fillId="10" borderId="0" xfId="1" applyNumberFormat="1" applyFont="1" applyFill="1" applyBorder="1" applyAlignment="1">
      <alignment horizontal="center" vertical="center"/>
    </xf>
    <xf numFmtId="167" fontId="59" fillId="10" borderId="108" xfId="2" applyNumberFormat="1" applyFont="1" applyFill="1" applyBorder="1" applyAlignment="1">
      <alignment horizontal="center" vertical="center" wrapText="1"/>
    </xf>
    <xf numFmtId="167" fontId="21" fillId="10" borderId="108" xfId="2" applyNumberFormat="1" applyFont="1" applyFill="1" applyBorder="1" applyAlignment="1">
      <alignment horizontal="center" vertical="center"/>
    </xf>
    <xf numFmtId="167" fontId="21" fillId="10" borderId="109" xfId="2" applyNumberFormat="1" applyFont="1" applyFill="1" applyBorder="1" applyAlignment="1">
      <alignment horizontal="center" vertical="center"/>
    </xf>
    <xf numFmtId="167" fontId="21" fillId="10" borderId="0" xfId="2" applyNumberFormat="1" applyFont="1" applyFill="1" applyBorder="1" applyAlignment="1">
      <alignment horizontal="center" vertical="center"/>
    </xf>
    <xf numFmtId="166" fontId="21" fillId="10" borderId="0" xfId="1" applyNumberFormat="1" applyFont="1" applyFill="1" applyBorder="1" applyAlignment="1">
      <alignment horizontal="center" vertical="center"/>
    </xf>
    <xf numFmtId="167" fontId="21" fillId="10" borderId="111" xfId="2" applyNumberFormat="1" applyFont="1" applyFill="1" applyBorder="1" applyAlignment="1">
      <alignment horizontal="center" vertical="center"/>
    </xf>
    <xf numFmtId="166" fontId="22" fillId="10" borderId="0" xfId="1" applyNumberFormat="1" applyFont="1" applyFill="1" applyBorder="1" applyAlignment="1">
      <alignment horizontal="center" vertical="center"/>
    </xf>
    <xf numFmtId="167" fontId="22" fillId="10" borderId="0" xfId="2" applyNumberFormat="1" applyFont="1" applyFill="1" applyBorder="1" applyAlignment="1">
      <alignment horizontal="center" vertical="center"/>
    </xf>
    <xf numFmtId="167" fontId="22" fillId="10" borderId="111" xfId="2" applyNumberFormat="1" applyFont="1" applyFill="1" applyBorder="1" applyAlignment="1">
      <alignment horizontal="center" vertical="center"/>
    </xf>
    <xf numFmtId="167" fontId="21" fillId="10" borderId="112" xfId="2" applyNumberFormat="1" applyFont="1" applyFill="1" applyBorder="1" applyAlignment="1">
      <alignment horizontal="center" vertical="center"/>
    </xf>
    <xf numFmtId="167" fontId="21" fillId="10" borderId="100" xfId="2" applyNumberFormat="1" applyFont="1" applyFill="1" applyBorder="1" applyAlignment="1">
      <alignment horizontal="center" vertical="center"/>
    </xf>
    <xf numFmtId="167" fontId="21" fillId="10" borderId="113" xfId="2" applyNumberFormat="1" applyFont="1" applyFill="1" applyBorder="1" applyAlignment="1">
      <alignment horizontal="center" vertical="center"/>
    </xf>
    <xf numFmtId="167" fontId="22" fillId="10" borderId="107" xfId="2" applyNumberFormat="1" applyFont="1" applyFill="1" applyBorder="1" applyAlignment="1">
      <alignment vertical="center"/>
    </xf>
    <xf numFmtId="167" fontId="22" fillId="10" borderId="108" xfId="2" applyNumberFormat="1" applyFont="1" applyFill="1" applyBorder="1" applyAlignment="1">
      <alignment vertical="center"/>
    </xf>
    <xf numFmtId="167" fontId="22" fillId="10" borderId="109" xfId="2" applyNumberFormat="1" applyFont="1" applyFill="1" applyBorder="1" applyAlignment="1">
      <alignment vertical="center"/>
    </xf>
    <xf numFmtId="167" fontId="22" fillId="10" borderId="100" xfId="2" applyNumberFormat="1" applyFont="1" applyFill="1" applyBorder="1" applyAlignment="1">
      <alignment horizontal="center" vertical="center"/>
    </xf>
    <xf numFmtId="166" fontId="22" fillId="10" borderId="100" xfId="1" applyNumberFormat="1" applyFont="1" applyFill="1" applyBorder="1" applyAlignment="1">
      <alignment horizontal="center" vertical="center"/>
    </xf>
    <xf numFmtId="167" fontId="22" fillId="10" borderId="113" xfId="2" applyNumberFormat="1" applyFont="1" applyFill="1" applyBorder="1" applyAlignment="1">
      <alignment horizontal="center" vertical="center"/>
    </xf>
    <xf numFmtId="0" fontId="37" fillId="0" borderId="0" xfId="0" applyFont="1" applyAlignment="1"/>
    <xf numFmtId="0" fontId="60" fillId="2" borderId="7" xfId="0" applyFont="1" applyFill="1" applyBorder="1" applyAlignment="1">
      <alignment horizontal="center" vertical="top"/>
    </xf>
    <xf numFmtId="0" fontId="60" fillId="2" borderId="8" xfId="0" applyFont="1" applyFill="1" applyBorder="1" applyAlignment="1">
      <alignment horizontal="center" vertical="top"/>
    </xf>
    <xf numFmtId="0" fontId="60" fillId="2" borderId="9" xfId="0" applyFont="1" applyFill="1" applyBorder="1" applyAlignment="1">
      <alignment horizontal="center" vertical="top"/>
    </xf>
    <xf numFmtId="0" fontId="60" fillId="2" borderId="10" xfId="0" applyFont="1" applyFill="1" applyBorder="1" applyAlignment="1">
      <alignment horizontal="center" vertical="top"/>
    </xf>
    <xf numFmtId="0" fontId="23" fillId="3" borderId="11" xfId="0" applyFont="1" applyFill="1" applyBorder="1" applyAlignment="1">
      <alignment horizontal="left" vertical="center"/>
    </xf>
    <xf numFmtId="165" fontId="23" fillId="3" borderId="12" xfId="0" applyNumberFormat="1" applyFont="1" applyFill="1" applyBorder="1" applyAlignment="1">
      <alignment horizontal="right" vertical="center"/>
    </xf>
    <xf numFmtId="3" fontId="23" fillId="3" borderId="12" xfId="0" applyNumberFormat="1" applyFont="1" applyFill="1" applyBorder="1" applyAlignment="1">
      <alignment horizontal="right" vertical="center"/>
    </xf>
    <xf numFmtId="3" fontId="23" fillId="3" borderId="13" xfId="0" applyNumberFormat="1" applyFont="1" applyFill="1" applyBorder="1" applyAlignment="1">
      <alignment horizontal="right" vertical="center"/>
    </xf>
    <xf numFmtId="0" fontId="23" fillId="3" borderId="14" xfId="0" applyFont="1" applyFill="1" applyBorder="1" applyAlignment="1">
      <alignment horizontal="left" vertical="center"/>
    </xf>
    <xf numFmtId="0" fontId="23" fillId="3" borderId="15" xfId="0" applyFont="1" applyFill="1" applyBorder="1" applyAlignment="1">
      <alignment horizontal="left" vertical="center"/>
    </xf>
    <xf numFmtId="165" fontId="23" fillId="3" borderId="16" xfId="0" applyNumberFormat="1" applyFont="1" applyFill="1" applyBorder="1" applyAlignment="1">
      <alignment horizontal="right" vertical="center"/>
    </xf>
    <xf numFmtId="3" fontId="23" fillId="3" borderId="16" xfId="0" applyNumberFormat="1" applyFont="1" applyFill="1" applyBorder="1" applyAlignment="1">
      <alignment horizontal="right" vertical="center"/>
    </xf>
    <xf numFmtId="3" fontId="23" fillId="3" borderId="17" xfId="0" applyNumberFormat="1" applyFont="1" applyFill="1" applyBorder="1" applyAlignment="1">
      <alignment horizontal="right" vertical="center"/>
    </xf>
    <xf numFmtId="0" fontId="62" fillId="0" borderId="21" xfId="0" applyFont="1" applyBorder="1" applyAlignment="1">
      <alignment horizontal="left" vertical="center"/>
    </xf>
    <xf numFmtId="3" fontId="37" fillId="0" borderId="21" xfId="0" applyNumberFormat="1" applyFont="1" applyBorder="1"/>
    <xf numFmtId="0" fontId="37" fillId="0" borderId="21" xfId="0" applyFont="1" applyBorder="1"/>
    <xf numFmtId="0" fontId="62" fillId="0" borderId="21" xfId="0" applyFont="1" applyBorder="1" applyAlignment="1">
      <alignment horizontal="right" vertical="center"/>
    </xf>
    <xf numFmtId="0" fontId="62" fillId="0" borderId="0" xfId="0" applyFont="1" applyAlignment="1">
      <alignment horizontal="left" vertical="center"/>
    </xf>
    <xf numFmtId="0" fontId="62" fillId="0" borderId="0" xfId="0" applyFont="1" applyAlignment="1">
      <alignment horizontal="right" vertical="center"/>
    </xf>
    <xf numFmtId="0" fontId="37" fillId="2" borderId="18" xfId="0" applyFont="1" applyFill="1" applyBorder="1"/>
    <xf numFmtId="0" fontId="23" fillId="0" borderId="11" xfId="0" applyFont="1" applyFill="1" applyBorder="1" applyAlignment="1">
      <alignment horizontal="left" vertical="center"/>
    </xf>
    <xf numFmtId="165" fontId="23" fillId="0" borderId="12" xfId="0" applyNumberFormat="1" applyFont="1" applyFill="1" applyBorder="1" applyAlignment="1">
      <alignment horizontal="right" vertical="center"/>
    </xf>
    <xf numFmtId="4" fontId="23" fillId="0" borderId="12" xfId="0" applyNumberFormat="1" applyFont="1" applyFill="1" applyBorder="1" applyAlignment="1">
      <alignment horizontal="right" vertical="center"/>
    </xf>
    <xf numFmtId="3" fontId="23" fillId="0" borderId="12" xfId="0" applyNumberFormat="1" applyFont="1" applyFill="1" applyBorder="1" applyAlignment="1">
      <alignment horizontal="right" vertical="center"/>
    </xf>
    <xf numFmtId="3" fontId="23" fillId="0" borderId="13" xfId="0" applyNumberFormat="1" applyFont="1" applyFill="1" applyBorder="1" applyAlignment="1">
      <alignment horizontal="right" vertical="center"/>
    </xf>
    <xf numFmtId="0" fontId="37" fillId="0" borderId="0" xfId="0" applyFont="1" applyFill="1"/>
    <xf numFmtId="0" fontId="23" fillId="0" borderId="14" xfId="0" applyFont="1" applyFill="1" applyBorder="1" applyAlignment="1">
      <alignment horizontal="left" vertical="center"/>
    </xf>
    <xf numFmtId="0" fontId="23" fillId="0" borderId="15" xfId="0" applyFont="1" applyFill="1" applyBorder="1" applyAlignment="1">
      <alignment horizontal="left" vertical="center"/>
    </xf>
    <xf numFmtId="165" fontId="23" fillId="0" borderId="16" xfId="0" applyNumberFormat="1" applyFont="1" applyFill="1" applyBorder="1" applyAlignment="1">
      <alignment horizontal="right" vertical="center"/>
    </xf>
    <xf numFmtId="4" fontId="23" fillId="0" borderId="16" xfId="0" applyNumberFormat="1" applyFont="1" applyFill="1" applyBorder="1" applyAlignment="1">
      <alignment horizontal="right" vertical="center"/>
    </xf>
    <xf numFmtId="3" fontId="23" fillId="0" borderId="16" xfId="0" applyNumberFormat="1" applyFont="1" applyFill="1" applyBorder="1" applyAlignment="1">
      <alignment horizontal="right" vertical="center"/>
    </xf>
    <xf numFmtId="3" fontId="23" fillId="0" borderId="17" xfId="0" applyNumberFormat="1" applyFont="1" applyFill="1" applyBorder="1" applyAlignment="1">
      <alignment horizontal="right" vertical="center"/>
    </xf>
    <xf numFmtId="0" fontId="37" fillId="0" borderId="0" xfId="0" applyFont="1" applyAlignment="1">
      <alignment horizontal="center" vertical="center"/>
    </xf>
    <xf numFmtId="0" fontId="37" fillId="0" borderId="12" xfId="0" applyFont="1" applyFill="1" applyBorder="1"/>
    <xf numFmtId="0" fontId="37" fillId="0" borderId="21" xfId="0" applyFont="1" applyBorder="1" applyAlignment="1">
      <alignment horizontal="right" vertical="center"/>
    </xf>
    <xf numFmtId="0" fontId="37" fillId="0" borderId="0" xfId="0" applyFont="1" applyAlignment="1">
      <alignment horizontal="right" vertical="center"/>
    </xf>
    <xf numFmtId="4" fontId="37" fillId="0" borderId="0" xfId="0" applyNumberFormat="1" applyFont="1"/>
    <xf numFmtId="3" fontId="37" fillId="0" borderId="0" xfId="0" applyNumberFormat="1" applyFont="1"/>
    <xf numFmtId="167" fontId="37" fillId="0" borderId="0" xfId="2" applyNumberFormat="1" applyFont="1"/>
    <xf numFmtId="164" fontId="12" fillId="0" borderId="0" xfId="1" applyFont="1" applyFill="1" applyBorder="1" applyAlignment="1">
      <alignment horizontal="center" vertical="center"/>
    </xf>
    <xf numFmtId="0" fontId="51" fillId="0" borderId="0" xfId="39"/>
    <xf numFmtId="0" fontId="51" fillId="0" borderId="0" xfId="39" applyNumberFormat="1"/>
    <xf numFmtId="14" fontId="51" fillId="0" borderId="0" xfId="39" applyNumberFormat="1"/>
    <xf numFmtId="0" fontId="51" fillId="56" borderId="0" xfId="39" applyFill="1"/>
    <xf numFmtId="0" fontId="51" fillId="56" borderId="0" xfId="39" applyNumberFormat="1" applyFill="1"/>
    <xf numFmtId="0" fontId="0" fillId="56" borderId="0" xfId="0" applyFill="1"/>
    <xf numFmtId="0" fontId="51" fillId="56" borderId="0" xfId="34" applyFill="1"/>
    <xf numFmtId="1" fontId="64" fillId="56" borderId="0" xfId="34" applyNumberFormat="1" applyFont="1" applyFill="1"/>
    <xf numFmtId="1" fontId="51" fillId="56" borderId="0" xfId="34" applyNumberFormat="1" applyFill="1"/>
    <xf numFmtId="0" fontId="51" fillId="12" borderId="0" xfId="39" applyNumberFormat="1" applyFill="1"/>
    <xf numFmtId="0" fontId="51" fillId="12" borderId="0" xfId="39" applyFill="1"/>
    <xf numFmtId="0" fontId="37" fillId="0" borderId="0" xfId="0" applyFont="1"/>
    <xf numFmtId="0" fontId="0" fillId="0" borderId="0" xfId="0"/>
    <xf numFmtId="4" fontId="19" fillId="50" borderId="9" xfId="0" applyNumberFormat="1" applyFont="1" applyFill="1" applyBorder="1" applyAlignment="1">
      <alignment horizontal="right" vertical="center"/>
    </xf>
    <xf numFmtId="17" fontId="37" fillId="0" borderId="0" xfId="0" applyNumberFormat="1" applyFont="1" applyFill="1" applyAlignment="1">
      <alignment horizontal="center" vertical="center"/>
    </xf>
    <xf numFmtId="0" fontId="65" fillId="0" borderId="0" xfId="0" applyFont="1" applyAlignment="1">
      <alignment horizontal="center" vertical="center" wrapText="1"/>
    </xf>
    <xf numFmtId="166" fontId="65" fillId="0" borderId="0" xfId="1" applyNumberFormat="1" applyFont="1" applyFill="1" applyAlignment="1">
      <alignment horizontal="center" vertical="center" wrapText="1"/>
    </xf>
    <xf numFmtId="3" fontId="66" fillId="21" borderId="19" xfId="0" applyNumberFormat="1" applyFont="1" applyFill="1" applyBorder="1" applyAlignment="1">
      <alignment horizontal="right" vertical="center"/>
    </xf>
    <xf numFmtId="165" fontId="66" fillId="21" borderId="19" xfId="0" applyNumberFormat="1" applyFont="1" applyFill="1" applyBorder="1" applyAlignment="1">
      <alignment horizontal="right" vertical="center"/>
    </xf>
    <xf numFmtId="3" fontId="67" fillId="21" borderId="9" xfId="0" applyNumberFormat="1" applyFont="1" applyFill="1" applyBorder="1" applyAlignment="1">
      <alignment horizontal="right" vertical="center"/>
    </xf>
    <xf numFmtId="165" fontId="67" fillId="21" borderId="9" xfId="0" applyNumberFormat="1" applyFont="1" applyFill="1" applyBorder="1" applyAlignment="1">
      <alignment horizontal="right" vertical="center"/>
    </xf>
    <xf numFmtId="3" fontId="66" fillId="21" borderId="9" xfId="0" applyNumberFormat="1" applyFont="1" applyFill="1" applyBorder="1" applyAlignment="1">
      <alignment horizontal="right" vertical="center"/>
    </xf>
    <xf numFmtId="165" fontId="66" fillId="21" borderId="9" xfId="0" applyNumberFormat="1" applyFont="1" applyFill="1" applyBorder="1" applyAlignment="1">
      <alignment horizontal="right" vertical="center"/>
    </xf>
    <xf numFmtId="3" fontId="66" fillId="21" borderId="77" xfId="0" applyNumberFormat="1" applyFont="1" applyFill="1" applyBorder="1" applyAlignment="1">
      <alignment horizontal="right" vertical="center"/>
    </xf>
    <xf numFmtId="165" fontId="66" fillId="21" borderId="77" xfId="0" applyNumberFormat="1" applyFont="1" applyFill="1" applyBorder="1" applyAlignment="1">
      <alignment horizontal="right" vertical="center"/>
    </xf>
    <xf numFmtId="177" fontId="66" fillId="21" borderId="78" xfId="0" applyNumberFormat="1" applyFont="1" applyFill="1" applyBorder="1" applyAlignment="1">
      <alignment horizontal="right" vertical="center"/>
    </xf>
    <xf numFmtId="165" fontId="69" fillId="21" borderId="9" xfId="0" applyNumberFormat="1" applyFont="1" applyFill="1" applyBorder="1" applyAlignment="1">
      <alignment horizontal="right" vertical="center"/>
    </xf>
    <xf numFmtId="165" fontId="66" fillId="21" borderId="77" xfId="0" applyNumberFormat="1" applyFont="1" applyFill="1" applyBorder="1" applyAlignment="1">
      <alignment horizontal="right" vertical="top"/>
    </xf>
    <xf numFmtId="0" fontId="70" fillId="0" borderId="0" xfId="0" applyFont="1"/>
    <xf numFmtId="9" fontId="67" fillId="21" borderId="9" xfId="2" applyFont="1" applyFill="1" applyBorder="1" applyAlignment="1">
      <alignment horizontal="right" vertical="center"/>
    </xf>
    <xf numFmtId="3" fontId="66" fillId="21" borderId="77" xfId="0" applyNumberFormat="1" applyFont="1" applyFill="1" applyBorder="1" applyAlignment="1">
      <alignment horizontal="right" vertical="top"/>
    </xf>
    <xf numFmtId="3" fontId="67" fillId="21" borderId="12" xfId="0" applyNumberFormat="1" applyFont="1" applyFill="1" applyBorder="1" applyAlignment="1">
      <alignment horizontal="right" vertical="center"/>
    </xf>
    <xf numFmtId="165" fontId="67" fillId="21" borderId="12" xfId="0" applyNumberFormat="1" applyFont="1" applyFill="1" applyBorder="1" applyAlignment="1">
      <alignment horizontal="right" vertical="center"/>
    </xf>
    <xf numFmtId="3" fontId="67" fillId="21" borderId="16" xfId="0" applyNumberFormat="1" applyFont="1" applyFill="1" applyBorder="1" applyAlignment="1">
      <alignment horizontal="right" vertical="center"/>
    </xf>
    <xf numFmtId="165" fontId="67" fillId="21" borderId="16" xfId="0" applyNumberFormat="1" applyFont="1" applyFill="1" applyBorder="1" applyAlignment="1">
      <alignment horizontal="right" vertical="center"/>
    </xf>
    <xf numFmtId="4" fontId="67" fillId="21" borderId="12" xfId="0" applyNumberFormat="1" applyFont="1" applyFill="1" applyBorder="1" applyAlignment="1">
      <alignment horizontal="right" vertical="center"/>
    </xf>
    <xf numFmtId="4" fontId="67" fillId="21" borderId="16" xfId="0" applyNumberFormat="1" applyFont="1" applyFill="1" applyBorder="1" applyAlignment="1">
      <alignment horizontal="right" vertical="center"/>
    </xf>
    <xf numFmtId="165" fontId="67" fillId="21" borderId="13" xfId="0" applyNumberFormat="1" applyFont="1" applyFill="1" applyBorder="1" applyAlignment="1">
      <alignment horizontal="right" vertical="center"/>
    </xf>
    <xf numFmtId="165" fontId="67" fillId="21" borderId="17" xfId="0" applyNumberFormat="1" applyFont="1" applyFill="1" applyBorder="1" applyAlignment="1">
      <alignment horizontal="right" vertical="center"/>
    </xf>
    <xf numFmtId="4" fontId="67" fillId="50" borderId="9" xfId="0" applyNumberFormat="1" applyFont="1" applyFill="1" applyBorder="1" applyAlignment="1">
      <alignment horizontal="right" vertical="center"/>
    </xf>
    <xf numFmtId="0" fontId="70" fillId="0" borderId="0" xfId="0" applyFont="1" applyAlignment="1"/>
    <xf numFmtId="169" fontId="67" fillId="50" borderId="9" xfId="0" applyNumberFormat="1" applyFont="1" applyFill="1" applyBorder="1" applyAlignment="1">
      <alignment horizontal="right" vertical="center"/>
    </xf>
    <xf numFmtId="10" fontId="70" fillId="50" borderId="0" xfId="2" applyNumberFormat="1" applyFont="1" applyFill="1" applyAlignment="1"/>
    <xf numFmtId="10" fontId="70" fillId="21" borderId="0" xfId="2" applyNumberFormat="1" applyFont="1" applyFill="1"/>
    <xf numFmtId="169" fontId="67" fillId="21" borderId="9" xfId="0" applyNumberFormat="1" applyFont="1" applyFill="1" applyBorder="1" applyAlignment="1">
      <alignment horizontal="right" vertical="center"/>
    </xf>
    <xf numFmtId="0" fontId="68" fillId="2" borderId="9" xfId="0" applyFont="1" applyFill="1" applyBorder="1" applyAlignment="1">
      <alignment horizontal="center" vertical="top"/>
    </xf>
    <xf numFmtId="3" fontId="67" fillId="50" borderId="9" xfId="0" applyNumberFormat="1" applyFont="1" applyFill="1" applyBorder="1" applyAlignment="1">
      <alignment horizontal="right" vertical="center"/>
    </xf>
    <xf numFmtId="165" fontId="66" fillId="50" borderId="19" xfId="0" applyNumberFormat="1" applyFont="1" applyFill="1" applyBorder="1" applyAlignment="1">
      <alignment horizontal="right" vertical="center"/>
    </xf>
    <xf numFmtId="165" fontId="66" fillId="50" borderId="9" xfId="0" applyNumberFormat="1" applyFont="1" applyFill="1" applyBorder="1" applyAlignment="1">
      <alignment horizontal="right" vertical="center"/>
    </xf>
    <xf numFmtId="165" fontId="66" fillId="50" borderId="77" xfId="0" applyNumberFormat="1" applyFont="1" applyFill="1" applyBorder="1" applyAlignment="1">
      <alignment horizontal="right" vertical="top"/>
    </xf>
    <xf numFmtId="165" fontId="67" fillId="50" borderId="9" xfId="0" applyNumberFormat="1" applyFont="1" applyFill="1" applyBorder="1" applyAlignment="1">
      <alignment horizontal="right" vertical="center"/>
    </xf>
    <xf numFmtId="177" fontId="66" fillId="50" borderId="78" xfId="0" applyNumberFormat="1" applyFont="1" applyFill="1" applyBorder="1" applyAlignment="1">
      <alignment horizontal="right" vertical="top"/>
    </xf>
    <xf numFmtId="0" fontId="2" fillId="0" borderId="0" xfId="0" applyFont="1"/>
    <xf numFmtId="0" fontId="51" fillId="12" borderId="0" xfId="34" applyNumberFormat="1" applyFont="1" applyFill="1"/>
    <xf numFmtId="0" fontId="51" fillId="56" borderId="0" xfId="39" applyNumberFormat="1" applyFont="1" applyFill="1"/>
    <xf numFmtId="14" fontId="0" fillId="50" borderId="0" xfId="0" applyNumberFormat="1" applyFill="1"/>
    <xf numFmtId="0" fontId="0" fillId="50" borderId="0" xfId="0" applyFill="1"/>
    <xf numFmtId="167" fontId="21" fillId="0" borderId="38" xfId="2" applyNumberFormat="1" applyFont="1" applyFill="1" applyBorder="1" applyAlignment="1">
      <alignment horizontal="center" vertical="center"/>
    </xf>
    <xf numFmtId="167" fontId="22" fillId="0" borderId="39" xfId="2" applyNumberFormat="1" applyFont="1" applyFill="1" applyBorder="1" applyAlignment="1">
      <alignment horizontal="center"/>
    </xf>
    <xf numFmtId="167" fontId="21" fillId="0" borderId="39" xfId="2" applyNumberFormat="1" applyFont="1" applyFill="1" applyBorder="1" applyAlignment="1">
      <alignment horizontal="center" vertical="center"/>
    </xf>
    <xf numFmtId="167" fontId="21" fillId="0" borderId="40" xfId="2" applyNumberFormat="1" applyFont="1" applyFill="1" applyBorder="1" applyAlignment="1">
      <alignment horizontal="center" vertical="center"/>
    </xf>
    <xf numFmtId="165" fontId="67" fillId="50" borderId="12" xfId="0" applyNumberFormat="1" applyFont="1" applyFill="1" applyBorder="1" applyAlignment="1">
      <alignment horizontal="right" vertical="center"/>
    </xf>
    <xf numFmtId="165" fontId="67" fillId="50" borderId="16" xfId="0" applyNumberFormat="1" applyFont="1" applyFill="1" applyBorder="1" applyAlignment="1">
      <alignment horizontal="right" vertical="center"/>
    </xf>
    <xf numFmtId="3" fontId="67" fillId="50" borderId="12" xfId="0" applyNumberFormat="1" applyFont="1" applyFill="1" applyBorder="1" applyAlignment="1">
      <alignment horizontal="right" vertical="center"/>
    </xf>
    <xf numFmtId="3" fontId="67" fillId="50" borderId="16" xfId="0" applyNumberFormat="1" applyFont="1" applyFill="1" applyBorder="1" applyAlignment="1">
      <alignment horizontal="right" vertical="center"/>
    </xf>
    <xf numFmtId="0" fontId="0" fillId="0" borderId="115" xfId="0" applyBorder="1"/>
    <xf numFmtId="0" fontId="0" fillId="0" borderId="115" xfId="0" applyBorder="1" applyAlignment="1">
      <alignment horizontal="center" vertical="center"/>
    </xf>
    <xf numFmtId="4" fontId="0" fillId="50" borderId="115" xfId="0" applyNumberFormat="1" applyFill="1" applyBorder="1" applyProtection="1">
      <protection locked="0"/>
    </xf>
    <xf numFmtId="166" fontId="0" fillId="0" borderId="115" xfId="1" applyNumberFormat="1" applyFont="1" applyBorder="1"/>
    <xf numFmtId="3" fontId="0" fillId="50" borderId="115" xfId="1" applyNumberFormat="1" applyFont="1" applyFill="1" applyBorder="1" applyProtection="1">
      <protection locked="0"/>
    </xf>
    <xf numFmtId="3" fontId="55" fillId="50" borderId="115" xfId="0" applyNumberFormat="1" applyFont="1" applyFill="1" applyBorder="1" applyProtection="1">
      <protection locked="0"/>
    </xf>
    <xf numFmtId="4" fontId="0" fillId="7" borderId="115" xfId="0" applyNumberFormat="1" applyFill="1" applyBorder="1" applyProtection="1">
      <protection locked="0"/>
    </xf>
    <xf numFmtId="0" fontId="2" fillId="0" borderId="115" xfId="0" applyFont="1" applyBorder="1" applyAlignment="1">
      <alignment horizontal="center" vertical="center"/>
    </xf>
    <xf numFmtId="3" fontId="0" fillId="57" borderId="115" xfId="0" applyNumberFormat="1" applyFill="1" applyBorder="1" applyAlignment="1" applyProtection="1">
      <alignment horizontal="center" vertical="center"/>
      <protection locked="0"/>
    </xf>
    <xf numFmtId="3" fontId="0" fillId="58" borderId="115" xfId="0" applyNumberFormat="1" applyFill="1" applyBorder="1" applyAlignment="1" applyProtection="1">
      <alignment horizontal="center" vertical="center"/>
      <protection locked="0"/>
    </xf>
    <xf numFmtId="3" fontId="0" fillId="7" borderId="115" xfId="0" applyNumberFormat="1" applyFill="1" applyBorder="1" applyAlignment="1" applyProtection="1">
      <alignment horizontal="center" vertical="center"/>
      <protection locked="0"/>
    </xf>
    <xf numFmtId="166" fontId="11" fillId="50" borderId="39" xfId="1" applyNumberFormat="1" applyFont="1" applyFill="1" applyBorder="1"/>
    <xf numFmtId="166" fontId="11" fillId="18" borderId="39" xfId="1" applyNumberFormat="1" applyFont="1" applyFill="1" applyBorder="1"/>
    <xf numFmtId="166" fontId="12" fillId="0" borderId="39" xfId="1" applyNumberFormat="1" applyFont="1" applyFill="1" applyBorder="1"/>
    <xf numFmtId="166" fontId="12" fillId="0" borderId="40" xfId="1" applyNumberFormat="1" applyFont="1" applyFill="1" applyBorder="1"/>
    <xf numFmtId="14" fontId="12" fillId="0" borderId="50" xfId="0" quotePrefix="1" applyNumberFormat="1" applyFont="1" applyFill="1" applyBorder="1" applyAlignment="1">
      <alignment horizontal="center" vertical="center"/>
    </xf>
    <xf numFmtId="167" fontId="12" fillId="0" borderId="116" xfId="2" applyNumberFormat="1" applyFont="1" applyFill="1" applyBorder="1" applyAlignment="1">
      <alignment horizontal="center" vertical="center"/>
    </xf>
    <xf numFmtId="167" fontId="11" fillId="0" borderId="100" xfId="2" applyNumberFormat="1" applyFont="1" applyBorder="1" applyAlignment="1">
      <alignment vertical="center"/>
    </xf>
    <xf numFmtId="0" fontId="37" fillId="0" borderId="0" xfId="0" applyFont="1"/>
    <xf numFmtId="0" fontId="0" fillId="0" borderId="0" xfId="0"/>
    <xf numFmtId="3" fontId="67" fillId="59" borderId="9" xfId="0" applyNumberFormat="1" applyFont="1" applyFill="1" applyBorder="1" applyAlignment="1">
      <alignment horizontal="right" vertical="center"/>
    </xf>
    <xf numFmtId="9" fontId="67" fillId="59" borderId="9" xfId="2" applyFont="1" applyFill="1" applyBorder="1" applyAlignment="1">
      <alignment horizontal="right" vertical="center"/>
    </xf>
    <xf numFmtId="0" fontId="39" fillId="0" borderId="0" xfId="40"/>
    <xf numFmtId="0" fontId="35" fillId="0" borderId="117" xfId="0" applyFont="1" applyFill="1" applyBorder="1" applyAlignment="1">
      <alignment horizontal="right"/>
    </xf>
    <xf numFmtId="0" fontId="35" fillId="0" borderId="117" xfId="41" applyFont="1" applyFill="1" applyBorder="1" applyAlignment="1">
      <alignment horizontal="right"/>
    </xf>
    <xf numFmtId="0" fontId="35" fillId="0" borderId="117" xfId="0" applyFont="1" applyFill="1" applyBorder="1" applyAlignment="1">
      <alignment horizontal="right" vertical="center"/>
    </xf>
    <xf numFmtId="0" fontId="35" fillId="0" borderId="118" xfId="0" applyFont="1" applyFill="1" applyBorder="1" applyAlignment="1">
      <alignment horizontal="right" vertical="center"/>
    </xf>
    <xf numFmtId="179" fontId="73" fillId="60" borderId="0" xfId="1" applyNumberFormat="1" applyFont="1" applyFill="1"/>
    <xf numFmtId="179" fontId="74" fillId="0" borderId="0" xfId="1" applyNumberFormat="1" applyFont="1"/>
    <xf numFmtId="179" fontId="10" fillId="0" borderId="0" xfId="1" applyNumberFormat="1" applyFont="1"/>
    <xf numFmtId="166" fontId="0" fillId="0" borderId="0" xfId="1" applyNumberFormat="1" applyFont="1"/>
    <xf numFmtId="14" fontId="21" fillId="10" borderId="51" xfId="0" applyNumberFormat="1" applyFont="1" applyFill="1" applyBorder="1" applyAlignment="1">
      <alignment horizontal="center" vertical="center"/>
    </xf>
    <xf numFmtId="0" fontId="22" fillId="0" borderId="39" xfId="0" applyFont="1" applyFill="1" applyBorder="1"/>
    <xf numFmtId="0" fontId="22" fillId="0" borderId="40" xfId="0" applyFont="1" applyFill="1" applyBorder="1"/>
    <xf numFmtId="0" fontId="22" fillId="0" borderId="0" xfId="0" applyFont="1" applyFill="1" applyAlignment="1">
      <alignment wrapText="1"/>
    </xf>
    <xf numFmtId="167" fontId="75" fillId="10" borderId="108" xfId="2" applyNumberFormat="1" applyFont="1" applyFill="1" applyBorder="1" applyAlignment="1">
      <alignment horizontal="center" vertical="center" wrapText="1"/>
    </xf>
    <xf numFmtId="167" fontId="71" fillId="10" borderId="0" xfId="2" applyNumberFormat="1" applyFont="1" applyFill="1" applyBorder="1" applyAlignment="1">
      <alignment horizontal="center" vertical="center"/>
    </xf>
    <xf numFmtId="9" fontId="12" fillId="0" borderId="38" xfId="2" applyNumberFormat="1" applyFont="1" applyFill="1" applyBorder="1" applyAlignment="1">
      <alignment horizontal="center" vertical="center"/>
    </xf>
    <xf numFmtId="9" fontId="12" fillId="0" borderId="39" xfId="2" applyNumberFormat="1" applyFont="1" applyFill="1" applyBorder="1" applyAlignment="1">
      <alignment horizontal="center" vertical="center"/>
    </xf>
    <xf numFmtId="17" fontId="37" fillId="0" borderId="0" xfId="0" applyNumberFormat="1" applyFont="1" applyAlignment="1">
      <alignment horizontal="center" vertical="center"/>
    </xf>
    <xf numFmtId="0" fontId="64" fillId="0" borderId="0" xfId="39" applyNumberFormat="1" applyFont="1" applyFill="1"/>
    <xf numFmtId="166" fontId="0" fillId="50" borderId="0" xfId="1" applyNumberFormat="1" applyFont="1" applyFill="1"/>
    <xf numFmtId="0" fontId="64" fillId="56" borderId="0" xfId="39" applyNumberFormat="1" applyFont="1" applyFill="1"/>
    <xf numFmtId="0" fontId="77" fillId="0" borderId="0" xfId="0" applyFont="1" applyFill="1" applyAlignment="1">
      <alignment horizontal="right" vertical="center"/>
    </xf>
    <xf numFmtId="167" fontId="78" fillId="0" borderId="0" xfId="2" applyNumberFormat="1" applyFont="1" applyFill="1" applyAlignment="1">
      <alignment horizontal="left" vertical="center"/>
    </xf>
    <xf numFmtId="0" fontId="37" fillId="0" borderId="0" xfId="0" applyFont="1"/>
    <xf numFmtId="0" fontId="0" fillId="0" borderId="0" xfId="0"/>
    <xf numFmtId="167" fontId="11" fillId="0" borderId="0" xfId="2" applyNumberFormat="1" applyFont="1" applyAlignment="1">
      <alignment horizontal="center" vertical="center"/>
    </xf>
    <xf numFmtId="0" fontId="0" fillId="0" borderId="0" xfId="0"/>
    <xf numFmtId="167" fontId="22" fillId="0" borderId="0" xfId="2" applyNumberFormat="1" applyFont="1" applyAlignment="1">
      <alignment vertical="center"/>
    </xf>
    <xf numFmtId="167" fontId="21" fillId="0" borderId="0" xfId="2" applyNumberFormat="1" applyFont="1" applyFill="1" applyBorder="1" applyAlignment="1">
      <alignment horizontal="center" vertical="center" wrapText="1"/>
    </xf>
    <xf numFmtId="14" fontId="21" fillId="0" borderId="0" xfId="0" quotePrefix="1" applyNumberFormat="1" applyFont="1" applyAlignment="1">
      <alignment horizontal="center" vertical="center"/>
    </xf>
    <xf numFmtId="9" fontId="21" fillId="0" borderId="38" xfId="2" applyFont="1" applyFill="1" applyBorder="1" applyAlignment="1">
      <alignment horizontal="center" vertical="center"/>
    </xf>
    <xf numFmtId="9" fontId="22" fillId="0" borderId="39" xfId="2" applyFont="1" applyFill="1" applyBorder="1" applyAlignment="1">
      <alignment horizontal="center"/>
    </xf>
    <xf numFmtId="9" fontId="21" fillId="0" borderId="39" xfId="2" applyFont="1" applyFill="1" applyBorder="1" applyAlignment="1">
      <alignment horizontal="center" vertical="center"/>
    </xf>
    <xf numFmtId="9" fontId="21" fillId="0" borderId="40" xfId="2" applyNumberFormat="1" applyFont="1" applyFill="1" applyBorder="1" applyAlignment="1">
      <alignment horizontal="center" vertical="center"/>
    </xf>
    <xf numFmtId="0" fontId="21" fillId="0" borderId="38" xfId="0" applyFont="1" applyFill="1" applyBorder="1"/>
    <xf numFmtId="0" fontId="21" fillId="0" borderId="39" xfId="0" applyFont="1" applyFill="1" applyBorder="1"/>
    <xf numFmtId="0" fontId="21" fillId="0" borderId="41" xfId="0" applyFont="1" applyFill="1" applyBorder="1"/>
    <xf numFmtId="0" fontId="21" fillId="0" borderId="39" xfId="0" applyFont="1" applyFill="1" applyBorder="1" applyAlignment="1">
      <alignment wrapText="1"/>
    </xf>
    <xf numFmtId="0" fontId="21" fillId="0" borderId="38" xfId="0" applyFont="1" applyFill="1" applyBorder="1" applyAlignment="1">
      <alignment wrapText="1"/>
    </xf>
    <xf numFmtId="0" fontId="21" fillId="0" borderId="38" xfId="0" applyFont="1" applyFill="1" applyBorder="1" applyAlignment="1">
      <alignment vertical="center" wrapText="1"/>
    </xf>
    <xf numFmtId="0" fontId="21" fillId="54" borderId="38" xfId="0" applyFont="1" applyFill="1" applyBorder="1" applyAlignment="1">
      <alignment wrapText="1"/>
    </xf>
    <xf numFmtId="0" fontId="22" fillId="54" borderId="39" xfId="0" applyFont="1" applyFill="1" applyBorder="1"/>
    <xf numFmtId="0" fontId="60" fillId="0" borderId="0" xfId="0" applyFont="1" applyAlignment="1">
      <alignment vertical="center"/>
    </xf>
    <xf numFmtId="14" fontId="51" fillId="56" borderId="0" xfId="39" applyNumberFormat="1" applyFill="1" applyAlignment="1">
      <alignment horizontal="center"/>
    </xf>
    <xf numFmtId="14" fontId="51" fillId="56" borderId="0" xfId="34" applyNumberFormat="1" applyFill="1" applyAlignment="1">
      <alignment horizontal="center"/>
    </xf>
    <xf numFmtId="14" fontId="51" fillId="0" borderId="0" xfId="39" applyNumberFormat="1" applyFont="1"/>
    <xf numFmtId="0" fontId="51" fillId="0" borderId="0" xfId="39" applyFont="1"/>
    <xf numFmtId="0" fontId="51" fillId="0" borderId="0" xfId="39" applyNumberFormat="1" applyFont="1"/>
    <xf numFmtId="14" fontId="38" fillId="10" borderId="107" xfId="0" applyNumberFormat="1" applyFont="1" applyFill="1" applyBorder="1" applyAlignment="1">
      <alignment horizontal="center" vertical="center" wrapText="1"/>
    </xf>
    <xf numFmtId="14" fontId="38" fillId="10" borderId="109" xfId="0" applyNumberFormat="1" applyFont="1" applyFill="1" applyBorder="1" applyAlignment="1">
      <alignment horizontal="center" vertical="center" wrapText="1"/>
    </xf>
    <xf numFmtId="166" fontId="38" fillId="10" borderId="110" xfId="1" applyNumberFormat="1" applyFont="1" applyFill="1" applyBorder="1"/>
    <xf numFmtId="166" fontId="38" fillId="10" borderId="111" xfId="1" applyNumberFormat="1" applyFont="1" applyFill="1" applyBorder="1"/>
    <xf numFmtId="166" fontId="38" fillId="10" borderId="112" xfId="1" applyNumberFormat="1" applyFont="1" applyFill="1" applyBorder="1"/>
    <xf numFmtId="165" fontId="79" fillId="19" borderId="19" xfId="0" applyNumberFormat="1" applyFont="1" applyFill="1" applyBorder="1" applyAlignment="1">
      <alignment horizontal="right" vertical="center"/>
    </xf>
    <xf numFmtId="165" fontId="79" fillId="19" borderId="9" xfId="0" applyNumberFormat="1" applyFont="1" applyFill="1" applyBorder="1" applyAlignment="1">
      <alignment horizontal="right" vertical="center"/>
    </xf>
    <xf numFmtId="165" fontId="79" fillId="20" borderId="77" xfId="0" applyNumberFormat="1" applyFont="1" applyFill="1" applyBorder="1" applyAlignment="1">
      <alignment horizontal="right" vertical="top"/>
    </xf>
    <xf numFmtId="177" fontId="79" fillId="20" borderId="77" xfId="0" applyNumberFormat="1" applyFont="1" applyFill="1" applyBorder="1" applyAlignment="1">
      <alignment horizontal="right" vertical="top"/>
    </xf>
    <xf numFmtId="0" fontId="37" fillId="2" borderId="74" xfId="0" applyFont="1" applyFill="1" applyBorder="1"/>
    <xf numFmtId="0" fontId="37" fillId="2" borderId="61" xfId="0" applyFont="1" applyFill="1" applyBorder="1"/>
    <xf numFmtId="0" fontId="60" fillId="2" borderId="69" xfId="0" applyFont="1" applyFill="1" applyBorder="1" applyAlignment="1">
      <alignment horizontal="center" vertical="top"/>
    </xf>
    <xf numFmtId="0" fontId="60" fillId="2" borderId="69" xfId="0" applyFont="1" applyFill="1" applyBorder="1" applyAlignment="1">
      <alignment horizontal="center" vertical="top" wrapText="1"/>
    </xf>
    <xf numFmtId="0" fontId="79" fillId="19" borderId="75" xfId="0" applyFont="1" applyFill="1" applyBorder="1" applyAlignment="1">
      <alignment vertical="top"/>
    </xf>
    <xf numFmtId="3" fontId="79" fillId="19" borderId="19" xfId="0" applyNumberFormat="1" applyFont="1" applyFill="1" applyBorder="1" applyAlignment="1">
      <alignment horizontal="right" vertical="center"/>
    </xf>
    <xf numFmtId="177" fontId="79" fillId="19" borderId="19" xfId="0" applyNumberFormat="1" applyFont="1" applyFill="1" applyBorder="1" applyAlignment="1">
      <alignment horizontal="right" vertical="center"/>
    </xf>
    <xf numFmtId="176" fontId="79" fillId="19" borderId="19" xfId="0" applyNumberFormat="1" applyFont="1" applyFill="1" applyBorder="1" applyAlignment="1">
      <alignment horizontal="right" vertical="center"/>
    </xf>
    <xf numFmtId="0" fontId="79" fillId="19" borderId="19" xfId="0" applyFont="1" applyFill="1" applyBorder="1" applyAlignment="1">
      <alignment horizontal="right" vertical="center"/>
    </xf>
    <xf numFmtId="173" fontId="79" fillId="19" borderId="19" xfId="0" applyNumberFormat="1" applyFont="1" applyFill="1" applyBorder="1" applyAlignment="1">
      <alignment horizontal="right" vertical="center"/>
    </xf>
    <xf numFmtId="0" fontId="37" fillId="19" borderId="19" xfId="0" applyFont="1" applyFill="1" applyBorder="1"/>
    <xf numFmtId="0" fontId="23" fillId="3" borderId="19" xfId="0" applyFont="1" applyFill="1" applyBorder="1" applyAlignment="1">
      <alignment horizontal="left" vertical="center"/>
    </xf>
    <xf numFmtId="165" fontId="23" fillId="3" borderId="9" xfId="0" applyNumberFormat="1" applyFont="1" applyFill="1" applyBorder="1" applyAlignment="1">
      <alignment horizontal="right" vertical="center"/>
    </xf>
    <xf numFmtId="3" fontId="23" fillId="3" borderId="9" xfId="0" applyNumberFormat="1" applyFont="1" applyFill="1" applyBorder="1" applyAlignment="1">
      <alignment horizontal="right" vertical="center"/>
    </xf>
    <xf numFmtId="176" fontId="23" fillId="3" borderId="9" xfId="0" applyNumberFormat="1" applyFont="1" applyFill="1" applyBorder="1" applyAlignment="1">
      <alignment horizontal="right" vertical="center"/>
    </xf>
    <xf numFmtId="177" fontId="23" fillId="3" borderId="9" xfId="0" applyNumberFormat="1" applyFont="1" applyFill="1" applyBorder="1" applyAlignment="1">
      <alignment horizontal="right" vertical="center"/>
    </xf>
    <xf numFmtId="0" fontId="23" fillId="3" borderId="9" xfId="0" applyFont="1" applyFill="1" applyBorder="1" applyAlignment="1">
      <alignment horizontal="right" vertical="center"/>
    </xf>
    <xf numFmtId="173" fontId="23" fillId="3" borderId="9" xfId="0" applyNumberFormat="1" applyFont="1" applyFill="1" applyBorder="1" applyAlignment="1">
      <alignment horizontal="right" vertical="center"/>
    </xf>
    <xf numFmtId="0" fontId="37" fillId="3" borderId="9" xfId="0" applyFont="1" applyFill="1" applyBorder="1"/>
    <xf numFmtId="0" fontId="23" fillId="3" borderId="9" xfId="0" applyFont="1" applyFill="1" applyBorder="1" applyAlignment="1">
      <alignment horizontal="left" vertical="center"/>
    </xf>
    <xf numFmtId="3" fontId="79" fillId="19" borderId="9" xfId="0" applyNumberFormat="1" applyFont="1" applyFill="1" applyBorder="1" applyAlignment="1">
      <alignment horizontal="right" vertical="center"/>
    </xf>
    <xf numFmtId="177" fontId="79" fillId="19" borderId="9" xfId="0" applyNumberFormat="1" applyFont="1" applyFill="1" applyBorder="1" applyAlignment="1">
      <alignment horizontal="right" vertical="center"/>
    </xf>
    <xf numFmtId="176" fontId="79" fillId="19" borderId="9" xfId="0" applyNumberFormat="1" applyFont="1" applyFill="1" applyBorder="1" applyAlignment="1">
      <alignment horizontal="right" vertical="center"/>
    </xf>
    <xf numFmtId="0" fontId="79" fillId="19" borderId="9" xfId="0" applyFont="1" applyFill="1" applyBorder="1" applyAlignment="1">
      <alignment horizontal="right" vertical="center"/>
    </xf>
    <xf numFmtId="173" fontId="79" fillId="19" borderId="9" xfId="0" applyNumberFormat="1" applyFont="1" applyFill="1" applyBorder="1" applyAlignment="1">
      <alignment horizontal="right" vertical="center"/>
    </xf>
    <xf numFmtId="0" fontId="37" fillId="19" borderId="9" xfId="0" applyFont="1" applyFill="1" applyBorder="1"/>
    <xf numFmtId="0" fontId="79" fillId="20" borderId="76" xfId="0" applyFont="1" applyFill="1" applyBorder="1" applyAlignment="1">
      <alignment vertical="top"/>
    </xf>
    <xf numFmtId="177" fontId="79" fillId="20" borderId="9" xfId="0" applyNumberFormat="1" applyFont="1" applyFill="1" applyBorder="1" applyAlignment="1">
      <alignment horizontal="right" vertical="center"/>
    </xf>
    <xf numFmtId="177" fontId="79" fillId="20" borderId="78" xfId="0" applyNumberFormat="1" applyFont="1" applyFill="1" applyBorder="1" applyAlignment="1">
      <alignment horizontal="right" vertical="top"/>
    </xf>
    <xf numFmtId="165" fontId="79" fillId="20" borderId="77" xfId="0" applyNumberFormat="1" applyFont="1" applyFill="1" applyBorder="1" applyAlignment="1">
      <alignment horizontal="right" vertical="center"/>
    </xf>
    <xf numFmtId="3" fontId="79" fillId="20" borderId="77" xfId="0" applyNumberFormat="1" applyFont="1" applyFill="1" applyBorder="1" applyAlignment="1">
      <alignment horizontal="right" vertical="center"/>
    </xf>
    <xf numFmtId="177" fontId="79" fillId="20" borderId="77" xfId="0" applyNumberFormat="1" applyFont="1" applyFill="1" applyBorder="1" applyAlignment="1">
      <alignment horizontal="right" vertical="center"/>
    </xf>
    <xf numFmtId="177" fontId="79" fillId="20" borderId="78" xfId="0" applyNumberFormat="1" applyFont="1" applyFill="1" applyBorder="1" applyAlignment="1">
      <alignment horizontal="right" vertical="center"/>
    </xf>
    <xf numFmtId="0" fontId="79" fillId="20" borderId="78" xfId="0" applyFont="1" applyFill="1" applyBorder="1" applyAlignment="1">
      <alignment horizontal="right" vertical="center"/>
    </xf>
    <xf numFmtId="173" fontId="79" fillId="20" borderId="77" xfId="0" applyNumberFormat="1" applyFont="1" applyFill="1" applyBorder="1" applyAlignment="1">
      <alignment horizontal="right" vertical="center"/>
    </xf>
    <xf numFmtId="0" fontId="37" fillId="20" borderId="78" xfId="0" applyFont="1" applyFill="1" applyBorder="1"/>
    <xf numFmtId="0" fontId="37" fillId="20" borderId="9" xfId="0" applyFont="1" applyFill="1" applyBorder="1"/>
    <xf numFmtId="0" fontId="37" fillId="2" borderId="19" xfId="0" applyFont="1" applyFill="1" applyBorder="1"/>
    <xf numFmtId="0" fontId="60" fillId="21" borderId="69" xfId="0" applyFont="1" applyFill="1" applyBorder="1" applyAlignment="1">
      <alignment horizontal="center" vertical="top" wrapText="1"/>
    </xf>
    <xf numFmtId="0" fontId="80" fillId="3" borderId="40" xfId="0" applyFont="1" applyFill="1" applyBorder="1" applyAlignment="1">
      <alignment horizontal="left" vertical="center"/>
    </xf>
    <xf numFmtId="0" fontId="60" fillId="0" borderId="69" xfId="0" applyFont="1" applyFill="1" applyBorder="1" applyAlignment="1">
      <alignment horizontal="center" vertical="top"/>
    </xf>
    <xf numFmtId="4" fontId="23" fillId="3" borderId="9" xfId="0" applyNumberFormat="1" applyFont="1" applyFill="1" applyBorder="1" applyAlignment="1">
      <alignment horizontal="right" vertical="center"/>
    </xf>
    <xf numFmtId="170" fontId="23" fillId="3" borderId="9" xfId="0" applyNumberFormat="1" applyFont="1" applyFill="1" applyBorder="1" applyAlignment="1">
      <alignment horizontal="right" vertical="center"/>
    </xf>
    <xf numFmtId="0" fontId="80" fillId="3" borderId="39" xfId="0" applyFont="1" applyFill="1" applyBorder="1" applyAlignment="1">
      <alignment horizontal="left" vertical="center"/>
    </xf>
    <xf numFmtId="0" fontId="21" fillId="0" borderId="38" xfId="0" applyFont="1" applyBorder="1"/>
    <xf numFmtId="165" fontId="23" fillId="3" borderId="0" xfId="0" applyNumberFormat="1" applyFont="1" applyFill="1" applyBorder="1" applyAlignment="1">
      <alignment horizontal="right" vertical="center"/>
    </xf>
    <xf numFmtId="4" fontId="23" fillId="3" borderId="0" xfId="0" applyNumberFormat="1" applyFont="1" applyFill="1" applyBorder="1" applyAlignment="1">
      <alignment horizontal="right" vertical="center"/>
    </xf>
    <xf numFmtId="3" fontId="23" fillId="3" borderId="0" xfId="0" applyNumberFormat="1" applyFont="1" applyFill="1" applyBorder="1" applyAlignment="1">
      <alignment horizontal="right" vertical="center"/>
    </xf>
    <xf numFmtId="170" fontId="23" fillId="3" borderId="0" xfId="0" applyNumberFormat="1" applyFont="1" applyFill="1" applyBorder="1" applyAlignment="1">
      <alignment horizontal="right" vertical="center"/>
    </xf>
    <xf numFmtId="0" fontId="37" fillId="3" borderId="0" xfId="0" applyFont="1" applyFill="1" applyBorder="1"/>
    <xf numFmtId="0" fontId="81" fillId="0" borderId="0" xfId="0" applyFont="1"/>
    <xf numFmtId="165" fontId="79" fillId="19" borderId="9" xfId="0" applyNumberFormat="1" applyFont="1" applyFill="1" applyBorder="1" applyAlignment="1">
      <alignment horizontal="right" vertical="center" wrapText="1"/>
    </xf>
    <xf numFmtId="165" fontId="79" fillId="19" borderId="19" xfId="0" applyNumberFormat="1" applyFont="1" applyFill="1" applyBorder="1" applyAlignment="1">
      <alignment horizontal="right" vertical="center" wrapText="1"/>
    </xf>
    <xf numFmtId="0" fontId="79" fillId="19" borderId="61" xfId="0" applyFont="1" applyFill="1" applyBorder="1" applyAlignment="1">
      <alignment vertical="top"/>
    </xf>
    <xf numFmtId="0" fontId="79" fillId="19" borderId="79" xfId="0" applyFont="1" applyFill="1" applyBorder="1" applyAlignment="1">
      <alignment vertical="top"/>
    </xf>
    <xf numFmtId="3" fontId="79" fillId="20" borderId="77" xfId="0" applyNumberFormat="1" applyFont="1" applyFill="1" applyBorder="1" applyAlignment="1">
      <alignment horizontal="right" vertical="top"/>
    </xf>
    <xf numFmtId="0" fontId="37" fillId="20" borderId="80" xfId="0" applyFont="1" applyFill="1" applyBorder="1"/>
    <xf numFmtId="166" fontId="37" fillId="0" borderId="0" xfId="1" applyNumberFormat="1" applyFont="1"/>
    <xf numFmtId="0" fontId="37" fillId="0" borderId="0" xfId="0" applyFont="1" applyFill="1" applyAlignment="1">
      <alignment vertical="center"/>
    </xf>
    <xf numFmtId="0" fontId="37" fillId="0" borderId="0" xfId="0" applyFont="1" applyAlignment="1">
      <alignment vertical="center"/>
    </xf>
    <xf numFmtId="17" fontId="37" fillId="18" borderId="0" xfId="0" applyNumberFormat="1" applyFont="1" applyFill="1" applyAlignment="1">
      <alignment horizontal="center" vertical="center"/>
    </xf>
    <xf numFmtId="167" fontId="37" fillId="0" borderId="0" xfId="2" applyNumberFormat="1" applyFont="1" applyAlignment="1">
      <alignment horizontal="center" vertical="center"/>
    </xf>
    <xf numFmtId="0" fontId="37" fillId="2" borderId="23" xfId="0" applyFont="1" applyFill="1" applyBorder="1"/>
    <xf numFmtId="0" fontId="37" fillId="2" borderId="24" xfId="0" applyFont="1" applyFill="1" applyBorder="1"/>
    <xf numFmtId="0" fontId="37" fillId="2" borderId="25" xfId="0" applyFont="1" applyFill="1" applyBorder="1"/>
    <xf numFmtId="3" fontId="83" fillId="5" borderId="12" xfId="0" applyNumberFormat="1" applyFont="1" applyFill="1" applyBorder="1" applyAlignment="1">
      <alignment horizontal="left" vertical="top"/>
    </xf>
    <xf numFmtId="165" fontId="83" fillId="5" borderId="12" xfId="0" applyNumberFormat="1" applyFont="1" applyFill="1" applyBorder="1" applyAlignment="1">
      <alignment horizontal="left" vertical="top"/>
    </xf>
    <xf numFmtId="0" fontId="37" fillId="5" borderId="12" xfId="0" applyFont="1" applyFill="1" applyBorder="1"/>
    <xf numFmtId="0" fontId="37" fillId="5" borderId="30" xfId="0" applyFont="1" applyFill="1" applyBorder="1"/>
    <xf numFmtId="3" fontId="84" fillId="3" borderId="12" xfId="0" applyNumberFormat="1" applyFont="1" applyFill="1" applyBorder="1" applyAlignment="1">
      <alignment horizontal="right" vertical="top"/>
    </xf>
    <xf numFmtId="165" fontId="84" fillId="3" borderId="12" xfId="0" applyNumberFormat="1" applyFont="1" applyFill="1" applyBorder="1" applyAlignment="1">
      <alignment horizontal="right" vertical="top"/>
    </xf>
    <xf numFmtId="0" fontId="37" fillId="3" borderId="12" xfId="0" applyFont="1" applyFill="1" applyBorder="1"/>
    <xf numFmtId="0" fontId="37" fillId="3" borderId="30" xfId="0" applyFont="1" applyFill="1" applyBorder="1"/>
    <xf numFmtId="3" fontId="62" fillId="3" borderId="12" xfId="0" applyNumberFormat="1" applyFont="1" applyFill="1" applyBorder="1" applyAlignment="1">
      <alignment horizontal="right" vertical="top"/>
    </xf>
    <xf numFmtId="165" fontId="62" fillId="3" borderId="12" xfId="0" applyNumberFormat="1" applyFont="1" applyFill="1" applyBorder="1" applyAlignment="1">
      <alignment horizontal="right" vertical="top"/>
    </xf>
    <xf numFmtId="3" fontId="83" fillId="5" borderId="36" xfId="0" applyNumberFormat="1" applyFont="1" applyFill="1" applyBorder="1" applyAlignment="1">
      <alignment horizontal="left" vertical="top"/>
    </xf>
    <xf numFmtId="165" fontId="83" fillId="5" borderId="36" xfId="0" applyNumberFormat="1" applyFont="1" applyFill="1" applyBorder="1" applyAlignment="1">
      <alignment horizontal="left" vertical="top"/>
    </xf>
    <xf numFmtId="0" fontId="37" fillId="5" borderId="36" xfId="0" applyFont="1" applyFill="1" applyBorder="1"/>
    <xf numFmtId="0" fontId="37" fillId="5" borderId="37" xfId="0" applyFont="1" applyFill="1" applyBorder="1"/>
    <xf numFmtId="0" fontId="62" fillId="6" borderId="65" xfId="0" applyFont="1" applyFill="1" applyBorder="1" applyAlignment="1">
      <alignment horizontal="right" vertical="top"/>
    </xf>
    <xf numFmtId="0" fontId="37" fillId="6" borderId="0" xfId="0" applyFont="1" applyFill="1" applyBorder="1"/>
    <xf numFmtId="0" fontId="37" fillId="6" borderId="66" xfId="0" applyFont="1" applyFill="1" applyBorder="1"/>
    <xf numFmtId="3" fontId="62" fillId="3" borderId="67" xfId="0" applyNumberFormat="1" applyFont="1" applyFill="1" applyBorder="1" applyAlignment="1">
      <alignment horizontal="right" vertical="top"/>
    </xf>
    <xf numFmtId="165" fontId="62" fillId="3" borderId="67" xfId="0" applyNumberFormat="1" applyFont="1" applyFill="1" applyBorder="1" applyAlignment="1">
      <alignment horizontal="right" vertical="top"/>
    </xf>
    <xf numFmtId="0" fontId="37" fillId="3" borderId="67" xfId="0" applyFont="1" applyFill="1" applyBorder="1"/>
    <xf numFmtId="0" fontId="37" fillId="3" borderId="68" xfId="0" applyFont="1" applyFill="1" applyBorder="1"/>
    <xf numFmtId="0" fontId="37" fillId="16" borderId="0" xfId="0" applyFont="1" applyFill="1"/>
    <xf numFmtId="3" fontId="62" fillId="3" borderId="36" xfId="0" applyNumberFormat="1" applyFont="1" applyFill="1" applyBorder="1" applyAlignment="1">
      <alignment horizontal="right" vertical="top"/>
    </xf>
    <xf numFmtId="165" fontId="62" fillId="3" borderId="36" xfId="0" applyNumberFormat="1" applyFont="1" applyFill="1" applyBorder="1" applyAlignment="1">
      <alignment horizontal="right" vertical="top"/>
    </xf>
    <xf numFmtId="0" fontId="37" fillId="3" borderId="36" xfId="0" applyFont="1" applyFill="1" applyBorder="1"/>
    <xf numFmtId="0" fontId="37" fillId="3" borderId="37" xfId="0" applyFont="1" applyFill="1" applyBorder="1"/>
    <xf numFmtId="3" fontId="84" fillId="3" borderId="36" xfId="0" applyNumberFormat="1" applyFont="1" applyFill="1" applyBorder="1" applyAlignment="1">
      <alignment horizontal="right" vertical="top"/>
    </xf>
    <xf numFmtId="165" fontId="84" fillId="3" borderId="36" xfId="0" applyNumberFormat="1" applyFont="1" applyFill="1" applyBorder="1" applyAlignment="1">
      <alignment horizontal="right" vertical="top"/>
    </xf>
    <xf numFmtId="0" fontId="37" fillId="0" borderId="115" xfId="0" applyFont="1" applyBorder="1"/>
    <xf numFmtId="165" fontId="63" fillId="3" borderId="12" xfId="0" applyNumberFormat="1" applyFont="1" applyFill="1" applyBorder="1" applyAlignment="1">
      <alignment horizontal="right" vertical="top"/>
    </xf>
    <xf numFmtId="165" fontId="63" fillId="3" borderId="30" xfId="0" applyNumberFormat="1" applyFont="1" applyFill="1" applyBorder="1" applyAlignment="1">
      <alignment horizontal="right" vertical="top"/>
    </xf>
    <xf numFmtId="4" fontId="63" fillId="3" borderId="12" xfId="0" applyNumberFormat="1" applyFont="1" applyFill="1" applyBorder="1" applyAlignment="1">
      <alignment horizontal="right" vertical="top"/>
    </xf>
    <xf numFmtId="165" fontId="63" fillId="3" borderId="36" xfId="0" applyNumberFormat="1" applyFont="1" applyFill="1" applyBorder="1" applyAlignment="1">
      <alignment horizontal="right" vertical="top"/>
    </xf>
    <xf numFmtId="165" fontId="63" fillId="3" borderId="37" xfId="0" applyNumberFormat="1" applyFont="1" applyFill="1" applyBorder="1" applyAlignment="1">
      <alignment horizontal="right" vertical="top"/>
    </xf>
    <xf numFmtId="0" fontId="85" fillId="3" borderId="39" xfId="0" applyFont="1" applyFill="1" applyBorder="1" applyAlignment="1">
      <alignment horizontal="left" vertical="center"/>
    </xf>
    <xf numFmtId="175" fontId="37" fillId="0" borderId="0" xfId="2" applyNumberFormat="1" applyFont="1"/>
    <xf numFmtId="9" fontId="65" fillId="0" borderId="0" xfId="2" applyFont="1" applyAlignment="1">
      <alignment horizontal="center" vertical="center" wrapText="1"/>
    </xf>
    <xf numFmtId="167" fontId="65" fillId="0" borderId="0" xfId="2" applyNumberFormat="1" applyFont="1" applyAlignment="1">
      <alignment horizontal="center" vertical="center" wrapText="1"/>
    </xf>
    <xf numFmtId="9" fontId="37" fillId="0" borderId="0" xfId="2" applyFont="1"/>
    <xf numFmtId="14" fontId="51" fillId="54" borderId="0" xfId="39" applyNumberFormat="1" applyFill="1"/>
    <xf numFmtId="0" fontId="51" fillId="54" borderId="0" xfId="39" applyFill="1"/>
    <xf numFmtId="0" fontId="51" fillId="54" borderId="0" xfId="39" applyNumberFormat="1" applyFill="1"/>
    <xf numFmtId="0" fontId="64" fillId="54" borderId="0" xfId="39" applyNumberFormat="1" applyFont="1" applyFill="1"/>
    <xf numFmtId="0" fontId="64" fillId="54" borderId="0" xfId="39" applyFont="1" applyFill="1"/>
    <xf numFmtId="0" fontId="76" fillId="54" borderId="0" xfId="39" applyFont="1" applyFill="1"/>
    <xf numFmtId="0" fontId="37" fillId="0" borderId="0" xfId="0" applyFont="1"/>
    <xf numFmtId="0" fontId="60" fillId="2" borderId="19" xfId="0" applyFont="1" applyFill="1" applyBorder="1" applyAlignment="1">
      <alignment horizontal="center" vertical="top"/>
    </xf>
    <xf numFmtId="0" fontId="63" fillId="6" borderId="33" xfId="0" applyFont="1" applyFill="1" applyBorder="1" applyAlignment="1">
      <alignment horizontal="left" vertical="top"/>
    </xf>
    <xf numFmtId="0" fontId="37" fillId="6" borderId="31" xfId="0" applyFont="1" applyFill="1" applyBorder="1"/>
    <xf numFmtId="0" fontId="37" fillId="6" borderId="32" xfId="0" applyFont="1" applyFill="1" applyBorder="1"/>
    <xf numFmtId="0" fontId="62" fillId="6" borderId="33" xfId="0" applyFont="1" applyFill="1" applyBorder="1" applyAlignment="1">
      <alignment horizontal="left" vertical="top"/>
    </xf>
    <xf numFmtId="0" fontId="62" fillId="6" borderId="33" xfId="0" applyFont="1" applyFill="1" applyBorder="1" applyAlignment="1">
      <alignment horizontal="right" vertical="top"/>
    </xf>
    <xf numFmtId="0" fontId="0" fillId="0" borderId="0" xfId="0"/>
    <xf numFmtId="166" fontId="67" fillId="21" borderId="9" xfId="1" applyNumberFormat="1" applyFont="1" applyFill="1" applyBorder="1" applyAlignment="1">
      <alignment horizontal="right" vertical="center"/>
    </xf>
    <xf numFmtId="166" fontId="67" fillId="21" borderId="0" xfId="1" applyNumberFormat="1" applyFont="1" applyFill="1" applyBorder="1" applyAlignment="1">
      <alignment horizontal="right" vertical="center"/>
    </xf>
    <xf numFmtId="166" fontId="69" fillId="21" borderId="9" xfId="1" applyNumberFormat="1" applyFont="1" applyFill="1" applyBorder="1" applyAlignment="1">
      <alignment horizontal="right" vertical="center"/>
    </xf>
    <xf numFmtId="4" fontId="86" fillId="62" borderId="9" xfId="0" applyNumberFormat="1" applyFont="1" applyFill="1" applyBorder="1" applyAlignment="1">
      <alignment horizontal="right" vertical="center"/>
    </xf>
    <xf numFmtId="0" fontId="70" fillId="0" borderId="0" xfId="0" applyFont="1" applyAlignment="1">
      <alignment vertical="center"/>
    </xf>
    <xf numFmtId="165" fontId="67" fillId="59" borderId="9" xfId="0" applyNumberFormat="1" applyFont="1" applyFill="1" applyBorder="1" applyAlignment="1">
      <alignment horizontal="right" vertical="center"/>
    </xf>
    <xf numFmtId="17" fontId="37" fillId="62" borderId="0" xfId="0" applyNumberFormat="1" applyFont="1" applyFill="1" applyAlignment="1">
      <alignment horizontal="center" vertical="center"/>
    </xf>
    <xf numFmtId="0" fontId="2" fillId="0" borderId="0" xfId="0" applyFont="1" applyBorder="1"/>
    <xf numFmtId="180" fontId="88" fillId="63" borderId="119" xfId="0" applyNumberFormat="1" applyFont="1" applyFill="1" applyBorder="1"/>
    <xf numFmtId="180" fontId="88" fillId="63" borderId="120" xfId="0" applyNumberFormat="1" applyFont="1" applyFill="1" applyBorder="1"/>
    <xf numFmtId="180" fontId="88" fillId="63" borderId="121" xfId="0" applyNumberFormat="1" applyFont="1" applyFill="1" applyBorder="1"/>
    <xf numFmtId="180" fontId="89" fillId="64" borderId="120" xfId="0" applyNumberFormat="1" applyFont="1" applyFill="1" applyBorder="1"/>
    <xf numFmtId="180" fontId="89" fillId="64" borderId="121" xfId="0" applyNumberFormat="1" applyFont="1" applyFill="1" applyBorder="1"/>
    <xf numFmtId="180" fontId="88" fillId="61" borderId="119" xfId="0" applyNumberFormat="1" applyFont="1" applyFill="1" applyBorder="1"/>
    <xf numFmtId="180" fontId="88" fillId="61" borderId="120" xfId="0" applyNumberFormat="1" applyFont="1" applyFill="1" applyBorder="1"/>
    <xf numFmtId="180" fontId="88" fillId="61" borderId="121" xfId="0" applyNumberFormat="1" applyFont="1" applyFill="1" applyBorder="1"/>
    <xf numFmtId="0" fontId="11" fillId="60" borderId="24" xfId="0" applyFont="1" applyFill="1" applyBorder="1"/>
    <xf numFmtId="0" fontId="12" fillId="60" borderId="123" xfId="0" applyFont="1" applyFill="1" applyBorder="1"/>
    <xf numFmtId="3" fontId="11" fillId="63" borderId="124" xfId="0" applyNumberFormat="1" applyFont="1" applyFill="1" applyBorder="1" applyAlignment="1">
      <alignment horizontal="center"/>
    </xf>
    <xf numFmtId="3" fontId="11" fillId="63" borderId="125" xfId="0" applyNumberFormat="1" applyFont="1" applyFill="1" applyBorder="1" applyAlignment="1">
      <alignment horizontal="center"/>
    </xf>
    <xf numFmtId="3" fontId="11" fillId="63" borderId="126" xfId="0" applyNumberFormat="1" applyFont="1" applyFill="1" applyBorder="1" applyAlignment="1">
      <alignment horizontal="center"/>
    </xf>
    <xf numFmtId="3" fontId="12" fillId="63" borderId="127" xfId="0" applyNumberFormat="1" applyFont="1" applyFill="1" applyBorder="1" applyAlignment="1">
      <alignment horizontal="center"/>
    </xf>
    <xf numFmtId="3" fontId="11" fillId="0" borderId="125" xfId="0" applyNumberFormat="1" applyFont="1" applyBorder="1" applyAlignment="1">
      <alignment horizontal="center"/>
    </xf>
    <xf numFmtId="3" fontId="11" fillId="0" borderId="126" xfId="0" applyNumberFormat="1" applyFont="1" applyBorder="1" applyAlignment="1">
      <alignment horizontal="center"/>
    </xf>
    <xf numFmtId="3" fontId="11" fillId="61" borderId="124" xfId="0" applyNumberFormat="1" applyFont="1" applyFill="1" applyBorder="1" applyAlignment="1">
      <alignment horizontal="center"/>
    </xf>
    <xf numFmtId="3" fontId="11" fillId="61" borderId="125" xfId="0" applyNumberFormat="1" applyFont="1" applyFill="1" applyBorder="1" applyAlignment="1">
      <alignment horizontal="center"/>
    </xf>
    <xf numFmtId="3" fontId="11" fillId="61" borderId="126" xfId="0" applyNumberFormat="1" applyFont="1" applyFill="1" applyBorder="1" applyAlignment="1">
      <alignment horizontal="center"/>
    </xf>
    <xf numFmtId="0" fontId="11" fillId="60" borderId="0" xfId="0" applyFont="1" applyFill="1" applyBorder="1"/>
    <xf numFmtId="0" fontId="90" fillId="60" borderId="129" xfId="0" applyFont="1" applyFill="1" applyBorder="1" applyAlignment="1">
      <alignment horizontal="left" indent="2"/>
    </xf>
    <xf numFmtId="3" fontId="90" fillId="63" borderId="130" xfId="0" applyNumberFormat="1" applyFont="1" applyFill="1" applyBorder="1" applyAlignment="1">
      <alignment horizontal="center"/>
    </xf>
    <xf numFmtId="3" fontId="90" fillId="63" borderId="131" xfId="0" applyNumberFormat="1" applyFont="1" applyFill="1" applyBorder="1" applyAlignment="1">
      <alignment horizontal="center"/>
    </xf>
    <xf numFmtId="3" fontId="90" fillId="0" borderId="131" xfId="0" applyNumberFormat="1" applyFont="1" applyBorder="1" applyAlignment="1">
      <alignment horizontal="center"/>
    </xf>
    <xf numFmtId="3" fontId="90" fillId="61" borderId="130" xfId="0" applyNumberFormat="1" applyFont="1" applyFill="1" applyBorder="1" applyAlignment="1">
      <alignment horizontal="center"/>
    </xf>
    <xf numFmtId="3" fontId="90" fillId="61" borderId="131" xfId="0" applyNumberFormat="1" applyFont="1" applyFill="1" applyBorder="1" applyAlignment="1">
      <alignment horizontal="center"/>
    </xf>
    <xf numFmtId="0" fontId="90" fillId="60" borderId="132" xfId="0" applyFont="1" applyFill="1" applyBorder="1" applyAlignment="1">
      <alignment horizontal="left" indent="2"/>
    </xf>
    <xf numFmtId="3" fontId="90" fillId="63" borderId="133" xfId="0" applyNumberFormat="1" applyFont="1" applyFill="1" applyBorder="1" applyAlignment="1">
      <alignment horizontal="center"/>
    </xf>
    <xf numFmtId="3" fontId="90" fillId="63" borderId="134" xfId="0" applyNumberFormat="1" applyFont="1" applyFill="1" applyBorder="1" applyAlignment="1">
      <alignment horizontal="center"/>
    </xf>
    <xf numFmtId="3" fontId="90" fillId="0" borderId="134" xfId="0" applyNumberFormat="1" applyFont="1" applyBorder="1" applyAlignment="1">
      <alignment horizontal="center"/>
    </xf>
    <xf numFmtId="3" fontId="90" fillId="61" borderId="133" xfId="0" applyNumberFormat="1" applyFont="1" applyFill="1" applyBorder="1" applyAlignment="1">
      <alignment horizontal="center"/>
    </xf>
    <xf numFmtId="3" fontId="90" fillId="61" borderId="134" xfId="0" applyNumberFormat="1" applyFont="1" applyFill="1" applyBorder="1" applyAlignment="1">
      <alignment horizontal="center"/>
    </xf>
    <xf numFmtId="0" fontId="12" fillId="60" borderId="135" xfId="0" applyFont="1" applyFill="1" applyBorder="1"/>
    <xf numFmtId="9" fontId="88" fillId="63" borderId="128" xfId="2" applyFont="1" applyFill="1" applyBorder="1" applyAlignment="1">
      <alignment horizontal="center"/>
    </xf>
    <xf numFmtId="9" fontId="88" fillId="63" borderId="115" xfId="2" applyFont="1" applyFill="1" applyBorder="1" applyAlignment="1">
      <alignment horizontal="center"/>
    </xf>
    <xf numFmtId="9" fontId="88" fillId="63" borderId="136" xfId="2" applyFont="1" applyFill="1" applyBorder="1" applyAlignment="1">
      <alignment horizontal="center"/>
    </xf>
    <xf numFmtId="9" fontId="88" fillId="63" borderId="137" xfId="2" applyFont="1" applyFill="1" applyBorder="1" applyAlignment="1">
      <alignment horizontal="center"/>
    </xf>
    <xf numFmtId="9" fontId="88" fillId="0" borderId="115" xfId="2" applyFont="1" applyBorder="1" applyAlignment="1">
      <alignment horizontal="center"/>
    </xf>
    <xf numFmtId="9" fontId="88" fillId="0" borderId="136" xfId="2" applyFont="1" applyBorder="1" applyAlignment="1">
      <alignment horizontal="center"/>
    </xf>
    <xf numFmtId="9" fontId="88" fillId="61" borderId="128" xfId="2" applyFont="1" applyFill="1" applyBorder="1" applyAlignment="1">
      <alignment horizontal="center"/>
    </xf>
    <xf numFmtId="9" fontId="88" fillId="61" borderId="115" xfId="2" applyFont="1" applyFill="1" applyBorder="1" applyAlignment="1">
      <alignment horizontal="center"/>
    </xf>
    <xf numFmtId="9" fontId="88" fillId="61" borderId="136" xfId="2" applyFont="1" applyFill="1" applyBorder="1" applyAlignment="1">
      <alignment horizontal="center"/>
    </xf>
    <xf numFmtId="0" fontId="0" fillId="0" borderId="75" xfId="0" applyFill="1" applyBorder="1"/>
    <xf numFmtId="0" fontId="0" fillId="0" borderId="138" xfId="0" applyFill="1" applyBorder="1"/>
    <xf numFmtId="0" fontId="2" fillId="0" borderId="69" xfId="0" applyFont="1" applyFill="1" applyBorder="1"/>
    <xf numFmtId="3" fontId="11" fillId="63" borderId="128" xfId="0" applyNumberFormat="1" applyFont="1" applyFill="1" applyBorder="1" applyAlignment="1">
      <alignment horizontal="center"/>
    </xf>
    <xf numFmtId="3" fontId="11" fillId="63" borderId="115" xfId="0" applyNumberFormat="1" applyFont="1" applyFill="1" applyBorder="1" applyAlignment="1">
      <alignment horizontal="center"/>
    </xf>
    <xf numFmtId="3" fontId="11" fillId="63" borderId="136" xfId="0" applyNumberFormat="1" applyFont="1" applyFill="1" applyBorder="1" applyAlignment="1">
      <alignment horizontal="center"/>
    </xf>
    <xf numFmtId="3" fontId="11" fillId="0" borderId="115" xfId="0" applyNumberFormat="1" applyFont="1" applyBorder="1" applyAlignment="1">
      <alignment horizontal="center"/>
    </xf>
    <xf numFmtId="3" fontId="11" fillId="0" borderId="136" xfId="0" applyNumberFormat="1" applyFont="1" applyBorder="1" applyAlignment="1">
      <alignment horizontal="center"/>
    </xf>
    <xf numFmtId="3" fontId="11" fillId="61" borderId="128" xfId="0" applyNumberFormat="1" applyFont="1" applyFill="1" applyBorder="1" applyAlignment="1">
      <alignment horizontal="center"/>
    </xf>
    <xf numFmtId="3" fontId="11" fillId="61" borderId="115" xfId="0" applyNumberFormat="1" applyFont="1" applyFill="1" applyBorder="1" applyAlignment="1">
      <alignment horizontal="center"/>
    </xf>
    <xf numFmtId="3" fontId="11" fillId="61" borderId="136" xfId="0" applyNumberFormat="1" applyFont="1" applyFill="1" applyBorder="1" applyAlignment="1">
      <alignment horizontal="center"/>
    </xf>
    <xf numFmtId="0" fontId="12" fillId="60" borderId="140" xfId="0" applyFont="1" applyFill="1" applyBorder="1"/>
    <xf numFmtId="9" fontId="88" fillId="63" borderId="139" xfId="2" applyFont="1" applyFill="1" applyBorder="1" applyAlignment="1">
      <alignment horizontal="center"/>
    </xf>
    <xf numFmtId="9" fontId="88" fillId="63" borderId="141" xfId="2" applyFont="1" applyFill="1" applyBorder="1" applyAlignment="1">
      <alignment horizontal="center"/>
    </xf>
    <xf numFmtId="9" fontId="88" fillId="63" borderId="142" xfId="2" applyFont="1" applyFill="1" applyBorder="1" applyAlignment="1">
      <alignment horizontal="center"/>
    </xf>
    <xf numFmtId="9" fontId="88" fillId="0" borderId="141" xfId="2" applyFont="1" applyBorder="1" applyAlignment="1">
      <alignment horizontal="center"/>
    </xf>
    <xf numFmtId="9" fontId="88" fillId="0" borderId="142" xfId="2" applyFont="1" applyBorder="1" applyAlignment="1">
      <alignment horizontal="center"/>
    </xf>
    <xf numFmtId="9" fontId="88" fillId="61" borderId="139" xfId="2" applyFont="1" applyFill="1" applyBorder="1" applyAlignment="1">
      <alignment horizontal="center"/>
    </xf>
    <xf numFmtId="9" fontId="88" fillId="61" borderId="141" xfId="2" applyFont="1" applyFill="1" applyBorder="1" applyAlignment="1">
      <alignment horizontal="center"/>
    </xf>
    <xf numFmtId="9" fontId="88" fillId="61" borderId="142" xfId="2" applyFont="1" applyFill="1" applyBorder="1" applyAlignment="1">
      <alignment horizontal="center"/>
    </xf>
    <xf numFmtId="0" fontId="11" fillId="56" borderId="0" xfId="0" applyFont="1" applyFill="1" applyBorder="1"/>
    <xf numFmtId="0" fontId="12" fillId="56" borderId="135" xfId="0" applyFont="1" applyFill="1" applyBorder="1"/>
    <xf numFmtId="0" fontId="90" fillId="56" borderId="129" xfId="0" applyFont="1" applyFill="1" applyBorder="1" applyAlignment="1">
      <alignment horizontal="left" indent="2"/>
    </xf>
    <xf numFmtId="0" fontId="11" fillId="56" borderId="26" xfId="0" applyFont="1" applyFill="1" applyBorder="1"/>
    <xf numFmtId="0" fontId="12" fillId="56" borderId="144" xfId="0" applyFont="1" applyFill="1" applyBorder="1"/>
    <xf numFmtId="9" fontId="88" fillId="63" borderId="143" xfId="2" applyFont="1" applyFill="1" applyBorder="1" applyAlignment="1">
      <alignment horizontal="center"/>
    </xf>
    <xf numFmtId="9" fontId="88" fillId="63" borderId="145" xfId="2" applyFont="1" applyFill="1" applyBorder="1" applyAlignment="1">
      <alignment horizontal="center"/>
    </xf>
    <xf numFmtId="9" fontId="88" fillId="63" borderId="146" xfId="2" applyFont="1" applyFill="1" applyBorder="1" applyAlignment="1">
      <alignment horizontal="center"/>
    </xf>
    <xf numFmtId="9" fontId="88" fillId="0" borderId="145" xfId="2" applyFont="1" applyBorder="1" applyAlignment="1">
      <alignment horizontal="center"/>
    </xf>
    <xf numFmtId="9" fontId="88" fillId="0" borderId="146" xfId="2" applyFont="1" applyBorder="1" applyAlignment="1">
      <alignment horizontal="center"/>
    </xf>
    <xf numFmtId="9" fontId="88" fillId="61" borderId="143" xfId="2" applyFont="1" applyFill="1" applyBorder="1" applyAlignment="1">
      <alignment horizontal="center"/>
    </xf>
    <xf numFmtId="9" fontId="88" fillId="61" borderId="145" xfId="2" applyFont="1" applyFill="1" applyBorder="1" applyAlignment="1">
      <alignment horizontal="center"/>
    </xf>
    <xf numFmtId="9" fontId="88" fillId="61" borderId="146" xfId="2" applyFont="1" applyFill="1" applyBorder="1" applyAlignment="1">
      <alignment horizontal="center"/>
    </xf>
    <xf numFmtId="0" fontId="0" fillId="0" borderId="75" xfId="0" applyBorder="1"/>
    <xf numFmtId="0" fontId="0" fillId="0" borderId="138" xfId="0" applyBorder="1"/>
    <xf numFmtId="0" fontId="0" fillId="63" borderId="75" xfId="0" applyFill="1" applyBorder="1"/>
    <xf numFmtId="0" fontId="0" fillId="63" borderId="0" xfId="0" applyFill="1" applyBorder="1"/>
    <xf numFmtId="0" fontId="2" fillId="63" borderId="69" xfId="0" applyFont="1" applyFill="1" applyBorder="1"/>
    <xf numFmtId="0" fontId="0" fillId="61" borderId="75" xfId="0" applyFill="1" applyBorder="1"/>
    <xf numFmtId="0" fontId="0" fillId="61" borderId="0" xfId="0" applyFill="1" applyBorder="1"/>
    <xf numFmtId="0" fontId="2" fillId="61" borderId="69" xfId="0" applyFont="1" applyFill="1" applyBorder="1"/>
    <xf numFmtId="0" fontId="11" fillId="0" borderId="0" xfId="0" applyFont="1" applyBorder="1"/>
    <xf numFmtId="0" fontId="11" fillId="0" borderId="147" xfId="0" applyFont="1" applyBorder="1"/>
    <xf numFmtId="0" fontId="11" fillId="0" borderId="148" xfId="0" applyFont="1" applyBorder="1"/>
    <xf numFmtId="0" fontId="90" fillId="56" borderId="132" xfId="0" applyFont="1" applyFill="1" applyBorder="1" applyAlignment="1">
      <alignment horizontal="left" indent="2"/>
    </xf>
    <xf numFmtId="0" fontId="11" fillId="18" borderId="0" xfId="0" applyFont="1" applyFill="1" applyBorder="1"/>
    <xf numFmtId="0" fontId="12" fillId="18" borderId="135" xfId="0" applyFont="1" applyFill="1" applyBorder="1"/>
    <xf numFmtId="0" fontId="90" fillId="18" borderId="132" xfId="0" applyFont="1" applyFill="1" applyBorder="1" applyAlignment="1">
      <alignment horizontal="left" indent="2"/>
    </xf>
    <xf numFmtId="0" fontId="11" fillId="18" borderId="26" xfId="0" applyFont="1" applyFill="1" applyBorder="1"/>
    <xf numFmtId="0" fontId="12" fillId="18" borderId="144" xfId="0" applyFont="1" applyFill="1" applyBorder="1"/>
    <xf numFmtId="3" fontId="0" fillId="0" borderId="0" xfId="0" applyNumberFormat="1" applyFill="1"/>
    <xf numFmtId="9" fontId="12" fillId="0" borderId="40" xfId="2" applyFont="1" applyFill="1" applyBorder="1" applyAlignment="1">
      <alignment horizontal="center" vertical="center"/>
    </xf>
    <xf numFmtId="0" fontId="0" fillId="0" borderId="0" xfId="0"/>
    <xf numFmtId="0" fontId="92" fillId="65" borderId="149" xfId="42" applyFont="1" applyFill="1" applyBorder="1" applyAlignment="1">
      <alignment horizontal="left"/>
    </xf>
    <xf numFmtId="0" fontId="91" fillId="66" borderId="150" xfId="42" applyFont="1" applyFill="1" applyBorder="1" applyAlignment="1">
      <alignment horizontal="left"/>
    </xf>
    <xf numFmtId="181" fontId="91" fillId="66" borderId="150" xfId="42" applyNumberFormat="1" applyFont="1" applyFill="1" applyBorder="1" applyAlignment="1">
      <alignment horizontal="right"/>
    </xf>
    <xf numFmtId="14" fontId="91" fillId="66" borderId="150" xfId="42" applyNumberFormat="1" applyFont="1" applyFill="1" applyBorder="1" applyAlignment="1">
      <alignment horizontal="left"/>
    </xf>
    <xf numFmtId="166" fontId="92" fillId="65" borderId="149" xfId="1" applyNumberFormat="1" applyFont="1" applyFill="1" applyBorder="1" applyAlignment="1">
      <alignment horizontal="right"/>
    </xf>
    <xf numFmtId="166" fontId="91" fillId="66" borderId="150" xfId="1" applyNumberFormat="1" applyFont="1" applyFill="1" applyBorder="1" applyAlignment="1">
      <alignment horizontal="right"/>
    </xf>
    <xf numFmtId="9" fontId="12" fillId="0" borderId="0" xfId="0" applyNumberFormat="1" applyFont="1" applyAlignment="1">
      <alignment horizontal="center"/>
    </xf>
    <xf numFmtId="166" fontId="12" fillId="23" borderId="39" xfId="0" applyNumberFormat="1" applyFont="1" applyFill="1" applyBorder="1"/>
    <xf numFmtId="166" fontId="11" fillId="23" borderId="39" xfId="1" applyNumberFormat="1" applyFont="1" applyFill="1" applyBorder="1"/>
    <xf numFmtId="166" fontId="12" fillId="23" borderId="40" xfId="0" applyNumberFormat="1" applyFont="1" applyFill="1" applyBorder="1"/>
    <xf numFmtId="0" fontId="37" fillId="0" borderId="0" xfId="0" applyFont="1"/>
    <xf numFmtId="14" fontId="12" fillId="10" borderId="51" xfId="2" applyNumberFormat="1" applyFont="1" applyFill="1" applyBorder="1" applyAlignment="1">
      <alignment horizontal="center" vertical="center"/>
    </xf>
    <xf numFmtId="0" fontId="0" fillId="0" borderId="0" xfId="0"/>
    <xf numFmtId="0" fontId="0" fillId="0" borderId="0" xfId="0"/>
    <xf numFmtId="17" fontId="37" fillId="16" borderId="0" xfId="0" applyNumberFormat="1" applyFont="1" applyFill="1" applyAlignment="1">
      <alignment horizontal="center" vertical="center"/>
    </xf>
    <xf numFmtId="0" fontId="37" fillId="16" borderId="0" xfId="0" applyFont="1" applyFill="1" applyAlignment="1">
      <alignment horizontal="center" vertical="center"/>
    </xf>
    <xf numFmtId="0" fontId="65" fillId="16" borderId="0" xfId="0" applyFont="1" applyFill="1" applyAlignment="1">
      <alignment horizontal="center" vertical="center" wrapText="1"/>
    </xf>
    <xf numFmtId="166" fontId="65" fillId="16" borderId="0" xfId="1" applyNumberFormat="1" applyFont="1" applyFill="1" applyAlignment="1">
      <alignment horizontal="center" vertical="center" wrapText="1"/>
    </xf>
    <xf numFmtId="0" fontId="0" fillId="54" borderId="0" xfId="0" applyFill="1"/>
    <xf numFmtId="179" fontId="0" fillId="0" borderId="0" xfId="1" applyNumberFormat="1" applyFont="1"/>
    <xf numFmtId="0" fontId="23" fillId="62" borderId="9" xfId="0" applyFont="1" applyFill="1" applyBorder="1" applyAlignment="1">
      <alignment horizontal="left" vertical="center"/>
    </xf>
    <xf numFmtId="3" fontId="23" fillId="59" borderId="9" xfId="0" applyNumberFormat="1" applyFont="1" applyFill="1" applyBorder="1" applyAlignment="1">
      <alignment horizontal="right" vertical="center"/>
    </xf>
    <xf numFmtId="165" fontId="23" fillId="59" borderId="9" xfId="0" applyNumberFormat="1" applyFont="1" applyFill="1" applyBorder="1" applyAlignment="1">
      <alignment horizontal="right" vertical="center"/>
    </xf>
    <xf numFmtId="166" fontId="67" fillId="59" borderId="9" xfId="1" applyNumberFormat="1" applyFont="1" applyFill="1" applyBorder="1" applyAlignment="1">
      <alignment horizontal="right" vertical="center"/>
    </xf>
    <xf numFmtId="4" fontId="67" fillId="59" borderId="12" xfId="0" applyNumberFormat="1" applyFont="1" applyFill="1" applyBorder="1" applyAlignment="1">
      <alignment horizontal="right" vertical="center"/>
    </xf>
    <xf numFmtId="3" fontId="67" fillId="59" borderId="12" xfId="0" applyNumberFormat="1" applyFont="1" applyFill="1" applyBorder="1" applyAlignment="1">
      <alignment horizontal="right" vertical="center"/>
    </xf>
    <xf numFmtId="10" fontId="0" fillId="0" borderId="0" xfId="2" applyNumberFormat="1" applyFont="1" applyAlignment="1">
      <alignment horizontal="center" vertical="center"/>
    </xf>
    <xf numFmtId="166" fontId="11" fillId="0" borderId="0" xfId="1" applyNumberFormat="1" applyFont="1" applyAlignment="1">
      <alignment vertical="center"/>
    </xf>
    <xf numFmtId="3" fontId="11" fillId="56" borderId="136" xfId="0" applyNumberFormat="1" applyFont="1" applyFill="1" applyBorder="1" applyAlignment="1">
      <alignment horizontal="center"/>
    </xf>
    <xf numFmtId="3" fontId="90" fillId="56" borderId="131" xfId="0" applyNumberFormat="1" applyFont="1" applyFill="1" applyBorder="1" applyAlignment="1">
      <alignment horizontal="center"/>
    </xf>
    <xf numFmtId="3" fontId="90" fillId="56" borderId="134" xfId="0" applyNumberFormat="1" applyFont="1" applyFill="1" applyBorder="1" applyAlignment="1">
      <alignment horizontal="center"/>
    </xf>
    <xf numFmtId="9" fontId="88" fillId="56" borderId="146" xfId="2" applyFont="1" applyFill="1" applyBorder="1" applyAlignment="1">
      <alignment horizontal="center"/>
    </xf>
    <xf numFmtId="3" fontId="11" fillId="18" borderId="136" xfId="0" applyNumberFormat="1" applyFont="1" applyFill="1" applyBorder="1" applyAlignment="1">
      <alignment horizontal="center"/>
    </xf>
    <xf numFmtId="3" fontId="90" fillId="18" borderId="131" xfId="0" applyNumberFormat="1" applyFont="1" applyFill="1" applyBorder="1" applyAlignment="1">
      <alignment horizontal="center"/>
    </xf>
    <xf numFmtId="3" fontId="90" fillId="18" borderId="134" xfId="0" applyNumberFormat="1" applyFont="1" applyFill="1" applyBorder="1" applyAlignment="1">
      <alignment horizontal="center"/>
    </xf>
    <xf numFmtId="9" fontId="88" fillId="18" borderId="146" xfId="2" applyFont="1" applyFill="1" applyBorder="1" applyAlignment="1">
      <alignment horizontal="center"/>
    </xf>
    <xf numFmtId="0" fontId="0" fillId="67" borderId="0" xfId="0" applyFill="1"/>
    <xf numFmtId="0" fontId="2" fillId="67" borderId="0" xfId="0" applyFont="1" applyFill="1"/>
    <xf numFmtId="179" fontId="0" fillId="0" borderId="0" xfId="0" applyNumberFormat="1"/>
    <xf numFmtId="0" fontId="37" fillId="0" borderId="0" xfId="0" applyFont="1"/>
    <xf numFmtId="0" fontId="60" fillId="2" borderId="19" xfId="0" applyFont="1" applyFill="1" applyBorder="1" applyAlignment="1">
      <alignment horizontal="center" vertical="top"/>
    </xf>
    <xf numFmtId="0" fontId="37" fillId="2" borderId="5" xfId="0" applyFont="1" applyFill="1" applyBorder="1"/>
    <xf numFmtId="0" fontId="37" fillId="2" borderId="6" xfId="0" applyFont="1" applyFill="1" applyBorder="1"/>
    <xf numFmtId="0" fontId="60" fillId="0" borderId="0" xfId="0" applyFont="1" applyAlignment="1">
      <alignment horizontal="left" vertical="center"/>
    </xf>
    <xf numFmtId="14" fontId="12" fillId="10" borderId="51" xfId="2" applyNumberFormat="1" applyFont="1" applyFill="1" applyBorder="1" applyAlignment="1">
      <alignment horizontal="center" vertical="center"/>
    </xf>
    <xf numFmtId="0" fontId="0" fillId="0" borderId="0" xfId="0"/>
    <xf numFmtId="0" fontId="37" fillId="0" borderId="0" xfId="0" applyFont="1"/>
    <xf numFmtId="0" fontId="0" fillId="0" borderId="0" xfId="0"/>
    <xf numFmtId="165" fontId="67" fillId="51" borderId="12" xfId="0" applyNumberFormat="1" applyFont="1" applyFill="1" applyBorder="1" applyAlignment="1">
      <alignment horizontal="right" vertical="center"/>
    </xf>
    <xf numFmtId="179" fontId="0" fillId="21" borderId="0" xfId="1" applyNumberFormat="1" applyFont="1" applyFill="1"/>
    <xf numFmtId="0" fontId="0" fillId="21" borderId="0" xfId="0" applyFill="1"/>
    <xf numFmtId="3" fontId="11" fillId="63" borderId="152" xfId="0" applyNumberFormat="1" applyFont="1" applyFill="1" applyBorder="1" applyAlignment="1">
      <alignment horizontal="center"/>
    </xf>
    <xf numFmtId="3" fontId="90" fillId="63" borderId="0" xfId="0" applyNumberFormat="1" applyFont="1" applyFill="1" applyBorder="1" applyAlignment="1">
      <alignment horizontal="center"/>
    </xf>
    <xf numFmtId="3" fontId="90" fillId="63" borderId="152" xfId="0" applyNumberFormat="1" applyFont="1" applyFill="1" applyBorder="1" applyAlignment="1">
      <alignment horizontal="center"/>
    </xf>
    <xf numFmtId="9" fontId="88" fillId="63" borderId="153" xfId="2" applyFont="1" applyFill="1" applyBorder="1" applyAlignment="1">
      <alignment horizontal="center"/>
    </xf>
    <xf numFmtId="9" fontId="88" fillId="63" borderId="147" xfId="2" applyFont="1" applyFill="1" applyBorder="1" applyAlignment="1">
      <alignment horizontal="center"/>
    </xf>
    <xf numFmtId="3" fontId="11" fillId="61" borderId="152" xfId="0" applyNumberFormat="1" applyFont="1" applyFill="1" applyBorder="1" applyAlignment="1">
      <alignment horizontal="center"/>
    </xf>
    <xf numFmtId="9" fontId="88" fillId="56" borderId="147" xfId="2" applyFont="1" applyFill="1" applyBorder="1" applyAlignment="1">
      <alignment horizontal="center"/>
    </xf>
    <xf numFmtId="180" fontId="88" fillId="51" borderId="19" xfId="0" applyNumberFormat="1" applyFont="1" applyFill="1" applyBorder="1" applyAlignment="1">
      <alignment horizontal="center" vertical="center"/>
    </xf>
    <xf numFmtId="0" fontId="91" fillId="66" borderId="150" xfId="43" applyFill="1" applyBorder="1" applyAlignment="1">
      <alignment horizontal="left"/>
    </xf>
    <xf numFmtId="14" fontId="91" fillId="66" borderId="150" xfId="43" applyNumberFormat="1" applyFill="1" applyBorder="1" applyAlignment="1">
      <alignment horizontal="left"/>
    </xf>
    <xf numFmtId="2" fontId="0" fillId="0" borderId="0" xfId="0" applyNumberFormat="1"/>
    <xf numFmtId="1" fontId="22" fillId="0" borderId="0" xfId="2" applyNumberFormat="1" applyFont="1" applyFill="1" applyAlignment="1">
      <alignment vertical="center"/>
    </xf>
    <xf numFmtId="164" fontId="0" fillId="0" borderId="0" xfId="1" applyFont="1" applyFill="1" applyBorder="1"/>
    <xf numFmtId="0" fontId="37" fillId="0" borderId="0" xfId="0" applyFont="1"/>
    <xf numFmtId="14" fontId="12" fillId="10" borderId="51" xfId="2" applyNumberFormat="1" applyFont="1" applyFill="1" applyBorder="1" applyAlignment="1">
      <alignment horizontal="center" vertical="center"/>
    </xf>
    <xf numFmtId="0" fontId="0" fillId="0" borderId="0" xfId="0"/>
    <xf numFmtId="173" fontId="6" fillId="3" borderId="9" xfId="0" applyNumberFormat="1" applyFont="1" applyFill="1" applyBorder="1" applyAlignment="1">
      <alignment horizontal="right" vertical="center"/>
    </xf>
    <xf numFmtId="3" fontId="90" fillId="61" borderId="0" xfId="0" applyNumberFormat="1" applyFont="1" applyFill="1" applyBorder="1" applyAlignment="1">
      <alignment horizontal="center"/>
    </xf>
    <xf numFmtId="14" fontId="12" fillId="10" borderId="51" xfId="2" applyNumberFormat="1" applyFont="1" applyFill="1" applyBorder="1" applyAlignment="1">
      <alignment horizontal="center" vertical="center"/>
    </xf>
    <xf numFmtId="0" fontId="0" fillId="0" borderId="0" xfId="0"/>
    <xf numFmtId="0" fontId="0" fillId="0" borderId="0" xfId="0"/>
    <xf numFmtId="0" fontId="37" fillId="0" borderId="0" xfId="0" applyFont="1" applyAlignment="1">
      <alignment horizontal="right"/>
    </xf>
    <xf numFmtId="0" fontId="65" fillId="0" borderId="0" xfId="0" applyFont="1" applyAlignment="1">
      <alignment horizontal="right" vertical="center" wrapText="1"/>
    </xf>
    <xf numFmtId="10" fontId="67" fillId="59" borderId="12" xfId="2" applyNumberFormat="1" applyFont="1" applyFill="1" applyBorder="1" applyAlignment="1">
      <alignment horizontal="right" vertical="center"/>
    </xf>
    <xf numFmtId="166" fontId="0" fillId="0" borderId="0" xfId="1" applyNumberFormat="1" applyFont="1" applyAlignment="1">
      <alignment horizontal="right"/>
    </xf>
    <xf numFmtId="0" fontId="22" fillId="50" borderId="39" xfId="0" applyFont="1" applyFill="1" applyBorder="1"/>
    <xf numFmtId="0" fontId="13" fillId="50" borderId="39" xfId="0" applyFont="1" applyFill="1" applyBorder="1" applyAlignment="1">
      <alignment horizontal="left" vertical="center"/>
    </xf>
    <xf numFmtId="166" fontId="11" fillId="50" borderId="39" xfId="1" applyNumberFormat="1" applyFont="1" applyFill="1" applyBorder="1" applyAlignment="1">
      <alignment horizontal="center"/>
    </xf>
    <xf numFmtId="167" fontId="11" fillId="69" borderId="39" xfId="2" applyNumberFormat="1" applyFont="1" applyFill="1" applyBorder="1" applyAlignment="1">
      <alignment horizontal="center"/>
    </xf>
    <xf numFmtId="167" fontId="32" fillId="50" borderId="53" xfId="2" applyNumberFormat="1" applyFont="1" applyFill="1" applyBorder="1" applyAlignment="1">
      <alignment horizontal="center" vertical="center"/>
    </xf>
    <xf numFmtId="167" fontId="11" fillId="50" borderId="0" xfId="2" applyNumberFormat="1" applyFont="1" applyFill="1" applyBorder="1" applyAlignment="1">
      <alignment horizontal="center" vertical="center"/>
    </xf>
    <xf numFmtId="168" fontId="11" fillId="70" borderId="0" xfId="2" applyNumberFormat="1" applyFont="1" applyFill="1" applyBorder="1" applyAlignment="1">
      <alignment horizontal="center" vertical="center"/>
    </xf>
    <xf numFmtId="168" fontId="11" fillId="50" borderId="0" xfId="2" applyNumberFormat="1" applyFont="1" applyFill="1" applyBorder="1" applyAlignment="1">
      <alignment horizontal="center" vertical="center"/>
    </xf>
    <xf numFmtId="164" fontId="38" fillId="50" borderId="0" xfId="1" applyNumberFormat="1" applyFont="1" applyFill="1" applyBorder="1" applyAlignment="1">
      <alignment horizontal="center" vertical="center"/>
    </xf>
    <xf numFmtId="167" fontId="22" fillId="50" borderId="0" xfId="2" applyNumberFormat="1" applyFont="1" applyFill="1" applyBorder="1" applyAlignment="1">
      <alignment horizontal="center" vertical="center"/>
    </xf>
    <xf numFmtId="166" fontId="22" fillId="50" borderId="0" xfId="1" applyNumberFormat="1" applyFont="1" applyFill="1" applyBorder="1" applyAlignment="1">
      <alignment horizontal="center" vertical="center"/>
    </xf>
    <xf numFmtId="167" fontId="22" fillId="50" borderId="111" xfId="2" applyNumberFormat="1" applyFont="1" applyFill="1" applyBorder="1" applyAlignment="1">
      <alignment horizontal="center" vertical="center"/>
    </xf>
    <xf numFmtId="168" fontId="22" fillId="50" borderId="0" xfId="2" applyNumberFormat="1" applyFont="1" applyFill="1" applyBorder="1" applyAlignment="1">
      <alignment horizontal="center" vertical="center"/>
    </xf>
    <xf numFmtId="0" fontId="22" fillId="50" borderId="0" xfId="0" applyFont="1" applyFill="1"/>
    <xf numFmtId="0" fontId="11" fillId="50" borderId="0" xfId="0" applyFont="1" applyFill="1"/>
    <xf numFmtId="167" fontId="11" fillId="50" borderId="53" xfId="2" applyNumberFormat="1" applyFont="1" applyFill="1" applyBorder="1" applyAlignment="1">
      <alignment horizontal="center" vertical="center"/>
    </xf>
    <xf numFmtId="166" fontId="38" fillId="50" borderId="0" xfId="1" applyNumberFormat="1" applyFont="1" applyFill="1" applyBorder="1" applyAlignment="1">
      <alignment horizontal="center" vertical="center"/>
    </xf>
    <xf numFmtId="0" fontId="23" fillId="50" borderId="14" xfId="0" applyFont="1" applyFill="1" applyBorder="1" applyAlignment="1">
      <alignment horizontal="left" vertical="center"/>
    </xf>
    <xf numFmtId="165" fontId="23" fillId="50" borderId="12" xfId="0" applyNumberFormat="1" applyFont="1" applyFill="1" applyBorder="1" applyAlignment="1">
      <alignment horizontal="right" vertical="center"/>
    </xf>
    <xf numFmtId="3" fontId="23" fillId="50" borderId="12" xfId="0" applyNumberFormat="1" applyFont="1" applyFill="1" applyBorder="1" applyAlignment="1">
      <alignment horizontal="right" vertical="center"/>
    </xf>
    <xf numFmtId="3" fontId="6" fillId="50" borderId="9" xfId="0" applyNumberFormat="1" applyFont="1" applyFill="1" applyBorder="1" applyAlignment="1">
      <alignment horizontal="right" vertical="center"/>
    </xf>
    <xf numFmtId="173" fontId="6" fillId="50" borderId="9" xfId="0" applyNumberFormat="1" applyFont="1" applyFill="1" applyBorder="1" applyAlignment="1">
      <alignment horizontal="right" vertical="center"/>
    </xf>
    <xf numFmtId="0" fontId="37" fillId="50" borderId="0" xfId="0" applyFont="1" applyFill="1"/>
    <xf numFmtId="4" fontId="67" fillId="50" borderId="12" xfId="0" applyNumberFormat="1" applyFont="1" applyFill="1" applyBorder="1" applyAlignment="1">
      <alignment horizontal="right" vertical="center"/>
    </xf>
    <xf numFmtId="165" fontId="6" fillId="50" borderId="9" xfId="0" applyNumberFormat="1" applyFont="1" applyFill="1" applyBorder="1" applyAlignment="1">
      <alignment horizontal="right" vertical="center"/>
    </xf>
    <xf numFmtId="4" fontId="23" fillId="50" borderId="12" xfId="0" applyNumberFormat="1" applyFont="1" applyFill="1" applyBorder="1" applyAlignment="1">
      <alignment horizontal="right" vertical="center"/>
    </xf>
    <xf numFmtId="4" fontId="6" fillId="50" borderId="9" xfId="0" applyNumberFormat="1" applyFont="1" applyFill="1" applyBorder="1" applyAlignment="1">
      <alignment horizontal="right" vertical="center"/>
    </xf>
    <xf numFmtId="3" fontId="23" fillId="50" borderId="13" xfId="0" applyNumberFormat="1" applyFont="1" applyFill="1" applyBorder="1" applyAlignment="1">
      <alignment horizontal="right" vertical="center"/>
    </xf>
    <xf numFmtId="180" fontId="88" fillId="61" borderId="26" xfId="0" applyNumberFormat="1" applyFont="1" applyFill="1" applyBorder="1"/>
    <xf numFmtId="3" fontId="90" fillId="61" borderId="152" xfId="0" applyNumberFormat="1" applyFont="1" applyFill="1" applyBorder="1" applyAlignment="1">
      <alignment horizontal="center"/>
    </xf>
    <xf numFmtId="9" fontId="88" fillId="61" borderId="153" xfId="2" applyFont="1" applyFill="1" applyBorder="1" applyAlignment="1">
      <alignment horizontal="center"/>
    </xf>
    <xf numFmtId="9" fontId="88" fillId="61" borderId="147" xfId="2" applyFont="1" applyFill="1" applyBorder="1" applyAlignment="1">
      <alignment horizontal="center"/>
    </xf>
    <xf numFmtId="3" fontId="11" fillId="56" borderId="152" xfId="0" applyNumberFormat="1" applyFont="1" applyFill="1" applyBorder="1" applyAlignment="1">
      <alignment horizontal="center"/>
    </xf>
    <xf numFmtId="3" fontId="90" fillId="56" borderId="0" xfId="0" applyNumberFormat="1" applyFont="1" applyFill="1" applyBorder="1" applyAlignment="1">
      <alignment horizontal="center"/>
    </xf>
    <xf numFmtId="3" fontId="90" fillId="56" borderId="152" xfId="0" applyNumberFormat="1" applyFont="1" applyFill="1" applyBorder="1" applyAlignment="1">
      <alignment horizontal="center"/>
    </xf>
    <xf numFmtId="3" fontId="11" fillId="18" borderId="152" xfId="0" applyNumberFormat="1" applyFont="1" applyFill="1" applyBorder="1" applyAlignment="1">
      <alignment horizontal="center"/>
    </xf>
    <xf numFmtId="3" fontId="90" fillId="18" borderId="0" xfId="0" applyNumberFormat="1" applyFont="1" applyFill="1" applyBorder="1" applyAlignment="1">
      <alignment horizontal="center"/>
    </xf>
    <xf numFmtId="3" fontId="90" fillId="18" borderId="152" xfId="0" applyNumberFormat="1" applyFont="1" applyFill="1" applyBorder="1" applyAlignment="1">
      <alignment horizontal="center"/>
    </xf>
    <xf numFmtId="9" fontId="88" fillId="18" borderId="147" xfId="2" applyFont="1" applyFill="1" applyBorder="1" applyAlignment="1">
      <alignment horizontal="center"/>
    </xf>
    <xf numFmtId="14" fontId="51" fillId="71" borderId="0" xfId="39" applyNumberFormat="1" applyFill="1" applyAlignment="1">
      <alignment horizontal="center"/>
    </xf>
    <xf numFmtId="0" fontId="51" fillId="71" borderId="0" xfId="39" applyFill="1"/>
    <xf numFmtId="0" fontId="51" fillId="71" borderId="0" xfId="39" applyNumberFormat="1" applyFill="1"/>
    <xf numFmtId="0" fontId="64" fillId="71" borderId="0" xfId="39" applyNumberFormat="1" applyFont="1" applyFill="1"/>
    <xf numFmtId="166" fontId="64" fillId="71" borderId="0" xfId="1" applyNumberFormat="1" applyFont="1" applyFill="1"/>
    <xf numFmtId="1" fontId="51" fillId="71" borderId="0" xfId="39" applyNumberFormat="1" applyFill="1"/>
    <xf numFmtId="0" fontId="0" fillId="71" borderId="0" xfId="0" applyFill="1"/>
    <xf numFmtId="0" fontId="64" fillId="71" borderId="0" xfId="39" applyFont="1" applyFill="1"/>
    <xf numFmtId="0" fontId="76" fillId="71" borderId="0" xfId="39" applyFont="1" applyFill="1"/>
    <xf numFmtId="166" fontId="76" fillId="71" borderId="0" xfId="1" applyNumberFormat="1" applyFont="1" applyFill="1"/>
    <xf numFmtId="0" fontId="37" fillId="0" borderId="0" xfId="0" applyFont="1"/>
    <xf numFmtId="0" fontId="0" fillId="0" borderId="0" xfId="0"/>
    <xf numFmtId="17" fontId="37" fillId="0" borderId="0" xfId="0" applyNumberFormat="1" applyFont="1"/>
    <xf numFmtId="9" fontId="65" fillId="0" borderId="0" xfId="2" applyFont="1"/>
    <xf numFmtId="167" fontId="65" fillId="0" borderId="0" xfId="2" applyNumberFormat="1" applyFont="1"/>
    <xf numFmtId="9" fontId="37" fillId="0" borderId="0" xfId="0" applyNumberFormat="1" applyFont="1"/>
    <xf numFmtId="14" fontId="37" fillId="0" borderId="115" xfId="0" applyNumberFormat="1" applyFont="1" applyBorder="1"/>
    <xf numFmtId="0" fontId="60" fillId="12" borderId="9" xfId="0" applyFont="1" applyFill="1" applyBorder="1" applyAlignment="1">
      <alignment horizontal="center" vertical="top"/>
    </xf>
    <xf numFmtId="164" fontId="37" fillId="0" borderId="0" xfId="1" applyFont="1" applyAlignment="1">
      <alignment horizontal="center" vertical="center"/>
    </xf>
    <xf numFmtId="3" fontId="90" fillId="61" borderId="0" xfId="0" applyNumberFormat="1" applyFont="1" applyFill="1" applyAlignment="1">
      <alignment horizontal="center"/>
    </xf>
    <xf numFmtId="3" fontId="0" fillId="16" borderId="0" xfId="0" applyNumberFormat="1" applyFill="1"/>
    <xf numFmtId="0" fontId="0" fillId="72" borderId="0" xfId="0" applyFill="1"/>
    <xf numFmtId="0" fontId="0" fillId="16" borderId="0" xfId="0" applyFill="1"/>
    <xf numFmtId="3" fontId="12" fillId="61" borderId="154" xfId="0" applyNumberFormat="1" applyFont="1" applyFill="1" applyBorder="1" applyAlignment="1">
      <alignment horizontal="center"/>
    </xf>
    <xf numFmtId="3" fontId="90" fillId="61" borderId="115" xfId="0" applyNumberFormat="1" applyFont="1" applyFill="1" applyBorder="1" applyAlignment="1">
      <alignment horizontal="center"/>
    </xf>
    <xf numFmtId="9" fontId="88" fillId="61" borderId="155" xfId="2" applyFont="1" applyFill="1" applyBorder="1" applyAlignment="1">
      <alignment horizontal="center"/>
    </xf>
    <xf numFmtId="0" fontId="2" fillId="0" borderId="75" xfId="0" applyFont="1" applyFill="1" applyBorder="1"/>
    <xf numFmtId="0" fontId="2" fillId="61" borderId="75" xfId="0" applyFont="1" applyFill="1" applyBorder="1"/>
    <xf numFmtId="3" fontId="11" fillId="56" borderId="115" xfId="0" applyNumberFormat="1" applyFont="1" applyFill="1" applyBorder="1" applyAlignment="1">
      <alignment horizontal="center"/>
    </xf>
    <xf numFmtId="3" fontId="90" fillId="56" borderId="115" xfId="0" applyNumberFormat="1" applyFont="1" applyFill="1" applyBorder="1" applyAlignment="1">
      <alignment horizontal="center"/>
    </xf>
    <xf numFmtId="9" fontId="88" fillId="56" borderId="115" xfId="2" applyFont="1" applyFill="1" applyBorder="1" applyAlignment="1">
      <alignment horizontal="center"/>
    </xf>
    <xf numFmtId="0" fontId="2" fillId="61" borderId="115" xfId="0" applyFont="1" applyFill="1" applyBorder="1"/>
    <xf numFmtId="3" fontId="11" fillId="18" borderId="115" xfId="0" applyNumberFormat="1" applyFont="1" applyFill="1" applyBorder="1" applyAlignment="1">
      <alignment horizontal="center"/>
    </xf>
    <xf numFmtId="3" fontId="90" fillId="18" borderId="115" xfId="0" applyNumberFormat="1" applyFont="1" applyFill="1" applyBorder="1" applyAlignment="1">
      <alignment horizontal="center"/>
    </xf>
    <xf numFmtId="9" fontId="88" fillId="18" borderId="115" xfId="2" applyFont="1" applyFill="1" applyBorder="1" applyAlignment="1">
      <alignment horizontal="center"/>
    </xf>
    <xf numFmtId="3" fontId="12" fillId="16" borderId="115" xfId="0" applyNumberFormat="1" applyFont="1" applyFill="1" applyBorder="1" applyAlignment="1">
      <alignment horizontal="center"/>
    </xf>
    <xf numFmtId="9" fontId="88" fillId="16" borderId="115" xfId="2" applyFont="1" applyFill="1" applyBorder="1" applyAlignment="1">
      <alignment horizontal="center"/>
    </xf>
    <xf numFmtId="0" fontId="2" fillId="16" borderId="115" xfId="0" applyFont="1" applyFill="1" applyBorder="1"/>
    <xf numFmtId="180" fontId="88" fillId="51" borderId="61" xfId="0" applyNumberFormat="1" applyFont="1" applyFill="1" applyBorder="1" applyAlignment="1">
      <alignment horizontal="center" vertical="center"/>
    </xf>
    <xf numFmtId="180" fontId="88" fillId="16" borderId="115" xfId="0" applyNumberFormat="1" applyFont="1" applyFill="1" applyBorder="1" applyAlignment="1">
      <alignment horizontal="center" vertical="center"/>
    </xf>
    <xf numFmtId="180" fontId="88" fillId="73" borderId="115" xfId="0" applyNumberFormat="1" applyFont="1" applyFill="1" applyBorder="1" applyAlignment="1">
      <alignment horizontal="center" vertical="center"/>
    </xf>
    <xf numFmtId="164" fontId="37" fillId="0" borderId="0" xfId="1" applyNumberFormat="1" applyFont="1"/>
    <xf numFmtId="10" fontId="12" fillId="0" borderId="39" xfId="2" applyNumberFormat="1" applyFont="1" applyFill="1" applyBorder="1" applyAlignment="1">
      <alignment horizontal="center" vertical="center"/>
    </xf>
    <xf numFmtId="182" fontId="0" fillId="0" borderId="0" xfId="1" applyNumberFormat="1" applyFont="1"/>
    <xf numFmtId="0" fontId="37" fillId="0" borderId="0" xfId="0" applyFont="1"/>
    <xf numFmtId="0" fontId="0" fillId="0" borderId="0" xfId="0"/>
    <xf numFmtId="179" fontId="70" fillId="0" borderId="0" xfId="0" applyNumberFormat="1" applyFont="1" applyAlignment="1">
      <alignment vertical="center"/>
    </xf>
    <xf numFmtId="20" fontId="0" fillId="0" borderId="0" xfId="0" applyNumberFormat="1"/>
    <xf numFmtId="0" fontId="0" fillId="0" borderId="0" xfId="0"/>
    <xf numFmtId="166" fontId="0" fillId="0" borderId="0" xfId="1" applyNumberFormat="1" applyFont="1" applyAlignment="1">
      <alignment horizontal="center"/>
    </xf>
    <xf numFmtId="166" fontId="11" fillId="0" borderId="0" xfId="0" applyNumberFormat="1" applyFont="1" applyFill="1"/>
    <xf numFmtId="0" fontId="0" fillId="0" borderId="0" xfId="0"/>
    <xf numFmtId="0" fontId="0" fillId="0" borderId="0" xfId="0"/>
    <xf numFmtId="172" fontId="37" fillId="0" borderId="115" xfId="1" applyNumberFormat="1" applyFont="1" applyBorder="1"/>
    <xf numFmtId="0" fontId="96" fillId="0" borderId="0" xfId="45"/>
    <xf numFmtId="166" fontId="96" fillId="0" borderId="0" xfId="1" applyNumberFormat="1" applyFont="1" applyAlignment="1">
      <alignment horizontal="right"/>
    </xf>
    <xf numFmtId="0" fontId="0" fillId="0" borderId="0" xfId="0"/>
    <xf numFmtId="10" fontId="37" fillId="0" borderId="0" xfId="0" applyNumberFormat="1" applyFont="1"/>
    <xf numFmtId="9" fontId="0" fillId="50" borderId="0" xfId="2" applyFont="1" applyFill="1"/>
    <xf numFmtId="166" fontId="12" fillId="0" borderId="39" xfId="0" applyNumberFormat="1" applyFont="1" applyBorder="1"/>
    <xf numFmtId="14" fontId="12" fillId="16" borderId="51" xfId="2" applyNumberFormat="1" applyFont="1" applyFill="1" applyBorder="1" applyAlignment="1">
      <alignment horizontal="center" vertical="center"/>
    </xf>
    <xf numFmtId="179" fontId="0" fillId="0" borderId="0" xfId="46" applyNumberFormat="1" applyFont="1"/>
    <xf numFmtId="0" fontId="0" fillId="0" borderId="0" xfId="0"/>
    <xf numFmtId="180" fontId="12" fillId="10" borderId="51" xfId="2" applyNumberFormat="1" applyFont="1" applyFill="1" applyBorder="1" applyAlignment="1">
      <alignment horizontal="center" vertical="center"/>
    </xf>
    <xf numFmtId="0" fontId="0" fillId="0" borderId="0" xfId="0" applyAlignment="1">
      <alignment horizontal="center"/>
    </xf>
    <xf numFmtId="10" fontId="0" fillId="0" borderId="0" xfId="0" applyNumberFormat="1"/>
    <xf numFmtId="0" fontId="0" fillId="0" borderId="0" xfId="0"/>
    <xf numFmtId="167" fontId="0" fillId="0" borderId="0" xfId="0" applyNumberFormat="1"/>
    <xf numFmtId="0" fontId="0" fillId="0" borderId="0" xfId="0"/>
    <xf numFmtId="0" fontId="0" fillId="0" borderId="0" xfId="0"/>
    <xf numFmtId="166" fontId="0" fillId="0" borderId="0" xfId="1" applyNumberFormat="1" applyFont="1" applyAlignment="1">
      <alignment horizontal="left"/>
    </xf>
    <xf numFmtId="179" fontId="0" fillId="0" borderId="0" xfId="46" applyNumberFormat="1" applyFont="1" applyAlignment="1">
      <alignment horizontal="left"/>
    </xf>
    <xf numFmtId="0" fontId="37" fillId="0" borderId="0" xfId="0" applyFont="1"/>
    <xf numFmtId="0" fontId="0" fillId="0" borderId="0" xfId="0"/>
    <xf numFmtId="14" fontId="64" fillId="0" borderId="0" xfId="39" applyNumberFormat="1" applyFont="1"/>
    <xf numFmtId="0" fontId="64" fillId="0" borderId="0" xfId="39" applyFont="1"/>
    <xf numFmtId="0" fontId="0" fillId="0" borderId="0" xfId="0"/>
    <xf numFmtId="0" fontId="0" fillId="0" borderId="0" xfId="0"/>
    <xf numFmtId="164" fontId="0" fillId="0" borderId="0" xfId="1" applyFont="1"/>
    <xf numFmtId="0" fontId="37" fillId="0" borderId="0" xfId="0" applyFont="1"/>
    <xf numFmtId="0" fontId="0" fillId="0" borderId="0" xfId="0"/>
    <xf numFmtId="0" fontId="0" fillId="0" borderId="0" xfId="0"/>
    <xf numFmtId="165" fontId="66" fillId="21" borderId="61" xfId="0" applyNumberFormat="1" applyFont="1" applyFill="1" applyBorder="1" applyAlignment="1">
      <alignment horizontal="right" vertical="center"/>
    </xf>
    <xf numFmtId="165" fontId="67" fillId="21" borderId="79" xfId="0" applyNumberFormat="1" applyFont="1" applyFill="1" applyBorder="1" applyAlignment="1">
      <alignment horizontal="right" vertical="center"/>
    </xf>
    <xf numFmtId="3" fontId="23" fillId="3" borderId="115" xfId="0" applyNumberFormat="1" applyFont="1" applyFill="1" applyBorder="1" applyAlignment="1">
      <alignment horizontal="right" vertical="center"/>
    </xf>
    <xf numFmtId="170" fontId="23" fillId="3" borderId="115" xfId="0" applyNumberFormat="1" applyFont="1" applyFill="1" applyBorder="1" applyAlignment="1">
      <alignment horizontal="right" vertical="center"/>
    </xf>
    <xf numFmtId="0" fontId="37" fillId="3" borderId="115" xfId="0" applyFont="1" applyFill="1" applyBorder="1"/>
    <xf numFmtId="0" fontId="0" fillId="0" borderId="0" xfId="0"/>
    <xf numFmtId="0" fontId="37" fillId="0" borderId="0" xfId="0" applyFont="1"/>
    <xf numFmtId="0" fontId="0" fillId="0" borderId="0" xfId="0"/>
    <xf numFmtId="0" fontId="39" fillId="0" borderId="0" xfId="47"/>
    <xf numFmtId="14" fontId="39" fillId="0" borderId="0" xfId="47" applyNumberFormat="1"/>
    <xf numFmtId="166" fontId="39" fillId="0" borderId="0" xfId="1" applyNumberFormat="1" applyFont="1"/>
    <xf numFmtId="14" fontId="39" fillId="0" borderId="0" xfId="48" applyNumberFormat="1"/>
    <xf numFmtId="0" fontId="39" fillId="0" borderId="0" xfId="48"/>
    <xf numFmtId="14" fontId="39" fillId="0" borderId="0" xfId="48" applyNumberFormat="1" applyAlignment="1">
      <alignment horizontal="right"/>
    </xf>
    <xf numFmtId="183" fontId="24" fillId="20" borderId="77" xfId="0" applyNumberFormat="1" applyFont="1" applyFill="1" applyBorder="1" applyAlignment="1">
      <alignment horizontal="right" vertical="top"/>
    </xf>
    <xf numFmtId="0" fontId="0" fillId="0" borderId="0" xfId="0"/>
    <xf numFmtId="0" fontId="61" fillId="3" borderId="1" xfId="0" applyFont="1" applyFill="1" applyBorder="1" applyAlignment="1">
      <alignment horizontal="left" vertical="top"/>
    </xf>
    <xf numFmtId="0" fontId="37" fillId="3" borderId="2" xfId="0" applyFont="1" applyFill="1" applyBorder="1"/>
    <xf numFmtId="0" fontId="37" fillId="3" borderId="3" xfId="0" applyFont="1" applyFill="1" applyBorder="1"/>
    <xf numFmtId="0" fontId="37" fillId="0" borderId="24" xfId="0" applyFont="1" applyBorder="1" applyAlignment="1">
      <alignment horizontal="center"/>
    </xf>
    <xf numFmtId="0" fontId="61" fillId="3" borderId="62" xfId="0" applyFont="1" applyFill="1" applyBorder="1" applyAlignment="1">
      <alignment horizontal="left" vertical="top"/>
    </xf>
    <xf numFmtId="0" fontId="61" fillId="3" borderId="63" xfId="0" applyFont="1" applyFill="1" applyBorder="1" applyAlignment="1">
      <alignment horizontal="left" vertical="top"/>
    </xf>
    <xf numFmtId="0" fontId="61" fillId="3" borderId="64" xfId="0" applyFont="1" applyFill="1" applyBorder="1" applyAlignment="1">
      <alignment horizontal="left" vertical="top"/>
    </xf>
    <xf numFmtId="0" fontId="37" fillId="0" borderId="0" xfId="0" applyFont="1"/>
    <xf numFmtId="0" fontId="60" fillId="0" borderId="0" xfId="0" applyFont="1" applyAlignment="1">
      <alignment horizontal="left" vertical="center"/>
    </xf>
    <xf numFmtId="0" fontId="60" fillId="2" borderId="19" xfId="0" applyFont="1" applyFill="1" applyBorder="1" applyAlignment="1">
      <alignment horizontal="center" vertical="top"/>
    </xf>
    <xf numFmtId="0" fontId="37" fillId="2" borderId="5" xfId="0" applyFont="1" applyFill="1" applyBorder="1"/>
    <xf numFmtId="0" fontId="37" fillId="2" borderId="6" xfId="0" applyFont="1" applyFill="1" applyBorder="1"/>
    <xf numFmtId="0" fontId="37" fillId="2" borderId="20" xfId="0" applyFont="1" applyFill="1" applyBorder="1"/>
    <xf numFmtId="0" fontId="37" fillId="2" borderId="4" xfId="0" applyFont="1" applyFill="1" applyBorder="1"/>
    <xf numFmtId="0" fontId="60" fillId="2" borderId="61" xfId="0" applyFont="1" applyFill="1" applyBorder="1" applyAlignment="1">
      <alignment horizontal="center" vertical="top"/>
    </xf>
    <xf numFmtId="0" fontId="60" fillId="2" borderId="5" xfId="0" applyFont="1" applyFill="1" applyBorder="1" applyAlignment="1">
      <alignment horizontal="center" vertical="top"/>
    </xf>
    <xf numFmtId="0" fontId="60" fillId="2" borderId="6" xfId="0" applyFont="1" applyFill="1" applyBorder="1" applyAlignment="1">
      <alignment horizontal="center" vertical="top"/>
    </xf>
    <xf numFmtId="0" fontId="60" fillId="2" borderId="20" xfId="0" applyFont="1" applyFill="1" applyBorder="1" applyAlignment="1">
      <alignment horizontal="center" vertical="top"/>
    </xf>
    <xf numFmtId="0" fontId="31" fillId="0" borderId="0" xfId="0" applyFont="1" applyFill="1" applyBorder="1" applyAlignment="1">
      <alignment vertical="center"/>
    </xf>
    <xf numFmtId="0" fontId="34" fillId="3" borderId="83" xfId="0" applyFont="1" applyFill="1" applyBorder="1" applyAlignment="1">
      <alignment horizontal="left" vertical="center"/>
    </xf>
    <xf numFmtId="0" fontId="34" fillId="3" borderId="84" xfId="0" applyFont="1" applyFill="1" applyBorder="1" applyAlignment="1">
      <alignment horizontal="left" vertical="center"/>
    </xf>
    <xf numFmtId="0" fontId="34" fillId="3" borderId="86" xfId="0" applyFont="1" applyFill="1" applyBorder="1" applyAlignment="1">
      <alignment horizontal="left" vertical="center"/>
    </xf>
    <xf numFmtId="0" fontId="34" fillId="3" borderId="87" xfId="0" applyFont="1" applyFill="1" applyBorder="1" applyAlignment="1">
      <alignment horizontal="left" vertical="center"/>
    </xf>
    <xf numFmtId="0" fontId="34" fillId="3" borderId="89" xfId="0" applyFont="1" applyFill="1" applyBorder="1" applyAlignment="1">
      <alignment horizontal="left" vertical="center"/>
    </xf>
    <xf numFmtId="0" fontId="34" fillId="3" borderId="90" xfId="0" applyFont="1" applyFill="1" applyBorder="1" applyAlignment="1">
      <alignment horizontal="left" vertical="center"/>
    </xf>
    <xf numFmtId="0" fontId="34" fillId="55" borderId="86" xfId="0" applyFont="1" applyFill="1" applyBorder="1" applyAlignment="1">
      <alignment horizontal="left" vertical="center"/>
    </xf>
    <xf numFmtId="0" fontId="34" fillId="55" borderId="87" xfId="0" applyFont="1" applyFill="1" applyBorder="1" applyAlignment="1">
      <alignment horizontal="left" vertical="center"/>
    </xf>
    <xf numFmtId="14" fontId="29" fillId="0" borderId="0" xfId="0" applyNumberFormat="1" applyFont="1" applyFill="1" applyAlignment="1">
      <alignment horizontal="center" vertical="center"/>
    </xf>
    <xf numFmtId="0" fontId="29" fillId="0" borderId="0" xfId="0" applyFont="1" applyFill="1" applyAlignment="1">
      <alignment horizontal="center" vertical="center"/>
    </xf>
    <xf numFmtId="0" fontId="10" fillId="0" borderId="114"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2" fillId="0" borderId="115" xfId="0" applyFont="1" applyBorder="1" applyAlignment="1">
      <alignment horizontal="center"/>
    </xf>
    <xf numFmtId="0" fontId="2" fillId="60" borderId="128" xfId="0" applyFont="1" applyFill="1" applyBorder="1" applyAlignment="1">
      <alignment horizontal="center" vertical="center"/>
    </xf>
    <xf numFmtId="0" fontId="2" fillId="56" borderId="128" xfId="0" applyFont="1" applyFill="1" applyBorder="1" applyAlignment="1">
      <alignment horizontal="center" vertical="center"/>
    </xf>
    <xf numFmtId="0" fontId="2" fillId="56" borderId="143" xfId="0" applyFont="1" applyFill="1" applyBorder="1" applyAlignment="1">
      <alignment horizontal="center" vertical="center"/>
    </xf>
    <xf numFmtId="0" fontId="2" fillId="18" borderId="128" xfId="0" applyFont="1" applyFill="1" applyBorder="1" applyAlignment="1">
      <alignment horizontal="center" vertical="center"/>
    </xf>
    <xf numFmtId="0" fontId="2" fillId="18" borderId="143" xfId="0" applyFont="1" applyFill="1" applyBorder="1" applyAlignment="1">
      <alignment horizontal="center" vertical="center"/>
    </xf>
    <xf numFmtId="14" fontId="12" fillId="10" borderId="51" xfId="2" applyNumberFormat="1" applyFont="1" applyFill="1" applyBorder="1" applyAlignment="1">
      <alignment horizontal="center" vertical="center"/>
    </xf>
    <xf numFmtId="0" fontId="2" fillId="60" borderId="139" xfId="0" applyFont="1" applyFill="1" applyBorder="1" applyAlignment="1">
      <alignment horizontal="center" vertical="center"/>
    </xf>
    <xf numFmtId="0" fontId="87" fillId="16" borderId="152" xfId="0" applyFont="1" applyFill="1" applyBorder="1" applyAlignment="1">
      <alignment horizontal="center"/>
    </xf>
    <xf numFmtId="0" fontId="87" fillId="61" borderId="75" xfId="0" applyFont="1" applyFill="1" applyBorder="1" applyAlignment="1">
      <alignment horizontal="center" vertical="center"/>
    </xf>
    <xf numFmtId="0" fontId="87" fillId="61" borderId="0" xfId="0" applyFont="1" applyFill="1" applyBorder="1" applyAlignment="1">
      <alignment horizontal="center" vertical="center"/>
    </xf>
    <xf numFmtId="0" fontId="2" fillId="60" borderId="122" xfId="0" applyFont="1" applyFill="1" applyBorder="1" applyAlignment="1">
      <alignment horizontal="center" vertical="center"/>
    </xf>
    <xf numFmtId="0" fontId="87" fillId="63" borderId="75" xfId="0" applyFont="1" applyFill="1" applyBorder="1" applyAlignment="1">
      <alignment horizontal="center"/>
    </xf>
    <xf numFmtId="0" fontId="87" fillId="63" borderId="0" xfId="0" applyFont="1" applyFill="1" applyBorder="1" applyAlignment="1">
      <alignment horizontal="center"/>
    </xf>
    <xf numFmtId="0" fontId="87" fillId="63" borderId="138" xfId="0" applyFont="1" applyFill="1" applyBorder="1" applyAlignment="1">
      <alignment horizontal="center"/>
    </xf>
    <xf numFmtId="0" fontId="93" fillId="49" borderId="0" xfId="0" applyFont="1" applyFill="1" applyAlignment="1">
      <alignment horizontal="center"/>
    </xf>
    <xf numFmtId="0" fontId="2" fillId="68" borderId="0" xfId="0" applyFont="1" applyFill="1" applyAlignment="1">
      <alignment horizontal="center"/>
    </xf>
    <xf numFmtId="0" fontId="2" fillId="68" borderId="151" xfId="0" applyFont="1" applyFill="1" applyBorder="1" applyAlignment="1">
      <alignment horizontal="center"/>
    </xf>
    <xf numFmtId="0" fontId="72" fillId="49" borderId="0" xfId="0" applyFont="1" applyFill="1" applyAlignment="1">
      <alignment horizontal="center"/>
    </xf>
    <xf numFmtId="0" fontId="56" fillId="49" borderId="0" xfId="0" applyFont="1" applyFill="1" applyAlignment="1">
      <alignment horizontal="center"/>
    </xf>
    <xf numFmtId="0" fontId="81" fillId="0" borderId="0" xfId="0" applyFont="1" applyAlignment="1">
      <alignment horizontal="center"/>
    </xf>
    <xf numFmtId="0" fontId="63" fillId="6" borderId="33" xfId="0" applyFont="1" applyFill="1" applyBorder="1" applyAlignment="1">
      <alignment horizontal="left" vertical="top"/>
    </xf>
    <xf numFmtId="0" fontId="37" fillId="6" borderId="31" xfId="0" applyFont="1" applyFill="1" applyBorder="1"/>
    <xf numFmtId="0" fontId="37" fillId="6" borderId="32" xfId="0" applyFont="1" applyFill="1" applyBorder="1"/>
    <xf numFmtId="0" fontId="63" fillId="6" borderId="35" xfId="0" applyFont="1" applyFill="1" applyBorder="1" applyAlignment="1">
      <alignment horizontal="left" vertical="top"/>
    </xf>
    <xf numFmtId="0" fontId="37" fillId="6" borderId="26" xfId="0" applyFont="1" applyFill="1" applyBorder="1"/>
    <xf numFmtId="0" fontId="37" fillId="6" borderId="34" xfId="0" applyFont="1" applyFill="1" applyBorder="1"/>
    <xf numFmtId="0" fontId="82" fillId="4" borderId="0" xfId="0" applyFont="1" applyFill="1" applyAlignment="1">
      <alignment horizontal="left" vertical="top"/>
    </xf>
    <xf numFmtId="0" fontId="79" fillId="0" borderId="22" xfId="0" applyFont="1" applyBorder="1" applyAlignment="1">
      <alignment horizontal="left" vertical="center"/>
    </xf>
    <xf numFmtId="0" fontId="37" fillId="0" borderId="22" xfId="0" applyFont="1" applyBorder="1"/>
    <xf numFmtId="0" fontId="63" fillId="6" borderId="29" xfId="0" applyFont="1" applyFill="1" applyBorder="1" applyAlignment="1">
      <alignment horizontal="left" vertical="top"/>
    </xf>
    <xf numFmtId="0" fontId="37" fillId="6" borderId="27" xfId="0" applyFont="1" applyFill="1" applyBorder="1"/>
    <xf numFmtId="0" fontId="37" fillId="6" borderId="28" xfId="0" applyFont="1" applyFill="1" applyBorder="1"/>
    <xf numFmtId="0" fontId="62" fillId="6" borderId="35" xfId="0" applyFont="1" applyFill="1" applyBorder="1" applyAlignment="1">
      <alignment horizontal="left" vertical="top"/>
    </xf>
    <xf numFmtId="0" fontId="83" fillId="5" borderId="29" xfId="0" applyFont="1" applyFill="1" applyBorder="1" applyAlignment="1">
      <alignment horizontal="left" vertical="top"/>
    </xf>
    <xf numFmtId="0" fontId="37" fillId="5" borderId="27" xfId="0" applyFont="1" applyFill="1" applyBorder="1"/>
    <xf numFmtId="0" fontId="37" fillId="5" borderId="28" xfId="0" applyFont="1" applyFill="1" applyBorder="1"/>
    <xf numFmtId="0" fontId="84" fillId="6" borderId="33" xfId="0" applyFont="1" applyFill="1" applyBorder="1" applyAlignment="1">
      <alignment horizontal="right" vertical="top"/>
    </xf>
    <xf numFmtId="0" fontId="83" fillId="5" borderId="33" xfId="0" applyFont="1" applyFill="1" applyBorder="1" applyAlignment="1">
      <alignment horizontal="left" vertical="top"/>
    </xf>
    <xf numFmtId="0" fontId="37" fillId="5" borderId="31" xfId="0" applyFont="1" applyFill="1" applyBorder="1"/>
    <xf numFmtId="0" fontId="37" fillId="5" borderId="32" xfId="0" applyFont="1" applyFill="1" applyBorder="1"/>
    <xf numFmtId="0" fontId="84" fillId="6" borderId="35" xfId="0" applyFont="1" applyFill="1" applyBorder="1" applyAlignment="1">
      <alignment horizontal="right" vertical="top"/>
    </xf>
    <xf numFmtId="0" fontId="62" fillId="6" borderId="33" xfId="0" applyFont="1" applyFill="1" applyBorder="1" applyAlignment="1">
      <alignment horizontal="left" vertical="top"/>
    </xf>
    <xf numFmtId="0" fontId="62" fillId="6" borderId="33" xfId="0" applyFont="1" applyFill="1" applyBorder="1" applyAlignment="1">
      <alignment horizontal="right" vertical="top"/>
    </xf>
    <xf numFmtId="0" fontId="83" fillId="5" borderId="35" xfId="0" applyFont="1" applyFill="1" applyBorder="1" applyAlignment="1">
      <alignment horizontal="left" vertical="top"/>
    </xf>
    <xf numFmtId="0" fontId="37" fillId="5" borderId="26" xfId="0" applyFont="1" applyFill="1" applyBorder="1"/>
    <xf numFmtId="0" fontId="37" fillId="5" borderId="34" xfId="0" applyFont="1" applyFill="1" applyBorder="1"/>
    <xf numFmtId="0" fontId="62" fillId="6" borderId="29" xfId="0" applyFont="1" applyFill="1" applyBorder="1" applyAlignment="1">
      <alignment horizontal="left" vertical="top"/>
    </xf>
    <xf numFmtId="0" fontId="37" fillId="0" borderId="0" xfId="0" applyFont="1" applyAlignment="1">
      <alignment horizontal="center"/>
    </xf>
    <xf numFmtId="0" fontId="81" fillId="16" borderId="0" xfId="0" applyFont="1" applyFill="1" applyAlignment="1">
      <alignment horizontal="center"/>
    </xf>
    <xf numFmtId="0" fontId="81" fillId="0" borderId="0" xfId="0" applyFont="1" applyFill="1" applyAlignment="1">
      <alignment horizontal="center"/>
    </xf>
    <xf numFmtId="0" fontId="81" fillId="0" borderId="0" xfId="0" applyFont="1" applyFill="1" applyAlignment="1">
      <alignment horizontal="center" vertical="center"/>
    </xf>
    <xf numFmtId="0" fontId="16" fillId="9" borderId="0" xfId="0" applyFont="1" applyFill="1" applyAlignment="1">
      <alignment horizontal="center" vertical="center"/>
    </xf>
    <xf numFmtId="0" fontId="15" fillId="8" borderId="0" xfId="0" applyFont="1" applyFill="1" applyAlignment="1">
      <alignment horizontal="center"/>
    </xf>
    <xf numFmtId="0" fontId="17" fillId="7" borderId="0" xfId="0" applyFont="1" applyFill="1" applyAlignment="1">
      <alignment horizontal="center"/>
    </xf>
    <xf numFmtId="0" fontId="17" fillId="7" borderId="0" xfId="0" applyFont="1" applyFill="1" applyAlignment="1">
      <alignment horizontal="center" vertical="center"/>
    </xf>
    <xf numFmtId="0" fontId="15" fillId="8" borderId="0" xfId="0" applyFont="1" applyFill="1" applyAlignment="1">
      <alignment horizontal="center" vertical="center"/>
    </xf>
    <xf numFmtId="0" fontId="4" fillId="0" borderId="1" xfId="0" applyFont="1" applyBorder="1" applyAlignment="1">
      <alignment horizontal="left" vertical="center"/>
    </xf>
    <xf numFmtId="0" fontId="0" fillId="0" borderId="2" xfId="0" applyBorder="1"/>
    <xf numFmtId="0" fontId="0" fillId="0" borderId="3" xfId="0" applyBorder="1"/>
    <xf numFmtId="0" fontId="5" fillId="2" borderId="19" xfId="0" applyFont="1" applyFill="1" applyBorder="1" applyAlignment="1">
      <alignment horizontal="center" vertical="top"/>
    </xf>
    <xf numFmtId="0" fontId="0" fillId="2" borderId="6" xfId="0" applyFill="1" applyBorder="1"/>
    <xf numFmtId="0" fontId="0" fillId="2" borderId="20" xfId="0" applyFill="1" applyBorder="1"/>
    <xf numFmtId="0" fontId="0" fillId="0" borderId="0" xfId="0"/>
    <xf numFmtId="0" fontId="0" fillId="2" borderId="5" xfId="0" applyFill="1" applyBorder="1"/>
    <xf numFmtId="0" fontId="0" fillId="2" borderId="4" xfId="0" applyFill="1" applyBorder="1"/>
    <xf numFmtId="0" fontId="3" fillId="0" borderId="0" xfId="0" applyFont="1" applyAlignment="1">
      <alignment horizontal="left" vertical="center"/>
    </xf>
  </cellXfs>
  <cellStyles count="49">
    <cellStyle name="20% - Accent1" xfId="4" xr:uid="{00000000-0005-0000-0000-000000000000}"/>
    <cellStyle name="20% - Accent2" xfId="5" xr:uid="{00000000-0005-0000-0000-000001000000}"/>
    <cellStyle name="20% - Accent3" xfId="6" xr:uid="{00000000-0005-0000-0000-000002000000}"/>
    <cellStyle name="20% - Accent4" xfId="7" xr:uid="{00000000-0005-0000-0000-000003000000}"/>
    <cellStyle name="20% - Accent5" xfId="8" xr:uid="{00000000-0005-0000-0000-000004000000}"/>
    <cellStyle name="20% - Accent6" xfId="9" xr:uid="{00000000-0005-0000-0000-000005000000}"/>
    <cellStyle name="40% - Accent1" xfId="10" xr:uid="{00000000-0005-0000-0000-000006000000}"/>
    <cellStyle name="40% - Accent2" xfId="11" xr:uid="{00000000-0005-0000-0000-000007000000}"/>
    <cellStyle name="40% - Accent3" xfId="12" xr:uid="{00000000-0005-0000-0000-000008000000}"/>
    <cellStyle name="40% - Accent4" xfId="13" xr:uid="{00000000-0005-0000-0000-000009000000}"/>
    <cellStyle name="40% - Accent5" xfId="14" xr:uid="{00000000-0005-0000-0000-00000A000000}"/>
    <cellStyle name="40% - Accent6" xfId="15" xr:uid="{00000000-0005-0000-0000-00000B000000}"/>
    <cellStyle name="60% - Accent1" xfId="16" xr:uid="{00000000-0005-0000-0000-00000C000000}"/>
    <cellStyle name="60% - Accent2" xfId="17" xr:uid="{00000000-0005-0000-0000-00000D000000}"/>
    <cellStyle name="60% - Accent3" xfId="18" xr:uid="{00000000-0005-0000-0000-00000E000000}"/>
    <cellStyle name="60% - Accent4" xfId="19" xr:uid="{00000000-0005-0000-0000-00000F000000}"/>
    <cellStyle name="60% - Accent5" xfId="20" xr:uid="{00000000-0005-0000-0000-000010000000}"/>
    <cellStyle name="60% - Accent6" xfId="21" xr:uid="{00000000-0005-0000-0000-000011000000}"/>
    <cellStyle name="Bad" xfId="22" xr:uid="{00000000-0005-0000-0000-000012000000}"/>
    <cellStyle name="Calculation" xfId="23" xr:uid="{00000000-0005-0000-0000-000013000000}"/>
    <cellStyle name="Check Cell" xfId="24" xr:uid="{00000000-0005-0000-0000-000014000000}"/>
    <cellStyle name="Explanatory Text" xfId="25" xr:uid="{00000000-0005-0000-0000-000015000000}"/>
    <cellStyle name="Good" xfId="26" xr:uid="{00000000-0005-0000-0000-000016000000}"/>
    <cellStyle name="Heading 1" xfId="27" xr:uid="{00000000-0005-0000-0000-000017000000}"/>
    <cellStyle name="Heading 2" xfId="28" xr:uid="{00000000-0005-0000-0000-000018000000}"/>
    <cellStyle name="Heading 3" xfId="29" xr:uid="{00000000-0005-0000-0000-000019000000}"/>
    <cellStyle name="Heading 4" xfId="30" xr:uid="{00000000-0005-0000-0000-00001A000000}"/>
    <cellStyle name="Input" xfId="31" xr:uid="{00000000-0005-0000-0000-00001B000000}"/>
    <cellStyle name="Linked Cell" xfId="32" xr:uid="{00000000-0005-0000-0000-00001C000000}"/>
    <cellStyle name="Milliers" xfId="1" builtinId="3"/>
    <cellStyle name="Milliers 2" xfId="46" xr:uid="{349314EE-6303-4362-AE4F-7F72E31C5D8B}"/>
    <cellStyle name="Neutral" xfId="33" xr:uid="{00000000-0005-0000-0000-00001E000000}"/>
    <cellStyle name="Normal" xfId="0" builtinId="0"/>
    <cellStyle name="Normal 2" xfId="3" xr:uid="{00000000-0005-0000-0000-000020000000}"/>
    <cellStyle name="Normal 3" xfId="44" xr:uid="{55A66D44-7A60-47D6-97D9-A05AC56C8583}"/>
    <cellStyle name="Normal_Feuil1" xfId="39" xr:uid="{00000000-0005-0000-0000-000021000000}"/>
    <cellStyle name="Normal_Feuil1_1" xfId="42" xr:uid="{00000000-0005-0000-0000-000022000000}"/>
    <cellStyle name="Normal_Feuil1_2" xfId="48" xr:uid="{5023F77A-42C1-42EF-92B8-746AE71E9A0B}"/>
    <cellStyle name="Normal_Feuil2" xfId="34" xr:uid="{00000000-0005-0000-0000-000023000000}"/>
    <cellStyle name="Normal_Feuil3" xfId="40" xr:uid="{00000000-0005-0000-0000-000024000000}"/>
    <cellStyle name="Normal_Feuil4" xfId="41" xr:uid="{00000000-0005-0000-0000-000025000000}"/>
    <cellStyle name="Normal_PNB" xfId="47" xr:uid="{6CA989CC-56EA-4C39-8E3D-90940C27A99F}"/>
    <cellStyle name="Normal_Sheet1" xfId="43" xr:uid="{6E11B367-F817-4EAD-B8E1-199E43EB1C09}"/>
    <cellStyle name="Normal_Stock_renew" xfId="45" xr:uid="{F9CC5B5A-0C93-46D9-9D44-14EFC633AD1E}"/>
    <cellStyle name="Note" xfId="35" xr:uid="{00000000-0005-0000-0000-000026000000}"/>
    <cellStyle name="Output" xfId="36" xr:uid="{00000000-0005-0000-0000-000027000000}"/>
    <cellStyle name="Pourcentage" xfId="2" builtinId="5"/>
    <cellStyle name="Title" xfId="37" xr:uid="{00000000-0005-0000-0000-000029000000}"/>
    <cellStyle name="Warning Text" xfId="38" xr:uid="{00000000-0005-0000-0000-00002A000000}"/>
  </cellStyles>
  <dxfs count="22">
    <dxf>
      <numFmt numFmtId="166" formatCode="_-* #,##0\ _€_-;\-* #,##0\ _€_-;_-* &quot;-&quot;??\ _€_-;_-@_-"/>
    </dxf>
    <dxf>
      <numFmt numFmtId="166" formatCode="_-* #,##0\ _€_-;\-* #,##0\ _€_-;_-* &quot;-&quot;??\ _€_-;_-@_-"/>
    </dxf>
    <dxf>
      <numFmt numFmtId="166" formatCode="_-* #,##0\ _€_-;\-* #,##0\ _€_-;_-* &quot;-&quot;??\ _€_-;_-@_-"/>
    </dxf>
    <dxf>
      <alignment horizontal="center" readingOrder="0"/>
    </dxf>
    <dxf>
      <alignment horizontal="center" readingOrder="0"/>
    </dxf>
    <dxf>
      <alignment vertical="center" readingOrder="0"/>
    </dxf>
    <dxf>
      <alignment vertical="center" readingOrder="0"/>
    </dxf>
    <dxf>
      <alignment horizontal="center" readingOrder="0"/>
    </dxf>
    <dxf>
      <alignment vertical="center" readingOrder="0"/>
    </dxf>
    <dxf>
      <numFmt numFmtId="14" formatCode="0.00%"/>
    </dxf>
    <dxf>
      <numFmt numFmtId="166" formatCode="_-* #,##0\ _€_-;\-* #,##0\ _€_-;_-* &quot;-&quot;??\ _€_-;_-@_-"/>
    </dxf>
    <dxf>
      <numFmt numFmtId="172" formatCode="_-* #,##0.0\ _€_-;\-* #,##0.0\ _€_-;_-* &quot;-&quot;??\ _€_-;_-@_-"/>
    </dxf>
    <dxf>
      <numFmt numFmtId="164" formatCode="_-* #,##0.00\ _€_-;\-* #,##0.00\ _€_-;_-* &quot;-&quot;??\ _€_-;_-@_-"/>
    </dxf>
    <dxf>
      <numFmt numFmtId="179" formatCode="_-* #,##0_-;\-* #,##0_-;_-* &quot;-&quot;??_-;_-@_-"/>
    </dxf>
    <dxf>
      <numFmt numFmtId="184" formatCode="_-* #,##0.0_-;\-* #,##0.0_-;_-* &quot;-&quot;??_-;_-@_-"/>
    </dxf>
    <dxf>
      <numFmt numFmtId="35" formatCode="_-* #,##0.00_-;\-* #,##0.00_-;_-* &quot;-&quot;??_-;_-@_-"/>
    </dxf>
    <dxf>
      <numFmt numFmtId="179" formatCode="_-* #,##0_-;\-* #,##0_-;_-* &quot;-&quot;??_-;_-@_-"/>
    </dxf>
    <dxf>
      <numFmt numFmtId="184" formatCode="_-* #,##0.0_-;\-* #,##0.0_-;_-* &quot;-&quot;??_-;_-@_-"/>
    </dxf>
    <dxf>
      <numFmt numFmtId="35" formatCode="_-* #,##0.00_-;\-* #,##0.00_-;_-* &quot;-&quot;??_-;_-@_-"/>
    </dxf>
    <dxf>
      <font>
        <color rgb="FF9C0006"/>
      </font>
    </dxf>
    <dxf>
      <font>
        <color rgb="FF9C0006"/>
      </font>
    </dxf>
    <dxf>
      <font>
        <color rgb="FF9C0006"/>
      </font>
    </dxf>
  </dxfs>
  <tableStyles count="0" defaultTableStyle="TableStyleMedium2" defaultPivotStyle="PivotStyleLight16"/>
  <colors>
    <mruColors>
      <color rgb="FFFFA7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4.xml"/><Relationship Id="rId36"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pivotCacheDefinition" Target="pivotCache/pivotCacheDefinition6.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chartUserShapes" Target="../drawings/drawing3.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chartUserShapes" Target="../drawings/drawing4.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5.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6.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9.xml"/><Relationship Id="rId1" Type="http://schemas.microsoft.com/office/2011/relationships/chartStyle" Target="style9.xml"/><Relationship Id="rId4" Type="http://schemas.openxmlformats.org/officeDocument/2006/relationships/chartUserShapes" Target="../drawings/drawing7.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chartUserShapes" Target="../drawings/drawing8.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10.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41.xml"/><Relationship Id="rId1" Type="http://schemas.microsoft.com/office/2011/relationships/chartStyle" Target="style41.xml"/><Relationship Id="rId4" Type="http://schemas.openxmlformats.org/officeDocument/2006/relationships/chartUserShapes" Target="../drawings/drawing16.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53.xml"/><Relationship Id="rId1" Type="http://schemas.microsoft.com/office/2011/relationships/chartStyle" Target="style53.xml"/><Relationship Id="rId4" Type="http://schemas.openxmlformats.org/officeDocument/2006/relationships/chartUserShapes" Target="../drawings/drawing17.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59.xml"/><Relationship Id="rId1" Type="http://schemas.microsoft.com/office/2011/relationships/chartStyle" Target="style59.xml"/><Relationship Id="rId4" Type="http://schemas.openxmlformats.org/officeDocument/2006/relationships/chartUserShapes" Target="../drawings/drawing18.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49.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50.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51.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themeOverride" Target="../theme/themeOverride52.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themeOverride" Target="../theme/themeOverride53.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themeOverride" Target="../theme/themeOverride54.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55.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56.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themeOverride" Target="../theme/themeOverride57.xml"/><Relationship Id="rId2" Type="http://schemas.microsoft.com/office/2011/relationships/chartColorStyle" Target="colors69.xml"/><Relationship Id="rId1" Type="http://schemas.microsoft.com/office/2011/relationships/chartStyle" Target="style69.xml"/><Relationship Id="rId4" Type="http://schemas.openxmlformats.org/officeDocument/2006/relationships/chartUserShapes" Target="../drawings/drawing19.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58.xml"/><Relationship Id="rId2" Type="http://schemas.microsoft.com/office/2011/relationships/chartColorStyle" Target="colors70.xml"/><Relationship Id="rId1" Type="http://schemas.microsoft.com/office/2011/relationships/chartStyle" Target="style70.xml"/><Relationship Id="rId4" Type="http://schemas.openxmlformats.org/officeDocument/2006/relationships/chartUserShapes" Target="../drawings/drawing20.xml"/></Relationships>
</file>

<file path=xl/charts/_rels/chart71.xml.rels><?xml version="1.0" encoding="UTF-8" standalone="yes"?>
<Relationships xmlns="http://schemas.openxmlformats.org/package/2006/relationships"><Relationship Id="rId3" Type="http://schemas.openxmlformats.org/officeDocument/2006/relationships/themeOverride" Target="../theme/themeOverride59.xml"/><Relationship Id="rId2" Type="http://schemas.microsoft.com/office/2011/relationships/chartColorStyle" Target="colors71.xml"/><Relationship Id="rId1" Type="http://schemas.microsoft.com/office/2011/relationships/chartStyle" Target="style71.xml"/><Relationship Id="rId4" Type="http://schemas.openxmlformats.org/officeDocument/2006/relationships/chartUserShapes" Target="../drawings/drawing21.xml"/></Relationships>
</file>

<file path=xl/charts/_rels/chart72.xml.rels><?xml version="1.0" encoding="UTF-8" standalone="yes"?>
<Relationships xmlns="http://schemas.openxmlformats.org/package/2006/relationships"><Relationship Id="rId3" Type="http://schemas.openxmlformats.org/officeDocument/2006/relationships/themeOverride" Target="../theme/themeOverride60.xml"/><Relationship Id="rId2" Type="http://schemas.microsoft.com/office/2011/relationships/chartColorStyle" Target="colors72.xml"/><Relationship Id="rId1" Type="http://schemas.microsoft.com/office/2011/relationships/chartStyle" Target="style72.xml"/><Relationship Id="rId4" Type="http://schemas.openxmlformats.org/officeDocument/2006/relationships/chartUserShapes" Target="../drawings/drawing22.xml"/></Relationships>
</file>

<file path=xl/charts/_rels/chart73.xml.rels><?xml version="1.0" encoding="UTF-8" standalone="yes"?>
<Relationships xmlns="http://schemas.openxmlformats.org/package/2006/relationships"><Relationship Id="rId3" Type="http://schemas.openxmlformats.org/officeDocument/2006/relationships/themeOverride" Target="../theme/themeOverride61.xml"/><Relationship Id="rId2" Type="http://schemas.microsoft.com/office/2011/relationships/chartColorStyle" Target="colors73.xml"/><Relationship Id="rId1" Type="http://schemas.microsoft.com/office/2011/relationships/chartStyle" Target="style73.xml"/><Relationship Id="rId4" Type="http://schemas.openxmlformats.org/officeDocument/2006/relationships/chartUserShapes" Target="../drawings/drawing23.xml"/></Relationships>
</file>

<file path=xl/charts/_rels/chart74.xml.rels><?xml version="1.0" encoding="UTF-8" standalone="yes"?>
<Relationships xmlns="http://schemas.openxmlformats.org/package/2006/relationships"><Relationship Id="rId3" Type="http://schemas.openxmlformats.org/officeDocument/2006/relationships/themeOverride" Target="../theme/themeOverride62.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themeOverride" Target="../theme/themeOverride6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themeOverride" Target="../theme/themeOverride6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themeOverride" Target="../theme/themeOverride65.xml"/><Relationship Id="rId2" Type="http://schemas.microsoft.com/office/2011/relationships/chartColorStyle" Target="colors77.xml"/><Relationship Id="rId1" Type="http://schemas.microsoft.com/office/2011/relationships/chartStyle" Target="style77.xml"/><Relationship Id="rId4" Type="http://schemas.openxmlformats.org/officeDocument/2006/relationships/chartUserShapes" Target="../drawings/drawing24.xml"/></Relationships>
</file>

<file path=xl/charts/_rels/chart78.xml.rels><?xml version="1.0" encoding="UTF-8" standalone="yes"?>
<Relationships xmlns="http://schemas.openxmlformats.org/package/2006/relationships"><Relationship Id="rId3" Type="http://schemas.openxmlformats.org/officeDocument/2006/relationships/themeOverride" Target="../theme/themeOverride66.xml"/><Relationship Id="rId2" Type="http://schemas.microsoft.com/office/2011/relationships/chartColorStyle" Target="colors78.xml"/><Relationship Id="rId1" Type="http://schemas.microsoft.com/office/2011/relationships/chartStyle" Target="style78.xml"/><Relationship Id="rId4" Type="http://schemas.openxmlformats.org/officeDocument/2006/relationships/chartUserShapes" Target="../drawings/drawing25.xml"/></Relationships>
</file>

<file path=xl/charts/_rels/chart79.xml.rels><?xml version="1.0" encoding="UTF-8" standalone="yes"?>
<Relationships xmlns="http://schemas.openxmlformats.org/package/2006/relationships"><Relationship Id="rId2" Type="http://schemas.openxmlformats.org/officeDocument/2006/relationships/chartUserShapes" Target="../drawings/drawing26.xml"/><Relationship Id="rId1" Type="http://schemas.openxmlformats.org/officeDocument/2006/relationships/themeOverride" Target="../theme/themeOverride67.xml"/></Relationships>
</file>

<file path=xl/charts/_rels/chart80.xml.rels><?xml version="1.0" encoding="UTF-8" standalone="yes"?>
<Relationships xmlns="http://schemas.openxmlformats.org/package/2006/relationships"><Relationship Id="rId3" Type="http://schemas.openxmlformats.org/officeDocument/2006/relationships/themeOverride" Target="../theme/themeOverride68.xml"/><Relationship Id="rId2" Type="http://schemas.microsoft.com/office/2011/relationships/chartColorStyle" Target="colors79.xml"/><Relationship Id="rId1" Type="http://schemas.microsoft.com/office/2011/relationships/chartStyle" Target="style79.xml"/><Relationship Id="rId4" Type="http://schemas.openxmlformats.org/officeDocument/2006/relationships/chartUserShapes" Target="../drawings/drawing27.xml"/></Relationships>
</file>

<file path=xl/charts/_rels/chart81.xml.rels><?xml version="1.0" encoding="UTF-8" standalone="yes"?>
<Relationships xmlns="http://schemas.openxmlformats.org/package/2006/relationships"><Relationship Id="rId2" Type="http://schemas.openxmlformats.org/officeDocument/2006/relationships/chartUserShapes" Target="../drawings/drawing28.xml"/><Relationship Id="rId1" Type="http://schemas.openxmlformats.org/officeDocument/2006/relationships/themeOverride" Target="../theme/themeOverride69.xml"/></Relationships>
</file>

<file path=xl/charts/_rels/chart82.xml.rels><?xml version="1.0" encoding="UTF-8" standalone="yes"?>
<Relationships xmlns="http://schemas.openxmlformats.org/package/2006/relationships"><Relationship Id="rId3" Type="http://schemas.openxmlformats.org/officeDocument/2006/relationships/themeOverride" Target="../theme/themeOverride70.xml"/><Relationship Id="rId2" Type="http://schemas.microsoft.com/office/2011/relationships/chartColorStyle" Target="colors80.xml"/><Relationship Id="rId1" Type="http://schemas.microsoft.com/office/2011/relationships/chartStyle" Target="style80.xml"/><Relationship Id="rId4" Type="http://schemas.openxmlformats.org/officeDocument/2006/relationships/chartUserShapes" Target="../drawings/drawing29.xml"/></Relationships>
</file>

<file path=xl/charts/_rels/chart83.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4.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5.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6.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7.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8.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9.xml.rels><?xml version="1.0" encoding="UTF-8" standalone="yes"?>
<Relationships xmlns="http://schemas.openxmlformats.org/package/2006/relationships"><Relationship Id="rId3" Type="http://schemas.openxmlformats.org/officeDocument/2006/relationships/themeOverride" Target="../theme/themeOverride71.xml"/><Relationship Id="rId2" Type="http://schemas.microsoft.com/office/2011/relationships/chartColorStyle" Target="colors87.xml"/><Relationship Id="rId1" Type="http://schemas.microsoft.com/office/2011/relationships/chartStyle" Target="style87.xml"/></Relationships>
</file>

<file path=xl/charts/_rels/chart90.xml.rels><?xml version="1.0" encoding="UTF-8" standalone="yes"?>
<Relationships xmlns="http://schemas.openxmlformats.org/package/2006/relationships"><Relationship Id="rId3" Type="http://schemas.openxmlformats.org/officeDocument/2006/relationships/themeOverride" Target="../theme/themeOverride72.xml"/><Relationship Id="rId2" Type="http://schemas.microsoft.com/office/2011/relationships/chartColorStyle" Target="colors88.xml"/><Relationship Id="rId1" Type="http://schemas.microsoft.com/office/2011/relationships/chartStyle" Target="style88.xml"/></Relationships>
</file>

<file path=xl/charts/_rels/chart91.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2.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3.xml.rels><?xml version="1.0" encoding="UTF-8" standalone="yes"?>
<Relationships xmlns="http://schemas.openxmlformats.org/package/2006/relationships"><Relationship Id="rId3" Type="http://schemas.openxmlformats.org/officeDocument/2006/relationships/themeOverride" Target="../theme/themeOverride73.xml"/><Relationship Id="rId2" Type="http://schemas.microsoft.com/office/2011/relationships/chartColorStyle" Target="colors91.xml"/><Relationship Id="rId1" Type="http://schemas.microsoft.com/office/2011/relationships/chartStyle" Target="style91.xml"/></Relationships>
</file>

<file path=xl/charts/_rels/chart94.xml.rels><?xml version="1.0" encoding="UTF-8" standalone="yes"?>
<Relationships xmlns="http://schemas.openxmlformats.org/package/2006/relationships"><Relationship Id="rId3" Type="http://schemas.openxmlformats.org/officeDocument/2006/relationships/themeOverride" Target="../theme/themeOverride74.xml"/><Relationship Id="rId2" Type="http://schemas.microsoft.com/office/2011/relationships/chartColorStyle" Target="colors92.xml"/><Relationship Id="rId1" Type="http://schemas.microsoft.com/office/2011/relationships/chartStyle" Target="style92.xml"/></Relationships>
</file>

<file path=xl/charts/_rels/chart95.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6.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7.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8.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9.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0.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1.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2.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3.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4.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5.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6.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7.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8.xml.rels><?xml version="1.0" encoding="UTF-8" standalone="yes"?>
<Relationships xmlns="http://schemas.openxmlformats.org/package/2006/relationships"><Relationship Id="rId3" Type="http://schemas.openxmlformats.org/officeDocument/2006/relationships/themeOverride" Target="../theme/themeOverride75.xml"/><Relationship Id="rId2" Type="http://schemas.microsoft.com/office/2011/relationships/chartColorStyle" Target="colors106.xml"/><Relationship Id="rId1" Type="http://schemas.microsoft.com/office/2011/relationships/chartStyle" Target="style106.xml"/></Relationships>
</file>

<file path=xl/charts/_rels/chart109.xml.rels><?xml version="1.0" encoding="UTF-8" standalone="yes"?>
<Relationships xmlns="http://schemas.openxmlformats.org/package/2006/relationships"><Relationship Id="rId3" Type="http://schemas.openxmlformats.org/officeDocument/2006/relationships/themeOverride" Target="../theme/themeOverride76.xml"/><Relationship Id="rId2" Type="http://schemas.microsoft.com/office/2011/relationships/chartColorStyle" Target="colors107.xml"/><Relationship Id="rId1" Type="http://schemas.microsoft.com/office/2011/relationships/chartStyle" Target="style107.xml"/></Relationships>
</file>

<file path=xl/charts/_rels/chart110.xml.rels><?xml version="1.0" encoding="UTF-8" standalone="yes"?>
<Relationships xmlns="http://schemas.openxmlformats.org/package/2006/relationships"><Relationship Id="rId3" Type="http://schemas.openxmlformats.org/officeDocument/2006/relationships/themeOverride" Target="../theme/themeOverride77.xml"/><Relationship Id="rId2" Type="http://schemas.microsoft.com/office/2011/relationships/chartColorStyle" Target="colors108.xml"/><Relationship Id="rId1" Type="http://schemas.microsoft.com/office/2011/relationships/chartStyle" Target="style108.xml"/></Relationships>
</file>

<file path=xl/charts/_rels/chart111.xml.rels><?xml version="1.0" encoding="UTF-8" standalone="yes"?>
<Relationships xmlns="http://schemas.openxmlformats.org/package/2006/relationships"><Relationship Id="rId3" Type="http://schemas.openxmlformats.org/officeDocument/2006/relationships/themeOverride" Target="../theme/themeOverride78.xml"/><Relationship Id="rId2" Type="http://schemas.microsoft.com/office/2011/relationships/chartColorStyle" Target="colors109.xml"/><Relationship Id="rId1" Type="http://schemas.microsoft.com/office/2011/relationships/chartStyle" Target="style109.xml"/></Relationships>
</file>

<file path=xl/charts/_rels/chart112.xml.rels><?xml version="1.0" encoding="UTF-8" standalone="yes"?>
<Relationships xmlns="http://schemas.openxmlformats.org/package/2006/relationships"><Relationship Id="rId3" Type="http://schemas.openxmlformats.org/officeDocument/2006/relationships/themeOverride" Target="../theme/themeOverride79.xml"/><Relationship Id="rId2" Type="http://schemas.microsoft.com/office/2011/relationships/chartColorStyle" Target="colors110.xml"/><Relationship Id="rId1" Type="http://schemas.microsoft.com/office/2011/relationships/chartStyle" Target="style110.xml"/><Relationship Id="rId4" Type="http://schemas.openxmlformats.org/officeDocument/2006/relationships/chartUserShapes" Target="../drawings/drawing36.xml"/></Relationships>
</file>

<file path=xl/charts/_rels/chart113.xml.rels><?xml version="1.0" encoding="UTF-8" standalone="yes"?>
<Relationships xmlns="http://schemas.openxmlformats.org/package/2006/relationships"><Relationship Id="rId3" Type="http://schemas.openxmlformats.org/officeDocument/2006/relationships/themeOverride" Target="../theme/themeOverride80.xml"/><Relationship Id="rId2" Type="http://schemas.microsoft.com/office/2011/relationships/chartColorStyle" Target="colors111.xml"/><Relationship Id="rId1" Type="http://schemas.microsoft.com/office/2011/relationships/chartStyle" Target="style111.xml"/></Relationships>
</file>

<file path=xl/charts/_rels/chart114.xml.rels><?xml version="1.0" encoding="UTF-8" standalone="yes"?>
<Relationships xmlns="http://schemas.openxmlformats.org/package/2006/relationships"><Relationship Id="rId3" Type="http://schemas.openxmlformats.org/officeDocument/2006/relationships/themeOverride" Target="../theme/themeOverride81.xml"/><Relationship Id="rId2" Type="http://schemas.microsoft.com/office/2011/relationships/chartColorStyle" Target="colors112.xml"/><Relationship Id="rId1" Type="http://schemas.microsoft.com/office/2011/relationships/chartStyle" Target="style112.xml"/><Relationship Id="rId4" Type="http://schemas.openxmlformats.org/officeDocument/2006/relationships/chartUserShapes" Target="../drawings/drawing37.xml"/></Relationships>
</file>

<file path=xl/charts/_rels/chart115.xml.rels><?xml version="1.0" encoding="UTF-8" standalone="yes"?>
<Relationships xmlns="http://schemas.openxmlformats.org/package/2006/relationships"><Relationship Id="rId3" Type="http://schemas.openxmlformats.org/officeDocument/2006/relationships/themeOverride" Target="../theme/themeOverride82.xml"/><Relationship Id="rId2" Type="http://schemas.microsoft.com/office/2011/relationships/chartColorStyle" Target="colors113.xml"/><Relationship Id="rId1" Type="http://schemas.microsoft.com/office/2011/relationships/chartStyle" Target="style113.xml"/></Relationships>
</file>

<file path=xl/charts/_rels/chart116.xml.rels><?xml version="1.0" encoding="UTF-8" standalone="yes"?>
<Relationships xmlns="http://schemas.openxmlformats.org/package/2006/relationships"><Relationship Id="rId3" Type="http://schemas.openxmlformats.org/officeDocument/2006/relationships/themeOverride" Target="../theme/themeOverride83.xml"/><Relationship Id="rId2" Type="http://schemas.microsoft.com/office/2011/relationships/chartColorStyle" Target="colors114.xml"/><Relationship Id="rId1" Type="http://schemas.microsoft.com/office/2011/relationships/chartStyle" Target="style114.xml"/></Relationships>
</file>

<file path=xl/charts/_rels/chart117.xml.rels><?xml version="1.0" encoding="UTF-8" standalone="yes"?>
<Relationships xmlns="http://schemas.openxmlformats.org/package/2006/relationships"><Relationship Id="rId3" Type="http://schemas.openxmlformats.org/officeDocument/2006/relationships/themeOverride" Target="../theme/themeOverride84.xml"/><Relationship Id="rId2" Type="http://schemas.microsoft.com/office/2011/relationships/chartColorStyle" Target="colors115.xml"/><Relationship Id="rId1" Type="http://schemas.microsoft.com/office/2011/relationships/chartStyle" Target="style115.xml"/></Relationships>
</file>

<file path=xl/charts/_rels/chart118.xml.rels><?xml version="1.0" encoding="UTF-8" standalone="yes"?>
<Relationships xmlns="http://schemas.openxmlformats.org/package/2006/relationships"><Relationship Id="rId3" Type="http://schemas.openxmlformats.org/officeDocument/2006/relationships/themeOverride" Target="../theme/themeOverride85.xml"/><Relationship Id="rId2" Type="http://schemas.microsoft.com/office/2011/relationships/chartColorStyle" Target="colors116.xml"/><Relationship Id="rId1" Type="http://schemas.microsoft.com/office/2011/relationships/chartStyle" Target="style116.xml"/></Relationships>
</file>

<file path=xl/charts/_rels/chart119.xml.rels><?xml version="1.0" encoding="UTF-8" standalone="yes"?>
<Relationships xmlns="http://schemas.openxmlformats.org/package/2006/relationships"><Relationship Id="rId3" Type="http://schemas.openxmlformats.org/officeDocument/2006/relationships/themeOverride" Target="../theme/themeOverride86.xml"/><Relationship Id="rId2" Type="http://schemas.microsoft.com/office/2011/relationships/chartColorStyle" Target="colors117.xml"/><Relationship Id="rId1" Type="http://schemas.microsoft.com/office/2011/relationships/chartStyle" Target="style117.xml"/></Relationships>
</file>

<file path=xl/charts/_rels/chart120.xml.rels><?xml version="1.0" encoding="UTF-8" standalone="yes"?>
<Relationships xmlns="http://schemas.openxmlformats.org/package/2006/relationships"><Relationship Id="rId3" Type="http://schemas.openxmlformats.org/officeDocument/2006/relationships/themeOverride" Target="../theme/themeOverride87.xml"/><Relationship Id="rId2" Type="http://schemas.microsoft.com/office/2011/relationships/chartColorStyle" Target="colors118.xml"/><Relationship Id="rId1" Type="http://schemas.microsoft.com/office/2011/relationships/chartStyle" Target="style118.xml"/><Relationship Id="rId4" Type="http://schemas.openxmlformats.org/officeDocument/2006/relationships/chartUserShapes" Target="../drawings/drawing38.xml"/></Relationships>
</file>

<file path=xl/charts/_rels/chart121.xml.rels><?xml version="1.0" encoding="UTF-8" standalone="yes"?>
<Relationships xmlns="http://schemas.openxmlformats.org/package/2006/relationships"><Relationship Id="rId3" Type="http://schemas.openxmlformats.org/officeDocument/2006/relationships/themeOverride" Target="../theme/themeOverride88.xml"/><Relationship Id="rId2" Type="http://schemas.microsoft.com/office/2011/relationships/chartColorStyle" Target="colors119.xml"/><Relationship Id="rId1" Type="http://schemas.microsoft.com/office/2011/relationships/chartStyle" Target="style119.xml"/><Relationship Id="rId4" Type="http://schemas.openxmlformats.org/officeDocument/2006/relationships/chartUserShapes" Target="../drawings/drawing39.xml"/></Relationships>
</file>

<file path=xl/charts/_rels/chart122.xml.rels><?xml version="1.0" encoding="UTF-8" standalone="yes"?>
<Relationships xmlns="http://schemas.openxmlformats.org/package/2006/relationships"><Relationship Id="rId3" Type="http://schemas.openxmlformats.org/officeDocument/2006/relationships/themeOverride" Target="../theme/themeOverride89.xml"/><Relationship Id="rId2" Type="http://schemas.microsoft.com/office/2011/relationships/chartColorStyle" Target="colors120.xml"/><Relationship Id="rId1" Type="http://schemas.microsoft.com/office/2011/relationships/chartStyle" Target="style120.xml"/></Relationships>
</file>

<file path=xl/charts/_rels/chart123.xml.rels><?xml version="1.0" encoding="UTF-8" standalone="yes"?>
<Relationships xmlns="http://schemas.openxmlformats.org/package/2006/relationships"><Relationship Id="rId3" Type="http://schemas.openxmlformats.org/officeDocument/2006/relationships/themeOverride" Target="../theme/themeOverride90.xml"/><Relationship Id="rId2" Type="http://schemas.microsoft.com/office/2011/relationships/chartColorStyle" Target="colors121.xml"/><Relationship Id="rId1" Type="http://schemas.microsoft.com/office/2011/relationships/chartStyle" Target="style121.xml"/></Relationships>
</file>

<file path=xl/charts/_rels/chart124.xml.rels><?xml version="1.0" encoding="UTF-8" standalone="yes"?>
<Relationships xmlns="http://schemas.openxmlformats.org/package/2006/relationships"><Relationship Id="rId3" Type="http://schemas.openxmlformats.org/officeDocument/2006/relationships/themeOverride" Target="../theme/themeOverride91.xml"/><Relationship Id="rId2" Type="http://schemas.microsoft.com/office/2011/relationships/chartColorStyle" Target="colors122.xml"/><Relationship Id="rId1" Type="http://schemas.microsoft.com/office/2011/relationships/chartStyle" Target="style122.xml"/></Relationships>
</file>

<file path=xl/charts/_rels/chart125.xml.rels><?xml version="1.0" encoding="UTF-8" standalone="yes"?>
<Relationships xmlns="http://schemas.openxmlformats.org/package/2006/relationships"><Relationship Id="rId3" Type="http://schemas.openxmlformats.org/officeDocument/2006/relationships/themeOverride" Target="../theme/themeOverride92.xml"/><Relationship Id="rId2" Type="http://schemas.microsoft.com/office/2011/relationships/chartColorStyle" Target="colors123.xml"/><Relationship Id="rId1" Type="http://schemas.microsoft.com/office/2011/relationships/chartStyle" Target="style123.xml"/></Relationships>
</file>

<file path=xl/charts/_rels/chart126.xml.rels><?xml version="1.0" encoding="UTF-8" standalone="yes"?>
<Relationships xmlns="http://schemas.openxmlformats.org/package/2006/relationships"><Relationship Id="rId3" Type="http://schemas.openxmlformats.org/officeDocument/2006/relationships/themeOverride" Target="../theme/themeOverride93.xml"/><Relationship Id="rId2" Type="http://schemas.microsoft.com/office/2011/relationships/chartColorStyle" Target="colors124.xml"/><Relationship Id="rId1" Type="http://schemas.microsoft.com/office/2011/relationships/chartStyle" Target="style124.xml"/></Relationships>
</file>

<file path=xl/charts/_rels/chart127.xml.rels><?xml version="1.0" encoding="UTF-8" standalone="yes"?>
<Relationships xmlns="http://schemas.openxmlformats.org/package/2006/relationships"><Relationship Id="rId3" Type="http://schemas.openxmlformats.org/officeDocument/2006/relationships/themeOverride" Target="../theme/themeOverride94.xml"/><Relationship Id="rId2" Type="http://schemas.microsoft.com/office/2011/relationships/chartColorStyle" Target="colors125.xml"/><Relationship Id="rId1" Type="http://schemas.microsoft.com/office/2011/relationships/chartStyle" Target="style125.xml"/></Relationships>
</file>

<file path=xl/charts/_rels/chart128.xml.rels><?xml version="1.0" encoding="UTF-8" standalone="yes"?>
<Relationships xmlns="http://schemas.openxmlformats.org/package/2006/relationships"><Relationship Id="rId3" Type="http://schemas.openxmlformats.org/officeDocument/2006/relationships/themeOverride" Target="../theme/themeOverride95.xml"/><Relationship Id="rId2" Type="http://schemas.microsoft.com/office/2011/relationships/chartColorStyle" Target="colors126.xml"/><Relationship Id="rId1" Type="http://schemas.microsoft.com/office/2011/relationships/chartStyle" Target="style126.xml"/><Relationship Id="rId4" Type="http://schemas.openxmlformats.org/officeDocument/2006/relationships/chartUserShapes" Target="../drawings/drawing40.xml"/></Relationships>
</file>

<file path=xl/charts/_rels/chart129.xml.rels><?xml version="1.0" encoding="UTF-8" standalone="yes"?>
<Relationships xmlns="http://schemas.openxmlformats.org/package/2006/relationships"><Relationship Id="rId3" Type="http://schemas.openxmlformats.org/officeDocument/2006/relationships/themeOverride" Target="../theme/themeOverride96.xml"/><Relationship Id="rId2" Type="http://schemas.microsoft.com/office/2011/relationships/chartColorStyle" Target="colors127.xml"/><Relationship Id="rId1" Type="http://schemas.microsoft.com/office/2011/relationships/chartStyle" Target="style127.xml"/><Relationship Id="rId4" Type="http://schemas.openxmlformats.org/officeDocument/2006/relationships/chartUserShapes" Target="../drawings/drawing41.xml"/></Relationships>
</file>

<file path=xl/charts/_rels/chart130.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1.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2.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3.xml.rels><?xml version="1.0" encoding="UTF-8" standalone="yes"?>
<Relationships xmlns="http://schemas.openxmlformats.org/package/2006/relationships"><Relationship Id="rId3" Type="http://schemas.openxmlformats.org/officeDocument/2006/relationships/themeOverride" Target="../theme/themeOverride97.xml"/><Relationship Id="rId2" Type="http://schemas.microsoft.com/office/2011/relationships/chartColorStyle" Target="colors131.xml"/><Relationship Id="rId1" Type="http://schemas.microsoft.com/office/2011/relationships/chartStyle" Target="style131.xml"/></Relationships>
</file>

<file path=xl/charts/_rels/chart134.xml.rels><?xml version="1.0" encoding="UTF-8" standalone="yes"?>
<Relationships xmlns="http://schemas.openxmlformats.org/package/2006/relationships"><Relationship Id="rId3" Type="http://schemas.openxmlformats.org/officeDocument/2006/relationships/themeOverride" Target="../theme/themeOverride98.xml"/><Relationship Id="rId2" Type="http://schemas.microsoft.com/office/2011/relationships/chartColorStyle" Target="colors132.xml"/><Relationship Id="rId1" Type="http://schemas.microsoft.com/office/2011/relationships/chartStyle" Target="style132.xml"/></Relationships>
</file>

<file path=xl/charts/_rels/chart135.xml.rels><?xml version="1.0" encoding="UTF-8" standalone="yes"?>
<Relationships xmlns="http://schemas.openxmlformats.org/package/2006/relationships"><Relationship Id="rId3" Type="http://schemas.openxmlformats.org/officeDocument/2006/relationships/themeOverride" Target="../theme/themeOverride99.xml"/><Relationship Id="rId2" Type="http://schemas.microsoft.com/office/2011/relationships/chartColorStyle" Target="colors133.xml"/><Relationship Id="rId1" Type="http://schemas.microsoft.com/office/2011/relationships/chartStyle" Target="style133.xml"/></Relationships>
</file>

<file path=xl/charts/_rels/chart136.xml.rels><?xml version="1.0" encoding="UTF-8" standalone="yes"?>
<Relationships xmlns="http://schemas.openxmlformats.org/package/2006/relationships"><Relationship Id="rId3" Type="http://schemas.openxmlformats.org/officeDocument/2006/relationships/themeOverride" Target="../theme/themeOverride100.xml"/><Relationship Id="rId2" Type="http://schemas.microsoft.com/office/2011/relationships/chartColorStyle" Target="colors134.xml"/><Relationship Id="rId1" Type="http://schemas.microsoft.com/office/2011/relationships/chartStyle" Target="style134.xml"/></Relationships>
</file>

<file path=xl/charts/_rels/chart137.xml.rels><?xml version="1.0" encoding="UTF-8" standalone="yes"?>
<Relationships xmlns="http://schemas.openxmlformats.org/package/2006/relationships"><Relationship Id="rId3" Type="http://schemas.openxmlformats.org/officeDocument/2006/relationships/themeOverride" Target="../theme/themeOverride101.xml"/><Relationship Id="rId2" Type="http://schemas.microsoft.com/office/2011/relationships/chartColorStyle" Target="colors135.xml"/><Relationship Id="rId1" Type="http://schemas.microsoft.com/office/2011/relationships/chartStyle" Target="style135.xml"/></Relationships>
</file>

<file path=xl/charts/_rels/chart138.xml.rels><?xml version="1.0" encoding="UTF-8" standalone="yes"?>
<Relationships xmlns="http://schemas.openxmlformats.org/package/2006/relationships"><Relationship Id="rId3" Type="http://schemas.openxmlformats.org/officeDocument/2006/relationships/themeOverride" Target="../theme/themeOverride102.xml"/><Relationship Id="rId2" Type="http://schemas.microsoft.com/office/2011/relationships/chartColorStyle" Target="colors136.xml"/><Relationship Id="rId1" Type="http://schemas.microsoft.com/office/2011/relationships/chartStyle" Target="style136.xml"/></Relationships>
</file>

<file path=xl/charts/_rels/chart139.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0.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1.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2.xml.rels><?xml version="1.0" encoding="UTF-8" standalone="yes"?>
<Relationships xmlns="http://schemas.openxmlformats.org/package/2006/relationships"><Relationship Id="rId3" Type="http://schemas.openxmlformats.org/officeDocument/2006/relationships/themeOverride" Target="../theme/themeOverride103.xml"/><Relationship Id="rId2" Type="http://schemas.microsoft.com/office/2011/relationships/chartColorStyle" Target="colors140.xml"/><Relationship Id="rId1" Type="http://schemas.microsoft.com/office/2011/relationships/chartStyle" Target="style140.xml"/></Relationships>
</file>

<file path=xl/charts/_rels/chart143.xml.rels><?xml version="1.0" encoding="UTF-8" standalone="yes"?>
<Relationships xmlns="http://schemas.openxmlformats.org/package/2006/relationships"><Relationship Id="rId3" Type="http://schemas.openxmlformats.org/officeDocument/2006/relationships/themeOverride" Target="../theme/themeOverride104.xml"/><Relationship Id="rId2" Type="http://schemas.microsoft.com/office/2011/relationships/chartColorStyle" Target="colors141.xml"/><Relationship Id="rId1" Type="http://schemas.microsoft.com/office/2011/relationships/chartStyle" Target="style141.xml"/></Relationships>
</file>

<file path=xl/charts/_rels/chart144.xml.rels><?xml version="1.0" encoding="UTF-8" standalone="yes"?>
<Relationships xmlns="http://schemas.openxmlformats.org/package/2006/relationships"><Relationship Id="rId3" Type="http://schemas.openxmlformats.org/officeDocument/2006/relationships/themeOverride" Target="../theme/themeOverride105.xml"/><Relationship Id="rId2" Type="http://schemas.microsoft.com/office/2011/relationships/chartColorStyle" Target="colors142.xml"/><Relationship Id="rId1" Type="http://schemas.microsoft.com/office/2011/relationships/chartStyle" Target="style142.xml"/></Relationships>
</file>

<file path=xl/charts/_rels/chart145.xml.rels><?xml version="1.0" encoding="UTF-8" standalone="yes"?>
<Relationships xmlns="http://schemas.openxmlformats.org/package/2006/relationships"><Relationship Id="rId3" Type="http://schemas.openxmlformats.org/officeDocument/2006/relationships/themeOverride" Target="../theme/themeOverride106.xml"/><Relationship Id="rId2" Type="http://schemas.microsoft.com/office/2011/relationships/chartColorStyle" Target="colors143.xml"/><Relationship Id="rId1" Type="http://schemas.microsoft.com/office/2011/relationships/chartStyle" Target="style143.xml"/></Relationships>
</file>

<file path=xl/charts/_rels/chart146.xml.rels><?xml version="1.0" encoding="UTF-8" standalone="yes"?>
<Relationships xmlns="http://schemas.openxmlformats.org/package/2006/relationships"><Relationship Id="rId3" Type="http://schemas.openxmlformats.org/officeDocument/2006/relationships/themeOverride" Target="../theme/themeOverride107.xml"/><Relationship Id="rId2" Type="http://schemas.microsoft.com/office/2011/relationships/chartColorStyle" Target="colors144.xml"/><Relationship Id="rId1" Type="http://schemas.microsoft.com/office/2011/relationships/chartStyle" Target="style144.xml"/></Relationships>
</file>

<file path=xl/charts/_rels/chart147.xml.rels><?xml version="1.0" encoding="UTF-8" standalone="yes"?>
<Relationships xmlns="http://schemas.openxmlformats.org/package/2006/relationships"><Relationship Id="rId3" Type="http://schemas.openxmlformats.org/officeDocument/2006/relationships/themeOverride" Target="../theme/themeOverride108.xml"/><Relationship Id="rId2" Type="http://schemas.microsoft.com/office/2011/relationships/chartColorStyle" Target="colors145.xml"/><Relationship Id="rId1" Type="http://schemas.microsoft.com/office/2011/relationships/chartStyle" Target="style145.xml"/></Relationships>
</file>

<file path=xl/charts/_rels/chart14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146.xml"/><Relationship Id="rId1" Type="http://schemas.microsoft.com/office/2011/relationships/chartStyle" Target="style146.xml"/></Relationships>
</file>

<file path=xl/charts/_rels/chart149.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147.xml"/><Relationship Id="rId1" Type="http://schemas.microsoft.com/office/2011/relationships/chartStyle" Target="style147.xml"/></Relationships>
</file>

<file path=xl/charts/_rels/chart150.xml.rels><?xml version="1.0" encoding="UTF-8" standalone="yes"?>
<Relationships xmlns="http://schemas.openxmlformats.org/package/2006/relationships"><Relationship Id="rId3" Type="http://schemas.openxmlformats.org/officeDocument/2006/relationships/themeOverride" Target="../theme/themeOverride109.xml"/><Relationship Id="rId2" Type="http://schemas.microsoft.com/office/2011/relationships/chartColorStyle" Target="colors148.xml"/><Relationship Id="rId1" Type="http://schemas.microsoft.com/office/2011/relationships/chartStyle" Target="style148.xml"/><Relationship Id="rId4" Type="http://schemas.openxmlformats.org/officeDocument/2006/relationships/chartUserShapes" Target="../drawings/drawing44.xml"/></Relationships>
</file>

<file path=xl/charts/_rels/chart151.xml.rels><?xml version="1.0" encoding="UTF-8" standalone="yes"?>
<Relationships xmlns="http://schemas.openxmlformats.org/package/2006/relationships"><Relationship Id="rId3" Type="http://schemas.openxmlformats.org/officeDocument/2006/relationships/themeOverride" Target="../theme/themeOverride110.xml"/><Relationship Id="rId2" Type="http://schemas.microsoft.com/office/2011/relationships/chartColorStyle" Target="colors149.xml"/><Relationship Id="rId1" Type="http://schemas.microsoft.com/office/2011/relationships/chartStyle" Target="style149.xml"/><Relationship Id="rId4" Type="http://schemas.openxmlformats.org/officeDocument/2006/relationships/chartUserShapes" Target="../drawings/drawing4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'Equipement PPO'!$D$3</c:f>
              <c:strCache>
                <c:ptCount val="1"/>
                <c:pt idx="0">
                  <c:v>2022</c:v>
                </c:pt>
              </c:strCache>
            </c:strRef>
          </c:tx>
          <c:spPr>
            <a:solidFill>
              <a:schemeClr val="bg2">
                <a:lumMod val="90000"/>
              </a:scheme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C-5DD6-4351-9FC9-3F1B7A1FAE86}"/>
              </c:ext>
            </c:extLst>
          </c:dPt>
          <c:dPt>
            <c:idx val="8"/>
            <c:invertIfNegative val="0"/>
            <c:bubble3D val="0"/>
            <c:spPr>
              <a:solidFill>
                <a:srgbClr val="FFA7A7"/>
              </a:solidFill>
              <a:ln>
                <a:noFill/>
              </a:ln>
              <a:effectLst/>
            </c:spPr>
            <c:extLst>
              <c:ext xmlns:c16="http://schemas.microsoft.com/office/drawing/2014/chart" uri="{C3380CC4-5D6E-409C-BE32-E72D297353CC}">
                <c16:uniqueId val="{0000000D-5DD6-4351-9FC9-3F1B7A1FAE86}"/>
              </c:ext>
            </c:extLst>
          </c:dPt>
          <c:dPt>
            <c:idx val="9"/>
            <c:invertIfNegative val="0"/>
            <c:bubble3D val="0"/>
            <c:spPr>
              <a:solidFill>
                <a:srgbClr val="FFA7A7"/>
              </a:solidFill>
              <a:ln>
                <a:noFill/>
              </a:ln>
              <a:effectLst/>
            </c:spPr>
            <c:extLst>
              <c:ext xmlns:c16="http://schemas.microsoft.com/office/drawing/2014/chart" uri="{C3380CC4-5D6E-409C-BE32-E72D297353CC}">
                <c16:uniqueId val="{0000000E-5DD6-4351-9FC9-3F1B7A1FAE86}"/>
              </c:ext>
            </c:extLst>
          </c:dPt>
          <c:dPt>
            <c:idx val="10"/>
            <c:invertIfNegative val="0"/>
            <c:bubble3D val="0"/>
            <c:spPr>
              <a:solidFill>
                <a:srgbClr val="FFA7A7"/>
              </a:solidFill>
              <a:ln>
                <a:noFill/>
              </a:ln>
              <a:effectLst/>
            </c:spPr>
            <c:extLst>
              <c:ext xmlns:c16="http://schemas.microsoft.com/office/drawing/2014/chart" uri="{C3380CC4-5D6E-409C-BE32-E72D297353CC}">
                <c16:uniqueId val="{0000000F-5DD6-4351-9FC9-3F1B7A1FAE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'Equipement PPO'!$C$4:$C$14</c:f>
              <c:strCache>
                <c:ptCount val="11"/>
                <c:pt idx="0">
                  <c:v>BENIN</c:v>
                </c:pt>
                <c:pt idx="1">
                  <c:v>BURKINA FASO</c:v>
                </c:pt>
                <c:pt idx="2">
                  <c:v>COTE D'IVOIRE</c:v>
                </c:pt>
                <c:pt idx="3">
                  <c:v>GHANA</c:v>
                </c:pt>
                <c:pt idx="4">
                  <c:v>GUINEE</c:v>
                </c:pt>
                <c:pt idx="5">
                  <c:v>MAURITANIE</c:v>
                </c:pt>
                <c:pt idx="6">
                  <c:v>SENEGAL</c:v>
                </c:pt>
                <c:pt idx="7">
                  <c:v>CAMEROUN</c:v>
                </c:pt>
                <c:pt idx="8">
                  <c:v>TCHAD</c:v>
                </c:pt>
                <c:pt idx="9">
                  <c:v>CONGO</c:v>
                </c:pt>
                <c:pt idx="10">
                  <c:v>MADAGASCAR</c:v>
                </c:pt>
              </c:strCache>
            </c:strRef>
          </c:cat>
          <c:val>
            <c:numRef>
              <c:f>'Equipement PPO'!$D$4:$D$14</c:f>
              <c:numCache>
                <c:formatCode>0%</c:formatCode>
                <c:ptCount val="11"/>
                <c:pt idx="0">
                  <c:v>0.46899841017400001</c:v>
                </c:pt>
                <c:pt idx="1">
                  <c:v>0.69268098359399999</c:v>
                </c:pt>
                <c:pt idx="2">
                  <c:v>0.33495289422800001</c:v>
                </c:pt>
                <c:pt idx="3">
                  <c:v>0.47940082477500001</c:v>
                </c:pt>
                <c:pt idx="4">
                  <c:v>0.52248499152500005</c:v>
                </c:pt>
                <c:pt idx="5">
                  <c:v>0.65955088468300005</c:v>
                </c:pt>
                <c:pt idx="6">
                  <c:v>0.39935878691600002</c:v>
                </c:pt>
                <c:pt idx="7">
                  <c:v>0.354651439771</c:v>
                </c:pt>
                <c:pt idx="8">
                  <c:v>0.421598381385</c:v>
                </c:pt>
                <c:pt idx="9">
                  <c:v>0.158070297719</c:v>
                </c:pt>
                <c:pt idx="10">
                  <c:v>0.539242459442</c:v>
                </c:pt>
              </c:numCache>
            </c:numRef>
          </c:val>
          <c:extLst>
            <c:ext xmlns:c16="http://schemas.microsoft.com/office/drawing/2014/chart" uri="{C3380CC4-5D6E-409C-BE32-E72D297353CC}">
              <c16:uniqueId val="{00000000-5DD6-4351-9FC9-3F1B7A1FAE86}"/>
            </c:ext>
          </c:extLst>
        </c:ser>
        <c:ser>
          <c:idx val="1"/>
          <c:order val="1"/>
          <c:tx>
            <c:strRef>
              <c:f>'Equipement PPO'!$E$3</c:f>
              <c:strCache>
                <c:ptCount val="1"/>
                <c:pt idx="0">
                  <c:v>2023</c:v>
                </c:pt>
              </c:strCache>
            </c:strRef>
          </c:tx>
          <c:spPr>
            <a:solidFill>
              <a:schemeClr val="tx1"/>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7-5DD6-4351-9FC9-3F1B7A1FAE86}"/>
              </c:ext>
            </c:extLst>
          </c:dPt>
          <c:dPt>
            <c:idx val="8"/>
            <c:invertIfNegative val="0"/>
            <c:bubble3D val="0"/>
            <c:spPr>
              <a:solidFill>
                <a:srgbClr val="FF0000"/>
              </a:solidFill>
              <a:ln>
                <a:noFill/>
              </a:ln>
              <a:effectLst/>
            </c:spPr>
            <c:extLst>
              <c:ext xmlns:c16="http://schemas.microsoft.com/office/drawing/2014/chart" uri="{C3380CC4-5D6E-409C-BE32-E72D297353CC}">
                <c16:uniqueId val="{00000002-5DD6-4351-9FC9-3F1B7A1FAE86}"/>
              </c:ext>
            </c:extLst>
          </c:dPt>
          <c:dPt>
            <c:idx val="9"/>
            <c:invertIfNegative val="0"/>
            <c:bubble3D val="0"/>
            <c:spPr>
              <a:solidFill>
                <a:srgbClr val="FF0000"/>
              </a:solidFill>
              <a:ln>
                <a:noFill/>
              </a:ln>
              <a:effectLst/>
            </c:spPr>
            <c:extLst>
              <c:ext xmlns:c16="http://schemas.microsoft.com/office/drawing/2014/chart" uri="{C3380CC4-5D6E-409C-BE32-E72D297353CC}">
                <c16:uniqueId val="{00000008-5DD6-4351-9FC9-3F1B7A1FAE86}"/>
              </c:ext>
            </c:extLst>
          </c:dPt>
          <c:dPt>
            <c:idx val="10"/>
            <c:invertIfNegative val="0"/>
            <c:bubble3D val="0"/>
            <c:spPr>
              <a:solidFill>
                <a:srgbClr val="FF0000"/>
              </a:solidFill>
              <a:ln>
                <a:noFill/>
              </a:ln>
              <a:effectLst/>
            </c:spPr>
            <c:extLst>
              <c:ext xmlns:c16="http://schemas.microsoft.com/office/drawing/2014/chart" uri="{C3380CC4-5D6E-409C-BE32-E72D297353CC}">
                <c16:uniqueId val="{00000009-5DD6-4351-9FC9-3F1B7A1FAE86}"/>
              </c:ext>
            </c:extLst>
          </c:dPt>
          <c:dLbls>
            <c:dLbl>
              <c:idx val="0"/>
              <c:layout>
                <c:manualLayout>
                  <c:x val="1.4064697609001406E-2"/>
                  <c:y val="-3.8531150793503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D6-4351-9FC9-3F1B7A1FAE86}"/>
                </c:ext>
              </c:extLst>
            </c:dLbl>
            <c:dLbl>
              <c:idx val="1"/>
              <c:layout>
                <c:manualLayout>
                  <c:x val="1.87529301453352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D6-4351-9FC9-3F1B7A1FAE86}"/>
                </c:ext>
              </c:extLst>
            </c:dLbl>
            <c:dLbl>
              <c:idx val="2"/>
              <c:layout>
                <c:manualLayout>
                  <c:x val="2.109704641350210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D6-4351-9FC9-3F1B7A1FAE86}"/>
                </c:ext>
              </c:extLst>
            </c:dLbl>
            <c:dLbl>
              <c:idx val="3"/>
              <c:layout>
                <c:manualLayout>
                  <c:x val="2.3441162681669011E-2"/>
                  <c:y val="-3.8531150793503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D6-4351-9FC9-3F1B7A1FAE86}"/>
                </c:ext>
              </c:extLst>
            </c:dLbl>
            <c:dLbl>
              <c:idx val="5"/>
              <c:layout>
                <c:manualLayout>
                  <c:x val="2.1097046413502109E-2"/>
                  <c:y val="4.20344682639764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DD6-4351-9FC9-3F1B7A1FAE86}"/>
                </c:ext>
              </c:extLst>
            </c:dLbl>
            <c:dLbl>
              <c:idx val="6"/>
              <c:layout>
                <c:manualLayout>
                  <c:x val="1.4064697609001321E-2"/>
                  <c:y val="3.8531150793503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DD6-4351-9FC9-3F1B7A1FAE86}"/>
                </c:ext>
              </c:extLst>
            </c:dLbl>
            <c:dLbl>
              <c:idx val="7"/>
              <c:layout>
                <c:manualLayout>
                  <c:x val="1.6408813877168308E-2"/>
                  <c:y val="-3.8531150793503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DD6-4351-9FC9-3F1B7A1FAE86}"/>
                </c:ext>
              </c:extLst>
            </c:dLbl>
            <c:dLbl>
              <c:idx val="8"/>
              <c:layout>
                <c:manualLayout>
                  <c:x val="2.344116268166901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D6-4351-9FC9-3F1B7A1FAE86}"/>
                </c:ext>
              </c:extLst>
            </c:dLbl>
            <c:dLbl>
              <c:idx val="9"/>
              <c:layout>
                <c:manualLayout>
                  <c:x val="1.4064697609001234E-2"/>
                  <c:y val="4.20344682639756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D6-4351-9FC9-3F1B7A1FAE86}"/>
                </c:ext>
              </c:extLst>
            </c:dLbl>
            <c:dLbl>
              <c:idx val="10"/>
              <c:layout>
                <c:manualLayout>
                  <c:x val="1.4064697609001406E-2"/>
                  <c:y val="-3.8531150793503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DD6-4351-9FC9-3F1B7A1FAE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'Equipement PPO'!$C$4:$C$14</c:f>
              <c:strCache>
                <c:ptCount val="11"/>
                <c:pt idx="0">
                  <c:v>BENIN</c:v>
                </c:pt>
                <c:pt idx="1">
                  <c:v>BURKINA FASO</c:v>
                </c:pt>
                <c:pt idx="2">
                  <c:v>COTE D'IVOIRE</c:v>
                </c:pt>
                <c:pt idx="3">
                  <c:v>GHANA</c:v>
                </c:pt>
                <c:pt idx="4">
                  <c:v>GUINEE</c:v>
                </c:pt>
                <c:pt idx="5">
                  <c:v>MAURITANIE</c:v>
                </c:pt>
                <c:pt idx="6">
                  <c:v>SENEGAL</c:v>
                </c:pt>
                <c:pt idx="7">
                  <c:v>CAMEROUN</c:v>
                </c:pt>
                <c:pt idx="8">
                  <c:v>TCHAD</c:v>
                </c:pt>
                <c:pt idx="9">
                  <c:v>CONGO</c:v>
                </c:pt>
                <c:pt idx="10">
                  <c:v>MADAGASCAR</c:v>
                </c:pt>
              </c:strCache>
            </c:strRef>
          </c:cat>
          <c:val>
            <c:numRef>
              <c:f>'Equipement PPO'!$E$4:$E$14</c:f>
              <c:numCache>
                <c:formatCode>0%</c:formatCode>
                <c:ptCount val="11"/>
                <c:pt idx="0">
                  <c:v>0.41467205470899998</c:v>
                </c:pt>
                <c:pt idx="1">
                  <c:v>0.674347360309</c:v>
                </c:pt>
                <c:pt idx="2">
                  <c:v>0.34018856692900001</c:v>
                </c:pt>
                <c:pt idx="3">
                  <c:v>0.49132666692100002</c:v>
                </c:pt>
                <c:pt idx="4">
                  <c:v>0.497690475809</c:v>
                </c:pt>
                <c:pt idx="5">
                  <c:v>0.66708410761799997</c:v>
                </c:pt>
                <c:pt idx="6">
                  <c:v>0.394182219587</c:v>
                </c:pt>
                <c:pt idx="7">
                  <c:v>0.40114791181300002</c:v>
                </c:pt>
                <c:pt idx="8">
                  <c:v>0.41529672053</c:v>
                </c:pt>
                <c:pt idx="9">
                  <c:v>0.16239653133599999</c:v>
                </c:pt>
                <c:pt idx="10">
                  <c:v>0.54793417915300002</c:v>
                </c:pt>
              </c:numCache>
            </c:numRef>
          </c:val>
          <c:extLst>
            <c:ext xmlns:c16="http://schemas.microsoft.com/office/drawing/2014/chart" uri="{C3380CC4-5D6E-409C-BE32-E72D297353CC}">
              <c16:uniqueId val="{00000001-5DD6-4351-9FC9-3F1B7A1FAE86}"/>
            </c:ext>
          </c:extLst>
        </c:ser>
        <c:dLbls>
          <c:dLblPos val="outEnd"/>
          <c:showLegendKey val="0"/>
          <c:showVal val="1"/>
          <c:showCatName val="0"/>
          <c:showSerName val="0"/>
          <c:showPercent val="0"/>
          <c:showBubbleSize val="0"/>
        </c:dLbls>
        <c:gapWidth val="182"/>
        <c:axId val="1846745439"/>
        <c:axId val="1846746271"/>
      </c:barChart>
      <c:catAx>
        <c:axId val="184674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46746271"/>
        <c:crosses val="autoZero"/>
        <c:auto val="1"/>
        <c:lblAlgn val="ctr"/>
        <c:lblOffset val="100"/>
        <c:noMultiLvlLbl val="0"/>
      </c:catAx>
      <c:valAx>
        <c:axId val="18467462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46745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'Equipement PPO'!$E$23</c:f>
              <c:strCache>
                <c:ptCount val="1"/>
                <c:pt idx="0">
                  <c:v>2022</c:v>
                </c:pt>
              </c:strCache>
            </c:strRef>
          </c:tx>
          <c:spPr>
            <a:solidFill>
              <a:schemeClr val="accent1"/>
            </a:solidFill>
            <a:ln>
              <a:noFill/>
            </a:ln>
            <a:effectLst/>
          </c:spPr>
          <c:invertIfNegative val="0"/>
          <c:dPt>
            <c:idx val="0"/>
            <c:invertIfNegative val="0"/>
            <c:bubble3D val="0"/>
            <c:spPr>
              <a:solidFill>
                <a:schemeClr val="bg2">
                  <a:lumMod val="90000"/>
                </a:schemeClr>
              </a:solidFill>
              <a:ln>
                <a:noFill/>
              </a:ln>
              <a:effectLst/>
            </c:spPr>
            <c:extLst>
              <c:ext xmlns:c16="http://schemas.microsoft.com/office/drawing/2014/chart" uri="{C3380CC4-5D6E-409C-BE32-E72D297353CC}">
                <c16:uniqueId val="{00000002-0CA0-4FAE-ABEE-59D169177BAE}"/>
              </c:ext>
            </c:extLst>
          </c:dPt>
          <c:dPt>
            <c:idx val="1"/>
            <c:invertIfNegative val="0"/>
            <c:bubble3D val="0"/>
            <c:spPr>
              <a:solidFill>
                <a:srgbClr val="FFA7A7"/>
              </a:solidFill>
              <a:ln>
                <a:noFill/>
              </a:ln>
              <a:effectLst/>
            </c:spPr>
            <c:extLst>
              <c:ext xmlns:c16="http://schemas.microsoft.com/office/drawing/2014/chart" uri="{C3380CC4-5D6E-409C-BE32-E72D297353CC}">
                <c16:uniqueId val="{00000003-0CA0-4FAE-ABEE-59D169177B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'Equipement PPO'!$D$24:$D$25</c:f>
              <c:strCache>
                <c:ptCount val="2"/>
                <c:pt idx="0">
                  <c:v>Total AFO</c:v>
                </c:pt>
                <c:pt idx="1">
                  <c:v>Total AFCE</c:v>
                </c:pt>
              </c:strCache>
            </c:strRef>
          </c:cat>
          <c:val>
            <c:numRef>
              <c:f>'Equipement PPO'!$E$24:$E$25</c:f>
              <c:numCache>
                <c:formatCode>0%</c:formatCode>
                <c:ptCount val="2"/>
                <c:pt idx="0">
                  <c:v>0.42676461703899998</c:v>
                </c:pt>
                <c:pt idx="1">
                  <c:v>0.45487271290499998</c:v>
                </c:pt>
              </c:numCache>
            </c:numRef>
          </c:val>
          <c:extLst>
            <c:ext xmlns:c16="http://schemas.microsoft.com/office/drawing/2014/chart" uri="{C3380CC4-5D6E-409C-BE32-E72D297353CC}">
              <c16:uniqueId val="{00000000-0CA0-4FAE-ABEE-59D169177BAE}"/>
            </c:ext>
          </c:extLst>
        </c:ser>
        <c:ser>
          <c:idx val="1"/>
          <c:order val="1"/>
          <c:tx>
            <c:strRef>
              <c:f>'Equipement PPO'!$F$23</c:f>
              <c:strCache>
                <c:ptCount val="1"/>
                <c:pt idx="0">
                  <c:v>2023</c:v>
                </c:pt>
              </c:strCache>
            </c:strRef>
          </c:tx>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4-0CA0-4FAE-ABEE-59D169177B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'Equipement PPO'!$D$24:$D$25</c:f>
              <c:strCache>
                <c:ptCount val="2"/>
                <c:pt idx="0">
                  <c:v>Total AFO</c:v>
                </c:pt>
                <c:pt idx="1">
                  <c:v>Total AFCE</c:v>
                </c:pt>
              </c:strCache>
            </c:strRef>
          </c:cat>
          <c:val>
            <c:numRef>
              <c:f>'Equipement PPO'!$F$24:$F$25</c:f>
              <c:numCache>
                <c:formatCode>0%</c:formatCode>
                <c:ptCount val="2"/>
                <c:pt idx="0">
                  <c:v>0.43386643857700002</c:v>
                </c:pt>
                <c:pt idx="1">
                  <c:v>0.48359501330100002</c:v>
                </c:pt>
              </c:numCache>
            </c:numRef>
          </c:val>
          <c:extLst>
            <c:ext xmlns:c16="http://schemas.microsoft.com/office/drawing/2014/chart" uri="{C3380CC4-5D6E-409C-BE32-E72D297353CC}">
              <c16:uniqueId val="{00000001-0CA0-4FAE-ABEE-59D169177BAE}"/>
            </c:ext>
          </c:extLst>
        </c:ser>
        <c:dLbls>
          <c:dLblPos val="ctr"/>
          <c:showLegendKey val="0"/>
          <c:showVal val="1"/>
          <c:showCatName val="0"/>
          <c:showSerName val="0"/>
          <c:showPercent val="0"/>
          <c:showBubbleSize val="0"/>
        </c:dLbls>
        <c:gapWidth val="182"/>
        <c:axId val="31905151"/>
        <c:axId val="31907647"/>
      </c:barChart>
      <c:catAx>
        <c:axId val="3190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1907647"/>
        <c:crosses val="autoZero"/>
        <c:auto val="1"/>
        <c:lblAlgn val="ctr"/>
        <c:lblOffset val="100"/>
        <c:noMultiLvlLbl val="0"/>
      </c:catAx>
      <c:valAx>
        <c:axId val="31907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190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du</a:t>
            </a:r>
            <a:r>
              <a:rPr lang="fr-FR" baseline="0"/>
              <a:t> stock de clients</a:t>
            </a:r>
            <a:endParaRPr lang="fr-FR"/>
          </a:p>
        </c:rich>
      </c:tx>
      <c:layout>
        <c:manualLayout>
          <c:xMode val="edge"/>
          <c:yMode val="edge"/>
          <c:x val="0.31918758636383665"/>
          <c:y val="3.333317521554798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5.0849824722974245E-2"/>
          <c:w val="0.89920800524934386"/>
          <c:h val="0.72664651059060104"/>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060E-43E8-BF02-87B9CD708406}"/>
              </c:ext>
            </c:extLst>
          </c:dPt>
          <c:dPt>
            <c:idx val="1"/>
            <c:invertIfNegative val="0"/>
            <c:bubble3D val="0"/>
            <c:spPr>
              <a:solidFill>
                <a:schemeClr val="tx1"/>
              </a:solidFill>
              <a:ln>
                <a:noFill/>
              </a:ln>
              <a:effectLst/>
            </c:spPr>
            <c:extLst>
              <c:ext xmlns:c16="http://schemas.microsoft.com/office/drawing/2014/chart" uri="{C3380CC4-5D6E-409C-BE32-E72D297353CC}">
                <c16:uniqueId val="{00000003-060E-43E8-BF02-87B9CD708406}"/>
              </c:ext>
            </c:extLst>
          </c:dPt>
          <c:dPt>
            <c:idx val="2"/>
            <c:invertIfNegative val="0"/>
            <c:bubble3D val="0"/>
            <c:spPr>
              <a:solidFill>
                <a:schemeClr val="tx1"/>
              </a:solidFill>
              <a:ln>
                <a:noFill/>
              </a:ln>
              <a:effectLst/>
            </c:spPr>
            <c:extLst>
              <c:ext xmlns:c16="http://schemas.microsoft.com/office/drawing/2014/chart" uri="{C3380CC4-5D6E-409C-BE32-E72D297353CC}">
                <c16:uniqueId val="{00000005-060E-43E8-BF02-87B9CD708406}"/>
              </c:ext>
            </c:extLst>
          </c:dPt>
          <c:dPt>
            <c:idx val="3"/>
            <c:invertIfNegative val="0"/>
            <c:bubble3D val="0"/>
            <c:spPr>
              <a:solidFill>
                <a:schemeClr val="tx1"/>
              </a:solidFill>
              <a:ln>
                <a:noFill/>
              </a:ln>
              <a:effectLst/>
            </c:spPr>
            <c:extLst>
              <c:ext xmlns:c16="http://schemas.microsoft.com/office/drawing/2014/chart" uri="{C3380CC4-5D6E-409C-BE32-E72D297353CC}">
                <c16:uniqueId val="{00000007-060E-43E8-BF02-87B9CD708406}"/>
              </c:ext>
            </c:extLst>
          </c:dPt>
          <c:dPt>
            <c:idx val="4"/>
            <c:invertIfNegative val="0"/>
            <c:bubble3D val="0"/>
            <c:spPr>
              <a:solidFill>
                <a:schemeClr val="tx1"/>
              </a:solidFill>
              <a:ln>
                <a:noFill/>
              </a:ln>
              <a:effectLst/>
            </c:spPr>
            <c:extLst>
              <c:ext xmlns:c16="http://schemas.microsoft.com/office/drawing/2014/chart" uri="{C3380CC4-5D6E-409C-BE32-E72D297353CC}">
                <c16:uniqueId val="{00000009-060E-43E8-BF02-87B9CD708406}"/>
              </c:ext>
            </c:extLst>
          </c:dPt>
          <c:dPt>
            <c:idx val="5"/>
            <c:invertIfNegative val="0"/>
            <c:bubble3D val="0"/>
            <c:spPr>
              <a:solidFill>
                <a:schemeClr val="tx1"/>
              </a:solidFill>
              <a:ln>
                <a:noFill/>
              </a:ln>
              <a:effectLst/>
            </c:spPr>
            <c:extLst>
              <c:ext xmlns:c16="http://schemas.microsoft.com/office/drawing/2014/chart" uri="{C3380CC4-5D6E-409C-BE32-E72D297353CC}">
                <c16:uniqueId val="{0000000B-060E-43E8-BF02-87B9CD708406}"/>
              </c:ext>
            </c:extLst>
          </c:dPt>
          <c:dPt>
            <c:idx val="6"/>
            <c:invertIfNegative val="0"/>
            <c:bubble3D val="0"/>
            <c:spPr>
              <a:solidFill>
                <a:schemeClr val="tx1"/>
              </a:solidFill>
              <a:ln>
                <a:noFill/>
              </a:ln>
              <a:effectLst/>
            </c:spPr>
            <c:extLst>
              <c:ext xmlns:c16="http://schemas.microsoft.com/office/drawing/2014/chart" uri="{C3380CC4-5D6E-409C-BE32-E72D297353CC}">
                <c16:uniqueId val="{0000000D-060E-43E8-BF02-87B9CD708406}"/>
              </c:ext>
            </c:extLst>
          </c:dPt>
          <c:dPt>
            <c:idx val="7"/>
            <c:invertIfNegative val="0"/>
            <c:bubble3D val="0"/>
            <c:spPr>
              <a:solidFill>
                <a:srgbClr val="FF0000"/>
              </a:solidFill>
              <a:ln>
                <a:noFill/>
              </a:ln>
              <a:effectLst/>
            </c:spPr>
            <c:extLst>
              <c:ext xmlns:c16="http://schemas.microsoft.com/office/drawing/2014/chart" uri="{C3380CC4-5D6E-409C-BE32-E72D297353CC}">
                <c16:uniqueId val="{0000000F-060E-43E8-BF02-87B9CD708406}"/>
              </c:ext>
            </c:extLst>
          </c:dPt>
          <c:dPt>
            <c:idx val="8"/>
            <c:invertIfNegative val="0"/>
            <c:bubble3D val="0"/>
            <c:spPr>
              <a:solidFill>
                <a:srgbClr val="FF0000"/>
              </a:solidFill>
              <a:ln>
                <a:noFill/>
              </a:ln>
              <a:effectLst/>
            </c:spPr>
            <c:extLst>
              <c:ext xmlns:c16="http://schemas.microsoft.com/office/drawing/2014/chart" uri="{C3380CC4-5D6E-409C-BE32-E72D297353CC}">
                <c16:uniqueId val="{00000011-060E-43E8-BF02-87B9CD708406}"/>
              </c:ext>
            </c:extLst>
          </c:dPt>
          <c:dPt>
            <c:idx val="9"/>
            <c:invertIfNegative val="0"/>
            <c:bubble3D val="0"/>
            <c:spPr>
              <a:solidFill>
                <a:srgbClr val="FF0000"/>
              </a:solidFill>
              <a:ln>
                <a:noFill/>
              </a:ln>
              <a:effectLst/>
            </c:spPr>
            <c:extLst>
              <c:ext xmlns:c16="http://schemas.microsoft.com/office/drawing/2014/chart" uri="{C3380CC4-5D6E-409C-BE32-E72D297353CC}">
                <c16:uniqueId val="{00000013-060E-43E8-BF02-87B9CD708406}"/>
              </c:ext>
            </c:extLst>
          </c:dPt>
          <c:dPt>
            <c:idx val="10"/>
            <c:invertIfNegative val="0"/>
            <c:bubble3D val="0"/>
            <c:spPr>
              <a:solidFill>
                <a:srgbClr val="FF0000"/>
              </a:solidFill>
              <a:ln>
                <a:noFill/>
              </a:ln>
              <a:effectLst/>
            </c:spPr>
            <c:extLst>
              <c:ext xmlns:c16="http://schemas.microsoft.com/office/drawing/2014/chart" uri="{C3380CC4-5D6E-409C-BE32-E72D297353CC}">
                <c16:uniqueId val="{00000015-060E-43E8-BF02-87B9CD708406}"/>
              </c:ext>
            </c:extLst>
          </c:dPt>
          <c:dLbls>
            <c:dLbl>
              <c:idx val="0"/>
              <c:layout>
                <c:manualLayout>
                  <c:x val="1.3185407709275339E-5"/>
                  <c:y val="-7.0508172773501383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0E-43E8-BF02-87B9CD708406}"/>
                </c:ext>
              </c:extLst>
            </c:dLbl>
            <c:dLbl>
              <c:idx val="2"/>
              <c:layout>
                <c:manualLayout>
                  <c:x val="-2.9733395330012948E-3"/>
                  <c:y val="-8.680636327537946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0E-43E8-BF02-87B9CD708406}"/>
                </c:ext>
              </c:extLst>
            </c:dLbl>
            <c:dLbl>
              <c:idx val="3"/>
              <c:layout>
                <c:manualLayout>
                  <c:x val="0"/>
                  <c:y val="-1.293930473524413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60E-43E8-BF02-87B9CD708406}"/>
                </c:ext>
              </c:extLst>
            </c:dLbl>
            <c:dLbl>
              <c:idx val="4"/>
              <c:layout>
                <c:manualLayout>
                  <c:x val="5.6039020808567545E-3"/>
                  <c:y val="-1.79469332722019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60E-43E8-BF02-87B9CD708406}"/>
                </c:ext>
              </c:extLst>
            </c:dLbl>
            <c:dLbl>
              <c:idx val="5"/>
              <c:layout>
                <c:manualLayout>
                  <c:x val="-3.5206440666255484E-6"/>
                  <c:y val="8.575083913347693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60E-43E8-BF02-87B9CD708406}"/>
                </c:ext>
              </c:extLst>
            </c:dLbl>
            <c:dLbl>
              <c:idx val="6"/>
              <c:layout>
                <c:manualLayout>
                  <c:x val="-5.8432249490403213E-3"/>
                  <c:y val="2.47085626656539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60E-43E8-BF02-87B9CD708406}"/>
                </c:ext>
              </c:extLst>
            </c:dLbl>
            <c:dLbl>
              <c:idx val="7"/>
              <c:layout>
                <c:manualLayout>
                  <c:x val="6.1924678581700898E-3"/>
                  <c:y val="3.32402035046752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60E-43E8-BF02-87B9CD708406}"/>
                </c:ext>
              </c:extLst>
            </c:dLbl>
            <c:dLbl>
              <c:idx val="8"/>
              <c:layout>
                <c:manualLayout>
                  <c:x val="5.7752408150364386E-3"/>
                  <c:y val="-4.11559322730759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60E-43E8-BF02-87B9CD708406}"/>
                </c:ext>
              </c:extLst>
            </c:dLbl>
            <c:dLbl>
              <c:idx val="9"/>
              <c:layout>
                <c:manualLayout>
                  <c:x val="5.7752993421471199E-3"/>
                  <c:y val="1.37586135706417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60E-43E8-BF02-87B9CD70840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détaillé'!$H$186:$H$192,'Tableau détaillé'!$H$194:$H$197)</c:f>
              <c:numCache>
                <c:formatCode>0.0%</c:formatCode>
                <c:ptCount val="11"/>
                <c:pt idx="0">
                  <c:v>1.8970709662830432E-2</c:v>
                </c:pt>
                <c:pt idx="1">
                  <c:v>-3.4159102652253304E-2</c:v>
                </c:pt>
                <c:pt idx="2">
                  <c:v>2.0311066029077951E-2</c:v>
                </c:pt>
                <c:pt idx="3">
                  <c:v>1.3858413211687237E-2</c:v>
                </c:pt>
                <c:pt idx="4">
                  <c:v>-2.0758475238244034E-2</c:v>
                </c:pt>
                <c:pt idx="5">
                  <c:v>-6.0356652949245526E-2</c:v>
                </c:pt>
                <c:pt idx="6">
                  <c:v>3.4168773030422983E-2</c:v>
                </c:pt>
                <c:pt idx="7">
                  <c:v>7.2648331790434506E-2</c:v>
                </c:pt>
                <c:pt idx="8">
                  <c:v>-1.0317214603084324E-2</c:v>
                </c:pt>
                <c:pt idx="9">
                  <c:v>4.1453551710766812E-2</c:v>
                </c:pt>
                <c:pt idx="10">
                  <c:v>0.10944388870364197</c:v>
                </c:pt>
              </c:numCache>
            </c:numRef>
          </c:val>
          <c:extLst>
            <c:ext xmlns:c16="http://schemas.microsoft.com/office/drawing/2014/chart" uri="{C3380CC4-5D6E-409C-BE32-E72D297353CC}">
              <c16:uniqueId val="{00000016-060E-43E8-BF02-87B9CD708406}"/>
            </c:ext>
          </c:extLst>
        </c:ser>
        <c:dLbls>
          <c:showLegendKey val="0"/>
          <c:showVal val="0"/>
          <c:showCatName val="0"/>
          <c:showSerName val="0"/>
          <c:showPercent val="0"/>
          <c:showBubbleSize val="0"/>
        </c:dLbls>
        <c:gapWidth val="219"/>
        <c:overlap val="-27"/>
        <c:axId val="964173504"/>
        <c:axId val="964171544"/>
      </c:barChart>
      <c:lineChart>
        <c:grouping val="standard"/>
        <c:varyColors val="0"/>
        <c:ser>
          <c:idx val="1"/>
          <c:order val="1"/>
          <c:spPr>
            <a:ln w="28575" cap="rnd">
              <a:solidFill>
                <a:srgbClr val="C00000"/>
              </a:solidFill>
              <a:round/>
            </a:ln>
            <a:effectLst/>
          </c:spPr>
          <c:marker>
            <c:symbol val="none"/>
          </c:marker>
          <c:val>
            <c:numRef>
              <c:f>('Tableau détaillé'!$J$186:$J$192,'Tableau détaillé'!$J$194:$J$197)</c:f>
              <c:numCache>
                <c:formatCode>0.0%</c:formatCode>
                <c:ptCount val="11"/>
                <c:pt idx="0">
                  <c:v>1.5341025479812753E-2</c:v>
                </c:pt>
                <c:pt idx="1">
                  <c:v>1.5341025479812753E-2</c:v>
                </c:pt>
                <c:pt idx="2">
                  <c:v>1.5341025479812753E-2</c:v>
                </c:pt>
                <c:pt idx="3">
                  <c:v>1.5341025479812753E-2</c:v>
                </c:pt>
                <c:pt idx="4">
                  <c:v>1.5341025479812753E-2</c:v>
                </c:pt>
                <c:pt idx="5">
                  <c:v>1.5341025479812753E-2</c:v>
                </c:pt>
                <c:pt idx="6">
                  <c:v>1.5341025479812753E-2</c:v>
                </c:pt>
                <c:pt idx="7">
                  <c:v>1.5341025479812753E-2</c:v>
                </c:pt>
                <c:pt idx="8">
                  <c:v>1.5341025479812753E-2</c:v>
                </c:pt>
                <c:pt idx="9">
                  <c:v>1.5341025479812753E-2</c:v>
                </c:pt>
                <c:pt idx="10">
                  <c:v>1.5341025479812753E-2</c:v>
                </c:pt>
              </c:numCache>
            </c:numRef>
          </c:val>
          <c:smooth val="0"/>
          <c:extLst>
            <c:ext xmlns:c16="http://schemas.microsoft.com/office/drawing/2014/chart" uri="{C3380CC4-5D6E-409C-BE32-E72D297353CC}">
              <c16:uniqueId val="{00000017-060E-43E8-BF02-87B9CD708406}"/>
            </c:ext>
          </c:extLst>
        </c:ser>
        <c:dLbls>
          <c:showLegendKey val="0"/>
          <c:showVal val="0"/>
          <c:showCatName val="0"/>
          <c:showSerName val="0"/>
          <c:showPercent val="0"/>
          <c:showBubbleSize val="0"/>
        </c:dLbls>
        <c:marker val="1"/>
        <c:smooth val="0"/>
        <c:axId val="964173504"/>
        <c:axId val="964171544"/>
      </c:lineChart>
      <c:catAx>
        <c:axId val="964173504"/>
        <c:scaling>
          <c:orientation val="minMax"/>
        </c:scaling>
        <c:delete val="0"/>
        <c:axPos val="b"/>
        <c:numFmt formatCode="General" sourceLinked="1"/>
        <c:majorTickMark val="out"/>
        <c:minorTickMark val="none"/>
        <c:tickLblPos val="low"/>
        <c:spPr>
          <a:noFill/>
          <a:ln w="9525" cap="flat" cmpd="sng" algn="ctr">
            <a:solidFill>
              <a:sysClr val="windowText" lastClr="000000">
                <a:lumMod val="15000"/>
                <a:lumOff val="85000"/>
                <a:alpha val="99000"/>
              </a:sys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1544"/>
        <c:crosses val="autoZero"/>
        <c:auto val="1"/>
        <c:lblAlgn val="ctr"/>
        <c:lblOffset val="100"/>
        <c:noMultiLvlLbl val="0"/>
      </c:catAx>
      <c:valAx>
        <c:axId val="96417154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3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du stock de clients par DR</a:t>
            </a:r>
          </a:p>
        </c:rich>
      </c:tx>
      <c:layout>
        <c:manualLayout>
          <c:xMode val="edge"/>
          <c:yMode val="edge"/>
          <c:x val="0.26057877898231691"/>
          <c:y val="2.394209086495817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070068034568917"/>
          <c:y val="0.13675224574283071"/>
          <c:w val="0.89920800524934386"/>
          <c:h val="0.7222568428946381"/>
        </c:manualLayout>
      </c:layout>
      <c:barChart>
        <c:barDir val="col"/>
        <c:grouping val="clustered"/>
        <c:varyColors val="0"/>
        <c:ser>
          <c:idx val="0"/>
          <c:order val="0"/>
          <c:spPr>
            <a:solidFill>
              <a:srgbClr val="FFA7A7"/>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3A5D-4A5E-958F-B30756F00D1B}"/>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4-83AE-42BB-A1F2-FD2AF9300EC0}"/>
              </c:ext>
            </c:extLst>
          </c:dPt>
          <c:dLbls>
            <c:dLbl>
              <c:idx val="0"/>
              <c:layout>
                <c:manualLayout>
                  <c:x val="-2.9995939609456127E-2"/>
                  <c:y val="-1.37468369965816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5D-4A5E-958F-B30756F00D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détaillé'!$H$193,'Tableau détaillé'!$H$198,'Tableau détaillé'!$H$185)</c:f>
              <c:numCache>
                <c:formatCode>0.0%</c:formatCode>
                <c:ptCount val="3"/>
                <c:pt idx="0">
                  <c:v>4.6022909933842726E-3</c:v>
                </c:pt>
                <c:pt idx="1">
                  <c:v>3.9157781385369628E-2</c:v>
                </c:pt>
                <c:pt idx="2">
                  <c:v>1.5341025479812753E-2</c:v>
                </c:pt>
              </c:numCache>
            </c:numRef>
          </c:val>
          <c:extLst>
            <c:ext xmlns:c16="http://schemas.microsoft.com/office/drawing/2014/chart" uri="{C3380CC4-5D6E-409C-BE32-E72D297353CC}">
              <c16:uniqueId val="{00000003-3A5D-4A5E-958F-B30756F00D1B}"/>
            </c:ext>
          </c:extLst>
        </c:ser>
        <c:dLbls>
          <c:showLegendKey val="0"/>
          <c:showVal val="0"/>
          <c:showCatName val="0"/>
          <c:showSerName val="0"/>
          <c:showPercent val="0"/>
          <c:showBubbleSize val="0"/>
        </c:dLbls>
        <c:gapWidth val="219"/>
        <c:overlap val="-27"/>
        <c:axId val="964163312"/>
        <c:axId val="964170368"/>
      </c:barChart>
      <c:catAx>
        <c:axId val="964163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0368"/>
        <c:crosses val="autoZero"/>
        <c:auto val="1"/>
        <c:lblAlgn val="ctr"/>
        <c:lblOffset val="100"/>
        <c:noMultiLvlLbl val="0"/>
      </c:catAx>
      <c:valAx>
        <c:axId val="964170368"/>
        <c:scaling>
          <c:orientation val="minMax"/>
          <c:min val="0"/>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3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 la part des BG et PAT </a:t>
            </a:r>
          </a:p>
          <a:p>
            <a:pPr>
              <a:defRPr sz="1200" b="1"/>
            </a:pPr>
            <a:r>
              <a:rPr lang="fr-FR"/>
              <a:t>dans le portefeuille</a:t>
            </a:r>
          </a:p>
        </c:rich>
      </c:tx>
      <c:layout>
        <c:manualLayout>
          <c:xMode val="edge"/>
          <c:yMode val="edge"/>
          <c:x val="0.277050693749752"/>
          <c:y val="2.394212710366275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déc-19</c:v>
          </c:tx>
          <c:spPr>
            <a:solidFill>
              <a:srgbClr val="E7E6E6">
                <a:lumMod val="90000"/>
              </a:srgbClr>
            </a:solidFill>
            <a:ln>
              <a:noFill/>
            </a:ln>
            <a:effectLst/>
          </c:spPr>
          <c:invertIfNegative val="0"/>
          <c:dPt>
            <c:idx val="0"/>
            <c:invertIfNegative val="0"/>
            <c:bubble3D val="0"/>
            <c:spPr>
              <a:solidFill>
                <a:srgbClr val="E7E6E6">
                  <a:lumMod val="90000"/>
                </a:srgbClr>
              </a:solidFill>
              <a:ln>
                <a:noFill/>
              </a:ln>
              <a:effectLst/>
            </c:spPr>
            <c:extLst>
              <c:ext xmlns:c16="http://schemas.microsoft.com/office/drawing/2014/chart" uri="{C3380CC4-5D6E-409C-BE32-E72D297353CC}">
                <c16:uniqueId val="{00000001-A888-4221-BB72-F3C57AF06750}"/>
              </c:ext>
            </c:extLst>
          </c:dPt>
          <c:dPt>
            <c:idx val="1"/>
            <c:invertIfNegative val="0"/>
            <c:bubble3D val="0"/>
            <c:spPr>
              <a:solidFill>
                <a:srgbClr val="E7E6E6">
                  <a:lumMod val="90000"/>
                </a:srgbClr>
              </a:solidFill>
              <a:ln>
                <a:noFill/>
              </a:ln>
              <a:effectLst/>
            </c:spPr>
            <c:extLst>
              <c:ext xmlns:c16="http://schemas.microsoft.com/office/drawing/2014/chart" uri="{C3380CC4-5D6E-409C-BE32-E72D297353CC}">
                <c16:uniqueId val="{00000003-A888-4221-BB72-F3C57AF06750}"/>
              </c:ext>
            </c:extLst>
          </c:dPt>
          <c:dPt>
            <c:idx val="2"/>
            <c:invertIfNegative val="0"/>
            <c:bubble3D val="0"/>
            <c:spPr>
              <a:solidFill>
                <a:srgbClr val="E7E6E6">
                  <a:lumMod val="90000"/>
                </a:srgbClr>
              </a:solidFill>
              <a:ln>
                <a:noFill/>
              </a:ln>
              <a:effectLst/>
            </c:spPr>
            <c:extLst>
              <c:ext xmlns:c16="http://schemas.microsoft.com/office/drawing/2014/chart" uri="{C3380CC4-5D6E-409C-BE32-E72D297353CC}">
                <c16:uniqueId val="{00000005-A888-4221-BB72-F3C57AF06750}"/>
              </c:ext>
            </c:extLst>
          </c:dPt>
          <c:dPt>
            <c:idx val="3"/>
            <c:invertIfNegative val="0"/>
            <c:bubble3D val="0"/>
            <c:spPr>
              <a:solidFill>
                <a:srgbClr val="E7E6E6">
                  <a:lumMod val="90000"/>
                </a:srgbClr>
              </a:solidFill>
              <a:ln>
                <a:noFill/>
              </a:ln>
              <a:effectLst/>
            </c:spPr>
            <c:extLst>
              <c:ext xmlns:c16="http://schemas.microsoft.com/office/drawing/2014/chart" uri="{C3380CC4-5D6E-409C-BE32-E72D297353CC}">
                <c16:uniqueId val="{00000007-A888-4221-BB72-F3C57AF06750}"/>
              </c:ext>
            </c:extLst>
          </c:dPt>
          <c:dPt>
            <c:idx val="4"/>
            <c:invertIfNegative val="0"/>
            <c:bubble3D val="0"/>
            <c:spPr>
              <a:solidFill>
                <a:srgbClr val="E7E6E6">
                  <a:lumMod val="90000"/>
                </a:srgbClr>
              </a:solidFill>
              <a:ln>
                <a:noFill/>
              </a:ln>
              <a:effectLst/>
            </c:spPr>
            <c:extLst>
              <c:ext xmlns:c16="http://schemas.microsoft.com/office/drawing/2014/chart" uri="{C3380CC4-5D6E-409C-BE32-E72D297353CC}">
                <c16:uniqueId val="{00000009-A888-4221-BB72-F3C57AF06750}"/>
              </c:ext>
            </c:extLst>
          </c:dPt>
          <c:dPt>
            <c:idx val="5"/>
            <c:invertIfNegative val="0"/>
            <c:bubble3D val="0"/>
            <c:spPr>
              <a:solidFill>
                <a:srgbClr val="E7E6E6">
                  <a:lumMod val="90000"/>
                </a:srgbClr>
              </a:solidFill>
              <a:ln>
                <a:noFill/>
              </a:ln>
              <a:effectLst/>
            </c:spPr>
            <c:extLst>
              <c:ext xmlns:c16="http://schemas.microsoft.com/office/drawing/2014/chart" uri="{C3380CC4-5D6E-409C-BE32-E72D297353CC}">
                <c16:uniqueId val="{0000000B-A888-4221-BB72-F3C57AF06750}"/>
              </c:ext>
            </c:extLst>
          </c:dPt>
          <c:dPt>
            <c:idx val="6"/>
            <c:invertIfNegative val="0"/>
            <c:bubble3D val="0"/>
            <c:spPr>
              <a:solidFill>
                <a:srgbClr val="E7E6E6">
                  <a:lumMod val="90000"/>
                </a:srgbClr>
              </a:solidFill>
              <a:ln>
                <a:noFill/>
              </a:ln>
              <a:effectLst/>
            </c:spPr>
            <c:extLst>
              <c:ext xmlns:c16="http://schemas.microsoft.com/office/drawing/2014/chart" uri="{C3380CC4-5D6E-409C-BE32-E72D297353CC}">
                <c16:uniqueId val="{0000000D-A888-4221-BB72-F3C57AF06750}"/>
              </c:ext>
            </c:extLst>
          </c:dPt>
          <c:dPt>
            <c:idx val="7"/>
            <c:invertIfNegative val="0"/>
            <c:bubble3D val="0"/>
            <c:spPr>
              <a:solidFill>
                <a:srgbClr val="FFA7A7"/>
              </a:solidFill>
              <a:ln>
                <a:noFill/>
              </a:ln>
              <a:effectLst/>
            </c:spPr>
            <c:extLst>
              <c:ext xmlns:c16="http://schemas.microsoft.com/office/drawing/2014/chart" uri="{C3380CC4-5D6E-409C-BE32-E72D297353CC}">
                <c16:uniqueId val="{0000000F-A888-4221-BB72-F3C57AF06750}"/>
              </c:ext>
            </c:extLst>
          </c:dPt>
          <c:dPt>
            <c:idx val="8"/>
            <c:invertIfNegative val="0"/>
            <c:bubble3D val="0"/>
            <c:spPr>
              <a:solidFill>
                <a:srgbClr val="FFA7A7"/>
              </a:solidFill>
              <a:ln>
                <a:noFill/>
              </a:ln>
              <a:effectLst/>
            </c:spPr>
            <c:extLst>
              <c:ext xmlns:c16="http://schemas.microsoft.com/office/drawing/2014/chart" uri="{C3380CC4-5D6E-409C-BE32-E72D297353CC}">
                <c16:uniqueId val="{00000011-A888-4221-BB72-F3C57AF06750}"/>
              </c:ext>
            </c:extLst>
          </c:dPt>
          <c:dPt>
            <c:idx val="9"/>
            <c:invertIfNegative val="0"/>
            <c:bubble3D val="0"/>
            <c:spPr>
              <a:solidFill>
                <a:srgbClr val="FFA7A7"/>
              </a:solidFill>
              <a:ln>
                <a:noFill/>
              </a:ln>
              <a:effectLst/>
            </c:spPr>
            <c:extLst>
              <c:ext xmlns:c16="http://schemas.microsoft.com/office/drawing/2014/chart" uri="{C3380CC4-5D6E-409C-BE32-E72D297353CC}">
                <c16:uniqueId val="{00000013-A888-4221-BB72-F3C57AF06750}"/>
              </c:ext>
            </c:extLst>
          </c:dPt>
          <c:dPt>
            <c:idx val="10"/>
            <c:invertIfNegative val="0"/>
            <c:bubble3D val="0"/>
            <c:spPr>
              <a:solidFill>
                <a:srgbClr val="FFA7A7"/>
              </a:solidFill>
              <a:ln>
                <a:noFill/>
              </a:ln>
              <a:effectLst/>
            </c:spPr>
            <c:extLst>
              <c:ext xmlns:c16="http://schemas.microsoft.com/office/drawing/2014/chart" uri="{C3380CC4-5D6E-409C-BE32-E72D297353CC}">
                <c16:uniqueId val="{00000015-A888-4221-BB72-F3C57AF06750}"/>
              </c:ext>
            </c:extLst>
          </c:dPt>
          <c:dLbls>
            <c:dLbl>
              <c:idx val="2"/>
              <c:layout>
                <c:manualLayout>
                  <c:x val="3.7552624282468465E-2"/>
                  <c:y val="-0.148672325272769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888-4221-BB72-F3C57AF06750}"/>
                </c:ext>
              </c:extLst>
            </c:dLbl>
            <c:dLbl>
              <c:idx val="10"/>
              <c:layout>
                <c:manualLayout>
                  <c:x val="-3.4641245327734764E-2"/>
                  <c:y val="2.4778720878794985E-2"/>
                </c:manualLayout>
              </c:layout>
              <c:spPr>
                <a:noFill/>
                <a:ln>
                  <a:noFill/>
                </a:ln>
                <a:effectLst/>
              </c:spPr>
              <c:txPr>
                <a:bodyPr rot="0" spcFirstLastPara="1" vertOverflow="ellipsis" vert="horz" wrap="square" lIns="38100" tIns="19050" rIns="38100" bIns="19050" anchor="ctr" anchorCtr="1">
                  <a:noAutofit/>
                </a:bodyPr>
                <a:lstStyle/>
                <a:p>
                  <a:pPr>
                    <a:defRPr sz="6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15:layout>
                    <c:manualLayout>
                      <c:w val="5.7636831883986099E-2"/>
                      <c:h val="4.9039518601068269E-2"/>
                    </c:manualLayout>
                  </c15:layout>
                </c:ext>
                <c:ext xmlns:c16="http://schemas.microsoft.com/office/drawing/2014/chart" uri="{C3380CC4-5D6E-409C-BE32-E72D297353CC}">
                  <c16:uniqueId val="{00000015-A888-4221-BB72-F3C57AF06750}"/>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détaillé'!$F$271:$F$277,'Tableau détaillé'!$F$279:$F$282)</c:f>
              <c:numCache>
                <c:formatCode>0.0%</c:formatCode>
                <c:ptCount val="11"/>
                <c:pt idx="0">
                  <c:v>0.1651179505063427</c:v>
                </c:pt>
                <c:pt idx="1">
                  <c:v>0.11436884341823128</c:v>
                </c:pt>
                <c:pt idx="2">
                  <c:v>0.12798084151930428</c:v>
                </c:pt>
                <c:pt idx="3">
                  <c:v>9.6712044929565325E-2</c:v>
                </c:pt>
                <c:pt idx="4">
                  <c:v>0.1439976730890789</c:v>
                </c:pt>
                <c:pt idx="5">
                  <c:v>0.20700758130065958</c:v>
                </c:pt>
                <c:pt idx="6">
                  <c:v>0.18034949956488294</c:v>
                </c:pt>
                <c:pt idx="7">
                  <c:v>0.14754742542417942</c:v>
                </c:pt>
                <c:pt idx="8">
                  <c:v>0.17687123061408444</c:v>
                </c:pt>
                <c:pt idx="9">
                  <c:v>0.21488622777130534</c:v>
                </c:pt>
                <c:pt idx="10">
                  <c:v>0.64453125000017875</c:v>
                </c:pt>
              </c:numCache>
            </c:numRef>
          </c:val>
          <c:extLst>
            <c:ext xmlns:c16="http://schemas.microsoft.com/office/drawing/2014/chart" uri="{C3380CC4-5D6E-409C-BE32-E72D297353CC}">
              <c16:uniqueId val="{00000016-A888-4221-BB72-F3C57AF06750}"/>
            </c:ext>
          </c:extLst>
        </c:ser>
        <c:ser>
          <c:idx val="1"/>
          <c:order val="1"/>
          <c:tx>
            <c:v>Dec 2020</c:v>
          </c:tx>
          <c:spPr>
            <a:solidFill>
              <a:sysClr val="windowText" lastClr="000000"/>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18-A888-4221-BB72-F3C57AF06750}"/>
              </c:ext>
            </c:extLst>
          </c:dPt>
          <c:dPt>
            <c:idx val="1"/>
            <c:invertIfNegative val="0"/>
            <c:bubble3D val="0"/>
            <c:spPr>
              <a:solidFill>
                <a:sysClr val="windowText" lastClr="000000"/>
              </a:solidFill>
              <a:ln>
                <a:noFill/>
              </a:ln>
              <a:effectLst/>
            </c:spPr>
            <c:extLst>
              <c:ext xmlns:c16="http://schemas.microsoft.com/office/drawing/2014/chart" uri="{C3380CC4-5D6E-409C-BE32-E72D297353CC}">
                <c16:uniqueId val="{0000001A-A888-4221-BB72-F3C57AF06750}"/>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1C-A888-4221-BB72-F3C57AF06750}"/>
              </c:ext>
            </c:extLst>
          </c:dPt>
          <c:dPt>
            <c:idx val="3"/>
            <c:invertIfNegative val="0"/>
            <c:bubble3D val="0"/>
            <c:spPr>
              <a:solidFill>
                <a:sysClr val="windowText" lastClr="000000"/>
              </a:solidFill>
              <a:ln>
                <a:noFill/>
              </a:ln>
              <a:effectLst/>
            </c:spPr>
            <c:extLst>
              <c:ext xmlns:c16="http://schemas.microsoft.com/office/drawing/2014/chart" uri="{C3380CC4-5D6E-409C-BE32-E72D297353CC}">
                <c16:uniqueId val="{0000001E-A888-4221-BB72-F3C57AF06750}"/>
              </c:ext>
            </c:extLst>
          </c:dPt>
          <c:dPt>
            <c:idx val="4"/>
            <c:invertIfNegative val="0"/>
            <c:bubble3D val="0"/>
            <c:spPr>
              <a:solidFill>
                <a:sysClr val="windowText" lastClr="000000"/>
              </a:solidFill>
              <a:ln>
                <a:noFill/>
              </a:ln>
              <a:effectLst/>
            </c:spPr>
            <c:extLst>
              <c:ext xmlns:c16="http://schemas.microsoft.com/office/drawing/2014/chart" uri="{C3380CC4-5D6E-409C-BE32-E72D297353CC}">
                <c16:uniqueId val="{00000020-A888-4221-BB72-F3C57AF06750}"/>
              </c:ext>
            </c:extLst>
          </c:dPt>
          <c:dPt>
            <c:idx val="5"/>
            <c:invertIfNegative val="0"/>
            <c:bubble3D val="0"/>
            <c:spPr>
              <a:solidFill>
                <a:sysClr val="windowText" lastClr="000000"/>
              </a:solidFill>
              <a:ln>
                <a:noFill/>
              </a:ln>
              <a:effectLst/>
            </c:spPr>
            <c:extLst>
              <c:ext xmlns:c16="http://schemas.microsoft.com/office/drawing/2014/chart" uri="{C3380CC4-5D6E-409C-BE32-E72D297353CC}">
                <c16:uniqueId val="{00000022-A888-4221-BB72-F3C57AF06750}"/>
              </c:ext>
            </c:extLst>
          </c:dPt>
          <c:dPt>
            <c:idx val="6"/>
            <c:invertIfNegative val="0"/>
            <c:bubble3D val="0"/>
            <c:spPr>
              <a:solidFill>
                <a:sysClr val="windowText" lastClr="000000"/>
              </a:solidFill>
              <a:ln>
                <a:noFill/>
              </a:ln>
              <a:effectLst/>
            </c:spPr>
            <c:extLst>
              <c:ext xmlns:c16="http://schemas.microsoft.com/office/drawing/2014/chart" uri="{C3380CC4-5D6E-409C-BE32-E72D297353CC}">
                <c16:uniqueId val="{00000024-A888-4221-BB72-F3C57AF06750}"/>
              </c:ext>
            </c:extLst>
          </c:dPt>
          <c:dPt>
            <c:idx val="7"/>
            <c:invertIfNegative val="0"/>
            <c:bubble3D val="0"/>
            <c:spPr>
              <a:solidFill>
                <a:srgbClr val="FF0000"/>
              </a:solidFill>
              <a:ln>
                <a:noFill/>
              </a:ln>
              <a:effectLst/>
            </c:spPr>
            <c:extLst>
              <c:ext xmlns:c16="http://schemas.microsoft.com/office/drawing/2014/chart" uri="{C3380CC4-5D6E-409C-BE32-E72D297353CC}">
                <c16:uniqueId val="{00000026-A888-4221-BB72-F3C57AF06750}"/>
              </c:ext>
            </c:extLst>
          </c:dPt>
          <c:dPt>
            <c:idx val="8"/>
            <c:invertIfNegative val="0"/>
            <c:bubble3D val="0"/>
            <c:spPr>
              <a:solidFill>
                <a:srgbClr val="FF0000"/>
              </a:solidFill>
              <a:ln>
                <a:noFill/>
              </a:ln>
              <a:effectLst/>
            </c:spPr>
            <c:extLst>
              <c:ext xmlns:c16="http://schemas.microsoft.com/office/drawing/2014/chart" uri="{C3380CC4-5D6E-409C-BE32-E72D297353CC}">
                <c16:uniqueId val="{00000028-A888-4221-BB72-F3C57AF06750}"/>
              </c:ext>
            </c:extLst>
          </c:dPt>
          <c:dPt>
            <c:idx val="9"/>
            <c:invertIfNegative val="0"/>
            <c:bubble3D val="0"/>
            <c:spPr>
              <a:solidFill>
                <a:srgbClr val="FF0000"/>
              </a:solidFill>
              <a:ln>
                <a:noFill/>
              </a:ln>
              <a:effectLst/>
            </c:spPr>
            <c:extLst>
              <c:ext xmlns:c16="http://schemas.microsoft.com/office/drawing/2014/chart" uri="{C3380CC4-5D6E-409C-BE32-E72D297353CC}">
                <c16:uniqueId val="{0000002A-A888-4221-BB72-F3C57AF06750}"/>
              </c:ext>
            </c:extLst>
          </c:dPt>
          <c:dPt>
            <c:idx val="10"/>
            <c:invertIfNegative val="0"/>
            <c:bubble3D val="0"/>
            <c:spPr>
              <a:solidFill>
                <a:srgbClr val="FF0000"/>
              </a:solidFill>
              <a:ln>
                <a:noFill/>
              </a:ln>
              <a:effectLst/>
            </c:spPr>
            <c:extLst>
              <c:ext xmlns:c16="http://schemas.microsoft.com/office/drawing/2014/chart" uri="{C3380CC4-5D6E-409C-BE32-E72D297353CC}">
                <c16:uniqueId val="{0000002C-A888-4221-BB72-F3C57AF06750}"/>
              </c:ext>
            </c:extLst>
          </c:dPt>
          <c:dLbls>
            <c:dLbl>
              <c:idx val="0"/>
              <c:layout>
                <c:manualLayout>
                  <c:x val="2.5971464563379461E-2"/>
                  <c:y val="-4.9484749345752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A888-4221-BB72-F3C57AF06750}"/>
                </c:ext>
              </c:extLst>
            </c:dLbl>
            <c:dLbl>
              <c:idx val="1"/>
              <c:layout>
                <c:manualLayout>
                  <c:x val="3.7030617785022917E-2"/>
                  <c:y val="-4.9691888933152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A888-4221-BB72-F3C57AF06750}"/>
                </c:ext>
              </c:extLst>
            </c:dLbl>
            <c:dLbl>
              <c:idx val="2"/>
              <c:layout>
                <c:manualLayout>
                  <c:x val="3.4324142055503895E-2"/>
                  <c:y val="-6.74792036532992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A888-4221-BB72-F3C57AF06750}"/>
                </c:ext>
              </c:extLst>
            </c:dLbl>
            <c:dLbl>
              <c:idx val="3"/>
              <c:layout>
                <c:manualLayout>
                  <c:x val="1.4428591424099649E-2"/>
                  <c:y val="-4.9484749345752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A888-4221-BB72-F3C57AF06750}"/>
                </c:ext>
              </c:extLst>
            </c:dLbl>
            <c:dLbl>
              <c:idx val="4"/>
              <c:layout>
                <c:manualLayout>
                  <c:x val="8.3526774921244881E-3"/>
                  <c:y val="-6.74792036532992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A888-4221-BB72-F3C57AF06750}"/>
                </c:ext>
              </c:extLst>
            </c:dLbl>
            <c:dLbl>
              <c:idx val="5"/>
              <c:layout>
                <c:manualLayout>
                  <c:x val="2.8857182848199402E-2"/>
                  <c:y val="-4.04875221919795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A888-4221-BB72-F3C57AF06750}"/>
                </c:ext>
              </c:extLst>
            </c:dLbl>
            <c:dLbl>
              <c:idx val="6"/>
              <c:layout>
                <c:manualLayout>
                  <c:x val="3.1134173630260869E-2"/>
                  <c:y val="-5.8481976499526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A888-4221-BB72-F3C57AF06750}"/>
                </c:ext>
              </c:extLst>
            </c:dLbl>
            <c:dLbl>
              <c:idx val="7"/>
              <c:layout>
                <c:manualLayout>
                  <c:x val="1.7314309708919642E-2"/>
                  <c:y val="-8.0975044383959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A888-4221-BB72-F3C57AF06750}"/>
                </c:ext>
              </c:extLst>
            </c:dLbl>
            <c:dLbl>
              <c:idx val="8"/>
              <c:layout>
                <c:manualLayout>
                  <c:x val="1.3718295726592052E-2"/>
                  <c:y val="-5.8481976499526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A888-4221-BB72-F3C57AF06750}"/>
                </c:ext>
              </c:extLst>
            </c:dLbl>
            <c:dLbl>
              <c:idx val="9"/>
              <c:layout>
                <c:manualLayout>
                  <c:x val="1.4124114061764158E-2"/>
                  <c:y val="-5.45472836166869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A888-4221-BB72-F3C57AF06750}"/>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détaillé'!$D$271:$D$277,'Tableau détaillé'!$D$279:$D$282)</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détaillé'!$G$271:$G$277,'Tableau détaillé'!$G$279:$G$282)</c:f>
              <c:numCache>
                <c:formatCode>0.0%</c:formatCode>
                <c:ptCount val="11"/>
                <c:pt idx="0">
                  <c:v>0.16145438479934271</c:v>
                </c:pt>
                <c:pt idx="1">
                  <c:v>0.15499998486423128</c:v>
                </c:pt>
                <c:pt idx="2">
                  <c:v>0.16269726852130428</c:v>
                </c:pt>
                <c:pt idx="3">
                  <c:v>0.12611315057256534</c:v>
                </c:pt>
                <c:pt idx="4">
                  <c:v>0.16354071744407891</c:v>
                </c:pt>
                <c:pt idx="5">
                  <c:v>0.20416383931365958</c:v>
                </c:pt>
                <c:pt idx="6">
                  <c:v>0.19487501772288293</c:v>
                </c:pt>
                <c:pt idx="7">
                  <c:v>0.14411673111017942</c:v>
                </c:pt>
                <c:pt idx="8">
                  <c:v>0.19498922239308444</c:v>
                </c:pt>
                <c:pt idx="9">
                  <c:v>0.25463824646130534</c:v>
                </c:pt>
                <c:pt idx="10">
                  <c:v>0.64453125000017875</c:v>
                </c:pt>
              </c:numCache>
            </c:numRef>
          </c:val>
          <c:extLst>
            <c:ext xmlns:c16="http://schemas.microsoft.com/office/drawing/2014/chart" uri="{C3380CC4-5D6E-409C-BE32-E72D297353CC}">
              <c16:uniqueId val="{0000002D-A888-4221-BB72-F3C57AF06750}"/>
            </c:ext>
          </c:extLst>
        </c:ser>
        <c:dLbls>
          <c:showLegendKey val="0"/>
          <c:showVal val="0"/>
          <c:showCatName val="0"/>
          <c:showSerName val="0"/>
          <c:showPercent val="0"/>
          <c:showBubbleSize val="0"/>
        </c:dLbls>
        <c:gapWidth val="150"/>
        <c:axId val="964165664"/>
        <c:axId val="964170760"/>
      </c:barChart>
      <c:catAx>
        <c:axId val="96416566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0760"/>
        <c:crosses val="autoZero"/>
        <c:auto val="1"/>
        <c:lblAlgn val="ctr"/>
        <c:lblOffset val="100"/>
        <c:noMultiLvlLbl val="0"/>
      </c:catAx>
      <c:valAx>
        <c:axId val="96417076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5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a:t>Evolution de la part des BG et PAT </a:t>
            </a:r>
          </a:p>
          <a:p>
            <a:pPr marL="0" marR="0" indent="0" algn="ctr" defTabSz="914400" rtl="0" eaLnBrk="1" fontAlgn="auto" latinLnBrk="0" hangingPunct="1">
              <a:lnSpc>
                <a:spcPct val="100000"/>
              </a:lnSpc>
              <a:spcBef>
                <a:spcPts val="0"/>
              </a:spcBef>
              <a:spcAft>
                <a:spcPts val="0"/>
              </a:spcAft>
              <a:buClrTx/>
              <a:buSzTx/>
              <a:buFontTx/>
              <a:buNone/>
              <a:tabLst/>
              <a:defRPr sz="1200" b="1">
                <a:solidFill>
                  <a:sysClr val="windowText" lastClr="000000">
                    <a:lumMod val="65000"/>
                    <a:lumOff val="35000"/>
                  </a:sysClr>
                </a:solidFill>
              </a:defRPr>
            </a:pPr>
            <a:r>
              <a:rPr lang="fr-FR"/>
              <a:t>dans le portefeuille </a:t>
            </a:r>
            <a:r>
              <a:rPr lang="fr-FR" sz="1200" b="1" i="0" u="none" strike="noStrike" kern="1200" spc="0" baseline="0">
                <a:solidFill>
                  <a:sysClr val="windowText" lastClr="000000">
                    <a:lumMod val="65000"/>
                    <a:lumOff val="35000"/>
                  </a:sysClr>
                </a:solidFill>
                <a:latin typeface="Arial Narrow" panose="020B0606020202030204" pitchFamily="34" charset="0"/>
                <a:ea typeface="+mn-ea"/>
                <a:cs typeface="+mn-cs"/>
              </a:rPr>
              <a:t>par DR</a:t>
            </a:r>
          </a:p>
        </c:rich>
      </c:tx>
      <c:layout>
        <c:manualLayout>
          <c:xMode val="edge"/>
          <c:yMode val="edge"/>
          <c:x val="0.26615619466915441"/>
          <c:y val="2.3849796078772877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021038537939908"/>
          <c:y val="0.20958926964148897"/>
          <c:w val="0.89920800524934386"/>
          <c:h val="0.69951928611632697"/>
        </c:manualLayout>
      </c:layout>
      <c:barChart>
        <c:barDir val="col"/>
        <c:grouping val="clustered"/>
        <c:varyColors val="0"/>
        <c:ser>
          <c:idx val="0"/>
          <c:order val="0"/>
          <c:tx>
            <c:v>déc-19</c:v>
          </c:tx>
          <c:spPr>
            <a:solidFill>
              <a:schemeClr val="accent1"/>
            </a:solidFill>
            <a:ln>
              <a:noFill/>
            </a:ln>
            <a:effectLst/>
          </c:spPr>
          <c:invertIfNegative val="0"/>
          <c:dPt>
            <c:idx val="0"/>
            <c:invertIfNegative val="0"/>
            <c:bubble3D val="0"/>
            <c:spPr>
              <a:solidFill>
                <a:srgbClr val="FFA7A7"/>
              </a:solidFill>
              <a:ln>
                <a:noFill/>
              </a:ln>
              <a:effectLst/>
            </c:spPr>
            <c:extLst>
              <c:ext xmlns:c16="http://schemas.microsoft.com/office/drawing/2014/chart" uri="{C3380CC4-5D6E-409C-BE32-E72D297353CC}">
                <c16:uniqueId val="{00000001-B4AA-4FD1-82AF-10F75BD683DE}"/>
              </c:ext>
            </c:extLst>
          </c:dPt>
          <c:dPt>
            <c:idx val="1"/>
            <c:invertIfNegative val="0"/>
            <c:bubble3D val="0"/>
            <c:spPr>
              <a:solidFill>
                <a:srgbClr val="FFA7A7"/>
              </a:solidFill>
              <a:ln>
                <a:noFill/>
              </a:ln>
              <a:effectLst/>
            </c:spPr>
            <c:extLst>
              <c:ext xmlns:c16="http://schemas.microsoft.com/office/drawing/2014/chart" uri="{C3380CC4-5D6E-409C-BE32-E72D297353CC}">
                <c16:uniqueId val="{00000003-B4AA-4FD1-82AF-10F75BD683DE}"/>
              </c:ext>
            </c:extLst>
          </c:dPt>
          <c:dPt>
            <c:idx val="2"/>
            <c:invertIfNegative val="0"/>
            <c:bubble3D val="0"/>
            <c:spPr>
              <a:solidFill>
                <a:sysClr val="window" lastClr="FFFFFF">
                  <a:lumMod val="65000"/>
                </a:sysClr>
              </a:solidFill>
              <a:ln>
                <a:noFill/>
              </a:ln>
              <a:effectLst/>
            </c:spPr>
            <c:extLst>
              <c:ext xmlns:c16="http://schemas.microsoft.com/office/drawing/2014/chart" uri="{C3380CC4-5D6E-409C-BE32-E72D297353CC}">
                <c16:uniqueId val="{00000008-6C35-4175-983A-80BB4E534AA1}"/>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détaillé'!$F$278,'Tableau détaillé'!$F$283,'Tableau détaillé'!$F$270)</c:f>
              <c:numCache>
                <c:formatCode>0.0%</c:formatCode>
                <c:ptCount val="3"/>
                <c:pt idx="0">
                  <c:v>0.14225766292715872</c:v>
                </c:pt>
                <c:pt idx="1">
                  <c:v>0.1847668867183152</c:v>
                </c:pt>
                <c:pt idx="2">
                  <c:v>0.15533452017239036</c:v>
                </c:pt>
              </c:numCache>
            </c:numRef>
          </c:val>
          <c:extLst>
            <c:ext xmlns:c16="http://schemas.microsoft.com/office/drawing/2014/chart" uri="{C3380CC4-5D6E-409C-BE32-E72D297353CC}">
              <c16:uniqueId val="{00000004-B4AA-4FD1-82AF-10F75BD683DE}"/>
            </c:ext>
          </c:extLst>
        </c:ser>
        <c:ser>
          <c:idx val="1"/>
          <c:order val="1"/>
          <c:tx>
            <c:v>Mars 2020</c:v>
          </c:tx>
          <c:spPr>
            <a:solidFill>
              <a:sysClr val="window" lastClr="FFFFFF">
                <a:lumMod val="85000"/>
              </a:sysClr>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0A51-43B0-A29C-4B861A34C49E}"/>
              </c:ext>
            </c:extLst>
          </c:dPt>
          <c:dPt>
            <c:idx val="1"/>
            <c:invertIfNegative val="0"/>
            <c:bubble3D val="0"/>
            <c:spPr>
              <a:solidFill>
                <a:srgbClr val="FF0000"/>
              </a:solidFill>
              <a:ln>
                <a:noFill/>
              </a:ln>
              <a:effectLst/>
            </c:spPr>
            <c:extLst>
              <c:ext xmlns:c16="http://schemas.microsoft.com/office/drawing/2014/chart" uri="{C3380CC4-5D6E-409C-BE32-E72D297353CC}">
                <c16:uniqueId val="{00000006-B4AA-4FD1-82AF-10F75BD683DE}"/>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9-6C35-4175-983A-80BB4E534AA1}"/>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détaillé'!$G$278,'Tableau détaillé'!$G$283,'Tableau détaillé'!$G$270)</c:f>
              <c:numCache>
                <c:formatCode>0.0%</c:formatCode>
                <c:ptCount val="3"/>
                <c:pt idx="0">
                  <c:v>0.15847542792815872</c:v>
                </c:pt>
                <c:pt idx="1">
                  <c:v>0.17479585367431522</c:v>
                </c:pt>
                <c:pt idx="2">
                  <c:v>0.16338333657039036</c:v>
                </c:pt>
              </c:numCache>
            </c:numRef>
          </c:val>
          <c:extLst>
            <c:ext xmlns:c16="http://schemas.microsoft.com/office/drawing/2014/chart" uri="{C3380CC4-5D6E-409C-BE32-E72D297353CC}">
              <c16:uniqueId val="{00000007-B4AA-4FD1-82AF-10F75BD683DE}"/>
            </c:ext>
          </c:extLst>
        </c:ser>
        <c:dLbls>
          <c:showLegendKey val="0"/>
          <c:showVal val="0"/>
          <c:showCatName val="0"/>
          <c:showSerName val="0"/>
          <c:showPercent val="0"/>
          <c:showBubbleSize val="0"/>
        </c:dLbls>
        <c:gapWidth val="150"/>
        <c:axId val="964166448"/>
        <c:axId val="964162528"/>
      </c:barChart>
      <c:catAx>
        <c:axId val="964166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2528"/>
        <c:crosses val="autoZero"/>
        <c:auto val="1"/>
        <c:lblAlgn val="ctr"/>
        <c:lblOffset val="100"/>
        <c:noMultiLvlLbl val="0"/>
      </c:catAx>
      <c:valAx>
        <c:axId val="96416252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 de la part des clients actifs </a:t>
            </a:r>
          </a:p>
          <a:p>
            <a:pPr>
              <a:defRPr sz="1200" b="1"/>
            </a:pPr>
            <a:r>
              <a:rPr lang="fr-FR"/>
              <a:t>dans le portefeuille</a:t>
            </a:r>
          </a:p>
        </c:rich>
      </c:tx>
      <c:layout>
        <c:manualLayout>
          <c:xMode val="edge"/>
          <c:yMode val="edge"/>
          <c:x val="0.17020885226183669"/>
          <c:y val="2.394202327236838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20251136549879523"/>
          <c:w val="0.89920800524934386"/>
          <c:h val="0.57224273158520167"/>
        </c:manualLayout>
      </c:layout>
      <c:barChart>
        <c:barDir val="col"/>
        <c:grouping val="clustered"/>
        <c:varyColors val="0"/>
        <c:ser>
          <c:idx val="0"/>
          <c:order val="0"/>
          <c:tx>
            <c:v>déc-19</c:v>
          </c:tx>
          <c:spPr>
            <a:solidFill>
              <a:srgbClr val="E7E6E6">
                <a:lumMod val="90000"/>
              </a:srgbClr>
            </a:solidFill>
            <a:ln>
              <a:noFill/>
            </a:ln>
            <a:effectLst/>
          </c:spPr>
          <c:invertIfNegative val="0"/>
          <c:dPt>
            <c:idx val="0"/>
            <c:invertIfNegative val="0"/>
            <c:bubble3D val="0"/>
            <c:spPr>
              <a:solidFill>
                <a:srgbClr val="E7E6E6">
                  <a:lumMod val="90000"/>
                </a:srgbClr>
              </a:solidFill>
              <a:ln>
                <a:noFill/>
              </a:ln>
              <a:effectLst/>
            </c:spPr>
            <c:extLst>
              <c:ext xmlns:c16="http://schemas.microsoft.com/office/drawing/2014/chart" uri="{C3380CC4-5D6E-409C-BE32-E72D297353CC}">
                <c16:uniqueId val="{00000001-8313-4C7B-85A4-BBAC8C967336}"/>
              </c:ext>
            </c:extLst>
          </c:dPt>
          <c:dPt>
            <c:idx val="1"/>
            <c:invertIfNegative val="0"/>
            <c:bubble3D val="0"/>
            <c:spPr>
              <a:solidFill>
                <a:srgbClr val="E7E6E6">
                  <a:lumMod val="90000"/>
                </a:srgbClr>
              </a:solidFill>
              <a:ln>
                <a:noFill/>
              </a:ln>
              <a:effectLst/>
            </c:spPr>
            <c:extLst>
              <c:ext xmlns:c16="http://schemas.microsoft.com/office/drawing/2014/chart" uri="{C3380CC4-5D6E-409C-BE32-E72D297353CC}">
                <c16:uniqueId val="{00000003-8313-4C7B-85A4-BBAC8C967336}"/>
              </c:ext>
            </c:extLst>
          </c:dPt>
          <c:dPt>
            <c:idx val="2"/>
            <c:invertIfNegative val="0"/>
            <c:bubble3D val="0"/>
            <c:spPr>
              <a:solidFill>
                <a:srgbClr val="E7E6E6">
                  <a:lumMod val="90000"/>
                </a:srgbClr>
              </a:solidFill>
              <a:ln>
                <a:noFill/>
              </a:ln>
              <a:effectLst/>
            </c:spPr>
            <c:extLst>
              <c:ext xmlns:c16="http://schemas.microsoft.com/office/drawing/2014/chart" uri="{C3380CC4-5D6E-409C-BE32-E72D297353CC}">
                <c16:uniqueId val="{00000005-8313-4C7B-85A4-BBAC8C967336}"/>
              </c:ext>
            </c:extLst>
          </c:dPt>
          <c:dPt>
            <c:idx val="3"/>
            <c:invertIfNegative val="0"/>
            <c:bubble3D val="0"/>
            <c:spPr>
              <a:solidFill>
                <a:srgbClr val="E7E6E6">
                  <a:lumMod val="90000"/>
                </a:srgbClr>
              </a:solidFill>
              <a:ln>
                <a:noFill/>
              </a:ln>
              <a:effectLst/>
            </c:spPr>
            <c:extLst>
              <c:ext xmlns:c16="http://schemas.microsoft.com/office/drawing/2014/chart" uri="{C3380CC4-5D6E-409C-BE32-E72D297353CC}">
                <c16:uniqueId val="{00000007-8313-4C7B-85A4-BBAC8C967336}"/>
              </c:ext>
            </c:extLst>
          </c:dPt>
          <c:dPt>
            <c:idx val="4"/>
            <c:invertIfNegative val="0"/>
            <c:bubble3D val="0"/>
            <c:spPr>
              <a:solidFill>
                <a:srgbClr val="E7E6E6">
                  <a:lumMod val="90000"/>
                </a:srgbClr>
              </a:solidFill>
              <a:ln>
                <a:noFill/>
              </a:ln>
              <a:effectLst/>
            </c:spPr>
            <c:extLst>
              <c:ext xmlns:c16="http://schemas.microsoft.com/office/drawing/2014/chart" uri="{C3380CC4-5D6E-409C-BE32-E72D297353CC}">
                <c16:uniqueId val="{00000009-8313-4C7B-85A4-BBAC8C967336}"/>
              </c:ext>
            </c:extLst>
          </c:dPt>
          <c:dPt>
            <c:idx val="5"/>
            <c:invertIfNegative val="0"/>
            <c:bubble3D val="0"/>
            <c:spPr>
              <a:solidFill>
                <a:srgbClr val="E7E6E6">
                  <a:lumMod val="90000"/>
                </a:srgbClr>
              </a:solidFill>
              <a:ln>
                <a:noFill/>
              </a:ln>
              <a:effectLst/>
            </c:spPr>
            <c:extLst>
              <c:ext xmlns:c16="http://schemas.microsoft.com/office/drawing/2014/chart" uri="{C3380CC4-5D6E-409C-BE32-E72D297353CC}">
                <c16:uniqueId val="{0000000B-8313-4C7B-85A4-BBAC8C967336}"/>
              </c:ext>
            </c:extLst>
          </c:dPt>
          <c:dPt>
            <c:idx val="6"/>
            <c:invertIfNegative val="0"/>
            <c:bubble3D val="0"/>
            <c:spPr>
              <a:solidFill>
                <a:srgbClr val="E7E6E6">
                  <a:lumMod val="90000"/>
                </a:srgbClr>
              </a:solidFill>
              <a:ln>
                <a:noFill/>
              </a:ln>
              <a:effectLst/>
            </c:spPr>
            <c:extLst>
              <c:ext xmlns:c16="http://schemas.microsoft.com/office/drawing/2014/chart" uri="{C3380CC4-5D6E-409C-BE32-E72D297353CC}">
                <c16:uniqueId val="{0000000D-8313-4C7B-85A4-BBAC8C967336}"/>
              </c:ext>
            </c:extLst>
          </c:dPt>
          <c:dPt>
            <c:idx val="7"/>
            <c:invertIfNegative val="0"/>
            <c:bubble3D val="0"/>
            <c:spPr>
              <a:solidFill>
                <a:srgbClr val="FFA7A7"/>
              </a:solidFill>
              <a:ln>
                <a:noFill/>
              </a:ln>
              <a:effectLst/>
            </c:spPr>
            <c:extLst>
              <c:ext xmlns:c16="http://schemas.microsoft.com/office/drawing/2014/chart" uri="{C3380CC4-5D6E-409C-BE32-E72D297353CC}">
                <c16:uniqueId val="{0000000F-8313-4C7B-85A4-BBAC8C967336}"/>
              </c:ext>
            </c:extLst>
          </c:dPt>
          <c:dPt>
            <c:idx val="8"/>
            <c:invertIfNegative val="0"/>
            <c:bubble3D val="0"/>
            <c:spPr>
              <a:solidFill>
                <a:srgbClr val="FFA7A7"/>
              </a:solidFill>
              <a:ln>
                <a:noFill/>
              </a:ln>
              <a:effectLst/>
            </c:spPr>
            <c:extLst>
              <c:ext xmlns:c16="http://schemas.microsoft.com/office/drawing/2014/chart" uri="{C3380CC4-5D6E-409C-BE32-E72D297353CC}">
                <c16:uniqueId val="{00000011-8313-4C7B-85A4-BBAC8C967336}"/>
              </c:ext>
            </c:extLst>
          </c:dPt>
          <c:dPt>
            <c:idx val="9"/>
            <c:invertIfNegative val="0"/>
            <c:bubble3D val="0"/>
            <c:spPr>
              <a:solidFill>
                <a:srgbClr val="FFA7A7"/>
              </a:solidFill>
              <a:ln>
                <a:noFill/>
              </a:ln>
              <a:effectLst/>
            </c:spPr>
            <c:extLst>
              <c:ext xmlns:c16="http://schemas.microsoft.com/office/drawing/2014/chart" uri="{C3380CC4-5D6E-409C-BE32-E72D297353CC}">
                <c16:uniqueId val="{00000013-8313-4C7B-85A4-BBAC8C967336}"/>
              </c:ext>
            </c:extLst>
          </c:dPt>
          <c:dPt>
            <c:idx val="10"/>
            <c:invertIfNegative val="0"/>
            <c:bubble3D val="0"/>
            <c:spPr>
              <a:solidFill>
                <a:srgbClr val="FFA7A7"/>
              </a:solidFill>
              <a:ln>
                <a:noFill/>
              </a:ln>
              <a:effectLst/>
            </c:spPr>
            <c:extLst>
              <c:ext xmlns:c16="http://schemas.microsoft.com/office/drawing/2014/chart" uri="{C3380CC4-5D6E-409C-BE32-E72D297353CC}">
                <c16:uniqueId val="{00000015-8313-4C7B-85A4-BBAC8C967336}"/>
              </c:ext>
            </c:extLst>
          </c:dPt>
          <c:dLbls>
            <c:dLbl>
              <c:idx val="2"/>
              <c:layout>
                <c:manualLayout>
                  <c:x val="1.1370857998424314E-3"/>
                  <c:y val="-5.45009235404768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13-4C7B-85A4-BBAC8C967336}"/>
                </c:ext>
              </c:extLst>
            </c:dLbl>
            <c:dLbl>
              <c:idx val="3"/>
              <c:layout>
                <c:manualLayout>
                  <c:x val="-1.3404470354711198E-2"/>
                  <c:y val="-1.81207207934306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13-4C7B-85A4-BBAC8C967336}"/>
                </c:ext>
              </c:extLst>
            </c:dLbl>
            <c:dLbl>
              <c:idx val="4"/>
              <c:layout>
                <c:manualLayout>
                  <c:x val="-1.7015587465908512E-2"/>
                  <c:y val="-2.31702717189391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13-4C7B-85A4-BBAC8C967336}"/>
                </c:ext>
              </c:extLst>
            </c:dLbl>
            <c:dLbl>
              <c:idx val="5"/>
              <c:layout>
                <c:manualLayout>
                  <c:x val="-1.9489754286594975E-2"/>
                  <c:y val="-2.780439426193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13-4C7B-85A4-BBAC8C967336}"/>
                </c:ext>
              </c:extLst>
            </c:dLbl>
            <c:dLbl>
              <c:idx val="6"/>
              <c:layout>
                <c:manualLayout>
                  <c:x val="-1.67055036742242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313-4C7B-85A4-BBAC8C967336}"/>
                </c:ext>
              </c:extLst>
            </c:dLbl>
            <c:dLbl>
              <c:idx val="10"/>
              <c:layout>
                <c:manualLayout>
                  <c:x val="-2.1653742481102571E-2"/>
                  <c:y val="5.425303524887439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313-4C7B-85A4-BBAC8C967336}"/>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détaillé'!$D$286:$D$292,'Tableau détaillé'!$D$294:$D$297)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détaillé'!$F$286:$F$292,'Tableau détaillé'!$F$294:$F$297)</c:f>
              <c:numCache>
                <c:formatCode>0.0%</c:formatCode>
                <c:ptCount val="11"/>
                <c:pt idx="0">
                  <c:v>0.61575319233400005</c:v>
                </c:pt>
                <c:pt idx="1">
                  <c:v>0.56308408363200002</c:v>
                </c:pt>
                <c:pt idx="2">
                  <c:v>0.522730200132</c:v>
                </c:pt>
                <c:pt idx="3">
                  <c:v>0.60824220242100002</c:v>
                </c:pt>
                <c:pt idx="4">
                  <c:v>0.68196375566300005</c:v>
                </c:pt>
                <c:pt idx="5">
                  <c:v>0.629868193475</c:v>
                </c:pt>
                <c:pt idx="6">
                  <c:v>0.78198373785599995</c:v>
                </c:pt>
                <c:pt idx="7">
                  <c:v>0.83553609187699995</c:v>
                </c:pt>
                <c:pt idx="8">
                  <c:v>0.718983507518</c:v>
                </c:pt>
                <c:pt idx="9">
                  <c:v>0.68711339254299997</c:v>
                </c:pt>
                <c:pt idx="10">
                  <c:v>0.78696602571200003</c:v>
                </c:pt>
              </c:numCache>
            </c:numRef>
          </c:val>
          <c:extLst>
            <c:ext xmlns:c16="http://schemas.microsoft.com/office/drawing/2014/chart" uri="{C3380CC4-5D6E-409C-BE32-E72D297353CC}">
              <c16:uniqueId val="{00000016-8313-4C7B-85A4-BBAC8C967336}"/>
            </c:ext>
          </c:extLst>
        </c:ser>
        <c:ser>
          <c:idx val="1"/>
          <c:order val="1"/>
          <c:tx>
            <c:v>Mars 2020</c:v>
          </c:tx>
          <c:spPr>
            <a:solidFill>
              <a:sysClr val="windowText" lastClr="000000"/>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18-8313-4C7B-85A4-BBAC8C967336}"/>
              </c:ext>
            </c:extLst>
          </c:dPt>
          <c:dPt>
            <c:idx val="1"/>
            <c:invertIfNegative val="0"/>
            <c:bubble3D val="0"/>
            <c:spPr>
              <a:solidFill>
                <a:sysClr val="windowText" lastClr="000000"/>
              </a:solidFill>
              <a:ln>
                <a:noFill/>
              </a:ln>
              <a:effectLst/>
            </c:spPr>
            <c:extLst>
              <c:ext xmlns:c16="http://schemas.microsoft.com/office/drawing/2014/chart" uri="{C3380CC4-5D6E-409C-BE32-E72D297353CC}">
                <c16:uniqueId val="{0000001A-8313-4C7B-85A4-BBAC8C967336}"/>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1C-8313-4C7B-85A4-BBAC8C967336}"/>
              </c:ext>
            </c:extLst>
          </c:dPt>
          <c:dPt>
            <c:idx val="3"/>
            <c:invertIfNegative val="0"/>
            <c:bubble3D val="0"/>
            <c:spPr>
              <a:solidFill>
                <a:sysClr val="windowText" lastClr="000000"/>
              </a:solidFill>
              <a:ln>
                <a:noFill/>
              </a:ln>
              <a:effectLst/>
            </c:spPr>
            <c:extLst>
              <c:ext xmlns:c16="http://schemas.microsoft.com/office/drawing/2014/chart" uri="{C3380CC4-5D6E-409C-BE32-E72D297353CC}">
                <c16:uniqueId val="{0000001E-8313-4C7B-85A4-BBAC8C967336}"/>
              </c:ext>
            </c:extLst>
          </c:dPt>
          <c:dPt>
            <c:idx val="4"/>
            <c:invertIfNegative val="0"/>
            <c:bubble3D val="0"/>
            <c:spPr>
              <a:solidFill>
                <a:sysClr val="windowText" lastClr="000000"/>
              </a:solidFill>
              <a:ln>
                <a:noFill/>
              </a:ln>
              <a:effectLst/>
            </c:spPr>
            <c:extLst>
              <c:ext xmlns:c16="http://schemas.microsoft.com/office/drawing/2014/chart" uri="{C3380CC4-5D6E-409C-BE32-E72D297353CC}">
                <c16:uniqueId val="{00000020-8313-4C7B-85A4-BBAC8C967336}"/>
              </c:ext>
            </c:extLst>
          </c:dPt>
          <c:dPt>
            <c:idx val="5"/>
            <c:invertIfNegative val="0"/>
            <c:bubble3D val="0"/>
            <c:spPr>
              <a:solidFill>
                <a:sysClr val="windowText" lastClr="000000"/>
              </a:solidFill>
              <a:ln>
                <a:noFill/>
              </a:ln>
              <a:effectLst/>
            </c:spPr>
            <c:extLst>
              <c:ext xmlns:c16="http://schemas.microsoft.com/office/drawing/2014/chart" uri="{C3380CC4-5D6E-409C-BE32-E72D297353CC}">
                <c16:uniqueId val="{00000022-8313-4C7B-85A4-BBAC8C967336}"/>
              </c:ext>
            </c:extLst>
          </c:dPt>
          <c:dPt>
            <c:idx val="6"/>
            <c:invertIfNegative val="0"/>
            <c:bubble3D val="0"/>
            <c:spPr>
              <a:solidFill>
                <a:sysClr val="windowText" lastClr="000000"/>
              </a:solidFill>
              <a:ln>
                <a:noFill/>
              </a:ln>
              <a:effectLst/>
            </c:spPr>
            <c:extLst>
              <c:ext xmlns:c16="http://schemas.microsoft.com/office/drawing/2014/chart" uri="{C3380CC4-5D6E-409C-BE32-E72D297353CC}">
                <c16:uniqueId val="{00000024-8313-4C7B-85A4-BBAC8C967336}"/>
              </c:ext>
            </c:extLst>
          </c:dPt>
          <c:dPt>
            <c:idx val="7"/>
            <c:invertIfNegative val="0"/>
            <c:bubble3D val="0"/>
            <c:spPr>
              <a:solidFill>
                <a:srgbClr val="FF0000"/>
              </a:solidFill>
              <a:ln>
                <a:noFill/>
              </a:ln>
              <a:effectLst/>
            </c:spPr>
            <c:extLst>
              <c:ext xmlns:c16="http://schemas.microsoft.com/office/drawing/2014/chart" uri="{C3380CC4-5D6E-409C-BE32-E72D297353CC}">
                <c16:uniqueId val="{00000026-8313-4C7B-85A4-BBAC8C967336}"/>
              </c:ext>
            </c:extLst>
          </c:dPt>
          <c:dPt>
            <c:idx val="8"/>
            <c:invertIfNegative val="0"/>
            <c:bubble3D val="0"/>
            <c:spPr>
              <a:solidFill>
                <a:srgbClr val="FF0000"/>
              </a:solidFill>
              <a:ln>
                <a:noFill/>
              </a:ln>
              <a:effectLst/>
            </c:spPr>
            <c:extLst>
              <c:ext xmlns:c16="http://schemas.microsoft.com/office/drawing/2014/chart" uri="{C3380CC4-5D6E-409C-BE32-E72D297353CC}">
                <c16:uniqueId val="{00000028-8313-4C7B-85A4-BBAC8C967336}"/>
              </c:ext>
            </c:extLst>
          </c:dPt>
          <c:dPt>
            <c:idx val="9"/>
            <c:invertIfNegative val="0"/>
            <c:bubble3D val="0"/>
            <c:spPr>
              <a:solidFill>
                <a:srgbClr val="FF0000"/>
              </a:solidFill>
              <a:ln>
                <a:noFill/>
              </a:ln>
              <a:effectLst/>
            </c:spPr>
            <c:extLst>
              <c:ext xmlns:c16="http://schemas.microsoft.com/office/drawing/2014/chart" uri="{C3380CC4-5D6E-409C-BE32-E72D297353CC}">
                <c16:uniqueId val="{0000002A-8313-4C7B-85A4-BBAC8C967336}"/>
              </c:ext>
            </c:extLst>
          </c:dPt>
          <c:dPt>
            <c:idx val="10"/>
            <c:invertIfNegative val="0"/>
            <c:bubble3D val="0"/>
            <c:spPr>
              <a:solidFill>
                <a:srgbClr val="FF0000"/>
              </a:solidFill>
              <a:ln>
                <a:noFill/>
              </a:ln>
              <a:effectLst/>
            </c:spPr>
            <c:extLst>
              <c:ext xmlns:c16="http://schemas.microsoft.com/office/drawing/2014/chart" uri="{C3380CC4-5D6E-409C-BE32-E72D297353CC}">
                <c16:uniqueId val="{0000002C-8313-4C7B-85A4-BBAC8C967336}"/>
              </c:ext>
            </c:extLst>
          </c:dPt>
          <c:dLbls>
            <c:dLbl>
              <c:idx val="0"/>
              <c:layout>
                <c:manualLayout>
                  <c:x val="3.3721039952615717E-2"/>
                  <c:y val="-2.70130768816273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8313-4C7B-85A4-BBAC8C967336}"/>
                </c:ext>
              </c:extLst>
            </c:dLbl>
            <c:dLbl>
              <c:idx val="1"/>
              <c:layout>
                <c:manualLayout>
                  <c:x val="1.670550367422423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313-4C7B-85A4-BBAC8C967336}"/>
                </c:ext>
              </c:extLst>
            </c:dLbl>
            <c:dLbl>
              <c:idx val="4"/>
              <c:layout>
                <c:manualLayout>
                  <c:x val="0"/>
                  <c:y val="-5.85283332435260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8313-4C7B-85A4-BBAC8C967336}"/>
                </c:ext>
              </c:extLst>
            </c:dLbl>
            <c:dLbl>
              <c:idx val="6"/>
              <c:layout>
                <c:manualLayout>
                  <c:x val="5.7752408150365444E-3"/>
                  <c:y val="-4.496942610160045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8313-4C7B-85A4-BBAC8C967336}"/>
                </c:ext>
              </c:extLst>
            </c:dLbl>
            <c:dLbl>
              <c:idx val="7"/>
              <c:layout>
                <c:manualLayout>
                  <c:x val="3.3824494069578007E-2"/>
                  <c:y val="-9.00435896054247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8313-4C7B-85A4-BBAC8C967336}"/>
                </c:ext>
              </c:extLst>
            </c:dLbl>
            <c:dLbl>
              <c:idx val="8"/>
              <c:layout>
                <c:manualLayout>
                  <c:x val="2.5471767826224262E-2"/>
                  <c:y val="-2.674932715459420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8313-4C7B-85A4-BBAC8C967336}"/>
                </c:ext>
              </c:extLst>
            </c:dLbl>
            <c:dLbl>
              <c:idx val="9"/>
              <c:layout>
                <c:manualLayout>
                  <c:x val="2.2170558322542441E-2"/>
                  <c:y val="1.35065384408136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8313-4C7B-85A4-BBAC8C967336}"/>
                </c:ext>
              </c:extLst>
            </c:dLbl>
            <c:dLbl>
              <c:idx val="10"/>
              <c:layout>
                <c:manualLayout>
                  <c:x val="2.7842506123705061E-3"/>
                  <c:y val="-3.7072525682575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8313-4C7B-85A4-BBAC8C967336}"/>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détaillé'!$D$286:$D$292,'Tableau détaillé'!$D$294:$D$297)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détaillé'!$G$286:$G$292,'Tableau détaillé'!$G$294:$G$297)</c:f>
              <c:numCache>
                <c:formatCode>0.0%</c:formatCode>
                <c:ptCount val="11"/>
                <c:pt idx="0">
                  <c:v>0.63556461157699995</c:v>
                </c:pt>
                <c:pt idx="1">
                  <c:v>0.59900166389300002</c:v>
                </c:pt>
                <c:pt idx="2">
                  <c:v>0.50734568924000001</c:v>
                </c:pt>
                <c:pt idx="3">
                  <c:v>0.580616330929</c:v>
                </c:pt>
                <c:pt idx="4">
                  <c:v>0.68628975969600003</c:v>
                </c:pt>
                <c:pt idx="5">
                  <c:v>0.64725483973300002</c:v>
                </c:pt>
                <c:pt idx="6">
                  <c:v>0.76742542477599995</c:v>
                </c:pt>
                <c:pt idx="7">
                  <c:v>0.81058642191499997</c:v>
                </c:pt>
                <c:pt idx="8">
                  <c:v>0.73472217525100003</c:v>
                </c:pt>
                <c:pt idx="9">
                  <c:v>0.66002978617700003</c:v>
                </c:pt>
                <c:pt idx="10">
                  <c:v>0.70879946568709296</c:v>
                </c:pt>
              </c:numCache>
            </c:numRef>
          </c:val>
          <c:extLst>
            <c:ext xmlns:c16="http://schemas.microsoft.com/office/drawing/2014/chart" uri="{C3380CC4-5D6E-409C-BE32-E72D297353CC}">
              <c16:uniqueId val="{0000002D-8313-4C7B-85A4-BBAC8C967336}"/>
            </c:ext>
          </c:extLst>
        </c:ser>
        <c:dLbls>
          <c:showLegendKey val="0"/>
          <c:showVal val="0"/>
          <c:showCatName val="0"/>
          <c:showSerName val="0"/>
          <c:showPercent val="0"/>
          <c:showBubbleSize val="0"/>
        </c:dLbls>
        <c:gapWidth val="150"/>
        <c:axId val="964163704"/>
        <c:axId val="964164880"/>
      </c:barChart>
      <c:catAx>
        <c:axId val="96416370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4880"/>
        <c:crosses val="autoZero"/>
        <c:auto val="1"/>
        <c:lblAlgn val="ctr"/>
        <c:lblOffset val="100"/>
        <c:noMultiLvlLbl val="0"/>
      </c:catAx>
      <c:valAx>
        <c:axId val="96416488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3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en-US"/>
              <a:t>Evolution YTD de la part des clients actifs </a:t>
            </a:r>
          </a:p>
          <a:p>
            <a:pPr marL="0" marR="0" indent="0" algn="ctr" defTabSz="914400" rtl="0" eaLnBrk="1" fontAlgn="auto" latinLnBrk="0" hangingPunct="1">
              <a:lnSpc>
                <a:spcPct val="100000"/>
              </a:lnSpc>
              <a:spcBef>
                <a:spcPts val="0"/>
              </a:spcBef>
              <a:spcAft>
                <a:spcPts val="0"/>
              </a:spcAft>
              <a:buClrTx/>
              <a:buSzTx/>
              <a:buFontTx/>
              <a:buNone/>
              <a:tabLst/>
              <a:defRPr sz="1200" b="1">
                <a:solidFill>
                  <a:sysClr val="windowText" lastClr="000000">
                    <a:lumMod val="65000"/>
                    <a:lumOff val="35000"/>
                  </a:sysClr>
                </a:solidFill>
              </a:defRPr>
            </a:pPr>
            <a:r>
              <a:rPr lang="en-US"/>
              <a:t>dans le portefeuille par DR</a:t>
            </a:r>
          </a:p>
        </c:rich>
      </c:tx>
      <c:layout>
        <c:manualLayout>
          <c:xMode val="edge"/>
          <c:yMode val="edge"/>
          <c:x val="0.2344183003269214"/>
          <c:y val="3.8028882013119422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021038537939908"/>
          <c:y val="0.28938499744943941"/>
          <c:w val="0.89920800524934386"/>
          <c:h val="0.62041236616854711"/>
        </c:manualLayout>
      </c:layout>
      <c:barChart>
        <c:barDir val="col"/>
        <c:grouping val="clustered"/>
        <c:varyColors val="0"/>
        <c:ser>
          <c:idx val="0"/>
          <c:order val="0"/>
          <c:tx>
            <c:v>déc-19</c:v>
          </c:tx>
          <c:spPr>
            <a:solidFill>
              <a:srgbClr val="FFA7A7"/>
            </a:solidFill>
            <a:ln>
              <a:noFill/>
            </a:ln>
            <a:effectLst/>
          </c:spPr>
          <c:invertIfNegative val="0"/>
          <c:dPt>
            <c:idx val="0"/>
            <c:invertIfNegative val="0"/>
            <c:bubble3D val="0"/>
            <c:spPr>
              <a:solidFill>
                <a:srgbClr val="FFA7A7"/>
              </a:solidFill>
              <a:ln>
                <a:noFill/>
              </a:ln>
              <a:effectLst/>
            </c:spPr>
            <c:extLst>
              <c:ext xmlns:c16="http://schemas.microsoft.com/office/drawing/2014/chart" uri="{C3380CC4-5D6E-409C-BE32-E72D297353CC}">
                <c16:uniqueId val="{00000001-0D4B-4A50-BD20-5F486D57ABC9}"/>
              </c:ext>
            </c:extLst>
          </c:dPt>
          <c:dPt>
            <c:idx val="1"/>
            <c:invertIfNegative val="0"/>
            <c:bubble3D val="0"/>
            <c:spPr>
              <a:solidFill>
                <a:srgbClr val="FFA7A7"/>
              </a:solidFill>
              <a:ln>
                <a:noFill/>
              </a:ln>
              <a:effectLst/>
            </c:spPr>
            <c:extLst>
              <c:ext xmlns:c16="http://schemas.microsoft.com/office/drawing/2014/chart" uri="{C3380CC4-5D6E-409C-BE32-E72D297353CC}">
                <c16:uniqueId val="{00000003-0D4B-4A50-BD20-5F486D57ABC9}"/>
              </c:ext>
            </c:extLst>
          </c:dPt>
          <c:dPt>
            <c:idx val="2"/>
            <c:invertIfNegative val="0"/>
            <c:bubble3D val="0"/>
            <c:spPr>
              <a:solidFill>
                <a:sysClr val="window" lastClr="FFFFFF">
                  <a:lumMod val="65000"/>
                </a:sysClr>
              </a:solidFill>
              <a:ln>
                <a:noFill/>
              </a:ln>
              <a:effectLst/>
            </c:spPr>
            <c:extLst>
              <c:ext xmlns:c16="http://schemas.microsoft.com/office/drawing/2014/chart" uri="{C3380CC4-5D6E-409C-BE32-E72D297353CC}">
                <c16:uniqueId val="{00000008-53CB-4201-94F3-998C79131F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détaillé'!$D$293,'Tableau détaillé'!$D$298,'Tableau détaillé'!$D$285)</c:f>
              <c:strCache>
                <c:ptCount val="3"/>
                <c:pt idx="0">
                  <c:v>Total AFO</c:v>
                </c:pt>
                <c:pt idx="1">
                  <c:v>Total AFCE</c:v>
                </c:pt>
                <c:pt idx="2">
                  <c:v>Total AFS</c:v>
                </c:pt>
              </c:strCache>
            </c:strRef>
          </c:cat>
          <c:val>
            <c:numRef>
              <c:f>('Tableau détaillé'!$F$293,'Tableau détaillé'!$F$298,'Tableau détaillé'!$F$285)</c:f>
              <c:numCache>
                <c:formatCode>0.0%</c:formatCode>
                <c:ptCount val="3"/>
                <c:pt idx="0">
                  <c:v>0.59795868972958965</c:v>
                </c:pt>
                <c:pt idx="1">
                  <c:v>0.77482970444010446</c:v>
                </c:pt>
                <c:pt idx="2">
                  <c:v>0.65292450974185401</c:v>
                </c:pt>
              </c:numCache>
            </c:numRef>
          </c:val>
          <c:extLst>
            <c:ext xmlns:c16="http://schemas.microsoft.com/office/drawing/2014/chart" uri="{C3380CC4-5D6E-409C-BE32-E72D297353CC}">
              <c16:uniqueId val="{00000004-0D4B-4A50-BD20-5F486D57ABC9}"/>
            </c:ext>
          </c:extLst>
        </c:ser>
        <c:ser>
          <c:idx val="1"/>
          <c:order val="1"/>
          <c:tx>
            <c:v>Mars 2020</c:v>
          </c:tx>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7-3864-4D28-9F4F-BBAAF353ED31}"/>
              </c:ext>
            </c:extLst>
          </c:dPt>
          <c:dPt>
            <c:idx val="1"/>
            <c:invertIfNegative val="0"/>
            <c:bubble3D val="0"/>
            <c:spPr>
              <a:solidFill>
                <a:srgbClr val="FF0000"/>
              </a:solidFill>
              <a:ln>
                <a:noFill/>
              </a:ln>
              <a:effectLst/>
            </c:spPr>
            <c:extLst>
              <c:ext xmlns:c16="http://schemas.microsoft.com/office/drawing/2014/chart" uri="{C3380CC4-5D6E-409C-BE32-E72D297353CC}">
                <c16:uniqueId val="{00000006-0D4B-4A50-BD20-5F486D57ABC9}"/>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9-53CB-4201-94F3-998C79131F6D}"/>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détaillé'!$D$293,'Tableau détaillé'!$D$298,'Tableau détaillé'!$D$285)</c:f>
              <c:strCache>
                <c:ptCount val="3"/>
                <c:pt idx="0">
                  <c:v>Total AFO</c:v>
                </c:pt>
                <c:pt idx="1">
                  <c:v>Total AFCE</c:v>
                </c:pt>
                <c:pt idx="2">
                  <c:v>Total AFS</c:v>
                </c:pt>
              </c:strCache>
            </c:strRef>
          </c:cat>
          <c:val>
            <c:numRef>
              <c:f>('Tableau détaillé'!$G$293,'Tableau détaillé'!$G$298,'Tableau détaillé'!$G$285)</c:f>
              <c:numCache>
                <c:formatCode>0.0%</c:formatCode>
                <c:ptCount val="3"/>
                <c:pt idx="0" formatCode="0.00%">
                  <c:v>0.60809004825015478</c:v>
                </c:pt>
                <c:pt idx="1">
                  <c:v>0.76429137783463974</c:v>
                </c:pt>
                <c:pt idx="2">
                  <c:v>0.65777104835752453</c:v>
                </c:pt>
              </c:numCache>
            </c:numRef>
          </c:val>
          <c:extLst>
            <c:ext xmlns:c16="http://schemas.microsoft.com/office/drawing/2014/chart" uri="{C3380CC4-5D6E-409C-BE32-E72D297353CC}">
              <c16:uniqueId val="{00000007-0D4B-4A50-BD20-5F486D57ABC9}"/>
            </c:ext>
          </c:extLst>
        </c:ser>
        <c:dLbls>
          <c:showLegendKey val="0"/>
          <c:showVal val="0"/>
          <c:showCatName val="0"/>
          <c:showSerName val="0"/>
          <c:showPercent val="0"/>
          <c:showBubbleSize val="0"/>
        </c:dLbls>
        <c:gapWidth val="150"/>
        <c:axId val="964171936"/>
        <c:axId val="964162920"/>
      </c:barChart>
      <c:catAx>
        <c:axId val="964171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2920"/>
        <c:crosses val="autoZero"/>
        <c:auto val="1"/>
        <c:lblAlgn val="ctr"/>
        <c:lblOffset val="100"/>
        <c:noMultiLvlLbl val="0"/>
      </c:catAx>
      <c:valAx>
        <c:axId val="96416292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1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YTY de la part des clients actifs </a:t>
            </a:r>
          </a:p>
          <a:p>
            <a:pPr>
              <a:defRPr sz="1200" b="1"/>
            </a:pPr>
            <a:r>
              <a:rPr lang="fr-FR"/>
              <a:t>dans le portefeuille</a:t>
            </a:r>
          </a:p>
        </c:rich>
      </c:tx>
      <c:layout>
        <c:manualLayout>
          <c:xMode val="edge"/>
          <c:yMode val="edge"/>
          <c:x val="0.18753457470694629"/>
          <c:y val="2.394202327236838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8456835109690323"/>
          <c:w val="0.89920800524934386"/>
          <c:h val="0.59018570881444599"/>
        </c:manualLayout>
      </c:layout>
      <c:barChart>
        <c:barDir val="col"/>
        <c:grouping val="clustered"/>
        <c:varyColors val="0"/>
        <c:ser>
          <c:idx val="0"/>
          <c:order val="0"/>
          <c:tx>
            <c:v>aout-19</c:v>
          </c:tx>
          <c:spPr>
            <a:solidFill>
              <a:srgbClr val="E7E6E6">
                <a:lumMod val="90000"/>
              </a:srgb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23D9-4A33-8C4F-09FD35B33686}"/>
              </c:ext>
            </c:extLst>
          </c:dPt>
          <c:dPt>
            <c:idx val="8"/>
            <c:invertIfNegative val="0"/>
            <c:bubble3D val="0"/>
            <c:spPr>
              <a:solidFill>
                <a:srgbClr val="FFA7A7"/>
              </a:solidFill>
              <a:ln>
                <a:noFill/>
              </a:ln>
              <a:effectLst/>
            </c:spPr>
            <c:extLst>
              <c:ext xmlns:c16="http://schemas.microsoft.com/office/drawing/2014/chart" uri="{C3380CC4-5D6E-409C-BE32-E72D297353CC}">
                <c16:uniqueId val="{00000003-23D9-4A33-8C4F-09FD35B33686}"/>
              </c:ext>
            </c:extLst>
          </c:dPt>
          <c:dPt>
            <c:idx val="9"/>
            <c:invertIfNegative val="0"/>
            <c:bubble3D val="0"/>
            <c:spPr>
              <a:solidFill>
                <a:srgbClr val="FFA7A7"/>
              </a:solidFill>
              <a:ln>
                <a:noFill/>
              </a:ln>
              <a:effectLst/>
            </c:spPr>
            <c:extLst>
              <c:ext xmlns:c16="http://schemas.microsoft.com/office/drawing/2014/chart" uri="{C3380CC4-5D6E-409C-BE32-E72D297353CC}">
                <c16:uniqueId val="{00000005-23D9-4A33-8C4F-09FD35B33686}"/>
              </c:ext>
            </c:extLst>
          </c:dPt>
          <c:dPt>
            <c:idx val="10"/>
            <c:invertIfNegative val="0"/>
            <c:bubble3D val="0"/>
            <c:spPr>
              <a:solidFill>
                <a:srgbClr val="FFA7A7"/>
              </a:solidFill>
              <a:ln>
                <a:noFill/>
              </a:ln>
              <a:effectLst/>
            </c:spPr>
            <c:extLst>
              <c:ext xmlns:c16="http://schemas.microsoft.com/office/drawing/2014/chart" uri="{C3380CC4-5D6E-409C-BE32-E72D297353CC}">
                <c16:uniqueId val="{00000007-23D9-4A33-8C4F-09FD35B33686}"/>
              </c:ext>
            </c:extLst>
          </c:dPt>
          <c:dLbls>
            <c:dLbl>
              <c:idx val="2"/>
              <c:layout>
                <c:manualLayout>
                  <c:x val="5.1681584144002834E-4"/>
                  <c:y val="-8.66524634974647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3D9-4A33-8C4F-09FD35B33686}"/>
                </c:ext>
              </c:extLst>
            </c:dLbl>
            <c:dLbl>
              <c:idx val="3"/>
              <c:layout>
                <c:manualLayout>
                  <c:x val="-2.2790828280945055E-2"/>
                  <c:y val="-9.0779261385515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3D9-4A33-8C4F-09FD35B33686}"/>
                </c:ext>
              </c:extLst>
            </c:dLbl>
            <c:dLbl>
              <c:idx val="5"/>
              <c:layout>
                <c:manualLayout>
                  <c:x val="2.8876204075182722E-3"/>
                  <c:y val="4.50217948027119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3D9-4A33-8C4F-09FD35B33686}"/>
                </c:ext>
              </c:extLst>
            </c:dLbl>
            <c:dLbl>
              <c:idx val="6"/>
              <c:layout>
                <c:manualLayout>
                  <c:x val="-1.67055036742242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3D9-4A33-8C4F-09FD35B33686}"/>
                </c:ext>
              </c:extLst>
            </c:dLbl>
            <c:dLbl>
              <c:idx val="10"/>
              <c:layout>
                <c:manualLayout>
                  <c:x val="-2.5058178730060925E-2"/>
                  <c:y val="-1.2411126268054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3D9-4A33-8C4F-09FD35B3368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détaillé'!$D$286:$D$292,'Tableau détaillé'!$D$294:$D$297)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détaillé'!$E$286:$E$292,'Tableau détaillé'!$E$294:$E$297)</c:f>
              <c:numCache>
                <c:formatCode>0%</c:formatCode>
                <c:ptCount val="11"/>
                <c:pt idx="0">
                  <c:v>0.61575319233400005</c:v>
                </c:pt>
                <c:pt idx="1">
                  <c:v>0.56308408363200002</c:v>
                </c:pt>
                <c:pt idx="2">
                  <c:v>0.522730200132</c:v>
                </c:pt>
                <c:pt idx="3">
                  <c:v>0.60824220242100002</c:v>
                </c:pt>
                <c:pt idx="4">
                  <c:v>0.68196375566300005</c:v>
                </c:pt>
                <c:pt idx="5">
                  <c:v>0.629868193475</c:v>
                </c:pt>
                <c:pt idx="6">
                  <c:v>0.78198373785599995</c:v>
                </c:pt>
                <c:pt idx="7">
                  <c:v>0.83553609187699995</c:v>
                </c:pt>
                <c:pt idx="8">
                  <c:v>0.718983507518</c:v>
                </c:pt>
                <c:pt idx="9">
                  <c:v>0.68711339254299997</c:v>
                </c:pt>
                <c:pt idx="10">
                  <c:v>0.78696602571200003</c:v>
                </c:pt>
              </c:numCache>
            </c:numRef>
          </c:val>
          <c:extLst>
            <c:ext xmlns:c16="http://schemas.microsoft.com/office/drawing/2014/chart" uri="{C3380CC4-5D6E-409C-BE32-E72D297353CC}">
              <c16:uniqueId val="{0000000C-23D9-4A33-8C4F-09FD35B33686}"/>
            </c:ext>
          </c:extLst>
        </c:ser>
        <c:ser>
          <c:idx val="1"/>
          <c:order val="1"/>
          <c:tx>
            <c:v>aout 2020</c:v>
          </c:tx>
          <c:spPr>
            <a:solidFill>
              <a:sysClr val="windowText" lastClr="000000"/>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0E-23D9-4A33-8C4F-09FD35B33686}"/>
              </c:ext>
            </c:extLst>
          </c:dPt>
          <c:dPt>
            <c:idx val="1"/>
            <c:invertIfNegative val="0"/>
            <c:bubble3D val="0"/>
            <c:spPr>
              <a:solidFill>
                <a:sysClr val="windowText" lastClr="000000"/>
              </a:solidFill>
              <a:ln>
                <a:noFill/>
              </a:ln>
              <a:effectLst/>
            </c:spPr>
            <c:extLst>
              <c:ext xmlns:c16="http://schemas.microsoft.com/office/drawing/2014/chart" uri="{C3380CC4-5D6E-409C-BE32-E72D297353CC}">
                <c16:uniqueId val="{00000010-23D9-4A33-8C4F-09FD35B33686}"/>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12-23D9-4A33-8C4F-09FD35B33686}"/>
              </c:ext>
            </c:extLst>
          </c:dPt>
          <c:dPt>
            <c:idx val="3"/>
            <c:invertIfNegative val="0"/>
            <c:bubble3D val="0"/>
            <c:spPr>
              <a:solidFill>
                <a:sysClr val="windowText" lastClr="000000"/>
              </a:solidFill>
              <a:ln>
                <a:noFill/>
              </a:ln>
              <a:effectLst/>
            </c:spPr>
            <c:extLst>
              <c:ext xmlns:c16="http://schemas.microsoft.com/office/drawing/2014/chart" uri="{C3380CC4-5D6E-409C-BE32-E72D297353CC}">
                <c16:uniqueId val="{00000014-23D9-4A33-8C4F-09FD35B33686}"/>
              </c:ext>
            </c:extLst>
          </c:dPt>
          <c:dPt>
            <c:idx val="4"/>
            <c:invertIfNegative val="0"/>
            <c:bubble3D val="0"/>
            <c:spPr>
              <a:solidFill>
                <a:sysClr val="windowText" lastClr="000000"/>
              </a:solidFill>
              <a:ln>
                <a:noFill/>
              </a:ln>
              <a:effectLst/>
            </c:spPr>
            <c:extLst>
              <c:ext xmlns:c16="http://schemas.microsoft.com/office/drawing/2014/chart" uri="{C3380CC4-5D6E-409C-BE32-E72D297353CC}">
                <c16:uniqueId val="{00000016-23D9-4A33-8C4F-09FD35B33686}"/>
              </c:ext>
            </c:extLst>
          </c:dPt>
          <c:dPt>
            <c:idx val="5"/>
            <c:invertIfNegative val="0"/>
            <c:bubble3D val="0"/>
            <c:spPr>
              <a:solidFill>
                <a:sysClr val="windowText" lastClr="000000"/>
              </a:solidFill>
              <a:ln>
                <a:noFill/>
              </a:ln>
              <a:effectLst/>
            </c:spPr>
            <c:extLst>
              <c:ext xmlns:c16="http://schemas.microsoft.com/office/drawing/2014/chart" uri="{C3380CC4-5D6E-409C-BE32-E72D297353CC}">
                <c16:uniqueId val="{00000018-23D9-4A33-8C4F-09FD35B33686}"/>
              </c:ext>
            </c:extLst>
          </c:dPt>
          <c:dPt>
            <c:idx val="6"/>
            <c:invertIfNegative val="0"/>
            <c:bubble3D val="0"/>
            <c:spPr>
              <a:solidFill>
                <a:sysClr val="windowText" lastClr="000000"/>
              </a:solidFill>
              <a:ln>
                <a:noFill/>
              </a:ln>
              <a:effectLst/>
            </c:spPr>
            <c:extLst>
              <c:ext xmlns:c16="http://schemas.microsoft.com/office/drawing/2014/chart" uri="{C3380CC4-5D6E-409C-BE32-E72D297353CC}">
                <c16:uniqueId val="{0000001A-23D9-4A33-8C4F-09FD35B33686}"/>
              </c:ext>
            </c:extLst>
          </c:dPt>
          <c:dPt>
            <c:idx val="7"/>
            <c:invertIfNegative val="0"/>
            <c:bubble3D val="0"/>
            <c:spPr>
              <a:solidFill>
                <a:srgbClr val="FF0000"/>
              </a:solidFill>
              <a:ln>
                <a:noFill/>
              </a:ln>
              <a:effectLst/>
            </c:spPr>
            <c:extLst>
              <c:ext xmlns:c16="http://schemas.microsoft.com/office/drawing/2014/chart" uri="{C3380CC4-5D6E-409C-BE32-E72D297353CC}">
                <c16:uniqueId val="{0000001C-23D9-4A33-8C4F-09FD35B33686}"/>
              </c:ext>
            </c:extLst>
          </c:dPt>
          <c:dPt>
            <c:idx val="8"/>
            <c:invertIfNegative val="0"/>
            <c:bubble3D val="0"/>
            <c:spPr>
              <a:solidFill>
                <a:srgbClr val="FF0000"/>
              </a:solidFill>
              <a:ln>
                <a:noFill/>
              </a:ln>
              <a:effectLst/>
            </c:spPr>
            <c:extLst>
              <c:ext xmlns:c16="http://schemas.microsoft.com/office/drawing/2014/chart" uri="{C3380CC4-5D6E-409C-BE32-E72D297353CC}">
                <c16:uniqueId val="{0000001E-23D9-4A33-8C4F-09FD35B33686}"/>
              </c:ext>
            </c:extLst>
          </c:dPt>
          <c:dPt>
            <c:idx val="9"/>
            <c:invertIfNegative val="0"/>
            <c:bubble3D val="0"/>
            <c:spPr>
              <a:solidFill>
                <a:srgbClr val="FF0000"/>
              </a:solidFill>
              <a:ln>
                <a:noFill/>
              </a:ln>
              <a:effectLst/>
            </c:spPr>
            <c:extLst>
              <c:ext xmlns:c16="http://schemas.microsoft.com/office/drawing/2014/chart" uri="{C3380CC4-5D6E-409C-BE32-E72D297353CC}">
                <c16:uniqueId val="{00000020-23D9-4A33-8C4F-09FD35B33686}"/>
              </c:ext>
            </c:extLst>
          </c:dPt>
          <c:dPt>
            <c:idx val="10"/>
            <c:invertIfNegative val="0"/>
            <c:bubble3D val="0"/>
            <c:spPr>
              <a:solidFill>
                <a:srgbClr val="FF0000"/>
              </a:solidFill>
              <a:ln>
                <a:noFill/>
              </a:ln>
              <a:effectLst/>
            </c:spPr>
            <c:extLst>
              <c:ext xmlns:c16="http://schemas.microsoft.com/office/drawing/2014/chart" uri="{C3380CC4-5D6E-409C-BE32-E72D297353CC}">
                <c16:uniqueId val="{00000022-23D9-4A33-8C4F-09FD35B33686}"/>
              </c:ext>
            </c:extLst>
          </c:dPt>
          <c:dLbls>
            <c:dLbl>
              <c:idx val="0"/>
              <c:layout>
                <c:manualLayout>
                  <c:x val="2.227400489896565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3D9-4A33-8C4F-09FD35B33686}"/>
                </c:ext>
              </c:extLst>
            </c:dLbl>
            <c:dLbl>
              <c:idx val="1"/>
              <c:layout>
                <c:manualLayout>
                  <c:x val="1.3921253061853527E-2"/>
                  <c:y val="-4.247844496333060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3D9-4A33-8C4F-09FD35B33686}"/>
                </c:ext>
              </c:extLst>
            </c:dLbl>
            <c:dLbl>
              <c:idx val="3"/>
              <c:layout>
                <c:manualLayout>
                  <c:x val="2.7842506123706592E-3"/>
                  <c:y val="-2.3170328551610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3D9-4A33-8C4F-09FD35B33686}"/>
                </c:ext>
              </c:extLst>
            </c:dLbl>
            <c:dLbl>
              <c:idx val="4"/>
              <c:layout>
                <c:manualLayout>
                  <c:x val="1.6705503674224263E-2"/>
                  <c:y val="-4.63406571032199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23D9-4A33-8C4F-09FD35B33686}"/>
                </c:ext>
              </c:extLst>
            </c:dLbl>
            <c:dLbl>
              <c:idx val="5"/>
              <c:layout>
                <c:manualLayout>
                  <c:x val="5.2584249735964633E-3"/>
                  <c:y val="-6.3294262450830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23D9-4A33-8C4F-09FD35B33686}"/>
                </c:ext>
              </c:extLst>
            </c:dLbl>
            <c:dLbl>
              <c:idx val="6"/>
              <c:layout>
                <c:manualLayout>
                  <c:x val="8.6628612225548157E-3"/>
                  <c:y val="-5.85942837390038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23D9-4A33-8C4F-09FD35B33686}"/>
                </c:ext>
              </c:extLst>
            </c:dLbl>
            <c:dLbl>
              <c:idx val="7"/>
              <c:layout>
                <c:manualLayout>
                  <c:x val="1.9489754286594975E-2"/>
                  <c:y val="-1.39021971309659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23D9-4A33-8C4F-09FD35B33686}"/>
                </c:ext>
              </c:extLst>
            </c:dLbl>
            <c:dLbl>
              <c:idx val="8"/>
              <c:layout>
                <c:manualLayout>
                  <c:x val="1.7015587465908456E-2"/>
                  <c:y val="-4.51536696662289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23D9-4A33-8C4F-09FD35B33686}"/>
                </c:ext>
              </c:extLst>
            </c:dLbl>
            <c:dLbl>
              <c:idx val="9"/>
              <c:layout>
                <c:manualLayout>
                  <c:x val="2.2584147418706096E-2"/>
                  <c:y val="-2.24095630413804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23D9-4A33-8C4F-09FD35B33686}"/>
                </c:ext>
              </c:extLst>
            </c:dLbl>
            <c:dLbl>
              <c:idx val="10"/>
              <c:layout>
                <c:manualLayout>
                  <c:x val="8.3527518371121316E-3"/>
                  <c:y val="-2.780439426193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23D9-4A33-8C4F-09FD35B3368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détaillé'!$D$286:$D$292,'Tableau détaillé'!$D$294:$D$297)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détaillé'!$G$286:$G$292,'Tableau détaillé'!$G$294:$G$297)</c:f>
              <c:numCache>
                <c:formatCode>0.0%</c:formatCode>
                <c:ptCount val="11"/>
                <c:pt idx="0">
                  <c:v>0.63556461157699995</c:v>
                </c:pt>
                <c:pt idx="1">
                  <c:v>0.59900166389300002</c:v>
                </c:pt>
                <c:pt idx="2">
                  <c:v>0.50734568924000001</c:v>
                </c:pt>
                <c:pt idx="3">
                  <c:v>0.580616330929</c:v>
                </c:pt>
                <c:pt idx="4">
                  <c:v>0.68628975969600003</c:v>
                </c:pt>
                <c:pt idx="5">
                  <c:v>0.64725483973300002</c:v>
                </c:pt>
                <c:pt idx="6">
                  <c:v>0.76742542477599995</c:v>
                </c:pt>
                <c:pt idx="7">
                  <c:v>0.81058642191499997</c:v>
                </c:pt>
                <c:pt idx="8">
                  <c:v>0.73472217525100003</c:v>
                </c:pt>
                <c:pt idx="9">
                  <c:v>0.66002978617700003</c:v>
                </c:pt>
                <c:pt idx="10">
                  <c:v>0.70879946568709296</c:v>
                </c:pt>
              </c:numCache>
            </c:numRef>
          </c:val>
          <c:extLst>
            <c:ext xmlns:c16="http://schemas.microsoft.com/office/drawing/2014/chart" uri="{C3380CC4-5D6E-409C-BE32-E72D297353CC}">
              <c16:uniqueId val="{00000023-23D9-4A33-8C4F-09FD35B33686}"/>
            </c:ext>
          </c:extLst>
        </c:ser>
        <c:dLbls>
          <c:showLegendKey val="0"/>
          <c:showVal val="0"/>
          <c:showCatName val="0"/>
          <c:showSerName val="0"/>
          <c:showPercent val="0"/>
          <c:showBubbleSize val="0"/>
        </c:dLbls>
        <c:gapWidth val="150"/>
        <c:axId val="964172720"/>
        <c:axId val="964164096"/>
      </c:barChart>
      <c:catAx>
        <c:axId val="96417272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4096"/>
        <c:crosses val="autoZero"/>
        <c:auto val="1"/>
        <c:lblAlgn val="ctr"/>
        <c:lblOffset val="100"/>
        <c:noMultiLvlLbl val="0"/>
      </c:catAx>
      <c:valAx>
        <c:axId val="9641640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2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en-US"/>
              <a:t>Evolution YTY de la part des clients actifs </a:t>
            </a:r>
          </a:p>
          <a:p>
            <a:pPr marL="0" marR="0" indent="0" algn="ctr" defTabSz="914400" rtl="0" eaLnBrk="1" fontAlgn="auto" latinLnBrk="0" hangingPunct="1">
              <a:lnSpc>
                <a:spcPct val="100000"/>
              </a:lnSpc>
              <a:spcBef>
                <a:spcPts val="0"/>
              </a:spcBef>
              <a:spcAft>
                <a:spcPts val="0"/>
              </a:spcAft>
              <a:buClrTx/>
              <a:buSzTx/>
              <a:buFontTx/>
              <a:buNone/>
              <a:tabLst/>
              <a:defRPr sz="1200" b="1">
                <a:solidFill>
                  <a:sysClr val="windowText" lastClr="000000">
                    <a:lumMod val="65000"/>
                    <a:lumOff val="35000"/>
                  </a:sysClr>
                </a:solidFill>
              </a:defRPr>
            </a:pPr>
            <a:r>
              <a:rPr lang="en-US"/>
              <a:t>dans le portefeuille par DR</a:t>
            </a:r>
          </a:p>
        </c:rich>
      </c:tx>
      <c:layout>
        <c:manualLayout>
          <c:xMode val="edge"/>
          <c:yMode val="edge"/>
          <c:x val="0.17959819795668464"/>
          <c:y val="3.8028882013119422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021038537939908"/>
          <c:y val="0.20839407951073805"/>
          <c:w val="0.89920800524934386"/>
          <c:h val="0.70140338284316561"/>
        </c:manualLayout>
      </c:layout>
      <c:barChart>
        <c:barDir val="col"/>
        <c:grouping val="clustered"/>
        <c:varyColors val="0"/>
        <c:ser>
          <c:idx val="0"/>
          <c:order val="0"/>
          <c:tx>
            <c:v>aout-19</c:v>
          </c:tx>
          <c:spPr>
            <a:solidFill>
              <a:srgbClr val="FFA7A7"/>
            </a:solidFill>
            <a:ln>
              <a:noFill/>
            </a:ln>
            <a:effectLst/>
          </c:spPr>
          <c:invertIfNegative val="0"/>
          <c:dPt>
            <c:idx val="0"/>
            <c:invertIfNegative val="0"/>
            <c:bubble3D val="0"/>
            <c:spPr>
              <a:solidFill>
                <a:srgbClr val="FFA7A7"/>
              </a:solidFill>
              <a:ln>
                <a:noFill/>
              </a:ln>
              <a:effectLst/>
            </c:spPr>
            <c:extLst>
              <c:ext xmlns:c16="http://schemas.microsoft.com/office/drawing/2014/chart" uri="{C3380CC4-5D6E-409C-BE32-E72D297353CC}">
                <c16:uniqueId val="{00000001-08F7-4110-B581-FDB3F1DAEFFA}"/>
              </c:ext>
            </c:extLst>
          </c:dPt>
          <c:dPt>
            <c:idx val="1"/>
            <c:invertIfNegative val="0"/>
            <c:bubble3D val="0"/>
            <c:spPr>
              <a:solidFill>
                <a:srgbClr val="FFA7A7"/>
              </a:solidFill>
              <a:ln>
                <a:noFill/>
              </a:ln>
              <a:effectLst/>
            </c:spPr>
            <c:extLst>
              <c:ext xmlns:c16="http://schemas.microsoft.com/office/drawing/2014/chart" uri="{C3380CC4-5D6E-409C-BE32-E72D297353CC}">
                <c16:uniqueId val="{00000008-C722-4C65-A55F-A540391C2594}"/>
              </c:ext>
            </c:extLst>
          </c:dPt>
          <c:dPt>
            <c:idx val="2"/>
            <c:invertIfNegative val="0"/>
            <c:bubble3D val="0"/>
            <c:spPr>
              <a:solidFill>
                <a:sysClr val="window" lastClr="FFFFFF">
                  <a:lumMod val="75000"/>
                </a:sysClr>
              </a:solidFill>
              <a:ln>
                <a:noFill/>
              </a:ln>
              <a:effectLst/>
            </c:spPr>
            <c:extLst>
              <c:ext xmlns:c16="http://schemas.microsoft.com/office/drawing/2014/chart" uri="{C3380CC4-5D6E-409C-BE32-E72D297353CC}">
                <c16:uniqueId val="{00000008-4107-4344-B721-487411E20655}"/>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détaillé'!$D$293,'Tableau détaillé'!$D$298,'Tableau détaillé'!$D$285)</c:f>
              <c:strCache>
                <c:ptCount val="3"/>
                <c:pt idx="0">
                  <c:v>Total AFO</c:v>
                </c:pt>
                <c:pt idx="1">
                  <c:v>Total AFCE</c:v>
                </c:pt>
                <c:pt idx="2">
                  <c:v>Total AFS</c:v>
                </c:pt>
              </c:strCache>
            </c:strRef>
          </c:cat>
          <c:val>
            <c:numRef>
              <c:f>('Tableau détaillé'!$E$293,'Tableau détaillé'!$E$298,'Tableau détaillé'!$E$285)</c:f>
              <c:numCache>
                <c:formatCode>0%</c:formatCode>
                <c:ptCount val="3"/>
                <c:pt idx="0" formatCode="0.00%">
                  <c:v>0.59795868972958965</c:v>
                </c:pt>
                <c:pt idx="1">
                  <c:v>0.77482970444010446</c:v>
                </c:pt>
                <c:pt idx="2" formatCode="0.0%">
                  <c:v>0.65292450974185401</c:v>
                </c:pt>
              </c:numCache>
            </c:numRef>
          </c:val>
          <c:extLst>
            <c:ext xmlns:c16="http://schemas.microsoft.com/office/drawing/2014/chart" uri="{C3380CC4-5D6E-409C-BE32-E72D297353CC}">
              <c16:uniqueId val="{00000002-08F7-4110-B581-FDB3F1DAEFFA}"/>
            </c:ext>
          </c:extLst>
        </c:ser>
        <c:ser>
          <c:idx val="1"/>
          <c:order val="1"/>
          <c:tx>
            <c:v>aout2020</c:v>
          </c:tx>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C-C722-4C65-A55F-A540391C2594}"/>
              </c:ext>
            </c:extLst>
          </c:dPt>
          <c:dPt>
            <c:idx val="1"/>
            <c:invertIfNegative val="0"/>
            <c:bubble3D val="0"/>
            <c:spPr>
              <a:solidFill>
                <a:srgbClr val="FF0000"/>
              </a:solidFill>
              <a:ln>
                <a:noFill/>
              </a:ln>
              <a:effectLst/>
            </c:spPr>
            <c:extLst>
              <c:ext xmlns:c16="http://schemas.microsoft.com/office/drawing/2014/chart" uri="{C3380CC4-5D6E-409C-BE32-E72D297353CC}">
                <c16:uniqueId val="{00000004-08F7-4110-B581-FDB3F1DAEFFA}"/>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9-4107-4344-B721-487411E20655}"/>
              </c:ext>
            </c:extLst>
          </c:dPt>
          <c:dLbls>
            <c:dLbl>
              <c:idx val="0"/>
              <c:layout>
                <c:manualLayout>
                  <c:x val="2.747341892637339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722-4C65-A55F-A540391C259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détaillé'!$D$293,'Tableau détaillé'!$D$298,'Tableau détaillé'!$D$285)</c:f>
              <c:strCache>
                <c:ptCount val="3"/>
                <c:pt idx="0">
                  <c:v>Total AFO</c:v>
                </c:pt>
                <c:pt idx="1">
                  <c:v>Total AFCE</c:v>
                </c:pt>
                <c:pt idx="2">
                  <c:v>Total AFS</c:v>
                </c:pt>
              </c:strCache>
            </c:strRef>
          </c:cat>
          <c:val>
            <c:numRef>
              <c:f>('Tableau détaillé'!$G$293,'Tableau détaillé'!$G$298,'Tableau détaillé'!$G$285)</c:f>
              <c:numCache>
                <c:formatCode>0.0%</c:formatCode>
                <c:ptCount val="3"/>
                <c:pt idx="0" formatCode="0.00%">
                  <c:v>0.60809004825015478</c:v>
                </c:pt>
                <c:pt idx="1">
                  <c:v>0.76429137783463974</c:v>
                </c:pt>
                <c:pt idx="2">
                  <c:v>0.65777104835752453</c:v>
                </c:pt>
              </c:numCache>
            </c:numRef>
          </c:val>
          <c:extLst>
            <c:ext xmlns:c16="http://schemas.microsoft.com/office/drawing/2014/chart" uri="{C3380CC4-5D6E-409C-BE32-E72D297353CC}">
              <c16:uniqueId val="{00000005-08F7-4110-B581-FDB3F1DAEFFA}"/>
            </c:ext>
          </c:extLst>
        </c:ser>
        <c:dLbls>
          <c:showLegendKey val="0"/>
          <c:showVal val="0"/>
          <c:showCatName val="0"/>
          <c:showSerName val="0"/>
          <c:showPercent val="0"/>
          <c:showBubbleSize val="0"/>
        </c:dLbls>
        <c:gapWidth val="150"/>
        <c:axId val="964166056"/>
        <c:axId val="964166840"/>
      </c:barChart>
      <c:catAx>
        <c:axId val="964166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6840"/>
        <c:crosses val="autoZero"/>
        <c:auto val="1"/>
        <c:lblAlgn val="ctr"/>
        <c:lblOffset val="100"/>
        <c:noMultiLvlLbl val="0"/>
      </c:catAx>
      <c:valAx>
        <c:axId val="96416684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60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Taux</a:t>
            </a:r>
            <a:r>
              <a:rPr lang="fr-FR" sz="1200" b="1" baseline="0"/>
              <a:t> d'atteinte objectif annuel - </a:t>
            </a:r>
            <a:r>
              <a:rPr lang="fr-FR" sz="1200" b="1"/>
              <a:t>Production </a:t>
            </a:r>
            <a:r>
              <a:rPr lang="fr-FR" sz="1200" b="1" baseline="0"/>
              <a:t>YTD 2023 </a:t>
            </a:r>
            <a:r>
              <a:rPr lang="fr-FR" sz="1200" b="1"/>
              <a:t>vs Budget 2023</a:t>
            </a:r>
          </a:p>
        </c:rich>
      </c:tx>
      <c:layout>
        <c:manualLayout>
          <c:xMode val="edge"/>
          <c:yMode val="edge"/>
          <c:x val="0.13534482758620689"/>
          <c:y val="2.453266723356008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66296635161268"/>
          <c:w val="0.89920800524934386"/>
          <c:h val="0.6025199385998047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DF7F-4E3E-8C9C-2F44BF65D534}"/>
              </c:ext>
            </c:extLst>
          </c:dPt>
          <c:dPt>
            <c:idx val="1"/>
            <c:invertIfNegative val="0"/>
            <c:bubble3D val="0"/>
            <c:spPr>
              <a:solidFill>
                <a:schemeClr val="tx1"/>
              </a:solidFill>
              <a:ln>
                <a:noFill/>
              </a:ln>
              <a:effectLst/>
            </c:spPr>
            <c:extLst>
              <c:ext xmlns:c16="http://schemas.microsoft.com/office/drawing/2014/chart" uri="{C3380CC4-5D6E-409C-BE32-E72D297353CC}">
                <c16:uniqueId val="{00000003-DF7F-4E3E-8C9C-2F44BF65D534}"/>
              </c:ext>
            </c:extLst>
          </c:dPt>
          <c:dPt>
            <c:idx val="2"/>
            <c:invertIfNegative val="0"/>
            <c:bubble3D val="0"/>
            <c:spPr>
              <a:solidFill>
                <a:schemeClr val="tx1"/>
              </a:solidFill>
              <a:ln>
                <a:noFill/>
              </a:ln>
              <a:effectLst/>
            </c:spPr>
            <c:extLst>
              <c:ext xmlns:c16="http://schemas.microsoft.com/office/drawing/2014/chart" uri="{C3380CC4-5D6E-409C-BE32-E72D297353CC}">
                <c16:uniqueId val="{00000005-DF7F-4E3E-8C9C-2F44BF65D534}"/>
              </c:ext>
            </c:extLst>
          </c:dPt>
          <c:dPt>
            <c:idx val="3"/>
            <c:invertIfNegative val="0"/>
            <c:bubble3D val="0"/>
            <c:spPr>
              <a:solidFill>
                <a:schemeClr val="tx1"/>
              </a:solidFill>
              <a:ln>
                <a:noFill/>
              </a:ln>
              <a:effectLst/>
            </c:spPr>
            <c:extLst>
              <c:ext xmlns:c16="http://schemas.microsoft.com/office/drawing/2014/chart" uri="{C3380CC4-5D6E-409C-BE32-E72D297353CC}">
                <c16:uniqueId val="{00000007-DF7F-4E3E-8C9C-2F44BF65D534}"/>
              </c:ext>
            </c:extLst>
          </c:dPt>
          <c:dPt>
            <c:idx val="4"/>
            <c:invertIfNegative val="0"/>
            <c:bubble3D val="0"/>
            <c:spPr>
              <a:solidFill>
                <a:schemeClr val="tx1"/>
              </a:solidFill>
              <a:ln>
                <a:noFill/>
              </a:ln>
              <a:effectLst/>
            </c:spPr>
            <c:extLst>
              <c:ext xmlns:c16="http://schemas.microsoft.com/office/drawing/2014/chart" uri="{C3380CC4-5D6E-409C-BE32-E72D297353CC}">
                <c16:uniqueId val="{00000009-DF7F-4E3E-8C9C-2F44BF65D534}"/>
              </c:ext>
            </c:extLst>
          </c:dPt>
          <c:dPt>
            <c:idx val="5"/>
            <c:invertIfNegative val="0"/>
            <c:bubble3D val="0"/>
            <c:spPr>
              <a:solidFill>
                <a:schemeClr val="tx1"/>
              </a:solidFill>
              <a:ln>
                <a:noFill/>
              </a:ln>
              <a:effectLst/>
            </c:spPr>
            <c:extLst>
              <c:ext xmlns:c16="http://schemas.microsoft.com/office/drawing/2014/chart" uri="{C3380CC4-5D6E-409C-BE32-E72D297353CC}">
                <c16:uniqueId val="{0000000B-DF7F-4E3E-8C9C-2F44BF65D534}"/>
              </c:ext>
            </c:extLst>
          </c:dPt>
          <c:dPt>
            <c:idx val="6"/>
            <c:invertIfNegative val="0"/>
            <c:bubble3D val="0"/>
            <c:spPr>
              <a:solidFill>
                <a:schemeClr val="tx1"/>
              </a:solidFill>
              <a:ln>
                <a:noFill/>
              </a:ln>
              <a:effectLst/>
            </c:spPr>
            <c:extLst>
              <c:ext xmlns:c16="http://schemas.microsoft.com/office/drawing/2014/chart" uri="{C3380CC4-5D6E-409C-BE32-E72D297353CC}">
                <c16:uniqueId val="{0000000D-DF7F-4E3E-8C9C-2F44BF65D534}"/>
              </c:ext>
            </c:extLst>
          </c:dPt>
          <c:dPt>
            <c:idx val="7"/>
            <c:invertIfNegative val="0"/>
            <c:bubble3D val="0"/>
            <c:spPr>
              <a:solidFill>
                <a:srgbClr val="FF0000"/>
              </a:solidFill>
              <a:ln>
                <a:noFill/>
              </a:ln>
              <a:effectLst/>
            </c:spPr>
            <c:extLst>
              <c:ext xmlns:c16="http://schemas.microsoft.com/office/drawing/2014/chart" uri="{C3380CC4-5D6E-409C-BE32-E72D297353CC}">
                <c16:uniqueId val="{0000000F-DF7F-4E3E-8C9C-2F44BF65D534}"/>
              </c:ext>
            </c:extLst>
          </c:dPt>
          <c:dPt>
            <c:idx val="8"/>
            <c:invertIfNegative val="0"/>
            <c:bubble3D val="0"/>
            <c:spPr>
              <a:solidFill>
                <a:srgbClr val="FF0000"/>
              </a:solidFill>
              <a:ln>
                <a:noFill/>
              </a:ln>
              <a:effectLst/>
            </c:spPr>
            <c:extLst>
              <c:ext xmlns:c16="http://schemas.microsoft.com/office/drawing/2014/chart" uri="{C3380CC4-5D6E-409C-BE32-E72D297353CC}">
                <c16:uniqueId val="{00000011-DF7F-4E3E-8C9C-2F44BF65D534}"/>
              </c:ext>
            </c:extLst>
          </c:dPt>
          <c:dPt>
            <c:idx val="9"/>
            <c:invertIfNegative val="0"/>
            <c:bubble3D val="0"/>
            <c:spPr>
              <a:solidFill>
                <a:srgbClr val="FF0000"/>
              </a:solidFill>
              <a:ln>
                <a:noFill/>
              </a:ln>
              <a:effectLst/>
            </c:spPr>
            <c:extLst>
              <c:ext xmlns:c16="http://schemas.microsoft.com/office/drawing/2014/chart" uri="{C3380CC4-5D6E-409C-BE32-E72D297353CC}">
                <c16:uniqueId val="{00000013-DF7F-4E3E-8C9C-2F44BF65D534}"/>
              </c:ext>
            </c:extLst>
          </c:dPt>
          <c:dPt>
            <c:idx val="10"/>
            <c:invertIfNegative val="0"/>
            <c:bubble3D val="0"/>
            <c:spPr>
              <a:solidFill>
                <a:srgbClr val="FF0000"/>
              </a:solidFill>
              <a:ln>
                <a:noFill/>
              </a:ln>
              <a:effectLst/>
            </c:spPr>
            <c:extLst>
              <c:ext xmlns:c16="http://schemas.microsoft.com/office/drawing/2014/chart" uri="{C3380CC4-5D6E-409C-BE32-E72D297353CC}">
                <c16:uniqueId val="{00000015-DF7F-4E3E-8C9C-2F44BF65D534}"/>
              </c:ext>
            </c:extLst>
          </c:dPt>
          <c:dLbls>
            <c:dLbl>
              <c:idx val="0"/>
              <c:layout>
                <c:manualLayout>
                  <c:x val="9.5936283826590646E-5"/>
                  <c:y val="-2.83574042297774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7F-4E3E-8C9C-2F44BF65D534}"/>
                </c:ext>
              </c:extLst>
            </c:dLbl>
            <c:dLbl>
              <c:idx val="2"/>
              <c:layout>
                <c:manualLayout>
                  <c:x val="5.4555128220492534E-3"/>
                  <c:y val="3.63786354716146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F7F-4E3E-8C9C-2F44BF65D534}"/>
                </c:ext>
              </c:extLst>
            </c:dLbl>
            <c:dLbl>
              <c:idx val="3"/>
              <c:layout>
                <c:manualLayout>
                  <c:x val="5.6024885477645109E-3"/>
                  <c:y val="5.714769669303816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F7F-4E3E-8C9C-2F44BF65D534}"/>
                </c:ext>
              </c:extLst>
            </c:dLbl>
            <c:dLbl>
              <c:idx val="4"/>
              <c:layout>
                <c:manualLayout>
                  <c:x val="5.5337956563609111E-3"/>
                  <c:y val="-1.09180101982232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F7F-4E3E-8C9C-2F44BF65D534}"/>
                </c:ext>
              </c:extLst>
            </c:dLbl>
            <c:dLbl>
              <c:idx val="6"/>
              <c:layout>
                <c:manualLayout>
                  <c:x val="5.5555555555555558E-3"/>
                  <c:y val="3.21897262842136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F7F-4E3E-8C9C-2F44BF65D534}"/>
                </c:ext>
              </c:extLst>
            </c:dLbl>
            <c:dLbl>
              <c:idx val="7"/>
              <c:layout>
                <c:manualLayout>
                  <c:x val="2.767011016882774E-3"/>
                  <c:y val="-1.3888947955606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F7F-4E3E-8C9C-2F44BF65D534}"/>
                </c:ext>
              </c:extLst>
            </c:dLbl>
            <c:dLbl>
              <c:idx val="8"/>
              <c:layout>
                <c:manualLayout>
                  <c:x val="2.7711795580338534E-3"/>
                  <c:y val="-4.69861701572713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F7F-4E3E-8C9C-2F44BF65D534}"/>
                </c:ext>
              </c:extLst>
            </c:dLbl>
            <c:dLbl>
              <c:idx val="10"/>
              <c:layout>
                <c:manualLayout>
                  <c:x val="-1.7272369596427944E-2"/>
                  <c:y val="9.29769200345323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F7F-4E3E-8C9C-2F44BF65D534}"/>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détaillé'!$H$6:$H$12,'Tableau détaillé'!$H$14:$H$17)</c:f>
              <c:numCache>
                <c:formatCode>0.0%</c:formatCode>
                <c:ptCount val="11"/>
                <c:pt idx="0">
                  <c:v>0.8768047811141304</c:v>
                </c:pt>
                <c:pt idx="1">
                  <c:v>0.65034735217816808</c:v>
                </c:pt>
                <c:pt idx="2">
                  <c:v>1.0182901815228522</c:v>
                </c:pt>
                <c:pt idx="3">
                  <c:v>0.61917954643017015</c:v>
                </c:pt>
                <c:pt idx="4">
                  <c:v>0.71147077719512197</c:v>
                </c:pt>
                <c:pt idx="5">
                  <c:v>0.67870097471657753</c:v>
                </c:pt>
                <c:pt idx="6">
                  <c:v>0.94264552129032264</c:v>
                </c:pt>
                <c:pt idx="7">
                  <c:v>1.1536743217981034</c:v>
                </c:pt>
                <c:pt idx="8">
                  <c:v>1.0713839808764007</c:v>
                </c:pt>
                <c:pt idx="9">
                  <c:v>1.5387459099919745</c:v>
                </c:pt>
                <c:pt idx="10">
                  <c:v>0.78952532884300042</c:v>
                </c:pt>
              </c:numCache>
            </c:numRef>
          </c:val>
          <c:extLst>
            <c:ext xmlns:c16="http://schemas.microsoft.com/office/drawing/2014/chart" uri="{C3380CC4-5D6E-409C-BE32-E72D297353CC}">
              <c16:uniqueId val="{00000016-DF7F-4E3E-8C9C-2F44BF65D534}"/>
            </c:ext>
          </c:extLst>
        </c:ser>
        <c:dLbls>
          <c:showLegendKey val="0"/>
          <c:showVal val="0"/>
          <c:showCatName val="0"/>
          <c:showSerName val="0"/>
          <c:showPercent val="0"/>
          <c:showBubbleSize val="0"/>
        </c:dLbls>
        <c:gapWidth val="219"/>
        <c:overlap val="-27"/>
        <c:axId val="1032738144"/>
        <c:axId val="1032742456"/>
      </c:barChart>
      <c:lineChart>
        <c:grouping val="standard"/>
        <c:varyColors val="0"/>
        <c:ser>
          <c:idx val="1"/>
          <c:order val="1"/>
          <c:spPr>
            <a:ln w="28575" cap="rnd">
              <a:solidFill>
                <a:srgbClr val="C00000"/>
              </a:solidFill>
              <a:round/>
            </a:ln>
            <a:effectLst/>
          </c:spPr>
          <c:marker>
            <c:symbol val="none"/>
          </c:marker>
          <c:val>
            <c:numRef>
              <c:f>('Tableau détaillé'!$J$6:$J$12,'Tableau détaillé'!$J$14:$J$18)</c:f>
              <c:numCache>
                <c:formatCode>0.0%</c:formatCode>
                <c:ptCount val="12"/>
                <c:pt idx="0">
                  <c:v>0.91013031367336794</c:v>
                </c:pt>
                <c:pt idx="1">
                  <c:v>0.91013031367336794</c:v>
                </c:pt>
                <c:pt idx="2">
                  <c:v>0.91013031367336794</c:v>
                </c:pt>
                <c:pt idx="3">
                  <c:v>0.91013031367336794</c:v>
                </c:pt>
                <c:pt idx="4">
                  <c:v>0.91013031367336794</c:v>
                </c:pt>
                <c:pt idx="5">
                  <c:v>0.91013031367336794</c:v>
                </c:pt>
                <c:pt idx="6">
                  <c:v>0.91013031367336794</c:v>
                </c:pt>
                <c:pt idx="7">
                  <c:v>0.91013031367336794</c:v>
                </c:pt>
                <c:pt idx="8">
                  <c:v>0.91013031367336794</c:v>
                </c:pt>
                <c:pt idx="9">
                  <c:v>0.91013031367336794</c:v>
                </c:pt>
                <c:pt idx="10">
                  <c:v>0.91013031367336794</c:v>
                </c:pt>
                <c:pt idx="11">
                  <c:v>0.91013031367336794</c:v>
                </c:pt>
              </c:numCache>
            </c:numRef>
          </c:val>
          <c:smooth val="0"/>
          <c:extLst>
            <c:ext xmlns:c16="http://schemas.microsoft.com/office/drawing/2014/chart" uri="{C3380CC4-5D6E-409C-BE32-E72D297353CC}">
              <c16:uniqueId val="{00000017-DF7F-4E3E-8C9C-2F44BF65D534}"/>
            </c:ext>
          </c:extLst>
        </c:ser>
        <c:dLbls>
          <c:showLegendKey val="0"/>
          <c:showVal val="0"/>
          <c:showCatName val="0"/>
          <c:showSerName val="0"/>
          <c:showPercent val="0"/>
          <c:showBubbleSize val="0"/>
        </c:dLbls>
        <c:marker val="1"/>
        <c:smooth val="0"/>
        <c:axId val="1032738144"/>
        <c:axId val="1032742456"/>
      </c:lineChart>
      <c:catAx>
        <c:axId val="103273814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2456"/>
        <c:crosses val="autoZero"/>
        <c:auto val="1"/>
        <c:lblAlgn val="ctr"/>
        <c:lblOffset val="100"/>
        <c:noMultiLvlLbl val="0"/>
      </c:catAx>
      <c:valAx>
        <c:axId val="103274245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8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sz="1200" b="1" i="0" baseline="0">
                <a:effectLst/>
              </a:rPr>
              <a:t>Taux d'atteinte objectif annuel - Production YTD 2023 vs Budget 2023 </a:t>
            </a:r>
            <a:r>
              <a:rPr lang="fr-FR" sz="1200" b="1"/>
              <a:t>par DR</a:t>
            </a:r>
          </a:p>
        </c:rich>
      </c:tx>
      <c:layout>
        <c:manualLayout>
          <c:xMode val="edge"/>
          <c:yMode val="edge"/>
          <c:x val="0.13233453576923576"/>
          <c:y val="2.328519689078064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21723318258843241"/>
          <c:w val="0.89920800524934386"/>
          <c:h val="0.63224941583693195"/>
        </c:manualLayout>
      </c:layout>
      <c:barChart>
        <c:barDir val="col"/>
        <c:grouping val="clustered"/>
        <c:varyColors val="0"/>
        <c:ser>
          <c:idx val="0"/>
          <c:order val="0"/>
          <c:spPr>
            <a:solidFill>
              <a:schemeClr val="tx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CBC6-4B2E-9F72-E7EFE860D331}"/>
              </c:ext>
            </c:extLst>
          </c:dPt>
          <c:dPt>
            <c:idx val="1"/>
            <c:invertIfNegative val="0"/>
            <c:bubble3D val="0"/>
            <c:spPr>
              <a:solidFill>
                <a:srgbClr val="FF0000"/>
              </a:solidFill>
              <a:ln>
                <a:noFill/>
              </a:ln>
              <a:effectLst/>
            </c:spPr>
            <c:extLst>
              <c:ext xmlns:c16="http://schemas.microsoft.com/office/drawing/2014/chart" uri="{C3380CC4-5D6E-409C-BE32-E72D297353CC}">
                <c16:uniqueId val="{00000001-CBC6-4B2E-9F72-E7EFE860D331}"/>
              </c:ext>
            </c:extLst>
          </c:dPt>
          <c:dLbls>
            <c:dLbl>
              <c:idx val="0"/>
              <c:layout>
                <c:manualLayout>
                  <c:x val="-3.3645578785410447E-2"/>
                  <c:y val="3.23652539386450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C6-4B2E-9F72-E7EFE860D331}"/>
                </c:ext>
              </c:extLst>
            </c:dLbl>
            <c:dLbl>
              <c:idx val="1"/>
              <c:layout>
                <c:manualLayout>
                  <c:x val="-6.4108256884409494E-3"/>
                  <c:y val="-1.19510870874957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C6-4B2E-9F72-E7EFE860D33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détaillé'!$H$13,'Tableau détaillé'!$H$18,'Tableau détaillé'!$H$5)</c:f>
              <c:numCache>
                <c:formatCode>0.0%</c:formatCode>
                <c:ptCount val="3"/>
                <c:pt idx="0">
                  <c:v>0.82654061368366361</c:v>
                </c:pt>
                <c:pt idx="1">
                  <c:v>1.1266951091156594</c:v>
                </c:pt>
                <c:pt idx="2">
                  <c:v>0.91013031367336794</c:v>
                </c:pt>
              </c:numCache>
            </c:numRef>
          </c:val>
          <c:extLst>
            <c:ext xmlns:c16="http://schemas.microsoft.com/office/drawing/2014/chart" uri="{C3380CC4-5D6E-409C-BE32-E72D297353CC}">
              <c16:uniqueId val="{00000003-CBC6-4B2E-9F72-E7EFE860D331}"/>
            </c:ext>
          </c:extLst>
        </c:ser>
        <c:dLbls>
          <c:showLegendKey val="0"/>
          <c:showVal val="0"/>
          <c:showCatName val="0"/>
          <c:showSerName val="0"/>
          <c:showPercent val="0"/>
          <c:showBubbleSize val="0"/>
        </c:dLbls>
        <c:gapWidth val="219"/>
        <c:overlap val="-27"/>
        <c:axId val="1032747944"/>
        <c:axId val="1032749120"/>
      </c:barChart>
      <c:catAx>
        <c:axId val="1032747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9120"/>
        <c:crosses val="autoZero"/>
        <c:auto val="1"/>
        <c:lblAlgn val="ctr"/>
        <c:lblOffset val="100"/>
        <c:noMultiLvlLbl val="0"/>
      </c:catAx>
      <c:valAx>
        <c:axId val="103274912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7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Production </a:t>
            </a:r>
            <a:r>
              <a:rPr lang="fr-FR" sz="1200" b="1" baseline="0"/>
              <a:t>YTY 2023 </a:t>
            </a:r>
            <a:r>
              <a:rPr lang="fr-FR" sz="1200" b="1"/>
              <a:t>vs Production YTY 2022</a:t>
            </a:r>
          </a:p>
        </c:rich>
      </c:tx>
      <c:layout>
        <c:manualLayout>
          <c:xMode val="edge"/>
          <c:yMode val="edge"/>
          <c:x val="0.19447823332428277"/>
          <c:y val="2.453266723356009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66296635161268"/>
          <c:w val="0.89920800524934386"/>
          <c:h val="0.60251993859980479"/>
        </c:manualLayout>
      </c:layout>
      <c:barChart>
        <c:barDir val="col"/>
        <c:grouping val="clustered"/>
        <c:varyColors val="0"/>
        <c:ser>
          <c:idx val="0"/>
          <c:order val="0"/>
          <c:spPr>
            <a:solidFill>
              <a:schemeClr val="tx1"/>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1-8949-4F2A-B2F5-6DF145F9FBA0}"/>
              </c:ext>
            </c:extLst>
          </c:dPt>
          <c:dPt>
            <c:idx val="8"/>
            <c:invertIfNegative val="0"/>
            <c:bubble3D val="0"/>
            <c:spPr>
              <a:solidFill>
                <a:srgbClr val="FF0000"/>
              </a:solidFill>
              <a:ln>
                <a:noFill/>
              </a:ln>
              <a:effectLst/>
            </c:spPr>
            <c:extLst>
              <c:ext xmlns:c16="http://schemas.microsoft.com/office/drawing/2014/chart" uri="{C3380CC4-5D6E-409C-BE32-E72D297353CC}">
                <c16:uniqueId val="{00000003-8949-4F2A-B2F5-6DF145F9FBA0}"/>
              </c:ext>
            </c:extLst>
          </c:dPt>
          <c:dPt>
            <c:idx val="9"/>
            <c:invertIfNegative val="0"/>
            <c:bubble3D val="0"/>
            <c:spPr>
              <a:solidFill>
                <a:srgbClr val="FF0000"/>
              </a:solidFill>
              <a:ln>
                <a:noFill/>
              </a:ln>
              <a:effectLst/>
            </c:spPr>
            <c:extLst>
              <c:ext xmlns:c16="http://schemas.microsoft.com/office/drawing/2014/chart" uri="{C3380CC4-5D6E-409C-BE32-E72D297353CC}">
                <c16:uniqueId val="{00000005-8949-4F2A-B2F5-6DF145F9FBA0}"/>
              </c:ext>
            </c:extLst>
          </c:dPt>
          <c:dPt>
            <c:idx val="10"/>
            <c:invertIfNegative val="0"/>
            <c:bubble3D val="0"/>
            <c:spPr>
              <a:solidFill>
                <a:srgbClr val="FF0000"/>
              </a:solidFill>
              <a:ln>
                <a:noFill/>
              </a:ln>
              <a:effectLst/>
            </c:spPr>
            <c:extLst>
              <c:ext xmlns:c16="http://schemas.microsoft.com/office/drawing/2014/chart" uri="{C3380CC4-5D6E-409C-BE32-E72D297353CC}">
                <c16:uniqueId val="{00000007-8949-4F2A-B2F5-6DF145F9FBA0}"/>
              </c:ext>
            </c:extLst>
          </c:dPt>
          <c:dLbls>
            <c:dLbl>
              <c:idx val="0"/>
              <c:layout>
                <c:manualLayout>
                  <c:x val="8.6206896551724137E-3"/>
                  <c:y val="-3.59380507239017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949-4F2A-B2F5-6DF145F9FBA0}"/>
                </c:ext>
              </c:extLst>
            </c:dLbl>
            <c:dLbl>
              <c:idx val="1"/>
              <c:layout>
                <c:manualLayout>
                  <c:x val="8.6206896551724397E-3"/>
                  <c:y val="-4.0497448979591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949-4F2A-B2F5-6DF145F9FBA0}"/>
                </c:ext>
              </c:extLst>
            </c:dLbl>
            <c:dLbl>
              <c:idx val="3"/>
              <c:layout>
                <c:manualLayout>
                  <c:x val="-5.747126436781662E-3"/>
                  <c:y val="-4.39242842181022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949-4F2A-B2F5-6DF145F9FBA0}"/>
                </c:ext>
              </c:extLst>
            </c:dLbl>
            <c:dLbl>
              <c:idx val="4"/>
              <c:layout>
                <c:manualLayout>
                  <c:x val="5.7457633792846021E-3"/>
                  <c:y val="-1.4987953514739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949-4F2A-B2F5-6DF145F9FBA0}"/>
                </c:ext>
              </c:extLst>
            </c:dLbl>
            <c:dLbl>
              <c:idx val="9"/>
              <c:layout>
                <c:manualLayout>
                  <c:x val="1.0536276751464822E-16"/>
                  <c:y val="7.98623349420039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49-4F2A-B2F5-6DF145F9FBA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détaillé'!$L$6:$L$12,'Tableau détaillé'!$L$14:$L$17)</c:f>
              <c:numCache>
                <c:formatCode>0.0%</c:formatCode>
                <c:ptCount val="11"/>
                <c:pt idx="0">
                  <c:v>1.7101835418178224E-2</c:v>
                </c:pt>
                <c:pt idx="1">
                  <c:v>0.18186679744042555</c:v>
                </c:pt>
                <c:pt idx="2">
                  <c:v>7.0657309854475825E-2</c:v>
                </c:pt>
                <c:pt idx="3">
                  <c:v>-0.36186923000942151</c:v>
                </c:pt>
                <c:pt idx="4">
                  <c:v>-0.21032059016346116</c:v>
                </c:pt>
                <c:pt idx="5">
                  <c:v>-0.21963692193701778</c:v>
                </c:pt>
                <c:pt idx="6">
                  <c:v>9.5157117006578584E-2</c:v>
                </c:pt>
                <c:pt idx="7">
                  <c:v>6.420749548268212E-4</c:v>
                </c:pt>
                <c:pt idx="8">
                  <c:v>0.14060556621730269</c:v>
                </c:pt>
                <c:pt idx="9">
                  <c:v>0.14845863635460343</c:v>
                </c:pt>
                <c:pt idx="10">
                  <c:v>-0.220745221234938</c:v>
                </c:pt>
              </c:numCache>
            </c:numRef>
          </c:val>
          <c:extLst>
            <c:ext xmlns:c16="http://schemas.microsoft.com/office/drawing/2014/chart" uri="{C3380CC4-5D6E-409C-BE32-E72D297353CC}">
              <c16:uniqueId val="{0000000C-8949-4F2A-B2F5-6DF145F9FBA0}"/>
            </c:ext>
          </c:extLst>
        </c:ser>
        <c:dLbls>
          <c:showLegendKey val="0"/>
          <c:showVal val="0"/>
          <c:showCatName val="0"/>
          <c:showSerName val="0"/>
          <c:showPercent val="0"/>
          <c:showBubbleSize val="0"/>
        </c:dLbls>
        <c:gapWidth val="219"/>
        <c:overlap val="-27"/>
        <c:axId val="1032746376"/>
        <c:axId val="1032748728"/>
      </c:barChart>
      <c:lineChart>
        <c:grouping val="standard"/>
        <c:varyColors val="0"/>
        <c:ser>
          <c:idx val="1"/>
          <c:order val="1"/>
          <c:spPr>
            <a:ln w="28575" cap="rnd">
              <a:solidFill>
                <a:srgbClr val="C00000"/>
              </a:solidFill>
              <a:round/>
            </a:ln>
            <a:effectLst/>
          </c:spPr>
          <c:marker>
            <c:symbol val="none"/>
          </c:marker>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détaillé'!$M$6:$M$12,'Tableau détaillé'!$M$14:$M$17)</c:f>
              <c:numCache>
                <c:formatCode>0.0%</c:formatCode>
                <c:ptCount val="11"/>
                <c:pt idx="0">
                  <c:v>-1.1055680140595214E-2</c:v>
                </c:pt>
                <c:pt idx="1">
                  <c:v>-1.1055680140595214E-2</c:v>
                </c:pt>
                <c:pt idx="2">
                  <c:v>-1.1055680140595214E-2</c:v>
                </c:pt>
                <c:pt idx="3">
                  <c:v>-1.1055680140595214E-2</c:v>
                </c:pt>
                <c:pt idx="4">
                  <c:v>-1.1055680140595214E-2</c:v>
                </c:pt>
                <c:pt idx="5">
                  <c:v>-1.1055680140595214E-2</c:v>
                </c:pt>
                <c:pt idx="6">
                  <c:v>-1.1055680140595214E-2</c:v>
                </c:pt>
                <c:pt idx="7">
                  <c:v>-1.1055680140595214E-2</c:v>
                </c:pt>
                <c:pt idx="8">
                  <c:v>-1.1055680140595214E-2</c:v>
                </c:pt>
                <c:pt idx="9">
                  <c:v>-1.1055680140595214E-2</c:v>
                </c:pt>
                <c:pt idx="10">
                  <c:v>-1.1055680140595214E-2</c:v>
                </c:pt>
              </c:numCache>
            </c:numRef>
          </c:val>
          <c:smooth val="0"/>
          <c:extLst>
            <c:ext xmlns:c16="http://schemas.microsoft.com/office/drawing/2014/chart" uri="{C3380CC4-5D6E-409C-BE32-E72D297353CC}">
              <c16:uniqueId val="{0000000D-8949-4F2A-B2F5-6DF145F9FBA0}"/>
            </c:ext>
          </c:extLst>
        </c:ser>
        <c:dLbls>
          <c:showLegendKey val="0"/>
          <c:showVal val="0"/>
          <c:showCatName val="0"/>
          <c:showSerName val="0"/>
          <c:showPercent val="0"/>
          <c:showBubbleSize val="0"/>
        </c:dLbls>
        <c:marker val="1"/>
        <c:smooth val="0"/>
        <c:axId val="1032746376"/>
        <c:axId val="1032748728"/>
      </c:lineChart>
      <c:catAx>
        <c:axId val="103274637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8728"/>
        <c:crosses val="autoZero"/>
        <c:auto val="1"/>
        <c:lblAlgn val="ctr"/>
        <c:lblOffset val="100"/>
        <c:noMultiLvlLbl val="0"/>
      </c:catAx>
      <c:valAx>
        <c:axId val="103274872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6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sz="1200" b="1" i="0" baseline="0">
                <a:effectLst/>
              </a:rPr>
              <a:t>Production YTY 2023 vs Production YTY 2022</a:t>
            </a:r>
          </a:p>
          <a:p>
            <a:pPr marL="0" marR="0" lvl="0" indent="0" algn="ctr" defTabSz="914400" rtl="0" eaLnBrk="1" fontAlgn="auto" latinLnBrk="0" hangingPunct="1">
              <a:lnSpc>
                <a:spcPct val="100000"/>
              </a:lnSpc>
              <a:spcBef>
                <a:spcPts val="0"/>
              </a:spcBef>
              <a:spcAft>
                <a:spcPts val="0"/>
              </a:spcAft>
              <a:buClrTx/>
              <a:buSzTx/>
              <a:buFontTx/>
              <a:buNone/>
              <a:tabLst/>
              <a:defRPr sz="1200" b="1">
                <a:solidFill>
                  <a:sysClr val="windowText" lastClr="000000">
                    <a:lumMod val="65000"/>
                    <a:lumOff val="35000"/>
                  </a:sysClr>
                </a:solidFill>
              </a:defRPr>
            </a:pPr>
            <a:r>
              <a:rPr lang="fr-FR" sz="1200" b="1"/>
              <a:t>par DR</a:t>
            </a:r>
          </a:p>
        </c:rich>
      </c:tx>
      <c:layout>
        <c:manualLayout>
          <c:xMode val="edge"/>
          <c:yMode val="edge"/>
          <c:x val="0.24353043988666528"/>
          <c:y val="1.428564557702901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811433126213276"/>
          <c:w val="0.89920800524934386"/>
          <c:h val="0.66833950047071666"/>
        </c:manualLayout>
      </c:layout>
      <c:barChart>
        <c:barDir val="col"/>
        <c:grouping val="clustered"/>
        <c:varyColors val="0"/>
        <c:ser>
          <c:idx val="0"/>
          <c:order val="0"/>
          <c:spPr>
            <a:solidFill>
              <a:schemeClr val="tx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EBF5-40CA-A0C5-E77450C9FBF3}"/>
              </c:ext>
            </c:extLst>
          </c:dPt>
          <c:dPt>
            <c:idx val="1"/>
            <c:invertIfNegative val="0"/>
            <c:bubble3D val="0"/>
            <c:spPr>
              <a:solidFill>
                <a:srgbClr val="FF0000"/>
              </a:solidFill>
              <a:ln>
                <a:noFill/>
              </a:ln>
              <a:effectLst/>
            </c:spPr>
            <c:extLst>
              <c:ext xmlns:c16="http://schemas.microsoft.com/office/drawing/2014/chart" uri="{C3380CC4-5D6E-409C-BE32-E72D297353CC}">
                <c16:uniqueId val="{00000003-EBF5-40CA-A0C5-E77450C9FBF3}"/>
              </c:ext>
            </c:extLst>
          </c:dPt>
          <c:dLbls>
            <c:dLbl>
              <c:idx val="0"/>
              <c:layout>
                <c:manualLayout>
                  <c:x val="0.10405191998059066"/>
                  <c:y val="6.84598214285714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F5-40CA-A0C5-E77450C9FBF3}"/>
                </c:ext>
              </c:extLst>
            </c:dLbl>
            <c:dLbl>
              <c:idx val="2"/>
              <c:layout>
                <c:manualLayout>
                  <c:x val="5.6022408963584411E-3"/>
                  <c:y val="9.449404761904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E00-47BA-B0F9-B0BA7D8AFDF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détaillé'!$L$13,'Tableau détaillé'!$L$18,'Tableau détaillé'!$L$5)</c:f>
              <c:numCache>
                <c:formatCode>0.0%</c:formatCode>
                <c:ptCount val="3"/>
                <c:pt idx="0">
                  <c:v>-4.3779161782070086E-2</c:v>
                </c:pt>
                <c:pt idx="1">
                  <c:v>5.8917726309541729E-2</c:v>
                </c:pt>
                <c:pt idx="2">
                  <c:v>-1.1055680140595214E-2</c:v>
                </c:pt>
              </c:numCache>
            </c:numRef>
          </c:val>
          <c:extLst>
            <c:ext xmlns:c16="http://schemas.microsoft.com/office/drawing/2014/chart" uri="{C3380CC4-5D6E-409C-BE32-E72D297353CC}">
              <c16:uniqueId val="{00000004-EBF5-40CA-A0C5-E77450C9FBF3}"/>
            </c:ext>
          </c:extLst>
        </c:ser>
        <c:dLbls>
          <c:showLegendKey val="0"/>
          <c:showVal val="0"/>
          <c:showCatName val="0"/>
          <c:showSerName val="0"/>
          <c:showPercent val="0"/>
          <c:showBubbleSize val="0"/>
        </c:dLbls>
        <c:gapWidth val="219"/>
        <c:overlap val="-27"/>
        <c:axId val="1032745592"/>
        <c:axId val="1032747552"/>
      </c:barChart>
      <c:catAx>
        <c:axId val="1032745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7552"/>
        <c:crosses val="autoZero"/>
        <c:auto val="1"/>
        <c:lblAlgn val="ctr"/>
        <c:lblOffset val="100"/>
        <c:noMultiLvlLbl val="0"/>
      </c:catAx>
      <c:valAx>
        <c:axId val="103274755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5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 des encours de credits</a:t>
            </a:r>
          </a:p>
        </c:rich>
      </c:tx>
      <c:layout>
        <c:manualLayout>
          <c:xMode val="edge"/>
          <c:yMode val="edge"/>
          <c:x val="0.26315966754155729"/>
          <c:y val="3.33333333333333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405211848518935"/>
          <c:w val="0.89920800524934386"/>
          <c:h val="0.64476415448069002"/>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5529-4CA0-9CE6-0EE0F6F39DEC}"/>
              </c:ext>
            </c:extLst>
          </c:dPt>
          <c:dPt>
            <c:idx val="1"/>
            <c:invertIfNegative val="0"/>
            <c:bubble3D val="0"/>
            <c:spPr>
              <a:solidFill>
                <a:schemeClr val="tx1"/>
              </a:solidFill>
              <a:ln>
                <a:noFill/>
              </a:ln>
              <a:effectLst/>
            </c:spPr>
            <c:extLst>
              <c:ext xmlns:c16="http://schemas.microsoft.com/office/drawing/2014/chart" uri="{C3380CC4-5D6E-409C-BE32-E72D297353CC}">
                <c16:uniqueId val="{00000003-5529-4CA0-9CE6-0EE0F6F39DEC}"/>
              </c:ext>
            </c:extLst>
          </c:dPt>
          <c:dPt>
            <c:idx val="2"/>
            <c:invertIfNegative val="0"/>
            <c:bubble3D val="0"/>
            <c:spPr>
              <a:solidFill>
                <a:schemeClr val="tx1"/>
              </a:solidFill>
              <a:ln>
                <a:noFill/>
              </a:ln>
              <a:effectLst/>
            </c:spPr>
            <c:extLst>
              <c:ext xmlns:c16="http://schemas.microsoft.com/office/drawing/2014/chart" uri="{C3380CC4-5D6E-409C-BE32-E72D297353CC}">
                <c16:uniqueId val="{00000005-5529-4CA0-9CE6-0EE0F6F39DEC}"/>
              </c:ext>
            </c:extLst>
          </c:dPt>
          <c:dPt>
            <c:idx val="3"/>
            <c:invertIfNegative val="0"/>
            <c:bubble3D val="0"/>
            <c:spPr>
              <a:solidFill>
                <a:schemeClr val="tx1"/>
              </a:solidFill>
              <a:ln>
                <a:noFill/>
              </a:ln>
              <a:effectLst/>
            </c:spPr>
            <c:extLst>
              <c:ext xmlns:c16="http://schemas.microsoft.com/office/drawing/2014/chart" uri="{C3380CC4-5D6E-409C-BE32-E72D297353CC}">
                <c16:uniqueId val="{00000007-5529-4CA0-9CE6-0EE0F6F39DEC}"/>
              </c:ext>
            </c:extLst>
          </c:dPt>
          <c:dPt>
            <c:idx val="4"/>
            <c:invertIfNegative val="0"/>
            <c:bubble3D val="0"/>
            <c:spPr>
              <a:solidFill>
                <a:schemeClr val="tx1"/>
              </a:solidFill>
              <a:ln>
                <a:noFill/>
              </a:ln>
              <a:effectLst/>
            </c:spPr>
            <c:extLst>
              <c:ext xmlns:c16="http://schemas.microsoft.com/office/drawing/2014/chart" uri="{C3380CC4-5D6E-409C-BE32-E72D297353CC}">
                <c16:uniqueId val="{00000009-5529-4CA0-9CE6-0EE0F6F39DEC}"/>
              </c:ext>
            </c:extLst>
          </c:dPt>
          <c:dPt>
            <c:idx val="5"/>
            <c:invertIfNegative val="0"/>
            <c:bubble3D val="0"/>
            <c:spPr>
              <a:solidFill>
                <a:schemeClr val="tx1"/>
              </a:solidFill>
              <a:ln>
                <a:noFill/>
              </a:ln>
              <a:effectLst/>
            </c:spPr>
            <c:extLst>
              <c:ext xmlns:c16="http://schemas.microsoft.com/office/drawing/2014/chart" uri="{C3380CC4-5D6E-409C-BE32-E72D297353CC}">
                <c16:uniqueId val="{0000000B-5529-4CA0-9CE6-0EE0F6F39DEC}"/>
              </c:ext>
            </c:extLst>
          </c:dPt>
          <c:dPt>
            <c:idx val="6"/>
            <c:invertIfNegative val="0"/>
            <c:bubble3D val="0"/>
            <c:spPr>
              <a:solidFill>
                <a:schemeClr val="tx1"/>
              </a:solidFill>
              <a:ln>
                <a:noFill/>
              </a:ln>
              <a:effectLst/>
            </c:spPr>
            <c:extLst>
              <c:ext xmlns:c16="http://schemas.microsoft.com/office/drawing/2014/chart" uri="{C3380CC4-5D6E-409C-BE32-E72D297353CC}">
                <c16:uniqueId val="{0000000D-5529-4CA0-9CE6-0EE0F6F39DEC}"/>
              </c:ext>
            </c:extLst>
          </c:dPt>
          <c:dPt>
            <c:idx val="7"/>
            <c:invertIfNegative val="0"/>
            <c:bubble3D val="0"/>
            <c:spPr>
              <a:solidFill>
                <a:srgbClr val="FF0000"/>
              </a:solidFill>
              <a:ln>
                <a:noFill/>
              </a:ln>
              <a:effectLst/>
            </c:spPr>
            <c:extLst>
              <c:ext xmlns:c16="http://schemas.microsoft.com/office/drawing/2014/chart" uri="{C3380CC4-5D6E-409C-BE32-E72D297353CC}">
                <c16:uniqueId val="{0000000F-5529-4CA0-9CE6-0EE0F6F39DEC}"/>
              </c:ext>
            </c:extLst>
          </c:dPt>
          <c:dPt>
            <c:idx val="8"/>
            <c:invertIfNegative val="0"/>
            <c:bubble3D val="0"/>
            <c:spPr>
              <a:solidFill>
                <a:srgbClr val="FF0000"/>
              </a:solidFill>
              <a:ln>
                <a:noFill/>
              </a:ln>
              <a:effectLst/>
            </c:spPr>
            <c:extLst>
              <c:ext xmlns:c16="http://schemas.microsoft.com/office/drawing/2014/chart" uri="{C3380CC4-5D6E-409C-BE32-E72D297353CC}">
                <c16:uniqueId val="{00000011-5529-4CA0-9CE6-0EE0F6F39DEC}"/>
              </c:ext>
            </c:extLst>
          </c:dPt>
          <c:dPt>
            <c:idx val="9"/>
            <c:invertIfNegative val="0"/>
            <c:bubble3D val="0"/>
            <c:spPr>
              <a:solidFill>
                <a:srgbClr val="FF0000"/>
              </a:solidFill>
              <a:ln>
                <a:noFill/>
              </a:ln>
              <a:effectLst/>
            </c:spPr>
            <c:extLst>
              <c:ext xmlns:c16="http://schemas.microsoft.com/office/drawing/2014/chart" uri="{C3380CC4-5D6E-409C-BE32-E72D297353CC}">
                <c16:uniqueId val="{00000013-5529-4CA0-9CE6-0EE0F6F39DEC}"/>
              </c:ext>
            </c:extLst>
          </c:dPt>
          <c:dPt>
            <c:idx val="10"/>
            <c:invertIfNegative val="0"/>
            <c:bubble3D val="0"/>
            <c:spPr>
              <a:solidFill>
                <a:srgbClr val="FF0000"/>
              </a:solidFill>
              <a:ln>
                <a:noFill/>
              </a:ln>
              <a:effectLst/>
            </c:spPr>
            <c:extLst>
              <c:ext xmlns:c16="http://schemas.microsoft.com/office/drawing/2014/chart" uri="{C3380CC4-5D6E-409C-BE32-E72D297353CC}">
                <c16:uniqueId val="{00000015-5529-4CA0-9CE6-0EE0F6F39DEC}"/>
              </c:ext>
            </c:extLst>
          </c:dPt>
          <c:dLbls>
            <c:dLbl>
              <c:idx val="0"/>
              <c:layout>
                <c:manualLayout>
                  <c:x val="0"/>
                  <c:y val="7.22797150356205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29-4CA0-9CE6-0EE0F6F39DEC}"/>
                </c:ext>
              </c:extLst>
            </c:dLbl>
            <c:dLbl>
              <c:idx val="1"/>
              <c:layout>
                <c:manualLayout>
                  <c:x val="-8.3771030407268007E-3"/>
                  <c:y val="-1.41572144795546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29-4CA0-9CE6-0EE0F6F39DEC}"/>
                </c:ext>
              </c:extLst>
            </c:dLbl>
            <c:dLbl>
              <c:idx val="2"/>
              <c:layout>
                <c:manualLayout>
                  <c:x val="2.7778531993845595E-3"/>
                  <c:y val="1.232894689533671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15:layout>
                    <c:manualLayout>
                      <c:w val="6.6888888888888887E-2"/>
                      <c:h val="6.2071616047994001E-2"/>
                    </c:manualLayout>
                  </c15:layout>
                </c:ext>
                <c:ext xmlns:c16="http://schemas.microsoft.com/office/drawing/2014/chart" uri="{C3380CC4-5D6E-409C-BE32-E72D297353CC}">
                  <c16:uniqueId val="{00000005-5529-4CA0-9CE6-0EE0F6F39DEC}"/>
                </c:ext>
              </c:extLst>
            </c:dLbl>
            <c:dLbl>
              <c:idx val="4"/>
              <c:layout>
                <c:manualLayout>
                  <c:x val="2.8727040197570066E-3"/>
                  <c:y val="8.5221470953498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529-4CA0-9CE6-0EE0F6F39DEC}"/>
                </c:ext>
              </c:extLst>
            </c:dLbl>
            <c:dLbl>
              <c:idx val="6"/>
              <c:layout>
                <c:manualLayout>
                  <c:x val="1.4487001389164517E-4"/>
                  <c:y val="-1.35202612575318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529-4CA0-9CE6-0EE0F6F39DEC}"/>
                </c:ext>
              </c:extLst>
            </c:dLbl>
            <c:dLbl>
              <c:idx val="8"/>
              <c:layout>
                <c:manualLayout>
                  <c:x val="2.7777256514781297E-3"/>
                  <c:y val="-5.22288572214923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529-4CA0-9CE6-0EE0F6F39DEC}"/>
                </c:ext>
              </c:extLst>
            </c:dLbl>
            <c:dLbl>
              <c:idx val="9"/>
              <c:layout>
                <c:manualLayout>
                  <c:x val="5.5774273172289144E-3"/>
                  <c:y val="-7.9959069528228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529-4CA0-9CE6-0EE0F6F39DEC}"/>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détaillé'!$H$21:$H$27,'Tableau détaillé'!$H$29:$H$32)</c:f>
              <c:numCache>
                <c:formatCode>0.0%</c:formatCode>
                <c:ptCount val="11"/>
                <c:pt idx="0">
                  <c:v>0.10840435009238347</c:v>
                </c:pt>
                <c:pt idx="1">
                  <c:v>0.14012865638316296</c:v>
                </c:pt>
                <c:pt idx="2">
                  <c:v>0.1023929752888677</c:v>
                </c:pt>
                <c:pt idx="3">
                  <c:v>-7.5575933222685854E-2</c:v>
                </c:pt>
                <c:pt idx="4">
                  <c:v>-2.5555901553273253E-2</c:v>
                </c:pt>
                <c:pt idx="5">
                  <c:v>-6.1268795711962643E-2</c:v>
                </c:pt>
                <c:pt idx="6">
                  <c:v>8.5015698568648101E-2</c:v>
                </c:pt>
                <c:pt idx="7">
                  <c:v>0.13912103246456953</c:v>
                </c:pt>
                <c:pt idx="8">
                  <c:v>0.12616422810788075</c:v>
                </c:pt>
                <c:pt idx="9">
                  <c:v>0.20442466492871336</c:v>
                </c:pt>
                <c:pt idx="10">
                  <c:v>1.0390984116237734E-2</c:v>
                </c:pt>
              </c:numCache>
            </c:numRef>
          </c:val>
          <c:extLst>
            <c:ext xmlns:c16="http://schemas.microsoft.com/office/drawing/2014/chart" uri="{C3380CC4-5D6E-409C-BE32-E72D297353CC}">
              <c16:uniqueId val="{00000016-5529-4CA0-9CE6-0EE0F6F39DEC}"/>
            </c:ext>
          </c:extLst>
        </c:ser>
        <c:dLbls>
          <c:showLegendKey val="0"/>
          <c:showVal val="0"/>
          <c:showCatName val="0"/>
          <c:showSerName val="0"/>
          <c:showPercent val="0"/>
          <c:showBubbleSize val="0"/>
        </c:dLbls>
        <c:gapWidth val="219"/>
        <c:overlap val="-27"/>
        <c:axId val="1032746768"/>
        <c:axId val="1032740496"/>
      </c:barChart>
      <c:lineChart>
        <c:grouping val="standard"/>
        <c:varyColors val="0"/>
        <c:ser>
          <c:idx val="1"/>
          <c:order val="1"/>
          <c:spPr>
            <a:ln w="28575" cap="rnd">
              <a:solidFill>
                <a:srgbClr val="C00000"/>
              </a:solidFill>
              <a:round/>
            </a:ln>
            <a:effectLst/>
          </c:spPr>
          <c:marker>
            <c:symbol val="none"/>
          </c:marker>
          <c:val>
            <c:numRef>
              <c:f>('Tableau détaillé'!$J$21:$J$27,'Tableau détaillé'!$J$29:$J$32)</c:f>
              <c:numCache>
                <c:formatCode>0.0%</c:formatCode>
                <c:ptCount val="11"/>
                <c:pt idx="0">
                  <c:v>7.8157129242167001E-2</c:v>
                </c:pt>
                <c:pt idx="1">
                  <c:v>7.8157129242167001E-2</c:v>
                </c:pt>
                <c:pt idx="2">
                  <c:v>7.8157129242167001E-2</c:v>
                </c:pt>
                <c:pt idx="3">
                  <c:v>7.8157129242167001E-2</c:v>
                </c:pt>
                <c:pt idx="4">
                  <c:v>7.8157129242167001E-2</c:v>
                </c:pt>
                <c:pt idx="5">
                  <c:v>7.8157129242167001E-2</c:v>
                </c:pt>
                <c:pt idx="6">
                  <c:v>7.8157129242167001E-2</c:v>
                </c:pt>
                <c:pt idx="7">
                  <c:v>7.8157129242167001E-2</c:v>
                </c:pt>
                <c:pt idx="8">
                  <c:v>7.8157129242167001E-2</c:v>
                </c:pt>
                <c:pt idx="9">
                  <c:v>7.8157129242167001E-2</c:v>
                </c:pt>
                <c:pt idx="10">
                  <c:v>7.8157129242167001E-2</c:v>
                </c:pt>
              </c:numCache>
            </c:numRef>
          </c:val>
          <c:smooth val="0"/>
          <c:extLst>
            <c:ext xmlns:c16="http://schemas.microsoft.com/office/drawing/2014/chart" uri="{C3380CC4-5D6E-409C-BE32-E72D297353CC}">
              <c16:uniqueId val="{00000017-5529-4CA0-9CE6-0EE0F6F39DEC}"/>
            </c:ext>
          </c:extLst>
        </c:ser>
        <c:dLbls>
          <c:showLegendKey val="0"/>
          <c:showVal val="0"/>
          <c:showCatName val="0"/>
          <c:showSerName val="0"/>
          <c:showPercent val="0"/>
          <c:showBubbleSize val="0"/>
        </c:dLbls>
        <c:marker val="1"/>
        <c:smooth val="0"/>
        <c:axId val="1032746768"/>
        <c:axId val="1032740496"/>
      </c:lineChart>
      <c:catAx>
        <c:axId val="103274676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0496"/>
        <c:crosses val="autoZero"/>
        <c:auto val="1"/>
        <c:lblAlgn val="ctr"/>
        <c:lblOffset val="100"/>
        <c:noMultiLvlLbl val="0"/>
      </c:catAx>
      <c:valAx>
        <c:axId val="10327404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6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a:t>
            </a:r>
            <a:r>
              <a:rPr lang="fr-FR" baseline="0"/>
              <a:t> </a:t>
            </a:r>
            <a:r>
              <a:rPr lang="fr-FR"/>
              <a:t>des encours de credits par DR</a:t>
            </a:r>
          </a:p>
        </c:rich>
      </c:tx>
      <c:layout>
        <c:manualLayout>
          <c:xMode val="edge"/>
          <c:yMode val="edge"/>
          <c:x val="0.21785319938455971"/>
          <c:y val="2.85715312983137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2684-40ED-B744-13D561D99844}"/>
              </c:ext>
            </c:extLst>
          </c:dPt>
          <c:dPt>
            <c:idx val="1"/>
            <c:invertIfNegative val="0"/>
            <c:bubble3D val="0"/>
            <c:spPr>
              <a:solidFill>
                <a:srgbClr val="FF0000"/>
              </a:solidFill>
              <a:ln>
                <a:noFill/>
              </a:ln>
              <a:effectLst/>
            </c:spPr>
            <c:extLst>
              <c:ext xmlns:c16="http://schemas.microsoft.com/office/drawing/2014/chart" uri="{C3380CC4-5D6E-409C-BE32-E72D297353CC}">
                <c16:uniqueId val="{00000001-2684-40ED-B744-13D561D99844}"/>
              </c:ext>
            </c:extLst>
          </c:dPt>
          <c:dLbls>
            <c:dLbl>
              <c:idx val="0"/>
              <c:layout>
                <c:manualLayout>
                  <c:x val="8.6880463959946395E-3"/>
                  <c:y val="-9.346028241571224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84-40ED-B744-13D561D9984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détaillé'!$H$28,'Tableau détaillé'!$H$33,'Tableau détaillé'!$H$20)</c:f>
              <c:numCache>
                <c:formatCode>0.0%</c:formatCode>
                <c:ptCount val="3"/>
                <c:pt idx="0">
                  <c:v>6.0507364885236337E-2</c:v>
                </c:pt>
                <c:pt idx="1">
                  <c:v>0.13202665705230698</c:v>
                </c:pt>
                <c:pt idx="2">
                  <c:v>7.8157129242167001E-2</c:v>
                </c:pt>
              </c:numCache>
            </c:numRef>
          </c:val>
          <c:extLst>
            <c:ext xmlns:c16="http://schemas.microsoft.com/office/drawing/2014/chart" uri="{C3380CC4-5D6E-409C-BE32-E72D297353CC}">
              <c16:uniqueId val="{00000003-2684-40ED-B744-13D561D99844}"/>
            </c:ext>
          </c:extLst>
        </c:ser>
        <c:dLbls>
          <c:showLegendKey val="0"/>
          <c:showVal val="0"/>
          <c:showCatName val="0"/>
          <c:showSerName val="0"/>
          <c:showPercent val="0"/>
          <c:showBubbleSize val="0"/>
        </c:dLbls>
        <c:gapWidth val="219"/>
        <c:overlap val="-27"/>
        <c:axId val="1032740888"/>
        <c:axId val="1032737360"/>
      </c:barChart>
      <c:catAx>
        <c:axId val="1032740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7360"/>
        <c:crosses val="autoZero"/>
        <c:auto val="1"/>
        <c:lblAlgn val="ctr"/>
        <c:lblOffset val="100"/>
        <c:noMultiLvlLbl val="0"/>
      </c:catAx>
      <c:valAx>
        <c:axId val="103273736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0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YTY des encours de credits</a:t>
            </a:r>
          </a:p>
        </c:rich>
      </c:tx>
      <c:layout>
        <c:manualLayout>
          <c:xMode val="edge"/>
          <c:yMode val="edge"/>
          <c:x val="0.27982633420822395"/>
          <c:y val="3.33333333333333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0521447319085114"/>
          <c:w val="0.89920800524934386"/>
          <c:h val="0.6636017997750280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96F2-4F3D-9FC0-83A3C8E34C20}"/>
              </c:ext>
            </c:extLst>
          </c:dPt>
          <c:dPt>
            <c:idx val="1"/>
            <c:invertIfNegative val="0"/>
            <c:bubble3D val="0"/>
            <c:spPr>
              <a:solidFill>
                <a:schemeClr val="tx1"/>
              </a:solidFill>
              <a:ln>
                <a:noFill/>
              </a:ln>
              <a:effectLst/>
            </c:spPr>
            <c:extLst>
              <c:ext xmlns:c16="http://schemas.microsoft.com/office/drawing/2014/chart" uri="{C3380CC4-5D6E-409C-BE32-E72D297353CC}">
                <c16:uniqueId val="{00000003-96F2-4F3D-9FC0-83A3C8E34C20}"/>
              </c:ext>
            </c:extLst>
          </c:dPt>
          <c:dPt>
            <c:idx val="2"/>
            <c:invertIfNegative val="0"/>
            <c:bubble3D val="0"/>
            <c:spPr>
              <a:solidFill>
                <a:schemeClr val="tx1"/>
              </a:solidFill>
              <a:ln>
                <a:noFill/>
              </a:ln>
              <a:effectLst/>
            </c:spPr>
            <c:extLst>
              <c:ext xmlns:c16="http://schemas.microsoft.com/office/drawing/2014/chart" uri="{C3380CC4-5D6E-409C-BE32-E72D297353CC}">
                <c16:uniqueId val="{00000005-96F2-4F3D-9FC0-83A3C8E34C20}"/>
              </c:ext>
            </c:extLst>
          </c:dPt>
          <c:dPt>
            <c:idx val="3"/>
            <c:invertIfNegative val="0"/>
            <c:bubble3D val="0"/>
            <c:spPr>
              <a:solidFill>
                <a:schemeClr val="tx1"/>
              </a:solidFill>
              <a:ln>
                <a:noFill/>
              </a:ln>
              <a:effectLst/>
            </c:spPr>
            <c:extLst>
              <c:ext xmlns:c16="http://schemas.microsoft.com/office/drawing/2014/chart" uri="{C3380CC4-5D6E-409C-BE32-E72D297353CC}">
                <c16:uniqueId val="{00000007-96F2-4F3D-9FC0-83A3C8E34C20}"/>
              </c:ext>
            </c:extLst>
          </c:dPt>
          <c:dPt>
            <c:idx val="4"/>
            <c:invertIfNegative val="0"/>
            <c:bubble3D val="0"/>
            <c:spPr>
              <a:solidFill>
                <a:schemeClr val="tx1"/>
              </a:solidFill>
              <a:ln>
                <a:noFill/>
              </a:ln>
              <a:effectLst/>
            </c:spPr>
            <c:extLst>
              <c:ext xmlns:c16="http://schemas.microsoft.com/office/drawing/2014/chart" uri="{C3380CC4-5D6E-409C-BE32-E72D297353CC}">
                <c16:uniqueId val="{00000009-96F2-4F3D-9FC0-83A3C8E34C20}"/>
              </c:ext>
            </c:extLst>
          </c:dPt>
          <c:dPt>
            <c:idx val="5"/>
            <c:invertIfNegative val="0"/>
            <c:bubble3D val="0"/>
            <c:spPr>
              <a:solidFill>
                <a:schemeClr val="tx1"/>
              </a:solidFill>
              <a:ln>
                <a:noFill/>
              </a:ln>
              <a:effectLst/>
            </c:spPr>
            <c:extLst>
              <c:ext xmlns:c16="http://schemas.microsoft.com/office/drawing/2014/chart" uri="{C3380CC4-5D6E-409C-BE32-E72D297353CC}">
                <c16:uniqueId val="{0000000B-96F2-4F3D-9FC0-83A3C8E34C20}"/>
              </c:ext>
            </c:extLst>
          </c:dPt>
          <c:dPt>
            <c:idx val="6"/>
            <c:invertIfNegative val="0"/>
            <c:bubble3D val="0"/>
            <c:spPr>
              <a:solidFill>
                <a:schemeClr val="tx1"/>
              </a:solidFill>
              <a:ln>
                <a:noFill/>
              </a:ln>
              <a:effectLst/>
            </c:spPr>
            <c:extLst>
              <c:ext xmlns:c16="http://schemas.microsoft.com/office/drawing/2014/chart" uri="{C3380CC4-5D6E-409C-BE32-E72D297353CC}">
                <c16:uniqueId val="{0000000D-96F2-4F3D-9FC0-83A3C8E34C20}"/>
              </c:ext>
            </c:extLst>
          </c:dPt>
          <c:dPt>
            <c:idx val="7"/>
            <c:invertIfNegative val="0"/>
            <c:bubble3D val="0"/>
            <c:spPr>
              <a:solidFill>
                <a:srgbClr val="FF0000"/>
              </a:solidFill>
              <a:ln>
                <a:noFill/>
              </a:ln>
              <a:effectLst/>
            </c:spPr>
            <c:extLst>
              <c:ext xmlns:c16="http://schemas.microsoft.com/office/drawing/2014/chart" uri="{C3380CC4-5D6E-409C-BE32-E72D297353CC}">
                <c16:uniqueId val="{0000000F-96F2-4F3D-9FC0-83A3C8E34C20}"/>
              </c:ext>
            </c:extLst>
          </c:dPt>
          <c:dPt>
            <c:idx val="8"/>
            <c:invertIfNegative val="0"/>
            <c:bubble3D val="0"/>
            <c:spPr>
              <a:solidFill>
                <a:srgbClr val="FF0000"/>
              </a:solidFill>
              <a:ln>
                <a:noFill/>
              </a:ln>
              <a:effectLst/>
            </c:spPr>
            <c:extLst>
              <c:ext xmlns:c16="http://schemas.microsoft.com/office/drawing/2014/chart" uri="{C3380CC4-5D6E-409C-BE32-E72D297353CC}">
                <c16:uniqueId val="{00000011-96F2-4F3D-9FC0-83A3C8E34C20}"/>
              </c:ext>
            </c:extLst>
          </c:dPt>
          <c:dPt>
            <c:idx val="9"/>
            <c:invertIfNegative val="0"/>
            <c:bubble3D val="0"/>
            <c:spPr>
              <a:solidFill>
                <a:srgbClr val="FF0000"/>
              </a:solidFill>
              <a:ln>
                <a:noFill/>
              </a:ln>
              <a:effectLst/>
            </c:spPr>
            <c:extLst>
              <c:ext xmlns:c16="http://schemas.microsoft.com/office/drawing/2014/chart" uri="{C3380CC4-5D6E-409C-BE32-E72D297353CC}">
                <c16:uniqueId val="{00000013-96F2-4F3D-9FC0-83A3C8E34C20}"/>
              </c:ext>
            </c:extLst>
          </c:dPt>
          <c:dPt>
            <c:idx val="10"/>
            <c:invertIfNegative val="0"/>
            <c:bubble3D val="0"/>
            <c:spPr>
              <a:solidFill>
                <a:srgbClr val="FF0000"/>
              </a:solidFill>
              <a:ln>
                <a:noFill/>
              </a:ln>
              <a:effectLst/>
            </c:spPr>
            <c:extLst>
              <c:ext xmlns:c16="http://schemas.microsoft.com/office/drawing/2014/chart" uri="{C3380CC4-5D6E-409C-BE32-E72D297353CC}">
                <c16:uniqueId val="{00000015-96F2-4F3D-9FC0-83A3C8E34C20}"/>
              </c:ext>
            </c:extLst>
          </c:dPt>
          <c:dLbls>
            <c:dLbl>
              <c:idx val="0"/>
              <c:layout>
                <c:manualLayout>
                  <c:x val="0"/>
                  <c:y val="7.228346456692913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F2-4F3D-9FC0-83A3C8E34C20}"/>
                </c:ext>
              </c:extLst>
            </c:dLbl>
            <c:dLbl>
              <c:idx val="1"/>
              <c:layout>
                <c:manualLayout>
                  <c:x val="0"/>
                  <c:y val="-4.94243670974523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F2-4F3D-9FC0-83A3C8E34C20}"/>
                </c:ext>
              </c:extLst>
            </c:dLbl>
            <c:dLbl>
              <c:idx val="2"/>
              <c:layout>
                <c:manualLayout>
                  <c:x val="2.8727832066593757E-3"/>
                  <c:y val="-4.89477040816326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6F2-4F3D-9FC0-83A3C8E34C20}"/>
                </c:ext>
              </c:extLst>
            </c:dLbl>
            <c:dLbl>
              <c:idx val="5"/>
              <c:layout>
                <c:manualLayout>
                  <c:x val="2.7415852334419111E-3"/>
                  <c:y val="1.06079931972789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6F2-4F3D-9FC0-83A3C8E34C20}"/>
                </c:ext>
              </c:extLst>
            </c:dLbl>
            <c:dLbl>
              <c:idx val="6"/>
              <c:layout>
                <c:manualLayout>
                  <c:x val="2.7777777777777779E-3"/>
                  <c:y val="7.980877390326166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6F2-4F3D-9FC0-83A3C8E34C20}"/>
                </c:ext>
              </c:extLst>
            </c:dLbl>
            <c:dLbl>
              <c:idx val="8"/>
              <c:layout>
                <c:manualLayout>
                  <c:x val="2.7953729817810817E-3"/>
                  <c:y val="-2.88972925540402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6F2-4F3D-9FC0-83A3C8E34C20}"/>
                </c:ext>
              </c:extLst>
            </c:dLbl>
            <c:dLbl>
              <c:idx val="10"/>
              <c:layout>
                <c:manualLayout>
                  <c:x val="-1.0562292934124084E-16"/>
                  <c:y val="0.11235833560245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6F2-4F3D-9FC0-83A3C8E34C2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détaillé'!$I$21:$I$27,'Tableau détaillé'!$I$29:$I$32)</c:f>
              <c:numCache>
                <c:formatCode>0.0%</c:formatCode>
                <c:ptCount val="11"/>
                <c:pt idx="0">
                  <c:v>0.10840435009238347</c:v>
                </c:pt>
                <c:pt idx="1">
                  <c:v>0.14012865638316296</c:v>
                </c:pt>
                <c:pt idx="2">
                  <c:v>0.1023929752888677</c:v>
                </c:pt>
                <c:pt idx="3">
                  <c:v>-7.5575933222685854E-2</c:v>
                </c:pt>
                <c:pt idx="4">
                  <c:v>-2.5555901553273253E-2</c:v>
                </c:pt>
                <c:pt idx="5">
                  <c:v>-6.1268795711962643E-2</c:v>
                </c:pt>
                <c:pt idx="6">
                  <c:v>8.5015698568648101E-2</c:v>
                </c:pt>
                <c:pt idx="7">
                  <c:v>0.13912103246456953</c:v>
                </c:pt>
                <c:pt idx="8">
                  <c:v>0.12616422810788075</c:v>
                </c:pt>
                <c:pt idx="9">
                  <c:v>0.20442466492871336</c:v>
                </c:pt>
                <c:pt idx="10">
                  <c:v>1.0390984116237734E-2</c:v>
                </c:pt>
              </c:numCache>
            </c:numRef>
          </c:val>
          <c:extLst>
            <c:ext xmlns:c16="http://schemas.microsoft.com/office/drawing/2014/chart" uri="{C3380CC4-5D6E-409C-BE32-E72D297353CC}">
              <c16:uniqueId val="{00000016-96F2-4F3D-9FC0-83A3C8E34C20}"/>
            </c:ext>
          </c:extLst>
        </c:ser>
        <c:dLbls>
          <c:showLegendKey val="0"/>
          <c:showVal val="0"/>
          <c:showCatName val="0"/>
          <c:showSerName val="0"/>
          <c:showPercent val="0"/>
          <c:showBubbleSize val="0"/>
        </c:dLbls>
        <c:gapWidth val="219"/>
        <c:overlap val="-27"/>
        <c:axId val="1032741280"/>
        <c:axId val="1032738536"/>
      </c:barChart>
      <c:lineChart>
        <c:grouping val="standard"/>
        <c:varyColors val="0"/>
        <c:ser>
          <c:idx val="1"/>
          <c:order val="1"/>
          <c:spPr>
            <a:ln w="28575" cap="rnd">
              <a:solidFill>
                <a:srgbClr val="C00000"/>
              </a:solidFill>
              <a:round/>
            </a:ln>
            <a:effectLst/>
          </c:spPr>
          <c:marker>
            <c:symbol val="none"/>
          </c:marker>
          <c:val>
            <c:numRef>
              <c:f>('Tableau détaillé'!$K$21:$K$27,'Tableau détaillé'!$K$29:$K$32)</c:f>
              <c:numCache>
                <c:formatCode>0.0%</c:formatCode>
                <c:ptCount val="11"/>
                <c:pt idx="0">
                  <c:v>7.8157129242167001E-2</c:v>
                </c:pt>
                <c:pt idx="1">
                  <c:v>7.8157129242167001E-2</c:v>
                </c:pt>
                <c:pt idx="2">
                  <c:v>7.8157129242167001E-2</c:v>
                </c:pt>
                <c:pt idx="3">
                  <c:v>7.8157129242167001E-2</c:v>
                </c:pt>
                <c:pt idx="4">
                  <c:v>7.8157129242167001E-2</c:v>
                </c:pt>
                <c:pt idx="5">
                  <c:v>7.8157129242167001E-2</c:v>
                </c:pt>
                <c:pt idx="6">
                  <c:v>7.8157129242167001E-2</c:v>
                </c:pt>
                <c:pt idx="7">
                  <c:v>7.8157129242167001E-2</c:v>
                </c:pt>
                <c:pt idx="8">
                  <c:v>7.8157129242167001E-2</c:v>
                </c:pt>
                <c:pt idx="9">
                  <c:v>7.8157129242167001E-2</c:v>
                </c:pt>
                <c:pt idx="10">
                  <c:v>7.8157129242167001E-2</c:v>
                </c:pt>
              </c:numCache>
            </c:numRef>
          </c:val>
          <c:smooth val="0"/>
          <c:extLst>
            <c:ext xmlns:c16="http://schemas.microsoft.com/office/drawing/2014/chart" uri="{C3380CC4-5D6E-409C-BE32-E72D297353CC}">
              <c16:uniqueId val="{00000017-96F2-4F3D-9FC0-83A3C8E34C20}"/>
            </c:ext>
          </c:extLst>
        </c:ser>
        <c:dLbls>
          <c:showLegendKey val="0"/>
          <c:showVal val="0"/>
          <c:showCatName val="0"/>
          <c:showSerName val="0"/>
          <c:showPercent val="0"/>
          <c:showBubbleSize val="0"/>
        </c:dLbls>
        <c:marker val="1"/>
        <c:smooth val="0"/>
        <c:axId val="1032741280"/>
        <c:axId val="1032738536"/>
      </c:lineChart>
      <c:catAx>
        <c:axId val="103274128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8536"/>
        <c:crosses val="autoZero"/>
        <c:auto val="1"/>
        <c:lblAlgn val="ctr"/>
        <c:lblOffset val="100"/>
        <c:noMultiLvlLbl val="0"/>
      </c:catAx>
      <c:valAx>
        <c:axId val="103273853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1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YTY des</a:t>
            </a:r>
            <a:r>
              <a:rPr lang="fr-FR" baseline="0"/>
              <a:t> encours </a:t>
            </a:r>
            <a:r>
              <a:rPr lang="fr-FR"/>
              <a:t>de credits par DR</a:t>
            </a:r>
          </a:p>
        </c:rich>
      </c:tx>
      <c:layout>
        <c:manualLayout>
          <c:xMode val="edge"/>
          <c:yMode val="edge"/>
          <c:x val="0.21786011581614184"/>
          <c:y val="2.857142857142857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4151143607049119"/>
          <c:w val="0.89920800524934386"/>
          <c:h val="0.70797112860892386"/>
        </c:manualLayout>
      </c:layout>
      <c:barChart>
        <c:barDir val="col"/>
        <c:grouping val="clustered"/>
        <c:varyColors val="0"/>
        <c:ser>
          <c:idx val="0"/>
          <c:order val="0"/>
          <c:spPr>
            <a:solidFill>
              <a:schemeClr val="tx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E536-4F4D-9C5A-9280A62A5B25}"/>
              </c:ext>
            </c:extLst>
          </c:dPt>
          <c:dPt>
            <c:idx val="1"/>
            <c:invertIfNegative val="0"/>
            <c:bubble3D val="0"/>
            <c:spPr>
              <a:solidFill>
                <a:srgbClr val="FF0000"/>
              </a:solidFill>
              <a:ln>
                <a:noFill/>
              </a:ln>
              <a:effectLst/>
            </c:spPr>
            <c:extLst>
              <c:ext xmlns:c16="http://schemas.microsoft.com/office/drawing/2014/chart" uri="{C3380CC4-5D6E-409C-BE32-E72D297353CC}">
                <c16:uniqueId val="{00000001-E536-4F4D-9C5A-9280A62A5B25}"/>
              </c:ext>
            </c:extLst>
          </c:dPt>
          <c:dLbls>
            <c:dLbl>
              <c:idx val="0"/>
              <c:layout>
                <c:manualLayout>
                  <c:x val="-3.640349176393539E-2"/>
                  <c:y val="4.653178018444565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36-4F4D-9C5A-9280A62A5B2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détaillé'!$I$28,'Tableau détaillé'!$I$33,'Tableau détaillé'!$I$20)</c:f>
              <c:numCache>
                <c:formatCode>0.0%</c:formatCode>
                <c:ptCount val="3"/>
                <c:pt idx="0">
                  <c:v>6.0507364885236337E-2</c:v>
                </c:pt>
                <c:pt idx="1">
                  <c:v>0.13202665705230698</c:v>
                </c:pt>
                <c:pt idx="2">
                  <c:v>7.8157129242167001E-2</c:v>
                </c:pt>
              </c:numCache>
            </c:numRef>
          </c:val>
          <c:extLst>
            <c:ext xmlns:c16="http://schemas.microsoft.com/office/drawing/2014/chart" uri="{C3380CC4-5D6E-409C-BE32-E72D297353CC}">
              <c16:uniqueId val="{00000003-E536-4F4D-9C5A-9280A62A5B25}"/>
            </c:ext>
          </c:extLst>
        </c:ser>
        <c:dLbls>
          <c:showLegendKey val="0"/>
          <c:showVal val="0"/>
          <c:showCatName val="0"/>
          <c:showSerName val="0"/>
          <c:showPercent val="0"/>
          <c:showBubbleSize val="0"/>
        </c:dLbls>
        <c:gapWidth val="219"/>
        <c:overlap val="-27"/>
        <c:axId val="1032742064"/>
        <c:axId val="1032742848"/>
      </c:barChart>
      <c:catAx>
        <c:axId val="1032742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2848"/>
        <c:crosses val="autoZero"/>
        <c:auto val="1"/>
        <c:lblAlgn val="ctr"/>
        <c:lblOffset val="100"/>
        <c:noMultiLvlLbl val="0"/>
      </c:catAx>
      <c:valAx>
        <c:axId val="103274284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42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Variation des encours de dépôts depuis le début de l'année</a:t>
            </a:r>
          </a:p>
        </c:rich>
      </c:tx>
      <c:layout>
        <c:manualLayout>
          <c:xMode val="edge"/>
          <c:yMode val="edge"/>
          <c:x val="0.16503958559536736"/>
          <c:y val="2.473993764172336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104851693257789"/>
          <c:y val="0.18119144935399703"/>
          <c:w val="0.88263845112267614"/>
          <c:h val="0.59714640022675736"/>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A4F9-4347-88D7-45584C024175}"/>
              </c:ext>
            </c:extLst>
          </c:dPt>
          <c:dPt>
            <c:idx val="1"/>
            <c:invertIfNegative val="0"/>
            <c:bubble3D val="0"/>
            <c:spPr>
              <a:solidFill>
                <a:schemeClr val="tx1"/>
              </a:solidFill>
              <a:ln>
                <a:noFill/>
              </a:ln>
              <a:effectLst/>
            </c:spPr>
            <c:extLst>
              <c:ext xmlns:c16="http://schemas.microsoft.com/office/drawing/2014/chart" uri="{C3380CC4-5D6E-409C-BE32-E72D297353CC}">
                <c16:uniqueId val="{00000003-A4F9-4347-88D7-45584C024175}"/>
              </c:ext>
            </c:extLst>
          </c:dPt>
          <c:dPt>
            <c:idx val="2"/>
            <c:invertIfNegative val="0"/>
            <c:bubble3D val="0"/>
            <c:spPr>
              <a:solidFill>
                <a:schemeClr val="tx1"/>
              </a:solidFill>
              <a:ln>
                <a:noFill/>
              </a:ln>
              <a:effectLst/>
            </c:spPr>
            <c:extLst>
              <c:ext xmlns:c16="http://schemas.microsoft.com/office/drawing/2014/chart" uri="{C3380CC4-5D6E-409C-BE32-E72D297353CC}">
                <c16:uniqueId val="{00000005-A4F9-4347-88D7-45584C024175}"/>
              </c:ext>
            </c:extLst>
          </c:dPt>
          <c:dPt>
            <c:idx val="3"/>
            <c:invertIfNegative val="0"/>
            <c:bubble3D val="0"/>
            <c:spPr>
              <a:solidFill>
                <a:schemeClr val="tx1"/>
              </a:solidFill>
              <a:ln>
                <a:noFill/>
              </a:ln>
              <a:effectLst/>
            </c:spPr>
            <c:extLst>
              <c:ext xmlns:c16="http://schemas.microsoft.com/office/drawing/2014/chart" uri="{C3380CC4-5D6E-409C-BE32-E72D297353CC}">
                <c16:uniqueId val="{00000007-A4F9-4347-88D7-45584C024175}"/>
              </c:ext>
            </c:extLst>
          </c:dPt>
          <c:dPt>
            <c:idx val="4"/>
            <c:invertIfNegative val="0"/>
            <c:bubble3D val="0"/>
            <c:spPr>
              <a:solidFill>
                <a:schemeClr val="tx1"/>
              </a:solidFill>
              <a:ln>
                <a:noFill/>
              </a:ln>
              <a:effectLst/>
            </c:spPr>
            <c:extLst>
              <c:ext xmlns:c16="http://schemas.microsoft.com/office/drawing/2014/chart" uri="{C3380CC4-5D6E-409C-BE32-E72D297353CC}">
                <c16:uniqueId val="{00000009-A4F9-4347-88D7-45584C024175}"/>
              </c:ext>
            </c:extLst>
          </c:dPt>
          <c:dPt>
            <c:idx val="5"/>
            <c:invertIfNegative val="0"/>
            <c:bubble3D val="0"/>
            <c:spPr>
              <a:solidFill>
                <a:schemeClr val="tx1"/>
              </a:solidFill>
              <a:ln>
                <a:noFill/>
              </a:ln>
              <a:effectLst/>
            </c:spPr>
            <c:extLst>
              <c:ext xmlns:c16="http://schemas.microsoft.com/office/drawing/2014/chart" uri="{C3380CC4-5D6E-409C-BE32-E72D297353CC}">
                <c16:uniqueId val="{0000000B-A4F9-4347-88D7-45584C024175}"/>
              </c:ext>
            </c:extLst>
          </c:dPt>
          <c:dPt>
            <c:idx val="6"/>
            <c:invertIfNegative val="0"/>
            <c:bubble3D val="0"/>
            <c:spPr>
              <a:solidFill>
                <a:schemeClr val="tx1"/>
              </a:solidFill>
              <a:ln>
                <a:noFill/>
              </a:ln>
              <a:effectLst/>
            </c:spPr>
            <c:extLst>
              <c:ext xmlns:c16="http://schemas.microsoft.com/office/drawing/2014/chart" uri="{C3380CC4-5D6E-409C-BE32-E72D297353CC}">
                <c16:uniqueId val="{0000000D-A4F9-4347-88D7-45584C024175}"/>
              </c:ext>
            </c:extLst>
          </c:dPt>
          <c:dPt>
            <c:idx val="7"/>
            <c:invertIfNegative val="0"/>
            <c:bubble3D val="0"/>
            <c:spPr>
              <a:solidFill>
                <a:srgbClr val="FF0000"/>
              </a:solidFill>
              <a:ln>
                <a:noFill/>
              </a:ln>
              <a:effectLst/>
            </c:spPr>
            <c:extLst>
              <c:ext xmlns:c16="http://schemas.microsoft.com/office/drawing/2014/chart" uri="{C3380CC4-5D6E-409C-BE32-E72D297353CC}">
                <c16:uniqueId val="{0000000F-A4F9-4347-88D7-45584C024175}"/>
              </c:ext>
            </c:extLst>
          </c:dPt>
          <c:dPt>
            <c:idx val="8"/>
            <c:invertIfNegative val="0"/>
            <c:bubble3D val="0"/>
            <c:spPr>
              <a:solidFill>
                <a:srgbClr val="FF0000"/>
              </a:solidFill>
              <a:ln>
                <a:noFill/>
              </a:ln>
              <a:effectLst/>
            </c:spPr>
            <c:extLst>
              <c:ext xmlns:c16="http://schemas.microsoft.com/office/drawing/2014/chart" uri="{C3380CC4-5D6E-409C-BE32-E72D297353CC}">
                <c16:uniqueId val="{00000011-A4F9-4347-88D7-45584C024175}"/>
              </c:ext>
            </c:extLst>
          </c:dPt>
          <c:dPt>
            <c:idx val="9"/>
            <c:invertIfNegative val="0"/>
            <c:bubble3D val="0"/>
            <c:spPr>
              <a:solidFill>
                <a:srgbClr val="FF0000"/>
              </a:solidFill>
              <a:ln>
                <a:noFill/>
              </a:ln>
              <a:effectLst/>
            </c:spPr>
            <c:extLst>
              <c:ext xmlns:c16="http://schemas.microsoft.com/office/drawing/2014/chart" uri="{C3380CC4-5D6E-409C-BE32-E72D297353CC}">
                <c16:uniqueId val="{00000013-A4F9-4347-88D7-45584C024175}"/>
              </c:ext>
            </c:extLst>
          </c:dPt>
          <c:dPt>
            <c:idx val="10"/>
            <c:invertIfNegative val="0"/>
            <c:bubble3D val="0"/>
            <c:spPr>
              <a:solidFill>
                <a:srgbClr val="FF0000"/>
              </a:solidFill>
              <a:ln>
                <a:noFill/>
              </a:ln>
              <a:effectLst/>
            </c:spPr>
            <c:extLst>
              <c:ext xmlns:c16="http://schemas.microsoft.com/office/drawing/2014/chart" uri="{C3380CC4-5D6E-409C-BE32-E72D297353CC}">
                <c16:uniqueId val="{00000015-A4F9-4347-88D7-45584C024175}"/>
              </c:ext>
            </c:extLst>
          </c:dPt>
          <c:dLbls>
            <c:dLbl>
              <c:idx val="0"/>
              <c:layout>
                <c:manualLayout>
                  <c:x val="2.7803221637584556E-3"/>
                  <c:y val="-2.047000943325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F9-4347-88D7-45584C024175}"/>
                </c:ext>
              </c:extLst>
            </c:dLbl>
            <c:dLbl>
              <c:idx val="1"/>
              <c:layout>
                <c:manualLayout>
                  <c:x val="0"/>
                  <c:y val="-2.28119429985190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F9-4347-88D7-45584C024175}"/>
                </c:ext>
              </c:extLst>
            </c:dLbl>
            <c:dLbl>
              <c:idx val="3"/>
              <c:layout>
                <c:manualLayout>
                  <c:x val="2.8727832066594281E-3"/>
                  <c:y val="-0.19820943699066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4F9-4347-88D7-45584C024175}"/>
                </c:ext>
              </c:extLst>
            </c:dLbl>
            <c:dLbl>
              <c:idx val="4"/>
              <c:layout>
                <c:manualLayout>
                  <c:x val="-5.765924719507781E-3"/>
                  <c:y val="-1.17215322825839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4F9-4347-88D7-45584C024175}"/>
                </c:ext>
              </c:extLst>
            </c:dLbl>
            <c:dLbl>
              <c:idx val="5"/>
              <c:layout>
                <c:manualLayout>
                  <c:x val="-2.8727832066594281E-3"/>
                  <c:y val="-3.46561093141040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4F9-4347-88D7-45584C024175}"/>
                </c:ext>
              </c:extLst>
            </c:dLbl>
            <c:dLbl>
              <c:idx val="6"/>
              <c:layout>
                <c:manualLayout>
                  <c:x val="-2.9867897213175141E-3"/>
                  <c:y val="-0.127115075951724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4F9-4347-88D7-45584C024175}"/>
                </c:ext>
              </c:extLst>
            </c:dLbl>
            <c:dLbl>
              <c:idx val="7"/>
              <c:layout>
                <c:manualLayout>
                  <c:x val="8.231315598986504E-3"/>
                  <c:y val="4.0001417233560089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4F9-4347-88D7-45584C024175}"/>
                </c:ext>
              </c:extLst>
            </c:dLbl>
            <c:dLbl>
              <c:idx val="8"/>
              <c:layout>
                <c:manualLayout>
                  <c:x val="2.8501628664389779E-5"/>
                  <c:y val="0.265041279074922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4F9-4347-88D7-45584C024175}"/>
                </c:ext>
              </c:extLst>
            </c:dLbl>
            <c:dLbl>
              <c:idx val="9"/>
              <c:layout>
                <c:manualLayout>
                  <c:x val="-5.8473579442634817E-3"/>
                  <c:y val="-2.01930277385673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A4F9-4347-88D7-45584C024175}"/>
                </c:ext>
              </c:extLst>
            </c:dLbl>
            <c:dLbl>
              <c:idx val="10"/>
              <c:layout>
                <c:manualLayout>
                  <c:x val="0"/>
                  <c:y val="0.184561112278663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4F9-4347-88D7-45584C024175}"/>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détaillé'!$H$53:$H$59,'Tableau détaillé'!$H$61:$H$64)</c:f>
              <c:numCache>
                <c:formatCode>0.0%</c:formatCode>
                <c:ptCount val="11"/>
                <c:pt idx="0">
                  <c:v>7.5482677326485392E-2</c:v>
                </c:pt>
                <c:pt idx="1">
                  <c:v>0.24268996703702328</c:v>
                </c:pt>
                <c:pt idx="2">
                  <c:v>2.9327321505148385E-2</c:v>
                </c:pt>
                <c:pt idx="3">
                  <c:v>-1.5598335978079358E-2</c:v>
                </c:pt>
                <c:pt idx="4">
                  <c:v>6.7668520385383513E-2</c:v>
                </c:pt>
                <c:pt idx="5">
                  <c:v>-5.112223743377653E-2</c:v>
                </c:pt>
                <c:pt idx="6">
                  <c:v>-5.1190852837148082E-2</c:v>
                </c:pt>
                <c:pt idx="7">
                  <c:v>0.13898354811228408</c:v>
                </c:pt>
                <c:pt idx="8">
                  <c:v>-1.5711636806566842E-2</c:v>
                </c:pt>
                <c:pt idx="9">
                  <c:v>-5.1627588052694184E-2</c:v>
                </c:pt>
                <c:pt idx="10">
                  <c:v>-2.2572266978934996E-2</c:v>
                </c:pt>
              </c:numCache>
            </c:numRef>
          </c:val>
          <c:extLst>
            <c:ext xmlns:c16="http://schemas.microsoft.com/office/drawing/2014/chart" uri="{C3380CC4-5D6E-409C-BE32-E72D297353CC}">
              <c16:uniqueId val="{00000016-A4F9-4347-88D7-45584C024175}"/>
            </c:ext>
          </c:extLst>
        </c:ser>
        <c:dLbls>
          <c:showLegendKey val="0"/>
          <c:showVal val="0"/>
          <c:showCatName val="0"/>
          <c:showSerName val="0"/>
          <c:showPercent val="0"/>
          <c:showBubbleSize val="0"/>
        </c:dLbls>
        <c:gapWidth val="219"/>
        <c:overlap val="-27"/>
        <c:axId val="1032756176"/>
        <c:axId val="1032750296"/>
      </c:barChart>
      <c:lineChart>
        <c:grouping val="standard"/>
        <c:varyColors val="0"/>
        <c:ser>
          <c:idx val="1"/>
          <c:order val="1"/>
          <c:spPr>
            <a:ln w="28575" cap="rnd">
              <a:solidFill>
                <a:srgbClr val="C00000"/>
              </a:solidFill>
              <a:round/>
            </a:ln>
            <a:effectLst/>
          </c:spPr>
          <c:marker>
            <c:symbol val="none"/>
          </c:marker>
          <c:val>
            <c:numRef>
              <c:f>('Tableau détaillé'!$J$53:$J$59,'Tableau détaillé'!$J$61:$J$64)</c:f>
              <c:numCache>
                <c:formatCode>0.0%</c:formatCode>
                <c:ptCount val="11"/>
                <c:pt idx="0">
                  <c:v>4.9873568684914771E-2</c:v>
                </c:pt>
                <c:pt idx="1">
                  <c:v>4.9873568684914771E-2</c:v>
                </c:pt>
                <c:pt idx="2">
                  <c:v>4.9873568684914771E-2</c:v>
                </c:pt>
                <c:pt idx="3">
                  <c:v>4.9873568684914771E-2</c:v>
                </c:pt>
                <c:pt idx="4">
                  <c:v>4.9873568684914771E-2</c:v>
                </c:pt>
                <c:pt idx="5">
                  <c:v>4.9873568684914771E-2</c:v>
                </c:pt>
                <c:pt idx="6">
                  <c:v>4.9873568684914771E-2</c:v>
                </c:pt>
                <c:pt idx="7">
                  <c:v>4.9873568684914771E-2</c:v>
                </c:pt>
                <c:pt idx="8">
                  <c:v>4.9873568684914771E-2</c:v>
                </c:pt>
                <c:pt idx="9">
                  <c:v>4.9873568684914771E-2</c:v>
                </c:pt>
                <c:pt idx="10">
                  <c:v>4.9873568684914771E-2</c:v>
                </c:pt>
              </c:numCache>
            </c:numRef>
          </c:val>
          <c:smooth val="0"/>
          <c:extLst>
            <c:ext xmlns:c16="http://schemas.microsoft.com/office/drawing/2014/chart" uri="{C3380CC4-5D6E-409C-BE32-E72D297353CC}">
              <c16:uniqueId val="{00000017-A4F9-4347-88D7-45584C024175}"/>
            </c:ext>
          </c:extLst>
        </c:ser>
        <c:dLbls>
          <c:showLegendKey val="0"/>
          <c:showVal val="0"/>
          <c:showCatName val="0"/>
          <c:showSerName val="0"/>
          <c:showPercent val="0"/>
          <c:showBubbleSize val="0"/>
        </c:dLbls>
        <c:marker val="1"/>
        <c:smooth val="0"/>
        <c:axId val="1032756176"/>
        <c:axId val="1032750296"/>
      </c:lineChart>
      <c:catAx>
        <c:axId val="103275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0296"/>
        <c:crosses val="autoZero"/>
        <c:auto val="1"/>
        <c:lblAlgn val="ctr"/>
        <c:lblOffset val="100"/>
        <c:noMultiLvlLbl val="0"/>
      </c:catAx>
      <c:valAx>
        <c:axId val="10327502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6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Variation des encours de dépôts depuis le début de l'année par DR</a:t>
            </a:r>
          </a:p>
        </c:rich>
      </c:tx>
      <c:layout>
        <c:manualLayout>
          <c:xMode val="edge"/>
          <c:yMode val="edge"/>
          <c:x val="0.17374439778608211"/>
          <c:y val="1.066114714134584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972269258775728E-2"/>
          <c:y val="0.14591858700151786"/>
          <c:w val="0.89920800524934386"/>
          <c:h val="0.7222568428946381"/>
        </c:manualLayout>
      </c:layout>
      <c:barChart>
        <c:barDir val="col"/>
        <c:grouping val="clustered"/>
        <c:varyColors val="0"/>
        <c:ser>
          <c:idx val="0"/>
          <c:order val="0"/>
          <c:spPr>
            <a:solidFill>
              <a:schemeClr val="tx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080B-49FE-A78D-B16DA2B86933}"/>
              </c:ext>
            </c:extLst>
          </c:dPt>
          <c:dPt>
            <c:idx val="1"/>
            <c:invertIfNegative val="0"/>
            <c:bubble3D val="0"/>
            <c:spPr>
              <a:solidFill>
                <a:srgbClr val="FF0000"/>
              </a:solidFill>
              <a:ln>
                <a:noFill/>
              </a:ln>
              <a:effectLst/>
            </c:spPr>
            <c:extLst>
              <c:ext xmlns:c16="http://schemas.microsoft.com/office/drawing/2014/chart" uri="{C3380CC4-5D6E-409C-BE32-E72D297353CC}">
                <c16:uniqueId val="{00000001-080B-49FE-A78D-B16DA2B86933}"/>
              </c:ext>
            </c:extLst>
          </c:dPt>
          <c:dLbls>
            <c:dLbl>
              <c:idx val="0"/>
              <c:layout>
                <c:manualLayout>
                  <c:x val="-3.3577940849455189E-5"/>
                  <c:y val="0.2032401502267573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0B-49FE-A78D-B16DA2B86933}"/>
                </c:ext>
              </c:extLst>
            </c:dLbl>
            <c:dLbl>
              <c:idx val="1"/>
              <c:layout>
                <c:manualLayout>
                  <c:x val="0"/>
                  <c:y val="0.1574900793650794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0B-49FE-A78D-B16DA2B86933}"/>
                </c:ext>
              </c:extLst>
            </c:dLbl>
            <c:dLbl>
              <c:idx val="2"/>
              <c:layout>
                <c:manualLayout>
                  <c:x val="0"/>
                  <c:y val="0.287981859410430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04E-4B01-B03C-F728321493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détaillé'!$H$60,'Tableau détaillé'!$H$65,'Tableau détaillé'!$H$52)</c:f>
              <c:numCache>
                <c:formatCode>0.0%</c:formatCode>
                <c:ptCount val="3"/>
                <c:pt idx="0">
                  <c:v>6.1213171969016766E-2</c:v>
                </c:pt>
                <c:pt idx="1">
                  <c:v>1.268484546054971E-2</c:v>
                </c:pt>
                <c:pt idx="2">
                  <c:v>4.9873568684914771E-2</c:v>
                </c:pt>
              </c:numCache>
            </c:numRef>
          </c:val>
          <c:extLst>
            <c:ext xmlns:c16="http://schemas.microsoft.com/office/drawing/2014/chart" uri="{C3380CC4-5D6E-409C-BE32-E72D297353CC}">
              <c16:uniqueId val="{00000003-080B-49FE-A78D-B16DA2B86933}"/>
            </c:ext>
          </c:extLst>
        </c:ser>
        <c:dLbls>
          <c:showLegendKey val="0"/>
          <c:showVal val="0"/>
          <c:showCatName val="0"/>
          <c:showSerName val="0"/>
          <c:showPercent val="0"/>
          <c:showBubbleSize val="0"/>
        </c:dLbls>
        <c:gapWidth val="219"/>
        <c:overlap val="-27"/>
        <c:axId val="1032758920"/>
        <c:axId val="1032761664"/>
      </c:barChart>
      <c:catAx>
        <c:axId val="1032758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1664"/>
        <c:crosses val="autoZero"/>
        <c:auto val="1"/>
        <c:lblAlgn val="ctr"/>
        <c:lblOffset val="100"/>
        <c:noMultiLvlLbl val="0"/>
      </c:catAx>
      <c:valAx>
        <c:axId val="103276166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8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YTY des encours de dépôts</a:t>
            </a:r>
          </a:p>
        </c:rich>
      </c:tx>
      <c:layout>
        <c:manualLayout>
          <c:xMode val="edge"/>
          <c:yMode val="edge"/>
          <c:x val="0.23970231632283751"/>
          <c:y val="3.33333333333333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0521447319085114"/>
          <c:w val="0.89920800524934386"/>
          <c:h val="0.6636017997750280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29AF-4AC7-8D40-AF4EEA6334BD}"/>
              </c:ext>
            </c:extLst>
          </c:dPt>
          <c:dPt>
            <c:idx val="1"/>
            <c:invertIfNegative val="0"/>
            <c:bubble3D val="0"/>
            <c:spPr>
              <a:solidFill>
                <a:schemeClr val="tx1"/>
              </a:solidFill>
              <a:ln>
                <a:noFill/>
              </a:ln>
              <a:effectLst/>
            </c:spPr>
            <c:extLst>
              <c:ext xmlns:c16="http://schemas.microsoft.com/office/drawing/2014/chart" uri="{C3380CC4-5D6E-409C-BE32-E72D297353CC}">
                <c16:uniqueId val="{00000003-29AF-4AC7-8D40-AF4EEA6334BD}"/>
              </c:ext>
            </c:extLst>
          </c:dPt>
          <c:dPt>
            <c:idx val="2"/>
            <c:invertIfNegative val="0"/>
            <c:bubble3D val="0"/>
            <c:spPr>
              <a:solidFill>
                <a:schemeClr val="tx1"/>
              </a:solidFill>
              <a:ln>
                <a:noFill/>
              </a:ln>
              <a:effectLst/>
            </c:spPr>
            <c:extLst>
              <c:ext xmlns:c16="http://schemas.microsoft.com/office/drawing/2014/chart" uri="{C3380CC4-5D6E-409C-BE32-E72D297353CC}">
                <c16:uniqueId val="{00000005-29AF-4AC7-8D40-AF4EEA6334BD}"/>
              </c:ext>
            </c:extLst>
          </c:dPt>
          <c:dPt>
            <c:idx val="3"/>
            <c:invertIfNegative val="0"/>
            <c:bubble3D val="0"/>
            <c:spPr>
              <a:solidFill>
                <a:schemeClr val="tx1"/>
              </a:solidFill>
              <a:ln>
                <a:noFill/>
              </a:ln>
              <a:effectLst/>
            </c:spPr>
            <c:extLst>
              <c:ext xmlns:c16="http://schemas.microsoft.com/office/drawing/2014/chart" uri="{C3380CC4-5D6E-409C-BE32-E72D297353CC}">
                <c16:uniqueId val="{00000007-29AF-4AC7-8D40-AF4EEA6334BD}"/>
              </c:ext>
            </c:extLst>
          </c:dPt>
          <c:dPt>
            <c:idx val="4"/>
            <c:invertIfNegative val="0"/>
            <c:bubble3D val="0"/>
            <c:spPr>
              <a:solidFill>
                <a:schemeClr val="tx1"/>
              </a:solidFill>
              <a:ln>
                <a:noFill/>
              </a:ln>
              <a:effectLst/>
            </c:spPr>
            <c:extLst>
              <c:ext xmlns:c16="http://schemas.microsoft.com/office/drawing/2014/chart" uri="{C3380CC4-5D6E-409C-BE32-E72D297353CC}">
                <c16:uniqueId val="{00000009-29AF-4AC7-8D40-AF4EEA6334BD}"/>
              </c:ext>
            </c:extLst>
          </c:dPt>
          <c:dPt>
            <c:idx val="5"/>
            <c:invertIfNegative val="0"/>
            <c:bubble3D val="0"/>
            <c:spPr>
              <a:solidFill>
                <a:schemeClr val="tx1"/>
              </a:solidFill>
              <a:ln>
                <a:noFill/>
              </a:ln>
              <a:effectLst/>
            </c:spPr>
            <c:extLst>
              <c:ext xmlns:c16="http://schemas.microsoft.com/office/drawing/2014/chart" uri="{C3380CC4-5D6E-409C-BE32-E72D297353CC}">
                <c16:uniqueId val="{0000000B-29AF-4AC7-8D40-AF4EEA6334BD}"/>
              </c:ext>
            </c:extLst>
          </c:dPt>
          <c:dPt>
            <c:idx val="6"/>
            <c:invertIfNegative val="0"/>
            <c:bubble3D val="0"/>
            <c:spPr>
              <a:solidFill>
                <a:schemeClr val="tx1"/>
              </a:solidFill>
              <a:ln>
                <a:noFill/>
              </a:ln>
              <a:effectLst/>
            </c:spPr>
            <c:extLst>
              <c:ext xmlns:c16="http://schemas.microsoft.com/office/drawing/2014/chart" uri="{C3380CC4-5D6E-409C-BE32-E72D297353CC}">
                <c16:uniqueId val="{0000000D-29AF-4AC7-8D40-AF4EEA6334BD}"/>
              </c:ext>
            </c:extLst>
          </c:dPt>
          <c:dPt>
            <c:idx val="7"/>
            <c:invertIfNegative val="0"/>
            <c:bubble3D val="0"/>
            <c:spPr>
              <a:solidFill>
                <a:srgbClr val="FF0000"/>
              </a:solidFill>
              <a:ln>
                <a:noFill/>
              </a:ln>
              <a:effectLst/>
            </c:spPr>
            <c:extLst>
              <c:ext xmlns:c16="http://schemas.microsoft.com/office/drawing/2014/chart" uri="{C3380CC4-5D6E-409C-BE32-E72D297353CC}">
                <c16:uniqueId val="{0000000F-29AF-4AC7-8D40-AF4EEA6334BD}"/>
              </c:ext>
            </c:extLst>
          </c:dPt>
          <c:dPt>
            <c:idx val="8"/>
            <c:invertIfNegative val="0"/>
            <c:bubble3D val="0"/>
            <c:spPr>
              <a:solidFill>
                <a:srgbClr val="FF0000"/>
              </a:solidFill>
              <a:ln>
                <a:noFill/>
              </a:ln>
              <a:effectLst/>
            </c:spPr>
            <c:extLst>
              <c:ext xmlns:c16="http://schemas.microsoft.com/office/drawing/2014/chart" uri="{C3380CC4-5D6E-409C-BE32-E72D297353CC}">
                <c16:uniqueId val="{00000011-29AF-4AC7-8D40-AF4EEA6334BD}"/>
              </c:ext>
            </c:extLst>
          </c:dPt>
          <c:dPt>
            <c:idx val="9"/>
            <c:invertIfNegative val="0"/>
            <c:bubble3D val="0"/>
            <c:spPr>
              <a:solidFill>
                <a:srgbClr val="FF0000"/>
              </a:solidFill>
              <a:ln>
                <a:noFill/>
              </a:ln>
              <a:effectLst/>
            </c:spPr>
            <c:extLst>
              <c:ext xmlns:c16="http://schemas.microsoft.com/office/drawing/2014/chart" uri="{C3380CC4-5D6E-409C-BE32-E72D297353CC}">
                <c16:uniqueId val="{00000013-29AF-4AC7-8D40-AF4EEA6334BD}"/>
              </c:ext>
            </c:extLst>
          </c:dPt>
          <c:dPt>
            <c:idx val="10"/>
            <c:invertIfNegative val="0"/>
            <c:bubble3D val="0"/>
            <c:spPr>
              <a:solidFill>
                <a:srgbClr val="FF0000"/>
              </a:solidFill>
              <a:ln>
                <a:noFill/>
              </a:ln>
              <a:effectLst/>
            </c:spPr>
            <c:extLst>
              <c:ext xmlns:c16="http://schemas.microsoft.com/office/drawing/2014/chart" uri="{C3380CC4-5D6E-409C-BE32-E72D297353CC}">
                <c16:uniqueId val="{00000015-29AF-4AC7-8D40-AF4EEA6334BD}"/>
              </c:ext>
            </c:extLst>
          </c:dPt>
          <c:dLbls>
            <c:dLbl>
              <c:idx val="0"/>
              <c:layout>
                <c:manualLayout>
                  <c:x val="0"/>
                  <c:y val="1.67521559805024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AF-4AC7-8D40-AF4EEA6334BD}"/>
                </c:ext>
              </c:extLst>
            </c:dLbl>
            <c:dLbl>
              <c:idx val="1"/>
              <c:layout>
                <c:manualLayout>
                  <c:x val="8.7272615098189631E-3"/>
                  <c:y val="1.45019576433330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AF-4AC7-8D40-AF4EEA6334BD}"/>
                </c:ext>
              </c:extLst>
            </c:dLbl>
            <c:dLbl>
              <c:idx val="3"/>
              <c:layout>
                <c:manualLayout>
                  <c:x val="-2.7431913303573208E-3"/>
                  <c:y val="1.692015101476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9AF-4AC7-8D40-AF4EEA6334BD}"/>
                </c:ext>
              </c:extLst>
            </c:dLbl>
            <c:dLbl>
              <c:idx val="4"/>
              <c:layout>
                <c:manualLayout>
                  <c:x val="2.8930497111249172E-3"/>
                  <c:y val="2.75049603174603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9AF-4AC7-8D40-AF4EEA6334BD}"/>
                </c:ext>
              </c:extLst>
            </c:dLbl>
            <c:dLbl>
              <c:idx val="5"/>
              <c:layout>
                <c:manualLayout>
                  <c:x val="5.7466921451767234E-3"/>
                  <c:y val="-3.59977324263038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9AF-4AC7-8D40-AF4EEA6334BD}"/>
                </c:ext>
              </c:extLst>
            </c:dLbl>
            <c:dLbl>
              <c:idx val="6"/>
              <c:layout>
                <c:manualLayout>
                  <c:x val="2.7776807477191763E-3"/>
                  <c:y val="-5.5989538431733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9AF-4AC7-8D40-AF4EEA6334BD}"/>
                </c:ext>
              </c:extLst>
            </c:dLbl>
            <c:dLbl>
              <c:idx val="7"/>
              <c:layout>
                <c:manualLayout>
                  <c:x val="-3.1602919253477771E-3"/>
                  <c:y val="-3.6097293083900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9AF-4AC7-8D40-AF4EEA6334BD}"/>
                </c:ext>
              </c:extLst>
            </c:dLbl>
            <c:dLbl>
              <c:idx val="8"/>
              <c:layout>
                <c:manualLayout>
                  <c:x val="3.1365155462567997E-3"/>
                  <c:y val="2.750230057635491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9AF-4AC7-8D40-AF4EEA6334B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détaillé'!$I$53:$I$59,'Tableau détaillé'!$I$61:$I$64)</c:f>
              <c:numCache>
                <c:formatCode>0.0%</c:formatCode>
                <c:ptCount val="11"/>
                <c:pt idx="0">
                  <c:v>7.5482677326485392E-2</c:v>
                </c:pt>
                <c:pt idx="1">
                  <c:v>0.24268996703702328</c:v>
                </c:pt>
                <c:pt idx="2">
                  <c:v>2.9327321505148385E-2</c:v>
                </c:pt>
                <c:pt idx="3">
                  <c:v>-1.5598335978079358E-2</c:v>
                </c:pt>
                <c:pt idx="4">
                  <c:v>6.7668520385383513E-2</c:v>
                </c:pt>
                <c:pt idx="5">
                  <c:v>-5.112223743377653E-2</c:v>
                </c:pt>
                <c:pt idx="6">
                  <c:v>-5.1190852837148082E-2</c:v>
                </c:pt>
                <c:pt idx="7">
                  <c:v>0.13898354811228408</c:v>
                </c:pt>
                <c:pt idx="8">
                  <c:v>-1.5711636806566842E-2</c:v>
                </c:pt>
                <c:pt idx="9">
                  <c:v>-5.1627588052694184E-2</c:v>
                </c:pt>
                <c:pt idx="10">
                  <c:v>-2.2572266978934996E-2</c:v>
                </c:pt>
              </c:numCache>
            </c:numRef>
          </c:val>
          <c:extLst>
            <c:ext xmlns:c16="http://schemas.microsoft.com/office/drawing/2014/chart" uri="{C3380CC4-5D6E-409C-BE32-E72D297353CC}">
              <c16:uniqueId val="{00000016-29AF-4AC7-8D40-AF4EEA6334BD}"/>
            </c:ext>
          </c:extLst>
        </c:ser>
        <c:dLbls>
          <c:showLegendKey val="0"/>
          <c:showVal val="0"/>
          <c:showCatName val="0"/>
          <c:showSerName val="0"/>
          <c:showPercent val="0"/>
          <c:showBubbleSize val="0"/>
        </c:dLbls>
        <c:gapWidth val="219"/>
        <c:overlap val="-27"/>
        <c:axId val="1032753432"/>
        <c:axId val="1032760096"/>
      </c:barChart>
      <c:lineChart>
        <c:grouping val="standard"/>
        <c:varyColors val="0"/>
        <c:ser>
          <c:idx val="1"/>
          <c:order val="1"/>
          <c:spPr>
            <a:ln w="28575" cap="rnd">
              <a:solidFill>
                <a:srgbClr val="C00000"/>
              </a:solidFill>
              <a:round/>
            </a:ln>
            <a:effectLst/>
          </c:spPr>
          <c:marker>
            <c:symbol val="none"/>
          </c:marker>
          <c:val>
            <c:numRef>
              <c:f>('Tableau détaillé'!$K$53:$K$59,'Tableau détaillé'!$K$61:$K$64)</c:f>
              <c:numCache>
                <c:formatCode>0.0%</c:formatCode>
                <c:ptCount val="11"/>
                <c:pt idx="0">
                  <c:v>4.9873568684914771E-2</c:v>
                </c:pt>
                <c:pt idx="1">
                  <c:v>4.9873568684914771E-2</c:v>
                </c:pt>
                <c:pt idx="2">
                  <c:v>4.9873568684914771E-2</c:v>
                </c:pt>
                <c:pt idx="3">
                  <c:v>4.9873568684914771E-2</c:v>
                </c:pt>
                <c:pt idx="4">
                  <c:v>4.9873568684914771E-2</c:v>
                </c:pt>
                <c:pt idx="5">
                  <c:v>4.9873568684914771E-2</c:v>
                </c:pt>
                <c:pt idx="6">
                  <c:v>4.9873568684914771E-2</c:v>
                </c:pt>
                <c:pt idx="7">
                  <c:v>4.9873568684914771E-2</c:v>
                </c:pt>
                <c:pt idx="8">
                  <c:v>4.9873568684914771E-2</c:v>
                </c:pt>
                <c:pt idx="9">
                  <c:v>4.9873568684914771E-2</c:v>
                </c:pt>
                <c:pt idx="10">
                  <c:v>4.9873568684914771E-2</c:v>
                </c:pt>
              </c:numCache>
            </c:numRef>
          </c:val>
          <c:smooth val="0"/>
          <c:extLst>
            <c:ext xmlns:c16="http://schemas.microsoft.com/office/drawing/2014/chart" uri="{C3380CC4-5D6E-409C-BE32-E72D297353CC}">
              <c16:uniqueId val="{00000017-29AF-4AC7-8D40-AF4EEA6334BD}"/>
            </c:ext>
          </c:extLst>
        </c:ser>
        <c:dLbls>
          <c:showLegendKey val="0"/>
          <c:showVal val="0"/>
          <c:showCatName val="0"/>
          <c:showSerName val="0"/>
          <c:showPercent val="0"/>
          <c:showBubbleSize val="0"/>
        </c:dLbls>
        <c:marker val="1"/>
        <c:smooth val="0"/>
        <c:axId val="1032753432"/>
        <c:axId val="1032760096"/>
      </c:lineChart>
      <c:catAx>
        <c:axId val="103275343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0096"/>
        <c:crosses val="autoZero"/>
        <c:auto val="1"/>
        <c:lblAlgn val="ctr"/>
        <c:lblOffset val="100"/>
        <c:noMultiLvlLbl val="0"/>
      </c:catAx>
      <c:valAx>
        <c:axId val="10327600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3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YTY des</a:t>
            </a:r>
            <a:r>
              <a:rPr lang="fr-FR" baseline="0"/>
              <a:t> </a:t>
            </a:r>
            <a:r>
              <a:rPr lang="fr-FR"/>
              <a:t>encours de dépôts par DR</a:t>
            </a:r>
          </a:p>
        </c:rich>
      </c:tx>
      <c:layout>
        <c:manualLayout>
          <c:xMode val="edge"/>
          <c:yMode val="edge"/>
          <c:x val="0.26593744531933511"/>
          <c:y val="2.857142857142857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0AD6-4C74-A9C7-657EDED74FA2}"/>
              </c:ext>
            </c:extLst>
          </c:dPt>
          <c:dPt>
            <c:idx val="1"/>
            <c:invertIfNegative val="0"/>
            <c:bubble3D val="0"/>
            <c:spPr>
              <a:solidFill>
                <a:srgbClr val="FF0000"/>
              </a:solidFill>
              <a:ln>
                <a:noFill/>
              </a:ln>
              <a:effectLst/>
            </c:spPr>
            <c:extLst>
              <c:ext xmlns:c16="http://schemas.microsoft.com/office/drawing/2014/chart" uri="{C3380CC4-5D6E-409C-BE32-E72D297353CC}">
                <c16:uniqueId val="{00000001-08B4-41F9-B286-58FAC1C601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détaillé'!$I$60,'Tableau détaillé'!$I$65,'Tableau détaillé'!$I$52)</c:f>
              <c:numCache>
                <c:formatCode>0.0%</c:formatCode>
                <c:ptCount val="3"/>
                <c:pt idx="0">
                  <c:v>6.1213171969016766E-2</c:v>
                </c:pt>
                <c:pt idx="1">
                  <c:v>1.268484546054971E-2</c:v>
                </c:pt>
                <c:pt idx="2">
                  <c:v>4.9873568684914771E-2</c:v>
                </c:pt>
              </c:numCache>
            </c:numRef>
          </c:val>
          <c:extLst>
            <c:ext xmlns:c16="http://schemas.microsoft.com/office/drawing/2014/chart" uri="{C3380CC4-5D6E-409C-BE32-E72D297353CC}">
              <c16:uniqueId val="{00000002-08B4-41F9-B286-58FAC1C6012C}"/>
            </c:ext>
          </c:extLst>
        </c:ser>
        <c:dLbls>
          <c:showLegendKey val="0"/>
          <c:showVal val="0"/>
          <c:showCatName val="0"/>
          <c:showSerName val="0"/>
          <c:showPercent val="0"/>
          <c:showBubbleSize val="0"/>
        </c:dLbls>
        <c:gapWidth val="219"/>
        <c:overlap val="-27"/>
        <c:axId val="1032760880"/>
        <c:axId val="1032759312"/>
      </c:barChart>
      <c:catAx>
        <c:axId val="1032760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9312"/>
        <c:crosses val="autoZero"/>
        <c:auto val="1"/>
        <c:lblAlgn val="ctr"/>
        <c:lblOffset val="100"/>
        <c:noMultiLvlLbl val="0"/>
      </c:catAx>
      <c:valAx>
        <c:axId val="103275931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0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100" b="1" i="0" u="none" strike="noStrike" baseline="0">
                <a:effectLst/>
              </a:rPr>
              <a:t>Evolution YTD </a:t>
            </a:r>
            <a:r>
              <a:rPr lang="fr-FR" sz="1100"/>
              <a:t>du stock de CAV</a:t>
            </a:r>
          </a:p>
        </c:rich>
      </c:tx>
      <c:layout>
        <c:manualLayout>
          <c:xMode val="edge"/>
          <c:yMode val="edge"/>
          <c:x val="0.2771310692853246"/>
          <c:y val="1.0121192621192621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0686658828270257"/>
          <c:w val="0.85358300653594776"/>
          <c:h val="0.66848684093071176"/>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2583-4723-BB30-EA8C8D4F5ED0}"/>
              </c:ext>
            </c:extLst>
          </c:dPt>
          <c:dPt>
            <c:idx val="1"/>
            <c:invertIfNegative val="0"/>
            <c:bubble3D val="0"/>
            <c:spPr>
              <a:solidFill>
                <a:schemeClr val="tx1"/>
              </a:solidFill>
              <a:ln>
                <a:noFill/>
              </a:ln>
              <a:effectLst/>
            </c:spPr>
            <c:extLst>
              <c:ext xmlns:c16="http://schemas.microsoft.com/office/drawing/2014/chart" uri="{C3380CC4-5D6E-409C-BE32-E72D297353CC}">
                <c16:uniqueId val="{00000003-2583-4723-BB30-EA8C8D4F5ED0}"/>
              </c:ext>
            </c:extLst>
          </c:dPt>
          <c:dPt>
            <c:idx val="2"/>
            <c:invertIfNegative val="0"/>
            <c:bubble3D val="0"/>
            <c:spPr>
              <a:solidFill>
                <a:schemeClr val="tx1"/>
              </a:solidFill>
              <a:ln>
                <a:noFill/>
              </a:ln>
              <a:effectLst/>
            </c:spPr>
            <c:extLst>
              <c:ext xmlns:c16="http://schemas.microsoft.com/office/drawing/2014/chart" uri="{C3380CC4-5D6E-409C-BE32-E72D297353CC}">
                <c16:uniqueId val="{00000005-2583-4723-BB30-EA8C8D4F5ED0}"/>
              </c:ext>
            </c:extLst>
          </c:dPt>
          <c:dPt>
            <c:idx val="3"/>
            <c:invertIfNegative val="0"/>
            <c:bubble3D val="0"/>
            <c:spPr>
              <a:solidFill>
                <a:schemeClr val="tx1"/>
              </a:solidFill>
              <a:ln>
                <a:noFill/>
              </a:ln>
              <a:effectLst/>
            </c:spPr>
            <c:extLst>
              <c:ext xmlns:c16="http://schemas.microsoft.com/office/drawing/2014/chart" uri="{C3380CC4-5D6E-409C-BE32-E72D297353CC}">
                <c16:uniqueId val="{00000007-2583-4723-BB30-EA8C8D4F5ED0}"/>
              </c:ext>
            </c:extLst>
          </c:dPt>
          <c:dPt>
            <c:idx val="4"/>
            <c:invertIfNegative val="0"/>
            <c:bubble3D val="0"/>
            <c:spPr>
              <a:solidFill>
                <a:schemeClr val="tx1"/>
              </a:solidFill>
              <a:ln>
                <a:noFill/>
              </a:ln>
              <a:effectLst/>
            </c:spPr>
            <c:extLst>
              <c:ext xmlns:c16="http://schemas.microsoft.com/office/drawing/2014/chart" uri="{C3380CC4-5D6E-409C-BE32-E72D297353CC}">
                <c16:uniqueId val="{00000009-2583-4723-BB30-EA8C8D4F5ED0}"/>
              </c:ext>
            </c:extLst>
          </c:dPt>
          <c:dPt>
            <c:idx val="5"/>
            <c:invertIfNegative val="0"/>
            <c:bubble3D val="0"/>
            <c:spPr>
              <a:solidFill>
                <a:schemeClr val="tx1"/>
              </a:solidFill>
              <a:ln>
                <a:noFill/>
              </a:ln>
              <a:effectLst/>
            </c:spPr>
            <c:extLst>
              <c:ext xmlns:c16="http://schemas.microsoft.com/office/drawing/2014/chart" uri="{C3380CC4-5D6E-409C-BE32-E72D297353CC}">
                <c16:uniqueId val="{0000000B-2583-4723-BB30-EA8C8D4F5ED0}"/>
              </c:ext>
            </c:extLst>
          </c:dPt>
          <c:dPt>
            <c:idx val="6"/>
            <c:invertIfNegative val="0"/>
            <c:bubble3D val="0"/>
            <c:spPr>
              <a:solidFill>
                <a:schemeClr val="tx1"/>
              </a:solidFill>
              <a:ln>
                <a:noFill/>
              </a:ln>
              <a:effectLst/>
            </c:spPr>
            <c:extLst>
              <c:ext xmlns:c16="http://schemas.microsoft.com/office/drawing/2014/chart" uri="{C3380CC4-5D6E-409C-BE32-E72D297353CC}">
                <c16:uniqueId val="{0000000D-2583-4723-BB30-EA8C8D4F5ED0}"/>
              </c:ext>
            </c:extLst>
          </c:dPt>
          <c:dPt>
            <c:idx val="7"/>
            <c:invertIfNegative val="0"/>
            <c:bubble3D val="0"/>
            <c:spPr>
              <a:solidFill>
                <a:srgbClr val="FF0000"/>
              </a:solidFill>
              <a:ln>
                <a:noFill/>
              </a:ln>
              <a:effectLst/>
            </c:spPr>
            <c:extLst>
              <c:ext xmlns:c16="http://schemas.microsoft.com/office/drawing/2014/chart" uri="{C3380CC4-5D6E-409C-BE32-E72D297353CC}">
                <c16:uniqueId val="{0000000F-2583-4723-BB30-EA8C8D4F5ED0}"/>
              </c:ext>
            </c:extLst>
          </c:dPt>
          <c:dPt>
            <c:idx val="8"/>
            <c:invertIfNegative val="0"/>
            <c:bubble3D val="0"/>
            <c:spPr>
              <a:solidFill>
                <a:srgbClr val="FF0000"/>
              </a:solidFill>
              <a:ln>
                <a:noFill/>
              </a:ln>
              <a:effectLst/>
            </c:spPr>
            <c:extLst>
              <c:ext xmlns:c16="http://schemas.microsoft.com/office/drawing/2014/chart" uri="{C3380CC4-5D6E-409C-BE32-E72D297353CC}">
                <c16:uniqueId val="{00000011-2583-4723-BB30-EA8C8D4F5ED0}"/>
              </c:ext>
            </c:extLst>
          </c:dPt>
          <c:dPt>
            <c:idx val="9"/>
            <c:invertIfNegative val="0"/>
            <c:bubble3D val="0"/>
            <c:spPr>
              <a:solidFill>
                <a:srgbClr val="FF0000"/>
              </a:solidFill>
              <a:ln>
                <a:noFill/>
              </a:ln>
              <a:effectLst/>
            </c:spPr>
            <c:extLst>
              <c:ext xmlns:c16="http://schemas.microsoft.com/office/drawing/2014/chart" uri="{C3380CC4-5D6E-409C-BE32-E72D297353CC}">
                <c16:uniqueId val="{00000013-2583-4723-BB30-EA8C8D4F5ED0}"/>
              </c:ext>
            </c:extLst>
          </c:dPt>
          <c:dPt>
            <c:idx val="10"/>
            <c:invertIfNegative val="0"/>
            <c:bubble3D val="0"/>
            <c:spPr>
              <a:solidFill>
                <a:srgbClr val="FF0000"/>
              </a:solidFill>
              <a:ln>
                <a:noFill/>
              </a:ln>
              <a:effectLst/>
            </c:spPr>
            <c:extLst>
              <c:ext xmlns:c16="http://schemas.microsoft.com/office/drawing/2014/chart" uri="{C3380CC4-5D6E-409C-BE32-E72D297353CC}">
                <c16:uniqueId val="{00000015-2583-4723-BB30-EA8C8D4F5ED0}"/>
              </c:ext>
            </c:extLst>
          </c:dPt>
          <c:dLbls>
            <c:dLbl>
              <c:idx val="0"/>
              <c:layout>
                <c:manualLayout>
                  <c:x val="2.8262199077076912E-3"/>
                  <c:y val="6.803594400060536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83-4723-BB30-EA8C8D4F5ED0}"/>
                </c:ext>
              </c:extLst>
            </c:dLbl>
            <c:dLbl>
              <c:idx val="2"/>
              <c:layout>
                <c:manualLayout>
                  <c:x val="8.372701979295261E-3"/>
                  <c:y val="-7.9792786513489865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83-4723-BB30-EA8C8D4F5ED0}"/>
                </c:ext>
              </c:extLst>
            </c:dLbl>
            <c:dLbl>
              <c:idx val="3"/>
              <c:layout>
                <c:manualLayout>
                  <c:x val="-5.116611606320417E-17"/>
                  <c:y val="-2.238354685629773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83-4723-BB30-EA8C8D4F5ED0}"/>
                </c:ext>
              </c:extLst>
            </c:dLbl>
            <c:dLbl>
              <c:idx val="4"/>
              <c:layout>
                <c:manualLayout>
                  <c:x val="4.5432871909514074E-6"/>
                  <c:y val="0.12619807164366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83-4723-BB30-EA8C8D4F5ED0}"/>
                </c:ext>
              </c:extLst>
            </c:dLbl>
            <c:dLbl>
              <c:idx val="6"/>
              <c:layout>
                <c:manualLayout>
                  <c:x val="2.384219495530335E-3"/>
                  <c:y val="-5.6554724238406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583-4723-BB30-EA8C8D4F5ED0}"/>
                </c:ext>
              </c:extLst>
            </c:dLbl>
            <c:dLbl>
              <c:idx val="7"/>
              <c:layout>
                <c:manualLayout>
                  <c:x val="2.8018452106596272E-3"/>
                  <c:y val="-1.57852620829766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583-4723-BB30-EA8C8D4F5ED0}"/>
                </c:ext>
              </c:extLst>
            </c:dLbl>
            <c:dLbl>
              <c:idx val="9"/>
              <c:layout>
                <c:manualLayout>
                  <c:x val="1.1518906931579094E-2"/>
                  <c:y val="-4.570329716643843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583-4723-BB30-EA8C8D4F5ED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détaillé'!$H$86:$H$92,'Tableau détaillé'!$H$94:$H$97)</c:f>
              <c:numCache>
                <c:formatCode>0.0%</c:formatCode>
                <c:ptCount val="11"/>
                <c:pt idx="0">
                  <c:v>7.9095776888646885E-3</c:v>
                </c:pt>
                <c:pt idx="1">
                  <c:v>-3.305470090124385E-3</c:v>
                </c:pt>
                <c:pt idx="2">
                  <c:v>2.3270294535028491E-2</c:v>
                </c:pt>
                <c:pt idx="3">
                  <c:v>-2.6535856771683686E-2</c:v>
                </c:pt>
                <c:pt idx="4">
                  <c:v>-2.9739632559524609E-2</c:v>
                </c:pt>
                <c:pt idx="5">
                  <c:v>3.9407008086253414E-2</c:v>
                </c:pt>
                <c:pt idx="6">
                  <c:v>3.6732972060875557E-2</c:v>
                </c:pt>
                <c:pt idx="7">
                  <c:v>7.3939485905734736E-2</c:v>
                </c:pt>
                <c:pt idx="8">
                  <c:v>-4.3022602171722824E-3</c:v>
                </c:pt>
                <c:pt idx="9">
                  <c:v>4.2867507759280832E-2</c:v>
                </c:pt>
                <c:pt idx="10">
                  <c:v>8.4044727666225727E-2</c:v>
                </c:pt>
              </c:numCache>
            </c:numRef>
          </c:val>
          <c:extLst>
            <c:ext xmlns:c16="http://schemas.microsoft.com/office/drawing/2014/chart" uri="{C3380CC4-5D6E-409C-BE32-E72D297353CC}">
              <c16:uniqueId val="{00000016-2583-4723-BB30-EA8C8D4F5ED0}"/>
            </c:ext>
          </c:extLst>
        </c:ser>
        <c:dLbls>
          <c:showLegendKey val="0"/>
          <c:showVal val="0"/>
          <c:showCatName val="0"/>
          <c:showSerName val="0"/>
          <c:showPercent val="0"/>
          <c:showBubbleSize val="0"/>
        </c:dLbls>
        <c:gapWidth val="219"/>
        <c:overlap val="-27"/>
        <c:axId val="1032751080"/>
        <c:axId val="1032760488"/>
      </c:barChart>
      <c:lineChart>
        <c:grouping val="standard"/>
        <c:varyColors val="0"/>
        <c:ser>
          <c:idx val="1"/>
          <c:order val="1"/>
          <c:spPr>
            <a:ln w="28575" cap="rnd">
              <a:solidFill>
                <a:srgbClr val="C00000"/>
              </a:solidFill>
              <a:round/>
            </a:ln>
            <a:effectLst/>
          </c:spPr>
          <c:marker>
            <c:symbol val="none"/>
          </c:marker>
          <c:val>
            <c:numRef>
              <c:f>('Tableau détaillé'!$J$86:$J$92,'Tableau détaillé'!$J$94:$J$97)</c:f>
              <c:numCache>
                <c:formatCode>0.0%</c:formatCode>
                <c:ptCount val="11"/>
                <c:pt idx="0">
                  <c:v>1.7722724711439763E-2</c:v>
                </c:pt>
                <c:pt idx="1">
                  <c:v>1.7722724711439763E-2</c:v>
                </c:pt>
                <c:pt idx="2">
                  <c:v>1.7722724711439763E-2</c:v>
                </c:pt>
                <c:pt idx="3">
                  <c:v>1.7722724711439763E-2</c:v>
                </c:pt>
                <c:pt idx="4">
                  <c:v>1.7722724711439763E-2</c:v>
                </c:pt>
                <c:pt idx="5">
                  <c:v>1.7722724711439763E-2</c:v>
                </c:pt>
                <c:pt idx="6">
                  <c:v>1.7722724711439763E-2</c:v>
                </c:pt>
                <c:pt idx="7">
                  <c:v>1.7722724711439763E-2</c:v>
                </c:pt>
                <c:pt idx="8">
                  <c:v>1.7722724711439763E-2</c:v>
                </c:pt>
                <c:pt idx="9">
                  <c:v>1.7722724711439763E-2</c:v>
                </c:pt>
                <c:pt idx="10">
                  <c:v>1.7722724711439763E-2</c:v>
                </c:pt>
              </c:numCache>
            </c:numRef>
          </c:val>
          <c:smooth val="0"/>
          <c:extLst>
            <c:ext xmlns:c16="http://schemas.microsoft.com/office/drawing/2014/chart" uri="{C3380CC4-5D6E-409C-BE32-E72D297353CC}">
              <c16:uniqueId val="{00000017-2583-4723-BB30-EA8C8D4F5ED0}"/>
            </c:ext>
          </c:extLst>
        </c:ser>
        <c:dLbls>
          <c:showLegendKey val="0"/>
          <c:showVal val="0"/>
          <c:showCatName val="0"/>
          <c:showSerName val="0"/>
          <c:showPercent val="0"/>
          <c:showBubbleSize val="0"/>
        </c:dLbls>
        <c:marker val="1"/>
        <c:smooth val="0"/>
        <c:axId val="1032751080"/>
        <c:axId val="1032760488"/>
      </c:lineChart>
      <c:catAx>
        <c:axId val="103275108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0488"/>
        <c:crosses val="autoZero"/>
        <c:auto val="1"/>
        <c:lblAlgn val="ctr"/>
        <c:lblOffset val="100"/>
        <c:noMultiLvlLbl val="0"/>
      </c:catAx>
      <c:valAx>
        <c:axId val="103276048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10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100"/>
              <a:t>Evolution YTD du stock de CAV par DR</a:t>
            </a:r>
          </a:p>
        </c:rich>
      </c:tx>
      <c:layout>
        <c:manualLayout>
          <c:xMode val="edge"/>
          <c:yMode val="edge"/>
          <c:x val="0.24725881978541553"/>
          <c:y val="4.0812240812240816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1804934640522875"/>
          <c:y val="0.12722572178477687"/>
          <c:w val="0.85770457516339871"/>
          <c:h val="0.7222568428946381"/>
        </c:manualLayout>
      </c:layout>
      <c:barChart>
        <c:barDir val="col"/>
        <c:grouping val="clustered"/>
        <c:varyColors val="0"/>
        <c:ser>
          <c:idx val="0"/>
          <c:order val="0"/>
          <c:spPr>
            <a:solidFill>
              <a:schemeClr val="tx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AEDA-4348-AB48-B57207A58EE6}"/>
              </c:ext>
            </c:extLst>
          </c:dPt>
          <c:dPt>
            <c:idx val="1"/>
            <c:invertIfNegative val="0"/>
            <c:bubble3D val="0"/>
            <c:spPr>
              <a:solidFill>
                <a:srgbClr val="FF0000"/>
              </a:solidFill>
              <a:ln>
                <a:noFill/>
              </a:ln>
              <a:effectLst/>
            </c:spPr>
            <c:extLst>
              <c:ext xmlns:c16="http://schemas.microsoft.com/office/drawing/2014/chart" uri="{C3380CC4-5D6E-409C-BE32-E72D297353CC}">
                <c16:uniqueId val="{00000001-AEDA-4348-AB48-B57207A58EE6}"/>
              </c:ext>
            </c:extLst>
          </c:dPt>
          <c:dLbls>
            <c:dLbl>
              <c:idx val="0"/>
              <c:layout>
                <c:manualLayout>
                  <c:x val="-2.5684537894665937E-3"/>
                  <c:y val="0.18657693407693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EDA-4348-AB48-B57207A58EE6}"/>
                </c:ext>
              </c:extLst>
            </c:dLbl>
            <c:dLbl>
              <c:idx val="1"/>
              <c:layout>
                <c:manualLayout>
                  <c:x val="0"/>
                  <c:y val="0.295286357786357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DA-4348-AB48-B57207A58EE6}"/>
                </c:ext>
              </c:extLst>
            </c:dLbl>
            <c:dLbl>
              <c:idx val="2"/>
              <c:layout>
                <c:manualLayout>
                  <c:x val="-2.8621008270796355E-3"/>
                  <c:y val="0.231552981552981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B0-4407-BC29-681D9AA7B1F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détaillé'!$H$93,'Tableau détaillé'!$H$98,'Tableau détaillé'!$H$85)</c:f>
              <c:numCache>
                <c:formatCode>0.0%</c:formatCode>
                <c:ptCount val="3"/>
                <c:pt idx="0">
                  <c:v>3.867338069182269E-3</c:v>
                </c:pt>
                <c:pt idx="1">
                  <c:v>4.3528057337272497E-2</c:v>
                </c:pt>
                <c:pt idx="2">
                  <c:v>1.7722724711439763E-2</c:v>
                </c:pt>
              </c:numCache>
            </c:numRef>
          </c:val>
          <c:extLst>
            <c:ext xmlns:c16="http://schemas.microsoft.com/office/drawing/2014/chart" uri="{C3380CC4-5D6E-409C-BE32-E72D297353CC}">
              <c16:uniqueId val="{00000003-AEDA-4348-AB48-B57207A58EE6}"/>
            </c:ext>
          </c:extLst>
        </c:ser>
        <c:dLbls>
          <c:showLegendKey val="0"/>
          <c:showVal val="0"/>
          <c:showCatName val="0"/>
          <c:showSerName val="0"/>
          <c:showPercent val="0"/>
          <c:showBubbleSize val="0"/>
        </c:dLbls>
        <c:gapWidth val="219"/>
        <c:overlap val="-27"/>
        <c:axId val="1032751472"/>
        <c:axId val="1032758136"/>
      </c:barChart>
      <c:catAx>
        <c:axId val="1032751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8136"/>
        <c:crosses val="autoZero"/>
        <c:auto val="1"/>
        <c:lblAlgn val="ctr"/>
        <c:lblOffset val="100"/>
        <c:noMultiLvlLbl val="0"/>
      </c:catAx>
      <c:valAx>
        <c:axId val="103275813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147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 de l'équipement BAD</a:t>
            </a:r>
          </a:p>
        </c:rich>
      </c:tx>
      <c:layout>
        <c:manualLayout>
          <c:xMode val="edge"/>
          <c:yMode val="edge"/>
          <c:x val="0.28540825868011871"/>
          <c:y val="1.460362920961806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4312386203309568"/>
          <c:w val="0.89920800524934386"/>
          <c:h val="0.6295509401068563"/>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C7D5-466E-9E00-C62FE749A796}"/>
              </c:ext>
            </c:extLst>
          </c:dPt>
          <c:dPt>
            <c:idx val="1"/>
            <c:invertIfNegative val="0"/>
            <c:bubble3D val="0"/>
            <c:spPr>
              <a:solidFill>
                <a:schemeClr val="tx1"/>
              </a:solidFill>
              <a:ln>
                <a:noFill/>
              </a:ln>
              <a:effectLst/>
            </c:spPr>
            <c:extLst>
              <c:ext xmlns:c16="http://schemas.microsoft.com/office/drawing/2014/chart" uri="{C3380CC4-5D6E-409C-BE32-E72D297353CC}">
                <c16:uniqueId val="{00000003-C7D5-466E-9E00-C62FE749A796}"/>
              </c:ext>
            </c:extLst>
          </c:dPt>
          <c:dPt>
            <c:idx val="2"/>
            <c:invertIfNegative val="0"/>
            <c:bubble3D val="0"/>
            <c:spPr>
              <a:solidFill>
                <a:schemeClr val="tx1"/>
              </a:solidFill>
              <a:ln>
                <a:noFill/>
              </a:ln>
              <a:effectLst/>
            </c:spPr>
            <c:extLst>
              <c:ext xmlns:c16="http://schemas.microsoft.com/office/drawing/2014/chart" uri="{C3380CC4-5D6E-409C-BE32-E72D297353CC}">
                <c16:uniqueId val="{00000005-C7D5-466E-9E00-C62FE749A796}"/>
              </c:ext>
            </c:extLst>
          </c:dPt>
          <c:dPt>
            <c:idx val="3"/>
            <c:invertIfNegative val="0"/>
            <c:bubble3D val="0"/>
            <c:spPr>
              <a:solidFill>
                <a:schemeClr val="tx1"/>
              </a:solidFill>
              <a:ln>
                <a:noFill/>
              </a:ln>
              <a:effectLst/>
            </c:spPr>
            <c:extLst>
              <c:ext xmlns:c16="http://schemas.microsoft.com/office/drawing/2014/chart" uri="{C3380CC4-5D6E-409C-BE32-E72D297353CC}">
                <c16:uniqueId val="{00000007-C7D5-466E-9E00-C62FE749A796}"/>
              </c:ext>
            </c:extLst>
          </c:dPt>
          <c:dPt>
            <c:idx val="4"/>
            <c:invertIfNegative val="0"/>
            <c:bubble3D val="0"/>
            <c:spPr>
              <a:solidFill>
                <a:schemeClr val="tx1"/>
              </a:solidFill>
              <a:ln>
                <a:noFill/>
              </a:ln>
              <a:effectLst/>
            </c:spPr>
            <c:extLst>
              <c:ext xmlns:c16="http://schemas.microsoft.com/office/drawing/2014/chart" uri="{C3380CC4-5D6E-409C-BE32-E72D297353CC}">
                <c16:uniqueId val="{00000009-C7D5-466E-9E00-C62FE749A796}"/>
              </c:ext>
            </c:extLst>
          </c:dPt>
          <c:dPt>
            <c:idx val="5"/>
            <c:invertIfNegative val="0"/>
            <c:bubble3D val="0"/>
            <c:spPr>
              <a:solidFill>
                <a:schemeClr val="tx1"/>
              </a:solidFill>
              <a:ln>
                <a:noFill/>
              </a:ln>
              <a:effectLst/>
            </c:spPr>
            <c:extLst>
              <c:ext xmlns:c16="http://schemas.microsoft.com/office/drawing/2014/chart" uri="{C3380CC4-5D6E-409C-BE32-E72D297353CC}">
                <c16:uniqueId val="{0000000B-C7D5-466E-9E00-C62FE749A796}"/>
              </c:ext>
            </c:extLst>
          </c:dPt>
          <c:dPt>
            <c:idx val="6"/>
            <c:invertIfNegative val="0"/>
            <c:bubble3D val="0"/>
            <c:spPr>
              <a:solidFill>
                <a:schemeClr val="tx1"/>
              </a:solidFill>
              <a:ln>
                <a:noFill/>
              </a:ln>
              <a:effectLst/>
            </c:spPr>
            <c:extLst>
              <c:ext xmlns:c16="http://schemas.microsoft.com/office/drawing/2014/chart" uri="{C3380CC4-5D6E-409C-BE32-E72D297353CC}">
                <c16:uniqueId val="{0000000D-C7D5-466E-9E00-C62FE749A796}"/>
              </c:ext>
            </c:extLst>
          </c:dPt>
          <c:dPt>
            <c:idx val="7"/>
            <c:invertIfNegative val="0"/>
            <c:bubble3D val="0"/>
            <c:spPr>
              <a:solidFill>
                <a:srgbClr val="FF0000"/>
              </a:solidFill>
              <a:ln>
                <a:noFill/>
              </a:ln>
              <a:effectLst/>
            </c:spPr>
            <c:extLst>
              <c:ext xmlns:c16="http://schemas.microsoft.com/office/drawing/2014/chart" uri="{C3380CC4-5D6E-409C-BE32-E72D297353CC}">
                <c16:uniqueId val="{0000000F-C7D5-466E-9E00-C62FE749A796}"/>
              </c:ext>
            </c:extLst>
          </c:dPt>
          <c:dPt>
            <c:idx val="8"/>
            <c:invertIfNegative val="0"/>
            <c:bubble3D val="0"/>
            <c:spPr>
              <a:solidFill>
                <a:srgbClr val="FF0000"/>
              </a:solidFill>
              <a:ln>
                <a:noFill/>
              </a:ln>
              <a:effectLst/>
            </c:spPr>
            <c:extLst>
              <c:ext xmlns:c16="http://schemas.microsoft.com/office/drawing/2014/chart" uri="{C3380CC4-5D6E-409C-BE32-E72D297353CC}">
                <c16:uniqueId val="{00000011-C7D5-466E-9E00-C62FE749A796}"/>
              </c:ext>
            </c:extLst>
          </c:dPt>
          <c:dPt>
            <c:idx val="9"/>
            <c:invertIfNegative val="0"/>
            <c:bubble3D val="0"/>
            <c:spPr>
              <a:solidFill>
                <a:srgbClr val="FF0000"/>
              </a:solidFill>
              <a:ln>
                <a:noFill/>
              </a:ln>
              <a:effectLst/>
            </c:spPr>
            <c:extLst>
              <c:ext xmlns:c16="http://schemas.microsoft.com/office/drawing/2014/chart" uri="{C3380CC4-5D6E-409C-BE32-E72D297353CC}">
                <c16:uniqueId val="{00000013-C7D5-466E-9E00-C62FE749A796}"/>
              </c:ext>
            </c:extLst>
          </c:dPt>
          <c:dPt>
            <c:idx val="10"/>
            <c:invertIfNegative val="0"/>
            <c:bubble3D val="0"/>
            <c:spPr>
              <a:solidFill>
                <a:srgbClr val="FF0000"/>
              </a:solidFill>
              <a:ln>
                <a:noFill/>
              </a:ln>
              <a:effectLst/>
            </c:spPr>
            <c:extLst>
              <c:ext xmlns:c16="http://schemas.microsoft.com/office/drawing/2014/chart" uri="{C3380CC4-5D6E-409C-BE32-E72D297353CC}">
                <c16:uniqueId val="{00000015-C7D5-466E-9E00-C62FE749A796}"/>
              </c:ext>
            </c:extLst>
          </c:dPt>
          <c:dLbls>
            <c:dLbl>
              <c:idx val="0"/>
              <c:layout>
                <c:manualLayout>
                  <c:x val="2.8876204075182588E-3"/>
                  <c:y val="2.65144301181886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D5-466E-9E00-C62FE749A796}"/>
                </c:ext>
              </c:extLst>
            </c:dLbl>
            <c:dLbl>
              <c:idx val="3"/>
              <c:layout>
                <c:manualLayout>
                  <c:x val="5.6949982801223582E-3"/>
                  <c:y val="7.3430041692835373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D5-466E-9E00-C62FE749A796}"/>
                </c:ext>
              </c:extLst>
            </c:dLbl>
            <c:dLbl>
              <c:idx val="4"/>
              <c:layout>
                <c:manualLayout>
                  <c:x val="0"/>
                  <c:y val="0.101698099415204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7D5-466E-9E00-C62FE749A796}"/>
                </c:ext>
              </c:extLst>
            </c:dLbl>
            <c:dLbl>
              <c:idx val="6"/>
              <c:layout>
                <c:manualLayout>
                  <c:x val="1.3941371084620548E-2"/>
                  <c:y val="-5.7732431604364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7D5-466E-9E00-C62FE749A796}"/>
                </c:ext>
              </c:extLst>
            </c:dLbl>
            <c:dLbl>
              <c:idx val="8"/>
              <c:layout>
                <c:manualLayout>
                  <c:x val="-1.0587819182842971E-16"/>
                  <c:y val="-1.85449852790053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7D5-466E-9E00-C62FE749A796}"/>
                </c:ext>
              </c:extLst>
            </c:dLbl>
            <c:dLbl>
              <c:idx val="9"/>
              <c:layout>
                <c:manualLayout>
                  <c:x val="-2.5974941366527626E-3"/>
                  <c:y val="7.92543859649122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7D5-466E-9E00-C62FE749A796}"/>
                </c:ext>
              </c:extLst>
            </c:dLbl>
            <c:dLbl>
              <c:idx val="10"/>
              <c:layout>
                <c:manualLayout>
                  <c:x val="-2.1175638365685941E-16"/>
                  <c:y val="1.34701514172296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7D5-466E-9E00-C62FE749A79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détaillé'!$H$133:$H$139,'Tableau détaillé'!$H$141:$H$144)</c:f>
              <c:numCache>
                <c:formatCode>#\ ##0.0" pts"</c:formatCode>
                <c:ptCount val="11"/>
                <c:pt idx="0">
                  <c:v>-0.9380913215022102</c:v>
                </c:pt>
                <c:pt idx="1">
                  <c:v>-15.784043600397506</c:v>
                </c:pt>
                <c:pt idx="2">
                  <c:v>-2.4042358199988789</c:v>
                </c:pt>
                <c:pt idx="3">
                  <c:v>6.4234312490751844E-2</c:v>
                </c:pt>
                <c:pt idx="4">
                  <c:v>1.2858228372254699</c:v>
                </c:pt>
                <c:pt idx="5">
                  <c:v>0.45901395044015691</c:v>
                </c:pt>
                <c:pt idx="6">
                  <c:v>1.8904528774728369</c:v>
                </c:pt>
                <c:pt idx="7">
                  <c:v>1.6319334706663913</c:v>
                </c:pt>
                <c:pt idx="8">
                  <c:v>11.392851989293495</c:v>
                </c:pt>
                <c:pt idx="9">
                  <c:v>-0.71796580761547824</c:v>
                </c:pt>
                <c:pt idx="10">
                  <c:v>1.5738353828339324</c:v>
                </c:pt>
              </c:numCache>
            </c:numRef>
          </c:val>
          <c:extLst>
            <c:ext xmlns:c16="http://schemas.microsoft.com/office/drawing/2014/chart" uri="{C3380CC4-5D6E-409C-BE32-E72D297353CC}">
              <c16:uniqueId val="{00000016-C7D5-466E-9E00-C62FE749A796}"/>
            </c:ext>
          </c:extLst>
        </c:ser>
        <c:dLbls>
          <c:showLegendKey val="0"/>
          <c:showVal val="0"/>
          <c:showCatName val="0"/>
          <c:showSerName val="0"/>
          <c:showPercent val="0"/>
          <c:showBubbleSize val="0"/>
        </c:dLbls>
        <c:gapWidth val="219"/>
        <c:overlap val="-27"/>
        <c:axId val="1032755784"/>
        <c:axId val="1032758528"/>
      </c:barChart>
      <c:lineChart>
        <c:grouping val="standard"/>
        <c:varyColors val="0"/>
        <c:ser>
          <c:idx val="1"/>
          <c:order val="1"/>
          <c:spPr>
            <a:ln w="28575" cap="rnd">
              <a:solidFill>
                <a:srgbClr val="C00000"/>
              </a:solidFill>
              <a:round/>
            </a:ln>
            <a:effectLst/>
          </c:spPr>
          <c:marker>
            <c:symbol val="none"/>
          </c:marker>
          <c:val>
            <c:numRef>
              <c:f>('Tableau détaillé'!$J$133:$J$139,'Tableau détaillé'!$J$141:$J$144)</c:f>
              <c:numCache>
                <c:formatCode>#\ ##0.0" pts"</c:formatCode>
                <c:ptCount val="11"/>
                <c:pt idx="0">
                  <c:v>-0.41133232177608114</c:v>
                </c:pt>
                <c:pt idx="1">
                  <c:v>-0.41133232177608114</c:v>
                </c:pt>
                <c:pt idx="2">
                  <c:v>-0.41133232177608114</c:v>
                </c:pt>
                <c:pt idx="3">
                  <c:v>-0.41133232177608114</c:v>
                </c:pt>
                <c:pt idx="4">
                  <c:v>-0.41133232177608114</c:v>
                </c:pt>
                <c:pt idx="5">
                  <c:v>-0.41133232177608114</c:v>
                </c:pt>
                <c:pt idx="6">
                  <c:v>-0.41133232177608114</c:v>
                </c:pt>
                <c:pt idx="7">
                  <c:v>-0.41133232177608114</c:v>
                </c:pt>
                <c:pt idx="8">
                  <c:v>-0.41133232177608114</c:v>
                </c:pt>
                <c:pt idx="9">
                  <c:v>-0.41133232177608114</c:v>
                </c:pt>
                <c:pt idx="10">
                  <c:v>-0.41133232177608114</c:v>
                </c:pt>
              </c:numCache>
            </c:numRef>
          </c:val>
          <c:smooth val="0"/>
          <c:extLst>
            <c:ext xmlns:c16="http://schemas.microsoft.com/office/drawing/2014/chart" uri="{C3380CC4-5D6E-409C-BE32-E72D297353CC}">
              <c16:uniqueId val="{00000017-C7D5-466E-9E00-C62FE749A796}"/>
            </c:ext>
          </c:extLst>
        </c:ser>
        <c:dLbls>
          <c:showLegendKey val="0"/>
          <c:showVal val="0"/>
          <c:showCatName val="0"/>
          <c:showSerName val="0"/>
          <c:showPercent val="0"/>
          <c:showBubbleSize val="0"/>
        </c:dLbls>
        <c:marker val="1"/>
        <c:smooth val="0"/>
        <c:axId val="1032755784"/>
        <c:axId val="1032758528"/>
      </c:lineChart>
      <c:catAx>
        <c:axId val="103275578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8528"/>
        <c:crosses val="autoZero"/>
        <c:auto val="1"/>
        <c:lblAlgn val="ctr"/>
        <c:lblOffset val="100"/>
        <c:noMultiLvlLbl val="0"/>
      </c:catAx>
      <c:valAx>
        <c:axId val="1032758528"/>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5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 de l'équipement BAD par DR</a:t>
            </a:r>
          </a:p>
        </c:rich>
      </c:tx>
      <c:layout>
        <c:manualLayout>
          <c:xMode val="edge"/>
          <c:yMode val="edge"/>
          <c:x val="0.24351843515800153"/>
          <c:y val="2.809453775083684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6264320318625434"/>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B7F0-41DA-9372-72CFABF32E30}"/>
              </c:ext>
            </c:extLst>
          </c:dPt>
          <c:dLbls>
            <c:dLbl>
              <c:idx val="0"/>
              <c:layout>
                <c:manualLayout>
                  <c:x val="-2.8853003771883135E-3"/>
                  <c:y val="-1.35113304093567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7F0-41DA-9372-72CFABF32E3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détaillé'!$H$140,'Tableau détaillé'!$H$145)</c:f>
              <c:numCache>
                <c:formatCode>#\ ##0.0" pts"</c:formatCode>
                <c:ptCount val="2"/>
                <c:pt idx="0">
                  <c:v>-3.6309328003607533</c:v>
                </c:pt>
                <c:pt idx="1">
                  <c:v>5.0898306970398988</c:v>
                </c:pt>
              </c:numCache>
            </c:numRef>
          </c:val>
          <c:extLst>
            <c:ext xmlns:c16="http://schemas.microsoft.com/office/drawing/2014/chart" uri="{C3380CC4-5D6E-409C-BE32-E72D297353CC}">
              <c16:uniqueId val="{00000003-B7F0-41DA-9372-72CFABF32E30}"/>
            </c:ext>
          </c:extLst>
        </c:ser>
        <c:dLbls>
          <c:showLegendKey val="0"/>
          <c:showVal val="0"/>
          <c:showCatName val="0"/>
          <c:showSerName val="0"/>
          <c:showPercent val="0"/>
          <c:showBubbleSize val="0"/>
        </c:dLbls>
        <c:gapWidth val="219"/>
        <c:overlap val="-27"/>
        <c:axId val="1032752256"/>
        <c:axId val="1032756960"/>
      </c:barChart>
      <c:lineChart>
        <c:grouping val="standard"/>
        <c:varyColors val="0"/>
        <c:ser>
          <c:idx val="1"/>
          <c:order val="1"/>
          <c:spPr>
            <a:ln w="28575" cap="rnd">
              <a:solidFill>
                <a:srgbClr val="C00000"/>
              </a:solidFill>
              <a:round/>
            </a:ln>
            <a:effectLst/>
          </c:spPr>
          <c:marker>
            <c:symbol val="none"/>
          </c:marker>
          <c:val>
            <c:numRef>
              <c:f>('Tableau détaillé'!$J$140,'Tableau détaillé'!$J$145)</c:f>
              <c:numCache>
                <c:formatCode>#\ ##0.0" pts"</c:formatCode>
                <c:ptCount val="2"/>
                <c:pt idx="0">
                  <c:v>-0.41133232177608114</c:v>
                </c:pt>
                <c:pt idx="1">
                  <c:v>-0.41133232177608114</c:v>
                </c:pt>
              </c:numCache>
            </c:numRef>
          </c:val>
          <c:smooth val="0"/>
          <c:extLst>
            <c:ext xmlns:c16="http://schemas.microsoft.com/office/drawing/2014/chart" uri="{C3380CC4-5D6E-409C-BE32-E72D297353CC}">
              <c16:uniqueId val="{00000004-B7F0-41DA-9372-72CFABF32E30}"/>
            </c:ext>
          </c:extLst>
        </c:ser>
        <c:dLbls>
          <c:showLegendKey val="0"/>
          <c:showVal val="0"/>
          <c:showCatName val="0"/>
          <c:showSerName val="0"/>
          <c:showPercent val="0"/>
          <c:showBubbleSize val="0"/>
        </c:dLbls>
        <c:marker val="1"/>
        <c:smooth val="0"/>
        <c:axId val="1032752256"/>
        <c:axId val="1032756960"/>
      </c:lineChart>
      <c:catAx>
        <c:axId val="1032752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6960"/>
        <c:crosses val="autoZero"/>
        <c:auto val="1"/>
        <c:lblAlgn val="ctr"/>
        <c:lblOffset val="100"/>
        <c:noMultiLvlLbl val="0"/>
      </c:catAx>
      <c:valAx>
        <c:axId val="1032756960"/>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2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Evolution PNB </a:t>
            </a:r>
            <a:r>
              <a:rPr lang="fr-FR" sz="1200" b="1" baseline="0"/>
              <a:t>YTY par clients actifs 2023 </a:t>
            </a:r>
            <a:r>
              <a:rPr lang="fr-FR" sz="1200" b="1"/>
              <a:t>vs PNB YTD  par clients actifs 2022</a:t>
            </a:r>
          </a:p>
        </c:rich>
      </c:tx>
      <c:layout>
        <c:manualLayout>
          <c:xMode val="edge"/>
          <c:yMode val="edge"/>
          <c:x val="0.11743556305817449"/>
          <c:y val="2.0342544065839034E-3"/>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20229450113378689"/>
          <c:w val="0.89920800524934386"/>
          <c:h val="0.56652210884353738"/>
        </c:manualLayout>
      </c:layout>
      <c:barChart>
        <c:barDir val="col"/>
        <c:grouping val="clustered"/>
        <c:varyColors val="0"/>
        <c:ser>
          <c:idx val="0"/>
          <c:order val="0"/>
          <c:spPr>
            <a:solidFill>
              <a:schemeClr val="tx1"/>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1-20EF-472F-8E03-C7B9F7900E40}"/>
              </c:ext>
            </c:extLst>
          </c:dPt>
          <c:dPt>
            <c:idx val="8"/>
            <c:invertIfNegative val="0"/>
            <c:bubble3D val="0"/>
            <c:spPr>
              <a:solidFill>
                <a:srgbClr val="FF0000"/>
              </a:solidFill>
              <a:ln>
                <a:noFill/>
              </a:ln>
              <a:effectLst/>
            </c:spPr>
            <c:extLst>
              <c:ext xmlns:c16="http://schemas.microsoft.com/office/drawing/2014/chart" uri="{C3380CC4-5D6E-409C-BE32-E72D297353CC}">
                <c16:uniqueId val="{00000003-20EF-472F-8E03-C7B9F7900E40}"/>
              </c:ext>
            </c:extLst>
          </c:dPt>
          <c:dPt>
            <c:idx val="9"/>
            <c:invertIfNegative val="0"/>
            <c:bubble3D val="0"/>
            <c:spPr>
              <a:solidFill>
                <a:srgbClr val="FF0000"/>
              </a:solidFill>
              <a:ln>
                <a:noFill/>
              </a:ln>
              <a:effectLst/>
            </c:spPr>
            <c:extLst>
              <c:ext xmlns:c16="http://schemas.microsoft.com/office/drawing/2014/chart" uri="{C3380CC4-5D6E-409C-BE32-E72D297353CC}">
                <c16:uniqueId val="{00000005-20EF-472F-8E03-C7B9F7900E40}"/>
              </c:ext>
            </c:extLst>
          </c:dPt>
          <c:dPt>
            <c:idx val="10"/>
            <c:invertIfNegative val="0"/>
            <c:bubble3D val="0"/>
            <c:spPr>
              <a:solidFill>
                <a:srgbClr val="FF0000"/>
              </a:solidFill>
              <a:ln>
                <a:noFill/>
              </a:ln>
              <a:effectLst/>
            </c:spPr>
            <c:extLst>
              <c:ext xmlns:c16="http://schemas.microsoft.com/office/drawing/2014/chart" uri="{C3380CC4-5D6E-409C-BE32-E72D297353CC}">
                <c16:uniqueId val="{00000007-20EF-472F-8E03-C7B9F7900E40}"/>
              </c:ext>
            </c:extLst>
          </c:dPt>
          <c:dLbls>
            <c:dLbl>
              <c:idx val="0"/>
              <c:layout>
                <c:manualLayout>
                  <c:x val="0"/>
                  <c:y val="-4.049744897959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3EA-4F4C-9A5B-A39724837E7A}"/>
                </c:ext>
              </c:extLst>
            </c:dLbl>
            <c:dLbl>
              <c:idx val="1"/>
              <c:layout>
                <c:manualLayout>
                  <c:x val="2.8749930388947812E-3"/>
                  <c:y val="1.3499149659863945E-2"/>
                </c:manualLayout>
              </c:layout>
              <c:tx>
                <c:rich>
                  <a:bodyPr/>
                  <a:lstStyle/>
                  <a:p>
                    <a:r>
                      <a:rPr lang="en-US" sz="800">
                        <a:solidFill>
                          <a:sysClr val="windowText" lastClr="000000"/>
                        </a:solidFill>
                      </a:rPr>
                      <a:t>ND</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20EF-472F-8E03-C7B9F7900E40}"/>
                </c:ext>
              </c:extLst>
            </c:dLbl>
            <c:dLbl>
              <c:idx val="2"/>
              <c:layout>
                <c:manualLayout>
                  <c:x val="2.8735632183907521E-3"/>
                  <c:y val="-4.49971655328798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0EF-472F-8E03-C7B9F7900E40}"/>
                </c:ext>
              </c:extLst>
            </c:dLbl>
            <c:dLbl>
              <c:idx val="6"/>
              <c:layout>
                <c:manualLayout>
                  <c:x val="0"/>
                  <c:y val="-2.6998299319727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3EA-4F4C-9A5B-A39724837E7A}"/>
                </c:ext>
              </c:extLst>
            </c:dLbl>
            <c:dLbl>
              <c:idx val="8"/>
              <c:layout>
                <c:manualLayout>
                  <c:x val="0"/>
                  <c:y val="-2.24985827664399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EF-472F-8E03-C7B9F7900E40}"/>
                </c:ext>
              </c:extLst>
            </c:dLbl>
            <c:dLbl>
              <c:idx val="9"/>
              <c:layout>
                <c:manualLayout>
                  <c:x val="0"/>
                  <c:y val="4.60527386467276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EF-472F-8E03-C7B9F7900E40}"/>
                </c:ext>
              </c:extLst>
            </c:dLbl>
            <c:dLbl>
              <c:idx val="10"/>
              <c:layout>
                <c:manualLayout>
                  <c:x val="-2.0144872483871954E-2"/>
                  <c:y val="-4.94309807256235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EF-472F-8E03-C7B9F7900E4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détaillé'!$I$350:$I$356,'Tableau détaillé'!$I$358:$I$361)</c:f>
              <c:numCache>
                <c:formatCode>0.0%</c:formatCode>
                <c:ptCount val="11"/>
                <c:pt idx="0">
                  <c:v>-0.40962297658178759</c:v>
                </c:pt>
                <c:pt idx="1">
                  <c:v>0</c:v>
                </c:pt>
                <c:pt idx="2">
                  <c:v>-0.31220268349953595</c:v>
                </c:pt>
                <c:pt idx="3">
                  <c:v>0.35848713683577693</c:v>
                </c:pt>
                <c:pt idx="4">
                  <c:v>2.4277722852305672E-2</c:v>
                </c:pt>
                <c:pt idx="5">
                  <c:v>-0.1216338479384701</c:v>
                </c:pt>
                <c:pt idx="6">
                  <c:v>1.2491004713095299</c:v>
                </c:pt>
                <c:pt idx="7">
                  <c:v>-9.082585111339303E-3</c:v>
                </c:pt>
                <c:pt idx="8">
                  <c:v>-0.74088116833952711</c:v>
                </c:pt>
                <c:pt idx="9">
                  <c:v>0.24352559446404376</c:v>
                </c:pt>
                <c:pt idx="10">
                  <c:v>-0.27277117635176862</c:v>
                </c:pt>
              </c:numCache>
            </c:numRef>
          </c:val>
          <c:extLst>
            <c:ext xmlns:c16="http://schemas.microsoft.com/office/drawing/2014/chart" uri="{C3380CC4-5D6E-409C-BE32-E72D297353CC}">
              <c16:uniqueId val="{0000000A-20EF-472F-8E03-C7B9F7900E40}"/>
            </c:ext>
          </c:extLst>
        </c:ser>
        <c:dLbls>
          <c:showLegendKey val="0"/>
          <c:showVal val="0"/>
          <c:showCatName val="0"/>
          <c:showSerName val="0"/>
          <c:showPercent val="0"/>
          <c:showBubbleSize val="0"/>
        </c:dLbls>
        <c:gapWidth val="219"/>
        <c:overlap val="-27"/>
        <c:axId val="1032757352"/>
        <c:axId val="1032757744"/>
      </c:barChart>
      <c:lineChart>
        <c:grouping val="standard"/>
        <c:varyColors val="0"/>
        <c:ser>
          <c:idx val="1"/>
          <c:order val="1"/>
          <c:spPr>
            <a:ln w="28575" cap="rnd">
              <a:solidFill>
                <a:srgbClr val="C00000"/>
              </a:solidFill>
              <a:round/>
            </a:ln>
            <a:effectLst/>
          </c:spPr>
          <c:marker>
            <c:symbol val="none"/>
          </c:marker>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détaillé'!$J$350:$J$356,'Tableau détaillé'!$J$358:$J$361)</c:f>
              <c:numCache>
                <c:formatCode>0.0%</c:formatCode>
                <c:ptCount val="11"/>
                <c:pt idx="0">
                  <c:v>-0.24566384714901301</c:v>
                </c:pt>
                <c:pt idx="1">
                  <c:v>-0.24566384714901301</c:v>
                </c:pt>
                <c:pt idx="2">
                  <c:v>-0.24566384714901301</c:v>
                </c:pt>
                <c:pt idx="3">
                  <c:v>-0.24566384714901301</c:v>
                </c:pt>
                <c:pt idx="4">
                  <c:v>-0.24566384714901301</c:v>
                </c:pt>
                <c:pt idx="5">
                  <c:v>-0.24566384714901301</c:v>
                </c:pt>
                <c:pt idx="6">
                  <c:v>-0.24566384714901301</c:v>
                </c:pt>
                <c:pt idx="7">
                  <c:v>-0.24566384714901301</c:v>
                </c:pt>
                <c:pt idx="8">
                  <c:v>-0.24566384714901301</c:v>
                </c:pt>
                <c:pt idx="9">
                  <c:v>-0.24566384714901301</c:v>
                </c:pt>
                <c:pt idx="10">
                  <c:v>-0.24566384714901301</c:v>
                </c:pt>
              </c:numCache>
            </c:numRef>
          </c:val>
          <c:smooth val="0"/>
          <c:extLst>
            <c:ext xmlns:c16="http://schemas.microsoft.com/office/drawing/2014/chart" uri="{C3380CC4-5D6E-409C-BE32-E72D297353CC}">
              <c16:uniqueId val="{0000000B-20EF-472F-8E03-C7B9F7900E40}"/>
            </c:ext>
          </c:extLst>
        </c:ser>
        <c:dLbls>
          <c:showLegendKey val="0"/>
          <c:showVal val="0"/>
          <c:showCatName val="0"/>
          <c:showSerName val="0"/>
          <c:showPercent val="0"/>
          <c:showBubbleSize val="0"/>
        </c:dLbls>
        <c:marker val="1"/>
        <c:smooth val="0"/>
        <c:axId val="1032757352"/>
        <c:axId val="1032757744"/>
      </c:lineChart>
      <c:catAx>
        <c:axId val="103275735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7744"/>
        <c:crosses val="autoZero"/>
        <c:auto val="1"/>
        <c:lblAlgn val="ctr"/>
        <c:lblOffset val="100"/>
        <c:noMultiLvlLbl val="0"/>
      </c:catAx>
      <c:valAx>
        <c:axId val="103275774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7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sz="1200" b="1" i="0" baseline="0">
                <a:effectLst/>
              </a:rPr>
              <a:t>Evolution PNB YTY par clients actifs 2023 vs PNB YTD  par clients actifs 2022 </a:t>
            </a:r>
            <a:r>
              <a:rPr lang="fr-FR" sz="1200" b="1"/>
              <a:t>par DR</a:t>
            </a:r>
          </a:p>
        </c:rich>
      </c:tx>
      <c:layout>
        <c:manualLayout>
          <c:xMode val="edge"/>
          <c:yMode val="edge"/>
          <c:x val="0.10010068784505387"/>
          <c:y val="1.878543083900226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21708830687402023"/>
          <c:w val="0.89920800524934386"/>
          <c:h val="0.63239450621802418"/>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9F98-4048-8364-FC445D9A11C2}"/>
              </c:ext>
            </c:extLst>
          </c:dPt>
          <c:dLbls>
            <c:dLbl>
              <c:idx val="0"/>
              <c:layout>
                <c:manualLayout>
                  <c:x val="1.6722047675075099E-3"/>
                  <c:y val="-2.730476391215460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98-4048-8364-FC445D9A11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détaillé'!$I$357,'Tableau détaillé'!$I$362)</c:f>
              <c:numCache>
                <c:formatCode>0.0%</c:formatCode>
                <c:ptCount val="2"/>
                <c:pt idx="0">
                  <c:v>-0.22634807050572692</c:v>
                </c:pt>
                <c:pt idx="1">
                  <c:v>-0.29182939275639552</c:v>
                </c:pt>
              </c:numCache>
            </c:numRef>
          </c:val>
          <c:extLst>
            <c:ext xmlns:c16="http://schemas.microsoft.com/office/drawing/2014/chart" uri="{C3380CC4-5D6E-409C-BE32-E72D297353CC}">
              <c16:uniqueId val="{00000003-9F98-4048-8364-FC445D9A11C2}"/>
            </c:ext>
          </c:extLst>
        </c:ser>
        <c:dLbls>
          <c:showLegendKey val="0"/>
          <c:showVal val="0"/>
          <c:showCatName val="0"/>
          <c:showSerName val="0"/>
          <c:showPercent val="0"/>
          <c:showBubbleSize val="0"/>
        </c:dLbls>
        <c:gapWidth val="219"/>
        <c:overlap val="-27"/>
        <c:axId val="1032752648"/>
        <c:axId val="1032753040"/>
      </c:barChart>
      <c:lineChart>
        <c:grouping val="standard"/>
        <c:varyColors val="0"/>
        <c:ser>
          <c:idx val="1"/>
          <c:order val="1"/>
          <c:spPr>
            <a:ln w="28575" cap="rnd">
              <a:solidFill>
                <a:schemeClr val="accent2"/>
              </a:solidFill>
              <a:round/>
            </a:ln>
            <a:effectLst/>
          </c:spPr>
          <c:marker>
            <c:symbol val="none"/>
          </c:marker>
          <c:dPt>
            <c:idx val="1"/>
            <c:marker>
              <c:symbol val="none"/>
            </c:marker>
            <c:bubble3D val="0"/>
            <c:spPr>
              <a:ln w="28575" cap="rnd">
                <a:solidFill>
                  <a:srgbClr val="C00000"/>
                </a:solidFill>
                <a:round/>
              </a:ln>
              <a:effectLst/>
            </c:spPr>
            <c:extLst>
              <c:ext xmlns:c16="http://schemas.microsoft.com/office/drawing/2014/chart" uri="{C3380CC4-5D6E-409C-BE32-E72D297353CC}">
                <c16:uniqueId val="{00000005-9F98-4048-8364-FC445D9A11C2}"/>
              </c:ext>
            </c:extLst>
          </c:dPt>
          <c:cat>
            <c:strRef>
              <c:f>('Tableau détaillé'!$D$13,'Tableau détaillé'!$D$18)</c:f>
              <c:strCache>
                <c:ptCount val="2"/>
                <c:pt idx="0">
                  <c:v>Total AFO</c:v>
                </c:pt>
                <c:pt idx="1">
                  <c:v>Total AFCE</c:v>
                </c:pt>
              </c:strCache>
            </c:strRef>
          </c:cat>
          <c:val>
            <c:numRef>
              <c:f>('Tableau détaillé'!$J$357,'Tableau détaillé'!$J$362)</c:f>
              <c:numCache>
                <c:formatCode>0.0%</c:formatCode>
                <c:ptCount val="2"/>
                <c:pt idx="0">
                  <c:v>-0.24566384714901301</c:v>
                </c:pt>
                <c:pt idx="1">
                  <c:v>-0.24566384714901301</c:v>
                </c:pt>
              </c:numCache>
            </c:numRef>
          </c:val>
          <c:smooth val="0"/>
          <c:extLst>
            <c:ext xmlns:c16="http://schemas.microsoft.com/office/drawing/2014/chart" uri="{C3380CC4-5D6E-409C-BE32-E72D297353CC}">
              <c16:uniqueId val="{00000006-9F98-4048-8364-FC445D9A11C2}"/>
            </c:ext>
          </c:extLst>
        </c:ser>
        <c:dLbls>
          <c:showLegendKey val="0"/>
          <c:showVal val="0"/>
          <c:showCatName val="0"/>
          <c:showSerName val="0"/>
          <c:showPercent val="0"/>
          <c:showBubbleSize val="0"/>
        </c:dLbls>
        <c:marker val="1"/>
        <c:smooth val="0"/>
        <c:axId val="1032752648"/>
        <c:axId val="1032753040"/>
      </c:lineChart>
      <c:catAx>
        <c:axId val="1032752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3040"/>
        <c:crosses val="autoZero"/>
        <c:auto val="1"/>
        <c:lblAlgn val="ctr"/>
        <c:lblOffset val="100"/>
        <c:noMultiLvlLbl val="0"/>
      </c:catAx>
      <c:valAx>
        <c:axId val="103275304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2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orientation="portrait"/>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Evolution PNB </a:t>
            </a:r>
            <a:r>
              <a:rPr lang="fr-FR" sz="1200" b="1" baseline="0"/>
              <a:t>YTD 2023 </a:t>
            </a:r>
            <a:r>
              <a:rPr lang="fr-FR" sz="1200" b="1"/>
              <a:t>vs PNB YTD  2022</a:t>
            </a:r>
          </a:p>
        </c:rich>
      </c:tx>
      <c:layout>
        <c:manualLayout>
          <c:xMode val="edge"/>
          <c:yMode val="edge"/>
          <c:x val="0.26389379129332974"/>
          <c:y val="3.80318168934240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5330264630924727E-2"/>
          <c:y val="0.2067948624815511"/>
          <c:w val="0.89920800524934386"/>
          <c:h val="0.56652210884353738"/>
        </c:manualLayout>
      </c:layout>
      <c:barChart>
        <c:barDir val="col"/>
        <c:grouping val="clustered"/>
        <c:varyColors val="0"/>
        <c:ser>
          <c:idx val="0"/>
          <c:order val="0"/>
          <c:spPr>
            <a:solidFill>
              <a:schemeClr val="tx1"/>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1-8290-48B5-84AD-ABF2640E4D28}"/>
              </c:ext>
            </c:extLst>
          </c:dPt>
          <c:dPt>
            <c:idx val="8"/>
            <c:invertIfNegative val="0"/>
            <c:bubble3D val="0"/>
            <c:spPr>
              <a:solidFill>
                <a:srgbClr val="FF0000"/>
              </a:solidFill>
              <a:ln>
                <a:noFill/>
              </a:ln>
              <a:effectLst/>
            </c:spPr>
            <c:extLst>
              <c:ext xmlns:c16="http://schemas.microsoft.com/office/drawing/2014/chart" uri="{C3380CC4-5D6E-409C-BE32-E72D297353CC}">
                <c16:uniqueId val="{00000003-8290-48B5-84AD-ABF2640E4D28}"/>
              </c:ext>
            </c:extLst>
          </c:dPt>
          <c:dPt>
            <c:idx val="9"/>
            <c:invertIfNegative val="0"/>
            <c:bubble3D val="0"/>
            <c:spPr>
              <a:solidFill>
                <a:srgbClr val="FF0000"/>
              </a:solidFill>
              <a:ln>
                <a:noFill/>
              </a:ln>
              <a:effectLst/>
            </c:spPr>
            <c:extLst>
              <c:ext xmlns:c16="http://schemas.microsoft.com/office/drawing/2014/chart" uri="{C3380CC4-5D6E-409C-BE32-E72D297353CC}">
                <c16:uniqueId val="{00000005-8290-48B5-84AD-ABF2640E4D28}"/>
              </c:ext>
            </c:extLst>
          </c:dPt>
          <c:dPt>
            <c:idx val="10"/>
            <c:invertIfNegative val="0"/>
            <c:bubble3D val="0"/>
            <c:spPr>
              <a:solidFill>
                <a:srgbClr val="FF0000"/>
              </a:solidFill>
              <a:ln>
                <a:noFill/>
              </a:ln>
              <a:effectLst/>
            </c:spPr>
            <c:extLst>
              <c:ext xmlns:c16="http://schemas.microsoft.com/office/drawing/2014/chart" uri="{C3380CC4-5D6E-409C-BE32-E72D297353CC}">
                <c16:uniqueId val="{00000007-8290-48B5-84AD-ABF2640E4D28}"/>
              </c:ext>
            </c:extLst>
          </c:dPt>
          <c:dLbls>
            <c:dLbl>
              <c:idx val="1"/>
              <c:layout>
                <c:manualLayout>
                  <c:x val="-2.6340691878662054E-17"/>
                  <c:y val="8.0994897959183673E-2"/>
                </c:manualLayout>
              </c:layout>
              <c:tx>
                <c:rich>
                  <a:bodyPr/>
                  <a:lstStyle/>
                  <a:p>
                    <a:r>
                      <a:rPr lang="en-US">
                        <a:solidFill>
                          <a:sysClr val="windowText" lastClr="000000"/>
                        </a:solidFill>
                      </a:rPr>
                      <a:t>ND</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8290-48B5-84AD-ABF2640E4D28}"/>
                </c:ext>
              </c:extLst>
            </c:dLbl>
            <c:dLbl>
              <c:idx val="2"/>
              <c:layout>
                <c:manualLayout>
                  <c:x val="5.7433591279500047E-3"/>
                  <c:y val="-5.40045393579342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457-4A68-B15E-49884134DDE0}"/>
                </c:ext>
              </c:extLst>
            </c:dLbl>
            <c:dLbl>
              <c:idx val="3"/>
              <c:layout>
                <c:manualLayout>
                  <c:x val="1.7230077383850118E-2"/>
                  <c:y val="-2.25018913991392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5EE-4F97-9D00-13B2BB21D293}"/>
                </c:ext>
              </c:extLst>
            </c:dLbl>
            <c:dLbl>
              <c:idx val="5"/>
              <c:layout>
                <c:manualLayout>
                  <c:x val="-3.3599328013439733E-2"/>
                  <c:y val="3.35962479774022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2F-4CFA-89F5-0CBE03F73DEC}"/>
                </c:ext>
              </c:extLst>
            </c:dLbl>
            <c:dLbl>
              <c:idx val="8"/>
              <c:layout>
                <c:manualLayout>
                  <c:x val="1.7242370550374135E-2"/>
                  <c:y val="-9.45398114730112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290-48B5-84AD-ABF2640E4D28}"/>
                </c:ext>
              </c:extLst>
            </c:dLbl>
            <c:dLbl>
              <c:idx val="9"/>
              <c:layout>
                <c:manualLayout>
                  <c:x val="-2.8698706319663309E-3"/>
                  <c:y val="-1.2048256812220062E-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290-48B5-84AD-ABF2640E4D2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détaillé'!$I$334:$I$340,'Tableau détaillé'!$I$342:$I$345)</c:f>
              <c:numCache>
                <c:formatCode>0.0%</c:formatCode>
                <c:ptCount val="11"/>
                <c:pt idx="0">
                  <c:v>-0.31280523107503599</c:v>
                </c:pt>
                <c:pt idx="1">
                  <c:v>0</c:v>
                </c:pt>
                <c:pt idx="2">
                  <c:v>-0.31739903463549268</c:v>
                </c:pt>
                <c:pt idx="3">
                  <c:v>0.29635356617506092</c:v>
                </c:pt>
                <c:pt idx="4">
                  <c:v>4.9605438039117544E-3</c:v>
                </c:pt>
                <c:pt idx="5">
                  <c:v>-0.22016900264307271</c:v>
                </c:pt>
                <c:pt idx="6">
                  <c:v>1.3408070041024804</c:v>
                </c:pt>
                <c:pt idx="7">
                  <c:v>0.10558549377126591</c:v>
                </c:pt>
                <c:pt idx="8">
                  <c:v>-0.73879816637521545</c:v>
                </c:pt>
                <c:pt idx="9">
                  <c:v>0.25952895752998839</c:v>
                </c:pt>
                <c:pt idx="10">
                  <c:v>-0.11111823887511019</c:v>
                </c:pt>
              </c:numCache>
            </c:numRef>
          </c:val>
          <c:extLst>
            <c:ext xmlns:c16="http://schemas.microsoft.com/office/drawing/2014/chart" uri="{C3380CC4-5D6E-409C-BE32-E72D297353CC}">
              <c16:uniqueId val="{00000009-8290-48B5-84AD-ABF2640E4D28}"/>
            </c:ext>
          </c:extLst>
        </c:ser>
        <c:dLbls>
          <c:showLegendKey val="0"/>
          <c:showVal val="0"/>
          <c:showCatName val="0"/>
          <c:showSerName val="0"/>
          <c:showPercent val="0"/>
          <c:showBubbleSize val="0"/>
        </c:dLbls>
        <c:gapWidth val="219"/>
        <c:overlap val="-27"/>
        <c:axId val="1032754216"/>
        <c:axId val="1032769504"/>
      </c:barChart>
      <c:lineChart>
        <c:grouping val="standard"/>
        <c:varyColors val="0"/>
        <c:ser>
          <c:idx val="1"/>
          <c:order val="1"/>
          <c:spPr>
            <a:ln w="28575" cap="rnd">
              <a:solidFill>
                <a:srgbClr val="C00000"/>
              </a:solidFill>
              <a:round/>
            </a:ln>
            <a:effectLst/>
          </c:spPr>
          <c:marker>
            <c:symbol val="none"/>
          </c:marker>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détaillé'!$J$334:$J$340,'Tableau détaillé'!$J$342:$J$345)</c:f>
              <c:numCache>
                <c:formatCode>0.0%</c:formatCode>
                <c:ptCount val="11"/>
                <c:pt idx="0">
                  <c:v>-0.21797236460219027</c:v>
                </c:pt>
                <c:pt idx="1">
                  <c:v>-0.21797236460219027</c:v>
                </c:pt>
                <c:pt idx="2">
                  <c:v>-0.21797236460219027</c:v>
                </c:pt>
                <c:pt idx="3">
                  <c:v>-0.21797236460219027</c:v>
                </c:pt>
                <c:pt idx="4">
                  <c:v>-0.21797236460219027</c:v>
                </c:pt>
                <c:pt idx="5">
                  <c:v>-0.21797236460219027</c:v>
                </c:pt>
                <c:pt idx="6">
                  <c:v>-0.21797236460219027</c:v>
                </c:pt>
                <c:pt idx="7">
                  <c:v>-0.21797236460219027</c:v>
                </c:pt>
                <c:pt idx="8">
                  <c:v>-0.21797236460219027</c:v>
                </c:pt>
                <c:pt idx="9">
                  <c:v>-0.21797236460219027</c:v>
                </c:pt>
                <c:pt idx="10">
                  <c:v>-0.21797236460219027</c:v>
                </c:pt>
              </c:numCache>
            </c:numRef>
          </c:val>
          <c:smooth val="0"/>
          <c:extLst>
            <c:ext xmlns:c16="http://schemas.microsoft.com/office/drawing/2014/chart" uri="{C3380CC4-5D6E-409C-BE32-E72D297353CC}">
              <c16:uniqueId val="{0000000A-8290-48B5-84AD-ABF2640E4D28}"/>
            </c:ext>
          </c:extLst>
        </c:ser>
        <c:dLbls>
          <c:showLegendKey val="0"/>
          <c:showVal val="0"/>
          <c:showCatName val="0"/>
          <c:showSerName val="0"/>
          <c:showPercent val="0"/>
          <c:showBubbleSize val="0"/>
        </c:dLbls>
        <c:marker val="1"/>
        <c:smooth val="0"/>
        <c:axId val="1032754216"/>
        <c:axId val="1032769504"/>
      </c:lineChart>
      <c:catAx>
        <c:axId val="103275421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9504"/>
        <c:crosses val="autoZero"/>
        <c:auto val="1"/>
        <c:lblAlgn val="ctr"/>
        <c:lblOffset val="100"/>
        <c:noMultiLvlLbl val="0"/>
      </c:catAx>
      <c:valAx>
        <c:axId val="103276950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54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sz="1200" b="1" i="0" baseline="0">
                <a:effectLst/>
              </a:rPr>
              <a:t>Evolution PNB YTD 2023 vs PNB YTD  2022 </a:t>
            </a:r>
            <a:r>
              <a:rPr lang="fr-FR" sz="1200" b="1"/>
              <a:t>par DR</a:t>
            </a:r>
          </a:p>
        </c:rich>
      </c:tx>
      <c:layout>
        <c:manualLayout>
          <c:xMode val="edge"/>
          <c:yMode val="edge"/>
          <c:x val="0.14033057290252515"/>
          <c:y val="3.228458049886621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A4CF-4501-900D-EB0E82FD5B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détaillé'!$I$341,'Tableau détaillé'!$I$346)</c:f>
              <c:numCache>
                <c:formatCode>0.0%</c:formatCode>
                <c:ptCount val="2"/>
                <c:pt idx="0">
                  <c:v>-0.19692609366474734</c:v>
                </c:pt>
                <c:pt idx="1">
                  <c:v>-0.26715277088357892</c:v>
                </c:pt>
              </c:numCache>
            </c:numRef>
          </c:val>
          <c:extLst>
            <c:ext xmlns:c16="http://schemas.microsoft.com/office/drawing/2014/chart" uri="{C3380CC4-5D6E-409C-BE32-E72D297353CC}">
              <c16:uniqueId val="{00000002-A4CF-4501-900D-EB0E82FD5BA4}"/>
            </c:ext>
          </c:extLst>
        </c:ser>
        <c:dLbls>
          <c:showLegendKey val="0"/>
          <c:showVal val="0"/>
          <c:showCatName val="0"/>
          <c:showSerName val="0"/>
          <c:showPercent val="0"/>
          <c:showBubbleSize val="0"/>
        </c:dLbls>
        <c:gapWidth val="219"/>
        <c:overlap val="-27"/>
        <c:axId val="1032772640"/>
        <c:axId val="1032768720"/>
      </c:barChart>
      <c:lineChart>
        <c:grouping val="standard"/>
        <c:varyColors val="0"/>
        <c:ser>
          <c:idx val="1"/>
          <c:order val="1"/>
          <c:spPr>
            <a:ln w="28575" cap="rnd">
              <a:solidFill>
                <a:srgbClr val="C00000"/>
              </a:solidFill>
              <a:round/>
            </a:ln>
            <a:effectLst/>
          </c:spPr>
          <c:marker>
            <c:symbol val="none"/>
          </c:marker>
          <c:cat>
            <c:strRef>
              <c:f>('Tableau détaillé'!$D$13,'Tableau détaillé'!$D$18)</c:f>
              <c:strCache>
                <c:ptCount val="2"/>
                <c:pt idx="0">
                  <c:v>Total AFO</c:v>
                </c:pt>
                <c:pt idx="1">
                  <c:v>Total AFCE</c:v>
                </c:pt>
              </c:strCache>
            </c:strRef>
          </c:cat>
          <c:val>
            <c:numRef>
              <c:f>('Tableau détaillé'!$J$341,'Tableau détaillé'!$J$346)</c:f>
              <c:numCache>
                <c:formatCode>0.0%</c:formatCode>
                <c:ptCount val="2"/>
                <c:pt idx="0">
                  <c:v>-0.21797236460219027</c:v>
                </c:pt>
                <c:pt idx="1">
                  <c:v>-0.21797236460219027</c:v>
                </c:pt>
              </c:numCache>
            </c:numRef>
          </c:val>
          <c:smooth val="0"/>
          <c:extLst>
            <c:ext xmlns:c16="http://schemas.microsoft.com/office/drawing/2014/chart" uri="{C3380CC4-5D6E-409C-BE32-E72D297353CC}">
              <c16:uniqueId val="{00000003-A4CF-4501-900D-EB0E82FD5BA4}"/>
            </c:ext>
          </c:extLst>
        </c:ser>
        <c:dLbls>
          <c:showLegendKey val="0"/>
          <c:showVal val="0"/>
          <c:showCatName val="0"/>
          <c:showSerName val="0"/>
          <c:showPercent val="0"/>
          <c:showBubbleSize val="0"/>
        </c:dLbls>
        <c:marker val="1"/>
        <c:smooth val="0"/>
        <c:axId val="1032772640"/>
        <c:axId val="1032768720"/>
      </c:lineChart>
      <c:catAx>
        <c:axId val="1032772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8720"/>
        <c:crosses val="autoZero"/>
        <c:auto val="1"/>
        <c:lblAlgn val="ctr"/>
        <c:lblOffset val="100"/>
        <c:noMultiLvlLbl val="0"/>
      </c:catAx>
      <c:valAx>
        <c:axId val="103276872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2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 de l'équipement Credits</a:t>
            </a:r>
          </a:p>
        </c:rich>
      </c:tx>
      <c:layout>
        <c:manualLayout>
          <c:xMode val="edge"/>
          <c:yMode val="edge"/>
          <c:x val="0.22188060897399456"/>
          <c:y val="1.460380116959064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4312386203309568"/>
          <c:w val="0.89920800524934386"/>
          <c:h val="0.6295509401068563"/>
        </c:manualLayout>
      </c:layout>
      <c:barChart>
        <c:barDir val="col"/>
        <c:grouping val="clustered"/>
        <c:varyColors val="0"/>
        <c:ser>
          <c:idx val="0"/>
          <c:order val="0"/>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1-1701-4904-A70D-3934000AE9B9}"/>
              </c:ext>
            </c:extLst>
          </c:dPt>
          <c:dPt>
            <c:idx val="8"/>
            <c:invertIfNegative val="0"/>
            <c:bubble3D val="0"/>
            <c:spPr>
              <a:solidFill>
                <a:srgbClr val="FF0000"/>
              </a:solidFill>
              <a:ln>
                <a:noFill/>
              </a:ln>
              <a:effectLst/>
            </c:spPr>
            <c:extLst>
              <c:ext xmlns:c16="http://schemas.microsoft.com/office/drawing/2014/chart" uri="{C3380CC4-5D6E-409C-BE32-E72D297353CC}">
                <c16:uniqueId val="{00000003-1701-4904-A70D-3934000AE9B9}"/>
              </c:ext>
            </c:extLst>
          </c:dPt>
          <c:dPt>
            <c:idx val="9"/>
            <c:invertIfNegative val="0"/>
            <c:bubble3D val="0"/>
            <c:spPr>
              <a:solidFill>
                <a:srgbClr val="FF0000"/>
              </a:solidFill>
              <a:ln>
                <a:noFill/>
              </a:ln>
              <a:effectLst/>
            </c:spPr>
            <c:extLst>
              <c:ext xmlns:c16="http://schemas.microsoft.com/office/drawing/2014/chart" uri="{C3380CC4-5D6E-409C-BE32-E72D297353CC}">
                <c16:uniqueId val="{00000005-1701-4904-A70D-3934000AE9B9}"/>
              </c:ext>
            </c:extLst>
          </c:dPt>
          <c:dPt>
            <c:idx val="10"/>
            <c:invertIfNegative val="0"/>
            <c:bubble3D val="0"/>
            <c:spPr>
              <a:solidFill>
                <a:srgbClr val="FF0000"/>
              </a:solidFill>
              <a:ln>
                <a:noFill/>
              </a:ln>
              <a:effectLst/>
            </c:spPr>
            <c:extLst>
              <c:ext xmlns:c16="http://schemas.microsoft.com/office/drawing/2014/chart" uri="{C3380CC4-5D6E-409C-BE32-E72D297353CC}">
                <c16:uniqueId val="{00000007-1701-4904-A70D-3934000AE9B9}"/>
              </c:ext>
            </c:extLst>
          </c:dPt>
          <c:dLbls>
            <c:dLbl>
              <c:idx val="0"/>
              <c:layout>
                <c:manualLayout>
                  <c:x val="0"/>
                  <c:y val="-5.57017543859648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54C-43ED-9189-A6B5129F40AA}"/>
                </c:ext>
              </c:extLst>
            </c:dLbl>
            <c:dLbl>
              <c:idx val="2"/>
              <c:layout>
                <c:manualLayout>
                  <c:x val="0"/>
                  <c:y val="-7.42690058479532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54C-43ED-9189-A6B5129F40AA}"/>
                </c:ext>
              </c:extLst>
            </c:dLbl>
            <c:dLbl>
              <c:idx val="3"/>
              <c:layout>
                <c:manualLayout>
                  <c:x val="0"/>
                  <c:y val="-2.32090643274854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309-4E94-84CA-177FE9D045EC}"/>
                </c:ext>
              </c:extLst>
            </c:dLbl>
            <c:dLbl>
              <c:idx val="8"/>
              <c:layout>
                <c:manualLayout>
                  <c:x val="2.8890635976165759E-3"/>
                  <c:y val="8.35526315789474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01-4904-A70D-3934000AE9B9}"/>
                </c:ext>
              </c:extLst>
            </c:dLbl>
            <c:dLbl>
              <c:idx val="10"/>
              <c:layout>
                <c:manualLayout>
                  <c:x val="1.0580842409318352E-16"/>
                  <c:y val="-7.42690058479532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701-4904-A70D-3934000AE9B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détaillé'!$H$37:$H$43,'Tableau détaillé'!$H$45:$H$48)</c:f>
              <c:numCache>
                <c:formatCode>#\ ##0.0" pts"</c:formatCode>
                <c:ptCount val="11"/>
                <c:pt idx="0">
                  <c:v>0.50112118069999823</c:v>
                </c:pt>
                <c:pt idx="1">
                  <c:v>1.1812973732999998</c:v>
                </c:pt>
                <c:pt idx="2">
                  <c:v>-0.54489967920000049</c:v>
                </c:pt>
                <c:pt idx="3">
                  <c:v>-1.8068642884999986</c:v>
                </c:pt>
                <c:pt idx="4">
                  <c:v>-2.5772878737000013</c:v>
                </c:pt>
                <c:pt idx="5">
                  <c:v>-5.3157192879000057</c:v>
                </c:pt>
                <c:pt idx="6">
                  <c:v>0.65167376949999412</c:v>
                </c:pt>
                <c:pt idx="7">
                  <c:v>0.5940456276000039</c:v>
                </c:pt>
                <c:pt idx="8">
                  <c:v>4.6555078361000035</c:v>
                </c:pt>
                <c:pt idx="9">
                  <c:v>-0.97976995110000131</c:v>
                </c:pt>
                <c:pt idx="10">
                  <c:v>0.47305209990000097</c:v>
                </c:pt>
              </c:numCache>
            </c:numRef>
          </c:val>
          <c:extLst>
            <c:ext xmlns:c16="http://schemas.microsoft.com/office/drawing/2014/chart" uri="{C3380CC4-5D6E-409C-BE32-E72D297353CC}">
              <c16:uniqueId val="{00000008-1701-4904-A70D-3934000AE9B9}"/>
            </c:ext>
          </c:extLst>
        </c:ser>
        <c:dLbls>
          <c:showLegendKey val="0"/>
          <c:showVal val="0"/>
          <c:showCatName val="0"/>
          <c:showSerName val="0"/>
          <c:showPercent val="0"/>
          <c:showBubbleSize val="0"/>
        </c:dLbls>
        <c:gapWidth val="219"/>
        <c:overlap val="-27"/>
        <c:axId val="1032774600"/>
        <c:axId val="1032762840"/>
      </c:barChart>
      <c:lineChart>
        <c:grouping val="standard"/>
        <c:varyColors val="0"/>
        <c:ser>
          <c:idx val="1"/>
          <c:order val="1"/>
          <c:spPr>
            <a:ln w="28575" cap="rnd">
              <a:solidFill>
                <a:srgbClr val="C00000"/>
              </a:solidFill>
              <a:round/>
            </a:ln>
            <a:effectLst/>
          </c:spPr>
          <c:marker>
            <c:symbol val="none"/>
          </c:marker>
          <c:cat>
            <c:strRef>
              <c:f>('Tableau détaillé'!$D$37:$D$43,'Tableau détaillé'!$D$45:$D$48)</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détaillé'!$J$37:$J$43,'Tableau détaillé'!$J$45:$J$48)</c:f>
              <c:numCache>
                <c:formatCode>#\ ##0.0" pts"</c:formatCode>
                <c:ptCount val="11"/>
                <c:pt idx="0">
                  <c:v>1.0599978868000015</c:v>
                </c:pt>
                <c:pt idx="1">
                  <c:v>1.0599978868000015</c:v>
                </c:pt>
                <c:pt idx="2">
                  <c:v>1.0599978868000015</c:v>
                </c:pt>
                <c:pt idx="3">
                  <c:v>1.0599978868000015</c:v>
                </c:pt>
                <c:pt idx="4">
                  <c:v>1.0599978868000015</c:v>
                </c:pt>
                <c:pt idx="5">
                  <c:v>1.0599978868000015</c:v>
                </c:pt>
                <c:pt idx="6">
                  <c:v>1.0599978868000015</c:v>
                </c:pt>
                <c:pt idx="7">
                  <c:v>1.0599978868000015</c:v>
                </c:pt>
                <c:pt idx="8">
                  <c:v>1.0599978868000015</c:v>
                </c:pt>
                <c:pt idx="9">
                  <c:v>1.0599978868000015</c:v>
                </c:pt>
                <c:pt idx="10">
                  <c:v>1.0599978868000015</c:v>
                </c:pt>
              </c:numCache>
            </c:numRef>
          </c:val>
          <c:smooth val="0"/>
          <c:extLst>
            <c:ext xmlns:c16="http://schemas.microsoft.com/office/drawing/2014/chart" uri="{C3380CC4-5D6E-409C-BE32-E72D297353CC}">
              <c16:uniqueId val="{00000009-1701-4904-A70D-3934000AE9B9}"/>
            </c:ext>
          </c:extLst>
        </c:ser>
        <c:dLbls>
          <c:showLegendKey val="0"/>
          <c:showVal val="0"/>
          <c:showCatName val="0"/>
          <c:showSerName val="0"/>
          <c:showPercent val="0"/>
          <c:showBubbleSize val="0"/>
        </c:dLbls>
        <c:marker val="1"/>
        <c:smooth val="0"/>
        <c:axId val="1032774600"/>
        <c:axId val="1032762840"/>
      </c:lineChart>
      <c:catAx>
        <c:axId val="103277460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2840"/>
        <c:crosses val="autoZero"/>
        <c:auto val="1"/>
        <c:lblAlgn val="ctr"/>
        <c:lblOffset val="100"/>
        <c:noMultiLvlLbl val="0"/>
      </c:catAx>
      <c:valAx>
        <c:axId val="1032762840"/>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4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 de l'équipement Credits par DR</a:t>
            </a:r>
          </a:p>
        </c:rich>
      </c:tx>
      <c:layout>
        <c:manualLayout>
          <c:xMode val="edge"/>
          <c:yMode val="edge"/>
          <c:x val="0.20023945457065162"/>
          <c:y val="2.809466374269005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6264320318625434"/>
        </c:manualLayout>
      </c:layout>
      <c:barChart>
        <c:barDir val="col"/>
        <c:grouping val="clustered"/>
        <c:varyColors val="0"/>
        <c:ser>
          <c:idx val="0"/>
          <c:order val="0"/>
          <c:spPr>
            <a:solidFill>
              <a:sysClr val="windowText" lastClr="00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AE39-4A74-A1C0-EAC6DAFC58F0}"/>
              </c:ext>
            </c:extLst>
          </c:dPt>
          <c:dPt>
            <c:idx val="1"/>
            <c:invertIfNegative val="0"/>
            <c:bubble3D val="0"/>
            <c:spPr>
              <a:solidFill>
                <a:srgbClr val="FF0000"/>
              </a:solidFill>
              <a:ln>
                <a:noFill/>
              </a:ln>
              <a:effectLst/>
            </c:spPr>
            <c:extLst>
              <c:ext xmlns:c16="http://schemas.microsoft.com/office/drawing/2014/chart" uri="{C3380CC4-5D6E-409C-BE32-E72D297353CC}">
                <c16:uniqueId val="{00000002-C2CE-4DBB-853C-3789160A12A3}"/>
              </c:ext>
            </c:extLst>
          </c:dPt>
          <c:dLbls>
            <c:dLbl>
              <c:idx val="1"/>
              <c:layout>
                <c:manualLayout>
                  <c:x val="-2.5660605929499311E-3"/>
                  <c:y val="-1.1663852250772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CE-4DBB-853C-3789160A12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détaillé'!$H$44,'Tableau détaillé'!$H$49,'Tableau détaillé'!$H$36)</c:f>
              <c:numCache>
                <c:formatCode>#\ ##0.0" pts"</c:formatCode>
                <c:ptCount val="3"/>
                <c:pt idx="0">
                  <c:v>-0.54775346419999593</c:v>
                </c:pt>
                <c:pt idx="1">
                  <c:v>3.4464421134000056</c:v>
                </c:pt>
                <c:pt idx="2">
                  <c:v>1.0599978868000015</c:v>
                </c:pt>
              </c:numCache>
            </c:numRef>
          </c:val>
          <c:extLst>
            <c:ext xmlns:c16="http://schemas.microsoft.com/office/drawing/2014/chart" uri="{C3380CC4-5D6E-409C-BE32-E72D297353CC}">
              <c16:uniqueId val="{00000002-AE39-4A74-A1C0-EAC6DAFC58F0}"/>
            </c:ext>
          </c:extLst>
        </c:ser>
        <c:dLbls>
          <c:showLegendKey val="0"/>
          <c:showVal val="0"/>
          <c:showCatName val="0"/>
          <c:showSerName val="0"/>
          <c:showPercent val="0"/>
          <c:showBubbleSize val="0"/>
        </c:dLbls>
        <c:gapWidth val="219"/>
        <c:overlap val="-27"/>
        <c:axId val="1032773032"/>
        <c:axId val="1032767544"/>
      </c:barChart>
      <c:catAx>
        <c:axId val="1032773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7544"/>
        <c:crosses val="autoZero"/>
        <c:auto val="1"/>
        <c:lblAlgn val="ctr"/>
        <c:lblOffset val="100"/>
        <c:noMultiLvlLbl val="0"/>
      </c:catAx>
      <c:valAx>
        <c:axId val="1032767544"/>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3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 de l'équipement en Epargnes et Placement</a:t>
            </a:r>
          </a:p>
        </c:rich>
      </c:tx>
      <c:layout>
        <c:manualLayout>
          <c:xMode val="edge"/>
          <c:yMode val="edge"/>
          <c:x val="0.11055536431074792"/>
          <c:y val="1.46038065072392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5913838696162268E-2"/>
          <c:y val="0.1431239558201593"/>
          <c:w val="0.89920800524934386"/>
          <c:h val="0.6295509401068563"/>
        </c:manualLayout>
      </c:layout>
      <c:barChart>
        <c:barDir val="col"/>
        <c:grouping val="clustered"/>
        <c:varyColors val="0"/>
        <c:ser>
          <c:idx val="0"/>
          <c:order val="0"/>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1-D631-4AC9-B999-FE528A2D08E5}"/>
              </c:ext>
            </c:extLst>
          </c:dPt>
          <c:dPt>
            <c:idx val="8"/>
            <c:invertIfNegative val="0"/>
            <c:bubble3D val="0"/>
            <c:spPr>
              <a:solidFill>
                <a:srgbClr val="FF0000"/>
              </a:solidFill>
              <a:ln>
                <a:noFill/>
              </a:ln>
              <a:effectLst/>
            </c:spPr>
            <c:extLst>
              <c:ext xmlns:c16="http://schemas.microsoft.com/office/drawing/2014/chart" uri="{C3380CC4-5D6E-409C-BE32-E72D297353CC}">
                <c16:uniqueId val="{00000003-D631-4AC9-B999-FE528A2D08E5}"/>
              </c:ext>
            </c:extLst>
          </c:dPt>
          <c:dPt>
            <c:idx val="9"/>
            <c:invertIfNegative val="0"/>
            <c:bubble3D val="0"/>
            <c:spPr>
              <a:solidFill>
                <a:srgbClr val="FF0000"/>
              </a:solidFill>
              <a:ln>
                <a:noFill/>
              </a:ln>
              <a:effectLst/>
            </c:spPr>
            <c:extLst>
              <c:ext xmlns:c16="http://schemas.microsoft.com/office/drawing/2014/chart" uri="{C3380CC4-5D6E-409C-BE32-E72D297353CC}">
                <c16:uniqueId val="{00000005-D631-4AC9-B999-FE528A2D08E5}"/>
              </c:ext>
            </c:extLst>
          </c:dPt>
          <c:dPt>
            <c:idx val="10"/>
            <c:invertIfNegative val="0"/>
            <c:bubble3D val="0"/>
            <c:spPr>
              <a:solidFill>
                <a:srgbClr val="FF0000"/>
              </a:solidFill>
              <a:ln>
                <a:noFill/>
              </a:ln>
              <a:effectLst/>
            </c:spPr>
            <c:extLst>
              <c:ext xmlns:c16="http://schemas.microsoft.com/office/drawing/2014/chart" uri="{C3380CC4-5D6E-409C-BE32-E72D297353CC}">
                <c16:uniqueId val="{00000007-D631-4AC9-B999-FE528A2D08E5}"/>
              </c:ext>
            </c:extLst>
          </c:dPt>
          <c:dLbls>
            <c:dLbl>
              <c:idx val="9"/>
              <c:layout>
                <c:manualLayout>
                  <c:x val="5.7714352582432195E-3"/>
                  <c:y val="-2.32090728103336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31-4AC9-B999-FE528A2D08E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détaillé'!$H$69:$H$75,'Tableau détaillé'!$H$77:$H$80)</c:f>
              <c:numCache>
                <c:formatCode>#\ ##0.0" pts"</c:formatCode>
                <c:ptCount val="11"/>
                <c:pt idx="0">
                  <c:v>0.54543429819999822</c:v>
                </c:pt>
                <c:pt idx="1">
                  <c:v>-1.7663977107999995</c:v>
                </c:pt>
                <c:pt idx="2">
                  <c:v>-0.40737004679999855</c:v>
                </c:pt>
                <c:pt idx="3">
                  <c:v>2.4339076727000086</c:v>
                </c:pt>
                <c:pt idx="4">
                  <c:v>-0.20505951860000093</c:v>
                </c:pt>
                <c:pt idx="5">
                  <c:v>-1.4495918469000002</c:v>
                </c:pt>
                <c:pt idx="6">
                  <c:v>-4.8711707700001272E-2</c:v>
                </c:pt>
                <c:pt idx="7">
                  <c:v>1.8461063627000007</c:v>
                </c:pt>
                <c:pt idx="8">
                  <c:v>1.3000834015999996</c:v>
                </c:pt>
                <c:pt idx="9">
                  <c:v>0.33158062740000216</c:v>
                </c:pt>
                <c:pt idx="10">
                  <c:v>-62.8077774116</c:v>
                </c:pt>
              </c:numCache>
            </c:numRef>
          </c:val>
          <c:extLst>
            <c:ext xmlns:c16="http://schemas.microsoft.com/office/drawing/2014/chart" uri="{C3380CC4-5D6E-409C-BE32-E72D297353CC}">
              <c16:uniqueId val="{00000008-D631-4AC9-B999-FE528A2D08E5}"/>
            </c:ext>
          </c:extLst>
        </c:ser>
        <c:dLbls>
          <c:showLegendKey val="0"/>
          <c:showVal val="0"/>
          <c:showCatName val="0"/>
          <c:showSerName val="0"/>
          <c:showPercent val="0"/>
          <c:showBubbleSize val="0"/>
        </c:dLbls>
        <c:gapWidth val="219"/>
        <c:overlap val="-27"/>
        <c:axId val="1032763232"/>
        <c:axId val="1032763624"/>
      </c:barChart>
      <c:lineChart>
        <c:grouping val="standard"/>
        <c:varyColors val="0"/>
        <c:ser>
          <c:idx val="1"/>
          <c:order val="1"/>
          <c:spPr>
            <a:ln w="28575" cap="rnd">
              <a:solidFill>
                <a:srgbClr val="C00000"/>
              </a:solidFill>
              <a:round/>
            </a:ln>
            <a:effectLst/>
          </c:spPr>
          <c:marker>
            <c:symbol val="none"/>
          </c:marker>
          <c:cat>
            <c:strRef>
              <c:f>('Tableau détaillé'!$D$69:$D$75,'Tableau détaillé'!$D$77:$D$80)</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détaillé'!$J$69:$J$75,'Tableau détaillé'!$J$77:$J$80)</c:f>
              <c:numCache>
                <c:formatCode>#\ ##0.0" pts"</c:formatCode>
                <c:ptCount val="11"/>
                <c:pt idx="0">
                  <c:v>0.51265861220000097</c:v>
                </c:pt>
                <c:pt idx="1">
                  <c:v>0.51265861220000097</c:v>
                </c:pt>
                <c:pt idx="2">
                  <c:v>0.51265861220000097</c:v>
                </c:pt>
                <c:pt idx="3">
                  <c:v>0.51265861220000097</c:v>
                </c:pt>
                <c:pt idx="4">
                  <c:v>0.51265861220000097</c:v>
                </c:pt>
                <c:pt idx="5">
                  <c:v>0.51265861220000097</c:v>
                </c:pt>
                <c:pt idx="6">
                  <c:v>0.51265861220000097</c:v>
                </c:pt>
                <c:pt idx="7">
                  <c:v>0.51265861220000097</c:v>
                </c:pt>
                <c:pt idx="8">
                  <c:v>0.51265861220000097</c:v>
                </c:pt>
                <c:pt idx="9">
                  <c:v>0.51265861220000097</c:v>
                </c:pt>
                <c:pt idx="10">
                  <c:v>0.51265861220000097</c:v>
                </c:pt>
              </c:numCache>
            </c:numRef>
          </c:val>
          <c:smooth val="0"/>
          <c:extLst>
            <c:ext xmlns:c16="http://schemas.microsoft.com/office/drawing/2014/chart" uri="{C3380CC4-5D6E-409C-BE32-E72D297353CC}">
              <c16:uniqueId val="{00000009-D631-4AC9-B999-FE528A2D08E5}"/>
            </c:ext>
          </c:extLst>
        </c:ser>
        <c:dLbls>
          <c:showLegendKey val="0"/>
          <c:showVal val="0"/>
          <c:showCatName val="0"/>
          <c:showSerName val="0"/>
          <c:showPercent val="0"/>
          <c:showBubbleSize val="0"/>
        </c:dLbls>
        <c:marker val="1"/>
        <c:smooth val="0"/>
        <c:axId val="1032763232"/>
        <c:axId val="1032763624"/>
      </c:lineChart>
      <c:catAx>
        <c:axId val="103276323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3624"/>
        <c:crosses val="autoZero"/>
        <c:auto val="1"/>
        <c:lblAlgn val="ctr"/>
        <c:lblOffset val="100"/>
        <c:noMultiLvlLbl val="0"/>
      </c:catAx>
      <c:valAx>
        <c:axId val="1032763624"/>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3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 de l'équipement en Epargne et Placement par DR</a:t>
            </a:r>
          </a:p>
        </c:rich>
      </c:tx>
      <c:layout>
        <c:manualLayout>
          <c:xMode val="edge"/>
          <c:yMode val="edge"/>
          <c:x val="9.6369786921781955E-2"/>
          <c:y val="1.416923032501108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2014945911895436"/>
          <c:w val="0.89920800524934386"/>
          <c:h val="0.68837415510751276"/>
        </c:manualLayout>
      </c:layout>
      <c:barChart>
        <c:barDir val="col"/>
        <c:grouping val="clustered"/>
        <c:varyColors val="0"/>
        <c:ser>
          <c:idx val="0"/>
          <c:order val="0"/>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29D0-4FC6-9263-F12CAEC1749A}"/>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2-4F47-4B5E-8CBA-1661985F03A6}"/>
              </c:ext>
            </c:extLst>
          </c:dPt>
          <c:dLbls>
            <c:dLbl>
              <c:idx val="0"/>
              <c:layout>
                <c:manualLayout>
                  <c:x val="-2.8122418882322326E-3"/>
                  <c:y val="9.74781058034012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9D0-4FC6-9263-F12CAEC1749A}"/>
                </c:ext>
              </c:extLst>
            </c:dLbl>
            <c:dLbl>
              <c:idx val="1"/>
              <c:layout>
                <c:manualLayout>
                  <c:x val="2.812241888232207E-3"/>
                  <c:y val="0.190314397044735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F47-4B5E-8CBA-1661985F03A6}"/>
                </c:ext>
              </c:extLst>
            </c:dLbl>
            <c:dLbl>
              <c:idx val="2"/>
              <c:layout>
                <c:manualLayout>
                  <c:x val="2.8122418882321038E-3"/>
                  <c:y val="8.35526621172010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47-4B5E-8CBA-1661985F03A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détaillé'!$D$18,'Tableau détaillé'!$D$5)</c:f>
              <c:strCache>
                <c:ptCount val="3"/>
                <c:pt idx="0">
                  <c:v>Total AFO</c:v>
                </c:pt>
                <c:pt idx="1">
                  <c:v>Total AFCE</c:v>
                </c:pt>
                <c:pt idx="2">
                  <c:v>Total AFS</c:v>
                </c:pt>
              </c:strCache>
            </c:strRef>
          </c:cat>
          <c:val>
            <c:numRef>
              <c:f>('Tableau détaillé'!$H$76,'Tableau détaillé'!$H$81,'Tableau détaillé'!$H$68)</c:f>
              <c:numCache>
                <c:formatCode>#\ ##0.0" pts"</c:formatCode>
                <c:ptCount val="3"/>
                <c:pt idx="0">
                  <c:v>0.30830990180000795</c:v>
                </c:pt>
                <c:pt idx="1">
                  <c:v>0.39577758399999552</c:v>
                </c:pt>
                <c:pt idx="2">
                  <c:v>0.51265861220000097</c:v>
                </c:pt>
              </c:numCache>
            </c:numRef>
          </c:val>
          <c:extLst>
            <c:ext xmlns:c16="http://schemas.microsoft.com/office/drawing/2014/chart" uri="{C3380CC4-5D6E-409C-BE32-E72D297353CC}">
              <c16:uniqueId val="{00000002-29D0-4FC6-9263-F12CAEC1749A}"/>
            </c:ext>
          </c:extLst>
        </c:ser>
        <c:dLbls>
          <c:showLegendKey val="0"/>
          <c:showVal val="0"/>
          <c:showCatName val="0"/>
          <c:showSerName val="0"/>
          <c:showPercent val="0"/>
          <c:showBubbleSize val="0"/>
        </c:dLbls>
        <c:gapWidth val="219"/>
        <c:overlap val="-27"/>
        <c:axId val="1032770288"/>
        <c:axId val="1032764016"/>
      </c:barChart>
      <c:catAx>
        <c:axId val="1032770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4016"/>
        <c:crosses val="autoZero"/>
        <c:auto val="1"/>
        <c:lblAlgn val="ctr"/>
        <c:lblOffset val="100"/>
        <c:noMultiLvlLbl val="0"/>
      </c:catAx>
      <c:valAx>
        <c:axId val="1032764016"/>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0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en-US"/>
              <a:t>Part Filiale dans le PNB global (Hors GHANA ) </a:t>
            </a:r>
          </a:p>
        </c:rich>
      </c:tx>
      <c:layout>
        <c:manualLayout>
          <c:xMode val="edge"/>
          <c:yMode val="edge"/>
          <c:x val="0.11965045322019809"/>
          <c:y val="3.6395498457089696E-3"/>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22936280852217414"/>
          <c:y val="0.10958645413225786"/>
          <c:w val="0.60295294074156225"/>
          <c:h val="0.78310351449971194"/>
        </c:manualLayout>
      </c:layout>
      <c:doughnutChart>
        <c:varyColors val="1"/>
        <c:ser>
          <c:idx val="0"/>
          <c:order val="0"/>
          <c:tx>
            <c:strRef>
              <c:f>'Tableau détaillé'!$C$301</c:f>
              <c:strCache>
                <c:ptCount val="1"/>
                <c:pt idx="0">
                  <c:v>Part Filiale dans le PNB global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39-49A3-ABBE-25C07225A0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39-49A3-ABBE-25C07225A0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39-49A3-ABBE-25C07225A0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39-49A3-ABBE-25C07225A0D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39-49A3-ABBE-25C07225A0D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D-8039-49A3-ABBE-25C07225A0D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F-8039-49A3-ABBE-25C07225A0D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0-60EF-41EE-B7B7-5E0A76A4D68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0EF-41EE-B7B7-5E0A76A4D687}"/>
              </c:ext>
            </c:extLst>
          </c:dPt>
          <c:dLbls>
            <c:dLbl>
              <c:idx val="0"/>
              <c:layout>
                <c:manualLayout>
                  <c:x val="0.15159192530115045"/>
                  <c:y val="1.915992054050165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39-49A3-ABBE-25C07225A0DA}"/>
                </c:ext>
              </c:extLst>
            </c:dLbl>
            <c:dLbl>
              <c:idx val="1"/>
              <c:layout>
                <c:manualLayout>
                  <c:x val="0.15274209029811589"/>
                  <c:y val="-8.6929576529567679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39-49A3-ABBE-25C07225A0DA}"/>
                </c:ext>
              </c:extLst>
            </c:dLbl>
            <c:dLbl>
              <c:idx val="2"/>
              <c:layout>
                <c:manualLayout>
                  <c:x val="0.11560509646620785"/>
                  <c:y val="3.625773060869139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39-49A3-ABBE-25C07225A0DA}"/>
                </c:ext>
              </c:extLst>
            </c:dLbl>
            <c:dLbl>
              <c:idx val="3"/>
              <c:layout>
                <c:manualLayout>
                  <c:x val="0.12456204267873852"/>
                  <c:y val="3.288014858999968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39-49A3-ABBE-25C07225A0DA}"/>
                </c:ext>
              </c:extLst>
            </c:dLbl>
            <c:dLbl>
              <c:idx val="4"/>
              <c:layout>
                <c:manualLayout>
                  <c:x val="-4.6942546924118892E-3"/>
                  <c:y val="0.1144227842918089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39-49A3-ABBE-25C07225A0DA}"/>
                </c:ext>
              </c:extLst>
            </c:dLbl>
            <c:dLbl>
              <c:idx val="5"/>
              <c:layout>
                <c:manualLayout>
                  <c:x val="-0.13164379469598952"/>
                  <c:y val="-3.9463945716594069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039-49A3-ABBE-25C07225A0DA}"/>
                </c:ext>
              </c:extLst>
            </c:dLbl>
            <c:dLbl>
              <c:idx val="6"/>
              <c:layout>
                <c:manualLayout>
                  <c:x val="-0.14839845947547911"/>
                  <c:y val="-5.381447143171918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039-49A3-ABBE-25C07225A0DA}"/>
                </c:ext>
              </c:extLst>
            </c:dLbl>
            <c:dLbl>
              <c:idx val="7"/>
              <c:layout>
                <c:manualLayout>
                  <c:x val="-0.11935956156736732"/>
                  <c:y val="-6.286913072642132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0EF-41EE-B7B7-5E0A76A4D687}"/>
                </c:ext>
              </c:extLst>
            </c:dLbl>
            <c:dLbl>
              <c:idx val="8"/>
              <c:layout>
                <c:manualLayout>
                  <c:x val="0.20669582612885551"/>
                  <c:y val="-5.3887826336932572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0EF-41EE-B7B7-5E0A76A4D68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Arial Narrow" panose="020B0606020202030204" pitchFamily="34" charset="0"/>
                    <a:ea typeface="+mn-ea"/>
                    <a:cs typeface="Arial" panose="020B0604020202020204" pitchFamily="34" charset="0"/>
                  </a:defRPr>
                </a:pPr>
                <a:endParaRPr lang="fr-FR"/>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('Tableau détaillé'!$D$302,'Tableau détaillé'!$D$304:$D$308,'Tableau détaillé'!$D$310:$D$313)</c15:sqref>
                  </c15:fullRef>
                </c:ext>
              </c:extLst>
              <c:f>('Tableau détaillé'!$D$302,'Tableau détaillé'!$D$304:$D$307,'Tableau détaillé'!$D$310:$D$313)</c:f>
              <c:strCache>
                <c:ptCount val="9"/>
                <c:pt idx="0">
                  <c:v>COTE D'IVOIRE</c:v>
                </c:pt>
                <c:pt idx="1">
                  <c:v>SENEGAL</c:v>
                </c:pt>
                <c:pt idx="2">
                  <c:v>BURKINA FASO</c:v>
                </c:pt>
                <c:pt idx="3">
                  <c:v>GUINEE</c:v>
                </c:pt>
                <c:pt idx="4">
                  <c:v>BENIN</c:v>
                </c:pt>
                <c:pt idx="5">
                  <c:v>MADAGASCAR</c:v>
                </c:pt>
                <c:pt idx="6">
                  <c:v>CAMEROUN</c:v>
                </c:pt>
                <c:pt idx="7">
                  <c:v>TCHAD</c:v>
                </c:pt>
                <c:pt idx="8">
                  <c:v>CONGO</c:v>
                </c:pt>
              </c:strCache>
            </c:strRef>
          </c:cat>
          <c:val>
            <c:numRef>
              <c:extLst>
                <c:ext xmlns:c15="http://schemas.microsoft.com/office/drawing/2012/chart" uri="{02D57815-91ED-43cb-92C2-25804820EDAC}">
                  <c15:fullRef>
                    <c15:sqref>('Tableau détaillé'!$G$302,'Tableau détaillé'!$G$304:$G$308,'Tableau détaillé'!$G$310:$G$313)</c15:sqref>
                  </c15:fullRef>
                </c:ext>
              </c:extLst>
              <c:f>('Tableau détaillé'!$G$302,'Tableau détaillé'!$G$304:$G$307,'Tableau détaillé'!$G$310:$G$313)</c:f>
              <c:numCache>
                <c:formatCode>0.0%</c:formatCode>
                <c:ptCount val="9"/>
                <c:pt idx="0">
                  <c:v>0.34505501255462934</c:v>
                </c:pt>
                <c:pt idx="1">
                  <c:v>0.10981713495482268</c:v>
                </c:pt>
                <c:pt idx="2">
                  <c:v>6.6134428484546759E-2</c:v>
                </c:pt>
                <c:pt idx="3">
                  <c:v>0.11527412270333236</c:v>
                </c:pt>
                <c:pt idx="4">
                  <c:v>1.734372575217252E-2</c:v>
                </c:pt>
                <c:pt idx="5">
                  <c:v>0.16206122807880641</c:v>
                </c:pt>
                <c:pt idx="6">
                  <c:v>4.1268308361651129E-2</c:v>
                </c:pt>
                <c:pt idx="7">
                  <c:v>5.0158746494998081E-2</c:v>
                </c:pt>
                <c:pt idx="8">
                  <c:v>3.0302603832527763E-2</c:v>
                </c:pt>
              </c:numCache>
            </c:numRef>
          </c:val>
          <c:extLst>
            <c:ext xmlns:c15="http://schemas.microsoft.com/office/drawing/2012/chart" uri="{02D57815-91ED-43cb-92C2-25804820EDAC}">
              <c15:categoryFilterExceptions>
                <c15:categoryFilterException>
                  <c15:sqref>'Tableau détaillé'!$G$308</c15:sqref>
                  <c15:spPr xmlns:c15="http://schemas.microsoft.com/office/drawing/2012/chart">
                    <a:solidFill>
                      <a:schemeClr val="accent6"/>
                    </a:solidFill>
                    <a:ln w="19050">
                      <a:solidFill>
                        <a:schemeClr val="lt1"/>
                      </a:solidFill>
                    </a:ln>
                    <a:effectLst/>
                  </c15:spPr>
                  <c15:bubble3D val="0"/>
                  <c15:dLbl>
                    <c:idx val="4"/>
                    <c:layout>
                      <c:manualLayout>
                        <c:x val="-0.13882436531577078"/>
                        <c:y val="-1.7938157143906393E-2"/>
                      </c:manualLayout>
                    </c:layout>
                    <c:showLegendKey val="0"/>
                    <c:showVal val="1"/>
                    <c:showCatName val="1"/>
                    <c:showSerName val="0"/>
                    <c:showPercent val="0"/>
                    <c:showBubbleSize val="0"/>
                    <c:extLst>
                      <c:ext uri="{CE6537A1-D6FC-4f65-9D91-7224C49458BB}"/>
                      <c:ext xmlns:c16="http://schemas.microsoft.com/office/drawing/2014/chart" uri="{C3380CC4-5D6E-409C-BE32-E72D297353CC}">
                        <c16:uniqueId val="{00000013-C569-40F2-84EB-237157B31906}"/>
                      </c:ext>
                    </c:extLst>
                  </c15:dLbl>
                </c15:categoryFilterException>
              </c15:categoryFilterExceptions>
            </c:ext>
            <c:ext xmlns:c16="http://schemas.microsoft.com/office/drawing/2014/chart" uri="{C3380CC4-5D6E-409C-BE32-E72D297353CC}">
              <c16:uniqueId val="{00000010-8039-49A3-ABBE-25C07225A0D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Part du PNB BG+PAT</a:t>
            </a:r>
            <a:r>
              <a:rPr lang="fr-FR" sz="1200" b="1" baseline="0"/>
              <a:t> dans le PNB Global</a:t>
            </a:r>
            <a:endParaRPr lang="fr-FR" sz="1200" b="1"/>
          </a:p>
        </c:rich>
      </c:tx>
      <c:layout>
        <c:manualLayout>
          <c:xMode val="edge"/>
          <c:yMode val="edge"/>
          <c:x val="0.24090528554620322"/>
          <c:y val="1.553323412698412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66296768707483"/>
          <c:w val="0.89920800524934386"/>
          <c:h val="0.60251984126984137"/>
        </c:manualLayout>
      </c:layout>
      <c:barChart>
        <c:barDir val="col"/>
        <c:grouping val="clustered"/>
        <c:varyColors val="0"/>
        <c:ser>
          <c:idx val="0"/>
          <c:order val="0"/>
          <c:spPr>
            <a:solidFill>
              <a:schemeClr val="tx1"/>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1-6762-45E5-9246-F05B67957693}"/>
              </c:ext>
            </c:extLst>
          </c:dPt>
          <c:dPt>
            <c:idx val="8"/>
            <c:invertIfNegative val="0"/>
            <c:bubble3D val="0"/>
            <c:spPr>
              <a:solidFill>
                <a:srgbClr val="FF0000"/>
              </a:solidFill>
              <a:ln>
                <a:noFill/>
              </a:ln>
              <a:effectLst/>
            </c:spPr>
            <c:extLst>
              <c:ext xmlns:c16="http://schemas.microsoft.com/office/drawing/2014/chart" uri="{C3380CC4-5D6E-409C-BE32-E72D297353CC}">
                <c16:uniqueId val="{00000003-6762-45E5-9246-F05B67957693}"/>
              </c:ext>
            </c:extLst>
          </c:dPt>
          <c:dPt>
            <c:idx val="9"/>
            <c:invertIfNegative val="0"/>
            <c:bubble3D val="0"/>
            <c:spPr>
              <a:solidFill>
                <a:srgbClr val="FF0000"/>
              </a:solidFill>
              <a:ln>
                <a:noFill/>
              </a:ln>
              <a:effectLst/>
            </c:spPr>
            <c:extLst>
              <c:ext xmlns:c16="http://schemas.microsoft.com/office/drawing/2014/chart" uri="{C3380CC4-5D6E-409C-BE32-E72D297353CC}">
                <c16:uniqueId val="{00000005-6762-45E5-9246-F05B67957693}"/>
              </c:ext>
            </c:extLst>
          </c:dPt>
          <c:dPt>
            <c:idx val="10"/>
            <c:invertIfNegative val="0"/>
            <c:bubble3D val="0"/>
            <c:spPr>
              <a:solidFill>
                <a:srgbClr val="FF0000"/>
              </a:solidFill>
              <a:ln>
                <a:noFill/>
              </a:ln>
              <a:effectLst/>
            </c:spPr>
            <c:extLst>
              <c:ext xmlns:c16="http://schemas.microsoft.com/office/drawing/2014/chart" uri="{C3380CC4-5D6E-409C-BE32-E72D297353CC}">
                <c16:uniqueId val="{00000007-6762-45E5-9246-F05B67957693}"/>
              </c:ext>
            </c:extLst>
          </c:dPt>
          <c:dLbls>
            <c:dLbl>
              <c:idx val="3"/>
              <c:layout>
                <c:manualLayout>
                  <c:x val="5.7471264367816091E-3"/>
                  <c:y val="1.51685715791731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762-45E5-9246-F05B67957693}"/>
                </c:ext>
              </c:extLst>
            </c:dLbl>
            <c:dLbl>
              <c:idx val="4"/>
              <c:layout>
                <c:manualLayout>
                  <c:x val="0"/>
                  <c:y val="-4.9687495178429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762-45E5-9246-F05B67957693}"/>
                </c:ext>
              </c:extLst>
            </c:dLbl>
            <c:dLbl>
              <c:idx val="8"/>
              <c:layout>
                <c:manualLayout>
                  <c:x val="0"/>
                  <c:y val="-3.59977324263039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62-45E5-9246-F05B679576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détaillé'!$G$318:$G$324,'Tableau détaillé'!$G$326:$G$329)</c:f>
              <c:numCache>
                <c:formatCode>0%</c:formatCode>
                <c:ptCount val="11"/>
                <c:pt idx="0">
                  <c:v>0.48108289929588022</c:v>
                </c:pt>
                <c:pt idx="1">
                  <c:v>0</c:v>
                </c:pt>
                <c:pt idx="2">
                  <c:v>0.37286907052412194</c:v>
                </c:pt>
                <c:pt idx="3">
                  <c:v>3.5177432741336667E-2</c:v>
                </c:pt>
                <c:pt idx="4">
                  <c:v>0.26600485368744087</c:v>
                </c:pt>
                <c:pt idx="5">
                  <c:v>0.29671292009865946</c:v>
                </c:pt>
                <c:pt idx="6">
                  <c:v>0.11247538182964727</c:v>
                </c:pt>
                <c:pt idx="7">
                  <c:v>0.21827020236320727</c:v>
                </c:pt>
                <c:pt idx="8">
                  <c:v>1.7399730959820898</c:v>
                </c:pt>
                <c:pt idx="9">
                  <c:v>0.37407396011798766</c:v>
                </c:pt>
                <c:pt idx="10">
                  <c:v>0.71334505185533381</c:v>
                </c:pt>
              </c:numCache>
            </c:numRef>
          </c:val>
          <c:extLst>
            <c:ext xmlns:c16="http://schemas.microsoft.com/office/drawing/2014/chart" uri="{C3380CC4-5D6E-409C-BE32-E72D297353CC}">
              <c16:uniqueId val="{0000000A-6762-45E5-9246-F05B67957693}"/>
            </c:ext>
          </c:extLst>
        </c:ser>
        <c:dLbls>
          <c:showLegendKey val="0"/>
          <c:showVal val="0"/>
          <c:showCatName val="0"/>
          <c:showSerName val="0"/>
          <c:showPercent val="0"/>
          <c:showBubbleSize val="0"/>
        </c:dLbls>
        <c:gapWidth val="219"/>
        <c:overlap val="-27"/>
        <c:axId val="1032768328"/>
        <c:axId val="1032764800"/>
      </c:barChart>
      <c:lineChart>
        <c:grouping val="standard"/>
        <c:varyColors val="0"/>
        <c:ser>
          <c:idx val="1"/>
          <c:order val="1"/>
          <c:spPr>
            <a:ln w="28575" cap="rnd">
              <a:solidFill>
                <a:srgbClr val="C00000"/>
              </a:solidFill>
              <a:round/>
            </a:ln>
            <a:effectLst/>
          </c:spPr>
          <c:marker>
            <c:symbol val="none"/>
          </c:marker>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détaillé'!$J$318:$J$324,'Tableau détaillé'!$J$326:$J$329)</c:f>
              <c:numCache>
                <c:formatCode>0.0%</c:formatCode>
                <c:ptCount val="11"/>
                <c:pt idx="0">
                  <c:v>0.38091783454517719</c:v>
                </c:pt>
                <c:pt idx="1">
                  <c:v>0.38091783454517719</c:v>
                </c:pt>
                <c:pt idx="2">
                  <c:v>0.38091783454517719</c:v>
                </c:pt>
                <c:pt idx="3">
                  <c:v>0.38091783454517719</c:v>
                </c:pt>
                <c:pt idx="4">
                  <c:v>0.38091783454517719</c:v>
                </c:pt>
                <c:pt idx="5">
                  <c:v>0.38091783454517719</c:v>
                </c:pt>
                <c:pt idx="6">
                  <c:v>0.38091783454517719</c:v>
                </c:pt>
                <c:pt idx="7">
                  <c:v>0.38091783454517719</c:v>
                </c:pt>
                <c:pt idx="8">
                  <c:v>0.38091783454517719</c:v>
                </c:pt>
                <c:pt idx="9">
                  <c:v>0.38091783454517719</c:v>
                </c:pt>
                <c:pt idx="10">
                  <c:v>0.38091783454517719</c:v>
                </c:pt>
              </c:numCache>
            </c:numRef>
          </c:val>
          <c:smooth val="0"/>
          <c:extLst>
            <c:ext xmlns:c16="http://schemas.microsoft.com/office/drawing/2014/chart" uri="{C3380CC4-5D6E-409C-BE32-E72D297353CC}">
              <c16:uniqueId val="{0000000B-6762-45E5-9246-F05B67957693}"/>
            </c:ext>
          </c:extLst>
        </c:ser>
        <c:dLbls>
          <c:showLegendKey val="0"/>
          <c:showVal val="0"/>
          <c:showCatName val="0"/>
          <c:showSerName val="0"/>
          <c:showPercent val="0"/>
          <c:showBubbleSize val="0"/>
        </c:dLbls>
        <c:marker val="1"/>
        <c:smooth val="0"/>
        <c:axId val="1032768328"/>
        <c:axId val="1032764800"/>
      </c:lineChart>
      <c:catAx>
        <c:axId val="103276832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4800"/>
        <c:crosses val="autoZero"/>
        <c:auto val="1"/>
        <c:lblAlgn val="ctr"/>
        <c:lblOffset val="100"/>
        <c:noMultiLvlLbl val="0"/>
      </c:catAx>
      <c:valAx>
        <c:axId val="103276480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8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a:t>
            </a:r>
            <a:r>
              <a:rPr lang="fr-FR" baseline="0"/>
              <a:t> </a:t>
            </a:r>
            <a:r>
              <a:rPr lang="fr-FR"/>
              <a:t>de l'équipement Cartes</a:t>
            </a:r>
          </a:p>
        </c:rich>
      </c:tx>
      <c:layout>
        <c:manualLayout>
          <c:xMode val="edge"/>
          <c:yMode val="edge"/>
          <c:x val="0.29093744531933508"/>
          <c:y val="3.33333333333333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3623528032412691"/>
          <c:w val="0.89920800524934386"/>
          <c:h val="0.6364397215469987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793B-4CD4-9F2C-97875577B93B}"/>
              </c:ext>
            </c:extLst>
          </c:dPt>
          <c:dPt>
            <c:idx val="1"/>
            <c:invertIfNegative val="0"/>
            <c:bubble3D val="0"/>
            <c:spPr>
              <a:solidFill>
                <a:schemeClr val="tx1"/>
              </a:solidFill>
              <a:ln>
                <a:noFill/>
              </a:ln>
              <a:effectLst/>
            </c:spPr>
            <c:extLst>
              <c:ext xmlns:c16="http://schemas.microsoft.com/office/drawing/2014/chart" uri="{C3380CC4-5D6E-409C-BE32-E72D297353CC}">
                <c16:uniqueId val="{00000003-793B-4CD4-9F2C-97875577B93B}"/>
              </c:ext>
            </c:extLst>
          </c:dPt>
          <c:dPt>
            <c:idx val="2"/>
            <c:invertIfNegative val="0"/>
            <c:bubble3D val="0"/>
            <c:spPr>
              <a:solidFill>
                <a:schemeClr val="tx1"/>
              </a:solidFill>
              <a:ln>
                <a:noFill/>
              </a:ln>
              <a:effectLst/>
            </c:spPr>
            <c:extLst>
              <c:ext xmlns:c16="http://schemas.microsoft.com/office/drawing/2014/chart" uri="{C3380CC4-5D6E-409C-BE32-E72D297353CC}">
                <c16:uniqueId val="{00000005-793B-4CD4-9F2C-97875577B93B}"/>
              </c:ext>
            </c:extLst>
          </c:dPt>
          <c:dPt>
            <c:idx val="3"/>
            <c:invertIfNegative val="0"/>
            <c:bubble3D val="0"/>
            <c:spPr>
              <a:solidFill>
                <a:schemeClr val="tx1"/>
              </a:solidFill>
              <a:ln>
                <a:noFill/>
              </a:ln>
              <a:effectLst/>
            </c:spPr>
            <c:extLst>
              <c:ext xmlns:c16="http://schemas.microsoft.com/office/drawing/2014/chart" uri="{C3380CC4-5D6E-409C-BE32-E72D297353CC}">
                <c16:uniqueId val="{00000007-793B-4CD4-9F2C-97875577B93B}"/>
              </c:ext>
            </c:extLst>
          </c:dPt>
          <c:dPt>
            <c:idx val="4"/>
            <c:invertIfNegative val="0"/>
            <c:bubble3D val="0"/>
            <c:spPr>
              <a:solidFill>
                <a:schemeClr val="tx1"/>
              </a:solidFill>
              <a:ln>
                <a:noFill/>
              </a:ln>
              <a:effectLst/>
            </c:spPr>
            <c:extLst>
              <c:ext xmlns:c16="http://schemas.microsoft.com/office/drawing/2014/chart" uri="{C3380CC4-5D6E-409C-BE32-E72D297353CC}">
                <c16:uniqueId val="{00000009-793B-4CD4-9F2C-97875577B93B}"/>
              </c:ext>
            </c:extLst>
          </c:dPt>
          <c:dPt>
            <c:idx val="5"/>
            <c:invertIfNegative val="0"/>
            <c:bubble3D val="0"/>
            <c:spPr>
              <a:solidFill>
                <a:schemeClr val="tx1"/>
              </a:solidFill>
              <a:ln>
                <a:noFill/>
              </a:ln>
              <a:effectLst/>
            </c:spPr>
            <c:extLst>
              <c:ext xmlns:c16="http://schemas.microsoft.com/office/drawing/2014/chart" uri="{C3380CC4-5D6E-409C-BE32-E72D297353CC}">
                <c16:uniqueId val="{0000000B-793B-4CD4-9F2C-97875577B93B}"/>
              </c:ext>
            </c:extLst>
          </c:dPt>
          <c:dPt>
            <c:idx val="6"/>
            <c:invertIfNegative val="0"/>
            <c:bubble3D val="0"/>
            <c:spPr>
              <a:solidFill>
                <a:schemeClr val="tx1"/>
              </a:solidFill>
              <a:ln>
                <a:noFill/>
              </a:ln>
              <a:effectLst/>
            </c:spPr>
            <c:extLst>
              <c:ext xmlns:c16="http://schemas.microsoft.com/office/drawing/2014/chart" uri="{C3380CC4-5D6E-409C-BE32-E72D297353CC}">
                <c16:uniqueId val="{0000000D-793B-4CD4-9F2C-97875577B93B}"/>
              </c:ext>
            </c:extLst>
          </c:dPt>
          <c:dPt>
            <c:idx val="7"/>
            <c:invertIfNegative val="0"/>
            <c:bubble3D val="0"/>
            <c:spPr>
              <a:solidFill>
                <a:srgbClr val="FF0000"/>
              </a:solidFill>
              <a:ln>
                <a:noFill/>
              </a:ln>
              <a:effectLst/>
            </c:spPr>
            <c:extLst>
              <c:ext xmlns:c16="http://schemas.microsoft.com/office/drawing/2014/chart" uri="{C3380CC4-5D6E-409C-BE32-E72D297353CC}">
                <c16:uniqueId val="{0000000F-793B-4CD4-9F2C-97875577B93B}"/>
              </c:ext>
            </c:extLst>
          </c:dPt>
          <c:dPt>
            <c:idx val="8"/>
            <c:invertIfNegative val="0"/>
            <c:bubble3D val="0"/>
            <c:spPr>
              <a:solidFill>
                <a:srgbClr val="FF0000"/>
              </a:solidFill>
              <a:ln>
                <a:noFill/>
              </a:ln>
              <a:effectLst/>
            </c:spPr>
            <c:extLst>
              <c:ext xmlns:c16="http://schemas.microsoft.com/office/drawing/2014/chart" uri="{C3380CC4-5D6E-409C-BE32-E72D297353CC}">
                <c16:uniqueId val="{00000011-793B-4CD4-9F2C-97875577B93B}"/>
              </c:ext>
            </c:extLst>
          </c:dPt>
          <c:dPt>
            <c:idx val="9"/>
            <c:invertIfNegative val="0"/>
            <c:bubble3D val="0"/>
            <c:spPr>
              <a:solidFill>
                <a:srgbClr val="FF0000"/>
              </a:solidFill>
              <a:ln>
                <a:noFill/>
              </a:ln>
              <a:effectLst/>
            </c:spPr>
            <c:extLst>
              <c:ext xmlns:c16="http://schemas.microsoft.com/office/drawing/2014/chart" uri="{C3380CC4-5D6E-409C-BE32-E72D297353CC}">
                <c16:uniqueId val="{00000013-793B-4CD4-9F2C-97875577B93B}"/>
              </c:ext>
            </c:extLst>
          </c:dPt>
          <c:dPt>
            <c:idx val="10"/>
            <c:invertIfNegative val="0"/>
            <c:bubble3D val="0"/>
            <c:spPr>
              <a:solidFill>
                <a:srgbClr val="FF0000"/>
              </a:solidFill>
              <a:ln>
                <a:noFill/>
              </a:ln>
              <a:effectLst/>
            </c:spPr>
            <c:extLst>
              <c:ext xmlns:c16="http://schemas.microsoft.com/office/drawing/2014/chart" uri="{C3380CC4-5D6E-409C-BE32-E72D297353CC}">
                <c16:uniqueId val="{00000015-793B-4CD4-9F2C-97875577B93B}"/>
              </c:ext>
            </c:extLst>
          </c:dPt>
          <c:dLbls>
            <c:dLbl>
              <c:idx val="0"/>
              <c:layout>
                <c:manualLayout>
                  <c:x val="-2.88740507087444E-3"/>
                  <c:y val="1.85672514619883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3B-4CD4-9F2C-97875577B93B}"/>
                </c:ext>
              </c:extLst>
            </c:dLbl>
            <c:dLbl>
              <c:idx val="4"/>
              <c:layout>
                <c:manualLayout>
                  <c:x val="2.8857182848199933E-3"/>
                  <c:y val="-2.785087719298254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15:layout>
                    <c:manualLayout>
                      <c:w val="7.1623527829230912E-2"/>
                      <c:h val="8.3715277777777791E-2"/>
                    </c:manualLayout>
                  </c15:layout>
                </c:ext>
                <c:ext xmlns:c16="http://schemas.microsoft.com/office/drawing/2014/chart" uri="{C3380CC4-5D6E-409C-BE32-E72D297353CC}">
                  <c16:uniqueId val="{00000009-793B-4CD4-9F2C-97875577B93B}"/>
                </c:ext>
              </c:extLst>
            </c:dLbl>
            <c:dLbl>
              <c:idx val="7"/>
              <c:layout>
                <c:manualLayout>
                  <c:x val="0"/>
                  <c:y val="9.283625730994152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93B-4CD4-9F2C-97875577B93B}"/>
                </c:ext>
              </c:extLst>
            </c:dLbl>
            <c:dLbl>
              <c:idx val="8"/>
              <c:layout>
                <c:manualLayout>
                  <c:x val="-2.8857182848199404E-3"/>
                  <c:y val="-6.49853801169591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93B-4CD4-9F2C-97875577B93B}"/>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détaillé'!$H$151:$H$157,'Tableau détaillé'!$H$159:$H$162)</c:f>
              <c:numCache>
                <c:formatCode>#\ ##0.0" pts"</c:formatCode>
                <c:ptCount val="11"/>
                <c:pt idx="0">
                  <c:v>-1.5160395100226709</c:v>
                </c:pt>
                <c:pt idx="1">
                  <c:v>1.1320343062523996</c:v>
                </c:pt>
                <c:pt idx="2">
                  <c:v>-2.831474471542117</c:v>
                </c:pt>
                <c:pt idx="3">
                  <c:v>74.075432599571656</c:v>
                </c:pt>
                <c:pt idx="4">
                  <c:v>-1.3230989347152722</c:v>
                </c:pt>
                <c:pt idx="5">
                  <c:v>0.69868763167963976</c:v>
                </c:pt>
                <c:pt idx="6">
                  <c:v>-5.6106498373441562</c:v>
                </c:pt>
                <c:pt idx="7">
                  <c:v>32.852302216027532</c:v>
                </c:pt>
                <c:pt idx="8">
                  <c:v>-1.7871988251484616</c:v>
                </c:pt>
                <c:pt idx="9">
                  <c:v>1.9070584374291988</c:v>
                </c:pt>
                <c:pt idx="10">
                  <c:v>2.3860546618132861</c:v>
                </c:pt>
              </c:numCache>
            </c:numRef>
          </c:val>
          <c:extLst>
            <c:ext xmlns:c16="http://schemas.microsoft.com/office/drawing/2014/chart" uri="{C3380CC4-5D6E-409C-BE32-E72D297353CC}">
              <c16:uniqueId val="{00000016-793B-4CD4-9F2C-97875577B93B}"/>
            </c:ext>
          </c:extLst>
        </c:ser>
        <c:dLbls>
          <c:showLegendKey val="0"/>
          <c:showVal val="0"/>
          <c:showCatName val="0"/>
          <c:showSerName val="0"/>
          <c:showPercent val="0"/>
          <c:showBubbleSize val="0"/>
        </c:dLbls>
        <c:gapWidth val="219"/>
        <c:overlap val="-27"/>
        <c:axId val="1032772248"/>
        <c:axId val="1032771464"/>
      </c:barChart>
      <c:lineChart>
        <c:grouping val="standard"/>
        <c:varyColors val="0"/>
        <c:ser>
          <c:idx val="1"/>
          <c:order val="1"/>
          <c:spPr>
            <a:ln w="28575" cap="rnd">
              <a:solidFill>
                <a:srgbClr val="C00000"/>
              </a:solidFill>
              <a:round/>
            </a:ln>
            <a:effectLst/>
          </c:spPr>
          <c:marker>
            <c:symbol val="none"/>
          </c:marker>
          <c:val>
            <c:numRef>
              <c:f>('Tableau détaillé'!$J$151:$J$157,'Tableau détaillé'!$J$159:$J$162)</c:f>
              <c:numCache>
                <c:formatCode>#\ ##0.0" pts"</c:formatCode>
                <c:ptCount val="11"/>
                <c:pt idx="0">
                  <c:v>8.7540411243462675</c:v>
                </c:pt>
                <c:pt idx="1">
                  <c:v>8.7540411243462675</c:v>
                </c:pt>
                <c:pt idx="2">
                  <c:v>8.7540411243462675</c:v>
                </c:pt>
                <c:pt idx="3">
                  <c:v>8.7540411243462675</c:v>
                </c:pt>
                <c:pt idx="4">
                  <c:v>8.7540411243462675</c:v>
                </c:pt>
                <c:pt idx="5">
                  <c:v>8.7540411243462675</c:v>
                </c:pt>
                <c:pt idx="6">
                  <c:v>8.7540411243462675</c:v>
                </c:pt>
                <c:pt idx="7">
                  <c:v>8.7540411243462675</c:v>
                </c:pt>
                <c:pt idx="8">
                  <c:v>8.7540411243462675</c:v>
                </c:pt>
                <c:pt idx="9">
                  <c:v>8.7540411243462675</c:v>
                </c:pt>
                <c:pt idx="10">
                  <c:v>8.7540411243462675</c:v>
                </c:pt>
              </c:numCache>
            </c:numRef>
          </c:val>
          <c:smooth val="0"/>
          <c:extLst>
            <c:ext xmlns:c16="http://schemas.microsoft.com/office/drawing/2014/chart" uri="{C3380CC4-5D6E-409C-BE32-E72D297353CC}">
              <c16:uniqueId val="{00000017-793B-4CD4-9F2C-97875577B93B}"/>
            </c:ext>
          </c:extLst>
        </c:ser>
        <c:dLbls>
          <c:showLegendKey val="0"/>
          <c:showVal val="0"/>
          <c:showCatName val="0"/>
          <c:showSerName val="0"/>
          <c:showPercent val="0"/>
          <c:showBubbleSize val="0"/>
        </c:dLbls>
        <c:marker val="1"/>
        <c:smooth val="0"/>
        <c:axId val="1032772248"/>
        <c:axId val="1032771464"/>
      </c:lineChart>
      <c:catAx>
        <c:axId val="103277224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1464"/>
        <c:crosses val="autoZero"/>
        <c:auto val="1"/>
        <c:lblAlgn val="ctr"/>
        <c:lblOffset val="100"/>
        <c:noMultiLvlLbl val="0"/>
      </c:catAx>
      <c:valAx>
        <c:axId val="1032771464"/>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2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YTD de l'équipement Cartes par DR</a:t>
            </a:r>
          </a:p>
        </c:rich>
      </c:tx>
      <c:layout>
        <c:manualLayout>
          <c:xMode val="edge"/>
          <c:yMode val="edge"/>
          <c:x val="0.22400819486744827"/>
          <c:y val="2.865089808503648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8944458379107786E-2"/>
          <c:y val="0.1272257344277733"/>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7207-4906-8C55-7F06C53D65E3}"/>
              </c:ext>
            </c:extLst>
          </c:dPt>
          <c:dLbls>
            <c:dLbl>
              <c:idx val="0"/>
              <c:layout>
                <c:manualLayout>
                  <c:x val="-6.3591016872741116E-2"/>
                  <c:y val="-4.50584795321637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207-4906-8C55-7F06C53D65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détaillé'!$H$158,'Tableau détaillé'!$H$163)</c:f>
              <c:numCache>
                <c:formatCode>#\ ##0.0" pts"</c:formatCode>
                <c:ptCount val="2"/>
                <c:pt idx="0">
                  <c:v>4.359612421792364</c:v>
                </c:pt>
                <c:pt idx="1">
                  <c:v>16.01134786654762</c:v>
                </c:pt>
              </c:numCache>
            </c:numRef>
          </c:val>
          <c:extLst>
            <c:ext xmlns:c16="http://schemas.microsoft.com/office/drawing/2014/chart" uri="{C3380CC4-5D6E-409C-BE32-E72D297353CC}">
              <c16:uniqueId val="{00000003-7207-4906-8C55-7F06C53D65E3}"/>
            </c:ext>
          </c:extLst>
        </c:ser>
        <c:dLbls>
          <c:showLegendKey val="0"/>
          <c:showVal val="0"/>
          <c:showCatName val="0"/>
          <c:showSerName val="0"/>
          <c:showPercent val="0"/>
          <c:showBubbleSize val="0"/>
        </c:dLbls>
        <c:gapWidth val="219"/>
        <c:overlap val="-27"/>
        <c:axId val="1032767152"/>
        <c:axId val="1032773424"/>
      </c:barChart>
      <c:lineChart>
        <c:grouping val="standard"/>
        <c:varyColors val="0"/>
        <c:ser>
          <c:idx val="1"/>
          <c:order val="1"/>
          <c:spPr>
            <a:ln w="28575" cap="rnd">
              <a:solidFill>
                <a:srgbClr val="C00000"/>
              </a:solidFill>
              <a:round/>
            </a:ln>
            <a:effectLst/>
          </c:spPr>
          <c:marker>
            <c:symbol val="none"/>
          </c:marker>
          <c:val>
            <c:numRef>
              <c:f>('Tableau détaillé'!$J$158,'Tableau détaillé'!$J$163)</c:f>
              <c:numCache>
                <c:formatCode>#\ ##0.0" pts"</c:formatCode>
                <c:ptCount val="2"/>
                <c:pt idx="0">
                  <c:v>8.7540411243462675</c:v>
                </c:pt>
                <c:pt idx="1">
                  <c:v>8.7540411243462675</c:v>
                </c:pt>
              </c:numCache>
            </c:numRef>
          </c:val>
          <c:smooth val="0"/>
          <c:extLst>
            <c:ext xmlns:c16="http://schemas.microsoft.com/office/drawing/2014/chart" uri="{C3380CC4-5D6E-409C-BE32-E72D297353CC}">
              <c16:uniqueId val="{00000004-7207-4906-8C55-7F06C53D65E3}"/>
            </c:ext>
          </c:extLst>
        </c:ser>
        <c:dLbls>
          <c:showLegendKey val="0"/>
          <c:showVal val="0"/>
          <c:showCatName val="0"/>
          <c:showSerName val="0"/>
          <c:showPercent val="0"/>
          <c:showBubbleSize val="0"/>
        </c:dLbls>
        <c:marker val="1"/>
        <c:smooth val="0"/>
        <c:axId val="1032767152"/>
        <c:axId val="1032773424"/>
      </c:lineChart>
      <c:catAx>
        <c:axId val="103276715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3424"/>
        <c:crosses val="autoZero"/>
        <c:auto val="1"/>
        <c:lblAlgn val="ctr"/>
        <c:lblOffset val="100"/>
        <c:noMultiLvlLbl val="0"/>
      </c:catAx>
      <c:valAx>
        <c:axId val="1032773424"/>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7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100"/>
              <a:t>Evolution YTD de l'équipement CAV des</a:t>
            </a:r>
            <a:r>
              <a:rPr lang="fr-FR" sz="1100" baseline="0"/>
              <a:t> clients actifs</a:t>
            </a:r>
            <a:endParaRPr lang="fr-FR" sz="1100"/>
          </a:p>
        </c:rich>
      </c:tx>
      <c:layout>
        <c:manualLayout>
          <c:xMode val="edge"/>
          <c:yMode val="edge"/>
          <c:x val="0.14682210178273172"/>
          <c:y val="1.4603600081904656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7873010554531746"/>
          <c:w val="0.84559313725490193"/>
          <c:h val="0.59172576832151313"/>
        </c:manualLayout>
      </c:layout>
      <c:barChart>
        <c:barDir val="col"/>
        <c:grouping val="clustered"/>
        <c:varyColors val="0"/>
        <c:ser>
          <c:idx val="0"/>
          <c:order val="0"/>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1-E3E2-49FD-BCD2-B71396B97B0F}"/>
              </c:ext>
            </c:extLst>
          </c:dPt>
          <c:dPt>
            <c:idx val="8"/>
            <c:invertIfNegative val="0"/>
            <c:bubble3D val="0"/>
            <c:spPr>
              <a:solidFill>
                <a:srgbClr val="FF0000"/>
              </a:solidFill>
              <a:ln>
                <a:noFill/>
              </a:ln>
              <a:effectLst/>
            </c:spPr>
            <c:extLst>
              <c:ext xmlns:c16="http://schemas.microsoft.com/office/drawing/2014/chart" uri="{C3380CC4-5D6E-409C-BE32-E72D297353CC}">
                <c16:uniqueId val="{00000003-E3E2-49FD-BCD2-B71396B97B0F}"/>
              </c:ext>
            </c:extLst>
          </c:dPt>
          <c:dPt>
            <c:idx val="9"/>
            <c:invertIfNegative val="0"/>
            <c:bubble3D val="0"/>
            <c:spPr>
              <a:solidFill>
                <a:srgbClr val="FF0000"/>
              </a:solidFill>
              <a:ln>
                <a:noFill/>
              </a:ln>
              <a:effectLst/>
            </c:spPr>
            <c:extLst>
              <c:ext xmlns:c16="http://schemas.microsoft.com/office/drawing/2014/chart" uri="{C3380CC4-5D6E-409C-BE32-E72D297353CC}">
                <c16:uniqueId val="{00000005-E3E2-49FD-BCD2-B71396B97B0F}"/>
              </c:ext>
            </c:extLst>
          </c:dPt>
          <c:dPt>
            <c:idx val="10"/>
            <c:invertIfNegative val="0"/>
            <c:bubble3D val="0"/>
            <c:spPr>
              <a:solidFill>
                <a:srgbClr val="FF0000"/>
              </a:solidFill>
              <a:ln>
                <a:noFill/>
              </a:ln>
              <a:effectLst/>
            </c:spPr>
            <c:extLst>
              <c:ext xmlns:c16="http://schemas.microsoft.com/office/drawing/2014/chart" uri="{C3380CC4-5D6E-409C-BE32-E72D297353CC}">
                <c16:uniqueId val="{00000007-E3E2-49FD-BCD2-B71396B97B0F}"/>
              </c:ext>
            </c:extLst>
          </c:dPt>
          <c:dLbls>
            <c:dLbl>
              <c:idx val="0"/>
              <c:layout>
                <c:manualLayout>
                  <c:x val="2.8868885251863842E-3"/>
                  <c:y val="-5.576971885964615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E2-49FD-BCD2-B71396B97B0F}"/>
                </c:ext>
              </c:extLst>
            </c:dLbl>
            <c:dLbl>
              <c:idx val="5"/>
              <c:layout>
                <c:manualLayout>
                  <c:x val="-2.8868885251864505E-3"/>
                  <c:y val="-4.5402545402545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7AF-4A05-841B-42213C1FD15F}"/>
                </c:ext>
              </c:extLst>
            </c:dLbl>
            <c:dLbl>
              <c:idx val="6"/>
              <c:layout>
                <c:manualLayout>
                  <c:x val="-5.7737770503727952E-3"/>
                  <c:y val="-3.63220363220363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588-4898-BC5E-835431800CCF}"/>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détaillé'!$H$103:$H$109,'Tableau détaillé'!$H$111:$H$114)</c:f>
              <c:numCache>
                <c:formatCode>#\ ##0.0" pts"</c:formatCode>
                <c:ptCount val="11"/>
                <c:pt idx="0">
                  <c:v>0.36349654539999943</c:v>
                </c:pt>
                <c:pt idx="1">
                  <c:v>3.117078300499998</c:v>
                </c:pt>
                <c:pt idx="2">
                  <c:v>2.2762660384999966</c:v>
                </c:pt>
                <c:pt idx="3">
                  <c:v>-0.36263293310000444</c:v>
                </c:pt>
                <c:pt idx="4">
                  <c:v>0.51481000290000134</c:v>
                </c:pt>
                <c:pt idx="5">
                  <c:v>1.4409893755999992</c:v>
                </c:pt>
                <c:pt idx="6">
                  <c:v>0.12153614119999601</c:v>
                </c:pt>
                <c:pt idx="7">
                  <c:v>0.22361374920000232</c:v>
                </c:pt>
                <c:pt idx="8">
                  <c:v>-0.30265676470000447</c:v>
                </c:pt>
                <c:pt idx="9">
                  <c:v>0.28650021149999594</c:v>
                </c:pt>
                <c:pt idx="10">
                  <c:v>-94.534155642299993</c:v>
                </c:pt>
              </c:numCache>
            </c:numRef>
          </c:val>
          <c:extLst>
            <c:ext xmlns:c16="http://schemas.microsoft.com/office/drawing/2014/chart" uri="{C3380CC4-5D6E-409C-BE32-E72D297353CC}">
              <c16:uniqueId val="{00000009-E3E2-49FD-BCD2-B71396B97B0F}"/>
            </c:ext>
          </c:extLst>
        </c:ser>
        <c:dLbls>
          <c:showLegendKey val="0"/>
          <c:showVal val="0"/>
          <c:showCatName val="0"/>
          <c:showSerName val="0"/>
          <c:showPercent val="0"/>
          <c:showBubbleSize val="0"/>
        </c:dLbls>
        <c:gapWidth val="219"/>
        <c:overlap val="-27"/>
        <c:axId val="1032765584"/>
        <c:axId val="1032766368"/>
      </c:barChart>
      <c:lineChart>
        <c:grouping val="standard"/>
        <c:varyColors val="0"/>
        <c:ser>
          <c:idx val="1"/>
          <c:order val="1"/>
          <c:spPr>
            <a:ln w="28575" cap="rnd">
              <a:solidFill>
                <a:srgbClr val="C00000"/>
              </a:solidFill>
              <a:round/>
            </a:ln>
            <a:effectLst/>
          </c:spPr>
          <c:marker>
            <c:symbol val="none"/>
          </c:marker>
          <c:val>
            <c:numRef>
              <c:f>('Tableau détaillé'!$J$103:$J$109,'Tableau détaillé'!$J$111:$J$114)</c:f>
              <c:numCache>
                <c:formatCode>#\ ##0.0" pts"</c:formatCode>
                <c:ptCount val="11"/>
                <c:pt idx="0">
                  <c:v>0.47207979389999322</c:v>
                </c:pt>
                <c:pt idx="1">
                  <c:v>0.47207979389999322</c:v>
                </c:pt>
                <c:pt idx="2">
                  <c:v>0.47207979389999322</c:v>
                </c:pt>
                <c:pt idx="3">
                  <c:v>0.47207979389999322</c:v>
                </c:pt>
                <c:pt idx="4">
                  <c:v>0.47207979389999322</c:v>
                </c:pt>
                <c:pt idx="5">
                  <c:v>0.47207979389999322</c:v>
                </c:pt>
                <c:pt idx="6">
                  <c:v>0.47207979389999322</c:v>
                </c:pt>
                <c:pt idx="7">
                  <c:v>0.47207979389999322</c:v>
                </c:pt>
                <c:pt idx="8">
                  <c:v>0.47207979389999322</c:v>
                </c:pt>
                <c:pt idx="9">
                  <c:v>0.47207979389999322</c:v>
                </c:pt>
                <c:pt idx="10">
                  <c:v>0.47207979389999322</c:v>
                </c:pt>
              </c:numCache>
            </c:numRef>
          </c:val>
          <c:smooth val="0"/>
          <c:extLst>
            <c:ext xmlns:c16="http://schemas.microsoft.com/office/drawing/2014/chart" uri="{C3380CC4-5D6E-409C-BE32-E72D297353CC}">
              <c16:uniqueId val="{0000000A-E3E2-49FD-BCD2-B71396B97B0F}"/>
            </c:ext>
          </c:extLst>
        </c:ser>
        <c:dLbls>
          <c:showLegendKey val="0"/>
          <c:showVal val="0"/>
          <c:showCatName val="0"/>
          <c:showSerName val="0"/>
          <c:showPercent val="0"/>
          <c:showBubbleSize val="0"/>
        </c:dLbls>
        <c:marker val="1"/>
        <c:smooth val="0"/>
        <c:axId val="1032765584"/>
        <c:axId val="1032766368"/>
      </c:lineChart>
      <c:catAx>
        <c:axId val="103276558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6368"/>
        <c:crosses val="autoZero"/>
        <c:auto val="1"/>
        <c:lblAlgn val="ctr"/>
        <c:lblOffset val="100"/>
        <c:noMultiLvlLbl val="0"/>
      </c:catAx>
      <c:valAx>
        <c:axId val="1032766368"/>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65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100"/>
              <a:t>Evolution YTD de l'équipement CAV  des clients actifs par DR</a:t>
            </a:r>
          </a:p>
        </c:rich>
      </c:tx>
      <c:layout>
        <c:manualLayout>
          <c:xMode val="edge"/>
          <c:yMode val="edge"/>
          <c:x val="0.13111581049223264"/>
          <c:y val="1.462448329064839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8184970684970683"/>
          <c:w val="0.89920800524934386"/>
          <c:h val="0.70801944801944794"/>
        </c:manualLayout>
      </c:layout>
      <c:barChart>
        <c:barDir val="col"/>
        <c:grouping val="clustered"/>
        <c:varyColors val="0"/>
        <c:ser>
          <c:idx val="0"/>
          <c:order val="0"/>
          <c:spPr>
            <a:solidFill>
              <a:srgbClr val="FF0000"/>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01-B4C7-4C02-83EF-46A0ED24AC0C}"/>
              </c:ext>
            </c:extLst>
          </c:dPt>
          <c:dLbls>
            <c:dLbl>
              <c:idx val="0"/>
              <c:layout>
                <c:manualLayout>
                  <c:x val="5.7736773071514463E-3"/>
                  <c:y val="-1.1433809736122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C7-4C02-83EF-46A0ED24AC0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détaillé'!$H$110,'Tableau détaillé'!$H$115)</c:f>
              <c:numCache>
                <c:formatCode>#\ ##0.0" pts"</c:formatCode>
                <c:ptCount val="2"/>
                <c:pt idx="0">
                  <c:v>1.0142399045000028</c:v>
                </c:pt>
                <c:pt idx="1">
                  <c:v>-0.1113392864000029</c:v>
                </c:pt>
              </c:numCache>
            </c:numRef>
          </c:val>
          <c:extLst>
            <c:ext xmlns:c16="http://schemas.microsoft.com/office/drawing/2014/chart" uri="{C3380CC4-5D6E-409C-BE32-E72D297353CC}">
              <c16:uniqueId val="{00000002-B4C7-4C02-83EF-46A0ED24AC0C}"/>
            </c:ext>
          </c:extLst>
        </c:ser>
        <c:dLbls>
          <c:showLegendKey val="0"/>
          <c:showVal val="0"/>
          <c:showCatName val="0"/>
          <c:showSerName val="0"/>
          <c:showPercent val="0"/>
          <c:showBubbleSize val="0"/>
        </c:dLbls>
        <c:gapWidth val="219"/>
        <c:overlap val="-27"/>
        <c:axId val="1032773816"/>
        <c:axId val="1032774208"/>
      </c:barChart>
      <c:lineChart>
        <c:grouping val="standard"/>
        <c:varyColors val="0"/>
        <c:ser>
          <c:idx val="1"/>
          <c:order val="1"/>
          <c:spPr>
            <a:ln w="28575" cap="rnd">
              <a:solidFill>
                <a:srgbClr val="C00000"/>
              </a:solidFill>
              <a:round/>
            </a:ln>
            <a:effectLst/>
          </c:spPr>
          <c:marker>
            <c:symbol val="none"/>
          </c:marker>
          <c:val>
            <c:numRef>
              <c:f>('Tableau détaillé'!$J$110,'Tableau détaillé'!$J$115)</c:f>
              <c:numCache>
                <c:formatCode>#\ ##0.0" pts"</c:formatCode>
                <c:ptCount val="2"/>
                <c:pt idx="0">
                  <c:v>0.47207979389999322</c:v>
                </c:pt>
                <c:pt idx="1">
                  <c:v>0.47207979389999322</c:v>
                </c:pt>
              </c:numCache>
            </c:numRef>
          </c:val>
          <c:smooth val="0"/>
          <c:extLst>
            <c:ext xmlns:c16="http://schemas.microsoft.com/office/drawing/2014/chart" uri="{C3380CC4-5D6E-409C-BE32-E72D297353CC}">
              <c16:uniqueId val="{00000003-B4C7-4C02-83EF-46A0ED24AC0C}"/>
            </c:ext>
          </c:extLst>
        </c:ser>
        <c:dLbls>
          <c:showLegendKey val="0"/>
          <c:showVal val="0"/>
          <c:showCatName val="0"/>
          <c:showSerName val="0"/>
          <c:showPercent val="0"/>
          <c:showBubbleSize val="0"/>
        </c:dLbls>
        <c:marker val="1"/>
        <c:smooth val="0"/>
        <c:axId val="1032773816"/>
        <c:axId val="1032774208"/>
      </c:lineChart>
      <c:catAx>
        <c:axId val="1032773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4208"/>
        <c:crosses val="autoZero"/>
        <c:auto val="1"/>
        <c:lblAlgn val="ctr"/>
        <c:lblOffset val="100"/>
        <c:noMultiLvlLbl val="0"/>
      </c:catAx>
      <c:valAx>
        <c:axId val="1032774208"/>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3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100" b="1" i="0" u="none" strike="noStrike" baseline="0">
                <a:effectLst/>
              </a:rPr>
              <a:t>Evolution YTD </a:t>
            </a:r>
            <a:r>
              <a:rPr lang="fr-FR" sz="1100"/>
              <a:t>de</a:t>
            </a:r>
            <a:r>
              <a:rPr lang="fr-FR" sz="1100" baseline="0"/>
              <a:t> la part de packages dans les CAV</a:t>
            </a:r>
            <a:endParaRPr lang="fr-FR" sz="1100"/>
          </a:p>
        </c:rich>
      </c:tx>
      <c:layout>
        <c:manualLayout>
          <c:xMode val="edge"/>
          <c:yMode val="edge"/>
          <c:x val="0.14895662847790508"/>
          <c:y val="1.8161018161018162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1275301464254953"/>
          <c:w val="0.83951307189542468"/>
          <c:h val="0.65810436405397643"/>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BDCE-42D0-9D43-E65AC1865950}"/>
              </c:ext>
            </c:extLst>
          </c:dPt>
          <c:dPt>
            <c:idx val="1"/>
            <c:invertIfNegative val="0"/>
            <c:bubble3D val="0"/>
            <c:spPr>
              <a:solidFill>
                <a:schemeClr val="tx1"/>
              </a:solidFill>
              <a:ln>
                <a:noFill/>
              </a:ln>
              <a:effectLst/>
            </c:spPr>
            <c:extLst>
              <c:ext xmlns:c16="http://schemas.microsoft.com/office/drawing/2014/chart" uri="{C3380CC4-5D6E-409C-BE32-E72D297353CC}">
                <c16:uniqueId val="{00000003-BDCE-42D0-9D43-E65AC1865950}"/>
              </c:ext>
            </c:extLst>
          </c:dPt>
          <c:dPt>
            <c:idx val="2"/>
            <c:invertIfNegative val="0"/>
            <c:bubble3D val="0"/>
            <c:spPr>
              <a:solidFill>
                <a:schemeClr val="tx1"/>
              </a:solidFill>
              <a:ln>
                <a:noFill/>
              </a:ln>
              <a:effectLst/>
            </c:spPr>
            <c:extLst>
              <c:ext xmlns:c16="http://schemas.microsoft.com/office/drawing/2014/chart" uri="{C3380CC4-5D6E-409C-BE32-E72D297353CC}">
                <c16:uniqueId val="{00000005-BDCE-42D0-9D43-E65AC1865950}"/>
              </c:ext>
            </c:extLst>
          </c:dPt>
          <c:dPt>
            <c:idx val="3"/>
            <c:invertIfNegative val="0"/>
            <c:bubble3D val="0"/>
            <c:spPr>
              <a:solidFill>
                <a:schemeClr val="tx1"/>
              </a:solidFill>
              <a:ln>
                <a:noFill/>
              </a:ln>
              <a:effectLst/>
            </c:spPr>
            <c:extLst>
              <c:ext xmlns:c16="http://schemas.microsoft.com/office/drawing/2014/chart" uri="{C3380CC4-5D6E-409C-BE32-E72D297353CC}">
                <c16:uniqueId val="{00000007-BDCE-42D0-9D43-E65AC1865950}"/>
              </c:ext>
            </c:extLst>
          </c:dPt>
          <c:dPt>
            <c:idx val="4"/>
            <c:invertIfNegative val="0"/>
            <c:bubble3D val="0"/>
            <c:spPr>
              <a:solidFill>
                <a:schemeClr val="tx1"/>
              </a:solidFill>
              <a:ln>
                <a:noFill/>
              </a:ln>
              <a:effectLst/>
            </c:spPr>
            <c:extLst>
              <c:ext xmlns:c16="http://schemas.microsoft.com/office/drawing/2014/chart" uri="{C3380CC4-5D6E-409C-BE32-E72D297353CC}">
                <c16:uniqueId val="{00000009-BDCE-42D0-9D43-E65AC1865950}"/>
              </c:ext>
            </c:extLst>
          </c:dPt>
          <c:dPt>
            <c:idx val="5"/>
            <c:invertIfNegative val="0"/>
            <c:bubble3D val="0"/>
            <c:spPr>
              <a:solidFill>
                <a:schemeClr val="tx1"/>
              </a:solidFill>
              <a:ln>
                <a:noFill/>
              </a:ln>
              <a:effectLst/>
            </c:spPr>
            <c:extLst>
              <c:ext xmlns:c16="http://schemas.microsoft.com/office/drawing/2014/chart" uri="{C3380CC4-5D6E-409C-BE32-E72D297353CC}">
                <c16:uniqueId val="{0000000B-BDCE-42D0-9D43-E65AC1865950}"/>
              </c:ext>
            </c:extLst>
          </c:dPt>
          <c:dPt>
            <c:idx val="6"/>
            <c:invertIfNegative val="0"/>
            <c:bubble3D val="0"/>
            <c:spPr>
              <a:solidFill>
                <a:schemeClr val="tx1"/>
              </a:solidFill>
              <a:ln>
                <a:noFill/>
              </a:ln>
              <a:effectLst/>
            </c:spPr>
            <c:extLst>
              <c:ext xmlns:c16="http://schemas.microsoft.com/office/drawing/2014/chart" uri="{C3380CC4-5D6E-409C-BE32-E72D297353CC}">
                <c16:uniqueId val="{0000000D-BDCE-42D0-9D43-E65AC1865950}"/>
              </c:ext>
            </c:extLst>
          </c:dPt>
          <c:dPt>
            <c:idx val="7"/>
            <c:invertIfNegative val="0"/>
            <c:bubble3D val="0"/>
            <c:spPr>
              <a:solidFill>
                <a:srgbClr val="FF0000"/>
              </a:solidFill>
              <a:ln>
                <a:noFill/>
              </a:ln>
              <a:effectLst/>
            </c:spPr>
            <c:extLst>
              <c:ext xmlns:c16="http://schemas.microsoft.com/office/drawing/2014/chart" uri="{C3380CC4-5D6E-409C-BE32-E72D297353CC}">
                <c16:uniqueId val="{0000000F-BDCE-42D0-9D43-E65AC1865950}"/>
              </c:ext>
            </c:extLst>
          </c:dPt>
          <c:dPt>
            <c:idx val="8"/>
            <c:invertIfNegative val="0"/>
            <c:bubble3D val="0"/>
            <c:spPr>
              <a:solidFill>
                <a:srgbClr val="FF0000"/>
              </a:solidFill>
              <a:ln>
                <a:noFill/>
              </a:ln>
              <a:effectLst/>
            </c:spPr>
            <c:extLst>
              <c:ext xmlns:c16="http://schemas.microsoft.com/office/drawing/2014/chart" uri="{C3380CC4-5D6E-409C-BE32-E72D297353CC}">
                <c16:uniqueId val="{00000011-BDCE-42D0-9D43-E65AC1865950}"/>
              </c:ext>
            </c:extLst>
          </c:dPt>
          <c:dPt>
            <c:idx val="9"/>
            <c:invertIfNegative val="0"/>
            <c:bubble3D val="0"/>
            <c:spPr>
              <a:solidFill>
                <a:srgbClr val="FF0000"/>
              </a:solidFill>
              <a:ln>
                <a:noFill/>
              </a:ln>
              <a:effectLst/>
            </c:spPr>
            <c:extLst>
              <c:ext xmlns:c16="http://schemas.microsoft.com/office/drawing/2014/chart" uri="{C3380CC4-5D6E-409C-BE32-E72D297353CC}">
                <c16:uniqueId val="{00000013-BDCE-42D0-9D43-E65AC1865950}"/>
              </c:ext>
            </c:extLst>
          </c:dPt>
          <c:dPt>
            <c:idx val="10"/>
            <c:invertIfNegative val="0"/>
            <c:bubble3D val="0"/>
            <c:spPr>
              <a:solidFill>
                <a:srgbClr val="FF0000"/>
              </a:solidFill>
              <a:ln>
                <a:noFill/>
              </a:ln>
              <a:effectLst/>
            </c:spPr>
            <c:extLst>
              <c:ext xmlns:c16="http://schemas.microsoft.com/office/drawing/2014/chart" uri="{C3380CC4-5D6E-409C-BE32-E72D297353CC}">
                <c16:uniqueId val="{00000015-BDCE-42D0-9D43-E65AC1865950}"/>
              </c:ext>
            </c:extLst>
          </c:dPt>
          <c:dLbls>
            <c:dLbl>
              <c:idx val="0"/>
              <c:layout>
                <c:manualLayout>
                  <c:x val="-1.3231419556616523E-17"/>
                  <c:y val="-2.45538395538395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DCE-42D0-9D43-E65AC1865950}"/>
                </c:ext>
              </c:extLst>
            </c:dLbl>
            <c:dLbl>
              <c:idx val="1"/>
              <c:layout>
                <c:manualLayout>
                  <c:x val="2.7777979819653383E-3"/>
                  <c:y val="9.33580008580008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CE-42D0-9D43-E65AC1865950}"/>
                </c:ext>
              </c:extLst>
            </c:dLbl>
            <c:dLbl>
              <c:idx val="3"/>
              <c:layout>
                <c:manualLayout>
                  <c:x val="2.8828092468100594E-3"/>
                  <c:y val="3.9639639639638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DCE-42D0-9D43-E65AC1865950}"/>
                </c:ext>
              </c:extLst>
            </c:dLbl>
            <c:dLbl>
              <c:idx val="4"/>
              <c:layout>
                <c:manualLayout>
                  <c:x val="0"/>
                  <c:y val="7.2107822107822109E-3"/>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DCE-42D0-9D43-E65AC1865950}"/>
                </c:ext>
              </c:extLst>
            </c:dLbl>
            <c:dLbl>
              <c:idx val="5"/>
              <c:layout>
                <c:manualLayout>
                  <c:x val="1.4183006535946952E-3"/>
                  <c:y val="-9.48535745047373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DCE-42D0-9D43-E65AC1865950}"/>
                </c:ext>
              </c:extLst>
            </c:dLbl>
            <c:dLbl>
              <c:idx val="6"/>
              <c:layout>
                <c:manualLayout>
                  <c:x val="2.7777777777777779E-3"/>
                  <c:y val="3.21859767529050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DCE-42D0-9D43-E65AC1865950}"/>
                </c:ext>
              </c:extLst>
            </c:dLbl>
            <c:dLbl>
              <c:idx val="8"/>
              <c:layout>
                <c:manualLayout>
                  <c:x val="0"/>
                  <c:y val="-1.82314097042779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DCE-42D0-9D43-E65AC1865950}"/>
                </c:ext>
              </c:extLst>
            </c:dLbl>
            <c:dLbl>
              <c:idx val="9"/>
              <c:layout>
                <c:manualLayout>
                  <c:x val="-2.233995022833812E-2"/>
                  <c:y val="-1.192382186886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DCE-42D0-9D43-E65AC1865950}"/>
                </c:ext>
              </c:extLst>
            </c:dLbl>
            <c:dLbl>
              <c:idx val="10"/>
              <c:layout>
                <c:manualLayout>
                  <c:x val="2.8868885251863976E-3"/>
                  <c:y val="-4.99957099957099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DCE-42D0-9D43-E65AC1865950}"/>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détaillé'!$H$118:$H$124,'Tableau détaillé'!$H$126:$H$129)</c:f>
              <c:numCache>
                <c:formatCode>#\ ##0.0" pts"</c:formatCode>
                <c:ptCount val="11"/>
                <c:pt idx="0">
                  <c:v>1.1494844316000008</c:v>
                </c:pt>
                <c:pt idx="1">
                  <c:v>-0.32811076959999991</c:v>
                </c:pt>
                <c:pt idx="2">
                  <c:v>1.40450288959999</c:v>
                </c:pt>
                <c:pt idx="3">
                  <c:v>-5.5369812899996873E-2</c:v>
                </c:pt>
                <c:pt idx="4">
                  <c:v>0.41553867720000026</c:v>
                </c:pt>
                <c:pt idx="5">
                  <c:v>-1.0597497267999967</c:v>
                </c:pt>
                <c:pt idx="6">
                  <c:v>-4.10525883656965E-3</c:v>
                </c:pt>
                <c:pt idx="7">
                  <c:v>3.2070619567999947</c:v>
                </c:pt>
                <c:pt idx="8">
                  <c:v>2.0984112148</c:v>
                </c:pt>
                <c:pt idx="9">
                  <c:v>2.1307886291</c:v>
                </c:pt>
                <c:pt idx="10">
                  <c:v>-36.244150154299994</c:v>
                </c:pt>
              </c:numCache>
            </c:numRef>
          </c:val>
          <c:extLst>
            <c:ext xmlns:c16="http://schemas.microsoft.com/office/drawing/2014/chart" uri="{C3380CC4-5D6E-409C-BE32-E72D297353CC}">
              <c16:uniqueId val="{00000016-BDCE-42D0-9D43-E65AC1865950}"/>
            </c:ext>
          </c:extLst>
        </c:ser>
        <c:dLbls>
          <c:showLegendKey val="0"/>
          <c:showVal val="0"/>
          <c:showCatName val="0"/>
          <c:showSerName val="0"/>
          <c:showPercent val="0"/>
          <c:showBubbleSize val="0"/>
        </c:dLbls>
        <c:gapWidth val="219"/>
        <c:overlap val="-27"/>
        <c:axId val="1032775776"/>
        <c:axId val="1032774992"/>
      </c:barChart>
      <c:lineChart>
        <c:grouping val="standard"/>
        <c:varyColors val="0"/>
        <c:ser>
          <c:idx val="1"/>
          <c:order val="1"/>
          <c:spPr>
            <a:ln w="28575" cap="rnd">
              <a:solidFill>
                <a:srgbClr val="C00000"/>
              </a:solidFill>
              <a:round/>
            </a:ln>
            <a:effectLst/>
          </c:spPr>
          <c:marker>
            <c:symbol val="none"/>
          </c:marker>
          <c:val>
            <c:numRef>
              <c:f>('Tableau détaillé'!$J$118:$J$124,'Tableau détaillé'!$J$126:$J$129)</c:f>
              <c:numCache>
                <c:formatCode>#\ ##0.0" pts"</c:formatCode>
                <c:ptCount val="11"/>
                <c:pt idx="0">
                  <c:v>2.0987246901999934</c:v>
                </c:pt>
                <c:pt idx="1">
                  <c:v>2.0987246901999934</c:v>
                </c:pt>
                <c:pt idx="2">
                  <c:v>2.0987246901999934</c:v>
                </c:pt>
                <c:pt idx="3">
                  <c:v>2.0987246901999934</c:v>
                </c:pt>
                <c:pt idx="4">
                  <c:v>2.0987246901999934</c:v>
                </c:pt>
                <c:pt idx="5">
                  <c:v>2.0987246901999934</c:v>
                </c:pt>
                <c:pt idx="6">
                  <c:v>2.0987246901999934</c:v>
                </c:pt>
                <c:pt idx="7">
                  <c:v>2.0987246901999934</c:v>
                </c:pt>
                <c:pt idx="8">
                  <c:v>2.0987246901999934</c:v>
                </c:pt>
                <c:pt idx="9">
                  <c:v>2.0987246901999934</c:v>
                </c:pt>
                <c:pt idx="10">
                  <c:v>2.0987246901999934</c:v>
                </c:pt>
              </c:numCache>
            </c:numRef>
          </c:val>
          <c:smooth val="0"/>
          <c:extLst>
            <c:ext xmlns:c16="http://schemas.microsoft.com/office/drawing/2014/chart" uri="{C3380CC4-5D6E-409C-BE32-E72D297353CC}">
              <c16:uniqueId val="{00000017-BDCE-42D0-9D43-E65AC1865950}"/>
            </c:ext>
          </c:extLst>
        </c:ser>
        <c:dLbls>
          <c:showLegendKey val="0"/>
          <c:showVal val="0"/>
          <c:showCatName val="0"/>
          <c:showSerName val="0"/>
          <c:showPercent val="0"/>
          <c:showBubbleSize val="0"/>
        </c:dLbls>
        <c:marker val="1"/>
        <c:smooth val="0"/>
        <c:axId val="1032775776"/>
        <c:axId val="1032774992"/>
      </c:lineChart>
      <c:catAx>
        <c:axId val="103277577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4992"/>
        <c:crosses val="autoZero"/>
        <c:auto val="1"/>
        <c:lblAlgn val="ctr"/>
        <c:lblOffset val="100"/>
        <c:noMultiLvlLbl val="0"/>
      </c:catAx>
      <c:valAx>
        <c:axId val="1032774992"/>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5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100" b="1" i="0" u="none" strike="noStrike" baseline="0">
                <a:effectLst/>
              </a:rPr>
              <a:t>Evolution YTD </a:t>
            </a:r>
            <a:r>
              <a:rPr lang="fr-FR" sz="1100"/>
              <a:t>de la part de packages dans les CAV par DR</a:t>
            </a:r>
          </a:p>
        </c:rich>
      </c:tx>
      <c:layout>
        <c:manualLayout>
          <c:xMode val="edge"/>
          <c:yMode val="edge"/>
          <c:x val="0.15417939625386437"/>
          <c:y val="1.8161018161018162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1472967795731636E-2"/>
          <c:y val="0.13176605176605177"/>
          <c:w val="0.81875457516339867"/>
          <c:h val="0.7222568428946381"/>
        </c:manualLayout>
      </c:layout>
      <c:barChart>
        <c:barDir val="col"/>
        <c:grouping val="clustered"/>
        <c:varyColors val="0"/>
        <c:ser>
          <c:idx val="0"/>
          <c:order val="0"/>
          <c:spPr>
            <a:solidFill>
              <a:schemeClr val="tx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2C19-402A-8BA3-11E0975F0BBF}"/>
              </c:ext>
            </c:extLst>
          </c:dPt>
          <c:dPt>
            <c:idx val="1"/>
            <c:invertIfNegative val="0"/>
            <c:bubble3D val="0"/>
            <c:spPr>
              <a:solidFill>
                <a:srgbClr val="FF0000"/>
              </a:solidFill>
              <a:ln>
                <a:noFill/>
              </a:ln>
              <a:effectLst/>
            </c:spPr>
            <c:extLst>
              <c:ext xmlns:c16="http://schemas.microsoft.com/office/drawing/2014/chart" uri="{C3380CC4-5D6E-409C-BE32-E72D297353CC}">
                <c16:uniqueId val="{00000001-2C19-402A-8BA3-11E0975F0BBF}"/>
              </c:ext>
            </c:extLst>
          </c:dPt>
          <c:dLbls>
            <c:dLbl>
              <c:idx val="0"/>
              <c:layout>
                <c:manualLayout>
                  <c:x val="-7.1552520676988263E-4"/>
                  <c:y val="0.348914271414271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19-402A-8BA3-11E0975F0BBF}"/>
                </c:ext>
              </c:extLst>
            </c:dLbl>
            <c:dLbl>
              <c:idx val="1"/>
              <c:layout>
                <c:manualLayout>
                  <c:x val="2.8621008270795305E-3"/>
                  <c:y val="0.149828399828399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19-402A-8BA3-11E0975F0BBF}"/>
                </c:ext>
              </c:extLst>
            </c:dLbl>
            <c:dLbl>
              <c:idx val="2"/>
              <c:layout>
                <c:manualLayout>
                  <c:x val="-2.8621008270796355E-3"/>
                  <c:y val="0.177069927069927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72-4F11-A135-6E8FDF0C41F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détaillé'!$H$125,'Tableau détaillé'!$H$130,'Tableau détaillé'!$H$117)</c:f>
              <c:numCache>
                <c:formatCode>#\ ##0.0" pts"</c:formatCode>
                <c:ptCount val="3"/>
                <c:pt idx="0">
                  <c:v>0.80336315919999901</c:v>
                </c:pt>
                <c:pt idx="1">
                  <c:v>5.1484680294</c:v>
                </c:pt>
                <c:pt idx="2">
                  <c:v>2.0987246901999934</c:v>
                </c:pt>
              </c:numCache>
            </c:numRef>
          </c:val>
          <c:extLst>
            <c:ext xmlns:c16="http://schemas.microsoft.com/office/drawing/2014/chart" uri="{C3380CC4-5D6E-409C-BE32-E72D297353CC}">
              <c16:uniqueId val="{00000003-2C19-402A-8BA3-11E0975F0BBF}"/>
            </c:ext>
          </c:extLst>
        </c:ser>
        <c:dLbls>
          <c:showLegendKey val="0"/>
          <c:showVal val="0"/>
          <c:showCatName val="0"/>
          <c:showSerName val="0"/>
          <c:showPercent val="0"/>
          <c:showBubbleSize val="0"/>
        </c:dLbls>
        <c:gapWidth val="219"/>
        <c:overlap val="-27"/>
        <c:axId val="1032776560"/>
        <c:axId val="1032776168"/>
      </c:barChart>
      <c:catAx>
        <c:axId val="1032776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1"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6168"/>
        <c:crosses val="autoZero"/>
        <c:auto val="1"/>
        <c:lblAlgn val="ctr"/>
        <c:lblOffset val="100"/>
        <c:noMultiLvlLbl val="0"/>
      </c:catAx>
      <c:valAx>
        <c:axId val="1032776168"/>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76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Crédits conso</a:t>
            </a:r>
          </a:p>
        </c:rich>
      </c:tx>
      <c:layout>
        <c:manualLayout>
          <c:xMode val="edge"/>
          <c:yMode val="edge"/>
          <c:x val="0.1557707502242453"/>
          <c:y val="2.39422395068236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7C30-4805-B761-3177C51186B8}"/>
              </c:ext>
            </c:extLst>
          </c:dPt>
          <c:dPt>
            <c:idx val="8"/>
            <c:invertIfNegative val="0"/>
            <c:bubble3D val="0"/>
            <c:spPr>
              <a:solidFill>
                <a:srgbClr val="FFA7A7"/>
              </a:solidFill>
              <a:ln>
                <a:noFill/>
              </a:ln>
              <a:effectLst/>
            </c:spPr>
            <c:extLst>
              <c:ext xmlns:c16="http://schemas.microsoft.com/office/drawing/2014/chart" uri="{C3380CC4-5D6E-409C-BE32-E72D297353CC}">
                <c16:uniqueId val="{00000003-7C30-4805-B761-3177C51186B8}"/>
              </c:ext>
            </c:extLst>
          </c:dPt>
          <c:dPt>
            <c:idx val="9"/>
            <c:invertIfNegative val="0"/>
            <c:bubble3D val="0"/>
            <c:spPr>
              <a:solidFill>
                <a:srgbClr val="FFA7A7"/>
              </a:solidFill>
              <a:ln>
                <a:noFill/>
              </a:ln>
              <a:effectLst/>
            </c:spPr>
            <c:extLst>
              <c:ext xmlns:c16="http://schemas.microsoft.com/office/drawing/2014/chart" uri="{C3380CC4-5D6E-409C-BE32-E72D297353CC}">
                <c16:uniqueId val="{00000005-7C30-4805-B761-3177C51186B8}"/>
              </c:ext>
            </c:extLst>
          </c:dPt>
          <c:dPt>
            <c:idx val="10"/>
            <c:invertIfNegative val="0"/>
            <c:bubble3D val="0"/>
            <c:spPr>
              <a:solidFill>
                <a:srgbClr val="FFA7A7"/>
              </a:solidFill>
              <a:ln>
                <a:noFill/>
              </a:ln>
              <a:effectLst/>
            </c:spPr>
            <c:extLst>
              <c:ext xmlns:c16="http://schemas.microsoft.com/office/drawing/2014/chart" uri="{C3380CC4-5D6E-409C-BE32-E72D297353CC}">
                <c16:uniqueId val="{00000007-7C30-4805-B761-3177C51186B8}"/>
              </c:ext>
            </c:extLst>
          </c:dPt>
          <c:dLbls>
            <c:dLbl>
              <c:idx val="0"/>
              <c:layout>
                <c:manualLayout>
                  <c:x val="-2.0213342852627905E-2"/>
                  <c:y val="-4.5052219779627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30-4805-B761-3177C51186B8}"/>
                </c:ext>
              </c:extLst>
            </c:dLbl>
            <c:dLbl>
              <c:idx val="2"/>
              <c:layout>
                <c:manualLayout>
                  <c:x val="-8.6628612225548157E-3"/>
                  <c:y val="5.856788571351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30-4805-B761-3177C51186B8}"/>
                </c:ext>
              </c:extLst>
            </c:dLbl>
            <c:dLbl>
              <c:idx val="3"/>
              <c:layout>
                <c:manualLayout>
                  <c:x val="-3.4651444890219263E-2"/>
                  <c:y val="-9.0104439559254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C30-4805-B761-3177C51186B8}"/>
                </c:ext>
              </c:extLst>
            </c:dLbl>
            <c:dLbl>
              <c:idx val="4"/>
              <c:layout>
                <c:manualLayout>
                  <c:x val="-5.7748101417488531E-3"/>
                  <c:y val="-2.70470864218301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DC7-4313-B48B-8994F4B8A981}"/>
                </c:ext>
              </c:extLst>
            </c:dLbl>
            <c:dLbl>
              <c:idx val="6"/>
              <c:layout>
                <c:manualLayout>
                  <c:x val="-8.6658278522628081E-3"/>
                  <c:y val="-8.992685650633255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C30-4805-B761-3177C51186B8}"/>
                </c:ext>
              </c:extLst>
            </c:dLbl>
            <c:dLbl>
              <c:idx val="7"/>
              <c:layout>
                <c:manualLayout>
                  <c:x val="-2.5988583667664555E-2"/>
                  <c:y val="-3.1536553845739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30-4805-B761-3177C51186B8}"/>
                </c:ext>
              </c:extLst>
            </c:dLbl>
            <c:dLbl>
              <c:idx val="8"/>
              <c:layout>
                <c:manualLayout>
                  <c:x val="2.8874050708743207E-3"/>
                  <c:y val="-3.15549341588019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30-4805-B761-3177C51186B8}"/>
                </c:ext>
              </c:extLst>
            </c:dLbl>
            <c:dLbl>
              <c:idx val="9"/>
              <c:layout>
                <c:manualLayout>
                  <c:x val="-8.6628612225548157E-3"/>
                  <c:y val="-3.15365538457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30-4805-B761-3177C51186B8}"/>
                </c:ext>
              </c:extLst>
            </c:dLbl>
            <c:dLbl>
              <c:idx val="10"/>
              <c:layout>
                <c:manualLayout>
                  <c:x val="-1.9086640624005903E-5"/>
                  <c:y val="-5.6362572274364493E-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30-4805-B761-3177C51186B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détaillé'!$H$683:$H$689,'Tableau détaillé'!$H$691:$H$694)</c:f>
              <c:numCache>
                <c:formatCode>_-* #\ ##0\ _€_-;\-* #\ ##0\ _€_-;_-* "-"??\ _€_-;_-@_-</c:formatCode>
                <c:ptCount val="11"/>
                <c:pt idx="0">
                  <c:v>12.385416666666666</c:v>
                </c:pt>
                <c:pt idx="1">
                  <c:v>13.295918367346939</c:v>
                </c:pt>
                <c:pt idx="2">
                  <c:v>13.303921568627452</c:v>
                </c:pt>
                <c:pt idx="3">
                  <c:v>48.1875</c:v>
                </c:pt>
                <c:pt idx="4">
                  <c:v>16.942307692307693</c:v>
                </c:pt>
                <c:pt idx="5">
                  <c:v>5.8</c:v>
                </c:pt>
                <c:pt idx="6">
                  <c:v>20.521739130434781</c:v>
                </c:pt>
                <c:pt idx="7">
                  <c:v>20.849264705882351</c:v>
                </c:pt>
                <c:pt idx="8">
                  <c:v>31.273504273504273</c:v>
                </c:pt>
                <c:pt idx="9">
                  <c:v>21.483870967741936</c:v>
                </c:pt>
                <c:pt idx="10">
                  <c:v>1.3434343434343434</c:v>
                </c:pt>
              </c:numCache>
            </c:numRef>
          </c:val>
          <c:extLst>
            <c:ext xmlns:c16="http://schemas.microsoft.com/office/drawing/2014/chart" uri="{C3380CC4-5D6E-409C-BE32-E72D297353CC}">
              <c16:uniqueId val="{0000000C-7C30-4805-B761-3177C51186B8}"/>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7C30-4805-B761-3177C51186B8}"/>
              </c:ext>
            </c:extLst>
          </c:dPt>
          <c:dPt>
            <c:idx val="8"/>
            <c:invertIfNegative val="0"/>
            <c:bubble3D val="0"/>
            <c:spPr>
              <a:solidFill>
                <a:srgbClr val="FF0000"/>
              </a:solidFill>
              <a:ln>
                <a:noFill/>
              </a:ln>
              <a:effectLst/>
            </c:spPr>
            <c:extLst>
              <c:ext xmlns:c16="http://schemas.microsoft.com/office/drawing/2014/chart" uri="{C3380CC4-5D6E-409C-BE32-E72D297353CC}">
                <c16:uniqueId val="{00000010-7C30-4805-B761-3177C51186B8}"/>
              </c:ext>
            </c:extLst>
          </c:dPt>
          <c:dPt>
            <c:idx val="9"/>
            <c:invertIfNegative val="0"/>
            <c:bubble3D val="0"/>
            <c:spPr>
              <a:solidFill>
                <a:srgbClr val="FF0000"/>
              </a:solidFill>
              <a:ln>
                <a:noFill/>
              </a:ln>
              <a:effectLst/>
            </c:spPr>
            <c:extLst>
              <c:ext xmlns:c16="http://schemas.microsoft.com/office/drawing/2014/chart" uri="{C3380CC4-5D6E-409C-BE32-E72D297353CC}">
                <c16:uniqueId val="{00000012-7C30-4805-B761-3177C51186B8}"/>
              </c:ext>
            </c:extLst>
          </c:dPt>
          <c:dPt>
            <c:idx val="10"/>
            <c:invertIfNegative val="0"/>
            <c:bubble3D val="0"/>
            <c:spPr>
              <a:solidFill>
                <a:srgbClr val="FF0000"/>
              </a:solidFill>
              <a:ln>
                <a:noFill/>
              </a:ln>
              <a:effectLst/>
            </c:spPr>
            <c:extLst>
              <c:ext xmlns:c16="http://schemas.microsoft.com/office/drawing/2014/chart" uri="{C3380CC4-5D6E-409C-BE32-E72D297353CC}">
                <c16:uniqueId val="{00000014-7C30-4805-B761-3177C51186B8}"/>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C30-4805-B761-3177C51186B8}"/>
                </c:ext>
              </c:extLst>
            </c:dLbl>
            <c:dLbl>
              <c:idx val="2"/>
              <c:layout>
                <c:manualLayout>
                  <c:x val="-3.7539065297737539E-2"/>
                  <c:y val="-2.2526109889813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C30-4805-B761-3177C51186B8}"/>
                </c:ext>
              </c:extLst>
            </c:dLbl>
            <c:dLbl>
              <c:idx val="9"/>
              <c:layout>
                <c:manualLayout>
                  <c:x val="5.7752648512087281E-3"/>
                  <c:y val="-9.000077733752314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C30-4805-B761-3177C51186B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détaillé'!$I$683:$I$689,'Tableau détaillé'!$I$691:$I$694)</c:f>
              <c:numCache>
                <c:formatCode>_-* #\ ##0\ _€_-;\-* #\ ##0\ _€_-;_-* "-"??\ _€_-;_-@_-</c:formatCode>
                <c:ptCount val="11"/>
                <c:pt idx="0">
                  <c:v>9.703125</c:v>
                </c:pt>
                <c:pt idx="1">
                  <c:v>7.6734693877551017</c:v>
                </c:pt>
                <c:pt idx="2">
                  <c:v>13.147058823529411</c:v>
                </c:pt>
                <c:pt idx="3">
                  <c:v>32.3125</c:v>
                </c:pt>
                <c:pt idx="4">
                  <c:v>11.192307692307692</c:v>
                </c:pt>
                <c:pt idx="5">
                  <c:v>5.05</c:v>
                </c:pt>
                <c:pt idx="6">
                  <c:v>12.478260869565217</c:v>
                </c:pt>
                <c:pt idx="7">
                  <c:v>20.779411764705884</c:v>
                </c:pt>
                <c:pt idx="8">
                  <c:v>14.264957264957266</c:v>
                </c:pt>
                <c:pt idx="9">
                  <c:v>25.806451612903224</c:v>
                </c:pt>
                <c:pt idx="10">
                  <c:v>1.1313131313131313</c:v>
                </c:pt>
              </c:numCache>
            </c:numRef>
          </c:val>
          <c:extLst>
            <c:ext xmlns:c16="http://schemas.microsoft.com/office/drawing/2014/chart" uri="{C3380CC4-5D6E-409C-BE32-E72D297353CC}">
              <c16:uniqueId val="{00000017-7C30-4805-B761-3177C51186B8}"/>
            </c:ext>
          </c:extLst>
        </c:ser>
        <c:dLbls>
          <c:showLegendKey val="0"/>
          <c:showVal val="0"/>
          <c:showCatName val="0"/>
          <c:showSerName val="0"/>
          <c:showPercent val="0"/>
          <c:showBubbleSize val="0"/>
        </c:dLbls>
        <c:gapWidth val="150"/>
        <c:axId val="1032719328"/>
        <c:axId val="1032723640"/>
      </c:barChart>
      <c:lineChart>
        <c:grouping val="standard"/>
        <c:varyColors val="0"/>
        <c:ser>
          <c:idx val="2"/>
          <c:order val="2"/>
          <c:tx>
            <c:v>MOY YTD</c:v>
          </c:tx>
          <c:spPr>
            <a:ln w="28575" cap="rnd">
              <a:noFill/>
              <a:round/>
            </a:ln>
            <a:effectLst/>
          </c:spPr>
          <c:marker>
            <c:symbol val="dash"/>
            <c:size val="17"/>
            <c:spPr>
              <a:solidFill>
                <a:sysClr val="windowText" lastClr="000000"/>
              </a:solidFill>
              <a:ln w="0">
                <a:solidFill>
                  <a:sysClr val="window" lastClr="FFFFFF">
                    <a:lumMod val="95000"/>
                  </a:sysClr>
                </a:solidFill>
              </a:ln>
              <a:effectLst/>
            </c:spPr>
          </c:marker>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détaillé'!$I$666:$I$672,'Tableau détaillé'!$I$674:$I$677)</c:f>
              <c:numCache>
                <c:formatCode>_-* #\ ##0\ _€_-;\-* #\ ##0\ _€_-;_-* "-"??\ _€_-;_-@_-</c:formatCode>
                <c:ptCount val="11"/>
                <c:pt idx="0">
                  <c:v>17.695746527777779</c:v>
                </c:pt>
                <c:pt idx="1">
                  <c:v>15.406462585034014</c:v>
                </c:pt>
                <c:pt idx="2">
                  <c:v>12.541666666666666</c:v>
                </c:pt>
                <c:pt idx="3">
                  <c:v>47.520833333333336</c:v>
                </c:pt>
                <c:pt idx="4">
                  <c:v>13.075320512820513</c:v>
                </c:pt>
                <c:pt idx="5">
                  <c:v>6.5125000000000002</c:v>
                </c:pt>
                <c:pt idx="6">
                  <c:v>44.525362318840585</c:v>
                </c:pt>
                <c:pt idx="7">
                  <c:v>26.072916666666668</c:v>
                </c:pt>
                <c:pt idx="8">
                  <c:v>26.758547008547009</c:v>
                </c:pt>
                <c:pt idx="9">
                  <c:v>18.763440860215052</c:v>
                </c:pt>
                <c:pt idx="10">
                  <c:v>1.1237373737373737</c:v>
                </c:pt>
              </c:numCache>
            </c:numRef>
          </c:val>
          <c:smooth val="0"/>
          <c:extLst>
            <c:ext xmlns:c16="http://schemas.microsoft.com/office/drawing/2014/chart" uri="{C3380CC4-5D6E-409C-BE32-E72D297353CC}">
              <c16:uniqueId val="{00000018-7C30-4805-B761-3177C51186B8}"/>
            </c:ext>
          </c:extLst>
        </c:ser>
        <c:dLbls>
          <c:showLegendKey val="0"/>
          <c:showVal val="0"/>
          <c:showCatName val="0"/>
          <c:showSerName val="0"/>
          <c:showPercent val="0"/>
          <c:showBubbleSize val="0"/>
        </c:dLbls>
        <c:marker val="1"/>
        <c:smooth val="0"/>
        <c:axId val="1032719328"/>
        <c:axId val="1032723640"/>
      </c:lineChart>
      <c:catAx>
        <c:axId val="103271932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3640"/>
        <c:crosses val="autoZero"/>
        <c:auto val="1"/>
        <c:lblAlgn val="ctr"/>
        <c:lblOffset val="100"/>
        <c:noMultiLvlLbl val="0"/>
      </c:catAx>
      <c:valAx>
        <c:axId val="1032723640"/>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9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Crédits conso - </a:t>
            </a:r>
          </a:p>
          <a:p>
            <a:pPr>
              <a:defRPr sz="1200" b="1"/>
            </a:pPr>
            <a:r>
              <a:rPr lang="fr-FR"/>
              <a:t>par DR</a:t>
            </a:r>
          </a:p>
        </c:rich>
      </c:tx>
      <c:layout>
        <c:manualLayout>
          <c:xMode val="edge"/>
          <c:yMode val="edge"/>
          <c:x val="0.1557707502242453"/>
          <c:y val="2.39422395068236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9839-4C9B-A75A-83E015377B72}"/>
              </c:ext>
            </c:extLst>
          </c:dPt>
          <c:dLbls>
            <c:dLbl>
              <c:idx val="0"/>
              <c:layout>
                <c:manualLayout>
                  <c:x val="-5.7752408150365444E-3"/>
                  <c:y val="0.188582119841214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39-4C9B-A75A-83E015377B72}"/>
                </c:ext>
              </c:extLst>
            </c:dLbl>
            <c:dLbl>
              <c:idx val="1"/>
              <c:layout>
                <c:manualLayout>
                  <c:x val="-8.6628612225548157E-3"/>
                  <c:y val="0.381988193480482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39-4C9B-A75A-83E015377B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détaillé'!$H$690,'Tableau détaillé'!$H$695)</c:f>
              <c:numCache>
                <c:formatCode>_-* #\ ##0\ _€_-;\-* #\ ##0\ _€_-;_-* "-"??\ _€_-;_-@_-</c:formatCode>
                <c:ptCount val="2"/>
                <c:pt idx="0">
                  <c:v>15.508670520231213</c:v>
                </c:pt>
                <c:pt idx="1">
                  <c:v>19.516377649325626</c:v>
                </c:pt>
              </c:numCache>
            </c:numRef>
          </c:val>
          <c:extLst>
            <c:ext xmlns:c16="http://schemas.microsoft.com/office/drawing/2014/chart" uri="{C3380CC4-5D6E-409C-BE32-E72D297353CC}">
              <c16:uniqueId val="{00000003-9839-4C9B-A75A-83E015377B72}"/>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9839-4C9B-A75A-83E015377B72}"/>
              </c:ext>
            </c:extLst>
          </c:dPt>
          <c:dLbls>
            <c:dLbl>
              <c:idx val="0"/>
              <c:layout>
                <c:manualLayout>
                  <c:x val="2.8876204075182193E-3"/>
                  <c:y val="0.215522422675674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39-4C9B-A75A-83E015377B72}"/>
                </c:ext>
              </c:extLst>
            </c:dLbl>
            <c:dLbl>
              <c:idx val="1"/>
              <c:layout>
                <c:manualLayout>
                  <c:x val="5.7752408150365444E-3"/>
                  <c:y val="0.332263734958330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39-4C9B-A75A-83E015377B7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détaillé'!$I$690,'Tableau détaillé'!$I$695)</c:f>
              <c:numCache>
                <c:formatCode>_-* #\ ##0\ _€_-;\-* #\ ##0\ _€_-;_-* "-"??\ _€_-;_-@_-</c:formatCode>
                <c:ptCount val="2"/>
                <c:pt idx="0">
                  <c:v>11.483622350674374</c:v>
                </c:pt>
                <c:pt idx="1">
                  <c:v>15.863198458574182</c:v>
                </c:pt>
              </c:numCache>
            </c:numRef>
          </c:val>
          <c:extLst>
            <c:ext xmlns:c16="http://schemas.microsoft.com/office/drawing/2014/chart" uri="{C3380CC4-5D6E-409C-BE32-E72D297353CC}">
              <c16:uniqueId val="{00000007-9839-4C9B-A75A-83E015377B72}"/>
            </c:ext>
          </c:extLst>
        </c:ser>
        <c:dLbls>
          <c:showLegendKey val="0"/>
          <c:showVal val="0"/>
          <c:showCatName val="0"/>
          <c:showSerName val="0"/>
          <c:showPercent val="0"/>
          <c:showBubbleSize val="0"/>
        </c:dLbls>
        <c:gapWidth val="150"/>
        <c:axId val="1032715016"/>
        <c:axId val="1032717368"/>
      </c:barChart>
      <c:lineChart>
        <c:grouping val="standard"/>
        <c:varyColors val="0"/>
        <c:ser>
          <c:idx val="2"/>
          <c:order val="2"/>
          <c:tx>
            <c:v>MOY YTD</c:v>
          </c:tx>
          <c:spPr>
            <a:ln w="25400" cap="rnd">
              <a:noFill/>
              <a:round/>
            </a:ln>
            <a:effectLst/>
          </c:spPr>
          <c:marker>
            <c:symbol val="dash"/>
            <c:size val="40"/>
            <c:spPr>
              <a:solidFill>
                <a:sysClr val="windowText" lastClr="000000"/>
              </a:solidFill>
              <a:ln w="50800">
                <a:solidFill>
                  <a:sysClr val="window" lastClr="FFFFFF">
                    <a:lumMod val="95000"/>
                    <a:alpha val="98000"/>
                  </a:sysClr>
                </a:solidFill>
              </a:ln>
              <a:effectLst/>
            </c:spPr>
          </c:marker>
          <c:dLbls>
            <c:dLbl>
              <c:idx val="0"/>
              <c:layout>
                <c:manualLayout>
                  <c:x val="-8.9681498912783639E-2"/>
                  <c:y val="-6.189565168480173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839-4C9B-A75A-83E015377B72}"/>
                </c:ext>
              </c:extLst>
            </c:dLbl>
            <c:dLbl>
              <c:idx val="1"/>
              <c:layout>
                <c:manualLayout>
                  <c:x val="-7.1485662230759056E-2"/>
                  <c:y val="-4.685225074113684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839-4C9B-A75A-83E015377B72}"/>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détaillé'!$I$673,'Tableau détaillé'!$I$678)</c:f>
              <c:numCache>
                <c:formatCode>_-* #\ ##0\ _€_-;\-* #\ ##0\ _€_-;_-* "-"??\ _€_-;_-@_-</c:formatCode>
                <c:ptCount val="2"/>
                <c:pt idx="0">
                  <c:v>18.384553628773283</c:v>
                </c:pt>
                <c:pt idx="1">
                  <c:v>21.031791907514449</c:v>
                </c:pt>
              </c:numCache>
            </c:numRef>
          </c:val>
          <c:smooth val="0"/>
          <c:extLst>
            <c:ext xmlns:c16="http://schemas.microsoft.com/office/drawing/2014/chart" uri="{C3380CC4-5D6E-409C-BE32-E72D297353CC}">
              <c16:uniqueId val="{0000000A-9839-4C9B-A75A-83E015377B72}"/>
            </c:ext>
          </c:extLst>
        </c:ser>
        <c:dLbls>
          <c:showLegendKey val="0"/>
          <c:showVal val="0"/>
          <c:showCatName val="0"/>
          <c:showSerName val="0"/>
          <c:showPercent val="0"/>
          <c:showBubbleSize val="0"/>
        </c:dLbls>
        <c:marker val="1"/>
        <c:smooth val="0"/>
        <c:axId val="1032715016"/>
        <c:axId val="1032717368"/>
      </c:lineChart>
      <c:catAx>
        <c:axId val="103271501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7368"/>
        <c:crosses val="autoZero"/>
        <c:auto val="1"/>
        <c:lblAlgn val="ctr"/>
        <c:lblOffset val="100"/>
        <c:noMultiLvlLbl val="0"/>
      </c:catAx>
      <c:valAx>
        <c:axId val="1032717368"/>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5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Epargne et Placement</a:t>
            </a:r>
          </a:p>
        </c:rich>
      </c:tx>
      <c:layout>
        <c:manualLayout>
          <c:xMode val="edge"/>
          <c:yMode val="edge"/>
          <c:x val="0.1557707502242453"/>
          <c:y val="2.39422395068236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4279-492F-9615-A9CED22F3BF9}"/>
              </c:ext>
            </c:extLst>
          </c:dPt>
          <c:dPt>
            <c:idx val="8"/>
            <c:invertIfNegative val="0"/>
            <c:bubble3D val="0"/>
            <c:spPr>
              <a:solidFill>
                <a:srgbClr val="FFA7A7"/>
              </a:solidFill>
              <a:ln>
                <a:noFill/>
              </a:ln>
              <a:effectLst/>
            </c:spPr>
            <c:extLst>
              <c:ext xmlns:c16="http://schemas.microsoft.com/office/drawing/2014/chart" uri="{C3380CC4-5D6E-409C-BE32-E72D297353CC}">
                <c16:uniqueId val="{00000003-4279-492F-9615-A9CED22F3BF9}"/>
              </c:ext>
            </c:extLst>
          </c:dPt>
          <c:dPt>
            <c:idx val="9"/>
            <c:invertIfNegative val="0"/>
            <c:bubble3D val="0"/>
            <c:spPr>
              <a:solidFill>
                <a:srgbClr val="FFA7A7"/>
              </a:solidFill>
              <a:ln>
                <a:noFill/>
              </a:ln>
              <a:effectLst/>
            </c:spPr>
            <c:extLst>
              <c:ext xmlns:c16="http://schemas.microsoft.com/office/drawing/2014/chart" uri="{C3380CC4-5D6E-409C-BE32-E72D297353CC}">
                <c16:uniqueId val="{00000005-4279-492F-9615-A9CED22F3BF9}"/>
              </c:ext>
            </c:extLst>
          </c:dPt>
          <c:dPt>
            <c:idx val="10"/>
            <c:invertIfNegative val="0"/>
            <c:bubble3D val="0"/>
            <c:spPr>
              <a:solidFill>
                <a:srgbClr val="FFA7A7"/>
              </a:solidFill>
              <a:ln>
                <a:noFill/>
              </a:ln>
              <a:effectLst/>
            </c:spPr>
            <c:extLst>
              <c:ext xmlns:c16="http://schemas.microsoft.com/office/drawing/2014/chart" uri="{C3380CC4-5D6E-409C-BE32-E72D297353CC}">
                <c16:uniqueId val="{00000007-4279-492F-9615-A9CED22F3BF9}"/>
              </c:ext>
            </c:extLst>
          </c:dPt>
          <c:dLbls>
            <c:dLbl>
              <c:idx val="0"/>
              <c:layout>
                <c:manualLayout>
                  <c:x val="-2.0213342852627905E-2"/>
                  <c:y val="-4.5052219779627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279-492F-9615-A9CED22F3BF9}"/>
                </c:ext>
              </c:extLst>
            </c:dLbl>
            <c:dLbl>
              <c:idx val="2"/>
              <c:layout>
                <c:manualLayout>
                  <c:x val="-2.3108191816577684E-2"/>
                  <c:y val="-7.63687680865219E-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279-492F-9615-A9CED22F3BF9}"/>
                </c:ext>
              </c:extLst>
            </c:dLbl>
            <c:dLbl>
              <c:idx val="3"/>
              <c:layout>
                <c:manualLayout>
                  <c:x val="-3.4651444890219263E-2"/>
                  <c:y val="-9.0104439559254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279-492F-9615-A9CED22F3BF9}"/>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279-492F-9615-A9CED22F3BF9}"/>
                </c:ext>
              </c:extLst>
            </c:dLbl>
            <c:dLbl>
              <c:idx val="7"/>
              <c:layout>
                <c:manualLayout>
                  <c:x val="-2.5988583667664555E-2"/>
                  <c:y val="-3.1536553845739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79-492F-9615-A9CED22F3BF9}"/>
                </c:ext>
              </c:extLst>
            </c:dLbl>
            <c:dLbl>
              <c:idx val="9"/>
              <c:layout>
                <c:manualLayout>
                  <c:x val="-8.6628612225548157E-3"/>
                  <c:y val="-3.15365538457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79-492F-9615-A9CED22F3BF9}"/>
                </c:ext>
              </c:extLst>
            </c:dLbl>
            <c:dLbl>
              <c:idx val="10"/>
              <c:layout>
                <c:manualLayout>
                  <c:x val="-1.732983582153055E-2"/>
                  <c:y val="-4.50629012246353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279-492F-9615-A9CED22F3BF9}"/>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détaillé'!$H$752:$H$758,'Tableau détaillé'!$H$760:$H$763)</c:f>
              <c:numCache>
                <c:formatCode>_-* #\ ##0\ _€_-;\-* #\ ##0\ _€_-;_-* "-"??\ _€_-;_-@_-</c:formatCode>
                <c:ptCount val="11"/>
                <c:pt idx="0">
                  <c:v>35.260416666666664</c:v>
                </c:pt>
                <c:pt idx="1">
                  <c:v>8.7653061224489797</c:v>
                </c:pt>
                <c:pt idx="2">
                  <c:v>3.9803921568627452</c:v>
                </c:pt>
                <c:pt idx="3">
                  <c:v>14.34375</c:v>
                </c:pt>
                <c:pt idx="4">
                  <c:v>1.1153846153846154</c:v>
                </c:pt>
                <c:pt idx="5">
                  <c:v>0.65</c:v>
                </c:pt>
                <c:pt idx="6">
                  <c:v>0.73913043478260865</c:v>
                </c:pt>
                <c:pt idx="7">
                  <c:v>8.0588235294117645</c:v>
                </c:pt>
                <c:pt idx="8">
                  <c:v>6.683760683760684</c:v>
                </c:pt>
                <c:pt idx="9">
                  <c:v>1.064516129032258</c:v>
                </c:pt>
                <c:pt idx="10">
                  <c:v>0.85858585858585856</c:v>
                </c:pt>
              </c:numCache>
            </c:numRef>
          </c:val>
          <c:extLst>
            <c:ext xmlns:c16="http://schemas.microsoft.com/office/drawing/2014/chart" uri="{C3380CC4-5D6E-409C-BE32-E72D297353CC}">
              <c16:uniqueId val="{0000000C-4279-492F-9615-A9CED22F3BF9}"/>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4279-492F-9615-A9CED22F3BF9}"/>
              </c:ext>
            </c:extLst>
          </c:dPt>
          <c:dPt>
            <c:idx val="8"/>
            <c:invertIfNegative val="0"/>
            <c:bubble3D val="0"/>
            <c:spPr>
              <a:solidFill>
                <a:srgbClr val="FF0000"/>
              </a:solidFill>
              <a:ln>
                <a:noFill/>
              </a:ln>
              <a:effectLst/>
            </c:spPr>
            <c:extLst>
              <c:ext xmlns:c16="http://schemas.microsoft.com/office/drawing/2014/chart" uri="{C3380CC4-5D6E-409C-BE32-E72D297353CC}">
                <c16:uniqueId val="{00000010-4279-492F-9615-A9CED22F3BF9}"/>
              </c:ext>
            </c:extLst>
          </c:dPt>
          <c:dPt>
            <c:idx val="9"/>
            <c:invertIfNegative val="0"/>
            <c:bubble3D val="0"/>
            <c:spPr>
              <a:solidFill>
                <a:srgbClr val="FF0000"/>
              </a:solidFill>
              <a:ln>
                <a:noFill/>
              </a:ln>
              <a:effectLst/>
            </c:spPr>
            <c:extLst>
              <c:ext xmlns:c16="http://schemas.microsoft.com/office/drawing/2014/chart" uri="{C3380CC4-5D6E-409C-BE32-E72D297353CC}">
                <c16:uniqueId val="{00000012-4279-492F-9615-A9CED22F3BF9}"/>
              </c:ext>
            </c:extLst>
          </c:dPt>
          <c:dPt>
            <c:idx val="10"/>
            <c:invertIfNegative val="0"/>
            <c:bubble3D val="0"/>
            <c:spPr>
              <a:solidFill>
                <a:srgbClr val="FF0000"/>
              </a:solidFill>
              <a:ln>
                <a:noFill/>
              </a:ln>
              <a:effectLst/>
            </c:spPr>
            <c:extLst>
              <c:ext xmlns:c16="http://schemas.microsoft.com/office/drawing/2014/chart" uri="{C3380CC4-5D6E-409C-BE32-E72D297353CC}">
                <c16:uniqueId val="{00000014-4279-492F-9615-A9CED22F3BF9}"/>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279-492F-9615-A9CED22F3BF9}"/>
                </c:ext>
              </c:extLst>
            </c:dLbl>
            <c:dLbl>
              <c:idx val="2"/>
              <c:layout>
                <c:manualLayout>
                  <c:x val="8.6860740505841031E-3"/>
                  <c:y val="-2.70370303276363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279-492F-9615-A9CED22F3BF9}"/>
                </c:ext>
              </c:extLst>
            </c:dLbl>
            <c:dLbl>
              <c:idx val="8"/>
              <c:layout>
                <c:manualLayout>
                  <c:x val="8.662215212623281E-3"/>
                  <c:y val="-1.35235432109150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279-492F-9615-A9CED22F3BF9}"/>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279-492F-9615-A9CED22F3BF9}"/>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détaillé'!$I$752:$I$758,'Tableau détaillé'!$I$760:$I$763)</c:f>
              <c:numCache>
                <c:formatCode>_-* #\ ##0\ _€_-;\-* #\ ##0\ _€_-;_-* "-"??\ _€_-;_-@_-</c:formatCode>
                <c:ptCount val="11"/>
                <c:pt idx="0">
                  <c:v>27.786458333333332</c:v>
                </c:pt>
                <c:pt idx="1">
                  <c:v>3.7142857142857144</c:v>
                </c:pt>
                <c:pt idx="2">
                  <c:v>4.3627450980392153</c:v>
                </c:pt>
                <c:pt idx="3">
                  <c:v>11.375</c:v>
                </c:pt>
                <c:pt idx="4">
                  <c:v>0.65384615384615385</c:v>
                </c:pt>
                <c:pt idx="5">
                  <c:v>0.55000000000000004</c:v>
                </c:pt>
                <c:pt idx="6">
                  <c:v>1.0434782608695652</c:v>
                </c:pt>
                <c:pt idx="7">
                  <c:v>10.084558823529411</c:v>
                </c:pt>
                <c:pt idx="8">
                  <c:v>5.0256410256410255</c:v>
                </c:pt>
                <c:pt idx="9">
                  <c:v>1</c:v>
                </c:pt>
                <c:pt idx="10">
                  <c:v>0.74747474747474751</c:v>
                </c:pt>
              </c:numCache>
            </c:numRef>
          </c:val>
          <c:extLst>
            <c:ext xmlns:c16="http://schemas.microsoft.com/office/drawing/2014/chart" uri="{C3380CC4-5D6E-409C-BE32-E72D297353CC}">
              <c16:uniqueId val="{00000017-4279-492F-9615-A9CED22F3BF9}"/>
            </c:ext>
          </c:extLst>
        </c:ser>
        <c:dLbls>
          <c:showLegendKey val="0"/>
          <c:showVal val="0"/>
          <c:showCatName val="0"/>
          <c:showSerName val="0"/>
          <c:showPercent val="0"/>
          <c:showBubbleSize val="0"/>
        </c:dLbls>
        <c:gapWidth val="150"/>
        <c:axId val="1032724424"/>
        <c:axId val="1032721680"/>
      </c:barChart>
      <c:lineChart>
        <c:grouping val="standard"/>
        <c:varyColors val="0"/>
        <c:ser>
          <c:idx val="2"/>
          <c:order val="2"/>
          <c:tx>
            <c:v>MOY YTD</c:v>
          </c:tx>
          <c:spPr>
            <a:ln w="28575" cap="rnd">
              <a:noFill/>
              <a:round/>
            </a:ln>
            <a:effectLst/>
          </c:spPr>
          <c:marker>
            <c:symbol val="dash"/>
            <c:size val="17"/>
            <c:spPr>
              <a:solidFill>
                <a:sysClr val="windowText" lastClr="000000"/>
              </a:solidFill>
              <a:ln w="0">
                <a:solidFill>
                  <a:sysClr val="window" lastClr="FFFFFF">
                    <a:lumMod val="95000"/>
                  </a:sysClr>
                </a:solidFill>
              </a:ln>
              <a:effectLst/>
            </c:spPr>
          </c:marker>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détaillé'!$I$735:$I$741,'Tableau détaillé'!$I$743:$I$746)</c:f>
              <c:numCache>
                <c:formatCode>_-* #\ ##0\ _€_-;\-* #\ ##0\ _€_-;_-* "-"??\ _€_-;_-@_-</c:formatCode>
                <c:ptCount val="11"/>
                <c:pt idx="0">
                  <c:v>40.374565972222221</c:v>
                </c:pt>
                <c:pt idx="1">
                  <c:v>7.5399659863945585</c:v>
                </c:pt>
                <c:pt idx="2">
                  <c:v>5.8186274509803928</c:v>
                </c:pt>
                <c:pt idx="3">
                  <c:v>16.708333333333332</c:v>
                </c:pt>
                <c:pt idx="4">
                  <c:v>1.096153846153846</c:v>
                </c:pt>
                <c:pt idx="5">
                  <c:v>1.2583333333333333</c:v>
                </c:pt>
                <c:pt idx="6">
                  <c:v>0.9565217391304347</c:v>
                </c:pt>
                <c:pt idx="7">
                  <c:v>8.9405637254901951</c:v>
                </c:pt>
                <c:pt idx="8">
                  <c:v>7.6823361823361829</c:v>
                </c:pt>
                <c:pt idx="9">
                  <c:v>1.5618279569892473</c:v>
                </c:pt>
                <c:pt idx="10">
                  <c:v>2.6607744107744109</c:v>
                </c:pt>
              </c:numCache>
            </c:numRef>
          </c:val>
          <c:smooth val="0"/>
          <c:extLst>
            <c:ext xmlns:c16="http://schemas.microsoft.com/office/drawing/2014/chart" uri="{C3380CC4-5D6E-409C-BE32-E72D297353CC}">
              <c16:uniqueId val="{00000018-4279-492F-9615-A9CED22F3BF9}"/>
            </c:ext>
          </c:extLst>
        </c:ser>
        <c:dLbls>
          <c:showLegendKey val="0"/>
          <c:showVal val="0"/>
          <c:showCatName val="0"/>
          <c:showSerName val="0"/>
          <c:showPercent val="0"/>
          <c:showBubbleSize val="0"/>
        </c:dLbls>
        <c:marker val="1"/>
        <c:smooth val="0"/>
        <c:axId val="1032724424"/>
        <c:axId val="1032721680"/>
      </c:lineChart>
      <c:catAx>
        <c:axId val="103272442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1680"/>
        <c:crosses val="autoZero"/>
        <c:auto val="1"/>
        <c:lblAlgn val="ctr"/>
        <c:lblOffset val="100"/>
        <c:noMultiLvlLbl val="0"/>
      </c:catAx>
      <c:valAx>
        <c:axId val="1032721680"/>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4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Epargne et Placement - </a:t>
            </a:r>
          </a:p>
          <a:p>
            <a:pPr>
              <a:defRPr sz="1200" b="1"/>
            </a:pPr>
            <a:r>
              <a:rPr lang="fr-FR"/>
              <a:t>par DR</a:t>
            </a:r>
          </a:p>
        </c:rich>
      </c:tx>
      <c:layout>
        <c:manualLayout>
          <c:xMode val="edge"/>
          <c:yMode val="edge"/>
          <c:x val="0.1557707502242453"/>
          <c:y val="2.39422395068236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D6EA-4F0E-9086-A82277614A30}"/>
              </c:ext>
            </c:extLst>
          </c:dPt>
          <c:dLbls>
            <c:dLbl>
              <c:idx val="0"/>
              <c:layout>
                <c:manualLayout>
                  <c:x val="-5.7752408150365444E-3"/>
                  <c:y val="0.188582119841214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EA-4F0E-9086-A82277614A30}"/>
                </c:ext>
              </c:extLst>
            </c:dLbl>
            <c:dLbl>
              <c:idx val="1"/>
              <c:layout>
                <c:manualLayout>
                  <c:x val="-8.6628612225549215E-3"/>
                  <c:y val="0.1747479824941971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EA-4F0E-9086-A82277614A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détaillé'!$H$759,'Tableau détaillé'!$H$764)</c:f>
              <c:numCache>
                <c:formatCode>_-* #\ ##0\ _€_-;\-* #\ ##0\ _€_-;_-* "-"??\ _€_-;_-@_-</c:formatCode>
                <c:ptCount val="2"/>
                <c:pt idx="0">
                  <c:v>16.535645472061656</c:v>
                </c:pt>
                <c:pt idx="1">
                  <c:v>5.9576107899807322</c:v>
                </c:pt>
              </c:numCache>
            </c:numRef>
          </c:val>
          <c:extLst>
            <c:ext xmlns:c16="http://schemas.microsoft.com/office/drawing/2014/chart" uri="{C3380CC4-5D6E-409C-BE32-E72D297353CC}">
              <c16:uniqueId val="{00000003-D6EA-4F0E-9086-A82277614A30}"/>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D6EA-4F0E-9086-A82277614A30}"/>
              </c:ext>
            </c:extLst>
          </c:dPt>
          <c:dLbls>
            <c:dLbl>
              <c:idx val="0"/>
              <c:layout>
                <c:manualLayout>
                  <c:x val="2.8876204075182193E-3"/>
                  <c:y val="0.215522422675674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EA-4F0E-9086-A82277614A30}"/>
                </c:ext>
              </c:extLst>
            </c:dLbl>
            <c:dLbl>
              <c:idx val="1"/>
              <c:layout>
                <c:manualLayout>
                  <c:x val="8.6638850600799129E-3"/>
                  <c:y val="0.40450114030450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EA-4F0E-9086-A82277614A3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('Tableau détaillé'!$D$622,'Tableau détaillé'!$D$627)</c:f>
              <c:strCache>
                <c:ptCount val="2"/>
                <c:pt idx="0">
                  <c:v>Total AFO</c:v>
                </c:pt>
                <c:pt idx="1">
                  <c:v>Total AFCE</c:v>
                </c:pt>
              </c:strCache>
            </c:strRef>
          </c:cat>
          <c:val>
            <c:numRef>
              <c:f>('Tableau détaillé'!$I$759,'Tableau détaillé'!$I$764)</c:f>
              <c:numCache>
                <c:formatCode>_-* #\ ##0\ _€_-;\-* #\ ##0\ _€_-;_-* "-"??\ _€_-;_-@_-</c:formatCode>
                <c:ptCount val="2"/>
                <c:pt idx="0">
                  <c:v>12.672447013487476</c:v>
                </c:pt>
                <c:pt idx="1">
                  <c:v>6.6204238921001926</c:v>
                </c:pt>
              </c:numCache>
            </c:numRef>
          </c:val>
          <c:extLst>
            <c:ext xmlns:c16="http://schemas.microsoft.com/office/drawing/2014/chart" uri="{C3380CC4-5D6E-409C-BE32-E72D297353CC}">
              <c16:uniqueId val="{00000007-D6EA-4F0E-9086-A82277614A30}"/>
            </c:ext>
          </c:extLst>
        </c:ser>
        <c:dLbls>
          <c:showLegendKey val="0"/>
          <c:showVal val="0"/>
          <c:showCatName val="0"/>
          <c:showSerName val="0"/>
          <c:showPercent val="0"/>
          <c:showBubbleSize val="0"/>
        </c:dLbls>
        <c:gapWidth val="150"/>
        <c:axId val="1032716192"/>
        <c:axId val="1032716976"/>
      </c:barChart>
      <c:lineChart>
        <c:grouping val="standard"/>
        <c:varyColors val="0"/>
        <c:ser>
          <c:idx val="2"/>
          <c:order val="2"/>
          <c:tx>
            <c:v>MOY YTD</c:v>
          </c:tx>
          <c:spPr>
            <a:ln w="25400" cap="rnd">
              <a:noFill/>
              <a:round/>
            </a:ln>
            <a:effectLst/>
          </c:spPr>
          <c:marker>
            <c:symbol val="dash"/>
            <c:size val="40"/>
            <c:spPr>
              <a:solidFill>
                <a:sysClr val="windowText" lastClr="000000"/>
              </a:solidFill>
              <a:ln w="50800">
                <a:solidFill>
                  <a:sysClr val="window" lastClr="FFFFFF">
                    <a:lumMod val="95000"/>
                    <a:alpha val="98000"/>
                  </a:sysClr>
                </a:solidFill>
              </a:ln>
              <a:effectLst/>
            </c:spPr>
          </c:marker>
          <c:dLbls>
            <c:dLbl>
              <c:idx val="0"/>
              <c:layout>
                <c:manualLayout>
                  <c:x val="-0.10106671426313953"/>
                  <c:y val="-8.543248889391834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6EA-4F0E-9086-A82277614A30}"/>
                </c:ext>
              </c:extLst>
            </c:dLbl>
            <c:dLbl>
              <c:idx val="1"/>
              <c:layout>
                <c:manualLayout>
                  <c:x val="-0.12128665868131654"/>
                  <c:y val="-6.72905704647109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6EA-4F0E-9086-A82277614A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détaillé'!$I$742,'Tableau détaillé'!$I$747)</c:f>
              <c:numCache>
                <c:formatCode>_-* #\ ##0\ _€_-;\-* #\ ##0\ _€_-;_-* "-"??\ _€_-;_-@_-</c:formatCode>
                <c:ptCount val="2"/>
                <c:pt idx="0">
                  <c:v>18.734425176621709</c:v>
                </c:pt>
                <c:pt idx="1">
                  <c:v>7.0183044315992298</c:v>
                </c:pt>
              </c:numCache>
            </c:numRef>
          </c:val>
          <c:smooth val="0"/>
          <c:extLst>
            <c:ext xmlns:c16="http://schemas.microsoft.com/office/drawing/2014/chart" uri="{C3380CC4-5D6E-409C-BE32-E72D297353CC}">
              <c16:uniqueId val="{0000000A-D6EA-4F0E-9086-A82277614A30}"/>
            </c:ext>
          </c:extLst>
        </c:ser>
        <c:dLbls>
          <c:showLegendKey val="0"/>
          <c:showVal val="0"/>
          <c:showCatName val="0"/>
          <c:showSerName val="0"/>
          <c:showPercent val="0"/>
          <c:showBubbleSize val="0"/>
        </c:dLbls>
        <c:marker val="1"/>
        <c:smooth val="0"/>
        <c:axId val="1032716192"/>
        <c:axId val="1032716976"/>
      </c:lineChart>
      <c:catAx>
        <c:axId val="103271619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6976"/>
        <c:crosses val="autoZero"/>
        <c:auto val="1"/>
        <c:lblAlgn val="ctr"/>
        <c:lblOffset val="100"/>
        <c:noMultiLvlLbl val="0"/>
      </c:catAx>
      <c:valAx>
        <c:axId val="1032716976"/>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6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Cartes</a:t>
            </a:r>
          </a:p>
        </c:rich>
      </c:tx>
      <c:layout>
        <c:manualLayout>
          <c:xMode val="edge"/>
          <c:yMode val="edge"/>
          <c:x val="0.23373650122723871"/>
          <c:y val="2.39422395068236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9F8F-4A57-82B4-93F3691BF62D}"/>
              </c:ext>
            </c:extLst>
          </c:dPt>
          <c:dPt>
            <c:idx val="8"/>
            <c:invertIfNegative val="0"/>
            <c:bubble3D val="0"/>
            <c:spPr>
              <a:solidFill>
                <a:srgbClr val="FFA7A7"/>
              </a:solidFill>
              <a:ln>
                <a:noFill/>
              </a:ln>
              <a:effectLst/>
            </c:spPr>
            <c:extLst>
              <c:ext xmlns:c16="http://schemas.microsoft.com/office/drawing/2014/chart" uri="{C3380CC4-5D6E-409C-BE32-E72D297353CC}">
                <c16:uniqueId val="{00000003-9F8F-4A57-82B4-93F3691BF62D}"/>
              </c:ext>
            </c:extLst>
          </c:dPt>
          <c:dPt>
            <c:idx val="9"/>
            <c:invertIfNegative val="0"/>
            <c:bubble3D val="0"/>
            <c:spPr>
              <a:solidFill>
                <a:srgbClr val="FFA7A7"/>
              </a:solidFill>
              <a:ln>
                <a:noFill/>
              </a:ln>
              <a:effectLst/>
            </c:spPr>
            <c:extLst>
              <c:ext xmlns:c16="http://schemas.microsoft.com/office/drawing/2014/chart" uri="{C3380CC4-5D6E-409C-BE32-E72D297353CC}">
                <c16:uniqueId val="{00000005-9F8F-4A57-82B4-93F3691BF62D}"/>
              </c:ext>
            </c:extLst>
          </c:dPt>
          <c:dPt>
            <c:idx val="10"/>
            <c:invertIfNegative val="0"/>
            <c:bubble3D val="0"/>
            <c:spPr>
              <a:solidFill>
                <a:srgbClr val="FFA7A7"/>
              </a:solidFill>
              <a:ln>
                <a:noFill/>
              </a:ln>
              <a:effectLst/>
            </c:spPr>
            <c:extLst>
              <c:ext xmlns:c16="http://schemas.microsoft.com/office/drawing/2014/chart" uri="{C3380CC4-5D6E-409C-BE32-E72D297353CC}">
                <c16:uniqueId val="{00000007-9F8F-4A57-82B4-93F3691BF62D}"/>
              </c:ext>
            </c:extLst>
          </c:dPt>
          <c:dLbls>
            <c:dLbl>
              <c:idx val="0"/>
              <c:layout>
                <c:manualLayout>
                  <c:x val="-2.0213342852627905E-2"/>
                  <c:y val="-4.5052219779627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F8F-4A57-82B4-93F3691BF62D}"/>
                </c:ext>
              </c:extLst>
            </c:dLbl>
            <c:dLbl>
              <c:idx val="2"/>
              <c:layout>
                <c:manualLayout>
                  <c:x val="-8.6628612225548157E-3"/>
                  <c:y val="5.856788571351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F8F-4A57-82B4-93F3691BF62D}"/>
                </c:ext>
              </c:extLst>
            </c:dLbl>
            <c:dLbl>
              <c:idx val="3"/>
              <c:layout>
                <c:manualLayout>
                  <c:x val="-3.4651444890219263E-2"/>
                  <c:y val="-9.0104439559254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F8F-4A57-82B4-93F3691BF62D}"/>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F8F-4A57-82B4-93F3691BF62D}"/>
                </c:ext>
              </c:extLst>
            </c:dLbl>
            <c:dLbl>
              <c:idx val="7"/>
              <c:layout>
                <c:manualLayout>
                  <c:x val="-2.887620407518378E-3"/>
                  <c:y val="-3.15364431755583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8F-4A57-82B4-93F3691BF62D}"/>
                </c:ext>
              </c:extLst>
            </c:dLbl>
            <c:dLbl>
              <c:idx val="9"/>
              <c:layout>
                <c:manualLayout>
                  <c:x val="-8.6628612225548157E-3"/>
                  <c:y val="-3.15365538457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8F-4A57-82B4-93F3691BF62D}"/>
                </c:ext>
              </c:extLst>
            </c:dLbl>
            <c:dLbl>
              <c:idx val="10"/>
              <c:layout>
                <c:manualLayout>
                  <c:x val="-2.887620407518272E-2"/>
                  <c:y val="-7.6588773625366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F8F-4A57-82B4-93F3691BF62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détaillé'!$H$822:$H$828,'Tableau détaillé'!$H$830:$H$833)</c:f>
              <c:numCache>
                <c:formatCode>_-* #\ ##0\ _€_-;\-* #\ ##0\ _€_-;_-* "-"??\ _€_-;_-@_-</c:formatCode>
                <c:ptCount val="11"/>
                <c:pt idx="0">
                  <c:v>23.052083333333332</c:v>
                </c:pt>
                <c:pt idx="1">
                  <c:v>23.755102040816325</c:v>
                </c:pt>
                <c:pt idx="2">
                  <c:v>15.03921568627451</c:v>
                </c:pt>
                <c:pt idx="3">
                  <c:v>16.03125</c:v>
                </c:pt>
                <c:pt idx="4">
                  <c:v>9.7692307692307701</c:v>
                </c:pt>
                <c:pt idx="5">
                  <c:v>16</c:v>
                </c:pt>
                <c:pt idx="6">
                  <c:v>14.608695652173912</c:v>
                </c:pt>
                <c:pt idx="7">
                  <c:v>32.279411764705884</c:v>
                </c:pt>
                <c:pt idx="8">
                  <c:v>87.367521367521363</c:v>
                </c:pt>
                <c:pt idx="9">
                  <c:v>28.70967741935484</c:v>
                </c:pt>
                <c:pt idx="10">
                  <c:v>14.121212121212121</c:v>
                </c:pt>
              </c:numCache>
            </c:numRef>
          </c:val>
          <c:extLst>
            <c:ext xmlns:c16="http://schemas.microsoft.com/office/drawing/2014/chart" uri="{C3380CC4-5D6E-409C-BE32-E72D297353CC}">
              <c16:uniqueId val="{0000000C-9F8F-4A57-82B4-93F3691BF62D}"/>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9F8F-4A57-82B4-93F3691BF62D}"/>
              </c:ext>
            </c:extLst>
          </c:dPt>
          <c:dPt>
            <c:idx val="8"/>
            <c:invertIfNegative val="0"/>
            <c:bubble3D val="0"/>
            <c:spPr>
              <a:solidFill>
                <a:srgbClr val="FF0000"/>
              </a:solidFill>
              <a:ln>
                <a:noFill/>
              </a:ln>
              <a:effectLst/>
            </c:spPr>
            <c:extLst>
              <c:ext xmlns:c16="http://schemas.microsoft.com/office/drawing/2014/chart" uri="{C3380CC4-5D6E-409C-BE32-E72D297353CC}">
                <c16:uniqueId val="{00000010-9F8F-4A57-82B4-93F3691BF62D}"/>
              </c:ext>
            </c:extLst>
          </c:dPt>
          <c:dPt>
            <c:idx val="9"/>
            <c:invertIfNegative val="0"/>
            <c:bubble3D val="0"/>
            <c:spPr>
              <a:solidFill>
                <a:srgbClr val="FF0000"/>
              </a:solidFill>
              <a:ln>
                <a:noFill/>
              </a:ln>
              <a:effectLst/>
            </c:spPr>
            <c:extLst>
              <c:ext xmlns:c16="http://schemas.microsoft.com/office/drawing/2014/chart" uri="{C3380CC4-5D6E-409C-BE32-E72D297353CC}">
                <c16:uniqueId val="{00000012-9F8F-4A57-82B4-93F3691BF62D}"/>
              </c:ext>
            </c:extLst>
          </c:dPt>
          <c:dPt>
            <c:idx val="10"/>
            <c:invertIfNegative val="0"/>
            <c:bubble3D val="0"/>
            <c:spPr>
              <a:solidFill>
                <a:srgbClr val="FF0000"/>
              </a:solidFill>
              <a:ln>
                <a:noFill/>
              </a:ln>
              <a:effectLst/>
            </c:spPr>
            <c:extLst>
              <c:ext xmlns:c16="http://schemas.microsoft.com/office/drawing/2014/chart" uri="{C3380CC4-5D6E-409C-BE32-E72D297353CC}">
                <c16:uniqueId val="{00000014-9F8F-4A57-82B4-93F3691BF62D}"/>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F8F-4A57-82B4-93F3691BF62D}"/>
                </c:ext>
              </c:extLst>
            </c:dLbl>
            <c:dLbl>
              <c:idx val="2"/>
              <c:layout>
                <c:manualLayout>
                  <c:x val="-3.7539065297737539E-2"/>
                  <c:y val="-2.2526109889813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F8F-4A57-82B4-93F3691BF62D}"/>
                </c:ext>
              </c:extLst>
            </c:dLbl>
            <c:dLbl>
              <c:idx val="7"/>
              <c:layout>
                <c:manualLayout>
                  <c:x val="0"/>
                  <c:y val="-3.15134018805951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F8F-4A57-82B4-93F3691BF62D}"/>
                </c:ext>
              </c:extLst>
            </c:dLbl>
            <c:dLbl>
              <c:idx val="8"/>
              <c:layout>
                <c:manualLayout>
                  <c:x val="0"/>
                  <c:y val="-1.80443414827689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F8F-4A57-82B4-93F3691BF62D}"/>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F8F-4A57-82B4-93F3691BF62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détaillé'!$I$822:$I$828,'Tableau détaillé'!$I$830:$I$833)</c:f>
              <c:numCache>
                <c:formatCode>_-* #\ ##0\ _€_-;\-* #\ ##0\ _€_-;_-* "-"??\ _€_-;_-@_-</c:formatCode>
                <c:ptCount val="11"/>
                <c:pt idx="0">
                  <c:v>26.677083333333332</c:v>
                </c:pt>
                <c:pt idx="1">
                  <c:v>21.489795918367346</c:v>
                </c:pt>
                <c:pt idx="2">
                  <c:v>23.558823529411764</c:v>
                </c:pt>
                <c:pt idx="3">
                  <c:v>15.59375</c:v>
                </c:pt>
                <c:pt idx="4">
                  <c:v>10.076923076923077</c:v>
                </c:pt>
                <c:pt idx="5">
                  <c:v>17.3</c:v>
                </c:pt>
                <c:pt idx="6">
                  <c:v>15</c:v>
                </c:pt>
                <c:pt idx="7">
                  <c:v>21.121323529411764</c:v>
                </c:pt>
                <c:pt idx="8">
                  <c:v>82.205128205128204</c:v>
                </c:pt>
                <c:pt idx="9">
                  <c:v>12.774193548387096</c:v>
                </c:pt>
                <c:pt idx="10">
                  <c:v>12.525252525252526</c:v>
                </c:pt>
              </c:numCache>
            </c:numRef>
          </c:val>
          <c:extLst>
            <c:ext xmlns:c16="http://schemas.microsoft.com/office/drawing/2014/chart" uri="{C3380CC4-5D6E-409C-BE32-E72D297353CC}">
              <c16:uniqueId val="{00000017-9F8F-4A57-82B4-93F3691BF62D}"/>
            </c:ext>
          </c:extLst>
        </c:ser>
        <c:dLbls>
          <c:showLegendKey val="0"/>
          <c:showVal val="0"/>
          <c:showCatName val="0"/>
          <c:showSerName val="0"/>
          <c:showPercent val="0"/>
          <c:showBubbleSize val="0"/>
        </c:dLbls>
        <c:gapWidth val="150"/>
        <c:axId val="1032722464"/>
        <c:axId val="1032722072"/>
      </c:barChart>
      <c:lineChart>
        <c:grouping val="standard"/>
        <c:varyColors val="0"/>
        <c:ser>
          <c:idx val="2"/>
          <c:order val="2"/>
          <c:tx>
            <c:v>MOY YTD</c:v>
          </c:tx>
          <c:spPr>
            <a:ln w="28575" cap="rnd">
              <a:noFill/>
              <a:round/>
            </a:ln>
            <a:effectLst/>
          </c:spPr>
          <c:marker>
            <c:symbol val="dash"/>
            <c:size val="17"/>
            <c:spPr>
              <a:solidFill>
                <a:sysClr val="windowText" lastClr="000000"/>
              </a:solidFill>
              <a:ln w="0">
                <a:solidFill>
                  <a:sysClr val="window" lastClr="FFFFFF">
                    <a:lumMod val="95000"/>
                  </a:sysClr>
                </a:solidFill>
              </a:ln>
              <a:effectLst/>
            </c:spPr>
          </c:marker>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détaillé'!$I$805:$I$811,'Tableau détaillé'!$I$813:$I$816)</c:f>
              <c:numCache>
                <c:formatCode>_-* #\ ##0\ _€_-;\-* #\ ##0\ _€_-;_-* "-"??\ _€_-;_-@_-</c:formatCode>
                <c:ptCount val="11"/>
                <c:pt idx="0">
                  <c:v>20.394097222222221</c:v>
                </c:pt>
                <c:pt idx="1">
                  <c:v>20.73469387755102</c:v>
                </c:pt>
                <c:pt idx="2">
                  <c:v>16.843137254901961</c:v>
                </c:pt>
                <c:pt idx="3">
                  <c:v>16.442708333333332</c:v>
                </c:pt>
                <c:pt idx="4">
                  <c:v>7.6314102564102564</c:v>
                </c:pt>
                <c:pt idx="5">
                  <c:v>21.229166666666668</c:v>
                </c:pt>
                <c:pt idx="6">
                  <c:v>16.434782608695652</c:v>
                </c:pt>
                <c:pt idx="7">
                  <c:v>23.525735294117649</c:v>
                </c:pt>
                <c:pt idx="8">
                  <c:v>167.63532763532763</c:v>
                </c:pt>
                <c:pt idx="9">
                  <c:v>15.158602150537634</c:v>
                </c:pt>
                <c:pt idx="10">
                  <c:v>24.344276094276093</c:v>
                </c:pt>
              </c:numCache>
            </c:numRef>
          </c:val>
          <c:smooth val="0"/>
          <c:extLst>
            <c:ext xmlns:c16="http://schemas.microsoft.com/office/drawing/2014/chart" uri="{C3380CC4-5D6E-409C-BE32-E72D297353CC}">
              <c16:uniqueId val="{00000018-9F8F-4A57-82B4-93F3691BF62D}"/>
            </c:ext>
          </c:extLst>
        </c:ser>
        <c:dLbls>
          <c:showLegendKey val="0"/>
          <c:showVal val="0"/>
          <c:showCatName val="0"/>
          <c:showSerName val="0"/>
          <c:showPercent val="0"/>
          <c:showBubbleSize val="0"/>
        </c:dLbls>
        <c:marker val="1"/>
        <c:smooth val="0"/>
        <c:axId val="1032722464"/>
        <c:axId val="1032722072"/>
      </c:lineChart>
      <c:catAx>
        <c:axId val="103272246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2072"/>
        <c:crosses val="autoZero"/>
        <c:auto val="1"/>
        <c:lblAlgn val="ctr"/>
        <c:lblOffset val="100"/>
        <c:noMultiLvlLbl val="0"/>
      </c:catAx>
      <c:valAx>
        <c:axId val="1032722072"/>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2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Cartes - </a:t>
            </a:r>
          </a:p>
          <a:p>
            <a:pPr>
              <a:defRPr sz="1200" b="1"/>
            </a:pPr>
            <a:r>
              <a:rPr lang="fr-FR"/>
              <a:t>par DR</a:t>
            </a:r>
          </a:p>
        </c:rich>
      </c:tx>
      <c:layout>
        <c:manualLayout>
          <c:xMode val="edge"/>
          <c:yMode val="edge"/>
          <c:x val="0.24528698285731176"/>
          <c:y val="2.39422395068236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CFDD-4DA5-B6A6-EB068D5B72FA}"/>
              </c:ext>
            </c:extLst>
          </c:dPt>
          <c:dLbls>
            <c:dLbl>
              <c:idx val="0"/>
              <c:layout>
                <c:manualLayout>
                  <c:x val="-5.7752408150365444E-3"/>
                  <c:y val="0.188582119841214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DD-4DA5-B6A6-EB068D5B72FA}"/>
                </c:ext>
              </c:extLst>
            </c:dLbl>
            <c:dLbl>
              <c:idx val="1"/>
              <c:layout>
                <c:manualLayout>
                  <c:x val="-2.8876204075182722E-3"/>
                  <c:y val="0.1612501396591075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FDD-4DA5-B6A6-EB068D5B72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('Tableau détaillé'!$D$622,'Tableau détaillé'!$D$627)</c:f>
              <c:strCache>
                <c:ptCount val="2"/>
                <c:pt idx="0">
                  <c:v>Total AFO</c:v>
                </c:pt>
                <c:pt idx="1">
                  <c:v>Total AFCE</c:v>
                </c:pt>
              </c:strCache>
            </c:strRef>
          </c:cat>
          <c:val>
            <c:numRef>
              <c:f>('Tableau détaillé'!$H$829,'Tableau détaillé'!$H$834)</c:f>
              <c:numCache>
                <c:formatCode>_-* #\ ##0\ _€_-;\-* #\ ##0\ _€_-;_-* "-"??\ _€_-;_-@_-</c:formatCode>
                <c:ptCount val="2"/>
                <c:pt idx="0">
                  <c:v>19.200385356454721</c:v>
                </c:pt>
                <c:pt idx="1">
                  <c:v>41.021194605009633</c:v>
                </c:pt>
              </c:numCache>
            </c:numRef>
          </c:val>
          <c:extLst>
            <c:ext xmlns:c16="http://schemas.microsoft.com/office/drawing/2014/chart" uri="{C3380CC4-5D6E-409C-BE32-E72D297353CC}">
              <c16:uniqueId val="{00000003-CFDD-4DA5-B6A6-EB068D5B72FA}"/>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CFDD-4DA5-B6A6-EB068D5B72FA}"/>
              </c:ext>
            </c:extLst>
          </c:dPt>
          <c:dLbls>
            <c:dLbl>
              <c:idx val="0"/>
              <c:layout>
                <c:manualLayout>
                  <c:x val="0"/>
                  <c:y val="0.120994716417411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DD-4DA5-B6A6-EB068D5B72FA}"/>
                </c:ext>
              </c:extLst>
            </c:dLbl>
            <c:dLbl>
              <c:idx val="1"/>
              <c:layout>
                <c:manualLayout>
                  <c:x val="8.6628612225548157E-3"/>
                  <c:y val="0.12955860628191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DD-4DA5-B6A6-EB068D5B72F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détaillé'!$I$829,'Tableau détaillé'!$I$834)</c:f>
              <c:numCache>
                <c:formatCode>_-* #\ ##0\ _€_-;\-* #\ ##0\ _€_-;_-* "-"??\ _€_-;_-@_-</c:formatCode>
                <c:ptCount val="2"/>
                <c:pt idx="0">
                  <c:v>21.859344894026975</c:v>
                </c:pt>
                <c:pt idx="1">
                  <c:v>32.753371868978803</c:v>
                </c:pt>
              </c:numCache>
            </c:numRef>
          </c:val>
          <c:extLst>
            <c:ext xmlns:c16="http://schemas.microsoft.com/office/drawing/2014/chart" uri="{C3380CC4-5D6E-409C-BE32-E72D297353CC}">
              <c16:uniqueId val="{00000007-CFDD-4DA5-B6A6-EB068D5B72FA}"/>
            </c:ext>
          </c:extLst>
        </c:ser>
        <c:dLbls>
          <c:showLegendKey val="0"/>
          <c:showVal val="0"/>
          <c:showCatName val="0"/>
          <c:showSerName val="0"/>
          <c:showPercent val="0"/>
          <c:showBubbleSize val="0"/>
        </c:dLbls>
        <c:gapWidth val="150"/>
        <c:axId val="1032718152"/>
        <c:axId val="1032720896"/>
      </c:barChart>
      <c:lineChart>
        <c:grouping val="standard"/>
        <c:varyColors val="0"/>
        <c:ser>
          <c:idx val="2"/>
          <c:order val="2"/>
          <c:tx>
            <c:v>MOY YTD</c:v>
          </c:tx>
          <c:spPr>
            <a:ln w="25400" cap="rnd">
              <a:noFill/>
              <a:round/>
            </a:ln>
            <a:effectLst/>
          </c:spPr>
          <c:marker>
            <c:symbol val="dash"/>
            <c:size val="40"/>
            <c:spPr>
              <a:solidFill>
                <a:sysClr val="windowText" lastClr="000000"/>
              </a:solidFill>
              <a:ln w="50800">
                <a:solidFill>
                  <a:sysClr val="window" lastClr="FFFFFF">
                    <a:lumMod val="95000"/>
                    <a:alpha val="98000"/>
                  </a:sysClr>
                </a:solidFill>
              </a:ln>
              <a:effectLst/>
            </c:spPr>
          </c:marker>
          <c:dLbls>
            <c:dLbl>
              <c:idx val="0"/>
              <c:layout>
                <c:manualLayout>
                  <c:x val="-9.5291473448103028E-2"/>
                  <c:y val="-0.1035800220242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FDD-4DA5-B6A6-EB068D5B72FA}"/>
                </c:ext>
              </c:extLst>
            </c:dLbl>
            <c:dLbl>
              <c:idx val="1"/>
              <c:layout>
                <c:manualLayout>
                  <c:x val="-0.1039543346706579"/>
                  <c:y val="-8.086625131121470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FDD-4DA5-B6A6-EB068D5B72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détaillé'!$I$812,'Tableau détaillé'!$I$817)</c:f>
              <c:numCache>
                <c:formatCode>_-* #\ ##0\ _€_-;\-* #\ ##0\ _€_-;_-* "-"??\ _€_-;_-@_-</c:formatCode>
                <c:ptCount val="2"/>
                <c:pt idx="0">
                  <c:v>18.094894026974952</c:v>
                </c:pt>
                <c:pt idx="1">
                  <c:v>55.669235709698135</c:v>
                </c:pt>
              </c:numCache>
            </c:numRef>
          </c:val>
          <c:smooth val="0"/>
          <c:extLst>
            <c:ext xmlns:c16="http://schemas.microsoft.com/office/drawing/2014/chart" uri="{C3380CC4-5D6E-409C-BE32-E72D297353CC}">
              <c16:uniqueId val="{0000000A-CFDD-4DA5-B6A6-EB068D5B72FA}"/>
            </c:ext>
          </c:extLst>
        </c:ser>
        <c:dLbls>
          <c:showLegendKey val="0"/>
          <c:showVal val="0"/>
          <c:showCatName val="0"/>
          <c:showSerName val="0"/>
          <c:showPercent val="0"/>
          <c:showBubbleSize val="0"/>
        </c:dLbls>
        <c:marker val="1"/>
        <c:smooth val="0"/>
        <c:axId val="1032718152"/>
        <c:axId val="1032720896"/>
      </c:lineChart>
      <c:catAx>
        <c:axId val="103271815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0896"/>
        <c:crosses val="autoZero"/>
        <c:auto val="1"/>
        <c:lblAlgn val="ctr"/>
        <c:lblOffset val="100"/>
        <c:noMultiLvlLbl val="0"/>
      </c:catAx>
      <c:valAx>
        <c:axId val="1032720896"/>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8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BAD</a:t>
            </a:r>
          </a:p>
        </c:rich>
      </c:tx>
      <c:layout>
        <c:manualLayout>
          <c:xMode val="edge"/>
          <c:yMode val="edge"/>
          <c:x val="0.29148890937760413"/>
          <c:y val="2.39422395068236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91F5-4B0C-8294-92E9A85821ED}"/>
              </c:ext>
            </c:extLst>
          </c:dPt>
          <c:dPt>
            <c:idx val="8"/>
            <c:invertIfNegative val="0"/>
            <c:bubble3D val="0"/>
            <c:spPr>
              <a:solidFill>
                <a:srgbClr val="FFA7A7"/>
              </a:solidFill>
              <a:ln>
                <a:noFill/>
              </a:ln>
              <a:effectLst/>
            </c:spPr>
            <c:extLst>
              <c:ext xmlns:c16="http://schemas.microsoft.com/office/drawing/2014/chart" uri="{C3380CC4-5D6E-409C-BE32-E72D297353CC}">
                <c16:uniqueId val="{00000003-91F5-4B0C-8294-92E9A85821ED}"/>
              </c:ext>
            </c:extLst>
          </c:dPt>
          <c:dPt>
            <c:idx val="9"/>
            <c:invertIfNegative val="0"/>
            <c:bubble3D val="0"/>
            <c:spPr>
              <a:solidFill>
                <a:srgbClr val="FFA7A7"/>
              </a:solidFill>
              <a:ln>
                <a:noFill/>
              </a:ln>
              <a:effectLst/>
            </c:spPr>
            <c:extLst>
              <c:ext xmlns:c16="http://schemas.microsoft.com/office/drawing/2014/chart" uri="{C3380CC4-5D6E-409C-BE32-E72D297353CC}">
                <c16:uniqueId val="{00000005-91F5-4B0C-8294-92E9A85821ED}"/>
              </c:ext>
            </c:extLst>
          </c:dPt>
          <c:dPt>
            <c:idx val="10"/>
            <c:invertIfNegative val="0"/>
            <c:bubble3D val="0"/>
            <c:spPr>
              <a:solidFill>
                <a:srgbClr val="FFA7A7"/>
              </a:solidFill>
              <a:ln>
                <a:noFill/>
              </a:ln>
              <a:effectLst/>
            </c:spPr>
            <c:extLst>
              <c:ext xmlns:c16="http://schemas.microsoft.com/office/drawing/2014/chart" uri="{C3380CC4-5D6E-409C-BE32-E72D297353CC}">
                <c16:uniqueId val="{00000007-91F5-4B0C-8294-92E9A85821ED}"/>
              </c:ext>
            </c:extLst>
          </c:dPt>
          <c:dLbls>
            <c:dLbl>
              <c:idx val="0"/>
              <c:layout>
                <c:manualLayout>
                  <c:x val="-2.0213342852627905E-2"/>
                  <c:y val="-4.5052219779627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F5-4B0C-8294-92E9A85821ED}"/>
                </c:ext>
              </c:extLst>
            </c:dLbl>
            <c:dLbl>
              <c:idx val="2"/>
              <c:layout>
                <c:manualLayout>
                  <c:x val="-1.4437707418562156E-2"/>
                  <c:y val="-4.95316805972226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F5-4B0C-8294-92E9A85821ED}"/>
                </c:ext>
              </c:extLst>
            </c:dLbl>
            <c:dLbl>
              <c:idx val="3"/>
              <c:layout>
                <c:manualLayout>
                  <c:x val="-1.1552121185527651E-2"/>
                  <c:y val="-1.80260731166064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1F5-4B0C-8294-92E9A85821ED}"/>
                </c:ext>
              </c:extLst>
            </c:dLbl>
            <c:dLbl>
              <c:idx val="4"/>
              <c:layout>
                <c:manualLayout>
                  <c:x val="-5.2935148121349591E-17"/>
                  <c:y val="-3.15549453591868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375-4187-8E80-41A35F52F68E}"/>
                </c:ext>
              </c:extLst>
            </c:dLbl>
            <c:dLbl>
              <c:idx val="5"/>
              <c:layout>
                <c:manualLayout>
                  <c:x val="-1.7314309708919642E-2"/>
                  <c:y val="-7.20306328699315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98F-45B8-B2D1-B90438701370}"/>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1F5-4B0C-8294-92E9A85821ED}"/>
                </c:ext>
              </c:extLst>
            </c:dLbl>
            <c:dLbl>
              <c:idx val="7"/>
              <c:layout>
                <c:manualLayout>
                  <c:x val="-5.7883653515206374E-3"/>
                  <c:y val="-2.71077062098087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1F5-4B0C-8294-92E9A85821ED}"/>
                </c:ext>
              </c:extLst>
            </c:dLbl>
            <c:dLbl>
              <c:idx val="9"/>
              <c:layout>
                <c:manualLayout>
                  <c:x val="-8.6628972768131446E-3"/>
                  <c:y val="-8.99724133818532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F5-4B0C-8294-92E9A85821ED}"/>
                </c:ext>
              </c:extLst>
            </c:dLbl>
            <c:dLbl>
              <c:idx val="10"/>
              <c:layout>
                <c:manualLayout>
                  <c:x val="-8.664261405193191E-3"/>
                  <c:y val="-8.970975129449814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F5-4B0C-8294-92E9A85821E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détaillé'!$H$891:$H$897,'Tableau détaillé'!$H$899:$H$902)</c:f>
              <c:numCache>
                <c:formatCode>_-* #\ ##0\ _€_-;\-* #\ ##0\ _€_-;_-* "-"??\ _€_-;_-@_-</c:formatCode>
                <c:ptCount val="11"/>
                <c:pt idx="0">
                  <c:v>23.630208333333332</c:v>
                </c:pt>
                <c:pt idx="1">
                  <c:v>6.6530612244897958</c:v>
                </c:pt>
                <c:pt idx="2">
                  <c:v>16.264705882352942</c:v>
                </c:pt>
                <c:pt idx="3">
                  <c:v>18.25</c:v>
                </c:pt>
                <c:pt idx="4">
                  <c:v>15.211538461538462</c:v>
                </c:pt>
                <c:pt idx="5">
                  <c:v>7.45</c:v>
                </c:pt>
                <c:pt idx="6">
                  <c:v>16.869565217391305</c:v>
                </c:pt>
                <c:pt idx="7">
                  <c:v>30.128676470588236</c:v>
                </c:pt>
                <c:pt idx="8">
                  <c:v>48.871794871794869</c:v>
                </c:pt>
                <c:pt idx="9">
                  <c:v>28.93548387096774</c:v>
                </c:pt>
                <c:pt idx="10">
                  <c:v>1.2121212121212122</c:v>
                </c:pt>
              </c:numCache>
            </c:numRef>
          </c:val>
          <c:extLst>
            <c:ext xmlns:c16="http://schemas.microsoft.com/office/drawing/2014/chart" uri="{C3380CC4-5D6E-409C-BE32-E72D297353CC}">
              <c16:uniqueId val="{0000000C-91F5-4B0C-8294-92E9A85821ED}"/>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91F5-4B0C-8294-92E9A85821ED}"/>
              </c:ext>
            </c:extLst>
          </c:dPt>
          <c:dPt>
            <c:idx val="8"/>
            <c:invertIfNegative val="0"/>
            <c:bubble3D val="0"/>
            <c:spPr>
              <a:solidFill>
                <a:srgbClr val="FF0000"/>
              </a:solidFill>
              <a:ln>
                <a:noFill/>
              </a:ln>
              <a:effectLst/>
            </c:spPr>
            <c:extLst>
              <c:ext xmlns:c16="http://schemas.microsoft.com/office/drawing/2014/chart" uri="{C3380CC4-5D6E-409C-BE32-E72D297353CC}">
                <c16:uniqueId val="{00000010-91F5-4B0C-8294-92E9A85821ED}"/>
              </c:ext>
            </c:extLst>
          </c:dPt>
          <c:dPt>
            <c:idx val="9"/>
            <c:invertIfNegative val="0"/>
            <c:bubble3D val="0"/>
            <c:spPr>
              <a:solidFill>
                <a:srgbClr val="FF0000"/>
              </a:solidFill>
              <a:ln>
                <a:noFill/>
              </a:ln>
              <a:effectLst/>
            </c:spPr>
            <c:extLst>
              <c:ext xmlns:c16="http://schemas.microsoft.com/office/drawing/2014/chart" uri="{C3380CC4-5D6E-409C-BE32-E72D297353CC}">
                <c16:uniqueId val="{00000012-91F5-4B0C-8294-92E9A85821ED}"/>
              </c:ext>
            </c:extLst>
          </c:dPt>
          <c:dPt>
            <c:idx val="10"/>
            <c:invertIfNegative val="0"/>
            <c:bubble3D val="0"/>
            <c:spPr>
              <a:solidFill>
                <a:srgbClr val="FF0000"/>
              </a:solidFill>
              <a:ln>
                <a:noFill/>
              </a:ln>
              <a:effectLst/>
            </c:spPr>
            <c:extLst>
              <c:ext xmlns:c16="http://schemas.microsoft.com/office/drawing/2014/chart" uri="{C3380CC4-5D6E-409C-BE32-E72D297353CC}">
                <c16:uniqueId val="{00000014-91F5-4B0C-8294-92E9A85821ED}"/>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1F5-4B0C-8294-92E9A85821ED}"/>
                </c:ext>
              </c:extLst>
            </c:dLbl>
            <c:dLbl>
              <c:idx val="2"/>
              <c:layout>
                <c:manualLayout>
                  <c:x val="-1.1577812270016481E-2"/>
                  <c:y val="-4.49471623265897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1F5-4B0C-8294-92E9A85821ED}"/>
                </c:ext>
              </c:extLst>
            </c:dLbl>
            <c:dLbl>
              <c:idx val="4"/>
              <c:layout>
                <c:manualLayout>
                  <c:x val="1.4437025354372187E-2"/>
                  <c:y val="-2.25392466851335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375-4187-8E80-41A35F52F68E}"/>
                </c:ext>
              </c:extLst>
            </c:dLbl>
            <c:dLbl>
              <c:idx val="9"/>
              <c:layout>
                <c:manualLayout>
                  <c:x val="4.5470945987435439E-7"/>
                  <c:y val="-9.00008092831872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1F5-4B0C-8294-92E9A85821E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détaillé'!$I$891:$I$897,'Tableau détaillé'!$I$899:$I$902)</c:f>
              <c:numCache>
                <c:formatCode>_-* #\ ##0\ _€_-;\-* #\ ##0\ _€_-;_-* "-"??\ _€_-;_-@_-</c:formatCode>
                <c:ptCount val="11"/>
                <c:pt idx="0">
                  <c:v>19.744791666666668</c:v>
                </c:pt>
                <c:pt idx="1">
                  <c:v>5.4795918367346941</c:v>
                </c:pt>
                <c:pt idx="2">
                  <c:v>16.401960784313726</c:v>
                </c:pt>
                <c:pt idx="3">
                  <c:v>16.6875</c:v>
                </c:pt>
                <c:pt idx="4">
                  <c:v>13.038461538461538</c:v>
                </c:pt>
                <c:pt idx="5">
                  <c:v>10.55</c:v>
                </c:pt>
                <c:pt idx="6">
                  <c:v>14.304347826086957</c:v>
                </c:pt>
                <c:pt idx="7">
                  <c:v>28.209558823529413</c:v>
                </c:pt>
                <c:pt idx="8">
                  <c:v>34.085470085470085</c:v>
                </c:pt>
                <c:pt idx="9">
                  <c:v>26.193548387096776</c:v>
                </c:pt>
                <c:pt idx="10">
                  <c:v>1.0101010101010102</c:v>
                </c:pt>
              </c:numCache>
            </c:numRef>
          </c:val>
          <c:extLst>
            <c:ext xmlns:c16="http://schemas.microsoft.com/office/drawing/2014/chart" uri="{C3380CC4-5D6E-409C-BE32-E72D297353CC}">
              <c16:uniqueId val="{00000017-91F5-4B0C-8294-92E9A85821ED}"/>
            </c:ext>
          </c:extLst>
        </c:ser>
        <c:dLbls>
          <c:showLegendKey val="0"/>
          <c:showVal val="0"/>
          <c:showCatName val="0"/>
          <c:showSerName val="0"/>
          <c:showPercent val="0"/>
          <c:showBubbleSize val="0"/>
        </c:dLbls>
        <c:gapWidth val="150"/>
        <c:axId val="1032721288"/>
        <c:axId val="1032718544"/>
      </c:barChart>
      <c:lineChart>
        <c:grouping val="standard"/>
        <c:varyColors val="0"/>
        <c:ser>
          <c:idx val="2"/>
          <c:order val="2"/>
          <c:tx>
            <c:v>MOY YTD</c:v>
          </c:tx>
          <c:spPr>
            <a:ln w="28575" cap="rnd">
              <a:noFill/>
              <a:round/>
            </a:ln>
            <a:effectLst/>
          </c:spPr>
          <c:marker>
            <c:symbol val="dash"/>
            <c:size val="17"/>
            <c:spPr>
              <a:solidFill>
                <a:sysClr val="windowText" lastClr="000000"/>
              </a:solidFill>
              <a:ln w="0">
                <a:solidFill>
                  <a:sysClr val="window" lastClr="FFFFFF">
                    <a:lumMod val="95000"/>
                  </a:sysClr>
                </a:solidFill>
              </a:ln>
              <a:effectLst/>
            </c:spPr>
          </c:marker>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détaillé'!$I$874:$I$880,'Tableau détaillé'!$I$882:$I$885)</c:f>
              <c:numCache>
                <c:formatCode>_-* #\ ##0\ _€_-;\-* #\ ##0\ _€_-;_-* "-"??\ _€_-;_-@_-</c:formatCode>
                <c:ptCount val="11"/>
                <c:pt idx="0">
                  <c:v>112.94965277777777</c:v>
                </c:pt>
                <c:pt idx="1">
                  <c:v>6.9795918367346941</c:v>
                </c:pt>
                <c:pt idx="2">
                  <c:v>15.441993464052288</c:v>
                </c:pt>
                <c:pt idx="3">
                  <c:v>25.828125</c:v>
                </c:pt>
                <c:pt idx="4">
                  <c:v>10.097756410256411</c:v>
                </c:pt>
                <c:pt idx="5">
                  <c:v>16.204166666666666</c:v>
                </c:pt>
                <c:pt idx="6">
                  <c:v>18.405797101449277</c:v>
                </c:pt>
                <c:pt idx="7">
                  <c:v>30.162990196078429</c:v>
                </c:pt>
                <c:pt idx="8">
                  <c:v>42.214387464387464</c:v>
                </c:pt>
                <c:pt idx="9">
                  <c:v>27.056451612903228</c:v>
                </c:pt>
                <c:pt idx="10">
                  <c:v>2.5631313131313131</c:v>
                </c:pt>
              </c:numCache>
            </c:numRef>
          </c:val>
          <c:smooth val="0"/>
          <c:extLst>
            <c:ext xmlns:c16="http://schemas.microsoft.com/office/drawing/2014/chart" uri="{C3380CC4-5D6E-409C-BE32-E72D297353CC}">
              <c16:uniqueId val="{00000018-91F5-4B0C-8294-92E9A85821ED}"/>
            </c:ext>
          </c:extLst>
        </c:ser>
        <c:dLbls>
          <c:showLegendKey val="0"/>
          <c:showVal val="0"/>
          <c:showCatName val="0"/>
          <c:showSerName val="0"/>
          <c:showPercent val="0"/>
          <c:showBubbleSize val="0"/>
        </c:dLbls>
        <c:marker val="1"/>
        <c:smooth val="0"/>
        <c:axId val="1032721288"/>
        <c:axId val="1032718544"/>
      </c:lineChart>
      <c:catAx>
        <c:axId val="103272128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8544"/>
        <c:crosses val="autoZero"/>
        <c:auto val="1"/>
        <c:lblAlgn val="ctr"/>
        <c:lblOffset val="100"/>
        <c:noMultiLvlLbl val="0"/>
      </c:catAx>
      <c:valAx>
        <c:axId val="1032718544"/>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12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BAD - </a:t>
            </a:r>
          </a:p>
          <a:p>
            <a:pPr>
              <a:defRPr sz="1200" b="1"/>
            </a:pPr>
            <a:r>
              <a:rPr lang="fr-FR"/>
              <a:t>par DR</a:t>
            </a:r>
          </a:p>
        </c:rich>
      </c:tx>
      <c:layout>
        <c:manualLayout>
          <c:xMode val="edge"/>
          <c:yMode val="edge"/>
          <c:x val="0.25394984407986659"/>
          <c:y val="2.844746148478636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CA32-4229-BCC5-313890D1E69E}"/>
              </c:ext>
            </c:extLst>
          </c:dPt>
          <c:dLbls>
            <c:dLbl>
              <c:idx val="0"/>
              <c:layout>
                <c:manualLayout>
                  <c:x val="-5.7752408150365444E-3"/>
                  <c:y val="0.188582119841214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32-4229-BCC5-313890D1E69E}"/>
                </c:ext>
              </c:extLst>
            </c:dLbl>
            <c:dLbl>
              <c:idx val="1"/>
              <c:layout>
                <c:manualLayout>
                  <c:x val="-8.6628612225549215E-3"/>
                  <c:y val="0.282873179761822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32-4229-BCC5-313890D1E6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détaillé'!$H$898,'Tableau détaillé'!$H$903)</c:f>
              <c:numCache>
                <c:formatCode>_-* #\ ##0\ _€_-;\-* #\ ##0\ _€_-;_-* "-"??\ _€_-;_-@_-</c:formatCode>
                <c:ptCount val="2"/>
                <c:pt idx="0">
                  <c:v>16.878612716763005</c:v>
                </c:pt>
                <c:pt idx="1">
                  <c:v>28.766859344894026</c:v>
                </c:pt>
              </c:numCache>
            </c:numRef>
          </c:val>
          <c:extLst>
            <c:ext xmlns:c16="http://schemas.microsoft.com/office/drawing/2014/chart" uri="{C3380CC4-5D6E-409C-BE32-E72D297353CC}">
              <c16:uniqueId val="{00000003-CA32-4229-BCC5-313890D1E69E}"/>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CA32-4229-BCC5-313890D1E69E}"/>
              </c:ext>
            </c:extLst>
          </c:dPt>
          <c:dLbls>
            <c:dLbl>
              <c:idx val="0"/>
              <c:layout>
                <c:manualLayout>
                  <c:x val="-2.8904830368359702E-3"/>
                  <c:y val="0.11625840206837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A32-4229-BCC5-313890D1E69E}"/>
                </c:ext>
              </c:extLst>
            </c:dLbl>
            <c:dLbl>
              <c:idx val="1"/>
              <c:layout>
                <c:manualLayout>
                  <c:x val="2.8861069449692407E-3"/>
                  <c:y val="0.205821738072989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32-4229-BCC5-313890D1E69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détaillé'!$I$898,'Tableau détaillé'!$I$903)</c:f>
              <c:numCache>
                <c:formatCode>_-* #\ ##0\ _€_-;\-* #\ ##0\ _€_-;_-* "-"??\ _€_-;_-@_-</c:formatCode>
                <c:ptCount val="2"/>
                <c:pt idx="0">
                  <c:v>14.938342967244701</c:v>
                </c:pt>
                <c:pt idx="1">
                  <c:v>24.22543352601156</c:v>
                </c:pt>
              </c:numCache>
            </c:numRef>
          </c:val>
          <c:extLst>
            <c:ext xmlns:c16="http://schemas.microsoft.com/office/drawing/2014/chart" uri="{C3380CC4-5D6E-409C-BE32-E72D297353CC}">
              <c16:uniqueId val="{00000007-CA32-4229-BCC5-313890D1E69E}"/>
            </c:ext>
          </c:extLst>
        </c:ser>
        <c:dLbls>
          <c:showLegendKey val="0"/>
          <c:showVal val="0"/>
          <c:showCatName val="0"/>
          <c:showSerName val="0"/>
          <c:showPercent val="0"/>
          <c:showBubbleSize val="0"/>
        </c:dLbls>
        <c:gapWidth val="150"/>
        <c:axId val="1032720112"/>
        <c:axId val="1032723248"/>
      </c:barChart>
      <c:lineChart>
        <c:grouping val="standard"/>
        <c:varyColors val="0"/>
        <c:ser>
          <c:idx val="2"/>
          <c:order val="2"/>
          <c:tx>
            <c:v>MOY YTD</c:v>
          </c:tx>
          <c:spPr>
            <a:ln w="25400" cap="rnd">
              <a:noFill/>
              <a:round/>
            </a:ln>
            <a:effectLst/>
          </c:spPr>
          <c:marker>
            <c:symbol val="dash"/>
            <c:size val="40"/>
            <c:spPr>
              <a:solidFill>
                <a:sysClr val="windowText" lastClr="000000"/>
              </a:solidFill>
              <a:ln w="50800">
                <a:solidFill>
                  <a:sysClr val="window" lastClr="FFFFFF">
                    <a:lumMod val="95000"/>
                    <a:alpha val="98000"/>
                  </a:sysClr>
                </a:solidFill>
              </a:ln>
              <a:effectLst/>
            </c:spPr>
          </c:marker>
          <c:dLbls>
            <c:dLbl>
              <c:idx val="0"/>
              <c:layout>
                <c:manualLayout>
                  <c:x val="-6.9287040362957464E-2"/>
                  <c:y val="-7.196955150770394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A32-4229-BCC5-313890D1E69E}"/>
                </c:ext>
              </c:extLst>
            </c:dLbl>
            <c:dLbl>
              <c:idx val="1"/>
              <c:layout>
                <c:manualLayout>
                  <c:x val="-0.13573237994286844"/>
                  <c:y val="-6.735057714711188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32-4229-BCC5-313890D1E6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détaillé'!$I$881,'Tableau détaillé'!$I$886)</c:f>
              <c:numCache>
                <c:formatCode>_-* #\ ##0\ _€_-;\-* #\ ##0\ _€_-;_-* "-"??\ _€_-;_-@_-</c:formatCode>
                <c:ptCount val="2"/>
                <c:pt idx="0">
                  <c:v>50.18192035966603</c:v>
                </c:pt>
                <c:pt idx="1">
                  <c:v>27.429511881824023</c:v>
                </c:pt>
              </c:numCache>
            </c:numRef>
          </c:val>
          <c:smooth val="0"/>
          <c:extLst>
            <c:ext xmlns:c16="http://schemas.microsoft.com/office/drawing/2014/chart" uri="{C3380CC4-5D6E-409C-BE32-E72D297353CC}">
              <c16:uniqueId val="{0000000A-CA32-4229-BCC5-313890D1E69E}"/>
            </c:ext>
          </c:extLst>
        </c:ser>
        <c:dLbls>
          <c:showLegendKey val="0"/>
          <c:showVal val="0"/>
          <c:showCatName val="0"/>
          <c:showSerName val="0"/>
          <c:showPercent val="0"/>
          <c:showBubbleSize val="0"/>
        </c:dLbls>
        <c:marker val="1"/>
        <c:smooth val="0"/>
        <c:axId val="1032720112"/>
        <c:axId val="1032723248"/>
      </c:lineChart>
      <c:catAx>
        <c:axId val="103272011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3248"/>
        <c:crosses val="autoZero"/>
        <c:auto val="1"/>
        <c:lblAlgn val="ctr"/>
        <c:lblOffset val="100"/>
        <c:noMultiLvlLbl val="0"/>
      </c:catAx>
      <c:valAx>
        <c:axId val="1032723248"/>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0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CAV</a:t>
            </a:r>
          </a:p>
        </c:rich>
      </c:tx>
      <c:layout>
        <c:manualLayout>
          <c:xMode val="edge"/>
          <c:yMode val="edge"/>
          <c:x val="0.28571366856256764"/>
          <c:y val="2.844746148478636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0E28-41A1-8323-379A019A619F}"/>
              </c:ext>
            </c:extLst>
          </c:dPt>
          <c:dPt>
            <c:idx val="8"/>
            <c:invertIfNegative val="0"/>
            <c:bubble3D val="0"/>
            <c:spPr>
              <a:solidFill>
                <a:srgbClr val="FFA7A7"/>
              </a:solidFill>
              <a:ln>
                <a:noFill/>
              </a:ln>
              <a:effectLst/>
            </c:spPr>
            <c:extLst>
              <c:ext xmlns:c16="http://schemas.microsoft.com/office/drawing/2014/chart" uri="{C3380CC4-5D6E-409C-BE32-E72D297353CC}">
                <c16:uniqueId val="{00000003-0E28-41A1-8323-379A019A619F}"/>
              </c:ext>
            </c:extLst>
          </c:dPt>
          <c:dPt>
            <c:idx val="9"/>
            <c:invertIfNegative val="0"/>
            <c:bubble3D val="0"/>
            <c:spPr>
              <a:solidFill>
                <a:srgbClr val="FFA7A7"/>
              </a:solidFill>
              <a:ln>
                <a:noFill/>
              </a:ln>
              <a:effectLst/>
            </c:spPr>
            <c:extLst>
              <c:ext xmlns:c16="http://schemas.microsoft.com/office/drawing/2014/chart" uri="{C3380CC4-5D6E-409C-BE32-E72D297353CC}">
                <c16:uniqueId val="{00000005-0E28-41A1-8323-379A019A619F}"/>
              </c:ext>
            </c:extLst>
          </c:dPt>
          <c:dPt>
            <c:idx val="10"/>
            <c:invertIfNegative val="0"/>
            <c:bubble3D val="0"/>
            <c:spPr>
              <a:solidFill>
                <a:srgbClr val="FFA7A7"/>
              </a:solidFill>
              <a:ln>
                <a:noFill/>
              </a:ln>
              <a:effectLst/>
            </c:spPr>
            <c:extLst>
              <c:ext xmlns:c16="http://schemas.microsoft.com/office/drawing/2014/chart" uri="{C3380CC4-5D6E-409C-BE32-E72D297353CC}">
                <c16:uniqueId val="{00000007-0E28-41A1-8323-379A019A619F}"/>
              </c:ext>
            </c:extLst>
          </c:dPt>
          <c:dLbls>
            <c:dLbl>
              <c:idx val="0"/>
              <c:layout>
                <c:manualLayout>
                  <c:x val="-2.0213342852627905E-2"/>
                  <c:y val="-4.5052219779627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E28-41A1-8323-379A019A619F}"/>
                </c:ext>
              </c:extLst>
            </c:dLbl>
            <c:dLbl>
              <c:idx val="2"/>
              <c:layout>
                <c:manualLayout>
                  <c:x val="-1.1550302347687729E-2"/>
                  <c:y val="-2.7081161491338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E28-41A1-8323-379A019A619F}"/>
                </c:ext>
              </c:extLst>
            </c:dLbl>
            <c:dLbl>
              <c:idx val="3"/>
              <c:layout>
                <c:manualLayout>
                  <c:x val="-3.4651444890219263E-2"/>
                  <c:y val="-9.0104439559254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E28-41A1-8323-379A019A619F}"/>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E28-41A1-8323-379A019A619F}"/>
                </c:ext>
              </c:extLst>
            </c:dLbl>
            <c:dLbl>
              <c:idx val="7"/>
              <c:layout>
                <c:manualLayout>
                  <c:x val="-1.4445633067514098E-2"/>
                  <c:y val="-2.25326220542137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8-41A1-8323-379A019A619F}"/>
                </c:ext>
              </c:extLst>
            </c:dLbl>
            <c:dLbl>
              <c:idx val="9"/>
              <c:layout>
                <c:manualLayout>
                  <c:x val="-8.6628612225548157E-3"/>
                  <c:y val="-3.15365538457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E28-41A1-8323-379A019A619F}"/>
                </c:ext>
              </c:extLst>
            </c:dLbl>
            <c:dLbl>
              <c:idx val="10"/>
              <c:layout>
                <c:manualLayout>
                  <c:x val="-3.1405774839490105E-3"/>
                  <c:y val="1.39728447959160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E28-41A1-8323-379A019A619F}"/>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détaillé'!$H$960:$H$966,'Tableau détaillé'!$H$968:$H$971)</c:f>
              <c:numCache>
                <c:formatCode>_-* #\ ##0\ _€_-;\-* #\ ##0\ _€_-;_-* "-"??\ _€_-;_-@_-</c:formatCode>
                <c:ptCount val="11"/>
                <c:pt idx="0">
                  <c:v>21.807291666666668</c:v>
                </c:pt>
                <c:pt idx="1">
                  <c:v>7.9489795918367347</c:v>
                </c:pt>
                <c:pt idx="2">
                  <c:v>9.4705882352941178</c:v>
                </c:pt>
                <c:pt idx="3">
                  <c:v>8.6875</c:v>
                </c:pt>
                <c:pt idx="4">
                  <c:v>5.7692307692307692</c:v>
                </c:pt>
                <c:pt idx="5">
                  <c:v>7</c:v>
                </c:pt>
                <c:pt idx="6">
                  <c:v>7.2608695652173916</c:v>
                </c:pt>
                <c:pt idx="7">
                  <c:v>11.930147058823529</c:v>
                </c:pt>
                <c:pt idx="8">
                  <c:v>11.666666666666666</c:v>
                </c:pt>
                <c:pt idx="9">
                  <c:v>6.774193548387097</c:v>
                </c:pt>
                <c:pt idx="10">
                  <c:v>1.0707070707070707</c:v>
                </c:pt>
              </c:numCache>
            </c:numRef>
          </c:val>
          <c:extLst>
            <c:ext xmlns:c16="http://schemas.microsoft.com/office/drawing/2014/chart" uri="{C3380CC4-5D6E-409C-BE32-E72D297353CC}">
              <c16:uniqueId val="{0000000C-0E28-41A1-8323-379A019A619F}"/>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0E28-41A1-8323-379A019A619F}"/>
              </c:ext>
            </c:extLst>
          </c:dPt>
          <c:dPt>
            <c:idx val="8"/>
            <c:invertIfNegative val="0"/>
            <c:bubble3D val="0"/>
            <c:spPr>
              <a:solidFill>
                <a:srgbClr val="FF0000"/>
              </a:solidFill>
              <a:ln>
                <a:noFill/>
              </a:ln>
              <a:effectLst/>
            </c:spPr>
            <c:extLst>
              <c:ext xmlns:c16="http://schemas.microsoft.com/office/drawing/2014/chart" uri="{C3380CC4-5D6E-409C-BE32-E72D297353CC}">
                <c16:uniqueId val="{00000010-0E28-41A1-8323-379A019A619F}"/>
              </c:ext>
            </c:extLst>
          </c:dPt>
          <c:dPt>
            <c:idx val="9"/>
            <c:invertIfNegative val="0"/>
            <c:bubble3D val="0"/>
            <c:spPr>
              <a:solidFill>
                <a:srgbClr val="FF0000"/>
              </a:solidFill>
              <a:ln>
                <a:noFill/>
              </a:ln>
              <a:effectLst/>
            </c:spPr>
            <c:extLst>
              <c:ext xmlns:c16="http://schemas.microsoft.com/office/drawing/2014/chart" uri="{C3380CC4-5D6E-409C-BE32-E72D297353CC}">
                <c16:uniqueId val="{00000012-0E28-41A1-8323-379A019A619F}"/>
              </c:ext>
            </c:extLst>
          </c:dPt>
          <c:dPt>
            <c:idx val="10"/>
            <c:invertIfNegative val="0"/>
            <c:bubble3D val="0"/>
            <c:spPr>
              <a:solidFill>
                <a:srgbClr val="FF0000"/>
              </a:solidFill>
              <a:ln>
                <a:noFill/>
              </a:ln>
              <a:effectLst/>
            </c:spPr>
            <c:extLst>
              <c:ext xmlns:c16="http://schemas.microsoft.com/office/drawing/2014/chart" uri="{C3380CC4-5D6E-409C-BE32-E72D297353CC}">
                <c16:uniqueId val="{00000014-0E28-41A1-8323-379A019A619F}"/>
              </c:ext>
            </c:extLst>
          </c:dPt>
          <c:dLbls>
            <c:dLbl>
              <c:idx val="0"/>
              <c:layout>
                <c:manualLayout>
                  <c:x val="2.598710034732982E-2"/>
                  <c:y val="-8.2642920479744899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E28-41A1-8323-379A019A619F}"/>
                </c:ext>
              </c:extLst>
            </c:dLbl>
            <c:dLbl>
              <c:idx val="2"/>
              <c:layout>
                <c:manualLayout>
                  <c:x val="1.1546892026737825E-2"/>
                  <c:y val="-3.15418010590957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E28-41A1-8323-379A019A619F}"/>
                </c:ext>
              </c:extLst>
            </c:dLbl>
            <c:dLbl>
              <c:idx val="7"/>
              <c:layout>
                <c:manualLayout>
                  <c:x val="0"/>
                  <c:y val="1.35235432109150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E28-41A1-8323-379A019A619F}"/>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E28-41A1-8323-379A019A619F}"/>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détaillé'!$I$960:$I$966,'Tableau détaillé'!$I$968:$I$971)</c:f>
              <c:numCache>
                <c:formatCode>_-* #\ ##0\ _€_-;\-* #\ ##0\ _€_-;_-* "-"??\ _€_-;_-@_-</c:formatCode>
                <c:ptCount val="11"/>
                <c:pt idx="0">
                  <c:v>16.015625</c:v>
                </c:pt>
                <c:pt idx="1">
                  <c:v>2.8469387755102042</c:v>
                </c:pt>
                <c:pt idx="2">
                  <c:v>10.754901960784315</c:v>
                </c:pt>
                <c:pt idx="3">
                  <c:v>5.90625</c:v>
                </c:pt>
                <c:pt idx="4">
                  <c:v>3.5576923076923075</c:v>
                </c:pt>
                <c:pt idx="5">
                  <c:v>3.8</c:v>
                </c:pt>
                <c:pt idx="6">
                  <c:v>5.6086956521739131</c:v>
                </c:pt>
                <c:pt idx="7">
                  <c:v>9.9117647058823533</c:v>
                </c:pt>
                <c:pt idx="8">
                  <c:v>10.367521367521368</c:v>
                </c:pt>
                <c:pt idx="9">
                  <c:v>4.838709677419355</c:v>
                </c:pt>
                <c:pt idx="10">
                  <c:v>0.93939393939393945</c:v>
                </c:pt>
              </c:numCache>
            </c:numRef>
          </c:val>
          <c:extLst>
            <c:ext xmlns:c16="http://schemas.microsoft.com/office/drawing/2014/chart" uri="{C3380CC4-5D6E-409C-BE32-E72D297353CC}">
              <c16:uniqueId val="{00000017-0E28-41A1-8323-379A019A619F}"/>
            </c:ext>
          </c:extLst>
        </c:ser>
        <c:dLbls>
          <c:showLegendKey val="0"/>
          <c:showVal val="0"/>
          <c:showCatName val="0"/>
          <c:showSerName val="0"/>
          <c:showPercent val="0"/>
          <c:showBubbleSize val="0"/>
        </c:dLbls>
        <c:gapWidth val="150"/>
        <c:axId val="1032713840"/>
        <c:axId val="1032720504"/>
      </c:barChart>
      <c:lineChart>
        <c:grouping val="standard"/>
        <c:varyColors val="0"/>
        <c:ser>
          <c:idx val="2"/>
          <c:order val="2"/>
          <c:tx>
            <c:v>MOY YTD</c:v>
          </c:tx>
          <c:spPr>
            <a:ln w="28575" cap="rnd">
              <a:noFill/>
              <a:round/>
            </a:ln>
            <a:effectLst/>
          </c:spPr>
          <c:marker>
            <c:symbol val="dash"/>
            <c:size val="17"/>
            <c:spPr>
              <a:solidFill>
                <a:sysClr val="windowText" lastClr="000000"/>
              </a:solidFill>
              <a:ln w="0">
                <a:solidFill>
                  <a:sysClr val="window" lastClr="FFFFFF">
                    <a:lumMod val="95000"/>
                  </a:sysClr>
                </a:solidFill>
              </a:ln>
              <a:effectLst/>
            </c:spPr>
          </c:marker>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détaillé'!$I$943:$I$949,'Tableau détaillé'!$I$951:$I$954)</c:f>
              <c:numCache>
                <c:formatCode>_-* #\ ##0\ _€_-;\-* #\ ##0\ _€_-;_-* "-"??\ _€_-;_-@_-</c:formatCode>
                <c:ptCount val="11"/>
                <c:pt idx="0">
                  <c:v>20.503472222222221</c:v>
                </c:pt>
                <c:pt idx="1">
                  <c:v>7.8928571428571423</c:v>
                </c:pt>
                <c:pt idx="2">
                  <c:v>10.766339869281046</c:v>
                </c:pt>
                <c:pt idx="3">
                  <c:v>5.606770833333333</c:v>
                </c:pt>
                <c:pt idx="4">
                  <c:v>6.3974358974358978</c:v>
                </c:pt>
                <c:pt idx="5">
                  <c:v>5.0916666666666668</c:v>
                </c:pt>
                <c:pt idx="6">
                  <c:v>8.2391304347826075</c:v>
                </c:pt>
                <c:pt idx="7">
                  <c:v>13.711703431372548</c:v>
                </c:pt>
                <c:pt idx="8">
                  <c:v>13.420227920227921</c:v>
                </c:pt>
                <c:pt idx="9">
                  <c:v>7.5483870967741931</c:v>
                </c:pt>
                <c:pt idx="10">
                  <c:v>3.122053872053872</c:v>
                </c:pt>
              </c:numCache>
            </c:numRef>
          </c:val>
          <c:smooth val="0"/>
          <c:extLst>
            <c:ext xmlns:c16="http://schemas.microsoft.com/office/drawing/2014/chart" uri="{C3380CC4-5D6E-409C-BE32-E72D297353CC}">
              <c16:uniqueId val="{00000018-0E28-41A1-8323-379A019A619F}"/>
            </c:ext>
          </c:extLst>
        </c:ser>
        <c:dLbls>
          <c:showLegendKey val="0"/>
          <c:showVal val="0"/>
          <c:showCatName val="0"/>
          <c:showSerName val="0"/>
          <c:showPercent val="0"/>
          <c:showBubbleSize val="0"/>
        </c:dLbls>
        <c:marker val="1"/>
        <c:smooth val="0"/>
        <c:axId val="1032713840"/>
        <c:axId val="1032720504"/>
      </c:lineChart>
      <c:catAx>
        <c:axId val="103271384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0504"/>
        <c:crosses val="autoZero"/>
        <c:auto val="1"/>
        <c:lblAlgn val="ctr"/>
        <c:lblOffset val="100"/>
        <c:noMultiLvlLbl val="0"/>
      </c:catAx>
      <c:valAx>
        <c:axId val="1032720504"/>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38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 CAV - </a:t>
            </a:r>
          </a:p>
          <a:p>
            <a:pPr>
              <a:defRPr sz="1200" b="1"/>
            </a:pPr>
            <a:r>
              <a:rPr lang="fr-FR"/>
              <a:t>par DR</a:t>
            </a:r>
          </a:p>
        </c:rich>
      </c:tx>
      <c:layout>
        <c:manualLayout>
          <c:xMode val="edge"/>
          <c:yMode val="edge"/>
          <c:x val="0.26261270530242142"/>
          <c:y val="2.39422395068236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8C28-4788-BB3F-004F3C381DB7}"/>
              </c:ext>
            </c:extLst>
          </c:dPt>
          <c:dLbls>
            <c:dLbl>
              <c:idx val="0"/>
              <c:layout>
                <c:manualLayout>
                  <c:x val="-5.7752408150365444E-3"/>
                  <c:y val="0.188582119841214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C28-4788-BB3F-004F3C381DB7}"/>
                </c:ext>
              </c:extLst>
            </c:dLbl>
            <c:dLbl>
              <c:idx val="1"/>
              <c:layout>
                <c:manualLayout>
                  <c:x val="-8.6628612225549215E-3"/>
                  <c:y val="0.282873179761822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C28-4788-BB3F-004F3C381D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détaillé'!$H$967,'Tableau détaillé'!$H$972)</c:f>
              <c:numCache>
                <c:formatCode>_-* #\ ##0\ _€_-;\-* #\ ##0\ _€_-;_-* "-"??\ _€_-;_-@_-</c:formatCode>
                <c:ptCount val="2"/>
                <c:pt idx="0">
                  <c:v>13.134874759152217</c:v>
                </c:pt>
                <c:pt idx="1">
                  <c:v>9.4913294797687868</c:v>
                </c:pt>
              </c:numCache>
            </c:numRef>
          </c:val>
          <c:extLst>
            <c:ext xmlns:c16="http://schemas.microsoft.com/office/drawing/2014/chart" uri="{C3380CC4-5D6E-409C-BE32-E72D297353CC}">
              <c16:uniqueId val="{00000003-8C28-4788-BB3F-004F3C381DB7}"/>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8C28-4788-BB3F-004F3C381DB7}"/>
              </c:ext>
            </c:extLst>
          </c:dPt>
          <c:dLbls>
            <c:dLbl>
              <c:idx val="0"/>
              <c:layout>
                <c:manualLayout>
                  <c:x val="2.8876204075182193E-3"/>
                  <c:y val="0.215522422675674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C28-4788-BB3F-004F3C381DB7}"/>
                </c:ext>
              </c:extLst>
            </c:dLbl>
            <c:dLbl>
              <c:idx val="1"/>
              <c:layout>
                <c:manualLayout>
                  <c:x val="2.8895810573270737E-3"/>
                  <c:y val="0.138567727130045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C28-4788-BB3F-004F3C381DB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détaillé'!$I$967,'Tableau détaillé'!$I$972)</c:f>
              <c:numCache>
                <c:formatCode>_-* #\ ##0\ _€_-;\-* #\ ##0\ _€_-;_-* "-"??\ _€_-;_-@_-</c:formatCode>
                <c:ptCount val="2"/>
                <c:pt idx="0">
                  <c:v>9.6917148362235075</c:v>
                </c:pt>
                <c:pt idx="1">
                  <c:v>8</c:v>
                </c:pt>
              </c:numCache>
            </c:numRef>
          </c:val>
          <c:extLst>
            <c:ext xmlns:c16="http://schemas.microsoft.com/office/drawing/2014/chart" uri="{C3380CC4-5D6E-409C-BE32-E72D297353CC}">
              <c16:uniqueId val="{00000007-8C28-4788-BB3F-004F3C381DB7}"/>
            </c:ext>
          </c:extLst>
        </c:ser>
        <c:dLbls>
          <c:showLegendKey val="0"/>
          <c:showVal val="0"/>
          <c:showCatName val="0"/>
          <c:showSerName val="0"/>
          <c:showPercent val="0"/>
          <c:showBubbleSize val="0"/>
        </c:dLbls>
        <c:gapWidth val="150"/>
        <c:axId val="1032727168"/>
        <c:axId val="1032727560"/>
      </c:barChart>
      <c:lineChart>
        <c:grouping val="standard"/>
        <c:varyColors val="0"/>
        <c:ser>
          <c:idx val="2"/>
          <c:order val="2"/>
          <c:tx>
            <c:v>MOY YTD</c:v>
          </c:tx>
          <c:spPr>
            <a:ln w="25400" cap="rnd">
              <a:noFill/>
              <a:round/>
            </a:ln>
            <a:effectLst/>
          </c:spPr>
          <c:marker>
            <c:symbol val="dash"/>
            <c:size val="40"/>
            <c:spPr>
              <a:solidFill>
                <a:sysClr val="windowText" lastClr="000000"/>
              </a:solidFill>
              <a:ln w="50800">
                <a:solidFill>
                  <a:sysClr val="window" lastClr="FFFFFF">
                    <a:lumMod val="95000"/>
                    <a:alpha val="98000"/>
                  </a:sysClr>
                </a:solidFill>
              </a:ln>
              <a:effectLst/>
            </c:spPr>
          </c:marker>
          <c:dLbls>
            <c:dLbl>
              <c:idx val="0"/>
              <c:layout>
                <c:manualLayout>
                  <c:x val="-9.8177682911321479E-2"/>
                  <c:y val="-0.1126116323822446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C28-4788-BB3F-004F3C381DB7}"/>
                </c:ext>
              </c:extLst>
            </c:dLbl>
            <c:dLbl>
              <c:idx val="1"/>
              <c:layout>
                <c:manualLayout>
                  <c:x val="-8.6606411857265767E-2"/>
                  <c:y val="-0.1169578104621178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C28-4788-BB3F-004F3C381D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détaillé'!$I$950,'Tableau détaillé'!$I$955)</c:f>
              <c:numCache>
                <c:formatCode>_-* #\ ##0\ _€_-;\-* #\ ##0\ _€_-;_-* "-"??\ _€_-;_-@_-</c:formatCode>
                <c:ptCount val="2"/>
                <c:pt idx="0">
                  <c:v>12.739402697495182</c:v>
                </c:pt>
                <c:pt idx="1">
                  <c:v>11.257867694283879</c:v>
                </c:pt>
              </c:numCache>
            </c:numRef>
          </c:val>
          <c:smooth val="0"/>
          <c:extLst>
            <c:ext xmlns:c16="http://schemas.microsoft.com/office/drawing/2014/chart" uri="{C3380CC4-5D6E-409C-BE32-E72D297353CC}">
              <c16:uniqueId val="{0000000A-8C28-4788-BB3F-004F3C381DB7}"/>
            </c:ext>
          </c:extLst>
        </c:ser>
        <c:dLbls>
          <c:showLegendKey val="0"/>
          <c:showVal val="0"/>
          <c:showCatName val="0"/>
          <c:showSerName val="0"/>
          <c:showPercent val="0"/>
          <c:showBubbleSize val="0"/>
        </c:dLbls>
        <c:marker val="1"/>
        <c:smooth val="0"/>
        <c:axId val="1032727168"/>
        <c:axId val="1032727560"/>
      </c:lineChart>
      <c:catAx>
        <c:axId val="103272716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7560"/>
        <c:crosses val="autoZero"/>
        <c:auto val="1"/>
        <c:lblAlgn val="ctr"/>
        <c:lblOffset val="100"/>
        <c:noMultiLvlLbl val="0"/>
      </c:catAx>
      <c:valAx>
        <c:axId val="1032727560"/>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7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Nombre de clients entrants</a:t>
            </a:r>
          </a:p>
        </c:rich>
      </c:tx>
      <c:layout>
        <c:manualLayout>
          <c:xMode val="edge"/>
          <c:yMode val="edge"/>
          <c:x val="0.29148890937760413"/>
          <c:y val="2.394227510186967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50F0-45FB-A598-981DE85E4A9D}"/>
              </c:ext>
            </c:extLst>
          </c:dPt>
          <c:dPt>
            <c:idx val="8"/>
            <c:invertIfNegative val="0"/>
            <c:bubble3D val="0"/>
            <c:spPr>
              <a:solidFill>
                <a:srgbClr val="FFA7A7"/>
              </a:solidFill>
              <a:ln>
                <a:noFill/>
              </a:ln>
              <a:effectLst/>
            </c:spPr>
            <c:extLst>
              <c:ext xmlns:c16="http://schemas.microsoft.com/office/drawing/2014/chart" uri="{C3380CC4-5D6E-409C-BE32-E72D297353CC}">
                <c16:uniqueId val="{00000003-50F0-45FB-A598-981DE85E4A9D}"/>
              </c:ext>
            </c:extLst>
          </c:dPt>
          <c:dPt>
            <c:idx val="9"/>
            <c:invertIfNegative val="0"/>
            <c:bubble3D val="0"/>
            <c:spPr>
              <a:solidFill>
                <a:srgbClr val="FFA7A7"/>
              </a:solidFill>
              <a:ln>
                <a:noFill/>
              </a:ln>
              <a:effectLst/>
            </c:spPr>
            <c:extLst>
              <c:ext xmlns:c16="http://schemas.microsoft.com/office/drawing/2014/chart" uri="{C3380CC4-5D6E-409C-BE32-E72D297353CC}">
                <c16:uniqueId val="{00000005-50F0-45FB-A598-981DE85E4A9D}"/>
              </c:ext>
            </c:extLst>
          </c:dPt>
          <c:dPt>
            <c:idx val="10"/>
            <c:invertIfNegative val="0"/>
            <c:bubble3D val="0"/>
            <c:spPr>
              <a:solidFill>
                <a:srgbClr val="FFA7A7"/>
              </a:solidFill>
              <a:ln>
                <a:noFill/>
              </a:ln>
              <a:effectLst/>
            </c:spPr>
            <c:extLst>
              <c:ext xmlns:c16="http://schemas.microsoft.com/office/drawing/2014/chart" uri="{C3380CC4-5D6E-409C-BE32-E72D297353CC}">
                <c16:uniqueId val="{00000007-50F0-45FB-A598-981DE85E4A9D}"/>
              </c:ext>
            </c:extLst>
          </c:dPt>
          <c:dLbls>
            <c:dLbl>
              <c:idx val="0"/>
              <c:layout>
                <c:manualLayout>
                  <c:x val="-2.0213342852627905E-2"/>
                  <c:y val="-4.5052219779627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0F0-45FB-A598-981DE85E4A9D}"/>
                </c:ext>
              </c:extLst>
            </c:dLbl>
            <c:dLbl>
              <c:idx val="2"/>
              <c:layout>
                <c:manualLayout>
                  <c:x val="-2.8913988326247039E-3"/>
                  <c:y val="-7.2991944595563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0F0-45FB-A598-981DE85E4A9D}"/>
                </c:ext>
              </c:extLst>
            </c:dLbl>
            <c:dLbl>
              <c:idx val="3"/>
              <c:layout>
                <c:manualLayout>
                  <c:x val="-1.7319470478428623E-2"/>
                  <c:y val="-3.17156560921592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0F0-45FB-A598-981DE85E4A9D}"/>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0F0-45FB-A598-981DE85E4A9D}"/>
                </c:ext>
              </c:extLst>
            </c:dLbl>
            <c:dLbl>
              <c:idx val="7"/>
              <c:layout>
                <c:manualLayout>
                  <c:x val="-2.5988583667664555E-2"/>
                  <c:y val="-3.1536553845739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F0-45FB-A598-981DE85E4A9D}"/>
                </c:ext>
              </c:extLst>
            </c:dLbl>
            <c:dLbl>
              <c:idx val="8"/>
              <c:layout>
                <c:manualLayout>
                  <c:x val="-2.021183549612098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F0-45FB-A598-981DE85E4A9D}"/>
                </c:ext>
              </c:extLst>
            </c:dLbl>
            <c:dLbl>
              <c:idx val="9"/>
              <c:layout>
                <c:manualLayout>
                  <c:x val="-8.6628612225548157E-3"/>
                  <c:y val="-3.15365538457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F0-45FB-A598-981DE85E4A9D}"/>
                </c:ext>
              </c:extLst>
            </c:dLbl>
            <c:dLbl>
              <c:idx val="10"/>
              <c:layout>
                <c:manualLayout>
                  <c:x val="-8.664261405193191E-3"/>
                  <c:y val="-5.39015818981349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F0-45FB-A598-981DE85E4A9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détaillé'!$E$221:$E$227,'Tableau détaillé'!$E$229:$E$232)</c:f>
              <c:numCache>
                <c:formatCode>_-* #\ ##0\ _€_-;\-* #\ ##0\ _€_-;_-* "-"??\ _€_-;_-@_-</c:formatCode>
                <c:ptCount val="11"/>
                <c:pt idx="0">
                  <c:v>54277</c:v>
                </c:pt>
                <c:pt idx="1">
                  <c:v>20940</c:v>
                </c:pt>
                <c:pt idx="2">
                  <c:v>18833</c:v>
                </c:pt>
                <c:pt idx="3">
                  <c:v>3501</c:v>
                </c:pt>
                <c:pt idx="4">
                  <c:v>5559</c:v>
                </c:pt>
                <c:pt idx="5">
                  <c:v>1118</c:v>
                </c:pt>
                <c:pt idx="6">
                  <c:v>2962</c:v>
                </c:pt>
                <c:pt idx="7">
                  <c:v>47909</c:v>
                </c:pt>
                <c:pt idx="8">
                  <c:v>25466</c:v>
                </c:pt>
                <c:pt idx="9">
                  <c:v>2759</c:v>
                </c:pt>
                <c:pt idx="10">
                  <c:v>6118</c:v>
                </c:pt>
              </c:numCache>
            </c:numRef>
          </c:val>
          <c:extLst>
            <c:ext xmlns:c16="http://schemas.microsoft.com/office/drawing/2014/chart" uri="{C3380CC4-5D6E-409C-BE32-E72D297353CC}">
              <c16:uniqueId val="{0000000C-50F0-45FB-A598-981DE85E4A9D}"/>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50F0-45FB-A598-981DE85E4A9D}"/>
              </c:ext>
            </c:extLst>
          </c:dPt>
          <c:dPt>
            <c:idx val="8"/>
            <c:invertIfNegative val="0"/>
            <c:bubble3D val="0"/>
            <c:spPr>
              <a:solidFill>
                <a:srgbClr val="FF0000"/>
              </a:solidFill>
              <a:ln>
                <a:noFill/>
              </a:ln>
              <a:effectLst/>
            </c:spPr>
            <c:extLst>
              <c:ext xmlns:c16="http://schemas.microsoft.com/office/drawing/2014/chart" uri="{C3380CC4-5D6E-409C-BE32-E72D297353CC}">
                <c16:uniqueId val="{00000010-50F0-45FB-A598-981DE85E4A9D}"/>
              </c:ext>
            </c:extLst>
          </c:dPt>
          <c:dPt>
            <c:idx val="9"/>
            <c:invertIfNegative val="0"/>
            <c:bubble3D val="0"/>
            <c:spPr>
              <a:solidFill>
                <a:srgbClr val="FF0000"/>
              </a:solidFill>
              <a:ln>
                <a:noFill/>
              </a:ln>
              <a:effectLst/>
            </c:spPr>
            <c:extLst>
              <c:ext xmlns:c16="http://schemas.microsoft.com/office/drawing/2014/chart" uri="{C3380CC4-5D6E-409C-BE32-E72D297353CC}">
                <c16:uniqueId val="{00000012-50F0-45FB-A598-981DE85E4A9D}"/>
              </c:ext>
            </c:extLst>
          </c:dPt>
          <c:dPt>
            <c:idx val="10"/>
            <c:invertIfNegative val="0"/>
            <c:bubble3D val="0"/>
            <c:spPr>
              <a:solidFill>
                <a:srgbClr val="FF0000"/>
              </a:solidFill>
              <a:ln>
                <a:noFill/>
              </a:ln>
              <a:effectLst/>
            </c:spPr>
            <c:extLst>
              <c:ext xmlns:c16="http://schemas.microsoft.com/office/drawing/2014/chart" uri="{C3380CC4-5D6E-409C-BE32-E72D297353CC}">
                <c16:uniqueId val="{00000014-50F0-45FB-A598-981DE85E4A9D}"/>
              </c:ext>
            </c:extLst>
          </c:dPt>
          <c:dLbls>
            <c:dLbl>
              <c:idx val="0"/>
              <c:layout>
                <c:manualLayout>
                  <c:x val="1.4432454196606914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0F0-45FB-A598-981DE85E4A9D}"/>
                </c:ext>
              </c:extLst>
            </c:dLbl>
            <c:dLbl>
              <c:idx val="1"/>
              <c:layout>
                <c:manualLayout>
                  <c:x val="1.442859142409970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81E-4C97-8F8B-698FC06925F8}"/>
                </c:ext>
              </c:extLst>
            </c:dLbl>
            <c:dLbl>
              <c:idx val="2"/>
              <c:layout>
                <c:manualLayout>
                  <c:x val="4.3261007083870331E-2"/>
                  <c:y val="-8.91663365466601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0F0-45FB-A598-981DE85E4A9D}"/>
                </c:ext>
              </c:extLst>
            </c:dLbl>
            <c:dLbl>
              <c:idx val="4"/>
              <c:layout>
                <c:manualLayout>
                  <c:x val="1.1554653625374877E-2"/>
                  <c:y val="-4.541024040252781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A02-49C7-AF54-AD94FCCFA369}"/>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0F0-45FB-A598-981DE85E4A9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détaillé'!$G$221:$G$227,'Tableau détaillé'!$G$229:$G$232)</c:f>
              <c:numCache>
                <c:formatCode>_-* #\ ##0\ _€_-;\-* #\ ##0\ _€_-;_-* "-"??\ _€_-;_-@_-</c:formatCode>
                <c:ptCount val="11"/>
                <c:pt idx="0">
                  <c:v>56817</c:v>
                </c:pt>
                <c:pt idx="1">
                  <c:v>16895</c:v>
                </c:pt>
                <c:pt idx="2">
                  <c:v>13962</c:v>
                </c:pt>
                <c:pt idx="3">
                  <c:v>2670</c:v>
                </c:pt>
                <c:pt idx="4">
                  <c:v>7633</c:v>
                </c:pt>
                <c:pt idx="5">
                  <c:v>2237</c:v>
                </c:pt>
                <c:pt idx="6">
                  <c:v>2407</c:v>
                </c:pt>
                <c:pt idx="7">
                  <c:v>44677</c:v>
                </c:pt>
                <c:pt idx="8">
                  <c:v>23279</c:v>
                </c:pt>
                <c:pt idx="9">
                  <c:v>2730</c:v>
                </c:pt>
                <c:pt idx="10">
                  <c:v>3835</c:v>
                </c:pt>
              </c:numCache>
            </c:numRef>
          </c:val>
          <c:extLst>
            <c:ext xmlns:c16="http://schemas.microsoft.com/office/drawing/2014/chart" uri="{C3380CC4-5D6E-409C-BE32-E72D297353CC}">
              <c16:uniqueId val="{00000017-50F0-45FB-A598-981DE85E4A9D}"/>
            </c:ext>
          </c:extLst>
        </c:ser>
        <c:dLbls>
          <c:showLegendKey val="0"/>
          <c:showVal val="0"/>
          <c:showCatName val="0"/>
          <c:showSerName val="0"/>
          <c:showPercent val="0"/>
          <c:showBubbleSize val="0"/>
        </c:dLbls>
        <c:gapWidth val="150"/>
        <c:axId val="1032735008"/>
        <c:axId val="1032725600"/>
      </c:barChart>
      <c:catAx>
        <c:axId val="103273500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5600"/>
        <c:crosses val="autoZero"/>
        <c:auto val="1"/>
        <c:lblAlgn val="ctr"/>
        <c:lblOffset val="100"/>
        <c:noMultiLvlLbl val="0"/>
      </c:catAx>
      <c:valAx>
        <c:axId val="1032725600"/>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5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Nombre de clients entrants - </a:t>
            </a:r>
          </a:p>
          <a:p>
            <a:pPr>
              <a:defRPr sz="1200" b="1"/>
            </a:pPr>
            <a:r>
              <a:rPr lang="fr-FR"/>
              <a:t>par DR</a:t>
            </a:r>
          </a:p>
        </c:rich>
      </c:tx>
      <c:layout>
        <c:manualLayout>
          <c:xMode val="edge"/>
          <c:yMode val="edge"/>
          <c:x val="0.28282604815504925"/>
          <c:y val="2.394218700724769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rgbClr val="FFA7A7"/>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3967-4D3B-89E8-9E588B510FD6}"/>
              </c:ext>
            </c:extLst>
          </c:dPt>
          <c:dPt>
            <c:idx val="2"/>
            <c:invertIfNegative val="0"/>
            <c:bubble3D val="0"/>
            <c:spPr>
              <a:solidFill>
                <a:sysClr val="window" lastClr="FFFFFF">
                  <a:lumMod val="65000"/>
                </a:sysClr>
              </a:solidFill>
              <a:ln>
                <a:noFill/>
              </a:ln>
              <a:effectLst/>
            </c:spPr>
            <c:extLst>
              <c:ext xmlns:c16="http://schemas.microsoft.com/office/drawing/2014/chart" uri="{C3380CC4-5D6E-409C-BE32-E72D297353CC}">
                <c16:uniqueId val="{00000004-811C-4C37-A5E0-8E177D059FD2}"/>
              </c:ext>
            </c:extLst>
          </c:dPt>
          <c:dLbls>
            <c:dLbl>
              <c:idx val="0"/>
              <c:layout>
                <c:manualLayout>
                  <c:x val="-2.6242215287895978E-17"/>
                  <c:y val="0.140449087473346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967-4D3B-89E8-9E588B510FD6}"/>
                </c:ext>
              </c:extLst>
            </c:dLbl>
            <c:dLbl>
              <c:idx val="1"/>
              <c:layout>
                <c:manualLayout>
                  <c:x val="-1.0496886115158391E-16"/>
                  <c:y val="0.113265393123666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67-4D3B-89E8-9E588B510FD6}"/>
                </c:ext>
              </c:extLst>
            </c:dLbl>
            <c:dLbl>
              <c:idx val="2"/>
              <c:layout>
                <c:manualLayout>
                  <c:x val="-1.0496886115158391E-16"/>
                  <c:y val="0.249183864872067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1C-4C37-A5E0-8E177D059FD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détaillé'!$E$228,'Tableau détaillé'!$E$233,'Tableau détaillé'!$E$220)</c:f>
              <c:numCache>
                <c:formatCode>_-* #\ ##0\ _€_-;\-* #\ ##0\ _€_-;_-* "-"??\ _€_-;_-@_-</c:formatCode>
                <c:ptCount val="3"/>
                <c:pt idx="0">
                  <c:v>107190</c:v>
                </c:pt>
                <c:pt idx="1">
                  <c:v>82252</c:v>
                </c:pt>
                <c:pt idx="2">
                  <c:v>189442</c:v>
                </c:pt>
              </c:numCache>
            </c:numRef>
          </c:val>
          <c:extLst>
            <c:ext xmlns:c16="http://schemas.microsoft.com/office/drawing/2014/chart" uri="{C3380CC4-5D6E-409C-BE32-E72D297353CC}">
              <c16:uniqueId val="{00000003-3967-4D3B-89E8-9E588B510FD6}"/>
            </c:ext>
          </c:extLst>
        </c:ser>
        <c:ser>
          <c:idx val="1"/>
          <c:order val="1"/>
          <c:tx>
            <c:v>M</c:v>
          </c:tx>
          <c:spPr>
            <a:solidFill>
              <a:srgbClr val="FF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3967-4D3B-89E8-9E588B510FD6}"/>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5-811C-4C37-A5E0-8E177D059FD2}"/>
              </c:ext>
            </c:extLst>
          </c:dPt>
          <c:dLbls>
            <c:dLbl>
              <c:idx val="0"/>
              <c:layout>
                <c:manualLayout>
                  <c:x val="0"/>
                  <c:y val="0.154040934648186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967-4D3B-89E8-9E588B510FD6}"/>
                </c:ext>
              </c:extLst>
            </c:dLbl>
            <c:dLbl>
              <c:idx val="1"/>
              <c:layout>
                <c:manualLayout>
                  <c:x val="0"/>
                  <c:y val="0.104204161673773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67-4D3B-89E8-9E588B510FD6}"/>
                </c:ext>
              </c:extLst>
            </c:dLbl>
            <c:dLbl>
              <c:idx val="2"/>
              <c:layout>
                <c:manualLayout>
                  <c:x val="0"/>
                  <c:y val="0.258245096321960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1C-4C37-A5E0-8E177D059FD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détaillé'!$G$228,'Tableau détaillé'!$G$233,'Tableau détaillé'!$G$220)</c:f>
              <c:numCache>
                <c:formatCode>_-* #\ ##0\ _€_-;\-* #\ ##0\ _€_-;_-* "-"??\ _€_-;_-@_-</c:formatCode>
                <c:ptCount val="3"/>
                <c:pt idx="0">
                  <c:v>102621</c:v>
                </c:pt>
                <c:pt idx="1">
                  <c:v>74521</c:v>
                </c:pt>
                <c:pt idx="2">
                  <c:v>177142</c:v>
                </c:pt>
              </c:numCache>
            </c:numRef>
          </c:val>
          <c:extLst>
            <c:ext xmlns:c16="http://schemas.microsoft.com/office/drawing/2014/chart" uri="{C3380CC4-5D6E-409C-BE32-E72D297353CC}">
              <c16:uniqueId val="{00000007-3967-4D3B-89E8-9E588B510FD6}"/>
            </c:ext>
          </c:extLst>
        </c:ser>
        <c:dLbls>
          <c:showLegendKey val="0"/>
          <c:showVal val="0"/>
          <c:showCatName val="0"/>
          <c:showSerName val="0"/>
          <c:showPercent val="0"/>
          <c:showBubbleSize val="0"/>
        </c:dLbls>
        <c:gapWidth val="150"/>
        <c:axId val="1032735792"/>
        <c:axId val="1032736576"/>
      </c:barChart>
      <c:catAx>
        <c:axId val="103273579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6576"/>
        <c:crosses val="autoZero"/>
        <c:auto val="1"/>
        <c:lblAlgn val="ctr"/>
        <c:lblOffset val="100"/>
        <c:noMultiLvlLbl val="0"/>
      </c:catAx>
      <c:valAx>
        <c:axId val="1032736576"/>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5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d'acquisition brute</a:t>
            </a:r>
          </a:p>
        </c:rich>
      </c:tx>
      <c:layout>
        <c:manualLayout>
          <c:xMode val="edge"/>
          <c:yMode val="edge"/>
          <c:x val="0.30881463182271368"/>
          <c:y val="2.847814976315234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A56A-4F40-A954-EE33CCDCB442}"/>
              </c:ext>
            </c:extLst>
          </c:dPt>
          <c:dPt>
            <c:idx val="8"/>
            <c:invertIfNegative val="0"/>
            <c:bubble3D val="0"/>
            <c:spPr>
              <a:solidFill>
                <a:srgbClr val="FFA7A7"/>
              </a:solidFill>
              <a:ln>
                <a:noFill/>
              </a:ln>
              <a:effectLst/>
            </c:spPr>
            <c:extLst>
              <c:ext xmlns:c16="http://schemas.microsoft.com/office/drawing/2014/chart" uri="{C3380CC4-5D6E-409C-BE32-E72D297353CC}">
                <c16:uniqueId val="{00000003-A56A-4F40-A954-EE33CCDCB442}"/>
              </c:ext>
            </c:extLst>
          </c:dPt>
          <c:dPt>
            <c:idx val="9"/>
            <c:invertIfNegative val="0"/>
            <c:bubble3D val="0"/>
            <c:spPr>
              <a:solidFill>
                <a:srgbClr val="FFA7A7"/>
              </a:solidFill>
              <a:ln>
                <a:noFill/>
              </a:ln>
              <a:effectLst/>
            </c:spPr>
            <c:extLst>
              <c:ext xmlns:c16="http://schemas.microsoft.com/office/drawing/2014/chart" uri="{C3380CC4-5D6E-409C-BE32-E72D297353CC}">
                <c16:uniqueId val="{00000005-A56A-4F40-A954-EE33CCDCB442}"/>
              </c:ext>
            </c:extLst>
          </c:dPt>
          <c:dPt>
            <c:idx val="10"/>
            <c:invertIfNegative val="0"/>
            <c:bubble3D val="0"/>
            <c:spPr>
              <a:solidFill>
                <a:srgbClr val="FFA7A7"/>
              </a:solidFill>
              <a:ln>
                <a:noFill/>
              </a:ln>
              <a:effectLst/>
            </c:spPr>
            <c:extLst>
              <c:ext xmlns:c16="http://schemas.microsoft.com/office/drawing/2014/chart" uri="{C3380CC4-5D6E-409C-BE32-E72D297353CC}">
                <c16:uniqueId val="{00000007-A56A-4F40-A954-EE33CCDCB442}"/>
              </c:ext>
            </c:extLst>
          </c:dPt>
          <c:dLbls>
            <c:dLbl>
              <c:idx val="0"/>
              <c:layout>
                <c:manualLayout>
                  <c:x val="-2.0213342852627905E-2"/>
                  <c:y val="-4.5052219779627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56A-4F40-A954-EE33CCDCB442}"/>
                </c:ext>
              </c:extLst>
            </c:dLbl>
            <c:dLbl>
              <c:idx val="2"/>
              <c:layout>
                <c:manualLayout>
                  <c:x val="-8.6628354022645852E-3"/>
                  <c:y val="-3.9858552141665011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56A-4F40-A954-EE33CCDCB442}"/>
                </c:ext>
              </c:extLst>
            </c:dLbl>
            <c:dLbl>
              <c:idx val="3"/>
              <c:layout>
                <c:manualLayout>
                  <c:x val="-1.4451313615318808E-2"/>
                  <c:y val="-5.43690651919478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56A-4F40-A954-EE33CCDCB442}"/>
                </c:ext>
              </c:extLst>
            </c:dLbl>
            <c:dLbl>
              <c:idx val="5"/>
              <c:layout>
                <c:manualLayout>
                  <c:x val="-8.6571548544598208E-3"/>
                  <c:y val="-2.2679373306413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793-48F5-B35B-0EF2E8FFB692}"/>
                </c:ext>
              </c:extLst>
            </c:dLbl>
            <c:dLbl>
              <c:idx val="6"/>
              <c:layout>
                <c:manualLayout>
                  <c:x val="-1.7333396349543648E-2"/>
                  <c:y val="-4.06696522484187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56A-4F40-A954-EE33CCDCB442}"/>
                </c:ext>
              </c:extLst>
            </c:dLbl>
            <c:dLbl>
              <c:idx val="7"/>
              <c:layout>
                <c:manualLayout>
                  <c:x val="-1.1559914782694157E-2"/>
                  <c:y val="-1.792884819856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6A-4F40-A954-EE33CCDCB442}"/>
                </c:ext>
              </c:extLst>
            </c:dLbl>
            <c:dLbl>
              <c:idx val="8"/>
              <c:layout>
                <c:manualLayout>
                  <c:x val="-2.8890642548363961E-3"/>
                  <c:y val="-2.2679373306413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56A-4F40-A954-EE33CCDCB442}"/>
                </c:ext>
              </c:extLst>
            </c:dLbl>
            <c:dLbl>
              <c:idx val="9"/>
              <c:layout>
                <c:manualLayout>
                  <c:x val="-8.6628354022645852E-3"/>
                  <c:y val="-8.59669681178013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56A-4F40-A954-EE33CCDCB442}"/>
                </c:ext>
              </c:extLst>
            </c:dLbl>
            <c:dLbl>
              <c:idx val="10"/>
              <c:layout>
                <c:manualLayout>
                  <c:x val="-3.4651482169582609E-2"/>
                  <c:y val="-8.550659469745558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56A-4F40-A954-EE33CCDCB442}"/>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détaillé'!$E$238:$E$244,'Tableau détaillé'!$E$246:$E$249)</c:f>
              <c:numCache>
                <c:formatCode>0.0%</c:formatCode>
                <c:ptCount val="11"/>
                <c:pt idx="0">
                  <c:v>0.11216434596801858</c:v>
                </c:pt>
                <c:pt idx="1">
                  <c:v>6.6093269154896231E-2</c:v>
                </c:pt>
                <c:pt idx="2">
                  <c:v>8.6707304720951006E-2</c:v>
                </c:pt>
                <c:pt idx="3">
                  <c:v>3.2571683754163333E-2</c:v>
                </c:pt>
                <c:pt idx="4">
                  <c:v>5.3504398544726557E-2</c:v>
                </c:pt>
                <c:pt idx="5">
                  <c:v>2.9734042553191488E-2</c:v>
                </c:pt>
                <c:pt idx="6">
                  <c:v>9.4771869200742306E-2</c:v>
                </c:pt>
                <c:pt idx="7">
                  <c:v>0.19299001796604981</c:v>
                </c:pt>
                <c:pt idx="8">
                  <c:v>0.107512718215017</c:v>
                </c:pt>
                <c:pt idx="9">
                  <c:v>4.9587519545642444E-2</c:v>
                </c:pt>
                <c:pt idx="10">
                  <c:v>0.31894484412470026</c:v>
                </c:pt>
              </c:numCache>
            </c:numRef>
          </c:val>
          <c:extLst>
            <c:ext xmlns:c16="http://schemas.microsoft.com/office/drawing/2014/chart" uri="{C3380CC4-5D6E-409C-BE32-E72D297353CC}">
              <c16:uniqueId val="{0000000C-A56A-4F40-A954-EE33CCDCB442}"/>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A56A-4F40-A954-EE33CCDCB442}"/>
              </c:ext>
            </c:extLst>
          </c:dPt>
          <c:dPt>
            <c:idx val="8"/>
            <c:invertIfNegative val="0"/>
            <c:bubble3D val="0"/>
            <c:spPr>
              <a:solidFill>
                <a:srgbClr val="FF0000"/>
              </a:solidFill>
              <a:ln>
                <a:noFill/>
              </a:ln>
              <a:effectLst/>
            </c:spPr>
            <c:extLst>
              <c:ext xmlns:c16="http://schemas.microsoft.com/office/drawing/2014/chart" uri="{C3380CC4-5D6E-409C-BE32-E72D297353CC}">
                <c16:uniqueId val="{00000010-A56A-4F40-A954-EE33CCDCB442}"/>
              </c:ext>
            </c:extLst>
          </c:dPt>
          <c:dPt>
            <c:idx val="9"/>
            <c:invertIfNegative val="0"/>
            <c:bubble3D val="0"/>
            <c:spPr>
              <a:solidFill>
                <a:srgbClr val="FF0000"/>
              </a:solidFill>
              <a:ln>
                <a:noFill/>
              </a:ln>
              <a:effectLst/>
            </c:spPr>
            <c:extLst>
              <c:ext xmlns:c16="http://schemas.microsoft.com/office/drawing/2014/chart" uri="{C3380CC4-5D6E-409C-BE32-E72D297353CC}">
                <c16:uniqueId val="{00000012-A56A-4F40-A954-EE33CCDCB442}"/>
              </c:ext>
            </c:extLst>
          </c:dPt>
          <c:dPt>
            <c:idx val="10"/>
            <c:invertIfNegative val="0"/>
            <c:bubble3D val="0"/>
            <c:spPr>
              <a:solidFill>
                <a:srgbClr val="FF0000"/>
              </a:solidFill>
              <a:ln>
                <a:noFill/>
              </a:ln>
              <a:effectLst/>
            </c:spPr>
            <c:extLst>
              <c:ext xmlns:c16="http://schemas.microsoft.com/office/drawing/2014/chart" uri="{C3380CC4-5D6E-409C-BE32-E72D297353CC}">
                <c16:uniqueId val="{00000014-A56A-4F40-A954-EE33CCDCB442}"/>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56A-4F40-A954-EE33CCDCB442}"/>
                </c:ext>
              </c:extLst>
            </c:dLbl>
            <c:dLbl>
              <c:idx val="1"/>
              <c:layout>
                <c:manualLayout>
                  <c:x val="2.885718284819940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793-48F5-B35B-0EF2E8FFB692}"/>
                </c:ext>
              </c:extLst>
            </c:dLbl>
            <c:dLbl>
              <c:idx val="2"/>
              <c:layout>
                <c:manualLayout>
                  <c:x val="5.7466693812111107E-3"/>
                  <c:y val="-2.25261536032881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A56A-4F40-A954-EE33CCDCB442}"/>
                </c:ext>
              </c:extLst>
            </c:dLbl>
            <c:dLbl>
              <c:idx val="4"/>
              <c:layout>
                <c:manualLayout>
                  <c:x val="5.2939095914214853E-17"/>
                  <c:y val="-7.710986924180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A56A-4F40-A954-EE33CCDCB442}"/>
                </c:ext>
              </c:extLst>
            </c:dLbl>
            <c:dLbl>
              <c:idx val="5"/>
              <c:layout>
                <c:manualLayout>
                  <c:x val="1.1550481630072983E-2"/>
                  <c:y val="-4.08228719515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A56A-4F40-A954-EE33CCDCB442}"/>
                </c:ext>
              </c:extLst>
            </c:dLbl>
            <c:dLbl>
              <c:idx val="7"/>
              <c:layout>
                <c:manualLayout>
                  <c:x val="5.771436569639775E-3"/>
                  <c:y val="-5.44304959353920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56A-4F40-A954-EE33CCDCB442}"/>
                </c:ext>
              </c:extLst>
            </c:dLbl>
            <c:dLbl>
              <c:idx val="8"/>
              <c:layout>
                <c:manualLayout>
                  <c:x val="1.1556257019345477E-2"/>
                  <c:y val="-3.6286997290261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56A-4F40-A954-EE33CCDCB442}"/>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56A-4F40-A954-EE33CCDCB442}"/>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détaillé'!$G$238:$G$244,'Tableau détaillé'!$G$246:$G$249)</c:f>
              <c:numCache>
                <c:formatCode>0.0%</c:formatCode>
                <c:ptCount val="11"/>
                <c:pt idx="0">
                  <c:v>9.7332383141867471E-2</c:v>
                </c:pt>
                <c:pt idx="1">
                  <c:v>6.8737260518082433E-2</c:v>
                </c:pt>
                <c:pt idx="2">
                  <c:v>5.619958460126552E-2</c:v>
                </c:pt>
                <c:pt idx="3">
                  <c:v>2.3719207227695507E-2</c:v>
                </c:pt>
                <c:pt idx="4">
                  <c:v>7.4529370410873305E-2</c:v>
                </c:pt>
                <c:pt idx="5">
                  <c:v>6.6708415339655269E-2</c:v>
                </c:pt>
                <c:pt idx="6">
                  <c:v>7.3301458720345949E-2</c:v>
                </c:pt>
                <c:pt idx="7">
                  <c:v>0.15261717775902767</c:v>
                </c:pt>
                <c:pt idx="8">
                  <c:v>9.7394338501702801E-2</c:v>
                </c:pt>
                <c:pt idx="9">
                  <c:v>5.0408996066990418E-2</c:v>
                </c:pt>
                <c:pt idx="10">
                  <c:v>0.14208439850320478</c:v>
                </c:pt>
              </c:numCache>
            </c:numRef>
          </c:val>
          <c:extLst>
            <c:ext xmlns:c16="http://schemas.microsoft.com/office/drawing/2014/chart" uri="{C3380CC4-5D6E-409C-BE32-E72D297353CC}">
              <c16:uniqueId val="{00000019-A56A-4F40-A954-EE33CCDCB442}"/>
            </c:ext>
          </c:extLst>
        </c:ser>
        <c:dLbls>
          <c:showLegendKey val="0"/>
          <c:showVal val="0"/>
          <c:showCatName val="0"/>
          <c:showSerName val="0"/>
          <c:showPercent val="0"/>
          <c:showBubbleSize val="0"/>
        </c:dLbls>
        <c:gapWidth val="150"/>
        <c:axId val="1032736968"/>
        <c:axId val="1032724816"/>
      </c:barChart>
      <c:catAx>
        <c:axId val="103273696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4816"/>
        <c:crosses val="autoZero"/>
        <c:auto val="1"/>
        <c:lblAlgn val="ctr"/>
        <c:lblOffset val="100"/>
        <c:noMultiLvlLbl val="0"/>
      </c:catAx>
      <c:valAx>
        <c:axId val="103272481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6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d'acquisition brute</a:t>
            </a:r>
            <a:r>
              <a:rPr lang="fr-FR" baseline="0"/>
              <a:t> </a:t>
            </a:r>
            <a:r>
              <a:rPr lang="fr-FR"/>
              <a:t>- </a:t>
            </a:r>
          </a:p>
          <a:p>
            <a:pPr>
              <a:defRPr sz="1200" b="1"/>
            </a:pPr>
            <a:r>
              <a:rPr lang="fr-FR"/>
              <a:t>par DR</a:t>
            </a:r>
          </a:p>
        </c:rich>
      </c:tx>
      <c:layout>
        <c:manualLayout>
          <c:xMode val="edge"/>
          <c:yMode val="edge"/>
          <c:x val="0.3059270114151954"/>
          <c:y val="3.286221091572122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rgbClr val="FFA7A7"/>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B681-416B-86AA-B385670DD670}"/>
              </c:ext>
            </c:extLst>
          </c:dPt>
          <c:dPt>
            <c:idx val="2"/>
            <c:invertIfNegative val="0"/>
            <c:bubble3D val="0"/>
            <c:spPr>
              <a:solidFill>
                <a:sysClr val="window" lastClr="FFFFFF">
                  <a:lumMod val="65000"/>
                </a:sysClr>
              </a:solidFill>
              <a:ln>
                <a:noFill/>
              </a:ln>
              <a:effectLst/>
            </c:spPr>
            <c:extLst>
              <c:ext xmlns:c16="http://schemas.microsoft.com/office/drawing/2014/chart" uri="{C3380CC4-5D6E-409C-BE32-E72D297353CC}">
                <c16:uniqueId val="{00000004-25DD-4718-BF24-67EC5B8E8FED}"/>
              </c:ext>
            </c:extLst>
          </c:dPt>
          <c:dLbls>
            <c:dLbl>
              <c:idx val="0"/>
              <c:layout>
                <c:manualLayout>
                  <c:x val="-5.7256403869541056E-3"/>
                  <c:y val="0.12934034667286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681-416B-86AA-B385670DD670}"/>
                </c:ext>
              </c:extLst>
            </c:dLbl>
            <c:dLbl>
              <c:idx val="1"/>
              <c:layout>
                <c:manualLayout>
                  <c:x val="-2.8628201934771053E-3"/>
                  <c:y val="0.267600717254205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681-416B-86AA-B385670DD670}"/>
                </c:ext>
              </c:extLst>
            </c:dLbl>
            <c:dLbl>
              <c:idx val="2"/>
              <c:layout>
                <c:manualLayout>
                  <c:x val="2.8628201934770528E-3"/>
                  <c:y val="0.187320502077944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DD-4718-BF24-67EC5B8E8FE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détaillé'!$E$245,'Tableau détaillé'!$E$250,'Tableau détaillé'!$E$237)</c:f>
              <c:numCache>
                <c:formatCode>0.0%</c:formatCode>
                <c:ptCount val="3"/>
                <c:pt idx="0">
                  <c:v>8.2570015814557557E-2</c:v>
                </c:pt>
                <c:pt idx="1">
                  <c:v>0.14689640884964603</c:v>
                </c:pt>
                <c:pt idx="2">
                  <c:v>0.10195452028224485</c:v>
                </c:pt>
              </c:numCache>
            </c:numRef>
          </c:val>
          <c:extLst>
            <c:ext xmlns:c16="http://schemas.microsoft.com/office/drawing/2014/chart" uri="{C3380CC4-5D6E-409C-BE32-E72D297353CC}">
              <c16:uniqueId val="{00000003-B681-416B-86AA-B385670DD670}"/>
            </c:ext>
          </c:extLst>
        </c:ser>
        <c:ser>
          <c:idx val="1"/>
          <c:order val="1"/>
          <c:tx>
            <c:v>M</c:v>
          </c:tx>
          <c:spPr>
            <a:solidFill>
              <a:srgbClr val="FF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B681-416B-86AA-B385670DD670}"/>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5-25DD-4718-BF24-67EC5B8E8FED}"/>
              </c:ext>
            </c:extLst>
          </c:dPt>
          <c:dLbls>
            <c:dLbl>
              <c:idx val="0"/>
              <c:layout>
                <c:manualLayout>
                  <c:x val="0"/>
                  <c:y val="0.133800358627102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681-416B-86AA-B385670DD670}"/>
                </c:ext>
              </c:extLst>
            </c:dLbl>
            <c:dLbl>
              <c:idx val="1"/>
              <c:layout>
                <c:manualLayout>
                  <c:x val="0"/>
                  <c:y val="0.209620561849127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681-416B-86AA-B385670DD670}"/>
                </c:ext>
              </c:extLst>
            </c:dLbl>
            <c:dLbl>
              <c:idx val="2"/>
              <c:layout>
                <c:manualLayout>
                  <c:x val="-1.0496886115158391E-16"/>
                  <c:y val="0.173940466215233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DD-4718-BF24-67EC5B8E8FE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détaillé'!$G$245,'Tableau détaillé'!$G$250,'Tableau détaillé'!$G$237)</c:f>
              <c:numCache>
                <c:formatCode>0.0%</c:formatCode>
                <c:ptCount val="3"/>
                <c:pt idx="0">
                  <c:v>7.5494198214846653E-2</c:v>
                </c:pt>
                <c:pt idx="1">
                  <c:v>0.12158654277579722</c:v>
                </c:pt>
                <c:pt idx="2">
                  <c:v>8.9818215743818666E-2</c:v>
                </c:pt>
              </c:numCache>
            </c:numRef>
          </c:val>
          <c:extLst>
            <c:ext xmlns:c16="http://schemas.microsoft.com/office/drawing/2014/chart" uri="{C3380CC4-5D6E-409C-BE32-E72D297353CC}">
              <c16:uniqueId val="{00000007-B681-416B-86AA-B385670DD670}"/>
            </c:ext>
          </c:extLst>
        </c:ser>
        <c:dLbls>
          <c:showLegendKey val="0"/>
          <c:showVal val="0"/>
          <c:showCatName val="0"/>
          <c:showSerName val="0"/>
          <c:showPercent val="0"/>
          <c:showBubbleSize val="0"/>
        </c:dLbls>
        <c:gapWidth val="150"/>
        <c:axId val="1032730304"/>
        <c:axId val="1032725208"/>
      </c:barChart>
      <c:catAx>
        <c:axId val="103273030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5208"/>
        <c:crosses val="autoZero"/>
        <c:auto val="1"/>
        <c:lblAlgn val="ctr"/>
        <c:lblOffset val="100"/>
        <c:noMultiLvlLbl val="0"/>
      </c:catAx>
      <c:valAx>
        <c:axId val="103272520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0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moyen après un mois </a:t>
            </a:r>
          </a:p>
          <a:p>
            <a:pPr>
              <a:defRPr sz="1200" b="1"/>
            </a:pPr>
            <a:r>
              <a:rPr lang="fr-FR"/>
              <a:t>des clients entrants vs Equipement moyen global</a:t>
            </a:r>
          </a:p>
        </c:rich>
      </c:tx>
      <c:layout>
        <c:manualLayout>
          <c:xMode val="edge"/>
          <c:yMode val="edge"/>
          <c:x val="0.10090596248139817"/>
          <c:y val="1.2629017954563391E-3"/>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7BF6-4E1D-B09B-A99641009495}"/>
              </c:ext>
            </c:extLst>
          </c:dPt>
          <c:dPt>
            <c:idx val="8"/>
            <c:invertIfNegative val="0"/>
            <c:bubble3D val="0"/>
            <c:spPr>
              <a:solidFill>
                <a:srgbClr val="FFA7A7"/>
              </a:solidFill>
              <a:ln>
                <a:noFill/>
              </a:ln>
              <a:effectLst/>
            </c:spPr>
            <c:extLst>
              <c:ext xmlns:c16="http://schemas.microsoft.com/office/drawing/2014/chart" uri="{C3380CC4-5D6E-409C-BE32-E72D297353CC}">
                <c16:uniqueId val="{00000003-7BF6-4E1D-B09B-A99641009495}"/>
              </c:ext>
            </c:extLst>
          </c:dPt>
          <c:dPt>
            <c:idx val="9"/>
            <c:invertIfNegative val="0"/>
            <c:bubble3D val="0"/>
            <c:spPr>
              <a:solidFill>
                <a:srgbClr val="FFA7A7"/>
              </a:solidFill>
              <a:ln>
                <a:noFill/>
              </a:ln>
              <a:effectLst/>
            </c:spPr>
            <c:extLst>
              <c:ext xmlns:c16="http://schemas.microsoft.com/office/drawing/2014/chart" uri="{C3380CC4-5D6E-409C-BE32-E72D297353CC}">
                <c16:uniqueId val="{00000005-7BF6-4E1D-B09B-A99641009495}"/>
              </c:ext>
            </c:extLst>
          </c:dPt>
          <c:dPt>
            <c:idx val="10"/>
            <c:invertIfNegative val="0"/>
            <c:bubble3D val="0"/>
            <c:spPr>
              <a:solidFill>
                <a:srgbClr val="FFA7A7"/>
              </a:solidFill>
              <a:ln>
                <a:noFill/>
              </a:ln>
              <a:effectLst/>
            </c:spPr>
            <c:extLst>
              <c:ext xmlns:c16="http://schemas.microsoft.com/office/drawing/2014/chart" uri="{C3380CC4-5D6E-409C-BE32-E72D297353CC}">
                <c16:uniqueId val="{00000007-7BF6-4E1D-B09B-A99641009495}"/>
              </c:ext>
            </c:extLst>
          </c:dPt>
          <c:dLbls>
            <c:dLbl>
              <c:idx val="0"/>
              <c:layout>
                <c:manualLayout>
                  <c:x val="-1.1550481630073089E-2"/>
                  <c:y val="-4.50515928956059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BF6-4E1D-B09B-A99641009495}"/>
                </c:ext>
              </c:extLst>
            </c:dLbl>
            <c:dLbl>
              <c:idx val="1"/>
              <c:layout>
                <c:manualLayout>
                  <c:x val="-1.4438102037591388E-2"/>
                  <c:y val="-2.7215247967696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BF6-4E1D-B09B-A99641009495}"/>
                </c:ext>
              </c:extLst>
            </c:dLbl>
            <c:dLbl>
              <c:idx val="2"/>
              <c:layout>
                <c:manualLayout>
                  <c:x val="-2.887620407518272E-2"/>
                  <c:y val="2.22807877849966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BF6-4E1D-B09B-A99641009495}"/>
                </c:ext>
              </c:extLst>
            </c:dLbl>
            <c:dLbl>
              <c:idx val="3"/>
              <c:layout>
                <c:manualLayout>
                  <c:x val="-3.4651444890219263E-2"/>
                  <c:y val="-9.0104439559254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BF6-4E1D-B09B-A99641009495}"/>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BF6-4E1D-B09B-A99641009495}"/>
                </c:ext>
              </c:extLst>
            </c:dLbl>
            <c:dLbl>
              <c:idx val="7"/>
              <c:layout>
                <c:manualLayout>
                  <c:x val="-2.5988583667664555E-2"/>
                  <c:y val="-3.1536553845739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F6-4E1D-B09B-A99641009495}"/>
                </c:ext>
              </c:extLst>
            </c:dLbl>
            <c:dLbl>
              <c:idx val="9"/>
              <c:layout>
                <c:manualLayout>
                  <c:x val="-8.6628612225548157E-3"/>
                  <c:y val="-3.15365538457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F6-4E1D-B09B-A99641009495}"/>
                </c:ext>
              </c:extLst>
            </c:dLbl>
            <c:dLbl>
              <c:idx val="10"/>
              <c:layout>
                <c:manualLayout>
                  <c:x val="-8.6762414950839317E-3"/>
                  <c:y val="-1.76224087923108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BF6-4E1D-B09B-A99641009495}"/>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détaillé'!$D$168:$D$174,'Tableau détaillé'!$D$176:$D$179)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détaillé'!$E$255:$E$261,'Tableau détaillé'!$E$263:$E$266)</c:f>
              <c:numCache>
                <c:formatCode>0.0</c:formatCode>
                <c:ptCount val="11"/>
                <c:pt idx="0">
                  <c:v>3.303268698060942</c:v>
                </c:pt>
                <c:pt idx="1">
                  <c:v>2.1208378672470074</c:v>
                </c:pt>
                <c:pt idx="2">
                  <c:v>2.5682558325770115</c:v>
                </c:pt>
                <c:pt idx="3">
                  <c:v>2.5797797232420221</c:v>
                </c:pt>
                <c:pt idx="4">
                  <c:v>1.7723286200107393</c:v>
                </c:pt>
                <c:pt idx="5">
                  <c:v>3.4275802254986991</c:v>
                </c:pt>
                <c:pt idx="6">
                  <c:v>1.9003001000333444</c:v>
                </c:pt>
                <c:pt idx="7">
                  <c:v>2.5879211971148672</c:v>
                </c:pt>
                <c:pt idx="8">
                  <c:v>3.1185006524059942</c:v>
                </c:pt>
                <c:pt idx="9">
                  <c:v>1.6205109218807849</c:v>
                </c:pt>
                <c:pt idx="10">
                  <c:v>4.7050593785586461</c:v>
                </c:pt>
              </c:numCache>
            </c:numRef>
          </c:val>
          <c:extLst>
            <c:ext xmlns:c16="http://schemas.microsoft.com/office/drawing/2014/chart" uri="{C3380CC4-5D6E-409C-BE32-E72D297353CC}">
              <c16:uniqueId val="{0000000D-7BF6-4E1D-B09B-A99641009495}"/>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F-7BF6-4E1D-B09B-A99641009495}"/>
              </c:ext>
            </c:extLst>
          </c:dPt>
          <c:dPt>
            <c:idx val="8"/>
            <c:invertIfNegative val="0"/>
            <c:bubble3D val="0"/>
            <c:spPr>
              <a:solidFill>
                <a:srgbClr val="FF0000"/>
              </a:solidFill>
              <a:ln>
                <a:noFill/>
              </a:ln>
              <a:effectLst/>
            </c:spPr>
            <c:extLst>
              <c:ext xmlns:c16="http://schemas.microsoft.com/office/drawing/2014/chart" uri="{C3380CC4-5D6E-409C-BE32-E72D297353CC}">
                <c16:uniqueId val="{00000011-7BF6-4E1D-B09B-A99641009495}"/>
              </c:ext>
            </c:extLst>
          </c:dPt>
          <c:dPt>
            <c:idx val="9"/>
            <c:invertIfNegative val="0"/>
            <c:bubble3D val="0"/>
            <c:spPr>
              <a:solidFill>
                <a:srgbClr val="FF0000"/>
              </a:solidFill>
              <a:ln>
                <a:noFill/>
              </a:ln>
              <a:effectLst/>
            </c:spPr>
            <c:extLst>
              <c:ext xmlns:c16="http://schemas.microsoft.com/office/drawing/2014/chart" uri="{C3380CC4-5D6E-409C-BE32-E72D297353CC}">
                <c16:uniqueId val="{00000013-7BF6-4E1D-B09B-A99641009495}"/>
              </c:ext>
            </c:extLst>
          </c:dPt>
          <c:dPt>
            <c:idx val="10"/>
            <c:invertIfNegative val="0"/>
            <c:bubble3D val="0"/>
            <c:spPr>
              <a:solidFill>
                <a:srgbClr val="FF0000"/>
              </a:solidFill>
              <a:ln>
                <a:noFill/>
              </a:ln>
              <a:effectLst/>
            </c:spPr>
            <c:extLst>
              <c:ext xmlns:c16="http://schemas.microsoft.com/office/drawing/2014/chart" uri="{C3380CC4-5D6E-409C-BE32-E72D297353CC}">
                <c16:uniqueId val="{00000015-7BF6-4E1D-B09B-A99641009495}"/>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BF6-4E1D-B09B-A99641009495}"/>
                </c:ext>
              </c:extLst>
            </c:dLbl>
            <c:dLbl>
              <c:idx val="2"/>
              <c:layout>
                <c:manualLayout>
                  <c:x val="-1.1567640327708531E-2"/>
                  <c:y val="-3.61337775871361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BF6-4E1D-B09B-A99641009495}"/>
                </c:ext>
              </c:extLst>
            </c:dLbl>
            <c:dLbl>
              <c:idx val="8"/>
              <c:layout>
                <c:manualLayout>
                  <c:x val="0"/>
                  <c:y val="-6.8038119919239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BF6-4E1D-B09B-A99641009495}"/>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BF6-4E1D-B09B-A99641009495}"/>
                </c:ext>
              </c:extLst>
            </c:dLbl>
            <c:dLbl>
              <c:idx val="10"/>
              <c:layout>
                <c:manualLayout>
                  <c:x val="1.1556257019345477E-2"/>
                  <c:y val="-9.07174932256533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BF6-4E1D-B09B-A99641009495}"/>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détaillé'!$D$168:$D$174,'Tableau détaillé'!$D$176:$D$179)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détaillé'!$G$255:$G$261,'Tableau détaillé'!$G$263:$G$266)</c:f>
              <c:numCache>
                <c:formatCode>0.0</c:formatCode>
                <c:ptCount val="11"/>
                <c:pt idx="0">
                  <c:v>3.573339467072437</c:v>
                </c:pt>
                <c:pt idx="1">
                  <c:v>2.3808812133289052</c:v>
                </c:pt>
                <c:pt idx="2">
                  <c:v>3.1809530473724723</c:v>
                </c:pt>
                <c:pt idx="3">
                  <c:v>2.6410351201478743</c:v>
                </c:pt>
                <c:pt idx="4">
                  <c:v>2.2423873325213153</c:v>
                </c:pt>
                <c:pt idx="5">
                  <c:v>5.0447627573858549</c:v>
                </c:pt>
                <c:pt idx="6">
                  <c:v>1.9092402464065708</c:v>
                </c:pt>
                <c:pt idx="7">
                  <c:v>3.514300766073271</c:v>
                </c:pt>
                <c:pt idx="8">
                  <c:v>3.6126480466678452</c:v>
                </c:pt>
                <c:pt idx="9">
                  <c:v>2.3681318681318682</c:v>
                </c:pt>
                <c:pt idx="10">
                  <c:v>4.9567319313512206</c:v>
                </c:pt>
              </c:numCache>
            </c:numRef>
          </c:val>
          <c:extLst>
            <c:ext xmlns:c16="http://schemas.microsoft.com/office/drawing/2014/chart" uri="{C3380CC4-5D6E-409C-BE32-E72D297353CC}">
              <c16:uniqueId val="{00000018-7BF6-4E1D-B09B-A99641009495}"/>
            </c:ext>
          </c:extLst>
        </c:ser>
        <c:dLbls>
          <c:showLegendKey val="0"/>
          <c:showVal val="0"/>
          <c:showCatName val="0"/>
          <c:showSerName val="0"/>
          <c:showPercent val="0"/>
          <c:showBubbleSize val="0"/>
        </c:dLbls>
        <c:gapWidth val="150"/>
        <c:axId val="1032728344"/>
        <c:axId val="1032728736"/>
      </c:barChart>
      <c:lineChart>
        <c:grouping val="standard"/>
        <c:varyColors val="0"/>
        <c:ser>
          <c:idx val="2"/>
          <c:order val="2"/>
          <c:tx>
            <c:v>Equipement moyen</c:v>
          </c:tx>
          <c:spPr>
            <a:ln w="28575" cap="rnd">
              <a:noFill/>
              <a:round/>
            </a:ln>
            <a:effectLst/>
          </c:spPr>
          <c:marker>
            <c:symbol val="dash"/>
            <c:size val="17"/>
            <c:spPr>
              <a:solidFill>
                <a:sysClr val="windowText" lastClr="000000"/>
              </a:solidFill>
              <a:ln w="0">
                <a:solidFill>
                  <a:sysClr val="window" lastClr="FFFFFF">
                    <a:lumMod val="95000"/>
                  </a:sysClr>
                </a:solidFill>
              </a:ln>
              <a:effectLst/>
            </c:spPr>
          </c:marker>
          <c:dLbls>
            <c:dLbl>
              <c:idx val="0"/>
              <c:layout>
                <c:manualLayout>
                  <c:x val="-5.6683988599583672E-2"/>
                  <c:y val="-5.5178736676761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BF6-4E1D-B09B-A99641009495}"/>
                </c:ext>
              </c:extLst>
            </c:dLbl>
            <c:dLbl>
              <c:idx val="1"/>
              <c:layout>
                <c:manualLayout>
                  <c:x val="-5.6683988599583686E-2"/>
                  <c:y val="-4.61069873541957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BF6-4E1D-B09B-A99641009495}"/>
                </c:ext>
              </c:extLst>
            </c:dLbl>
            <c:dLbl>
              <c:idx val="2"/>
              <c:layout>
                <c:manualLayout>
                  <c:x val="-5.6683988599583686E-2"/>
                  <c:y val="-5.51787366767611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7BF6-4E1D-B09B-A99641009495}"/>
                </c:ext>
              </c:extLst>
            </c:dLbl>
            <c:dLbl>
              <c:idx val="3"/>
              <c:layout>
                <c:manualLayout>
                  <c:x val="-5.6683988599583686E-2"/>
                  <c:y val="-5.9714611338043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7BF6-4E1D-B09B-A99641009495}"/>
                </c:ext>
              </c:extLst>
            </c:dLbl>
            <c:dLbl>
              <c:idx val="4"/>
              <c:layout>
                <c:manualLayout>
                  <c:x val="-5.6683988599583686E-2"/>
                  <c:y val="-5.51787366767610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7BF6-4E1D-B09B-A99641009495}"/>
                </c:ext>
              </c:extLst>
            </c:dLbl>
            <c:dLbl>
              <c:idx val="5"/>
              <c:layout>
                <c:manualLayout>
                  <c:x val="-5.6683988599583686E-2"/>
                  <c:y val="-5.51787366767611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7BF6-4E1D-B09B-A99641009495}"/>
                </c:ext>
              </c:extLst>
            </c:dLbl>
            <c:dLbl>
              <c:idx val="6"/>
              <c:layout>
                <c:manualLayout>
                  <c:x val="-5.6646649931015425E-2"/>
                  <c:y val="-5.97146113380438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4F5-4587-B4C3-D90F5895D9B1}"/>
                </c:ext>
              </c:extLst>
            </c:dLbl>
            <c:dLbl>
              <c:idx val="7"/>
              <c:layout>
                <c:manualLayout>
                  <c:x val="-5.6683988599583686E-2"/>
                  <c:y val="-5.064286201547844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7BF6-4E1D-B09B-A99641009495}"/>
                </c:ext>
              </c:extLst>
            </c:dLbl>
            <c:dLbl>
              <c:idx val="8"/>
              <c:layout>
                <c:manualLayout>
                  <c:x val="-5.6683988599583686E-2"/>
                  <c:y val="-4.15711126929131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7BF6-4E1D-B09B-A99641009495}"/>
                </c:ext>
              </c:extLst>
            </c:dLbl>
            <c:dLbl>
              <c:idx val="9"/>
              <c:layout>
                <c:manualLayout>
                  <c:x val="-5.6683988599583686E-2"/>
                  <c:y val="-4.610698735419573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BF6-4E1D-B09B-A996410094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Arial Narrow" panose="020B0606020202030204" pitchFamily="34" charset="0"/>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détaillé'!$D$168:$D$174,'Tableau détaillé'!$D$176:$D$179)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détaillé'!$G$168:$G$174,'Tableau détaillé'!$G$176:$G$179)</c:f>
              <c:numCache>
                <c:formatCode>0.0</c:formatCode>
                <c:ptCount val="11"/>
                <c:pt idx="0">
                  <c:v>6.3544296431103309</c:v>
                </c:pt>
                <c:pt idx="1">
                  <c:v>6.6969057665260197</c:v>
                </c:pt>
                <c:pt idx="2">
                  <c:v>5.0796210917216094</c:v>
                </c:pt>
                <c:pt idx="3">
                  <c:v>6.3771580345285495</c:v>
                </c:pt>
                <c:pt idx="4">
                  <c:v>4.4597111640611402</c:v>
                </c:pt>
                <c:pt idx="5">
                  <c:v>6.6961510174062298</c:v>
                </c:pt>
                <c:pt idx="6">
                  <c:v>4.29526879244849</c:v>
                </c:pt>
                <c:pt idx="7">
                  <c:v>5.7338692251177701</c:v>
                </c:pt>
                <c:pt idx="8">
                  <c:v>7.1841829689298002</c:v>
                </c:pt>
                <c:pt idx="9">
                  <c:v>4.3583805711522396</c:v>
                </c:pt>
                <c:pt idx="10">
                  <c:v>6.2408480565371001</c:v>
                </c:pt>
              </c:numCache>
            </c:numRef>
          </c:val>
          <c:smooth val="0"/>
          <c:extLst>
            <c:ext xmlns:c16="http://schemas.microsoft.com/office/drawing/2014/chart" uri="{C3380CC4-5D6E-409C-BE32-E72D297353CC}">
              <c16:uniqueId val="{00000022-7BF6-4E1D-B09B-A99641009495}"/>
            </c:ext>
          </c:extLst>
        </c:ser>
        <c:dLbls>
          <c:showLegendKey val="0"/>
          <c:showVal val="0"/>
          <c:showCatName val="0"/>
          <c:showSerName val="0"/>
          <c:showPercent val="0"/>
          <c:showBubbleSize val="0"/>
        </c:dLbls>
        <c:marker val="1"/>
        <c:smooth val="0"/>
        <c:axId val="1032728344"/>
        <c:axId val="1032728736"/>
      </c:lineChart>
      <c:catAx>
        <c:axId val="103272834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8736"/>
        <c:crosses val="autoZero"/>
        <c:auto val="1"/>
        <c:lblAlgn val="ctr"/>
        <c:lblOffset val="100"/>
        <c:noMultiLvlLbl val="0"/>
      </c:catAx>
      <c:valAx>
        <c:axId val="103272873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28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moyen après un mois </a:t>
            </a:r>
          </a:p>
          <a:p>
            <a:pPr>
              <a:defRPr sz="1200" b="1"/>
            </a:pPr>
            <a:r>
              <a:rPr lang="fr-FR"/>
              <a:t>des clients entrants vs Equipement moyen global - </a:t>
            </a:r>
          </a:p>
          <a:p>
            <a:pPr>
              <a:defRPr sz="1200" b="1"/>
            </a:pPr>
            <a:r>
              <a:rPr lang="fr-FR"/>
              <a:t>par DR</a:t>
            </a:r>
          </a:p>
        </c:rich>
      </c:tx>
      <c:layout>
        <c:manualLayout>
          <c:xMode val="edge"/>
          <c:yMode val="edge"/>
          <c:x val="0.10668120329643471"/>
          <c:y val="1.502216309877416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2324295815641933"/>
          <c:w val="0.89920800524934386"/>
          <c:h val="0.54232470259511278"/>
        </c:manualLayout>
      </c:layout>
      <c:barChart>
        <c:barDir val="col"/>
        <c:grouping val="clustered"/>
        <c:varyColors val="0"/>
        <c:ser>
          <c:idx val="0"/>
          <c:order val="0"/>
          <c:tx>
            <c:v>M-1</c:v>
          </c:tx>
          <c:spPr>
            <a:solidFill>
              <a:srgbClr val="FFA7A7"/>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4AC1-4936-9D1D-981CD70A2C7E}"/>
              </c:ext>
            </c:extLst>
          </c:dPt>
          <c:dPt>
            <c:idx val="2"/>
            <c:invertIfNegative val="0"/>
            <c:bubble3D val="0"/>
            <c:spPr>
              <a:solidFill>
                <a:sysClr val="window" lastClr="FFFFFF">
                  <a:lumMod val="65000"/>
                </a:sysClr>
              </a:solidFill>
              <a:ln>
                <a:noFill/>
              </a:ln>
              <a:effectLst/>
            </c:spPr>
            <c:extLst>
              <c:ext xmlns:c16="http://schemas.microsoft.com/office/drawing/2014/chart" uri="{C3380CC4-5D6E-409C-BE32-E72D297353CC}">
                <c16:uniqueId val="{00000004-8107-4B46-861C-8FFC86106A88}"/>
              </c:ext>
            </c:extLst>
          </c:dPt>
          <c:dLbls>
            <c:dLbl>
              <c:idx val="0"/>
              <c:layout>
                <c:manualLayout>
                  <c:x val="-1.4314100967385291E-2"/>
                  <c:y val="0.129307106308487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C1-4936-9D1D-981CD70A2C7E}"/>
                </c:ext>
              </c:extLst>
            </c:dLbl>
            <c:dLbl>
              <c:idx val="1"/>
              <c:layout>
                <c:manualLayout>
                  <c:x val="-1.0496886115158391E-16"/>
                  <c:y val="0.120389374838936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C1-4936-9D1D-981CD70A2C7E}"/>
                </c:ext>
              </c:extLst>
            </c:dLbl>
            <c:dLbl>
              <c:idx val="2"/>
              <c:layout>
                <c:manualLayout>
                  <c:x val="-1.0496886115158391E-16"/>
                  <c:y val="0.133765972043262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107-4B46-861C-8FFC86106A8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détaillé'!$D$175,'Tableau détaillé'!$D$180,'Tableau détaillé'!$D$167)</c:f>
              <c:strCache>
                <c:ptCount val="3"/>
                <c:pt idx="0">
                  <c:v>Total AFO</c:v>
                </c:pt>
                <c:pt idx="1">
                  <c:v>Total AFCE</c:v>
                </c:pt>
                <c:pt idx="2">
                  <c:v>Total AFS</c:v>
                </c:pt>
              </c:strCache>
            </c:strRef>
          </c:cat>
          <c:val>
            <c:numRef>
              <c:f>('Tableau détaillé'!$E$262,'Tableau détaillé'!$E$267,'Tableau détaillé'!$E$254)</c:f>
              <c:numCache>
                <c:formatCode>0.0</c:formatCode>
                <c:ptCount val="3"/>
                <c:pt idx="0">
                  <c:v>2.8184827005672415</c:v>
                </c:pt>
                <c:pt idx="1">
                  <c:v>2.8835128561501042</c:v>
                </c:pt>
                <c:pt idx="2">
                  <c:v>2.8467900067521943</c:v>
                </c:pt>
              </c:numCache>
            </c:numRef>
          </c:val>
          <c:extLst>
            <c:ext xmlns:c16="http://schemas.microsoft.com/office/drawing/2014/chart" uri="{C3380CC4-5D6E-409C-BE32-E72D297353CC}">
              <c16:uniqueId val="{00000003-4AC1-4936-9D1D-981CD70A2C7E}"/>
            </c:ext>
          </c:extLst>
        </c:ser>
        <c:ser>
          <c:idx val="1"/>
          <c:order val="1"/>
          <c:tx>
            <c:v>M</c:v>
          </c:tx>
          <c:spPr>
            <a:solidFill>
              <a:srgbClr val="FF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4AC1-4936-9D1D-981CD70A2C7E}"/>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5-8107-4B46-861C-8FFC86106A88}"/>
              </c:ext>
            </c:extLst>
          </c:dPt>
          <c:dLbls>
            <c:dLbl>
              <c:idx val="0"/>
              <c:layout>
                <c:manualLayout>
                  <c:x val="2.8628201934770528E-3"/>
                  <c:y val="0.120389374838936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AC1-4936-9D1D-981CD70A2C7E}"/>
                </c:ext>
              </c:extLst>
            </c:dLbl>
            <c:dLbl>
              <c:idx val="1"/>
              <c:layout>
                <c:manualLayout>
                  <c:x val="0"/>
                  <c:y val="0.151601434982364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C1-4936-9D1D-981CD70A2C7E}"/>
                </c:ext>
              </c:extLst>
            </c:dLbl>
            <c:dLbl>
              <c:idx val="2"/>
              <c:layout>
                <c:manualLayout>
                  <c:x val="-1.0496886115158391E-16"/>
                  <c:y val="0.133765972043262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107-4B46-861C-8FFC86106A8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détaillé'!$D$175,'Tableau détaillé'!$D$180,'Tableau détaillé'!$D$167)</c:f>
              <c:strCache>
                <c:ptCount val="3"/>
                <c:pt idx="0">
                  <c:v>Total AFO</c:v>
                </c:pt>
                <c:pt idx="1">
                  <c:v>Total AFCE</c:v>
                </c:pt>
                <c:pt idx="2">
                  <c:v>Total AFS</c:v>
                </c:pt>
              </c:strCache>
            </c:strRef>
          </c:cat>
          <c:val>
            <c:numRef>
              <c:f>('Tableau détaillé'!$G$262,'Tableau détaillé'!$G$267,'Tableau détaillé'!$G$254)</c:f>
              <c:numCache>
                <c:formatCode>0.0</c:formatCode>
                <c:ptCount val="3"/>
                <c:pt idx="0">
                  <c:v>3.1847584862695149</c:v>
                </c:pt>
                <c:pt idx="1">
                  <c:v>3.5817699728188455</c:v>
                </c:pt>
                <c:pt idx="2">
                  <c:v>3.3515081985561586</c:v>
                </c:pt>
              </c:numCache>
            </c:numRef>
          </c:val>
          <c:extLst>
            <c:ext xmlns:c16="http://schemas.microsoft.com/office/drawing/2014/chart" uri="{C3380CC4-5D6E-409C-BE32-E72D297353CC}">
              <c16:uniqueId val="{00000007-4AC1-4936-9D1D-981CD70A2C7E}"/>
            </c:ext>
          </c:extLst>
        </c:ser>
        <c:dLbls>
          <c:showLegendKey val="0"/>
          <c:showVal val="0"/>
          <c:showCatName val="0"/>
          <c:showSerName val="0"/>
          <c:showPercent val="0"/>
          <c:showBubbleSize val="0"/>
        </c:dLbls>
        <c:gapWidth val="150"/>
        <c:axId val="1032731088"/>
        <c:axId val="1032731480"/>
      </c:barChart>
      <c:lineChart>
        <c:grouping val="standard"/>
        <c:varyColors val="0"/>
        <c:ser>
          <c:idx val="2"/>
          <c:order val="2"/>
          <c:tx>
            <c:strRef>
              <c:f>'Tableau détaillé'!$C$167</c:f>
              <c:strCache>
                <c:ptCount val="1"/>
                <c:pt idx="0">
                  <c:v>Equipement moyen</c:v>
                </c:pt>
              </c:strCache>
            </c:strRef>
          </c:tx>
          <c:spPr>
            <a:ln w="25400" cap="rnd">
              <a:noFill/>
              <a:round/>
            </a:ln>
            <a:effectLst/>
          </c:spPr>
          <c:marker>
            <c:symbol val="dash"/>
            <c:size val="40"/>
            <c:spPr>
              <a:solidFill>
                <a:sysClr val="windowText" lastClr="000000"/>
              </a:solidFill>
              <a:ln w="50800">
                <a:solidFill>
                  <a:sysClr val="window" lastClr="FFFFFF">
                    <a:lumMod val="95000"/>
                    <a:alpha val="98000"/>
                  </a:sysClr>
                </a:solidFill>
              </a:ln>
              <a:effectLst/>
            </c:spPr>
          </c:marker>
          <c:dLbls>
            <c:dLbl>
              <c:idx val="0"/>
              <c:layout>
                <c:manualLayout>
                  <c:x val="-0.10106671426313958"/>
                  <c:y val="-4.939055519650865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C1-4936-9D1D-981CD70A2C7E}"/>
                </c:ext>
              </c:extLst>
            </c:dLbl>
            <c:dLbl>
              <c:idx val="1"/>
              <c:layout>
                <c:manualLayout>
                  <c:x val="-9.240385304058471E-2"/>
                  <c:y val="-7.181075782977924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AC1-4936-9D1D-981CD70A2C7E}"/>
                </c:ext>
              </c:extLst>
            </c:dLbl>
            <c:dLbl>
              <c:idx val="2"/>
              <c:layout>
                <c:manualLayout>
                  <c:x val="-8.5884605804311592E-2"/>
                  <c:y val="-5.35063888173052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107-4B46-861C-8FFC86106A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détaillé'!$D$175,'Tableau détaillé'!$D$180,'Tableau détaillé'!$D$167)</c:f>
              <c:strCache>
                <c:ptCount val="3"/>
                <c:pt idx="0">
                  <c:v>Total AFO</c:v>
                </c:pt>
                <c:pt idx="1">
                  <c:v>Total AFCE</c:v>
                </c:pt>
                <c:pt idx="2">
                  <c:v>Total AFS</c:v>
                </c:pt>
              </c:strCache>
            </c:strRef>
          </c:cat>
          <c:val>
            <c:numRef>
              <c:f>('Tableau détaillé'!$G$175,'Tableau détaillé'!$G$180,'Tableau détaillé'!$G$167)</c:f>
              <c:numCache>
                <c:formatCode>0.0</c:formatCode>
                <c:ptCount val="3"/>
                <c:pt idx="0">
                  <c:v>6.0058584089159774</c:v>
                </c:pt>
                <c:pt idx="1">
                  <c:v>6.1686172518422193</c:v>
                </c:pt>
                <c:pt idx="2">
                  <c:v>6.0660765495325197</c:v>
                </c:pt>
              </c:numCache>
            </c:numRef>
          </c:val>
          <c:smooth val="0"/>
          <c:extLst>
            <c:ext xmlns:c16="http://schemas.microsoft.com/office/drawing/2014/chart" uri="{C3380CC4-5D6E-409C-BE32-E72D297353CC}">
              <c16:uniqueId val="{0000000A-4AC1-4936-9D1D-981CD70A2C7E}"/>
            </c:ext>
          </c:extLst>
        </c:ser>
        <c:dLbls>
          <c:showLegendKey val="0"/>
          <c:showVal val="0"/>
          <c:showCatName val="0"/>
          <c:showSerName val="0"/>
          <c:showPercent val="0"/>
          <c:showBubbleSize val="0"/>
        </c:dLbls>
        <c:marker val="1"/>
        <c:smooth val="0"/>
        <c:axId val="1032731088"/>
        <c:axId val="1032731480"/>
      </c:lineChart>
      <c:catAx>
        <c:axId val="103273108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1480"/>
        <c:crosses val="autoZero"/>
        <c:auto val="1"/>
        <c:lblAlgn val="ctr"/>
        <c:lblOffset val="100"/>
        <c:noMultiLvlLbl val="0"/>
      </c:catAx>
      <c:valAx>
        <c:axId val="103273148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1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crédits</a:t>
            </a:r>
          </a:p>
        </c:rich>
      </c:tx>
      <c:layout>
        <c:manualLayout>
          <c:xMode val="edge"/>
          <c:yMode val="edge"/>
          <c:x val="0.35790417875052438"/>
          <c:y val="2.394227510186967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E3D9-4AD2-9D79-58E884AD87E2}"/>
              </c:ext>
            </c:extLst>
          </c:dPt>
          <c:dPt>
            <c:idx val="8"/>
            <c:invertIfNegative val="0"/>
            <c:bubble3D val="0"/>
            <c:spPr>
              <a:solidFill>
                <a:srgbClr val="FFA7A7"/>
              </a:solidFill>
              <a:ln>
                <a:noFill/>
              </a:ln>
              <a:effectLst/>
            </c:spPr>
            <c:extLst>
              <c:ext xmlns:c16="http://schemas.microsoft.com/office/drawing/2014/chart" uri="{C3380CC4-5D6E-409C-BE32-E72D297353CC}">
                <c16:uniqueId val="{00000003-E3D9-4AD2-9D79-58E884AD87E2}"/>
              </c:ext>
            </c:extLst>
          </c:dPt>
          <c:dPt>
            <c:idx val="9"/>
            <c:invertIfNegative val="0"/>
            <c:bubble3D val="0"/>
            <c:spPr>
              <a:solidFill>
                <a:srgbClr val="FFA7A7"/>
              </a:solidFill>
              <a:ln>
                <a:noFill/>
              </a:ln>
              <a:effectLst/>
            </c:spPr>
            <c:extLst>
              <c:ext xmlns:c16="http://schemas.microsoft.com/office/drawing/2014/chart" uri="{C3380CC4-5D6E-409C-BE32-E72D297353CC}">
                <c16:uniqueId val="{00000005-E3D9-4AD2-9D79-58E884AD87E2}"/>
              </c:ext>
            </c:extLst>
          </c:dPt>
          <c:dPt>
            <c:idx val="10"/>
            <c:invertIfNegative val="0"/>
            <c:bubble3D val="0"/>
            <c:spPr>
              <a:solidFill>
                <a:srgbClr val="FFA7A7"/>
              </a:solidFill>
              <a:ln>
                <a:noFill/>
              </a:ln>
              <a:effectLst/>
            </c:spPr>
            <c:extLst>
              <c:ext xmlns:c16="http://schemas.microsoft.com/office/drawing/2014/chart" uri="{C3380CC4-5D6E-409C-BE32-E72D297353CC}">
                <c16:uniqueId val="{00000007-E3D9-4AD2-9D79-58E884AD87E2}"/>
              </c:ext>
            </c:extLst>
          </c:dPt>
          <c:dLbls>
            <c:dLbl>
              <c:idx val="0"/>
              <c:layout>
                <c:manualLayout>
                  <c:x val="-2.0213342852627905E-2"/>
                  <c:y val="-7.2543279208800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D9-4AD2-9D79-58E884AD87E2}"/>
                </c:ext>
              </c:extLst>
            </c:dLbl>
            <c:dLbl>
              <c:idx val="1"/>
              <c:layout>
                <c:manualLayout>
                  <c:x val="-3.1763782826992597E-2"/>
                  <c:y val="-9.05268994215424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D9-4AD2-9D79-58E884AD87E2}"/>
                </c:ext>
              </c:extLst>
            </c:dLbl>
            <c:dLbl>
              <c:idx val="2"/>
              <c:layout>
                <c:manualLayout>
                  <c:x val="0"/>
                  <c:y val="-0.104723702730918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D9-4AD2-9D79-58E884AD87E2}"/>
                </c:ext>
              </c:extLst>
            </c:dLbl>
            <c:dLbl>
              <c:idx val="3"/>
              <c:layout>
                <c:manualLayout>
                  <c:x val="-3.4651444890219263E-2"/>
                  <c:y val="-9.0104439559254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3D9-4AD2-9D79-58E884AD87E2}"/>
                </c:ext>
              </c:extLst>
            </c:dLbl>
            <c:dLbl>
              <c:idx val="4"/>
              <c:layout>
                <c:manualLayout>
                  <c:x val="-8.6628612225548157E-3"/>
                  <c:y val="-2.2679373306413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3D9-4AD2-9D79-58E884AD87E2}"/>
                </c:ext>
              </c:extLst>
            </c:dLbl>
            <c:dLbl>
              <c:idx val="5"/>
              <c:layout>
                <c:manualLayout>
                  <c:x val="-8.6628612225549215E-3"/>
                  <c:y val="-4.53587466128267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3D9-4AD2-9D79-58E884AD87E2}"/>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3D9-4AD2-9D79-58E884AD87E2}"/>
                </c:ext>
              </c:extLst>
            </c:dLbl>
            <c:dLbl>
              <c:idx val="7"/>
              <c:layout>
                <c:manualLayout>
                  <c:x val="-1.443810203759136E-2"/>
                  <c:y val="-2.70005975211266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D9-4AD2-9D79-58E884AD87E2}"/>
                </c:ext>
              </c:extLst>
            </c:dLbl>
            <c:dLbl>
              <c:idx val="8"/>
              <c:layout>
                <c:manualLayout>
                  <c:x val="-8.6628612225549215E-3"/>
                  <c:y val="-1.36076239838480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D9-4AD2-9D79-58E884AD87E2}"/>
                </c:ext>
              </c:extLst>
            </c:dLbl>
            <c:dLbl>
              <c:idx val="9"/>
              <c:layout>
                <c:manualLayout>
                  <c:x val="-2.0213342852627905E-2"/>
                  <c:y val="-7.2359344133953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D9-4AD2-9D79-58E884AD87E2}"/>
                </c:ext>
              </c:extLst>
            </c:dLbl>
            <c:dLbl>
              <c:idx val="10"/>
              <c:layout>
                <c:manualLayout>
                  <c:x val="6.3687067227535156E-6"/>
                  <c:y val="-5.3888725602722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D9-4AD2-9D79-58E884AD87E2}"/>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détaillé'!$F$37:$F$43,'Tableau détaillé'!$F$45:$F$48)</c:f>
              <c:numCache>
                <c:formatCode>0.0%</c:formatCode>
                <c:ptCount val="11"/>
                <c:pt idx="0">
                  <c:v>0.34063849919700001</c:v>
                </c:pt>
                <c:pt idx="1">
                  <c:v>0.480735020618</c:v>
                </c:pt>
                <c:pt idx="2">
                  <c:v>0.40447595973</c:v>
                </c:pt>
                <c:pt idx="3">
                  <c:v>0.70015934523500001</c:v>
                </c:pt>
                <c:pt idx="4">
                  <c:v>0.52565300723800001</c:v>
                </c:pt>
                <c:pt idx="5">
                  <c:v>0.47199461905200002</c:v>
                </c:pt>
                <c:pt idx="6">
                  <c:v>0.66755613941400005</c:v>
                </c:pt>
                <c:pt idx="7">
                  <c:v>0.54100020601900001</c:v>
                </c:pt>
                <c:pt idx="8">
                  <c:v>0.35578801222200002</c:v>
                </c:pt>
                <c:pt idx="9">
                  <c:v>0.42848311133400002</c:v>
                </c:pt>
                <c:pt idx="10">
                  <c:v>0.16185402767999998</c:v>
                </c:pt>
              </c:numCache>
            </c:numRef>
          </c:val>
          <c:extLst>
            <c:ext xmlns:c16="http://schemas.microsoft.com/office/drawing/2014/chart" uri="{C3380CC4-5D6E-409C-BE32-E72D297353CC}">
              <c16:uniqueId val="{0000000F-E3D9-4AD2-9D79-58E884AD87E2}"/>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11-E3D9-4AD2-9D79-58E884AD87E2}"/>
              </c:ext>
            </c:extLst>
          </c:dPt>
          <c:dPt>
            <c:idx val="8"/>
            <c:invertIfNegative val="0"/>
            <c:bubble3D val="0"/>
            <c:spPr>
              <a:solidFill>
                <a:srgbClr val="FF0000"/>
              </a:solidFill>
              <a:ln>
                <a:noFill/>
              </a:ln>
              <a:effectLst/>
            </c:spPr>
            <c:extLst>
              <c:ext xmlns:c16="http://schemas.microsoft.com/office/drawing/2014/chart" uri="{C3380CC4-5D6E-409C-BE32-E72D297353CC}">
                <c16:uniqueId val="{00000013-E3D9-4AD2-9D79-58E884AD87E2}"/>
              </c:ext>
            </c:extLst>
          </c:dPt>
          <c:dPt>
            <c:idx val="9"/>
            <c:invertIfNegative val="0"/>
            <c:bubble3D val="0"/>
            <c:spPr>
              <a:solidFill>
                <a:srgbClr val="FF0000"/>
              </a:solidFill>
              <a:ln>
                <a:noFill/>
              </a:ln>
              <a:effectLst/>
            </c:spPr>
            <c:extLst>
              <c:ext xmlns:c16="http://schemas.microsoft.com/office/drawing/2014/chart" uri="{C3380CC4-5D6E-409C-BE32-E72D297353CC}">
                <c16:uniqueId val="{00000015-E3D9-4AD2-9D79-58E884AD87E2}"/>
              </c:ext>
            </c:extLst>
          </c:dPt>
          <c:dPt>
            <c:idx val="10"/>
            <c:invertIfNegative val="0"/>
            <c:bubble3D val="0"/>
            <c:spPr>
              <a:solidFill>
                <a:srgbClr val="FF0000"/>
              </a:solidFill>
              <a:ln>
                <a:noFill/>
              </a:ln>
              <a:effectLst/>
            </c:spPr>
            <c:extLst>
              <c:ext xmlns:c16="http://schemas.microsoft.com/office/drawing/2014/chart" uri="{C3380CC4-5D6E-409C-BE32-E72D297353CC}">
                <c16:uniqueId val="{00000017-E3D9-4AD2-9D79-58E884AD87E2}"/>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3D9-4AD2-9D79-58E884AD87E2}"/>
                </c:ext>
              </c:extLst>
            </c:dLbl>
            <c:dLbl>
              <c:idx val="2"/>
              <c:layout>
                <c:manualLayout>
                  <c:x val="5.7752408150365444E-3"/>
                  <c:y val="-3.1597902925853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3D9-4AD2-9D79-58E884AD87E2}"/>
                </c:ext>
              </c:extLst>
            </c:dLbl>
            <c:dLbl>
              <c:idx val="4"/>
              <c:layout>
                <c:manualLayout>
                  <c:x val="0"/>
                  <c:y val="-9.9789242548218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3D9-4AD2-9D79-58E884AD87E2}"/>
                </c:ext>
              </c:extLst>
            </c:dLbl>
            <c:dLbl>
              <c:idx val="6"/>
              <c:layout>
                <c:manualLayout>
                  <c:x val="2.5988583667664451E-2"/>
                  <c:y val="-4.98946212741093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3D9-4AD2-9D79-58E884AD87E2}"/>
                </c:ext>
              </c:extLst>
            </c:dLbl>
            <c:dLbl>
              <c:idx val="7"/>
              <c:layout>
                <c:manualLayout>
                  <c:x val="1.7325722445109631E-2"/>
                  <c:y val="-3.6286997290261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3D9-4AD2-9D79-58E884AD87E2}"/>
                </c:ext>
              </c:extLst>
            </c:dLbl>
            <c:dLbl>
              <c:idx val="8"/>
              <c:layout>
                <c:manualLayout>
                  <c:x val="-1.0587819182842971E-16"/>
                  <c:y val="-4.98946212741093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3D9-4AD2-9D79-58E884AD87E2}"/>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3D9-4AD2-9D79-58E884AD87E2}"/>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détaillé'!$G$37:$G$43,'Tableau détaillé'!$G$45:$G$48)</c:f>
              <c:numCache>
                <c:formatCode>0.0%</c:formatCode>
                <c:ptCount val="11"/>
                <c:pt idx="0">
                  <c:v>0.34564971100399999</c:v>
                </c:pt>
                <c:pt idx="1">
                  <c:v>0.492547994351</c:v>
                </c:pt>
                <c:pt idx="2">
                  <c:v>0.399026962938</c:v>
                </c:pt>
                <c:pt idx="3">
                  <c:v>0.68209070235000002</c:v>
                </c:pt>
                <c:pt idx="4">
                  <c:v>0.499880128501</c:v>
                </c:pt>
                <c:pt idx="5">
                  <c:v>0.41883742617299996</c:v>
                </c:pt>
                <c:pt idx="6">
                  <c:v>0.67407287710899999</c:v>
                </c:pt>
                <c:pt idx="7">
                  <c:v>0.54694066229500005</c:v>
                </c:pt>
                <c:pt idx="8">
                  <c:v>0.40234309058300005</c:v>
                </c:pt>
                <c:pt idx="9">
                  <c:v>0.41868541182300001</c:v>
                </c:pt>
                <c:pt idx="10">
                  <c:v>0.16658454867899999</c:v>
                </c:pt>
              </c:numCache>
            </c:numRef>
          </c:val>
          <c:extLst>
            <c:ext xmlns:c16="http://schemas.microsoft.com/office/drawing/2014/chart" uri="{C3380CC4-5D6E-409C-BE32-E72D297353CC}">
              <c16:uniqueId val="{0000001C-E3D9-4AD2-9D79-58E884AD87E2}"/>
            </c:ext>
          </c:extLst>
        </c:ser>
        <c:dLbls>
          <c:showLegendKey val="0"/>
          <c:showVal val="0"/>
          <c:showCatName val="0"/>
          <c:showSerName val="0"/>
          <c:showPercent val="0"/>
          <c:showBubbleSize val="0"/>
        </c:dLbls>
        <c:gapWidth val="150"/>
        <c:axId val="1032733048"/>
        <c:axId val="1032733440"/>
      </c:barChart>
      <c:catAx>
        <c:axId val="103273304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3440"/>
        <c:crosses val="autoZero"/>
        <c:auto val="1"/>
        <c:lblAlgn val="ctr"/>
        <c:lblOffset val="100"/>
        <c:noMultiLvlLbl val="0"/>
      </c:catAx>
      <c:valAx>
        <c:axId val="103273344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33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crédits - par DR</a:t>
            </a:r>
          </a:p>
        </c:rich>
      </c:tx>
      <c:layout>
        <c:manualLayout>
          <c:xMode val="edge"/>
          <c:yMode val="edge"/>
          <c:x val="0.35790417875052438"/>
          <c:y val="2.394218700724769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0"/>
            <c:invertIfNegative val="0"/>
            <c:bubble3D val="0"/>
            <c:spPr>
              <a:solidFill>
                <a:srgbClr val="FFA7A7"/>
              </a:solidFill>
              <a:ln>
                <a:noFill/>
              </a:ln>
              <a:effectLst/>
            </c:spPr>
            <c:extLst>
              <c:ext xmlns:c16="http://schemas.microsoft.com/office/drawing/2014/chart" uri="{C3380CC4-5D6E-409C-BE32-E72D297353CC}">
                <c16:uniqueId val="{00000002-9966-4249-93B4-835B1CA761D6}"/>
              </c:ext>
            </c:extLst>
          </c:dPt>
          <c:dPt>
            <c:idx val="1"/>
            <c:invertIfNegative val="0"/>
            <c:bubble3D val="0"/>
            <c:spPr>
              <a:solidFill>
                <a:srgbClr val="FFA7A7"/>
              </a:solidFill>
              <a:ln>
                <a:noFill/>
              </a:ln>
              <a:effectLst/>
            </c:spPr>
            <c:extLst>
              <c:ext xmlns:c16="http://schemas.microsoft.com/office/drawing/2014/chart" uri="{C3380CC4-5D6E-409C-BE32-E72D297353CC}">
                <c16:uniqueId val="{00000001-9966-4249-93B4-835B1CA761D6}"/>
              </c:ext>
            </c:extLst>
          </c:dPt>
          <c:dLbls>
            <c:dLbl>
              <c:idx val="0"/>
              <c:layout>
                <c:manualLayout>
                  <c:x val="-2.5829851568221397E-17"/>
                  <c:y val="0.17862198171946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966-4249-93B4-835B1CA761D6}"/>
                </c:ext>
              </c:extLst>
            </c:dLbl>
            <c:dLbl>
              <c:idx val="1"/>
              <c:layout>
                <c:manualLayout>
                  <c:x val="-2.8178345407496E-3"/>
                  <c:y val="0.219842439039343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966-4249-93B4-835B1CA761D6}"/>
                </c:ext>
              </c:extLst>
            </c:dLbl>
            <c:dLbl>
              <c:idx val="2"/>
              <c:layout>
                <c:manualLayout>
                  <c:x val="0"/>
                  <c:y val="0.17862198171946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A7-48B3-82C6-65C177F38DB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détaillé'!$F$44,'Tableau détaillé'!$F$49,'Tableau détaillé'!$F$36)</c:f>
              <c:numCache>
                <c:formatCode>0.0%</c:formatCode>
                <c:ptCount val="3"/>
                <c:pt idx="0">
                  <c:v>0.443883705967</c:v>
                </c:pt>
                <c:pt idx="1">
                  <c:v>0.45084482910599999</c:v>
                </c:pt>
                <c:pt idx="2">
                  <c:v>0.44680167774399998</c:v>
                </c:pt>
              </c:numCache>
            </c:numRef>
          </c:val>
          <c:extLst>
            <c:ext xmlns:c16="http://schemas.microsoft.com/office/drawing/2014/chart" uri="{C3380CC4-5D6E-409C-BE32-E72D297353CC}">
              <c16:uniqueId val="{00000003-9966-4249-93B4-835B1CA761D6}"/>
            </c:ext>
          </c:extLst>
        </c:ser>
        <c:ser>
          <c:idx val="1"/>
          <c:order val="1"/>
          <c:tx>
            <c:v>M</c:v>
          </c:tx>
          <c:spPr>
            <a:solidFill>
              <a:sysClr val="windowText" lastClr="00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6-9966-4249-93B4-835B1CA761D6}"/>
              </c:ext>
            </c:extLst>
          </c:dPt>
          <c:dPt>
            <c:idx val="1"/>
            <c:invertIfNegative val="0"/>
            <c:bubble3D val="0"/>
            <c:spPr>
              <a:solidFill>
                <a:srgbClr val="FF0000"/>
              </a:solidFill>
              <a:ln>
                <a:noFill/>
              </a:ln>
              <a:effectLst/>
            </c:spPr>
            <c:extLst>
              <c:ext xmlns:c16="http://schemas.microsoft.com/office/drawing/2014/chart" uri="{C3380CC4-5D6E-409C-BE32-E72D297353CC}">
                <c16:uniqueId val="{00000005-9966-4249-93B4-835B1CA761D6}"/>
              </c:ext>
            </c:extLst>
          </c:dPt>
          <c:dLbls>
            <c:dLbl>
              <c:idx val="0"/>
              <c:layout>
                <c:manualLayout>
                  <c:x val="0"/>
                  <c:y val="0.114501270332991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66-4249-93B4-835B1CA761D6}"/>
                </c:ext>
              </c:extLst>
            </c:dLbl>
            <c:dLbl>
              <c:idx val="1"/>
              <c:layout>
                <c:manualLayout>
                  <c:x val="-1.0331940627288559E-16"/>
                  <c:y val="0.343503810998973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66-4249-93B4-835B1CA761D6}"/>
                </c:ext>
              </c:extLst>
            </c:dLbl>
            <c:dLbl>
              <c:idx val="2"/>
              <c:layout>
                <c:manualLayout>
                  <c:x val="2.8178345407495484E-3"/>
                  <c:y val="0.17862198171946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A7-48B3-82C6-65C177F38DB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détaillé'!$G$44,'Tableau détaillé'!$G$49,'Tableau détaillé'!$G$36)</c:f>
              <c:numCache>
                <c:formatCode>0.0%</c:formatCode>
                <c:ptCount val="3"/>
                <c:pt idx="0">
                  <c:v>0.43840617132500004</c:v>
                </c:pt>
                <c:pt idx="1">
                  <c:v>0.48530925024000005</c:v>
                </c:pt>
                <c:pt idx="2">
                  <c:v>0.457401656612</c:v>
                </c:pt>
              </c:numCache>
            </c:numRef>
          </c:val>
          <c:extLst>
            <c:ext xmlns:c16="http://schemas.microsoft.com/office/drawing/2014/chart" uri="{C3380CC4-5D6E-409C-BE32-E72D297353CC}">
              <c16:uniqueId val="{00000007-9966-4249-93B4-835B1CA761D6}"/>
            </c:ext>
          </c:extLst>
        </c:ser>
        <c:dLbls>
          <c:showLegendKey val="0"/>
          <c:showVal val="0"/>
          <c:showCatName val="0"/>
          <c:showSerName val="0"/>
          <c:showPercent val="0"/>
          <c:showBubbleSize val="0"/>
        </c:dLbls>
        <c:gapWidth val="150"/>
        <c:axId val="969147440"/>
        <c:axId val="969152144"/>
      </c:barChart>
      <c:catAx>
        <c:axId val="96914744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2144"/>
        <c:crosses val="autoZero"/>
        <c:auto val="1"/>
        <c:lblAlgn val="ctr"/>
        <c:lblOffset val="100"/>
        <c:noMultiLvlLbl val="0"/>
      </c:catAx>
      <c:valAx>
        <c:axId val="96915214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7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Epargne Placement</a:t>
            </a:r>
          </a:p>
        </c:rich>
      </c:tx>
      <c:layout>
        <c:manualLayout>
          <c:xMode val="edge"/>
          <c:yMode val="edge"/>
          <c:x val="0.29726415019264069"/>
          <c:y val="2.394227510186967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651338263046051"/>
          <c:w val="0.89920800524934386"/>
          <c:h val="0.60962026256953505"/>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2B0E-4A74-AE2D-9D5FF6631D27}"/>
              </c:ext>
            </c:extLst>
          </c:dPt>
          <c:dPt>
            <c:idx val="8"/>
            <c:invertIfNegative val="0"/>
            <c:bubble3D val="0"/>
            <c:spPr>
              <a:solidFill>
                <a:srgbClr val="FFA7A7"/>
              </a:solidFill>
              <a:ln>
                <a:noFill/>
              </a:ln>
              <a:effectLst/>
            </c:spPr>
            <c:extLst>
              <c:ext xmlns:c16="http://schemas.microsoft.com/office/drawing/2014/chart" uri="{C3380CC4-5D6E-409C-BE32-E72D297353CC}">
                <c16:uniqueId val="{00000003-2B0E-4A74-AE2D-9D5FF6631D27}"/>
              </c:ext>
            </c:extLst>
          </c:dPt>
          <c:dPt>
            <c:idx val="9"/>
            <c:invertIfNegative val="0"/>
            <c:bubble3D val="0"/>
            <c:spPr>
              <a:solidFill>
                <a:srgbClr val="FFA7A7"/>
              </a:solidFill>
              <a:ln>
                <a:noFill/>
              </a:ln>
              <a:effectLst/>
            </c:spPr>
            <c:extLst>
              <c:ext xmlns:c16="http://schemas.microsoft.com/office/drawing/2014/chart" uri="{C3380CC4-5D6E-409C-BE32-E72D297353CC}">
                <c16:uniqueId val="{00000005-2B0E-4A74-AE2D-9D5FF6631D27}"/>
              </c:ext>
            </c:extLst>
          </c:dPt>
          <c:dPt>
            <c:idx val="10"/>
            <c:invertIfNegative val="0"/>
            <c:bubble3D val="0"/>
            <c:spPr>
              <a:solidFill>
                <a:srgbClr val="FFA7A7"/>
              </a:solidFill>
              <a:ln>
                <a:noFill/>
              </a:ln>
              <a:effectLst/>
            </c:spPr>
            <c:extLst>
              <c:ext xmlns:c16="http://schemas.microsoft.com/office/drawing/2014/chart" uri="{C3380CC4-5D6E-409C-BE32-E72D297353CC}">
                <c16:uniqueId val="{00000007-2B0E-4A74-AE2D-9D5FF6631D27}"/>
              </c:ext>
            </c:extLst>
          </c:dPt>
          <c:dLbls>
            <c:dLbl>
              <c:idx val="0"/>
              <c:layout>
                <c:manualLayout>
                  <c:x val="-2.0213342852627905E-2"/>
                  <c:y val="-7.2543279208800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0E-4A74-AE2D-9D5FF6631D27}"/>
                </c:ext>
              </c:extLst>
            </c:dLbl>
            <c:dLbl>
              <c:idx val="1"/>
              <c:layout>
                <c:manualLayout>
                  <c:x val="-3.1763824482700993E-2"/>
                  <c:y val="-8.16457439030879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B0E-4A74-AE2D-9D5FF6631D27}"/>
                </c:ext>
              </c:extLst>
            </c:dLbl>
            <c:dLbl>
              <c:idx val="2"/>
              <c:layout>
                <c:manualLayout>
                  <c:x val="0"/>
                  <c:y val="-0.104723702730918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B0E-4A74-AE2D-9D5FF6631D27}"/>
                </c:ext>
              </c:extLst>
            </c:dLbl>
            <c:dLbl>
              <c:idx val="3"/>
              <c:layout>
                <c:manualLayout>
                  <c:x val="-3.4651444890219263E-2"/>
                  <c:y val="-9.0104439559254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B0E-4A74-AE2D-9D5FF6631D27}"/>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B0E-4A74-AE2D-9D5FF6631D27}"/>
                </c:ext>
              </c:extLst>
            </c:dLbl>
            <c:dLbl>
              <c:idx val="7"/>
              <c:layout>
                <c:manualLayout>
                  <c:x val="-2.5988583667664555E-2"/>
                  <c:y val="-3.1536553845739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0E-4A74-AE2D-9D5FF6631D27}"/>
                </c:ext>
              </c:extLst>
            </c:dLbl>
            <c:dLbl>
              <c:idx val="9"/>
              <c:layout>
                <c:manualLayout>
                  <c:x val="-2.0213342852627905E-2"/>
                  <c:y val="-7.2359344133953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0E-4A74-AE2D-9D5FF6631D27}"/>
                </c:ext>
              </c:extLst>
            </c:dLbl>
            <c:dLbl>
              <c:idx val="10"/>
              <c:layout>
                <c:manualLayout>
                  <c:x val="-3.1761987773643349E-2"/>
                  <c:y val="-8.540493311810342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0E-4A74-AE2D-9D5FF6631D27}"/>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détaillé'!$F$69:$F$75,'Tableau détaillé'!$F$77:$F$80)</c:f>
              <c:numCache>
                <c:formatCode>0.0%</c:formatCode>
                <c:ptCount val="11"/>
                <c:pt idx="0">
                  <c:v>0.72052993397999998</c:v>
                </c:pt>
                <c:pt idx="1">
                  <c:v>0.39558240186100002</c:v>
                </c:pt>
                <c:pt idx="2">
                  <c:v>0.44065760597499998</c:v>
                </c:pt>
                <c:pt idx="3">
                  <c:v>0.77123619793099996</c:v>
                </c:pt>
                <c:pt idx="4">
                  <c:v>0.247895309546</c:v>
                </c:pt>
                <c:pt idx="5">
                  <c:v>0.40213994886799997</c:v>
                </c:pt>
                <c:pt idx="6">
                  <c:v>8.5364903808000006E-2</c:v>
                </c:pt>
                <c:pt idx="7">
                  <c:v>0.39145686321000001</c:v>
                </c:pt>
                <c:pt idx="8">
                  <c:v>0.36382310154199998</c:v>
                </c:pt>
                <c:pt idx="9">
                  <c:v>0.17083198967999999</c:v>
                </c:pt>
                <c:pt idx="10">
                  <c:v>0.62807777411599996</c:v>
                </c:pt>
              </c:numCache>
            </c:numRef>
          </c:val>
          <c:extLst>
            <c:ext xmlns:c16="http://schemas.microsoft.com/office/drawing/2014/chart" uri="{C3380CC4-5D6E-409C-BE32-E72D297353CC}">
              <c16:uniqueId val="{0000000D-2B0E-4A74-AE2D-9D5FF6631D27}"/>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F-2B0E-4A74-AE2D-9D5FF6631D27}"/>
              </c:ext>
            </c:extLst>
          </c:dPt>
          <c:dPt>
            <c:idx val="8"/>
            <c:invertIfNegative val="0"/>
            <c:bubble3D val="0"/>
            <c:spPr>
              <a:solidFill>
                <a:srgbClr val="FF0000"/>
              </a:solidFill>
              <a:ln>
                <a:noFill/>
              </a:ln>
              <a:effectLst/>
            </c:spPr>
            <c:extLst>
              <c:ext xmlns:c16="http://schemas.microsoft.com/office/drawing/2014/chart" uri="{C3380CC4-5D6E-409C-BE32-E72D297353CC}">
                <c16:uniqueId val="{00000011-2B0E-4A74-AE2D-9D5FF6631D27}"/>
              </c:ext>
            </c:extLst>
          </c:dPt>
          <c:dPt>
            <c:idx val="9"/>
            <c:invertIfNegative val="0"/>
            <c:bubble3D val="0"/>
            <c:spPr>
              <a:solidFill>
                <a:srgbClr val="FF0000"/>
              </a:solidFill>
              <a:ln>
                <a:noFill/>
              </a:ln>
              <a:effectLst/>
            </c:spPr>
            <c:extLst>
              <c:ext xmlns:c16="http://schemas.microsoft.com/office/drawing/2014/chart" uri="{C3380CC4-5D6E-409C-BE32-E72D297353CC}">
                <c16:uniqueId val="{00000013-2B0E-4A74-AE2D-9D5FF6631D27}"/>
              </c:ext>
            </c:extLst>
          </c:dPt>
          <c:dPt>
            <c:idx val="10"/>
            <c:invertIfNegative val="0"/>
            <c:bubble3D val="0"/>
            <c:spPr>
              <a:solidFill>
                <a:srgbClr val="FF0000"/>
              </a:solidFill>
              <a:ln>
                <a:noFill/>
              </a:ln>
              <a:effectLst/>
            </c:spPr>
            <c:extLst>
              <c:ext xmlns:c16="http://schemas.microsoft.com/office/drawing/2014/chart" uri="{C3380CC4-5D6E-409C-BE32-E72D297353CC}">
                <c16:uniqueId val="{00000015-2B0E-4A74-AE2D-9D5FF6631D27}"/>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2B0E-4A74-AE2D-9D5FF6631D27}"/>
                </c:ext>
              </c:extLst>
            </c:dLbl>
            <c:dLbl>
              <c:idx val="2"/>
              <c:layout>
                <c:manualLayout>
                  <c:x val="5.7752408150365444E-3"/>
                  <c:y val="-3.1597902925853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2B0E-4A74-AE2D-9D5FF6631D27}"/>
                </c:ext>
              </c:extLst>
            </c:dLbl>
            <c:dLbl>
              <c:idx val="4"/>
              <c:layout>
                <c:manualLayout>
                  <c:x val="1.1549620283497706E-2"/>
                  <c:y val="-3.17272829909865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2B0E-4A74-AE2D-9D5FF6631D27}"/>
                </c:ext>
              </c:extLst>
            </c:dLbl>
            <c:dLbl>
              <c:idx val="5"/>
              <c:layout>
                <c:manualLayout>
                  <c:x val="3.176382448270099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2B0E-4A74-AE2D-9D5FF6631D27}"/>
                </c:ext>
              </c:extLst>
            </c:dLbl>
            <c:dLbl>
              <c:idx val="6"/>
              <c:layout>
                <c:manualLayout>
                  <c:x val="4.3314306112773975E-2"/>
                  <c:y val="-4.98946212741093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2B0E-4A74-AE2D-9D5FF6631D27}"/>
                </c:ext>
              </c:extLst>
            </c:dLbl>
            <c:dLbl>
              <c:idx val="7"/>
              <c:layout>
                <c:manualLayout>
                  <c:x val="1.443810203759136E-2"/>
                  <c:y val="-2.2679373306413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B0E-4A74-AE2D-9D5FF6631D27}"/>
                </c:ext>
              </c:extLst>
            </c:dLbl>
            <c:dLbl>
              <c:idx val="8"/>
              <c:layout>
                <c:manualLayout>
                  <c:x val="-1.0589904376100878E-16"/>
                  <c:y val="-4.53166977044417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B0E-4A74-AE2D-9D5FF6631D27}"/>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B0E-4A74-AE2D-9D5FF6631D27}"/>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détaillé'!$G$69:$G$75,'Tableau détaillé'!$G$77:$G$80)</c:f>
              <c:numCache>
                <c:formatCode>0.0%</c:formatCode>
                <c:ptCount val="11"/>
                <c:pt idx="0">
                  <c:v>0.72598427696199996</c:v>
                </c:pt>
                <c:pt idx="1">
                  <c:v>0.37791842475300003</c:v>
                </c:pt>
                <c:pt idx="2">
                  <c:v>0.43658390550699999</c:v>
                </c:pt>
                <c:pt idx="3">
                  <c:v>0.79557527465800004</c:v>
                </c:pt>
                <c:pt idx="4">
                  <c:v>0.24584471435999999</c:v>
                </c:pt>
                <c:pt idx="5">
                  <c:v>0.38764403039899997</c:v>
                </c:pt>
                <c:pt idx="6">
                  <c:v>8.4877786730999993E-2</c:v>
                </c:pt>
                <c:pt idx="7">
                  <c:v>0.40991792683700001</c:v>
                </c:pt>
                <c:pt idx="8">
                  <c:v>0.37682393555799998</c:v>
                </c:pt>
                <c:pt idx="9">
                  <c:v>0.17414779595400001</c:v>
                </c:pt>
                <c:pt idx="10">
                  <c:v>0</c:v>
                </c:pt>
              </c:numCache>
            </c:numRef>
          </c:val>
          <c:extLst>
            <c:ext xmlns:c16="http://schemas.microsoft.com/office/drawing/2014/chart" uri="{C3380CC4-5D6E-409C-BE32-E72D297353CC}">
              <c16:uniqueId val="{0000001B-2B0E-4A74-AE2D-9D5FF6631D27}"/>
            </c:ext>
          </c:extLst>
        </c:ser>
        <c:dLbls>
          <c:showLegendKey val="0"/>
          <c:showVal val="0"/>
          <c:showCatName val="0"/>
          <c:showSerName val="0"/>
          <c:showPercent val="0"/>
          <c:showBubbleSize val="0"/>
        </c:dLbls>
        <c:gapWidth val="150"/>
        <c:axId val="969153320"/>
        <c:axId val="969144304"/>
      </c:barChart>
      <c:catAx>
        <c:axId val="96915332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4304"/>
        <c:crosses val="autoZero"/>
        <c:auto val="1"/>
        <c:lblAlgn val="ctr"/>
        <c:lblOffset val="100"/>
        <c:noMultiLvlLbl val="0"/>
      </c:catAx>
      <c:valAx>
        <c:axId val="96914430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3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Epargne Placement</a:t>
            </a:r>
          </a:p>
        </c:rich>
      </c:tx>
      <c:layout>
        <c:manualLayout>
          <c:xMode val="edge"/>
          <c:yMode val="edge"/>
          <c:x val="0.26070314472598699"/>
          <c:y val="3.746648217813839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0"/>
            <c:invertIfNegative val="0"/>
            <c:bubble3D val="0"/>
            <c:spPr>
              <a:solidFill>
                <a:srgbClr val="FFA7A7"/>
              </a:solidFill>
              <a:ln>
                <a:noFill/>
              </a:ln>
              <a:effectLst/>
            </c:spPr>
            <c:extLst>
              <c:ext xmlns:c16="http://schemas.microsoft.com/office/drawing/2014/chart" uri="{C3380CC4-5D6E-409C-BE32-E72D297353CC}">
                <c16:uniqueId val="{00000002-302A-451F-A9B2-8BD3E459F62F}"/>
              </c:ext>
            </c:extLst>
          </c:dPt>
          <c:dPt>
            <c:idx val="1"/>
            <c:invertIfNegative val="0"/>
            <c:bubble3D val="0"/>
            <c:spPr>
              <a:solidFill>
                <a:srgbClr val="FFA7A7"/>
              </a:solidFill>
              <a:ln>
                <a:noFill/>
              </a:ln>
              <a:effectLst/>
            </c:spPr>
            <c:extLst>
              <c:ext xmlns:c16="http://schemas.microsoft.com/office/drawing/2014/chart" uri="{C3380CC4-5D6E-409C-BE32-E72D297353CC}">
                <c16:uniqueId val="{00000001-302A-451F-A9B2-8BD3E459F62F}"/>
              </c:ext>
            </c:extLst>
          </c:dPt>
          <c:dLbls>
            <c:dLbl>
              <c:idx val="0"/>
              <c:layout>
                <c:manualLayout>
                  <c:x val="0"/>
                  <c:y val="0.302041986995404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2A-451F-A9B2-8BD3E459F62F}"/>
                </c:ext>
              </c:extLst>
            </c:dLbl>
            <c:dLbl>
              <c:idx val="1"/>
              <c:layout>
                <c:manualLayout>
                  <c:x val="0"/>
                  <c:y val="0.198355931758176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2A-451F-A9B2-8BD3E459F62F}"/>
                </c:ext>
              </c:extLst>
            </c:dLbl>
            <c:dLbl>
              <c:idx val="2"/>
              <c:layout>
                <c:manualLayout>
                  <c:x val="-1.0390064498897969E-16"/>
                  <c:y val="0.256961093414000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88-46D1-94CB-47B04CD3F0F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détaillé'!$F$76,'Tableau détaillé'!$F$81,'Tableau détaillé'!$F$68)</c:f>
              <c:numCache>
                <c:formatCode>0.0%</c:formatCode>
                <c:ptCount val="3"/>
                <c:pt idx="0">
                  <c:v>0.55580393666899996</c:v>
                </c:pt>
                <c:pt idx="1">
                  <c:v>0.37475284114200003</c:v>
                </c:pt>
                <c:pt idx="2">
                  <c:v>0.48903407272999999</c:v>
                </c:pt>
              </c:numCache>
            </c:numRef>
          </c:val>
          <c:extLst>
            <c:ext xmlns:c16="http://schemas.microsoft.com/office/drawing/2014/chart" uri="{C3380CC4-5D6E-409C-BE32-E72D297353CC}">
              <c16:uniqueId val="{00000003-302A-451F-A9B2-8BD3E459F62F}"/>
            </c:ext>
          </c:extLst>
        </c:ser>
        <c:ser>
          <c:idx val="1"/>
          <c:order val="1"/>
          <c:tx>
            <c:v>M</c:v>
          </c:tx>
          <c:spPr>
            <a:solidFill>
              <a:sysClr val="windowText" lastClr="00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6-302A-451F-A9B2-8BD3E459F62F}"/>
              </c:ext>
            </c:extLst>
          </c:dPt>
          <c:dPt>
            <c:idx val="1"/>
            <c:invertIfNegative val="0"/>
            <c:bubble3D val="0"/>
            <c:spPr>
              <a:solidFill>
                <a:srgbClr val="FF0000"/>
              </a:solidFill>
              <a:ln>
                <a:noFill/>
              </a:ln>
              <a:effectLst/>
            </c:spPr>
            <c:extLst>
              <c:ext xmlns:c16="http://schemas.microsoft.com/office/drawing/2014/chart" uri="{C3380CC4-5D6E-409C-BE32-E72D297353CC}">
                <c16:uniqueId val="{00000005-302A-451F-A9B2-8BD3E459F62F}"/>
              </c:ext>
            </c:extLst>
          </c:dPt>
          <c:dLbls>
            <c:dLbl>
              <c:idx val="0"/>
              <c:layout>
                <c:manualLayout>
                  <c:x val="-2.8336866888571855E-3"/>
                  <c:y val="0.28400962956284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02A-451F-A9B2-8BD3E459F62F}"/>
                </c:ext>
              </c:extLst>
            </c:dLbl>
            <c:dLbl>
              <c:idx val="1"/>
              <c:layout>
                <c:manualLayout>
                  <c:x val="-1.0390064498897969E-16"/>
                  <c:y val="0.202864021116316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2A-451F-A9B2-8BD3E459F62F}"/>
                </c:ext>
              </c:extLst>
            </c:dLbl>
            <c:dLbl>
              <c:idx val="2"/>
              <c:layout>
                <c:manualLayout>
                  <c:x val="-2.0780128997795938E-16"/>
                  <c:y val="0.252453004055860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88-46D1-94CB-47B04CD3F0F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détaillé'!$G$76,'Tableau détaillé'!$G$81,'Tableau détaillé'!$G$68)</c:f>
              <c:numCache>
                <c:formatCode>0.0%</c:formatCode>
                <c:ptCount val="3"/>
                <c:pt idx="0">
                  <c:v>0.55888703568700004</c:v>
                </c:pt>
                <c:pt idx="1">
                  <c:v>0.37871061698199998</c:v>
                </c:pt>
                <c:pt idx="2">
                  <c:v>0.494160658852</c:v>
                </c:pt>
              </c:numCache>
            </c:numRef>
          </c:val>
          <c:extLst>
            <c:ext xmlns:c16="http://schemas.microsoft.com/office/drawing/2014/chart" uri="{C3380CC4-5D6E-409C-BE32-E72D297353CC}">
              <c16:uniqueId val="{00000007-302A-451F-A9B2-8BD3E459F62F}"/>
            </c:ext>
          </c:extLst>
        </c:ser>
        <c:dLbls>
          <c:showLegendKey val="0"/>
          <c:showVal val="0"/>
          <c:showCatName val="0"/>
          <c:showSerName val="0"/>
          <c:showPercent val="0"/>
          <c:showBubbleSize val="0"/>
        </c:dLbls>
        <c:gapWidth val="150"/>
        <c:axId val="969153712"/>
        <c:axId val="969145088"/>
      </c:barChart>
      <c:catAx>
        <c:axId val="96915371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5088"/>
        <c:crosses val="autoZero"/>
        <c:auto val="1"/>
        <c:lblAlgn val="ctr"/>
        <c:lblOffset val="100"/>
        <c:noMultiLvlLbl val="0"/>
      </c:catAx>
      <c:valAx>
        <c:axId val="96914508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BAD</a:t>
            </a:r>
          </a:p>
        </c:rich>
      </c:tx>
      <c:layout>
        <c:manualLayout>
          <c:xMode val="edge"/>
          <c:yMode val="edge"/>
          <c:x val="0.35790417875052438"/>
          <c:y val="2.394227510186967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4918-46F5-B494-5EFDAE48671D}"/>
              </c:ext>
            </c:extLst>
          </c:dPt>
          <c:dPt>
            <c:idx val="8"/>
            <c:invertIfNegative val="0"/>
            <c:bubble3D val="0"/>
            <c:spPr>
              <a:solidFill>
                <a:srgbClr val="FFA7A7"/>
              </a:solidFill>
              <a:ln>
                <a:noFill/>
              </a:ln>
              <a:effectLst/>
            </c:spPr>
            <c:extLst>
              <c:ext xmlns:c16="http://schemas.microsoft.com/office/drawing/2014/chart" uri="{C3380CC4-5D6E-409C-BE32-E72D297353CC}">
                <c16:uniqueId val="{00000003-4918-46F5-B494-5EFDAE48671D}"/>
              </c:ext>
            </c:extLst>
          </c:dPt>
          <c:dPt>
            <c:idx val="9"/>
            <c:invertIfNegative val="0"/>
            <c:bubble3D val="0"/>
            <c:spPr>
              <a:solidFill>
                <a:srgbClr val="FFA7A7"/>
              </a:solidFill>
              <a:ln>
                <a:noFill/>
              </a:ln>
              <a:effectLst/>
            </c:spPr>
            <c:extLst>
              <c:ext xmlns:c16="http://schemas.microsoft.com/office/drawing/2014/chart" uri="{C3380CC4-5D6E-409C-BE32-E72D297353CC}">
                <c16:uniqueId val="{00000005-4918-46F5-B494-5EFDAE48671D}"/>
              </c:ext>
            </c:extLst>
          </c:dPt>
          <c:dPt>
            <c:idx val="10"/>
            <c:invertIfNegative val="0"/>
            <c:bubble3D val="0"/>
            <c:spPr>
              <a:solidFill>
                <a:srgbClr val="FFA7A7"/>
              </a:solidFill>
              <a:ln>
                <a:noFill/>
              </a:ln>
              <a:effectLst/>
            </c:spPr>
            <c:extLst>
              <c:ext xmlns:c16="http://schemas.microsoft.com/office/drawing/2014/chart" uri="{C3380CC4-5D6E-409C-BE32-E72D297353CC}">
                <c16:uniqueId val="{00000007-4918-46F5-B494-5EFDAE48671D}"/>
              </c:ext>
            </c:extLst>
          </c:dPt>
          <c:dLbls>
            <c:dLbl>
              <c:idx val="0"/>
              <c:layout>
                <c:manualLayout>
                  <c:x val="-2.0213342852627905E-2"/>
                  <c:y val="-7.2543279208800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918-46F5-B494-5EFDAE48671D}"/>
                </c:ext>
              </c:extLst>
            </c:dLbl>
            <c:dLbl>
              <c:idx val="1"/>
              <c:layout>
                <c:manualLayout>
                  <c:x val="-8.6644887599232074E-3"/>
                  <c:y val="-4.53082327493094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918-46F5-B494-5EFDAE48671D}"/>
                </c:ext>
              </c:extLst>
            </c:dLbl>
            <c:dLbl>
              <c:idx val="2"/>
              <c:layout>
                <c:manualLayout>
                  <c:x val="-1.1549620283497706E-2"/>
                  <c:y val="-2.29642017679516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918-46F5-B494-5EFDAE48671D}"/>
                </c:ext>
              </c:extLst>
            </c:dLbl>
            <c:dLbl>
              <c:idx val="3"/>
              <c:layout>
                <c:manualLayout>
                  <c:x val="-2.871775366382257E-3"/>
                  <c:y val="-4.53449183479624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918-46F5-B494-5EFDAE48671D}"/>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918-46F5-B494-5EFDAE48671D}"/>
                </c:ext>
              </c:extLst>
            </c:dLbl>
            <c:dLbl>
              <c:idx val="7"/>
              <c:layout>
                <c:manualLayout>
                  <c:x val="-2.5988583667664555E-2"/>
                  <c:y val="-3.1536553845739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18-46F5-B494-5EFDAE48671D}"/>
                </c:ext>
              </c:extLst>
            </c:dLbl>
            <c:dLbl>
              <c:idx val="9"/>
              <c:layout>
                <c:manualLayout>
                  <c:x val="-2.0213342852627905E-2"/>
                  <c:y val="-7.2359344133953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918-46F5-B494-5EFDAE48671D}"/>
                </c:ext>
              </c:extLst>
            </c:dLbl>
            <c:dLbl>
              <c:idx val="10"/>
              <c:layout>
                <c:manualLayout>
                  <c:x val="-1.7333396349543541E-2"/>
                  <c:y val="-3.11759920617183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918-46F5-B494-5EFDAE48671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détaillé'!$F$133:$F$139,'Tableau détaillé'!$F$141:$F$144)</c:f>
              <c:numCache>
                <c:formatCode>0%</c:formatCode>
                <c:ptCount val="11"/>
                <c:pt idx="0">
                  <c:v>0.7342776069431417</c:v>
                </c:pt>
                <c:pt idx="1">
                  <c:v>0.50540474310452799</c:v>
                </c:pt>
                <c:pt idx="2">
                  <c:v>0.70905615569521274</c:v>
                </c:pt>
                <c:pt idx="3">
                  <c:v>0.74801584484545591</c:v>
                </c:pt>
                <c:pt idx="4">
                  <c:v>0.59146523039475896</c:v>
                </c:pt>
                <c:pt idx="5">
                  <c:v>0.7147708894878706</c:v>
                </c:pt>
                <c:pt idx="6">
                  <c:v>0.48411591004964794</c:v>
                </c:pt>
                <c:pt idx="7">
                  <c:v>0.93908657820230734</c:v>
                </c:pt>
                <c:pt idx="8">
                  <c:v>0.66340518608805998</c:v>
                </c:pt>
                <c:pt idx="9">
                  <c:v>0.46662501511548227</c:v>
                </c:pt>
                <c:pt idx="10">
                  <c:v>0.5385355296380907</c:v>
                </c:pt>
              </c:numCache>
            </c:numRef>
          </c:val>
          <c:extLst>
            <c:ext xmlns:c16="http://schemas.microsoft.com/office/drawing/2014/chart" uri="{C3380CC4-5D6E-409C-BE32-E72D297353CC}">
              <c16:uniqueId val="{0000000D-4918-46F5-B494-5EFDAE48671D}"/>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F-4918-46F5-B494-5EFDAE48671D}"/>
              </c:ext>
            </c:extLst>
          </c:dPt>
          <c:dPt>
            <c:idx val="8"/>
            <c:invertIfNegative val="0"/>
            <c:bubble3D val="0"/>
            <c:spPr>
              <a:solidFill>
                <a:srgbClr val="FF0000"/>
              </a:solidFill>
              <a:ln>
                <a:noFill/>
              </a:ln>
              <a:effectLst/>
            </c:spPr>
            <c:extLst>
              <c:ext xmlns:c16="http://schemas.microsoft.com/office/drawing/2014/chart" uri="{C3380CC4-5D6E-409C-BE32-E72D297353CC}">
                <c16:uniqueId val="{00000011-4918-46F5-B494-5EFDAE48671D}"/>
              </c:ext>
            </c:extLst>
          </c:dPt>
          <c:dPt>
            <c:idx val="9"/>
            <c:invertIfNegative val="0"/>
            <c:bubble3D val="0"/>
            <c:spPr>
              <a:solidFill>
                <a:srgbClr val="FF0000"/>
              </a:solidFill>
              <a:ln>
                <a:noFill/>
              </a:ln>
              <a:effectLst/>
            </c:spPr>
            <c:extLst>
              <c:ext xmlns:c16="http://schemas.microsoft.com/office/drawing/2014/chart" uri="{C3380CC4-5D6E-409C-BE32-E72D297353CC}">
                <c16:uniqueId val="{00000013-4918-46F5-B494-5EFDAE48671D}"/>
              </c:ext>
            </c:extLst>
          </c:dPt>
          <c:dPt>
            <c:idx val="10"/>
            <c:invertIfNegative val="0"/>
            <c:bubble3D val="0"/>
            <c:spPr>
              <a:solidFill>
                <a:srgbClr val="FF0000"/>
              </a:solidFill>
              <a:ln>
                <a:noFill/>
              </a:ln>
              <a:effectLst/>
            </c:spPr>
            <c:extLst>
              <c:ext xmlns:c16="http://schemas.microsoft.com/office/drawing/2014/chart" uri="{C3380CC4-5D6E-409C-BE32-E72D297353CC}">
                <c16:uniqueId val="{00000015-4918-46F5-B494-5EFDAE48671D}"/>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918-46F5-B494-5EFDAE48671D}"/>
                </c:ext>
              </c:extLst>
            </c:dLbl>
            <c:dLbl>
              <c:idx val="2"/>
              <c:layout>
                <c:manualLayout>
                  <c:x val="5.7752408150365444E-3"/>
                  <c:y val="-3.1597902925853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918-46F5-B494-5EFDAE48671D}"/>
                </c:ext>
              </c:extLst>
            </c:dLbl>
            <c:dLbl>
              <c:idx val="4"/>
              <c:layout>
                <c:manualLayout>
                  <c:x val="0"/>
                  <c:y val="-9.9789242548218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918-46F5-B494-5EFDAE48671D}"/>
                </c:ext>
              </c:extLst>
            </c:dLbl>
            <c:dLbl>
              <c:idx val="5"/>
              <c:layout>
                <c:manualLayout>
                  <c:x val="1.7314309708919642E-2"/>
                  <c:y val="-2.72476153866783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7F6-480B-852D-619C468FE719}"/>
                </c:ext>
              </c:extLst>
            </c:dLbl>
            <c:dLbl>
              <c:idx val="6"/>
              <c:layout>
                <c:manualLayout>
                  <c:x val="2.311437623949553E-2"/>
                  <c:y val="-4.0812064757784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918-46F5-B494-5EFDAE48671D}"/>
                </c:ext>
              </c:extLst>
            </c:dLbl>
            <c:dLbl>
              <c:idx val="7"/>
              <c:layout>
                <c:manualLayout>
                  <c:x val="1.443810203759136E-2"/>
                  <c:y val="-2.2679373306413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918-46F5-B494-5EFDAE48671D}"/>
                </c:ext>
              </c:extLst>
            </c:dLbl>
            <c:dLbl>
              <c:idx val="8"/>
              <c:layout>
                <c:manualLayout>
                  <c:x val="2.5971464563379461E-2"/>
                  <c:y val="-4.99539615422436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918-46F5-B494-5EFDAE48671D}"/>
                </c:ext>
              </c:extLst>
            </c:dLbl>
            <c:dLbl>
              <c:idx val="9"/>
              <c:layout>
                <c:manualLayout>
                  <c:x val="-1.4424728651592356E-2"/>
                  <c:y val="-2.70312793327552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918-46F5-B494-5EFDAE48671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détaillé'!$G$133:$G$139,'Tableau détaillé'!$G$141:$G$144)</c:f>
              <c:numCache>
                <c:formatCode>0%</c:formatCode>
                <c:ptCount val="11"/>
                <c:pt idx="0">
                  <c:v>0.7248966937281196</c:v>
                </c:pt>
                <c:pt idx="1">
                  <c:v>0.34756430710055292</c:v>
                </c:pt>
                <c:pt idx="2">
                  <c:v>0.68501379749522395</c:v>
                </c:pt>
                <c:pt idx="3">
                  <c:v>0.74865818797036343</c:v>
                </c:pt>
                <c:pt idx="4">
                  <c:v>0.60432345876701365</c:v>
                </c:pt>
                <c:pt idx="5">
                  <c:v>0.71936102899227217</c:v>
                </c:pt>
                <c:pt idx="6">
                  <c:v>0.5030204388243763</c:v>
                </c:pt>
                <c:pt idx="7">
                  <c:v>0.95540591290897126</c:v>
                </c:pt>
                <c:pt idx="8">
                  <c:v>0.77733370598099494</c:v>
                </c:pt>
                <c:pt idx="9">
                  <c:v>0.45944535703932748</c:v>
                </c:pt>
                <c:pt idx="10">
                  <c:v>0.55427388346643003</c:v>
                </c:pt>
              </c:numCache>
            </c:numRef>
          </c:val>
          <c:extLst>
            <c:ext xmlns:c16="http://schemas.microsoft.com/office/drawing/2014/chart" uri="{C3380CC4-5D6E-409C-BE32-E72D297353CC}">
              <c16:uniqueId val="{0000001A-4918-46F5-B494-5EFDAE48671D}"/>
            </c:ext>
          </c:extLst>
        </c:ser>
        <c:dLbls>
          <c:showLegendKey val="0"/>
          <c:showVal val="0"/>
          <c:showCatName val="0"/>
          <c:showSerName val="0"/>
          <c:showPercent val="0"/>
          <c:showBubbleSize val="0"/>
        </c:dLbls>
        <c:gapWidth val="150"/>
        <c:axId val="969154104"/>
        <c:axId val="969145480"/>
      </c:barChart>
      <c:catAx>
        <c:axId val="96915410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5480"/>
        <c:crosses val="autoZero"/>
        <c:auto val="1"/>
        <c:lblAlgn val="ctr"/>
        <c:lblOffset val="100"/>
        <c:noMultiLvlLbl val="0"/>
      </c:catAx>
      <c:valAx>
        <c:axId val="9691454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4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BAD - Par DR</a:t>
            </a:r>
          </a:p>
        </c:rich>
      </c:tx>
      <c:layout>
        <c:manualLayout>
          <c:xMode val="edge"/>
          <c:yMode val="edge"/>
          <c:x val="0.30592701141519546"/>
          <c:y val="2.394221410371729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9C69-4F43-BA57-2578BB0FEE8E}"/>
              </c:ext>
            </c:extLst>
          </c:dPt>
          <c:dLbls>
            <c:dLbl>
              <c:idx val="0"/>
              <c:layout>
                <c:manualLayout>
                  <c:x val="-5.7752408150365444E-3"/>
                  <c:y val="0.188582119841214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69-4F43-BA57-2578BB0FEE8E}"/>
                </c:ext>
              </c:extLst>
            </c:dLbl>
            <c:dLbl>
              <c:idx val="1"/>
              <c:layout>
                <c:manualLayout>
                  <c:x val="-2.9655053920116105E-3"/>
                  <c:y val="0.159486056066480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69-4F43-BA57-2578BB0FEE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détaillé'!$F$140,'Tableau détaillé'!$F$145)</c:f>
              <c:numCache>
                <c:formatCode>0%</c:formatCode>
                <c:ptCount val="2"/>
                <c:pt idx="0">
                  <c:v>0.66656311208471331</c:v>
                </c:pt>
                <c:pt idx="1">
                  <c:v>0.77468132199111095</c:v>
                </c:pt>
              </c:numCache>
            </c:numRef>
          </c:val>
          <c:extLst>
            <c:ext xmlns:c16="http://schemas.microsoft.com/office/drawing/2014/chart" uri="{C3380CC4-5D6E-409C-BE32-E72D297353CC}">
              <c16:uniqueId val="{00000003-9C69-4F43-BA57-2578BB0FEE8E}"/>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9C69-4F43-BA57-2578BB0FEE8E}"/>
              </c:ext>
            </c:extLst>
          </c:dPt>
          <c:dLbls>
            <c:dLbl>
              <c:idx val="0"/>
              <c:layout>
                <c:manualLayout>
                  <c:x val="8.5885874697076373E-3"/>
                  <c:y val="0.128671411731888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C69-4F43-BA57-2578BB0FEE8E}"/>
                </c:ext>
              </c:extLst>
            </c:dLbl>
            <c:dLbl>
              <c:idx val="1"/>
              <c:layout>
                <c:manualLayout>
                  <c:x val="5.7752408150365444E-3"/>
                  <c:y val="0.332263734958330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69-4F43-BA57-2578BB0FEE8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détaillé'!$G$140,'Tableau détaillé'!$G$145)</c:f>
              <c:numCache>
                <c:formatCode>0%</c:formatCode>
                <c:ptCount val="2"/>
                <c:pt idx="0">
                  <c:v>0.63025378408110577</c:v>
                </c:pt>
                <c:pt idx="1">
                  <c:v>0.82557962896150994</c:v>
                </c:pt>
              </c:numCache>
            </c:numRef>
          </c:val>
          <c:extLst>
            <c:ext xmlns:c16="http://schemas.microsoft.com/office/drawing/2014/chart" uri="{C3380CC4-5D6E-409C-BE32-E72D297353CC}">
              <c16:uniqueId val="{00000007-9C69-4F43-BA57-2578BB0FEE8E}"/>
            </c:ext>
          </c:extLst>
        </c:ser>
        <c:dLbls>
          <c:showLegendKey val="0"/>
          <c:showVal val="0"/>
          <c:showCatName val="0"/>
          <c:showSerName val="0"/>
          <c:showPercent val="0"/>
          <c:showBubbleSize val="0"/>
        </c:dLbls>
        <c:gapWidth val="150"/>
        <c:axId val="969149792"/>
        <c:axId val="969148224"/>
      </c:barChart>
      <c:catAx>
        <c:axId val="96914979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8224"/>
        <c:crosses val="autoZero"/>
        <c:auto val="1"/>
        <c:lblAlgn val="ctr"/>
        <c:lblOffset val="100"/>
        <c:noMultiLvlLbl val="0"/>
      </c:catAx>
      <c:valAx>
        <c:axId val="9691482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9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CARTE</a:t>
            </a:r>
          </a:p>
        </c:rich>
      </c:tx>
      <c:layout>
        <c:manualLayout>
          <c:xMode val="edge"/>
          <c:yMode val="edge"/>
          <c:x val="0.35790417875052438"/>
          <c:y val="2.394227510186967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196D-4096-AE62-E83BEBBFC4E9}"/>
              </c:ext>
            </c:extLst>
          </c:dPt>
          <c:dPt>
            <c:idx val="8"/>
            <c:invertIfNegative val="0"/>
            <c:bubble3D val="0"/>
            <c:spPr>
              <a:solidFill>
                <a:srgbClr val="FFA7A7"/>
              </a:solidFill>
              <a:ln>
                <a:noFill/>
              </a:ln>
              <a:effectLst/>
            </c:spPr>
            <c:extLst>
              <c:ext xmlns:c16="http://schemas.microsoft.com/office/drawing/2014/chart" uri="{C3380CC4-5D6E-409C-BE32-E72D297353CC}">
                <c16:uniqueId val="{00000003-196D-4096-AE62-E83BEBBFC4E9}"/>
              </c:ext>
            </c:extLst>
          </c:dPt>
          <c:dPt>
            <c:idx val="9"/>
            <c:invertIfNegative val="0"/>
            <c:bubble3D val="0"/>
            <c:spPr>
              <a:solidFill>
                <a:srgbClr val="FFA7A7"/>
              </a:solidFill>
              <a:ln>
                <a:noFill/>
              </a:ln>
              <a:effectLst/>
            </c:spPr>
            <c:extLst>
              <c:ext xmlns:c16="http://schemas.microsoft.com/office/drawing/2014/chart" uri="{C3380CC4-5D6E-409C-BE32-E72D297353CC}">
                <c16:uniqueId val="{00000005-196D-4096-AE62-E83BEBBFC4E9}"/>
              </c:ext>
            </c:extLst>
          </c:dPt>
          <c:dPt>
            <c:idx val="10"/>
            <c:invertIfNegative val="0"/>
            <c:bubble3D val="0"/>
            <c:spPr>
              <a:solidFill>
                <a:srgbClr val="FFA7A7"/>
              </a:solidFill>
              <a:ln>
                <a:noFill/>
              </a:ln>
              <a:effectLst/>
            </c:spPr>
            <c:extLst>
              <c:ext xmlns:c16="http://schemas.microsoft.com/office/drawing/2014/chart" uri="{C3380CC4-5D6E-409C-BE32-E72D297353CC}">
                <c16:uniqueId val="{00000007-196D-4096-AE62-E83BEBBFC4E9}"/>
              </c:ext>
            </c:extLst>
          </c:dPt>
          <c:dLbls>
            <c:dLbl>
              <c:idx val="0"/>
              <c:layout>
                <c:manualLayout>
                  <c:x val="-1.1550481630073089E-2"/>
                  <c:y val="-4.52997848758075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6D-4096-AE62-E83BEBBFC4E9}"/>
                </c:ext>
              </c:extLst>
            </c:dLbl>
            <c:dLbl>
              <c:idx val="1"/>
              <c:layout>
                <c:manualLayout>
                  <c:x val="-1.7325722445109631E-2"/>
                  <c:y val="-2.71584907913474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96D-4096-AE62-E83BEBBFC4E9}"/>
                </c:ext>
              </c:extLst>
            </c:dLbl>
            <c:dLbl>
              <c:idx val="2"/>
              <c:layout>
                <c:manualLayout>
                  <c:x val="-2.3100963260146205E-2"/>
                  <c:y val="-6.38439944449272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96D-4096-AE62-E83BEBBFC4E9}"/>
                </c:ext>
              </c:extLst>
            </c:dLbl>
            <c:dLbl>
              <c:idx val="3"/>
              <c:layout>
                <c:manualLayout>
                  <c:x val="-3.4651444890219263E-2"/>
                  <c:y val="-9.0104439559254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96D-4096-AE62-E83BEBBFC4E9}"/>
                </c:ext>
              </c:extLst>
            </c:dLbl>
            <c:dLbl>
              <c:idx val="5"/>
              <c:layout>
                <c:manualLayout>
                  <c:x val="-5.7752408150366502E-3"/>
                  <c:y val="-7.2668596866667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AA5-46AE-A6AE-7868C3DB5334}"/>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96D-4096-AE62-E83BEBBFC4E9}"/>
                </c:ext>
              </c:extLst>
            </c:dLbl>
            <c:dLbl>
              <c:idx val="7"/>
              <c:layout>
                <c:manualLayout>
                  <c:x val="-2.0213342852627905E-2"/>
                  <c:y val="2.5894106694449183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6D-4096-AE62-E83BEBBFC4E9}"/>
                </c:ext>
              </c:extLst>
            </c:dLbl>
            <c:dLbl>
              <c:idx val="8"/>
              <c:layout>
                <c:manualLayout>
                  <c:x val="-8.6628612225549215E-3"/>
                  <c:y val="-4.54219827375006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6D-4096-AE62-E83BEBBFC4E9}"/>
                </c:ext>
              </c:extLst>
            </c:dLbl>
            <c:dLbl>
              <c:idx val="9"/>
              <c:layout>
                <c:manualLayout>
                  <c:x val="-1.443810203759136E-2"/>
                  <c:y val="-8.59964180675875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6D-4096-AE62-E83BEBBFC4E9}"/>
                </c:ext>
              </c:extLst>
            </c:dLbl>
            <c:dLbl>
              <c:idx val="10"/>
              <c:layout>
                <c:manualLayout>
                  <c:x val="-2.0213342852627905E-2"/>
                  <c:y val="-5.84280488969432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6D-4096-AE62-E83BEBBFC4E9}"/>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détaillé'!$F$151:$F$157,'Tableau détaillé'!$F$159:$F$162)</c:f>
              <c:numCache>
                <c:formatCode>0.0%</c:formatCode>
                <c:ptCount val="11"/>
                <c:pt idx="0">
                  <c:v>0.40440476331817587</c:v>
                </c:pt>
                <c:pt idx="1">
                  <c:v>0.35574917635526998</c:v>
                </c:pt>
                <c:pt idx="2">
                  <c:v>0.58236554780039962</c:v>
                </c:pt>
                <c:pt idx="3">
                  <c:v>4.259367058055173E-5</c:v>
                </c:pt>
                <c:pt idx="4">
                  <c:v>0.55397024742027789</c:v>
                </c:pt>
                <c:pt idx="5">
                  <c:v>0.70490566037735847</c:v>
                </c:pt>
                <c:pt idx="6">
                  <c:v>0.54641918421650393</c:v>
                </c:pt>
                <c:pt idx="7">
                  <c:v>0.54163987844469907</c:v>
                </c:pt>
                <c:pt idx="8">
                  <c:v>0.84954890272884631</c:v>
                </c:pt>
                <c:pt idx="9">
                  <c:v>0.5689669071707848</c:v>
                </c:pt>
                <c:pt idx="10">
                  <c:v>0.72037192898080238</c:v>
                </c:pt>
              </c:numCache>
            </c:numRef>
          </c:val>
          <c:extLst>
            <c:ext xmlns:c16="http://schemas.microsoft.com/office/drawing/2014/chart" uri="{C3380CC4-5D6E-409C-BE32-E72D297353CC}">
              <c16:uniqueId val="{0000000D-196D-4096-AE62-E83BEBBFC4E9}"/>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F-196D-4096-AE62-E83BEBBFC4E9}"/>
              </c:ext>
            </c:extLst>
          </c:dPt>
          <c:dPt>
            <c:idx val="8"/>
            <c:invertIfNegative val="0"/>
            <c:bubble3D val="0"/>
            <c:spPr>
              <a:solidFill>
                <a:srgbClr val="FF0000"/>
              </a:solidFill>
              <a:ln>
                <a:noFill/>
              </a:ln>
              <a:effectLst/>
            </c:spPr>
            <c:extLst>
              <c:ext xmlns:c16="http://schemas.microsoft.com/office/drawing/2014/chart" uri="{C3380CC4-5D6E-409C-BE32-E72D297353CC}">
                <c16:uniqueId val="{00000011-196D-4096-AE62-E83BEBBFC4E9}"/>
              </c:ext>
            </c:extLst>
          </c:dPt>
          <c:dPt>
            <c:idx val="9"/>
            <c:invertIfNegative val="0"/>
            <c:bubble3D val="0"/>
            <c:spPr>
              <a:solidFill>
                <a:srgbClr val="FF0000"/>
              </a:solidFill>
              <a:ln>
                <a:noFill/>
              </a:ln>
              <a:effectLst/>
            </c:spPr>
            <c:extLst>
              <c:ext xmlns:c16="http://schemas.microsoft.com/office/drawing/2014/chart" uri="{C3380CC4-5D6E-409C-BE32-E72D297353CC}">
                <c16:uniqueId val="{00000013-196D-4096-AE62-E83BEBBFC4E9}"/>
              </c:ext>
            </c:extLst>
          </c:dPt>
          <c:dPt>
            <c:idx val="10"/>
            <c:invertIfNegative val="0"/>
            <c:bubble3D val="0"/>
            <c:spPr>
              <a:solidFill>
                <a:srgbClr val="FF0000"/>
              </a:solidFill>
              <a:ln>
                <a:noFill/>
              </a:ln>
              <a:effectLst/>
            </c:spPr>
            <c:extLst>
              <c:ext xmlns:c16="http://schemas.microsoft.com/office/drawing/2014/chart" uri="{C3380CC4-5D6E-409C-BE32-E72D297353CC}">
                <c16:uniqueId val="{00000015-196D-4096-AE62-E83BEBBFC4E9}"/>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96D-4096-AE62-E83BEBBFC4E9}"/>
                </c:ext>
              </c:extLst>
            </c:dLbl>
            <c:dLbl>
              <c:idx val="2"/>
              <c:layout>
                <c:manualLayout>
                  <c:x val="5.7752408150365444E-3"/>
                  <c:y val="-3.1597902925853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96D-4096-AE62-E83BEBBFC4E9}"/>
                </c:ext>
              </c:extLst>
            </c:dLbl>
            <c:dLbl>
              <c:idx val="3"/>
              <c:layout>
                <c:manualLayout>
                  <c:x val="1.1550481630073141E-2"/>
                  <c:y val="-2.72507238250002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E92-40E4-888C-8692268DC69C}"/>
                </c:ext>
              </c:extLst>
            </c:dLbl>
            <c:dLbl>
              <c:idx val="4"/>
              <c:layout>
                <c:manualLayout>
                  <c:x val="0"/>
                  <c:y val="-9.9789242548218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196D-4096-AE62-E83BEBBFC4E9}"/>
                </c:ext>
              </c:extLst>
            </c:dLbl>
            <c:dLbl>
              <c:idx val="5"/>
              <c:layout>
                <c:manualLayout>
                  <c:x val="1.1550481630073089E-2"/>
                  <c:y val="-9.083574608333429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4A9-42A8-863B-390B1BF1072D}"/>
                </c:ext>
              </c:extLst>
            </c:dLbl>
            <c:dLbl>
              <c:idx val="6"/>
              <c:layout>
                <c:manualLayout>
                  <c:x val="2.5988583667664451E-2"/>
                  <c:y val="-9.02935263599535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196D-4096-AE62-E83BEBBFC4E9}"/>
                </c:ext>
              </c:extLst>
            </c:dLbl>
            <c:dLbl>
              <c:idx val="7"/>
              <c:layout>
                <c:manualLayout>
                  <c:x val="8.6628612225547099E-3"/>
                  <c:y val="-4.08464031905519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96D-4096-AE62-E83BEBBFC4E9}"/>
                </c:ext>
              </c:extLst>
            </c:dLbl>
            <c:dLbl>
              <c:idx val="8"/>
              <c:layout>
                <c:manualLayout>
                  <c:x val="3.1763824482700889E-2"/>
                  <c:y val="9.092264922462529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96D-4096-AE62-E83BEBBFC4E9}"/>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96D-4096-AE62-E83BEBBFC4E9}"/>
                </c:ext>
              </c:extLst>
            </c:dLbl>
            <c:dLbl>
              <c:idx val="10"/>
              <c:layout>
                <c:manualLayout>
                  <c:x val="2.8876204075181664E-3"/>
                  <c:y val="-8.327267304572621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96D-4096-AE62-E83BEBBFC4E9}"/>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détaillé'!$G$151:$G$157,'Tableau détaillé'!$G$159:$G$162)</c:f>
              <c:numCache>
                <c:formatCode>0.0%</c:formatCode>
                <c:ptCount val="11"/>
                <c:pt idx="0">
                  <c:v>0.38924436821794917</c:v>
                </c:pt>
                <c:pt idx="1">
                  <c:v>0.36706951941779398</c:v>
                </c:pt>
                <c:pt idx="2">
                  <c:v>0.55405080308497845</c:v>
                </c:pt>
                <c:pt idx="3">
                  <c:v>0.74079691966629713</c:v>
                </c:pt>
                <c:pt idx="4">
                  <c:v>0.54073925807312517</c:v>
                </c:pt>
                <c:pt idx="5">
                  <c:v>0.71189253669415486</c:v>
                </c:pt>
                <c:pt idx="6">
                  <c:v>0.49031268584306237</c:v>
                </c:pt>
                <c:pt idx="7">
                  <c:v>0.87016290060497437</c:v>
                </c:pt>
                <c:pt idx="8">
                  <c:v>0.8316769144773617</c:v>
                </c:pt>
                <c:pt idx="9">
                  <c:v>0.58803749154507678</c:v>
                </c:pt>
                <c:pt idx="10">
                  <c:v>0.74423247559893524</c:v>
                </c:pt>
              </c:numCache>
            </c:numRef>
          </c:val>
          <c:extLst>
            <c:ext xmlns:c16="http://schemas.microsoft.com/office/drawing/2014/chart" uri="{C3380CC4-5D6E-409C-BE32-E72D297353CC}">
              <c16:uniqueId val="{0000001A-196D-4096-AE62-E83BEBBFC4E9}"/>
            </c:ext>
          </c:extLst>
        </c:ser>
        <c:dLbls>
          <c:showLegendKey val="0"/>
          <c:showVal val="0"/>
          <c:showCatName val="0"/>
          <c:showSerName val="0"/>
          <c:showPercent val="0"/>
          <c:showBubbleSize val="0"/>
        </c:dLbls>
        <c:gapWidth val="150"/>
        <c:axId val="969148616"/>
        <c:axId val="969146264"/>
      </c:barChart>
      <c:catAx>
        <c:axId val="96914861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6264"/>
        <c:crosses val="autoZero"/>
        <c:auto val="1"/>
        <c:lblAlgn val="ctr"/>
        <c:lblOffset val="100"/>
        <c:noMultiLvlLbl val="0"/>
      </c:catAx>
      <c:valAx>
        <c:axId val="96914626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8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CARTE - par DR</a:t>
            </a:r>
          </a:p>
        </c:rich>
      </c:tx>
      <c:layout>
        <c:manualLayout>
          <c:xMode val="edge"/>
          <c:yMode val="edge"/>
          <c:x val="0.35790417875052438"/>
          <c:y val="2.394218700724769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52B7-4149-9554-31032EECE90D}"/>
              </c:ext>
            </c:extLst>
          </c:dPt>
          <c:dLbls>
            <c:dLbl>
              <c:idx val="0"/>
              <c:layout>
                <c:manualLayout>
                  <c:x val="-5.7752408150365444E-3"/>
                  <c:y val="0.188582119841214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B7-4149-9554-31032EECE90D}"/>
                </c:ext>
              </c:extLst>
            </c:dLbl>
            <c:dLbl>
              <c:idx val="1"/>
              <c:layout>
                <c:manualLayout>
                  <c:x val="-3.8142145455296057E-5"/>
                  <c:y val="0.286931161514013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B7-4149-9554-31032EECE9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détaillé'!$F$158,'Tableau détaillé'!$F$163)</c:f>
              <c:numCache>
                <c:formatCode>0.0%</c:formatCode>
                <c:ptCount val="2"/>
                <c:pt idx="0">
                  <c:v>0.41362537144000094</c:v>
                </c:pt>
                <c:pt idx="1">
                  <c:v>0.66278684983840697</c:v>
                </c:pt>
              </c:numCache>
            </c:numRef>
          </c:val>
          <c:extLst>
            <c:ext xmlns:c16="http://schemas.microsoft.com/office/drawing/2014/chart" uri="{C3380CC4-5D6E-409C-BE32-E72D297353CC}">
              <c16:uniqueId val="{00000003-52B7-4149-9554-31032EECE90D}"/>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52B7-4149-9554-31032EECE90D}"/>
              </c:ext>
            </c:extLst>
          </c:dPt>
          <c:dLbls>
            <c:dLbl>
              <c:idx val="0"/>
              <c:layout>
                <c:manualLayout>
                  <c:x val="5.737027407599531E-3"/>
                  <c:y val="0.165067177116440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2B7-4149-9554-31032EECE90D}"/>
                </c:ext>
              </c:extLst>
            </c:dLbl>
            <c:dLbl>
              <c:idx val="1"/>
              <c:layout>
                <c:manualLayout>
                  <c:x val="5.7751695530547228E-3"/>
                  <c:y val="0.171724934989887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B7-4149-9554-31032EECE90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détaillé'!$G$158,'Tableau détaillé'!$G$163)</c:f>
              <c:numCache>
                <c:formatCode>0.0%</c:formatCode>
                <c:ptCount val="2"/>
                <c:pt idx="0">
                  <c:v>0.45722149565792458</c:v>
                </c:pt>
                <c:pt idx="1">
                  <c:v>0.82290032850388317</c:v>
                </c:pt>
              </c:numCache>
            </c:numRef>
          </c:val>
          <c:extLst>
            <c:ext xmlns:c16="http://schemas.microsoft.com/office/drawing/2014/chart" uri="{C3380CC4-5D6E-409C-BE32-E72D297353CC}">
              <c16:uniqueId val="{00000007-52B7-4149-9554-31032EECE90D}"/>
            </c:ext>
          </c:extLst>
        </c:ser>
        <c:dLbls>
          <c:showLegendKey val="0"/>
          <c:showVal val="0"/>
          <c:showCatName val="0"/>
          <c:showSerName val="0"/>
          <c:showPercent val="0"/>
          <c:showBubbleSize val="0"/>
        </c:dLbls>
        <c:gapWidth val="150"/>
        <c:axId val="969143912"/>
        <c:axId val="969147832"/>
      </c:barChart>
      <c:catAx>
        <c:axId val="96914391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7832"/>
        <c:crosses val="autoZero"/>
        <c:auto val="1"/>
        <c:lblAlgn val="ctr"/>
        <c:lblOffset val="100"/>
        <c:noMultiLvlLbl val="0"/>
      </c:catAx>
      <c:valAx>
        <c:axId val="96914783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3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CAV</a:t>
            </a:r>
          </a:p>
        </c:rich>
      </c:tx>
      <c:layout>
        <c:manualLayout>
          <c:xMode val="edge"/>
          <c:yMode val="edge"/>
          <c:x val="0.35790417875052438"/>
          <c:y val="2.394227510186967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3849-4B40-A46B-ACF849A862B3}"/>
              </c:ext>
            </c:extLst>
          </c:dPt>
          <c:dPt>
            <c:idx val="8"/>
            <c:invertIfNegative val="0"/>
            <c:bubble3D val="0"/>
            <c:spPr>
              <a:solidFill>
                <a:srgbClr val="FFA7A7"/>
              </a:solidFill>
              <a:ln>
                <a:noFill/>
              </a:ln>
              <a:effectLst/>
            </c:spPr>
            <c:extLst>
              <c:ext xmlns:c16="http://schemas.microsoft.com/office/drawing/2014/chart" uri="{C3380CC4-5D6E-409C-BE32-E72D297353CC}">
                <c16:uniqueId val="{00000003-3849-4B40-A46B-ACF849A862B3}"/>
              </c:ext>
            </c:extLst>
          </c:dPt>
          <c:dPt>
            <c:idx val="9"/>
            <c:invertIfNegative val="0"/>
            <c:bubble3D val="0"/>
            <c:spPr>
              <a:solidFill>
                <a:srgbClr val="FFA7A7"/>
              </a:solidFill>
              <a:ln>
                <a:noFill/>
              </a:ln>
              <a:effectLst/>
            </c:spPr>
            <c:extLst>
              <c:ext xmlns:c16="http://schemas.microsoft.com/office/drawing/2014/chart" uri="{C3380CC4-5D6E-409C-BE32-E72D297353CC}">
                <c16:uniqueId val="{00000005-3849-4B40-A46B-ACF849A862B3}"/>
              </c:ext>
            </c:extLst>
          </c:dPt>
          <c:dPt>
            <c:idx val="10"/>
            <c:invertIfNegative val="0"/>
            <c:bubble3D val="0"/>
            <c:spPr>
              <a:solidFill>
                <a:srgbClr val="FFA7A7"/>
              </a:solidFill>
              <a:ln>
                <a:noFill/>
              </a:ln>
              <a:effectLst/>
            </c:spPr>
            <c:extLst>
              <c:ext xmlns:c16="http://schemas.microsoft.com/office/drawing/2014/chart" uri="{C3380CC4-5D6E-409C-BE32-E72D297353CC}">
                <c16:uniqueId val="{00000007-3849-4B40-A46B-ACF849A862B3}"/>
              </c:ext>
            </c:extLst>
          </c:dPt>
          <c:dLbls>
            <c:dLbl>
              <c:idx val="0"/>
              <c:layout>
                <c:manualLayout>
                  <c:x val="-2.0213342852627905E-2"/>
                  <c:y val="-2.25967996298877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849-4B40-A46B-ACF849A862B3}"/>
                </c:ext>
              </c:extLst>
            </c:dLbl>
            <c:dLbl>
              <c:idx val="1"/>
              <c:layout>
                <c:manualLayout>
                  <c:x val="-1.443810203759136E-2"/>
                  <c:y val="-6.348326718481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849-4B40-A46B-ACF849A862B3}"/>
                </c:ext>
              </c:extLst>
            </c:dLbl>
            <c:dLbl>
              <c:idx val="2"/>
              <c:layout>
                <c:manualLayout>
                  <c:x val="0"/>
                  <c:y val="-0.104723702730918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849-4B40-A46B-ACF849A862B3}"/>
                </c:ext>
              </c:extLst>
            </c:dLbl>
            <c:dLbl>
              <c:idx val="3"/>
              <c:layout>
                <c:manualLayout>
                  <c:x val="-2.0213342852627905E-2"/>
                  <c:y val="-6.3497568277887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849-4B40-A46B-ACF849A862B3}"/>
                </c:ext>
              </c:extLst>
            </c:dLbl>
            <c:dLbl>
              <c:idx val="5"/>
              <c:layout>
                <c:manualLayout>
                  <c:x val="-8.6628612225549215E-3"/>
                  <c:y val="-3.1782501026464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2A8-4F0E-8E9F-2D1EFDA646D3}"/>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849-4B40-A46B-ACF849A862B3}"/>
                </c:ext>
              </c:extLst>
            </c:dLbl>
            <c:dLbl>
              <c:idx val="7"/>
              <c:layout>
                <c:manualLayout>
                  <c:x val="0"/>
                  <c:y val="-5.42393981527993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849-4B40-A46B-ACF849A862B3}"/>
                </c:ext>
              </c:extLst>
            </c:dLbl>
            <c:dLbl>
              <c:idx val="9"/>
              <c:layout>
                <c:manualLayout>
                  <c:x val="-2.0213342852627905E-2"/>
                  <c:y val="-7.2359344133953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849-4B40-A46B-ACF849A862B3}"/>
                </c:ext>
              </c:extLst>
            </c:dLbl>
            <c:dLbl>
              <c:idx val="10"/>
              <c:layout>
                <c:manualLayout>
                  <c:x val="-2.887620407518378E-3"/>
                  <c:y val="-7.65887888726055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849-4B40-A46B-ACF849A862B3}"/>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détaillé'!$F$103:$F$109,'Tableau détaillé'!$F$111:$F$114)</c:f>
              <c:numCache>
                <c:formatCode>0.0%</c:formatCode>
                <c:ptCount val="11"/>
                <c:pt idx="0">
                  <c:v>0.74153755414599998</c:v>
                </c:pt>
                <c:pt idx="1">
                  <c:v>0.70584750110100003</c:v>
                </c:pt>
                <c:pt idx="2">
                  <c:v>0.74116197589800004</c:v>
                </c:pt>
                <c:pt idx="3">
                  <c:v>0.80658117660799999</c:v>
                </c:pt>
                <c:pt idx="4">
                  <c:v>0.90387148502299997</c:v>
                </c:pt>
                <c:pt idx="5">
                  <c:v>0.77426380077599999</c:v>
                </c:pt>
                <c:pt idx="6">
                  <c:v>0.94863307111100004</c:v>
                </c:pt>
                <c:pt idx="7">
                  <c:v>0.932545360883</c:v>
                </c:pt>
                <c:pt idx="8">
                  <c:v>0.853855106197</c:v>
                </c:pt>
                <c:pt idx="9">
                  <c:v>0.95630441792900001</c:v>
                </c:pt>
                <c:pt idx="10">
                  <c:v>0.945341556423</c:v>
                </c:pt>
              </c:numCache>
            </c:numRef>
          </c:val>
          <c:extLst>
            <c:ext xmlns:c16="http://schemas.microsoft.com/office/drawing/2014/chart" uri="{C3380CC4-5D6E-409C-BE32-E72D297353CC}">
              <c16:uniqueId val="{0000000D-3849-4B40-A46B-ACF849A862B3}"/>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F-3849-4B40-A46B-ACF849A862B3}"/>
              </c:ext>
            </c:extLst>
          </c:dPt>
          <c:dPt>
            <c:idx val="8"/>
            <c:invertIfNegative val="0"/>
            <c:bubble3D val="0"/>
            <c:spPr>
              <a:solidFill>
                <a:srgbClr val="FF0000"/>
              </a:solidFill>
              <a:ln>
                <a:noFill/>
              </a:ln>
              <a:effectLst/>
            </c:spPr>
            <c:extLst>
              <c:ext xmlns:c16="http://schemas.microsoft.com/office/drawing/2014/chart" uri="{C3380CC4-5D6E-409C-BE32-E72D297353CC}">
                <c16:uniqueId val="{00000011-3849-4B40-A46B-ACF849A862B3}"/>
              </c:ext>
            </c:extLst>
          </c:dPt>
          <c:dPt>
            <c:idx val="9"/>
            <c:invertIfNegative val="0"/>
            <c:bubble3D val="0"/>
            <c:spPr>
              <a:solidFill>
                <a:srgbClr val="FF0000"/>
              </a:solidFill>
              <a:ln>
                <a:noFill/>
              </a:ln>
              <a:effectLst/>
            </c:spPr>
            <c:extLst>
              <c:ext xmlns:c16="http://schemas.microsoft.com/office/drawing/2014/chart" uri="{C3380CC4-5D6E-409C-BE32-E72D297353CC}">
                <c16:uniqueId val="{00000013-3849-4B40-A46B-ACF849A862B3}"/>
              </c:ext>
            </c:extLst>
          </c:dPt>
          <c:dPt>
            <c:idx val="10"/>
            <c:invertIfNegative val="0"/>
            <c:bubble3D val="0"/>
            <c:spPr>
              <a:solidFill>
                <a:srgbClr val="FF0000"/>
              </a:solidFill>
              <a:ln>
                <a:noFill/>
              </a:ln>
              <a:effectLst/>
            </c:spPr>
            <c:extLst>
              <c:ext xmlns:c16="http://schemas.microsoft.com/office/drawing/2014/chart" uri="{C3380CC4-5D6E-409C-BE32-E72D297353CC}">
                <c16:uniqueId val="{00000015-3849-4B40-A46B-ACF849A862B3}"/>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849-4B40-A46B-ACF849A862B3}"/>
                </c:ext>
              </c:extLst>
            </c:dLbl>
            <c:dLbl>
              <c:idx val="2"/>
              <c:layout>
                <c:manualLayout>
                  <c:x val="5.7752408150365444E-3"/>
                  <c:y val="-3.1597902925853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849-4B40-A46B-ACF849A862B3}"/>
                </c:ext>
              </c:extLst>
            </c:dLbl>
            <c:dLbl>
              <c:idx val="4"/>
              <c:layout>
                <c:manualLayout>
                  <c:x val="1.4438102037591308E-2"/>
                  <c:y val="-4.98250360156852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849-4B40-A46B-ACF849A862B3}"/>
                </c:ext>
              </c:extLst>
            </c:dLbl>
            <c:dLbl>
              <c:idx val="6"/>
              <c:layout>
                <c:manualLayout>
                  <c:x val="8.6628612225548157E-3"/>
                  <c:y val="-6.35165172262028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3849-4B40-A46B-ACF849A862B3}"/>
                </c:ext>
              </c:extLst>
            </c:dLbl>
            <c:dLbl>
              <c:idx val="7"/>
              <c:layout>
                <c:manualLayout>
                  <c:x val="1.443810203759136E-2"/>
                  <c:y val="-2.2679373306413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849-4B40-A46B-ACF849A862B3}"/>
                </c:ext>
              </c:extLst>
            </c:dLbl>
            <c:dLbl>
              <c:idx val="8"/>
              <c:layout>
                <c:manualLayout>
                  <c:x val="8.6628612225548157E-3"/>
                  <c:y val="-6.35683586885754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849-4B40-A46B-ACF849A862B3}"/>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849-4B40-A46B-ACF849A862B3}"/>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détaillé'!$G$103:$G$109,'Tableau détaillé'!$G$111:$G$114)</c:f>
              <c:numCache>
                <c:formatCode>0.0%</c:formatCode>
                <c:ptCount val="11"/>
                <c:pt idx="0">
                  <c:v>0.74517251959999997</c:v>
                </c:pt>
                <c:pt idx="1">
                  <c:v>0.73701828410600001</c:v>
                </c:pt>
                <c:pt idx="2">
                  <c:v>0.763924636283</c:v>
                </c:pt>
                <c:pt idx="3">
                  <c:v>0.80295484727699995</c:v>
                </c:pt>
                <c:pt idx="4">
                  <c:v>0.90901958505199998</c:v>
                </c:pt>
                <c:pt idx="5">
                  <c:v>0.78867369453199998</c:v>
                </c:pt>
                <c:pt idx="6">
                  <c:v>0.949848432523</c:v>
                </c:pt>
                <c:pt idx="7">
                  <c:v>0.93478149837500002</c:v>
                </c:pt>
                <c:pt idx="8">
                  <c:v>0.85082853854999996</c:v>
                </c:pt>
                <c:pt idx="9">
                  <c:v>0.95916942004399997</c:v>
                </c:pt>
                <c:pt idx="10">
                  <c:v>0</c:v>
                </c:pt>
              </c:numCache>
            </c:numRef>
          </c:val>
          <c:extLst>
            <c:ext xmlns:c16="http://schemas.microsoft.com/office/drawing/2014/chart" uri="{C3380CC4-5D6E-409C-BE32-E72D297353CC}">
              <c16:uniqueId val="{0000001A-3849-4B40-A46B-ACF849A862B3}"/>
            </c:ext>
          </c:extLst>
        </c:ser>
        <c:dLbls>
          <c:showLegendKey val="0"/>
          <c:showVal val="0"/>
          <c:showCatName val="0"/>
          <c:showSerName val="0"/>
          <c:showPercent val="0"/>
          <c:showBubbleSize val="0"/>
        </c:dLbls>
        <c:gapWidth val="150"/>
        <c:axId val="969151360"/>
        <c:axId val="969142344"/>
      </c:barChart>
      <c:catAx>
        <c:axId val="96915136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2344"/>
        <c:crosses val="autoZero"/>
        <c:auto val="1"/>
        <c:lblAlgn val="ctr"/>
        <c:lblOffset val="100"/>
        <c:noMultiLvlLbl val="0"/>
      </c:catAx>
      <c:valAx>
        <c:axId val="96914234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13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Equipement CAV - Par DR</a:t>
            </a:r>
          </a:p>
        </c:rich>
      </c:tx>
      <c:layout>
        <c:manualLayout>
          <c:xMode val="edge"/>
          <c:yMode val="edge"/>
          <c:x val="0.31170225223023201"/>
          <c:y val="2.39423036302510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FAC1-4FE0-A4F2-7779987B0AE4}"/>
              </c:ext>
            </c:extLst>
          </c:dPt>
          <c:dLbls>
            <c:dLbl>
              <c:idx val="0"/>
              <c:layout>
                <c:manualLayout>
                  <c:x val="-5.7752408150365444E-3"/>
                  <c:y val="0.1885821198412148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AC1-4FE0-A4F2-7779987B0AE4}"/>
                </c:ext>
              </c:extLst>
            </c:dLbl>
            <c:dLbl>
              <c:idx val="1"/>
              <c:layout>
                <c:manualLayout>
                  <c:x val="2.8906836939045898E-3"/>
                  <c:y val="0.2960943368968506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AC1-4FE0-A4F2-7779987B0A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détaillé'!$F$110,'Tableau détaillé'!$F$115)</c:f>
              <c:numCache>
                <c:formatCode>0.0%</c:formatCode>
                <c:ptCount val="2"/>
                <c:pt idx="0">
                  <c:v>0.76222135555299997</c:v>
                </c:pt>
                <c:pt idx="1">
                  <c:v>0.906503936643</c:v>
                </c:pt>
              </c:numCache>
            </c:numRef>
          </c:val>
          <c:extLst>
            <c:ext xmlns:c16="http://schemas.microsoft.com/office/drawing/2014/chart" uri="{C3380CC4-5D6E-409C-BE32-E72D297353CC}">
              <c16:uniqueId val="{00000003-FAC1-4FE0-A4F2-7779987B0AE4}"/>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FAC1-4FE0-A4F2-7779987B0AE4}"/>
              </c:ext>
            </c:extLst>
          </c:dPt>
          <c:dLbls>
            <c:dLbl>
              <c:idx val="0"/>
              <c:layout>
                <c:manualLayout>
                  <c:x val="5.7752401974900322E-3"/>
                  <c:y val="0.179659619260417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AC1-4FE0-A4F2-7779987B0AE4}"/>
                </c:ext>
              </c:extLst>
            </c:dLbl>
            <c:dLbl>
              <c:idx val="1"/>
              <c:layout>
                <c:manualLayout>
                  <c:x val="-3.8678963238908899E-6"/>
                  <c:y val="0.194659058075700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AC1-4FE0-A4F2-7779987B0AE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détaillé'!$G$110,'Tableau détaillé'!$G$115)</c:f>
              <c:numCache>
                <c:formatCode>0.0%</c:formatCode>
                <c:ptCount val="2"/>
                <c:pt idx="0">
                  <c:v>0.772363754598</c:v>
                </c:pt>
                <c:pt idx="1">
                  <c:v>0.90539054377899997</c:v>
                </c:pt>
              </c:numCache>
            </c:numRef>
          </c:val>
          <c:extLst>
            <c:ext xmlns:c16="http://schemas.microsoft.com/office/drawing/2014/chart" uri="{C3380CC4-5D6E-409C-BE32-E72D297353CC}">
              <c16:uniqueId val="{00000007-FAC1-4FE0-A4F2-7779987B0AE4}"/>
            </c:ext>
          </c:extLst>
        </c:ser>
        <c:dLbls>
          <c:showLegendKey val="0"/>
          <c:showVal val="0"/>
          <c:showCatName val="0"/>
          <c:showSerName val="0"/>
          <c:showPercent val="0"/>
          <c:showBubbleSize val="0"/>
        </c:dLbls>
        <c:gapWidth val="150"/>
        <c:axId val="969143520"/>
        <c:axId val="969144696"/>
      </c:barChart>
      <c:catAx>
        <c:axId val="96914352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4696"/>
        <c:crosses val="autoZero"/>
        <c:auto val="1"/>
        <c:lblAlgn val="ctr"/>
        <c:lblOffset val="100"/>
        <c:noMultiLvlLbl val="0"/>
      </c:catAx>
      <c:valAx>
        <c:axId val="9691446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43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Nombre de clients total</a:t>
            </a:r>
          </a:p>
        </c:rich>
      </c:tx>
      <c:layout>
        <c:manualLayout>
          <c:xMode val="edge"/>
          <c:yMode val="edge"/>
          <c:x val="0.277050693749752"/>
          <c:y val="2.394212710366275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2420154220056243"/>
          <c:y val="0.15635905595708535"/>
          <c:w val="0.86746509416984918"/>
          <c:h val="0.61839536224820157"/>
        </c:manualLayout>
      </c:layout>
      <c:barChart>
        <c:barDir val="col"/>
        <c:grouping val="clustered"/>
        <c:varyColors val="0"/>
        <c:ser>
          <c:idx val="0"/>
          <c:order val="0"/>
          <c:tx>
            <c:strRef>
              <c:f>'Tableau détaillé'!$F$184</c:f>
              <c:strCache>
                <c:ptCount val="1"/>
                <c:pt idx="0">
                  <c:v>31/12/2022</c:v>
                </c:pt>
              </c:strCache>
            </c:strRef>
          </c:tx>
          <c:spPr>
            <a:solidFill>
              <a:sysClr val="window" lastClr="FFFFFF">
                <a:lumMod val="7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7F02-4F99-9948-09B777A14DCD}"/>
              </c:ext>
            </c:extLst>
          </c:dPt>
          <c:dPt>
            <c:idx val="8"/>
            <c:invertIfNegative val="0"/>
            <c:bubble3D val="0"/>
            <c:spPr>
              <a:solidFill>
                <a:srgbClr val="FFA7A7"/>
              </a:solidFill>
              <a:ln>
                <a:noFill/>
              </a:ln>
              <a:effectLst/>
            </c:spPr>
            <c:extLst>
              <c:ext xmlns:c16="http://schemas.microsoft.com/office/drawing/2014/chart" uri="{C3380CC4-5D6E-409C-BE32-E72D297353CC}">
                <c16:uniqueId val="{00000003-7F02-4F99-9948-09B777A14DCD}"/>
              </c:ext>
            </c:extLst>
          </c:dPt>
          <c:dPt>
            <c:idx val="9"/>
            <c:invertIfNegative val="0"/>
            <c:bubble3D val="0"/>
            <c:spPr>
              <a:solidFill>
                <a:srgbClr val="FFA7A7"/>
              </a:solidFill>
              <a:ln>
                <a:noFill/>
              </a:ln>
              <a:effectLst/>
            </c:spPr>
            <c:extLst>
              <c:ext xmlns:c16="http://schemas.microsoft.com/office/drawing/2014/chart" uri="{C3380CC4-5D6E-409C-BE32-E72D297353CC}">
                <c16:uniqueId val="{00000005-7F02-4F99-9948-09B777A14DCD}"/>
              </c:ext>
            </c:extLst>
          </c:dPt>
          <c:dPt>
            <c:idx val="10"/>
            <c:invertIfNegative val="0"/>
            <c:bubble3D val="0"/>
            <c:spPr>
              <a:solidFill>
                <a:srgbClr val="FFA7A7"/>
              </a:solidFill>
              <a:ln>
                <a:noFill/>
              </a:ln>
              <a:effectLst/>
            </c:spPr>
            <c:extLst>
              <c:ext xmlns:c16="http://schemas.microsoft.com/office/drawing/2014/chart" uri="{C3380CC4-5D6E-409C-BE32-E72D297353CC}">
                <c16:uniqueId val="{00000007-7F02-4F99-9948-09B777A14DCD}"/>
              </c:ext>
            </c:extLst>
          </c:dPt>
          <c:dLbls>
            <c:dLbl>
              <c:idx val="0"/>
              <c:layout>
                <c:manualLayout>
                  <c:x val="-1.1542873139279788E-2"/>
                  <c:y val="-2.063859203528501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0C5-4FE0-955D-D895BDA30277}"/>
                </c:ext>
              </c:extLst>
            </c:dLbl>
            <c:dLbl>
              <c:idx val="1"/>
              <c:layout>
                <c:manualLayout>
                  <c:x val="2.6452112033793992E-17"/>
                  <c:y val="-7.64764308070725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F02-4F99-9948-09B777A14DCD}"/>
                </c:ext>
              </c:extLst>
            </c:dLbl>
            <c:dLbl>
              <c:idx val="2"/>
              <c:layout>
                <c:manualLayout>
                  <c:x val="-5.2904224067587984E-17"/>
                  <c:y val="-5.3983362922639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F02-4F99-9948-09B777A14DCD}"/>
                </c:ext>
              </c:extLst>
            </c:dLbl>
            <c:dLbl>
              <c:idx val="3"/>
              <c:layout>
                <c:manualLayout>
                  <c:x val="8.6571548544598208E-3"/>
                  <c:y val="-4.94847493457528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F02-4F99-9948-09B777A14DCD}"/>
                </c:ext>
              </c:extLst>
            </c:dLbl>
            <c:dLbl>
              <c:idx val="4"/>
              <c:layout>
                <c:manualLayout>
                  <c:x val="8.6571548544598208E-3"/>
                  <c:y val="-0.103468112268392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F02-4F99-9948-09B777A14DCD}"/>
                </c:ext>
              </c:extLst>
            </c:dLbl>
            <c:dLbl>
              <c:idx val="5"/>
              <c:layout>
                <c:manualLayout>
                  <c:x val="0"/>
                  <c:y val="-3.59889086150930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F02-4F99-9948-09B777A14DCD}"/>
                </c:ext>
              </c:extLst>
            </c:dLbl>
            <c:dLbl>
              <c:idx val="6"/>
              <c:layout>
                <c:manualLayout>
                  <c:x val="0"/>
                  <c:y val="-4.49861357688662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F02-4F99-9948-09B777A14DCD}"/>
                </c:ext>
              </c:extLst>
            </c:dLbl>
            <c:dLbl>
              <c:idx val="7"/>
              <c:layout>
                <c:manualLayout>
                  <c:x val="-2.3085746278559523E-2"/>
                  <c:y val="-8.99722715377323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02-4F99-9948-09B777A14DCD}"/>
                </c:ext>
              </c:extLst>
            </c:dLbl>
            <c:dLbl>
              <c:idx val="8"/>
              <c:layout>
                <c:manualLayout>
                  <c:x val="-5.7714365696398809E-3"/>
                  <c:y val="-8.09750443839592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F02-4F99-9948-09B777A14DCD}"/>
                </c:ext>
              </c:extLst>
            </c:dLbl>
            <c:dLbl>
              <c:idx val="9"/>
              <c:layout>
                <c:manualLayout>
                  <c:x val="0"/>
                  <c:y val="-4.04875221919795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F02-4F99-9948-09B777A14DCD}"/>
                </c:ext>
              </c:extLst>
            </c:dLbl>
            <c:dLbl>
              <c:idx val="10"/>
              <c:layout>
                <c:manualLayout>
                  <c:x val="-2.8857182848200462E-3"/>
                  <c:y val="-6.74792036532992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F02-4F99-9948-09B777A14DC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détaillé'!$F$186:$F$192,'Tableau détaillé'!$F$194:$F$197)</c:f>
              <c:numCache>
                <c:formatCode>_-* #\ ##0\ _€_-;\-* #\ ##0\ _€_-;_-* "-"??\ _€_-;_-@_-</c:formatCode>
                <c:ptCount val="11"/>
                <c:pt idx="0">
                  <c:v>583742</c:v>
                </c:pt>
                <c:pt idx="1">
                  <c:v>245791</c:v>
                </c:pt>
                <c:pt idx="2">
                  <c:v>248436</c:v>
                </c:pt>
                <c:pt idx="3">
                  <c:v>112567</c:v>
                </c:pt>
                <c:pt idx="4">
                  <c:v>102416</c:v>
                </c:pt>
                <c:pt idx="5">
                  <c:v>33534</c:v>
                </c:pt>
                <c:pt idx="6">
                  <c:v>32837</c:v>
                </c:pt>
                <c:pt idx="7">
                  <c:v>292739</c:v>
                </c:pt>
                <c:pt idx="8">
                  <c:v>239018</c:v>
                </c:pt>
                <c:pt idx="9">
                  <c:v>54157</c:v>
                </c:pt>
                <c:pt idx="10">
                  <c:v>26991</c:v>
                </c:pt>
              </c:numCache>
            </c:numRef>
          </c:val>
          <c:extLst>
            <c:ext xmlns:c16="http://schemas.microsoft.com/office/drawing/2014/chart" uri="{C3380CC4-5D6E-409C-BE32-E72D297353CC}">
              <c16:uniqueId val="{0000000E-7F02-4F99-9948-09B777A14DCD}"/>
            </c:ext>
          </c:extLst>
        </c:ser>
        <c:ser>
          <c:idx val="1"/>
          <c:order val="1"/>
          <c:tx>
            <c:strRef>
              <c:f>'Tableau détaillé'!$G$184</c:f>
              <c:strCache>
                <c:ptCount val="1"/>
                <c:pt idx="0">
                  <c:v>31/12/2023</c:v>
                </c:pt>
              </c:strCache>
            </c:strRef>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10-7F02-4F99-9948-09B777A14DCD}"/>
              </c:ext>
            </c:extLst>
          </c:dPt>
          <c:dPt>
            <c:idx val="8"/>
            <c:invertIfNegative val="0"/>
            <c:bubble3D val="0"/>
            <c:spPr>
              <a:solidFill>
                <a:srgbClr val="FF0000"/>
              </a:solidFill>
              <a:ln>
                <a:noFill/>
              </a:ln>
              <a:effectLst/>
            </c:spPr>
            <c:extLst>
              <c:ext xmlns:c16="http://schemas.microsoft.com/office/drawing/2014/chart" uri="{C3380CC4-5D6E-409C-BE32-E72D297353CC}">
                <c16:uniqueId val="{00000012-7F02-4F99-9948-09B777A14DCD}"/>
              </c:ext>
            </c:extLst>
          </c:dPt>
          <c:dPt>
            <c:idx val="9"/>
            <c:invertIfNegative val="0"/>
            <c:bubble3D val="0"/>
            <c:spPr>
              <a:solidFill>
                <a:srgbClr val="FF0000"/>
              </a:solidFill>
              <a:ln>
                <a:noFill/>
              </a:ln>
              <a:effectLst/>
            </c:spPr>
            <c:extLst>
              <c:ext xmlns:c16="http://schemas.microsoft.com/office/drawing/2014/chart" uri="{C3380CC4-5D6E-409C-BE32-E72D297353CC}">
                <c16:uniqueId val="{00000014-7F02-4F99-9948-09B777A14DCD}"/>
              </c:ext>
            </c:extLst>
          </c:dPt>
          <c:dPt>
            <c:idx val="10"/>
            <c:invertIfNegative val="0"/>
            <c:bubble3D val="0"/>
            <c:spPr>
              <a:solidFill>
                <a:srgbClr val="FF0000"/>
              </a:solidFill>
              <a:ln>
                <a:noFill/>
              </a:ln>
              <a:effectLst/>
            </c:spPr>
            <c:extLst>
              <c:ext xmlns:c16="http://schemas.microsoft.com/office/drawing/2014/chart" uri="{C3380CC4-5D6E-409C-BE32-E72D297353CC}">
                <c16:uniqueId val="{00000016-7F02-4F99-9948-09B777A14DCD}"/>
              </c:ext>
            </c:extLst>
          </c:dPt>
          <c:dLbls>
            <c:dLbl>
              <c:idx val="0"/>
              <c:layout>
                <c:manualLayout>
                  <c:x val="6.3485802266038685E-2"/>
                  <c:y val="-2.24930678844331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F02-4F99-9948-09B777A14DC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détaillé'!$D$271:$D$277,'Tableau détaillé'!$D$279:$D$282)</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détaillé'!$G$186:$G$192,'Tableau détaillé'!$G$194:$G$197)</c:f>
              <c:numCache>
                <c:formatCode>_-* #\ ##0\ _€_-;\-* #\ ##0\ _€_-;_-* "-"??\ _€_-;_-@_-</c:formatCode>
                <c:ptCount val="11"/>
                <c:pt idx="0">
                  <c:v>594816</c:v>
                </c:pt>
                <c:pt idx="1">
                  <c:v>237395</c:v>
                </c:pt>
                <c:pt idx="2">
                  <c:v>253482</c:v>
                </c:pt>
                <c:pt idx="3">
                  <c:v>114127</c:v>
                </c:pt>
                <c:pt idx="4">
                  <c:v>100290</c:v>
                </c:pt>
                <c:pt idx="5">
                  <c:v>31510</c:v>
                </c:pt>
                <c:pt idx="6">
                  <c:v>33959</c:v>
                </c:pt>
                <c:pt idx="7">
                  <c:v>314006</c:v>
                </c:pt>
                <c:pt idx="8">
                  <c:v>236552</c:v>
                </c:pt>
                <c:pt idx="9">
                  <c:v>56402</c:v>
                </c:pt>
                <c:pt idx="10">
                  <c:v>29945</c:v>
                </c:pt>
              </c:numCache>
            </c:numRef>
          </c:val>
          <c:extLst>
            <c:ext xmlns:c16="http://schemas.microsoft.com/office/drawing/2014/chart" uri="{C3380CC4-5D6E-409C-BE32-E72D297353CC}">
              <c16:uniqueId val="{00000018-7F02-4F99-9948-09B777A14DCD}"/>
            </c:ext>
          </c:extLst>
        </c:ser>
        <c:dLbls>
          <c:showLegendKey val="0"/>
          <c:showVal val="0"/>
          <c:showCatName val="0"/>
          <c:showSerName val="0"/>
          <c:showPercent val="0"/>
          <c:showBubbleSize val="0"/>
        </c:dLbls>
        <c:gapWidth val="150"/>
        <c:axId val="964165664"/>
        <c:axId val="964170760"/>
      </c:barChart>
      <c:catAx>
        <c:axId val="96416566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0760"/>
        <c:crosses val="autoZero"/>
        <c:auto val="1"/>
        <c:lblAlgn val="ctr"/>
        <c:lblOffset val="100"/>
        <c:noMultiLvlLbl val="0"/>
      </c:catAx>
      <c:valAx>
        <c:axId val="964170760"/>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56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a:t>Nombre de clients total </a:t>
            </a:r>
            <a:r>
              <a:rPr lang="fr-FR" sz="1200" b="1" i="0" u="none" strike="noStrike" kern="1200" spc="0" baseline="0">
                <a:solidFill>
                  <a:sysClr val="windowText" lastClr="000000">
                    <a:lumMod val="65000"/>
                    <a:lumOff val="35000"/>
                  </a:sysClr>
                </a:solidFill>
                <a:latin typeface="Arial Narrow" panose="020B0606020202030204" pitchFamily="34" charset="0"/>
                <a:ea typeface="+mn-ea"/>
                <a:cs typeface="+mn-cs"/>
              </a:rPr>
              <a:t>par DR</a:t>
            </a:r>
          </a:p>
        </c:rich>
      </c:tx>
      <c:layout>
        <c:manualLayout>
          <c:xMode val="edge"/>
          <c:yMode val="edge"/>
          <c:x val="0.2916911479209886"/>
          <c:y val="3.2846963542102064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281375578015839"/>
          <c:y val="0.14660896988873506"/>
          <c:w val="0.89920800524934386"/>
          <c:h val="0.76249998585366341"/>
        </c:manualLayout>
      </c:layout>
      <c:barChart>
        <c:barDir val="col"/>
        <c:grouping val="clustered"/>
        <c:varyColors val="0"/>
        <c:ser>
          <c:idx val="0"/>
          <c:order val="0"/>
          <c:tx>
            <c:strRef>
              <c:f>'Tableau détaillé'!$F$184</c:f>
              <c:strCache>
                <c:ptCount val="1"/>
                <c:pt idx="0">
                  <c:v>31/12/2022</c:v>
                </c:pt>
              </c:strCache>
            </c:strRef>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4-9144-4C80-B88B-60258E09181F}"/>
              </c:ext>
            </c:extLst>
          </c:dPt>
          <c:dPt>
            <c:idx val="2"/>
            <c:invertIfNegative val="0"/>
            <c:bubble3D val="0"/>
            <c:spPr>
              <a:solidFill>
                <a:srgbClr val="FFA7A7"/>
              </a:solidFill>
              <a:ln>
                <a:noFill/>
              </a:ln>
              <a:effectLst/>
            </c:spPr>
            <c:extLst>
              <c:ext xmlns:c16="http://schemas.microsoft.com/office/drawing/2014/chart" uri="{C3380CC4-5D6E-409C-BE32-E72D297353CC}">
                <c16:uniqueId val="{00000001-1ADA-479E-B840-F5204B402AC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détaillé'!$D$185,'Tableau détaillé'!$D$193,'Tableau détaillé'!$D$198)</c:f>
              <c:strCache>
                <c:ptCount val="3"/>
                <c:pt idx="0">
                  <c:v>Total AFS</c:v>
                </c:pt>
                <c:pt idx="1">
                  <c:v>Total AFO</c:v>
                </c:pt>
                <c:pt idx="2">
                  <c:v>Total AFCE</c:v>
                </c:pt>
              </c:strCache>
            </c:strRef>
          </c:cat>
          <c:val>
            <c:numRef>
              <c:f>('Tableau détaillé'!$F$185,'Tableau détaillé'!$F$193,'Tableau détaillé'!$F$198)</c:f>
              <c:numCache>
                <c:formatCode>_-* #\ ##0\ _€_-;\-* #\ ##0\ _€_-;_-* "-"??\ _€_-;_-@_-</c:formatCode>
                <c:ptCount val="3"/>
                <c:pt idx="0">
                  <c:v>1972228</c:v>
                </c:pt>
                <c:pt idx="1">
                  <c:v>1359323</c:v>
                </c:pt>
                <c:pt idx="2">
                  <c:v>612905</c:v>
                </c:pt>
              </c:numCache>
            </c:numRef>
          </c:val>
          <c:extLst>
            <c:ext xmlns:c16="http://schemas.microsoft.com/office/drawing/2014/chart" uri="{C3380CC4-5D6E-409C-BE32-E72D297353CC}">
              <c16:uniqueId val="{00000002-C116-4249-8C6A-AE935AEEB95A}"/>
            </c:ext>
          </c:extLst>
        </c:ser>
        <c:ser>
          <c:idx val="1"/>
          <c:order val="1"/>
          <c:tx>
            <c:strRef>
              <c:f>'Tableau détaillé'!$G$184</c:f>
              <c:strCache>
                <c:ptCount val="1"/>
                <c:pt idx="0">
                  <c:v>31/12/2023</c:v>
                </c:pt>
              </c:strCache>
            </c:strRef>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4-C116-4249-8C6A-AE935AEEB95A}"/>
              </c:ext>
            </c:extLst>
          </c:dPt>
          <c:dPt>
            <c:idx val="2"/>
            <c:invertIfNegative val="0"/>
            <c:bubble3D val="0"/>
            <c:spPr>
              <a:solidFill>
                <a:srgbClr val="FF0000"/>
              </a:solidFill>
              <a:ln>
                <a:noFill/>
              </a:ln>
              <a:effectLst/>
            </c:spPr>
            <c:extLst>
              <c:ext xmlns:c16="http://schemas.microsoft.com/office/drawing/2014/chart" uri="{C3380CC4-5D6E-409C-BE32-E72D297353CC}">
                <c16:uniqueId val="{00000008-03A5-4D11-AC78-DFDF0398937B}"/>
              </c:ext>
            </c:extLst>
          </c:dPt>
          <c:dLbls>
            <c:dLbl>
              <c:idx val="0"/>
              <c:layout>
                <c:manualLayout>
                  <c:x val="1.916032928178939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A5-4D11-AC78-DFDF0398937B}"/>
                </c:ext>
              </c:extLst>
            </c:dLbl>
            <c:dLbl>
              <c:idx val="1"/>
              <c:layout>
                <c:manualLayout>
                  <c:x val="2.1897519179187773E-2"/>
                  <c:y val="1.8883663252242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116-4249-8C6A-AE935AEEB95A}"/>
                </c:ext>
              </c:extLst>
            </c:dLbl>
            <c:dLbl>
              <c:idx val="2"/>
              <c:layout>
                <c:manualLayout>
                  <c:x val="3.2846278768781809E-2"/>
                  <c:y val="1.4162747439181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3A5-4D11-AC78-DFDF0398937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détaillé'!$D$185,'Tableau détaillé'!$D$193,'Tableau détaillé'!$D$198)</c:f>
              <c:strCache>
                <c:ptCount val="3"/>
                <c:pt idx="0">
                  <c:v>Total AFS</c:v>
                </c:pt>
                <c:pt idx="1">
                  <c:v>Total AFO</c:v>
                </c:pt>
                <c:pt idx="2">
                  <c:v>Total AFCE</c:v>
                </c:pt>
              </c:strCache>
            </c:strRef>
          </c:cat>
          <c:val>
            <c:numRef>
              <c:f>('Tableau détaillé'!$G$185,'Tableau détaillé'!$G$193,'Tableau détaillé'!$G$198)</c:f>
              <c:numCache>
                <c:formatCode>_-* #\ ##0\ _€_-;\-* #\ ##0\ _€_-;_-* "-"??\ _€_-;_-@_-</c:formatCode>
                <c:ptCount val="3"/>
                <c:pt idx="0">
                  <c:v>2002484</c:v>
                </c:pt>
                <c:pt idx="1">
                  <c:v>1365579</c:v>
                </c:pt>
                <c:pt idx="2">
                  <c:v>636905</c:v>
                </c:pt>
              </c:numCache>
            </c:numRef>
          </c:val>
          <c:extLst>
            <c:ext xmlns:c16="http://schemas.microsoft.com/office/drawing/2014/chart" uri="{C3380CC4-5D6E-409C-BE32-E72D297353CC}">
              <c16:uniqueId val="{00000005-C116-4249-8C6A-AE935AEEB95A}"/>
            </c:ext>
          </c:extLst>
        </c:ser>
        <c:dLbls>
          <c:showLegendKey val="0"/>
          <c:showVal val="0"/>
          <c:showCatName val="0"/>
          <c:showSerName val="0"/>
          <c:showPercent val="0"/>
          <c:showBubbleSize val="0"/>
        </c:dLbls>
        <c:gapWidth val="150"/>
        <c:axId val="964166448"/>
        <c:axId val="964162528"/>
      </c:barChart>
      <c:catAx>
        <c:axId val="964166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2528"/>
        <c:crosses val="autoZero"/>
        <c:auto val="1"/>
        <c:lblAlgn val="ctr"/>
        <c:lblOffset val="100"/>
        <c:noMultiLvlLbl val="0"/>
      </c:catAx>
      <c:valAx>
        <c:axId val="964162528"/>
        <c:scaling>
          <c:orientation val="minMax"/>
          <c:min val="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6448"/>
        <c:crosses val="autoZero"/>
        <c:crossBetween val="between"/>
        <c:majorUnit val="50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Nombre de clients actifs</a:t>
            </a:r>
          </a:p>
        </c:rich>
      </c:tx>
      <c:layout>
        <c:manualLayout>
          <c:xMode val="edge"/>
          <c:yMode val="edge"/>
          <c:x val="0.32322226120340358"/>
          <c:y val="2.394218821065696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2708726048538235"/>
          <c:y val="0.19234779178495831"/>
          <c:w val="0.86457937588502931"/>
          <c:h val="0.58240636321809069"/>
        </c:manualLayout>
      </c:layout>
      <c:barChart>
        <c:barDir val="col"/>
        <c:grouping val="clustered"/>
        <c:varyColors val="0"/>
        <c:ser>
          <c:idx val="0"/>
          <c:order val="0"/>
          <c:tx>
            <c:strRef>
              <c:f>'Tableau détaillé'!$F$184</c:f>
              <c:strCache>
                <c:ptCount val="1"/>
                <c:pt idx="0">
                  <c:v>31/12/2022</c:v>
                </c:pt>
              </c:strCache>
            </c:strRef>
          </c:tx>
          <c:spPr>
            <a:solidFill>
              <a:sysClr val="window" lastClr="FFFFFF">
                <a:lumMod val="7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FCCB-4839-8125-08E1A8AA9296}"/>
              </c:ext>
            </c:extLst>
          </c:dPt>
          <c:dPt>
            <c:idx val="8"/>
            <c:invertIfNegative val="0"/>
            <c:bubble3D val="0"/>
            <c:spPr>
              <a:solidFill>
                <a:srgbClr val="FFA7A7"/>
              </a:solidFill>
              <a:ln>
                <a:noFill/>
              </a:ln>
              <a:effectLst/>
            </c:spPr>
            <c:extLst>
              <c:ext xmlns:c16="http://schemas.microsoft.com/office/drawing/2014/chart" uri="{C3380CC4-5D6E-409C-BE32-E72D297353CC}">
                <c16:uniqueId val="{00000003-FCCB-4839-8125-08E1A8AA9296}"/>
              </c:ext>
            </c:extLst>
          </c:dPt>
          <c:dPt>
            <c:idx val="9"/>
            <c:invertIfNegative val="0"/>
            <c:bubble3D val="0"/>
            <c:spPr>
              <a:solidFill>
                <a:srgbClr val="FFA7A7"/>
              </a:solidFill>
              <a:ln>
                <a:noFill/>
              </a:ln>
              <a:effectLst/>
            </c:spPr>
            <c:extLst>
              <c:ext xmlns:c16="http://schemas.microsoft.com/office/drawing/2014/chart" uri="{C3380CC4-5D6E-409C-BE32-E72D297353CC}">
                <c16:uniqueId val="{00000005-FCCB-4839-8125-08E1A8AA9296}"/>
              </c:ext>
            </c:extLst>
          </c:dPt>
          <c:dPt>
            <c:idx val="10"/>
            <c:invertIfNegative val="0"/>
            <c:bubble3D val="0"/>
            <c:spPr>
              <a:solidFill>
                <a:srgbClr val="FFA7A7"/>
              </a:solidFill>
              <a:ln>
                <a:noFill/>
              </a:ln>
              <a:effectLst/>
            </c:spPr>
            <c:extLst>
              <c:ext xmlns:c16="http://schemas.microsoft.com/office/drawing/2014/chart" uri="{C3380CC4-5D6E-409C-BE32-E72D297353CC}">
                <c16:uniqueId val="{00000007-FCCB-4839-8125-08E1A8AA9296}"/>
              </c:ext>
            </c:extLst>
          </c:dPt>
          <c:dLbls>
            <c:dLbl>
              <c:idx val="0"/>
              <c:layout>
                <c:manualLayout>
                  <c:x val="-8.6571548544598208E-3"/>
                  <c:y val="-3.59889086150929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CCB-4839-8125-08E1A8AA9296}"/>
                </c:ext>
              </c:extLst>
            </c:dLbl>
            <c:dLbl>
              <c:idx val="1"/>
              <c:layout>
                <c:manualLayout>
                  <c:x val="8.6571548544598469E-3"/>
                  <c:y val="-8.0975044383959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CCB-4839-8125-08E1A8AA9296}"/>
                </c:ext>
              </c:extLst>
            </c:dLbl>
            <c:dLbl>
              <c:idx val="2"/>
              <c:layout>
                <c:manualLayout>
                  <c:x val="-1.4428591424099701E-2"/>
                  <c:y val="-7.6476430807072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CCB-4839-8125-08E1A8AA9296}"/>
                </c:ext>
              </c:extLst>
            </c:dLbl>
            <c:dLbl>
              <c:idx val="3"/>
              <c:layout>
                <c:manualLayout>
                  <c:x val="-5.2904224067587984E-17"/>
                  <c:y val="-6.74792036532992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CCB-4839-8125-08E1A8AA9296}"/>
                </c:ext>
              </c:extLst>
            </c:dLbl>
            <c:dLbl>
              <c:idx val="4"/>
              <c:layout>
                <c:manualLayout>
                  <c:x val="0"/>
                  <c:y val="-5.39833629226395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CCB-4839-8125-08E1A8AA9296}"/>
                </c:ext>
              </c:extLst>
            </c:dLbl>
            <c:dLbl>
              <c:idx val="5"/>
              <c:layout>
                <c:manualLayout>
                  <c:x val="-1.0580844813517597E-16"/>
                  <c:y val="-6.29805900764127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CCB-4839-8125-08E1A8AA9296}"/>
                </c:ext>
              </c:extLst>
            </c:dLbl>
            <c:dLbl>
              <c:idx val="6"/>
              <c:layout>
                <c:manualLayout>
                  <c:x val="-1.1542873139279762E-2"/>
                  <c:y val="-7.1977817230185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CCB-4839-8125-08E1A8AA9296}"/>
                </c:ext>
              </c:extLst>
            </c:dLbl>
            <c:dLbl>
              <c:idx val="7"/>
              <c:layout>
                <c:manualLayout>
                  <c:x val="-2.8857182848200462E-3"/>
                  <c:y val="-5.39833629226394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CB-4839-8125-08E1A8AA9296}"/>
                </c:ext>
              </c:extLst>
            </c:dLbl>
            <c:dLbl>
              <c:idx val="8"/>
              <c:layout>
                <c:manualLayout>
                  <c:x val="0"/>
                  <c:y val="-7.19778172301859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CB-4839-8125-08E1A8AA9296}"/>
                </c:ext>
              </c:extLst>
            </c:dLbl>
            <c:dLbl>
              <c:idx val="9"/>
              <c:layout>
                <c:manualLayout>
                  <c:x val="0"/>
                  <c:y val="-7.64764308070726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CB-4839-8125-08E1A8AA9296}"/>
                </c:ext>
              </c:extLst>
            </c:dLbl>
            <c:dLbl>
              <c:idx val="10"/>
              <c:layout>
                <c:manualLayout>
                  <c:x val="-8.6571548544598208E-3"/>
                  <c:y val="-4.9484749345752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CCB-4839-8125-08E1A8AA929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détaillé'!$F$204:$F$210,'Tableau détaillé'!$F$212:$F$215)</c:f>
              <c:numCache>
                <c:formatCode>_-* #\ ##0\ _€_-;\-* #\ ##0\ _€_-;_-* "-"??\ _€_-;_-@_-</c:formatCode>
                <c:ptCount val="11"/>
                <c:pt idx="0">
                  <c:v>359440.99999943387</c:v>
                </c:pt>
                <c:pt idx="1">
                  <c:v>138400.99999999293</c:v>
                </c:pt>
                <c:pt idx="2">
                  <c:v>129864.99999999355</c:v>
                </c:pt>
                <c:pt idx="3">
                  <c:v>68467.999999924708</c:v>
                </c:pt>
                <c:pt idx="4">
                  <c:v>69843.99999998181</c:v>
                </c:pt>
                <c:pt idx="5">
                  <c:v>21121.99999999065</c:v>
                </c:pt>
                <c:pt idx="6">
                  <c:v>25677.99999997747</c:v>
                </c:pt>
                <c:pt idx="7">
                  <c:v>244593.99999998108</c:v>
                </c:pt>
                <c:pt idx="8">
                  <c:v>171849.99999993731</c:v>
                </c:pt>
                <c:pt idx="9">
                  <c:v>37211.999999951251</c:v>
                </c:pt>
                <c:pt idx="10">
                  <c:v>21240.999999992593</c:v>
                </c:pt>
              </c:numCache>
            </c:numRef>
          </c:val>
          <c:extLst>
            <c:ext xmlns:c16="http://schemas.microsoft.com/office/drawing/2014/chart" uri="{C3380CC4-5D6E-409C-BE32-E72D297353CC}">
              <c16:uniqueId val="{0000000F-FCCB-4839-8125-08E1A8AA9296}"/>
            </c:ext>
          </c:extLst>
        </c:ser>
        <c:ser>
          <c:idx val="1"/>
          <c:order val="1"/>
          <c:tx>
            <c:strRef>
              <c:f>'Tableau détaillé'!$G$202</c:f>
              <c:strCache>
                <c:ptCount val="1"/>
                <c:pt idx="0">
                  <c:v>31/12/2023</c:v>
                </c:pt>
              </c:strCache>
            </c:strRef>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11-FCCB-4839-8125-08E1A8AA9296}"/>
              </c:ext>
            </c:extLst>
          </c:dPt>
          <c:dPt>
            <c:idx val="8"/>
            <c:invertIfNegative val="0"/>
            <c:bubble3D val="0"/>
            <c:spPr>
              <a:solidFill>
                <a:srgbClr val="FF0000"/>
              </a:solidFill>
              <a:ln>
                <a:noFill/>
              </a:ln>
              <a:effectLst/>
            </c:spPr>
            <c:extLst>
              <c:ext xmlns:c16="http://schemas.microsoft.com/office/drawing/2014/chart" uri="{C3380CC4-5D6E-409C-BE32-E72D297353CC}">
                <c16:uniqueId val="{00000013-FCCB-4839-8125-08E1A8AA9296}"/>
              </c:ext>
            </c:extLst>
          </c:dPt>
          <c:dPt>
            <c:idx val="9"/>
            <c:invertIfNegative val="0"/>
            <c:bubble3D val="0"/>
            <c:spPr>
              <a:solidFill>
                <a:srgbClr val="FF0000"/>
              </a:solidFill>
              <a:ln>
                <a:noFill/>
              </a:ln>
              <a:effectLst/>
            </c:spPr>
            <c:extLst>
              <c:ext xmlns:c16="http://schemas.microsoft.com/office/drawing/2014/chart" uri="{C3380CC4-5D6E-409C-BE32-E72D297353CC}">
                <c16:uniqueId val="{00000015-FCCB-4839-8125-08E1A8AA9296}"/>
              </c:ext>
            </c:extLst>
          </c:dPt>
          <c:dPt>
            <c:idx val="10"/>
            <c:invertIfNegative val="0"/>
            <c:bubble3D val="0"/>
            <c:spPr>
              <a:solidFill>
                <a:srgbClr val="FF0000"/>
              </a:solidFill>
              <a:ln>
                <a:noFill/>
              </a:ln>
              <a:effectLst/>
            </c:spPr>
            <c:extLst>
              <c:ext xmlns:c16="http://schemas.microsoft.com/office/drawing/2014/chart" uri="{C3380CC4-5D6E-409C-BE32-E72D297353CC}">
                <c16:uniqueId val="{00000017-FCCB-4839-8125-08E1A8AA9296}"/>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détaillé'!$D$271:$D$277,'Tableau détaillé'!$D$279:$D$282)</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détaillé'!$G$204:$G$210,'Tableau détaillé'!$G$212:$G$215)</c:f>
              <c:numCache>
                <c:formatCode>_-* #\ ##0\ _€_-;\-* #\ ##0\ _€_-;_-* "-"??\ _€_-;_-@_-</c:formatCode>
                <c:ptCount val="11"/>
                <c:pt idx="0">
                  <c:v>378043.99999978481</c:v>
                </c:pt>
                <c:pt idx="1">
                  <c:v>142199.99999987875</c:v>
                </c:pt>
                <c:pt idx="2">
                  <c:v>128602.99999993369</c:v>
                </c:pt>
                <c:pt idx="3">
                  <c:v>66263.999999933978</c:v>
                </c:pt>
                <c:pt idx="4">
                  <c:v>68827.999999911844</c:v>
                </c:pt>
                <c:pt idx="5">
                  <c:v>20394.999999986831</c:v>
                </c:pt>
                <c:pt idx="6">
                  <c:v>26060.999999968182</c:v>
                </c:pt>
                <c:pt idx="7">
                  <c:v>254528.99999984147</c:v>
                </c:pt>
                <c:pt idx="8">
                  <c:v>173799.99999997456</c:v>
                </c:pt>
                <c:pt idx="9">
                  <c:v>37226.999999955158</c:v>
                </c:pt>
                <c:pt idx="10">
                  <c:v>21225</c:v>
                </c:pt>
              </c:numCache>
            </c:numRef>
          </c:val>
          <c:extLst>
            <c:ext xmlns:c16="http://schemas.microsoft.com/office/drawing/2014/chart" uri="{C3380CC4-5D6E-409C-BE32-E72D297353CC}">
              <c16:uniqueId val="{00000018-FCCB-4839-8125-08E1A8AA9296}"/>
            </c:ext>
          </c:extLst>
        </c:ser>
        <c:dLbls>
          <c:showLegendKey val="0"/>
          <c:showVal val="0"/>
          <c:showCatName val="0"/>
          <c:showSerName val="0"/>
          <c:showPercent val="0"/>
          <c:showBubbleSize val="0"/>
        </c:dLbls>
        <c:gapWidth val="150"/>
        <c:axId val="964165664"/>
        <c:axId val="964170760"/>
      </c:barChart>
      <c:catAx>
        <c:axId val="96416566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0760"/>
        <c:crosses val="autoZero"/>
        <c:auto val="1"/>
        <c:lblAlgn val="ctr"/>
        <c:lblOffset val="100"/>
        <c:noMultiLvlLbl val="0"/>
      </c:catAx>
      <c:valAx>
        <c:axId val="964170760"/>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56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a:t>Nombre de clients actifs </a:t>
            </a:r>
            <a:r>
              <a:rPr lang="fr-FR" sz="1200" b="1" i="0" u="none" strike="noStrike" kern="1200" spc="0" baseline="0">
                <a:solidFill>
                  <a:sysClr val="windowText" lastClr="000000">
                    <a:lumMod val="65000"/>
                    <a:lumOff val="35000"/>
                  </a:sysClr>
                </a:solidFill>
                <a:latin typeface="Arial Narrow" panose="020B0606020202030204" pitchFamily="34" charset="0"/>
                <a:ea typeface="+mn-ea"/>
                <a:cs typeface="+mn-cs"/>
              </a:rPr>
              <a:t>par DR</a:t>
            </a:r>
          </a:p>
        </c:rich>
      </c:tx>
      <c:layout>
        <c:manualLayout>
          <c:xMode val="edge"/>
          <c:yMode val="edge"/>
          <c:x val="0.26048173746831588"/>
          <c:y val="3.2846963542102064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815607155057498"/>
          <c:y val="0.14660889685400028"/>
          <c:w val="0.89920800524934386"/>
          <c:h val="0.76249998585366341"/>
        </c:manualLayout>
      </c:layout>
      <c:barChart>
        <c:barDir val="col"/>
        <c:grouping val="clustered"/>
        <c:varyColors val="0"/>
        <c:ser>
          <c:idx val="0"/>
          <c:order val="0"/>
          <c:tx>
            <c:strRef>
              <c:f>'Tableau détaillé'!$F$184</c:f>
              <c:strCache>
                <c:ptCount val="1"/>
                <c:pt idx="0">
                  <c:v>31/12/2022</c:v>
                </c:pt>
              </c:strCache>
            </c:strRef>
          </c:tx>
          <c:spPr>
            <a:solidFill>
              <a:schemeClr val="accent1"/>
            </a:solidFill>
            <a:ln>
              <a:noFill/>
            </a:ln>
            <a:effectLst/>
          </c:spPr>
          <c:invertIfNegative val="0"/>
          <c:dPt>
            <c:idx val="0"/>
            <c:invertIfNegative val="0"/>
            <c:bubble3D val="0"/>
            <c:spPr>
              <a:solidFill>
                <a:srgbClr val="E7E6E6">
                  <a:lumMod val="90000"/>
                </a:srgbClr>
              </a:solidFill>
              <a:ln>
                <a:noFill/>
              </a:ln>
              <a:effectLst/>
            </c:spPr>
            <c:extLst>
              <c:ext xmlns:c16="http://schemas.microsoft.com/office/drawing/2014/chart" uri="{C3380CC4-5D6E-409C-BE32-E72D297353CC}">
                <c16:uniqueId val="{00000001-90A4-4468-8161-79C8CDE9ACFC}"/>
              </c:ext>
            </c:extLst>
          </c:dPt>
          <c:dPt>
            <c:idx val="1"/>
            <c:invertIfNegative val="0"/>
            <c:bubble3D val="0"/>
            <c:spPr>
              <a:solidFill>
                <a:srgbClr val="FFA7A7"/>
              </a:solidFill>
              <a:ln>
                <a:noFill/>
              </a:ln>
              <a:effectLst/>
            </c:spPr>
            <c:extLst>
              <c:ext xmlns:c16="http://schemas.microsoft.com/office/drawing/2014/chart" uri="{C3380CC4-5D6E-409C-BE32-E72D297353CC}">
                <c16:uniqueId val="{00000003-90A4-4468-8161-79C8CDE9ACFC}"/>
              </c:ext>
            </c:extLst>
          </c:dPt>
          <c:dPt>
            <c:idx val="2"/>
            <c:invertIfNegative val="0"/>
            <c:bubble3D val="0"/>
            <c:spPr>
              <a:solidFill>
                <a:srgbClr val="FFA7A7"/>
              </a:solidFill>
              <a:ln>
                <a:noFill/>
              </a:ln>
              <a:effectLst/>
            </c:spPr>
            <c:extLst>
              <c:ext xmlns:c16="http://schemas.microsoft.com/office/drawing/2014/chart" uri="{C3380CC4-5D6E-409C-BE32-E72D297353CC}">
                <c16:uniqueId val="{00000005-3EF1-4CAB-AF5C-D833D725C0F8}"/>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détaillé'!$D$185,'Tableau détaillé'!$D$193,'Tableau détaillé'!$D$198)</c:f>
              <c:strCache>
                <c:ptCount val="3"/>
                <c:pt idx="0">
                  <c:v>Total AFS</c:v>
                </c:pt>
                <c:pt idx="1">
                  <c:v>Total AFO</c:v>
                </c:pt>
                <c:pt idx="2">
                  <c:v>Total AFCE</c:v>
                </c:pt>
              </c:strCache>
            </c:strRef>
          </c:cat>
          <c:val>
            <c:numRef>
              <c:f>('Tableau détaillé'!$F$203,'Tableau détaillé'!$F$211,'Tableau détaillé'!$F$216)</c:f>
              <c:numCache>
                <c:formatCode>_-* #\ ##0\ _€_-;\-* #\ ##0\ _€_-;_-* "-"??\ _€_-;_-@_-</c:formatCode>
                <c:ptCount val="3"/>
                <c:pt idx="0">
                  <c:v>1287715.9999991572</c:v>
                </c:pt>
                <c:pt idx="1">
                  <c:v>812818.99999929499</c:v>
                </c:pt>
                <c:pt idx="2">
                  <c:v>474896.99999986222</c:v>
                </c:pt>
              </c:numCache>
            </c:numRef>
          </c:val>
          <c:extLst>
            <c:ext xmlns:c16="http://schemas.microsoft.com/office/drawing/2014/chart" uri="{C3380CC4-5D6E-409C-BE32-E72D297353CC}">
              <c16:uniqueId val="{00000004-90A4-4468-8161-79C8CDE9ACFC}"/>
            </c:ext>
          </c:extLst>
        </c:ser>
        <c:ser>
          <c:idx val="1"/>
          <c:order val="1"/>
          <c:tx>
            <c:strRef>
              <c:f>'Tableau détaillé'!$G$184</c:f>
              <c:strCache>
                <c:ptCount val="1"/>
                <c:pt idx="0">
                  <c:v>31/12/2023</c:v>
                </c:pt>
              </c:strCache>
            </c:strRef>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8-2D41-45A2-9C3B-55B347CCD9C2}"/>
              </c:ext>
            </c:extLst>
          </c:dPt>
          <c:dPt>
            <c:idx val="2"/>
            <c:invertIfNegative val="0"/>
            <c:bubble3D val="0"/>
            <c:spPr>
              <a:solidFill>
                <a:srgbClr val="FF0000"/>
              </a:solidFill>
              <a:ln>
                <a:noFill/>
              </a:ln>
              <a:effectLst/>
            </c:spPr>
            <c:extLst>
              <c:ext xmlns:c16="http://schemas.microsoft.com/office/drawing/2014/chart" uri="{C3380CC4-5D6E-409C-BE32-E72D297353CC}">
                <c16:uniqueId val="{00000007-3EF1-4CAB-AF5C-D833D725C0F8}"/>
              </c:ext>
            </c:extLst>
          </c:dPt>
          <c:dLbls>
            <c:dLbl>
              <c:idx val="0"/>
              <c:layout>
                <c:manualLayout>
                  <c:x val="1.642313938439085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0B2-499F-8C21-8481DB129FE8}"/>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détaillé'!$D$185,'Tableau détaillé'!$D$193,'Tableau détaillé'!$D$198)</c:f>
              <c:strCache>
                <c:ptCount val="3"/>
                <c:pt idx="0">
                  <c:v>Total AFS</c:v>
                </c:pt>
                <c:pt idx="1">
                  <c:v>Total AFO</c:v>
                </c:pt>
                <c:pt idx="2">
                  <c:v>Total AFCE</c:v>
                </c:pt>
              </c:strCache>
            </c:strRef>
          </c:cat>
          <c:val>
            <c:numRef>
              <c:f>('Tableau détaillé'!$G$203,'Tableau détaillé'!$G$211,'Tableau détaillé'!$G$216)</c:f>
              <c:numCache>
                <c:formatCode>_-* #\ ##0\ _€_-;\-* #\ ##0\ _€_-;_-* "-"??\ _€_-;_-@_-</c:formatCode>
                <c:ptCount val="3"/>
                <c:pt idx="0">
                  <c:v>1317175.9999991693</c:v>
                </c:pt>
                <c:pt idx="1">
                  <c:v>830394.99999939813</c:v>
                </c:pt>
                <c:pt idx="2">
                  <c:v>486780.99999977124</c:v>
                </c:pt>
              </c:numCache>
            </c:numRef>
          </c:val>
          <c:extLst>
            <c:ext xmlns:c16="http://schemas.microsoft.com/office/drawing/2014/chart" uri="{C3380CC4-5D6E-409C-BE32-E72D297353CC}">
              <c16:uniqueId val="{00000007-90A4-4468-8161-79C8CDE9ACFC}"/>
            </c:ext>
          </c:extLst>
        </c:ser>
        <c:dLbls>
          <c:showLegendKey val="0"/>
          <c:showVal val="0"/>
          <c:showCatName val="0"/>
          <c:showSerName val="0"/>
          <c:showPercent val="0"/>
          <c:showBubbleSize val="0"/>
        </c:dLbls>
        <c:gapWidth val="150"/>
        <c:axId val="964166448"/>
        <c:axId val="964162528"/>
      </c:barChart>
      <c:catAx>
        <c:axId val="964166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2528"/>
        <c:crosses val="autoZero"/>
        <c:auto val="1"/>
        <c:lblAlgn val="ctr"/>
        <c:lblOffset val="100"/>
        <c:noMultiLvlLbl val="0"/>
      </c:catAx>
      <c:valAx>
        <c:axId val="96416252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a:t>
            </a:r>
            <a:r>
              <a:rPr lang="fr-FR" baseline="0"/>
              <a:t> commerciale tous produits vendus </a:t>
            </a:r>
          </a:p>
        </c:rich>
      </c:tx>
      <c:layout>
        <c:manualLayout>
          <c:xMode val="edge"/>
          <c:yMode val="edge"/>
          <c:x val="0.1557707502242453"/>
          <c:y val="2.394223950682363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74B1-42A2-A447-27BDE85B907D}"/>
              </c:ext>
            </c:extLst>
          </c:dPt>
          <c:dPt>
            <c:idx val="8"/>
            <c:invertIfNegative val="0"/>
            <c:bubble3D val="0"/>
            <c:spPr>
              <a:solidFill>
                <a:srgbClr val="FFA7A7"/>
              </a:solidFill>
              <a:ln>
                <a:noFill/>
              </a:ln>
              <a:effectLst/>
            </c:spPr>
            <c:extLst>
              <c:ext xmlns:c16="http://schemas.microsoft.com/office/drawing/2014/chart" uri="{C3380CC4-5D6E-409C-BE32-E72D297353CC}">
                <c16:uniqueId val="{00000003-74B1-42A2-A447-27BDE85B907D}"/>
              </c:ext>
            </c:extLst>
          </c:dPt>
          <c:dPt>
            <c:idx val="9"/>
            <c:invertIfNegative val="0"/>
            <c:bubble3D val="0"/>
            <c:spPr>
              <a:solidFill>
                <a:srgbClr val="FFA7A7"/>
              </a:solidFill>
              <a:ln>
                <a:noFill/>
              </a:ln>
              <a:effectLst/>
            </c:spPr>
            <c:extLst>
              <c:ext xmlns:c16="http://schemas.microsoft.com/office/drawing/2014/chart" uri="{C3380CC4-5D6E-409C-BE32-E72D297353CC}">
                <c16:uniqueId val="{00000005-74B1-42A2-A447-27BDE85B907D}"/>
              </c:ext>
            </c:extLst>
          </c:dPt>
          <c:dPt>
            <c:idx val="10"/>
            <c:invertIfNegative val="0"/>
            <c:bubble3D val="0"/>
            <c:spPr>
              <a:solidFill>
                <a:srgbClr val="FFA7A7"/>
              </a:solidFill>
              <a:ln>
                <a:noFill/>
              </a:ln>
              <a:effectLst/>
            </c:spPr>
            <c:extLst>
              <c:ext xmlns:c16="http://schemas.microsoft.com/office/drawing/2014/chart" uri="{C3380CC4-5D6E-409C-BE32-E72D297353CC}">
                <c16:uniqueId val="{00000007-74B1-42A2-A447-27BDE85B907D}"/>
              </c:ext>
            </c:extLst>
          </c:dPt>
          <c:dLbls>
            <c:dLbl>
              <c:idx val="0"/>
              <c:layout>
                <c:manualLayout>
                  <c:x val="-2.0213434086558825E-2"/>
                  <c:y val="-4.07655751021067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4B1-42A2-A447-27BDE85B907D}"/>
                </c:ext>
              </c:extLst>
            </c:dLbl>
            <c:dLbl>
              <c:idx val="2"/>
              <c:layout>
                <c:manualLayout>
                  <c:x val="-2.0214502591495001E-2"/>
                  <c:y val="-4.13514406894079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4B1-42A2-A447-27BDE85B907D}"/>
                </c:ext>
              </c:extLst>
            </c:dLbl>
            <c:dLbl>
              <c:idx val="3"/>
              <c:layout>
                <c:manualLayout>
                  <c:x val="-2.5989146539899786E-2"/>
                  <c:y val="-9.010602664013671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4B1-42A2-A447-27BDE85B907D}"/>
                </c:ext>
              </c:extLst>
            </c:dLbl>
            <c:dLbl>
              <c:idx val="5"/>
              <c:layout>
                <c:manualLayout>
                  <c:x val="-1.1542873139279762E-2"/>
                  <c:y val="-1.8130088380611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4B1-42A2-A447-27BDE85B907D}"/>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4B1-42A2-A447-27BDE85B907D}"/>
                </c:ext>
              </c:extLst>
            </c:dLbl>
            <c:dLbl>
              <c:idx val="7"/>
              <c:layout>
                <c:manualLayout>
                  <c:x val="-2.5988583667664555E-2"/>
                  <c:y val="-3.1536553845739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B1-42A2-A447-27BDE85B907D}"/>
                </c:ext>
              </c:extLst>
            </c:dLbl>
            <c:dLbl>
              <c:idx val="9"/>
              <c:layout>
                <c:manualLayout>
                  <c:x val="-8.6628612225548157E-3"/>
                  <c:y val="-3.15365538457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B1-42A2-A447-27BDE85B907D}"/>
                </c:ext>
              </c:extLst>
            </c:dLbl>
            <c:dLbl>
              <c:idx val="10"/>
              <c:layout>
                <c:manualLayout>
                  <c:x val="-2.5990551204003575E-2"/>
                  <c:y val="-2.67311736162959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4B1-42A2-A447-27BDE85B907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détaillé'!$H$615:$H$621,'Tableau détaillé'!$H$623:$H$626)</c:f>
              <c:numCache>
                <c:formatCode>_-* #\ ##0\ _€_-;\-* #\ ##0\ _€_-;_-* "-"??\ _€_-;_-@_-</c:formatCode>
                <c:ptCount val="11"/>
                <c:pt idx="0">
                  <c:v>210.65625</c:v>
                </c:pt>
                <c:pt idx="1">
                  <c:v>103.55102040816327</c:v>
                </c:pt>
                <c:pt idx="2">
                  <c:v>94.960784313725483</c:v>
                </c:pt>
                <c:pt idx="3">
                  <c:v>162.15625</c:v>
                </c:pt>
                <c:pt idx="4">
                  <c:v>58.865384615384613</c:v>
                </c:pt>
                <c:pt idx="5">
                  <c:v>52.95</c:v>
                </c:pt>
                <c:pt idx="6">
                  <c:v>91.043478260869563</c:v>
                </c:pt>
                <c:pt idx="7">
                  <c:v>197.9375</c:v>
                </c:pt>
                <c:pt idx="8">
                  <c:v>308.68376068376068</c:v>
                </c:pt>
                <c:pt idx="9">
                  <c:v>111.58064516129032</c:v>
                </c:pt>
                <c:pt idx="10">
                  <c:v>26.393939393939394</c:v>
                </c:pt>
              </c:numCache>
            </c:numRef>
          </c:val>
          <c:extLst>
            <c:ext xmlns:c16="http://schemas.microsoft.com/office/drawing/2014/chart" uri="{C3380CC4-5D6E-409C-BE32-E72D297353CC}">
              <c16:uniqueId val="{0000000C-74B1-42A2-A447-27BDE85B907D}"/>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74B1-42A2-A447-27BDE85B907D}"/>
              </c:ext>
            </c:extLst>
          </c:dPt>
          <c:dPt>
            <c:idx val="8"/>
            <c:invertIfNegative val="0"/>
            <c:bubble3D val="0"/>
            <c:spPr>
              <a:solidFill>
                <a:srgbClr val="FF0000"/>
              </a:solidFill>
              <a:ln>
                <a:noFill/>
              </a:ln>
              <a:effectLst/>
            </c:spPr>
            <c:extLst>
              <c:ext xmlns:c16="http://schemas.microsoft.com/office/drawing/2014/chart" uri="{C3380CC4-5D6E-409C-BE32-E72D297353CC}">
                <c16:uniqueId val="{00000010-74B1-42A2-A447-27BDE85B907D}"/>
              </c:ext>
            </c:extLst>
          </c:dPt>
          <c:dPt>
            <c:idx val="9"/>
            <c:invertIfNegative val="0"/>
            <c:bubble3D val="0"/>
            <c:spPr>
              <a:solidFill>
                <a:srgbClr val="FF0000"/>
              </a:solidFill>
              <a:ln>
                <a:noFill/>
              </a:ln>
              <a:effectLst/>
            </c:spPr>
            <c:extLst>
              <c:ext xmlns:c16="http://schemas.microsoft.com/office/drawing/2014/chart" uri="{C3380CC4-5D6E-409C-BE32-E72D297353CC}">
                <c16:uniqueId val="{00000012-74B1-42A2-A447-27BDE85B907D}"/>
              </c:ext>
            </c:extLst>
          </c:dPt>
          <c:dPt>
            <c:idx val="10"/>
            <c:invertIfNegative val="0"/>
            <c:bubble3D val="0"/>
            <c:spPr>
              <a:solidFill>
                <a:srgbClr val="FF0000"/>
              </a:solidFill>
              <a:ln>
                <a:noFill/>
              </a:ln>
              <a:effectLst/>
            </c:spPr>
            <c:extLst>
              <c:ext xmlns:c16="http://schemas.microsoft.com/office/drawing/2014/chart" uri="{C3380CC4-5D6E-409C-BE32-E72D297353CC}">
                <c16:uniqueId val="{00000014-74B1-42A2-A447-27BDE85B907D}"/>
              </c:ext>
            </c:extLst>
          </c:dPt>
          <c:dLbls>
            <c:dLbl>
              <c:idx val="0"/>
              <c:layout>
                <c:manualLayout>
                  <c:x val="2.5995923572789882E-2"/>
                  <c:y val="-4.54820723637678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4B1-42A2-A447-27BDE85B907D}"/>
                </c:ext>
              </c:extLst>
            </c:dLbl>
            <c:dLbl>
              <c:idx val="2"/>
              <c:layout>
                <c:manualLayout>
                  <c:x val="-8.6851031496592585E-3"/>
                  <c:y val="-4.05899844823574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4B1-42A2-A447-27BDE85B907D}"/>
                </c:ext>
              </c:extLst>
            </c:dLbl>
            <c:dLbl>
              <c:idx val="3"/>
              <c:layout>
                <c:manualLayout>
                  <c:x val="8.6634882271044433E-3"/>
                  <c:y val="-2.73085822521791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4B1-42A2-A447-27BDE85B907D}"/>
                </c:ext>
              </c:extLst>
            </c:dLbl>
            <c:dLbl>
              <c:idx val="8"/>
              <c:layout>
                <c:manualLayout>
                  <c:x val="2.3109307250749753E-2"/>
                  <c:y val="-4.54820723637677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4B1-42A2-A447-27BDE85B907D}"/>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4B1-42A2-A447-27BDE85B907D}"/>
                </c:ext>
              </c:extLst>
            </c:dLbl>
            <c:dLbl>
              <c:idx val="10"/>
              <c:layout>
                <c:manualLayout>
                  <c:x val="8.6628612225548157E-3"/>
                  <c:y val="-4.98946212741093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4B1-42A2-A447-27BDE85B907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détaillé'!$I$615:$I$621,'Tableau détaillé'!$I$623:$I$626)</c:f>
              <c:numCache>
                <c:formatCode>_-* #\ ##0\ _€_-;\-* #\ ##0\ _€_-;_-* "-"??\ _€_-;_-@_-</c:formatCode>
                <c:ptCount val="11"/>
                <c:pt idx="0">
                  <c:v>168.71875</c:v>
                </c:pt>
                <c:pt idx="1">
                  <c:v>86.132653061224488</c:v>
                </c:pt>
                <c:pt idx="2">
                  <c:v>110.95098039215686</c:v>
                </c:pt>
                <c:pt idx="3">
                  <c:v>133.90625</c:v>
                </c:pt>
                <c:pt idx="4">
                  <c:v>47.519230769230766</c:v>
                </c:pt>
                <c:pt idx="5">
                  <c:v>56.7</c:v>
                </c:pt>
                <c:pt idx="6">
                  <c:v>87.478260869565219</c:v>
                </c:pt>
                <c:pt idx="7">
                  <c:v>176.10294117647058</c:v>
                </c:pt>
                <c:pt idx="8">
                  <c:v>234.96581196581195</c:v>
                </c:pt>
                <c:pt idx="9">
                  <c:v>97.548387096774192</c:v>
                </c:pt>
                <c:pt idx="10">
                  <c:v>25.484848484848484</c:v>
                </c:pt>
              </c:numCache>
            </c:numRef>
          </c:val>
          <c:extLst>
            <c:ext xmlns:c16="http://schemas.microsoft.com/office/drawing/2014/chart" uri="{C3380CC4-5D6E-409C-BE32-E72D297353CC}">
              <c16:uniqueId val="{00000018-74B1-42A2-A447-27BDE85B907D}"/>
            </c:ext>
          </c:extLst>
        </c:ser>
        <c:dLbls>
          <c:showLegendKey val="0"/>
          <c:showVal val="0"/>
          <c:showCatName val="0"/>
          <c:showSerName val="0"/>
          <c:showPercent val="0"/>
          <c:showBubbleSize val="0"/>
        </c:dLbls>
        <c:gapWidth val="150"/>
        <c:axId val="1032712272"/>
        <c:axId val="1032714232"/>
      </c:barChart>
      <c:lineChart>
        <c:grouping val="standard"/>
        <c:varyColors val="0"/>
        <c:ser>
          <c:idx val="2"/>
          <c:order val="2"/>
          <c:tx>
            <c:v>MOY YTD</c:v>
          </c:tx>
          <c:spPr>
            <a:ln w="28575" cap="rnd">
              <a:noFill/>
              <a:round/>
            </a:ln>
            <a:effectLst/>
          </c:spPr>
          <c:marker>
            <c:symbol val="dash"/>
            <c:size val="17"/>
            <c:spPr>
              <a:solidFill>
                <a:sysClr val="windowText" lastClr="000000"/>
              </a:solidFill>
              <a:ln w="0">
                <a:solidFill>
                  <a:sysClr val="window" lastClr="FFFFFF">
                    <a:lumMod val="95000"/>
                  </a:sysClr>
                </a:solidFill>
              </a:ln>
              <a:effectLst/>
            </c:spPr>
          </c:marker>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détaillé'!$I$598:$I$604,'Tableau détaillé'!$I$606:$I$609)</c:f>
              <c:numCache>
                <c:formatCode>_-* #\ ##0\ _€_-;\-* #\ ##0\ _€_-;_-* "-"??\ _€_-;_-@_-</c:formatCode>
                <c:ptCount val="11"/>
                <c:pt idx="0">
                  <c:v>315.16666666666669</c:v>
                </c:pt>
                <c:pt idx="1">
                  <c:v>119.94812925170068</c:v>
                </c:pt>
                <c:pt idx="2">
                  <c:v>113.77696078431372</c:v>
                </c:pt>
                <c:pt idx="3">
                  <c:v>186.17447916666666</c:v>
                </c:pt>
                <c:pt idx="4">
                  <c:v>47.354166666666664</c:v>
                </c:pt>
                <c:pt idx="5">
                  <c:v>69.308333333333337</c:v>
                </c:pt>
                <c:pt idx="6">
                  <c:v>123.64492753623188</c:v>
                </c:pt>
                <c:pt idx="7">
                  <c:v>181.89797794117646</c:v>
                </c:pt>
                <c:pt idx="8">
                  <c:v>371.3055555555556</c:v>
                </c:pt>
                <c:pt idx="9">
                  <c:v>94.263440860215056</c:v>
                </c:pt>
                <c:pt idx="10">
                  <c:v>45.036195286195287</c:v>
                </c:pt>
              </c:numCache>
            </c:numRef>
          </c:val>
          <c:smooth val="0"/>
          <c:extLst>
            <c:ext xmlns:c16="http://schemas.microsoft.com/office/drawing/2014/chart" uri="{C3380CC4-5D6E-409C-BE32-E72D297353CC}">
              <c16:uniqueId val="{00000019-74B1-42A2-A447-27BDE85B907D}"/>
            </c:ext>
          </c:extLst>
        </c:ser>
        <c:dLbls>
          <c:showLegendKey val="0"/>
          <c:showVal val="0"/>
          <c:showCatName val="0"/>
          <c:showSerName val="0"/>
          <c:showPercent val="0"/>
          <c:showBubbleSize val="0"/>
        </c:dLbls>
        <c:marker val="1"/>
        <c:smooth val="0"/>
        <c:axId val="1032712272"/>
        <c:axId val="1032714232"/>
      </c:lineChart>
      <c:catAx>
        <c:axId val="1032712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4232"/>
        <c:crosses val="autoZero"/>
        <c:auto val="1"/>
        <c:lblAlgn val="ctr"/>
        <c:lblOffset val="100"/>
        <c:noMultiLvlLbl val="0"/>
      </c:catAx>
      <c:valAx>
        <c:axId val="1032714232"/>
        <c:scaling>
          <c:orientation val="minMax"/>
        </c:scaling>
        <c:delete val="0"/>
        <c:axPos val="l"/>
        <c:numFmt formatCode="_-* #\ ##0\ _€_-;\-* #\ ##0\ _€_-;_-* &quot;-&quot;??\ _€_-;_-@_-"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22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a:t>
            </a:r>
            <a:r>
              <a:rPr lang="fr-FR" baseline="0"/>
              <a:t> commerciale tous produits vendus - </a:t>
            </a:r>
          </a:p>
          <a:p>
            <a:pPr>
              <a:defRPr sz="1200" b="1"/>
            </a:pPr>
            <a:r>
              <a:rPr lang="fr-FR" baseline="0"/>
              <a:t>par DR</a:t>
            </a:r>
            <a:endParaRPr lang="fr-FR"/>
          </a:p>
        </c:rich>
      </c:tx>
      <c:layout>
        <c:manualLayout>
          <c:xMode val="edge"/>
          <c:yMode val="edge"/>
          <c:x val="0.19617090178014732"/>
          <c:y val="2.394216796816047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59588796948280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E91B-41E9-B543-C211B09FCC60}"/>
              </c:ext>
            </c:extLst>
          </c:dPt>
          <c:dLbls>
            <c:dLbl>
              <c:idx val="0"/>
              <c:layout>
                <c:manualLayout>
                  <c:x val="-5.7751546750023693E-3"/>
                  <c:y val="0.3165799011366086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1B-41E9-B543-C211B09FCC60}"/>
                </c:ext>
              </c:extLst>
            </c:dLbl>
            <c:dLbl>
              <c:idx val="1"/>
              <c:layout>
                <c:manualLayout>
                  <c:x val="-8.6628612225549215E-3"/>
                  <c:y val="0.282873179761822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1B-41E9-B543-C211B09FCC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détaillé'!$H$622,'Tableau détaillé'!$H$627)</c:f>
              <c:numCache>
                <c:formatCode>_-* #\ ##0\ _€_-;\-* #\ ##0\ _€_-;_-* "-"??\ _€_-;_-@_-</c:formatCode>
                <c:ptCount val="2"/>
                <c:pt idx="0">
                  <c:v>138.1175337186898</c:v>
                </c:pt>
                <c:pt idx="1">
                  <c:v>185.02312138728323</c:v>
                </c:pt>
              </c:numCache>
            </c:numRef>
          </c:val>
          <c:extLst>
            <c:ext xmlns:c16="http://schemas.microsoft.com/office/drawing/2014/chart" uri="{C3380CC4-5D6E-409C-BE32-E72D297353CC}">
              <c16:uniqueId val="{00000003-E91B-41E9-B543-C211B09FCC60}"/>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E91B-41E9-B543-C211B09FCC60}"/>
              </c:ext>
            </c:extLst>
          </c:dPt>
          <c:dLbls>
            <c:dLbl>
              <c:idx val="0"/>
              <c:layout>
                <c:manualLayout>
                  <c:x val="5.7732543449374053E-3"/>
                  <c:y val="0.188141314487185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1B-41E9-B543-C211B09FCC60}"/>
                </c:ext>
              </c:extLst>
            </c:dLbl>
            <c:dLbl>
              <c:idx val="1"/>
              <c:layout>
                <c:manualLayout>
                  <c:x val="5.7752408150365444E-3"/>
                  <c:y val="0.332263734958330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1B-41E9-B543-C211B09FCC6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détaillé'!$I$622,'Tableau détaillé'!$I$627)</c:f>
              <c:numCache>
                <c:formatCode>_-* #\ ##0\ _€_-;\-* #\ ##0\ _€_-;_-* "-"??\ _€_-;_-@_-</c:formatCode>
                <c:ptCount val="2"/>
                <c:pt idx="0">
                  <c:v>119.5645472061657</c:v>
                </c:pt>
                <c:pt idx="1">
                  <c:v>155.94990366088632</c:v>
                </c:pt>
              </c:numCache>
            </c:numRef>
          </c:val>
          <c:extLst>
            <c:ext xmlns:c16="http://schemas.microsoft.com/office/drawing/2014/chart" uri="{C3380CC4-5D6E-409C-BE32-E72D297353CC}">
              <c16:uniqueId val="{00000007-E91B-41E9-B543-C211B09FCC60}"/>
            </c:ext>
          </c:extLst>
        </c:ser>
        <c:dLbls>
          <c:showLegendKey val="0"/>
          <c:showVal val="0"/>
          <c:showCatName val="0"/>
          <c:showSerName val="0"/>
          <c:showPercent val="0"/>
          <c:showBubbleSize val="0"/>
        </c:dLbls>
        <c:gapWidth val="150"/>
        <c:axId val="1032716584"/>
        <c:axId val="1032718936"/>
      </c:barChart>
      <c:lineChart>
        <c:grouping val="standard"/>
        <c:varyColors val="0"/>
        <c:ser>
          <c:idx val="2"/>
          <c:order val="2"/>
          <c:tx>
            <c:v>MOY YTD</c:v>
          </c:tx>
          <c:spPr>
            <a:ln w="25400" cap="rnd">
              <a:noFill/>
              <a:round/>
            </a:ln>
            <a:effectLst/>
          </c:spPr>
          <c:marker>
            <c:symbol val="dash"/>
            <c:size val="40"/>
            <c:spPr>
              <a:solidFill>
                <a:sysClr val="windowText" lastClr="000000"/>
              </a:solidFill>
              <a:ln w="50800">
                <a:solidFill>
                  <a:sysClr val="window" lastClr="FFFFFF">
                    <a:lumMod val="95000"/>
                    <a:alpha val="98000"/>
                  </a:sysClr>
                </a:solidFill>
              </a:ln>
              <a:effectLst/>
            </c:spPr>
          </c:marker>
          <c:dLbls>
            <c:dLbl>
              <c:idx val="0"/>
              <c:layout>
                <c:manualLayout>
                  <c:x val="-7.2201138757131494E-2"/>
                  <c:y val="-8.596140562678332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91B-41E9-B543-C211B09FCC60}"/>
                </c:ext>
              </c:extLst>
            </c:dLbl>
            <c:dLbl>
              <c:idx val="1"/>
              <c:layout>
                <c:manualLayout>
                  <c:x val="-0.11550347818633676"/>
                  <c:y val="-6.285561070563722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1B-41E9-B543-C211B09FCC6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détaillé'!$I$605,'Tableau détaillé'!$I$610)</c:f>
              <c:numCache>
                <c:formatCode>_-* #\ ##0\ _€_-;\-* #\ ##0\ _€_-;_-* "-"??\ _€_-;_-@_-</c:formatCode>
                <c:ptCount val="2"/>
                <c:pt idx="0">
                  <c:v>185.97719974309572</c:v>
                </c:pt>
                <c:pt idx="1">
                  <c:v>193.25578034682079</c:v>
                </c:pt>
              </c:numCache>
            </c:numRef>
          </c:val>
          <c:smooth val="0"/>
          <c:extLst>
            <c:ext xmlns:c16="http://schemas.microsoft.com/office/drawing/2014/chart" uri="{C3380CC4-5D6E-409C-BE32-E72D297353CC}">
              <c16:uniqueId val="{0000000A-E91B-41E9-B543-C211B09FCC60}"/>
            </c:ext>
          </c:extLst>
        </c:ser>
        <c:dLbls>
          <c:showLegendKey val="0"/>
          <c:showVal val="0"/>
          <c:showCatName val="0"/>
          <c:showSerName val="0"/>
          <c:showPercent val="0"/>
          <c:showBubbleSize val="0"/>
        </c:dLbls>
        <c:marker val="1"/>
        <c:smooth val="0"/>
        <c:axId val="1032716584"/>
        <c:axId val="1032718936"/>
      </c:lineChart>
      <c:catAx>
        <c:axId val="103271658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8936"/>
        <c:crosses val="autoZero"/>
        <c:auto val="1"/>
        <c:lblAlgn val="ctr"/>
        <c:lblOffset val="100"/>
        <c:noMultiLvlLbl val="0"/>
      </c:catAx>
      <c:valAx>
        <c:axId val="1032718936"/>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6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a:t>
            </a:r>
            <a:r>
              <a:rPr lang="fr-FR" baseline="0"/>
              <a:t> commerciale produits vendus aux nouveaux clients</a:t>
            </a:r>
          </a:p>
        </c:rich>
      </c:tx>
      <c:layout>
        <c:manualLayout>
          <c:xMode val="edge"/>
          <c:yMode val="edge"/>
          <c:x val="8.6439334585102723E-2"/>
          <c:y val="2.394206651601086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8893-4B35-B0DD-C850A68CD248}"/>
              </c:ext>
            </c:extLst>
          </c:dPt>
          <c:dPt>
            <c:idx val="8"/>
            <c:invertIfNegative val="0"/>
            <c:bubble3D val="0"/>
            <c:spPr>
              <a:solidFill>
                <a:srgbClr val="FFA7A7"/>
              </a:solidFill>
              <a:ln>
                <a:noFill/>
              </a:ln>
              <a:effectLst/>
            </c:spPr>
            <c:extLst>
              <c:ext xmlns:c16="http://schemas.microsoft.com/office/drawing/2014/chart" uri="{C3380CC4-5D6E-409C-BE32-E72D297353CC}">
                <c16:uniqueId val="{00000003-8893-4B35-B0DD-C850A68CD248}"/>
              </c:ext>
            </c:extLst>
          </c:dPt>
          <c:dPt>
            <c:idx val="9"/>
            <c:invertIfNegative val="0"/>
            <c:bubble3D val="0"/>
            <c:spPr>
              <a:solidFill>
                <a:srgbClr val="FFA7A7"/>
              </a:solidFill>
              <a:ln>
                <a:noFill/>
              </a:ln>
              <a:effectLst/>
            </c:spPr>
            <c:extLst>
              <c:ext xmlns:c16="http://schemas.microsoft.com/office/drawing/2014/chart" uri="{C3380CC4-5D6E-409C-BE32-E72D297353CC}">
                <c16:uniqueId val="{00000005-8893-4B35-B0DD-C850A68CD248}"/>
              </c:ext>
            </c:extLst>
          </c:dPt>
          <c:dPt>
            <c:idx val="10"/>
            <c:invertIfNegative val="0"/>
            <c:bubble3D val="0"/>
            <c:spPr>
              <a:solidFill>
                <a:srgbClr val="FFA7A7"/>
              </a:solidFill>
              <a:ln>
                <a:noFill/>
              </a:ln>
              <a:effectLst/>
            </c:spPr>
            <c:extLst>
              <c:ext xmlns:c16="http://schemas.microsoft.com/office/drawing/2014/chart" uri="{C3380CC4-5D6E-409C-BE32-E72D297353CC}">
                <c16:uniqueId val="{00000007-8893-4B35-B0DD-C850A68CD248}"/>
              </c:ext>
            </c:extLst>
          </c:dPt>
          <c:dLbls>
            <c:dLbl>
              <c:idx val="0"/>
              <c:layout>
                <c:manualLayout>
                  <c:x val="-5.7250555466020437E-3"/>
                  <c:y val="-2.26626104757650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893-4B35-B0DD-C850A68CD248}"/>
                </c:ext>
              </c:extLst>
            </c:dLbl>
            <c:dLbl>
              <c:idx val="1"/>
              <c:layout>
                <c:manualLayout>
                  <c:x val="-2.3183802371776002E-2"/>
                  <c:y val="3.17746253346343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215-466C-A80A-37CA65C0A845}"/>
                </c:ext>
              </c:extLst>
            </c:dLbl>
            <c:dLbl>
              <c:idx val="2"/>
              <c:layout>
                <c:manualLayout>
                  <c:x val="-1.1542873139279814E-2"/>
                  <c:y val="-8.309527848739017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893-4B35-B0DD-C850A68CD248}"/>
                </c:ext>
              </c:extLst>
            </c:dLbl>
            <c:dLbl>
              <c:idx val="3"/>
              <c:layout>
                <c:manualLayout>
                  <c:x val="-5.771330134535956E-3"/>
                  <c:y val="-1.35975662854590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893-4B35-B0DD-C850A68CD248}"/>
                </c:ext>
              </c:extLst>
            </c:dLbl>
            <c:dLbl>
              <c:idx val="4"/>
              <c:layout>
                <c:manualLayout>
                  <c:x val="-1.4490789230484928E-2"/>
                  <c:y val="-4.539232190662131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C33A-436D-841B-D15424EAD5DD}"/>
                </c:ext>
              </c:extLst>
            </c:dLbl>
            <c:dLbl>
              <c:idx val="5"/>
              <c:layout>
                <c:manualLayout>
                  <c:x val="-8.6850334989264522E-3"/>
                  <c:y val="-3.17276546660709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8893-4B35-B0DD-C850A68CD248}"/>
                </c:ext>
              </c:extLst>
            </c:dLbl>
            <c:dLbl>
              <c:idx val="10"/>
              <c:layout>
                <c:manualLayout>
                  <c:x val="-2.882929623646268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893-4B35-B0DD-C850A68CD24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détaillé'!$H$996:$H$1002,'Tableau détaillé'!$H$1004:$H$1007)</c:f>
              <c:numCache>
                <c:formatCode>_-* #\ ##0\ _€_-;\-* #\ ##0\ _€_-;_-* "-"??\ _€_-;_-@_-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B-8893-4B35-B0DD-C850A68CD248}"/>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D-8893-4B35-B0DD-C850A68CD248}"/>
              </c:ext>
            </c:extLst>
          </c:dPt>
          <c:dPt>
            <c:idx val="8"/>
            <c:invertIfNegative val="0"/>
            <c:bubble3D val="0"/>
            <c:spPr>
              <a:solidFill>
                <a:srgbClr val="FF0000"/>
              </a:solidFill>
              <a:ln>
                <a:noFill/>
              </a:ln>
              <a:effectLst/>
            </c:spPr>
            <c:extLst>
              <c:ext xmlns:c16="http://schemas.microsoft.com/office/drawing/2014/chart" uri="{C3380CC4-5D6E-409C-BE32-E72D297353CC}">
                <c16:uniqueId val="{0000000F-8893-4B35-B0DD-C850A68CD248}"/>
              </c:ext>
            </c:extLst>
          </c:dPt>
          <c:dPt>
            <c:idx val="9"/>
            <c:invertIfNegative val="0"/>
            <c:bubble3D val="0"/>
            <c:spPr>
              <a:solidFill>
                <a:srgbClr val="FF0000"/>
              </a:solidFill>
              <a:ln>
                <a:noFill/>
              </a:ln>
              <a:effectLst/>
            </c:spPr>
            <c:extLst>
              <c:ext xmlns:c16="http://schemas.microsoft.com/office/drawing/2014/chart" uri="{C3380CC4-5D6E-409C-BE32-E72D297353CC}">
                <c16:uniqueId val="{00000011-8893-4B35-B0DD-C850A68CD248}"/>
              </c:ext>
            </c:extLst>
          </c:dPt>
          <c:dPt>
            <c:idx val="10"/>
            <c:invertIfNegative val="0"/>
            <c:bubble3D val="0"/>
            <c:spPr>
              <a:solidFill>
                <a:srgbClr val="FF0000"/>
              </a:solidFill>
              <a:ln>
                <a:noFill/>
              </a:ln>
              <a:effectLst/>
            </c:spPr>
            <c:extLst>
              <c:ext xmlns:c16="http://schemas.microsoft.com/office/drawing/2014/chart" uri="{C3380CC4-5D6E-409C-BE32-E72D297353CC}">
                <c16:uniqueId val="{00000013-8893-4B35-B0DD-C850A68CD248}"/>
              </c:ext>
            </c:extLst>
          </c:dPt>
          <c:dLbls>
            <c:dLbl>
              <c:idx val="1"/>
              <c:layout>
                <c:manualLayout>
                  <c:x val="1.4489876482360001E-2"/>
                  <c:y val="-1.81569287626481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215-466C-A80A-37CA65C0A845}"/>
                </c:ext>
              </c:extLst>
            </c:dLbl>
            <c:dLbl>
              <c:idx val="9"/>
              <c:layout>
                <c:manualLayout>
                  <c:x val="5.7967574673191743E-3"/>
                  <c:y val="9.07846438132409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893-4B35-B0DD-C850A68CD24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détaillé'!$I$996:$I$1002,'Tableau détaillé'!$I$1004:$I$1007)</c:f>
              <c:numCache>
                <c:formatCode>_-* #\ ##0\ _€_-;\-* #\ ##0\ _€_-;_-* "-"??\ _€_-;_-@_-</c:formatCode>
                <c:ptCount val="11"/>
                <c:pt idx="0">
                  <c:v>1051.8645833333333</c:v>
                </c:pt>
                <c:pt idx="1">
                  <c:v>438.90816326530614</c:v>
                </c:pt>
                <c:pt idx="2">
                  <c:v>445.6764705882353</c:v>
                </c:pt>
                <c:pt idx="3">
                  <c:v>223.25</c:v>
                </c:pt>
                <c:pt idx="4">
                  <c:v>318.63461538461536</c:v>
                </c:pt>
                <c:pt idx="5">
                  <c:v>563.5</c:v>
                </c:pt>
                <c:pt idx="6">
                  <c:v>202.13043478260869</c:v>
                </c:pt>
                <c:pt idx="7">
                  <c:v>588.60661764705878</c:v>
                </c:pt>
                <c:pt idx="8">
                  <c:v>698.69230769230774</c:v>
                </c:pt>
                <c:pt idx="9">
                  <c:v>208.54838709677421</c:v>
                </c:pt>
                <c:pt idx="10">
                  <c:v>207.13131313131314</c:v>
                </c:pt>
              </c:numCache>
            </c:numRef>
          </c:val>
          <c:extLst>
            <c:ext xmlns:c16="http://schemas.microsoft.com/office/drawing/2014/chart" uri="{C3380CC4-5D6E-409C-BE32-E72D297353CC}">
              <c16:uniqueId val="{00000014-8893-4B35-B0DD-C850A68CD248}"/>
            </c:ext>
          </c:extLst>
        </c:ser>
        <c:dLbls>
          <c:showLegendKey val="0"/>
          <c:showVal val="0"/>
          <c:showCatName val="0"/>
          <c:showSerName val="0"/>
          <c:showPercent val="0"/>
          <c:showBubbleSize val="0"/>
        </c:dLbls>
        <c:gapWidth val="150"/>
        <c:axId val="1032712272"/>
        <c:axId val="1032714232"/>
      </c:barChart>
      <c:lineChart>
        <c:grouping val="standard"/>
        <c:varyColors val="0"/>
        <c:ser>
          <c:idx val="2"/>
          <c:order val="2"/>
          <c:tx>
            <c:v>Efficacité globale</c:v>
          </c:tx>
          <c:spPr>
            <a:ln w="28575" cap="rnd">
              <a:noFill/>
              <a:round/>
            </a:ln>
            <a:effectLst/>
          </c:spPr>
          <c:marker>
            <c:symbol val="dash"/>
            <c:size val="16"/>
            <c:spPr>
              <a:solidFill>
                <a:sysClr val="windowText" lastClr="000000"/>
              </a:solidFill>
              <a:ln w="9525">
                <a:solidFill>
                  <a:sysClr val="window" lastClr="FFFFFF">
                    <a:lumMod val="95000"/>
                  </a:sysClr>
                </a:solidFill>
              </a:ln>
              <a:effectLst/>
            </c:spPr>
          </c:marker>
          <c:dPt>
            <c:idx val="7"/>
            <c:marker>
              <c:symbol val="dash"/>
              <c:size val="16"/>
              <c:spPr>
                <a:solidFill>
                  <a:sysClr val="windowText" lastClr="000000"/>
                </a:solidFill>
                <a:ln w="9525">
                  <a:solidFill>
                    <a:sysClr val="window" lastClr="FFFFFF">
                      <a:lumMod val="95000"/>
                    </a:sysClr>
                  </a:solidFill>
                </a:ln>
                <a:effectLst/>
              </c:spPr>
            </c:marker>
            <c:bubble3D val="0"/>
            <c:spPr>
              <a:ln w="28575" cap="rnd">
                <a:noFill/>
                <a:round/>
              </a:ln>
              <a:effectLst/>
            </c:spPr>
            <c:extLst>
              <c:ext xmlns:c16="http://schemas.microsoft.com/office/drawing/2014/chart" uri="{C3380CC4-5D6E-409C-BE32-E72D297353CC}">
                <c16:uniqueId val="{00000016-8893-4B35-B0DD-C850A68CD248}"/>
              </c:ext>
            </c:extLst>
          </c:dPt>
          <c:dPt>
            <c:idx val="8"/>
            <c:marker>
              <c:symbol val="dash"/>
              <c:size val="16"/>
              <c:spPr>
                <a:solidFill>
                  <a:sysClr val="windowText" lastClr="000000"/>
                </a:solidFill>
                <a:ln w="9525">
                  <a:solidFill>
                    <a:sysClr val="window" lastClr="FFFFFF">
                      <a:lumMod val="95000"/>
                    </a:sysClr>
                  </a:solidFill>
                </a:ln>
                <a:effectLst/>
              </c:spPr>
            </c:marker>
            <c:bubble3D val="0"/>
            <c:spPr>
              <a:ln w="28575" cap="rnd">
                <a:noFill/>
                <a:round/>
              </a:ln>
              <a:effectLst/>
            </c:spPr>
            <c:extLst>
              <c:ext xmlns:c16="http://schemas.microsoft.com/office/drawing/2014/chart" uri="{C3380CC4-5D6E-409C-BE32-E72D297353CC}">
                <c16:uniqueId val="{00000018-8893-4B35-B0DD-C850A68CD248}"/>
              </c:ext>
            </c:extLst>
          </c:dPt>
          <c:dPt>
            <c:idx val="9"/>
            <c:marker>
              <c:symbol val="dash"/>
              <c:size val="16"/>
              <c:spPr>
                <a:solidFill>
                  <a:sysClr val="windowText" lastClr="000000"/>
                </a:solidFill>
                <a:ln w="9525">
                  <a:solidFill>
                    <a:sysClr val="window" lastClr="FFFFFF">
                      <a:lumMod val="95000"/>
                    </a:sysClr>
                  </a:solidFill>
                </a:ln>
                <a:effectLst/>
              </c:spPr>
            </c:marker>
            <c:bubble3D val="0"/>
            <c:spPr>
              <a:ln w="28575" cap="rnd">
                <a:noFill/>
                <a:round/>
              </a:ln>
              <a:effectLst/>
            </c:spPr>
            <c:extLst>
              <c:ext xmlns:c16="http://schemas.microsoft.com/office/drawing/2014/chart" uri="{C3380CC4-5D6E-409C-BE32-E72D297353CC}">
                <c16:uniqueId val="{0000001A-8893-4B35-B0DD-C850A68CD248}"/>
              </c:ext>
            </c:extLst>
          </c:dPt>
          <c:dPt>
            <c:idx val="10"/>
            <c:marker>
              <c:symbol val="dash"/>
              <c:size val="16"/>
              <c:spPr>
                <a:solidFill>
                  <a:sysClr val="windowText" lastClr="000000"/>
                </a:solidFill>
                <a:ln w="9525">
                  <a:solidFill>
                    <a:sysClr val="window" lastClr="FFFFFF">
                      <a:lumMod val="95000"/>
                    </a:sysClr>
                  </a:solidFill>
                </a:ln>
                <a:effectLst/>
              </c:spPr>
            </c:marker>
            <c:bubble3D val="0"/>
            <c:spPr>
              <a:ln w="28575" cap="rnd">
                <a:noFill/>
                <a:round/>
              </a:ln>
              <a:effectLst/>
            </c:spPr>
            <c:extLst>
              <c:ext xmlns:c16="http://schemas.microsoft.com/office/drawing/2014/chart" uri="{C3380CC4-5D6E-409C-BE32-E72D297353CC}">
                <c16:uniqueId val="{0000001C-8893-4B35-B0DD-C850A68CD248}"/>
              </c:ext>
            </c:extLst>
          </c:dPt>
          <c:dLbls>
            <c:dLbl>
              <c:idx val="0"/>
              <c:layout>
                <c:manualLayout>
                  <c:x val="-6.3481939493531453E-2"/>
                  <c:y val="-6.79878314272948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8893-4B35-B0DD-C850A68CD248}"/>
                </c:ext>
              </c:extLst>
            </c:dLbl>
            <c:dLbl>
              <c:idx val="1"/>
              <c:layout>
                <c:manualLayout>
                  <c:x val="-5.7723559258940939E-2"/>
                  <c:y val="-6.79878314272947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8893-4B35-B0DD-C850A68CD248}"/>
                </c:ext>
              </c:extLst>
            </c:dLbl>
            <c:dLbl>
              <c:idx val="2"/>
              <c:layout>
                <c:manualLayout>
                  <c:x val="-5.7742313991598244E-2"/>
                  <c:y val="-4.96550286726634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8893-4B35-B0DD-C850A68CD248}"/>
                </c:ext>
              </c:extLst>
            </c:dLbl>
            <c:dLbl>
              <c:idx val="3"/>
              <c:layout>
                <c:manualLayout>
                  <c:x val="-6.0596675652535889E-2"/>
                  <c:y val="-3.1715520354950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8893-4B35-B0DD-C850A68CD248}"/>
                </c:ext>
              </c:extLst>
            </c:dLbl>
            <c:dLbl>
              <c:idx val="4"/>
              <c:layout>
                <c:manualLayout>
                  <c:x val="-5.1951498941064725E-2"/>
                  <c:y val="-7.71065432853318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8893-4B35-B0DD-C850A68CD248}"/>
                </c:ext>
              </c:extLst>
            </c:dLbl>
            <c:dLbl>
              <c:idx val="5"/>
              <c:layout>
                <c:manualLayout>
                  <c:x val="-6.9303603924176241E-2"/>
                  <c:y val="-3.62601767612238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8893-4B35-B0DD-C850A68CD248}"/>
                </c:ext>
              </c:extLst>
            </c:dLbl>
            <c:dLbl>
              <c:idx val="6"/>
              <c:layout>
                <c:manualLayout>
                  <c:x val="-5.7714365696398803E-2"/>
                  <c:y val="-4.53252209515299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8893-4B35-B0DD-C850A68CD248}"/>
                </c:ext>
              </c:extLst>
            </c:dLbl>
            <c:dLbl>
              <c:idx val="7"/>
              <c:layout>
                <c:manualLayout>
                  <c:x val="-6.0600083981218744E-2"/>
                  <c:y val="-3.62601767612239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893-4B35-B0DD-C850A68CD248}"/>
                </c:ext>
              </c:extLst>
            </c:dLbl>
            <c:dLbl>
              <c:idx val="8"/>
              <c:layout>
                <c:manualLayout>
                  <c:x val="-5.7714365696398803E-2"/>
                  <c:y val="-4.53252209515298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8893-4B35-B0DD-C850A68CD248}"/>
                </c:ext>
              </c:extLst>
            </c:dLbl>
            <c:dLbl>
              <c:idx val="9"/>
              <c:layout>
                <c:manualLayout>
                  <c:x val="-5.4824784639071519E-2"/>
                  <c:y val="-4.06288856562449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893-4B35-B0DD-C850A68CD248}"/>
                </c:ext>
              </c:extLst>
            </c:dLbl>
            <c:dLbl>
              <c:idx val="10"/>
              <c:layout>
                <c:manualLayout>
                  <c:x val="-2.8857182848199402E-2"/>
                  <c:y val="-3.1764414490937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8893-4B35-B0DD-C850A68CD24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détaillé'!$I$615:$I$621,'Tableau détaillé'!$I$623:$I$626)</c:f>
              <c:numCache>
                <c:formatCode>_-* #\ ##0\ _€_-;\-* #\ ##0\ _€_-;_-* "-"??\ _€_-;_-@_-</c:formatCode>
                <c:ptCount val="11"/>
                <c:pt idx="0">
                  <c:v>168.71875</c:v>
                </c:pt>
                <c:pt idx="1">
                  <c:v>86.132653061224488</c:v>
                </c:pt>
                <c:pt idx="2">
                  <c:v>110.95098039215686</c:v>
                </c:pt>
                <c:pt idx="3">
                  <c:v>133.90625</c:v>
                </c:pt>
                <c:pt idx="4">
                  <c:v>47.519230769230766</c:v>
                </c:pt>
                <c:pt idx="5">
                  <c:v>56.7</c:v>
                </c:pt>
                <c:pt idx="6">
                  <c:v>87.478260869565219</c:v>
                </c:pt>
                <c:pt idx="7">
                  <c:v>176.10294117647058</c:v>
                </c:pt>
                <c:pt idx="8">
                  <c:v>234.96581196581195</c:v>
                </c:pt>
                <c:pt idx="9">
                  <c:v>97.548387096774192</c:v>
                </c:pt>
                <c:pt idx="10">
                  <c:v>25.484848484848484</c:v>
                </c:pt>
              </c:numCache>
            </c:numRef>
          </c:val>
          <c:smooth val="0"/>
          <c:extLst>
            <c:ext xmlns:c16="http://schemas.microsoft.com/office/drawing/2014/chart" uri="{C3380CC4-5D6E-409C-BE32-E72D297353CC}">
              <c16:uniqueId val="{00000024-8893-4B35-B0DD-C850A68CD248}"/>
            </c:ext>
          </c:extLst>
        </c:ser>
        <c:dLbls>
          <c:showLegendKey val="0"/>
          <c:showVal val="0"/>
          <c:showCatName val="0"/>
          <c:showSerName val="0"/>
          <c:showPercent val="0"/>
          <c:showBubbleSize val="0"/>
        </c:dLbls>
        <c:marker val="1"/>
        <c:smooth val="0"/>
        <c:axId val="1032712272"/>
        <c:axId val="1032714232"/>
      </c:lineChart>
      <c:catAx>
        <c:axId val="103271227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4232"/>
        <c:crosses val="autoZero"/>
        <c:auto val="1"/>
        <c:lblAlgn val="ctr"/>
        <c:lblOffset val="100"/>
        <c:noMultiLvlLbl val="0"/>
      </c:catAx>
      <c:valAx>
        <c:axId val="1032714232"/>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22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Efficacité commerciale produits vendus aux nouveaux clients</a:t>
            </a:r>
            <a:r>
              <a:rPr lang="fr-FR" baseline="0"/>
              <a:t> -  par DR</a:t>
            </a:r>
            <a:endParaRPr lang="fr-FR"/>
          </a:p>
        </c:rich>
      </c:tx>
      <c:layout>
        <c:manualLayout>
          <c:xMode val="edge"/>
          <c:yMode val="edge"/>
          <c:x val="0.1211422263748289"/>
          <c:y val="2.39422178838037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1-0D64-48F1-91BD-E34D0DD467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détaillé'!$H$1003,'Tableau détaillé'!$H$1008)</c:f>
              <c:numCache>
                <c:formatCode>_-* #\ ##0\ _€_-;\-* #\ ##0\ _€_-;_-* "-"??\ _€_-;_-@_-</c:formatCode>
                <c:ptCount val="2"/>
                <c:pt idx="0">
                  <c:v>0</c:v>
                </c:pt>
                <c:pt idx="1">
                  <c:v>0</c:v>
                </c:pt>
              </c:numCache>
            </c:numRef>
          </c:val>
          <c:extLst>
            <c:ext xmlns:c16="http://schemas.microsoft.com/office/drawing/2014/chart" uri="{C3380CC4-5D6E-409C-BE32-E72D297353CC}">
              <c16:uniqueId val="{00000002-0D64-48F1-91BD-E34D0DD46751}"/>
            </c:ext>
          </c:extLst>
        </c:ser>
        <c:ser>
          <c:idx val="1"/>
          <c:order val="1"/>
          <c:tx>
            <c:v>M</c:v>
          </c:tx>
          <c:spPr>
            <a:solidFill>
              <a:sysClr val="windowText" lastClr="00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4-0D64-48F1-91BD-E34D0DD46751}"/>
              </c:ext>
            </c:extLst>
          </c:dPt>
          <c:dLbls>
            <c:dLbl>
              <c:idx val="0"/>
              <c:layout>
                <c:manualLayout>
                  <c:x val="3.89612637824375E-2"/>
                  <c:y val="9.142672849609151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BE4-426C-9DE5-7B0BF8ECF19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détaillé'!$I$1003,'Tableau détaillé'!$I$1008)</c:f>
              <c:numCache>
                <c:formatCode>_-* #\ ##0\ _€_-;\-* #\ ##0\ _€_-;_-* "-"??\ _€_-;_-@_-</c:formatCode>
                <c:ptCount val="2"/>
                <c:pt idx="0">
                  <c:v>635.95761078998078</c:v>
                </c:pt>
                <c:pt idx="1">
                  <c:v>517.95568400770708</c:v>
                </c:pt>
              </c:numCache>
            </c:numRef>
          </c:val>
          <c:extLst>
            <c:ext xmlns:c16="http://schemas.microsoft.com/office/drawing/2014/chart" uri="{C3380CC4-5D6E-409C-BE32-E72D297353CC}">
              <c16:uniqueId val="{00000005-0D64-48F1-91BD-E34D0DD46751}"/>
            </c:ext>
          </c:extLst>
        </c:ser>
        <c:dLbls>
          <c:showLegendKey val="0"/>
          <c:showVal val="0"/>
          <c:showCatName val="0"/>
          <c:showSerName val="0"/>
          <c:showPercent val="0"/>
          <c:showBubbleSize val="0"/>
        </c:dLbls>
        <c:gapWidth val="150"/>
        <c:axId val="1032716584"/>
        <c:axId val="1032718936"/>
      </c:barChart>
      <c:lineChart>
        <c:grouping val="standard"/>
        <c:varyColors val="0"/>
        <c:ser>
          <c:idx val="2"/>
          <c:order val="2"/>
          <c:tx>
            <c:v>Efficacité globale</c:v>
          </c:tx>
          <c:spPr>
            <a:ln w="28575" cap="rnd">
              <a:solidFill>
                <a:schemeClr val="accent3"/>
              </a:solidFill>
              <a:round/>
            </a:ln>
            <a:effectLst/>
          </c:spPr>
          <c:marker>
            <c:symbol val="dash"/>
            <c:size val="43"/>
            <c:spPr>
              <a:solidFill>
                <a:sysClr val="windowText" lastClr="000000"/>
              </a:solidFill>
              <a:ln w="12700">
                <a:solidFill>
                  <a:sysClr val="window" lastClr="FFFFFF">
                    <a:lumMod val="85000"/>
                  </a:sysClr>
                </a:solidFill>
              </a:ln>
              <a:effectLst/>
            </c:spPr>
          </c:marker>
          <c:dPt>
            <c:idx val="1"/>
            <c:marker>
              <c:symbol val="dash"/>
              <c:size val="43"/>
              <c:spPr>
                <a:solidFill>
                  <a:sysClr val="windowText" lastClr="000000"/>
                </a:solidFill>
                <a:ln w="12700">
                  <a:solidFill>
                    <a:sysClr val="window" lastClr="FFFFFF">
                      <a:lumMod val="85000"/>
                    </a:sysClr>
                  </a:solidFill>
                </a:ln>
                <a:effectLst/>
              </c:spPr>
            </c:marker>
            <c:bubble3D val="0"/>
            <c:spPr>
              <a:ln w="28575" cap="rnd">
                <a:noFill/>
                <a:round/>
              </a:ln>
              <a:effectLst/>
            </c:spPr>
            <c:extLst>
              <c:ext xmlns:c16="http://schemas.microsoft.com/office/drawing/2014/chart" uri="{C3380CC4-5D6E-409C-BE32-E72D297353CC}">
                <c16:uniqueId val="{00000007-0D64-48F1-91BD-E34D0DD46751}"/>
              </c:ext>
            </c:extLst>
          </c:dPt>
          <c:dLbls>
            <c:dLbl>
              <c:idx val="0"/>
              <c:layout>
                <c:manualLayout>
                  <c:x val="-5.6722733130911605E-2"/>
                  <c:y val="-6.015802248826726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D64-48F1-91BD-E34D0DD46751}"/>
                </c:ext>
              </c:extLst>
            </c:dLbl>
            <c:dLbl>
              <c:idx val="1"/>
              <c:layout>
                <c:manualLayout>
                  <c:x val="-0.12119630518993035"/>
                  <c:y val="-6.907905363174786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C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D64-48F1-91BD-E34D0DD467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détaillé'!$D$1003,'Tableau détaillé'!$D$1008)</c:f>
              <c:strCache>
                <c:ptCount val="2"/>
                <c:pt idx="0">
                  <c:v>Total AFO</c:v>
                </c:pt>
                <c:pt idx="1">
                  <c:v>Total AFCE</c:v>
                </c:pt>
              </c:strCache>
            </c:strRef>
          </c:cat>
          <c:val>
            <c:numRef>
              <c:f>('Tableau détaillé'!$I$622,'Tableau détaillé'!$I$627)</c:f>
              <c:numCache>
                <c:formatCode>_-* #\ ##0\ _€_-;\-* #\ ##0\ _€_-;_-* "-"??\ _€_-;_-@_-</c:formatCode>
                <c:ptCount val="2"/>
                <c:pt idx="0">
                  <c:v>119.5645472061657</c:v>
                </c:pt>
                <c:pt idx="1">
                  <c:v>155.94990366088632</c:v>
                </c:pt>
              </c:numCache>
            </c:numRef>
          </c:val>
          <c:smooth val="0"/>
          <c:extLst>
            <c:ext xmlns:c16="http://schemas.microsoft.com/office/drawing/2014/chart" uri="{C3380CC4-5D6E-409C-BE32-E72D297353CC}">
              <c16:uniqueId val="{00000009-0D64-48F1-91BD-E34D0DD46751}"/>
            </c:ext>
          </c:extLst>
        </c:ser>
        <c:dLbls>
          <c:showLegendKey val="0"/>
          <c:showVal val="0"/>
          <c:showCatName val="0"/>
          <c:showSerName val="0"/>
          <c:showPercent val="0"/>
          <c:showBubbleSize val="0"/>
        </c:dLbls>
        <c:marker val="1"/>
        <c:smooth val="0"/>
        <c:axId val="1032716584"/>
        <c:axId val="1032718936"/>
      </c:lineChart>
      <c:catAx>
        <c:axId val="103271658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8936"/>
        <c:crosses val="autoZero"/>
        <c:auto val="1"/>
        <c:lblAlgn val="ctr"/>
        <c:lblOffset val="100"/>
        <c:noMultiLvlLbl val="0"/>
      </c:catAx>
      <c:valAx>
        <c:axId val="1032718936"/>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1032716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Part des crédits renouvelés dans la Production crédits YTD - Par entité</a:t>
            </a:r>
          </a:p>
        </c:rich>
      </c:tx>
      <c:layout>
        <c:manualLayout>
          <c:xMode val="edge"/>
          <c:yMode val="edge"/>
          <c:x val="6.3333604003369043E-2"/>
          <c:y val="2.847814976315234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EF0E-486C-A1D6-FEEEABFD8551}"/>
              </c:ext>
            </c:extLst>
          </c:dPt>
          <c:dPt>
            <c:idx val="8"/>
            <c:invertIfNegative val="0"/>
            <c:bubble3D val="0"/>
            <c:spPr>
              <a:solidFill>
                <a:srgbClr val="FFA7A7"/>
              </a:solidFill>
              <a:ln>
                <a:noFill/>
              </a:ln>
              <a:effectLst/>
            </c:spPr>
            <c:extLst>
              <c:ext xmlns:c16="http://schemas.microsoft.com/office/drawing/2014/chart" uri="{C3380CC4-5D6E-409C-BE32-E72D297353CC}">
                <c16:uniqueId val="{00000003-EF0E-486C-A1D6-FEEEABFD8551}"/>
              </c:ext>
            </c:extLst>
          </c:dPt>
          <c:dPt>
            <c:idx val="9"/>
            <c:invertIfNegative val="0"/>
            <c:bubble3D val="0"/>
            <c:spPr>
              <a:solidFill>
                <a:srgbClr val="FFA7A7"/>
              </a:solidFill>
              <a:ln>
                <a:noFill/>
              </a:ln>
              <a:effectLst/>
            </c:spPr>
            <c:extLst>
              <c:ext xmlns:c16="http://schemas.microsoft.com/office/drawing/2014/chart" uri="{C3380CC4-5D6E-409C-BE32-E72D297353CC}">
                <c16:uniqueId val="{00000005-EF0E-486C-A1D6-FEEEABFD8551}"/>
              </c:ext>
            </c:extLst>
          </c:dPt>
          <c:dPt>
            <c:idx val="10"/>
            <c:invertIfNegative val="0"/>
            <c:bubble3D val="0"/>
            <c:spPr>
              <a:solidFill>
                <a:srgbClr val="FFA7A7"/>
              </a:solidFill>
              <a:ln>
                <a:noFill/>
              </a:ln>
              <a:effectLst/>
            </c:spPr>
            <c:extLst>
              <c:ext xmlns:c16="http://schemas.microsoft.com/office/drawing/2014/chart" uri="{C3380CC4-5D6E-409C-BE32-E72D297353CC}">
                <c16:uniqueId val="{00000007-EF0E-486C-A1D6-FEEEABFD8551}"/>
              </c:ext>
            </c:extLst>
          </c:dPt>
          <c:dLbls>
            <c:dLbl>
              <c:idx val="0"/>
              <c:layout>
                <c:manualLayout>
                  <c:x val="-2.0213342852627905E-2"/>
                  <c:y val="-4.50522197796272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F0E-486C-A1D6-FEEEABFD8551}"/>
                </c:ext>
              </c:extLst>
            </c:dLbl>
            <c:dLbl>
              <c:idx val="2"/>
              <c:layout>
                <c:manualLayout>
                  <c:x val="-8.6628612225548157E-3"/>
                  <c:y val="5.856788571351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F0E-486C-A1D6-FEEEABFD8551}"/>
                </c:ext>
              </c:extLst>
            </c:dLbl>
            <c:dLbl>
              <c:idx val="3"/>
              <c:layout>
                <c:manualLayout>
                  <c:x val="-3.4651444890219263E-2"/>
                  <c:y val="-9.010443955925448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F0E-486C-A1D6-FEEEABFD8551}"/>
                </c:ext>
              </c:extLst>
            </c:dLbl>
            <c:dLbl>
              <c:idx val="6"/>
              <c:layout>
                <c:manualLayout>
                  <c:x val="-2.8876204075182722E-3"/>
                  <c:y val="-2.2526109889813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F0E-486C-A1D6-FEEEABFD8551}"/>
                </c:ext>
              </c:extLst>
            </c:dLbl>
            <c:dLbl>
              <c:idx val="7"/>
              <c:layout>
                <c:manualLayout>
                  <c:x val="-5.7711476276256571E-3"/>
                  <c:y val="-7.68018665033785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F0E-486C-A1D6-FEEEABFD8551}"/>
                </c:ext>
              </c:extLst>
            </c:dLbl>
            <c:dLbl>
              <c:idx val="9"/>
              <c:layout>
                <c:manualLayout>
                  <c:x val="-8.6628612225548157E-3"/>
                  <c:y val="-3.15365538457391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0E-486C-A1D6-FEEEABFD8551}"/>
                </c:ext>
              </c:extLst>
            </c:dLbl>
            <c:dLbl>
              <c:idx val="10"/>
              <c:layout>
                <c:manualLayout>
                  <c:x val="-1.1547071001012231E-2"/>
                  <c:y val="-5.39560191241035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F0E-486C-A1D6-FEEEABFD8551}"/>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détaillé'!$E$1013:$E$1019,'Tableau détaillé'!$E$1021:$E$1024)</c:f>
              <c:numCache>
                <c:formatCode>0%</c:formatCode>
                <c:ptCount val="11"/>
                <c:pt idx="0">
                  <c:v>0.40589952373636501</c:v>
                </c:pt>
                <c:pt idx="1">
                  <c:v>0.48372938742240895</c:v>
                </c:pt>
                <c:pt idx="2">
                  <c:v>0.665382315817445</c:v>
                </c:pt>
                <c:pt idx="3">
                  <c:v>0.81792705710340341</c:v>
                </c:pt>
                <c:pt idx="4">
                  <c:v>0.61395465678578154</c:v>
                </c:pt>
                <c:pt idx="5">
                  <c:v>0.56313834726090994</c:v>
                </c:pt>
                <c:pt idx="6">
                  <c:v>0.82940067847719567</c:v>
                </c:pt>
                <c:pt idx="7">
                  <c:v>0.70692446566886025</c:v>
                </c:pt>
                <c:pt idx="8">
                  <c:v>0.59021042248890354</c:v>
                </c:pt>
                <c:pt idx="9">
                  <c:v>0.50353787263658512</c:v>
                </c:pt>
                <c:pt idx="10">
                  <c:v>0.40363400389357562</c:v>
                </c:pt>
              </c:numCache>
            </c:numRef>
          </c:val>
          <c:extLst>
            <c:ext xmlns:c16="http://schemas.microsoft.com/office/drawing/2014/chart" uri="{C3380CC4-5D6E-409C-BE32-E72D297353CC}">
              <c16:uniqueId val="{0000000C-EF0E-486C-A1D6-FEEEABFD8551}"/>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EF0E-486C-A1D6-FEEEABFD8551}"/>
              </c:ext>
            </c:extLst>
          </c:dPt>
          <c:dPt>
            <c:idx val="8"/>
            <c:invertIfNegative val="0"/>
            <c:bubble3D val="0"/>
            <c:spPr>
              <a:solidFill>
                <a:srgbClr val="FF0000"/>
              </a:solidFill>
              <a:ln>
                <a:noFill/>
              </a:ln>
              <a:effectLst/>
            </c:spPr>
            <c:extLst>
              <c:ext xmlns:c16="http://schemas.microsoft.com/office/drawing/2014/chart" uri="{C3380CC4-5D6E-409C-BE32-E72D297353CC}">
                <c16:uniqueId val="{00000010-EF0E-486C-A1D6-FEEEABFD8551}"/>
              </c:ext>
            </c:extLst>
          </c:dPt>
          <c:dPt>
            <c:idx val="9"/>
            <c:invertIfNegative val="0"/>
            <c:bubble3D val="0"/>
            <c:spPr>
              <a:solidFill>
                <a:srgbClr val="FF0000"/>
              </a:solidFill>
              <a:ln>
                <a:noFill/>
              </a:ln>
              <a:effectLst/>
            </c:spPr>
            <c:extLst>
              <c:ext xmlns:c16="http://schemas.microsoft.com/office/drawing/2014/chart" uri="{C3380CC4-5D6E-409C-BE32-E72D297353CC}">
                <c16:uniqueId val="{00000012-EF0E-486C-A1D6-FEEEABFD8551}"/>
              </c:ext>
            </c:extLst>
          </c:dPt>
          <c:dPt>
            <c:idx val="10"/>
            <c:invertIfNegative val="0"/>
            <c:bubble3D val="0"/>
            <c:spPr>
              <a:solidFill>
                <a:srgbClr val="FF0000"/>
              </a:solidFill>
              <a:ln>
                <a:noFill/>
              </a:ln>
              <a:effectLst/>
            </c:spPr>
            <c:extLst>
              <c:ext xmlns:c16="http://schemas.microsoft.com/office/drawing/2014/chart" uri="{C3380CC4-5D6E-409C-BE32-E72D297353CC}">
                <c16:uniqueId val="{00000014-EF0E-486C-A1D6-FEEEABFD8551}"/>
              </c:ext>
            </c:extLst>
          </c:dPt>
          <c:dLbls>
            <c:dLbl>
              <c:idx val="0"/>
              <c:layout>
                <c:manualLayout>
                  <c:x val="5.77524081503653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F0E-486C-A1D6-FEEEABFD8551}"/>
                </c:ext>
              </c:extLst>
            </c:dLbl>
            <c:dLbl>
              <c:idx val="2"/>
              <c:layout>
                <c:manualLayout>
                  <c:x val="-3.7539065297737539E-2"/>
                  <c:y val="-2.2526109889813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F0E-486C-A1D6-FEEEABFD8551}"/>
                </c:ext>
              </c:extLst>
            </c:dLbl>
            <c:dLbl>
              <c:idx val="8"/>
              <c:layout>
                <c:manualLayout>
                  <c:x val="1.4440945515790671E-2"/>
                  <c:y val="-3.62123325803354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F0E-486C-A1D6-FEEEABFD8551}"/>
                </c:ext>
              </c:extLst>
            </c:dLbl>
            <c:dLbl>
              <c:idx val="9"/>
              <c:layout>
                <c:manualLayout>
                  <c:x val="5.7752408150363328E-3"/>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F0E-486C-A1D6-FEEEABFD8551}"/>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détaillé'!$G$1013:$G$1019,'Tableau détaillé'!$G$1021:$G$1024)</c:f>
              <c:numCache>
                <c:formatCode>0%</c:formatCode>
                <c:ptCount val="11"/>
                <c:pt idx="0">
                  <c:v>0.2828616121620961</c:v>
                </c:pt>
                <c:pt idx="1">
                  <c:v>0.36074165915238954</c:v>
                </c:pt>
                <c:pt idx="2">
                  <c:v>0.51237995688247207</c:v>
                </c:pt>
                <c:pt idx="3">
                  <c:v>0.69826830337571244</c:v>
                </c:pt>
                <c:pt idx="4">
                  <c:v>0.46521632251720746</c:v>
                </c:pt>
                <c:pt idx="5">
                  <c:v>0.48375116063138346</c:v>
                </c:pt>
                <c:pt idx="6">
                  <c:v>0.79792578188300112</c:v>
                </c:pt>
                <c:pt idx="7">
                  <c:v>0.61720230179931035</c:v>
                </c:pt>
                <c:pt idx="8">
                  <c:v>0.51569779754341383</c:v>
                </c:pt>
                <c:pt idx="9">
                  <c:v>0.38502280417831397</c:v>
                </c:pt>
                <c:pt idx="10">
                  <c:v>0.37398373983739835</c:v>
                </c:pt>
              </c:numCache>
            </c:numRef>
          </c:val>
          <c:extLst>
            <c:ext xmlns:c16="http://schemas.microsoft.com/office/drawing/2014/chart" uri="{C3380CC4-5D6E-409C-BE32-E72D297353CC}">
              <c16:uniqueId val="{00000017-EF0E-486C-A1D6-FEEEABFD8551}"/>
            </c:ext>
          </c:extLst>
        </c:ser>
        <c:dLbls>
          <c:showLegendKey val="0"/>
          <c:showVal val="0"/>
          <c:showCatName val="0"/>
          <c:showSerName val="0"/>
          <c:showPercent val="0"/>
          <c:showBubbleSize val="0"/>
        </c:dLbls>
        <c:gapWidth val="150"/>
        <c:axId val="680287496"/>
        <c:axId val="680289064"/>
      </c:barChart>
      <c:catAx>
        <c:axId val="68028749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80289064"/>
        <c:crosses val="autoZero"/>
        <c:auto val="1"/>
        <c:lblAlgn val="ctr"/>
        <c:lblOffset val="100"/>
        <c:noMultiLvlLbl val="0"/>
      </c:catAx>
      <c:valAx>
        <c:axId val="680289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80287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Part des crédits renouvelés dans la Productioon crédits YTD - par DR</a:t>
            </a:r>
          </a:p>
        </c:rich>
      </c:tx>
      <c:layout>
        <c:manualLayout>
          <c:xMode val="edge"/>
          <c:yMode val="edge"/>
          <c:x val="5.3933191858695009E-2"/>
          <c:y val="2.394218700724769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a:ln>
              <a:noFill/>
            </a:ln>
            <a:effectLst/>
          </c:spPr>
          <c:invertIfNegative val="0"/>
          <c:dPt>
            <c:idx val="0"/>
            <c:invertIfNegative val="0"/>
            <c:bubble3D val="0"/>
            <c:spPr>
              <a:solidFill>
                <a:srgbClr val="FFA7A7"/>
              </a:solidFill>
              <a:ln>
                <a:noFill/>
              </a:ln>
              <a:effectLst/>
            </c:spPr>
            <c:extLst>
              <c:ext xmlns:c16="http://schemas.microsoft.com/office/drawing/2014/chart" uri="{C3380CC4-5D6E-409C-BE32-E72D297353CC}">
                <c16:uniqueId val="{00000002-A5E4-4C79-9C01-8BF7B15703FB}"/>
              </c:ext>
            </c:extLst>
          </c:dPt>
          <c:dPt>
            <c:idx val="1"/>
            <c:invertIfNegative val="0"/>
            <c:bubble3D val="0"/>
            <c:spPr>
              <a:solidFill>
                <a:srgbClr val="FFA7A7"/>
              </a:solidFill>
              <a:ln>
                <a:noFill/>
              </a:ln>
              <a:effectLst/>
            </c:spPr>
            <c:extLst>
              <c:ext xmlns:c16="http://schemas.microsoft.com/office/drawing/2014/chart" uri="{C3380CC4-5D6E-409C-BE32-E72D297353CC}">
                <c16:uniqueId val="{00000001-A5E4-4C79-9C01-8BF7B15703FB}"/>
              </c:ext>
            </c:extLst>
          </c:dPt>
          <c:dLbls>
            <c:dLbl>
              <c:idx val="0"/>
              <c:layout>
                <c:manualLayout>
                  <c:x val="0"/>
                  <c:y val="0.191376023748709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5E4-4C79-9C01-8BF7B15703FB}"/>
                </c:ext>
              </c:extLst>
            </c:dLbl>
            <c:dLbl>
              <c:idx val="1"/>
              <c:layout>
                <c:manualLayout>
                  <c:x val="5.7256403869540007E-3"/>
                  <c:y val="0.141253731814523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E4-4C79-9C01-8BF7B15703FB}"/>
                </c:ext>
              </c:extLst>
            </c:dLbl>
            <c:dLbl>
              <c:idx val="2"/>
              <c:layout>
                <c:manualLayout>
                  <c:x val="-1.0496886115158391E-16"/>
                  <c:y val="0.191376023748709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40E-4212-8C3E-BA4421656B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détaillé'!$E$1020,'Tableau détaillé'!$E$1025,'Tableau détaillé'!$E$1012)</c:f>
              <c:numCache>
                <c:formatCode>0%</c:formatCode>
                <c:ptCount val="3"/>
                <c:pt idx="0">
                  <c:v>0.61141652232848864</c:v>
                </c:pt>
                <c:pt idx="1">
                  <c:v>0.66487465620819453</c:v>
                </c:pt>
                <c:pt idx="2">
                  <c:v>0.63823897273409491</c:v>
                </c:pt>
              </c:numCache>
            </c:numRef>
          </c:val>
          <c:extLst>
            <c:ext xmlns:c16="http://schemas.microsoft.com/office/drawing/2014/chart" uri="{C3380CC4-5D6E-409C-BE32-E72D297353CC}">
              <c16:uniqueId val="{00000003-A5E4-4C79-9C01-8BF7B15703FB}"/>
            </c:ext>
          </c:extLst>
        </c:ser>
        <c:ser>
          <c:idx val="1"/>
          <c:order val="1"/>
          <c:tx>
            <c:v>M</c:v>
          </c:tx>
          <c:spPr>
            <a:solidFill>
              <a:sysClr val="windowText" lastClr="00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6-A5E4-4C79-9C01-8BF7B15703FB}"/>
              </c:ext>
            </c:extLst>
          </c:dPt>
          <c:dPt>
            <c:idx val="1"/>
            <c:invertIfNegative val="0"/>
            <c:bubble3D val="0"/>
            <c:spPr>
              <a:solidFill>
                <a:srgbClr val="FF0000"/>
              </a:solidFill>
              <a:ln>
                <a:noFill/>
              </a:ln>
              <a:effectLst/>
            </c:spPr>
            <c:extLst>
              <c:ext xmlns:c16="http://schemas.microsoft.com/office/drawing/2014/chart" uri="{C3380CC4-5D6E-409C-BE32-E72D297353CC}">
                <c16:uniqueId val="{00000005-A5E4-4C79-9C01-8BF7B15703FB}"/>
              </c:ext>
            </c:extLst>
          </c:dPt>
          <c:dLbls>
            <c:dLbl>
              <c:idx val="0"/>
              <c:layout>
                <c:manualLayout>
                  <c:x val="0"/>
                  <c:y val="0.12302744383845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5E4-4C79-9C01-8BF7B15703FB}"/>
                </c:ext>
              </c:extLst>
            </c:dLbl>
            <c:dLbl>
              <c:idx val="1"/>
              <c:layout>
                <c:manualLayout>
                  <c:x val="0"/>
                  <c:y val="0.46477034338972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5E4-4C79-9C01-8BF7B15703FB}"/>
                </c:ext>
              </c:extLst>
            </c:dLbl>
            <c:dLbl>
              <c:idx val="2"/>
              <c:layout>
                <c:manualLayout>
                  <c:x val="5.7256403869542106E-3"/>
                  <c:y val="0.300733751605115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0E-4212-8C3E-BA4421656BB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détaillé'!$G$1020,'Tableau détaillé'!$G$1025,'Tableau détaillé'!$G$1012)</c:f>
              <c:numCache>
                <c:formatCode>0%</c:formatCode>
                <c:ptCount val="3"/>
                <c:pt idx="0">
                  <c:v>0.46352910444512169</c:v>
                </c:pt>
                <c:pt idx="1">
                  <c:v>0.57334056515129528</c:v>
                </c:pt>
                <c:pt idx="2">
                  <c:v>0.52202255969529765</c:v>
                </c:pt>
              </c:numCache>
            </c:numRef>
          </c:val>
          <c:extLst>
            <c:ext xmlns:c16="http://schemas.microsoft.com/office/drawing/2014/chart" uri="{C3380CC4-5D6E-409C-BE32-E72D297353CC}">
              <c16:uniqueId val="{00000007-A5E4-4C79-9C01-8BF7B15703FB}"/>
            </c:ext>
          </c:extLst>
        </c:ser>
        <c:dLbls>
          <c:showLegendKey val="0"/>
          <c:showVal val="0"/>
          <c:showCatName val="0"/>
          <c:showSerName val="0"/>
          <c:showPercent val="0"/>
          <c:showBubbleSize val="0"/>
        </c:dLbls>
        <c:gapWidth val="150"/>
        <c:axId val="690684584"/>
        <c:axId val="690686152"/>
      </c:barChart>
      <c:catAx>
        <c:axId val="69068458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90686152"/>
        <c:crosses val="autoZero"/>
        <c:auto val="1"/>
        <c:lblAlgn val="ctr"/>
        <c:lblOffset val="100"/>
        <c:noMultiLvlLbl val="0"/>
      </c:catAx>
      <c:valAx>
        <c:axId val="690686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90684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Part des crédits renouvelés dans le</a:t>
            </a:r>
            <a:r>
              <a:rPr lang="fr-FR" baseline="0"/>
              <a:t> stock de</a:t>
            </a:r>
            <a:r>
              <a:rPr lang="fr-FR"/>
              <a:t> crédits - Par entité</a:t>
            </a:r>
          </a:p>
        </c:rich>
      </c:tx>
      <c:layout>
        <c:manualLayout>
          <c:xMode val="edge"/>
          <c:yMode val="edge"/>
          <c:x val="2.0003652908213061E-2"/>
          <c:y val="2.8478149763152341E-2"/>
        </c:manualLayout>
      </c:layout>
      <c:overlay val="0"/>
      <c:spPr>
        <a:noFill/>
        <a:ln>
          <a:noFill/>
        </a:ln>
        <a:effectLst/>
      </c:sp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BFF2-48DE-9613-C71C5A90531F}"/>
              </c:ext>
            </c:extLst>
          </c:dPt>
          <c:dPt>
            <c:idx val="8"/>
            <c:invertIfNegative val="0"/>
            <c:bubble3D val="0"/>
            <c:spPr>
              <a:solidFill>
                <a:srgbClr val="FFA7A7"/>
              </a:solidFill>
              <a:ln>
                <a:noFill/>
              </a:ln>
              <a:effectLst/>
            </c:spPr>
            <c:extLst>
              <c:ext xmlns:c16="http://schemas.microsoft.com/office/drawing/2014/chart" uri="{C3380CC4-5D6E-409C-BE32-E72D297353CC}">
                <c16:uniqueId val="{00000003-BFF2-48DE-9613-C71C5A90531F}"/>
              </c:ext>
            </c:extLst>
          </c:dPt>
          <c:dPt>
            <c:idx val="9"/>
            <c:invertIfNegative val="0"/>
            <c:bubble3D val="0"/>
            <c:spPr>
              <a:solidFill>
                <a:srgbClr val="FFA7A7"/>
              </a:solidFill>
              <a:ln>
                <a:noFill/>
              </a:ln>
              <a:effectLst/>
            </c:spPr>
            <c:extLst>
              <c:ext xmlns:c16="http://schemas.microsoft.com/office/drawing/2014/chart" uri="{C3380CC4-5D6E-409C-BE32-E72D297353CC}">
                <c16:uniqueId val="{00000005-BFF2-48DE-9613-C71C5A90531F}"/>
              </c:ext>
            </c:extLst>
          </c:dPt>
          <c:dPt>
            <c:idx val="10"/>
            <c:invertIfNegative val="0"/>
            <c:bubble3D val="0"/>
            <c:spPr>
              <a:solidFill>
                <a:srgbClr val="FFA7A7"/>
              </a:solidFill>
              <a:ln>
                <a:noFill/>
              </a:ln>
              <a:effectLst/>
            </c:spPr>
            <c:extLst>
              <c:ext xmlns:c16="http://schemas.microsoft.com/office/drawing/2014/chart" uri="{C3380CC4-5D6E-409C-BE32-E72D297353CC}">
                <c16:uniqueId val="{00000007-BFF2-48DE-9613-C71C5A90531F}"/>
              </c:ext>
            </c:extLst>
          </c:dPt>
          <c:dLbls>
            <c:dLbl>
              <c:idx val="0"/>
              <c:layout>
                <c:manualLayout>
                  <c:x val="-8.66599021903121E-3"/>
                  <c:y val="-8.1645743903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FF2-48DE-9613-C71C5A90531F}"/>
                </c:ext>
              </c:extLst>
            </c:dLbl>
            <c:dLbl>
              <c:idx val="1"/>
              <c:layout>
                <c:manualLayout>
                  <c:x val="-1.4443317031718687E-2"/>
                  <c:y val="-3.17511226289786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FF2-48DE-9613-C71C5A90531F}"/>
                </c:ext>
              </c:extLst>
            </c:dLbl>
            <c:dLbl>
              <c:idx val="2"/>
              <c:layout>
                <c:manualLayout>
                  <c:x val="0"/>
                  <c:y val="-7.71098692418053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FF2-48DE-9613-C71C5A90531F}"/>
                </c:ext>
              </c:extLst>
            </c:dLbl>
            <c:dLbl>
              <c:idx val="6"/>
              <c:layout>
                <c:manualLayout>
                  <c:x val="0"/>
                  <c:y val="-5.89663705966746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FF2-48DE-9613-C71C5A90531F}"/>
                </c:ext>
              </c:extLst>
            </c:dLbl>
            <c:dLbl>
              <c:idx val="9"/>
              <c:layout>
                <c:manualLayout>
                  <c:x val="-2.8886634063439443E-3"/>
                  <c:y val="-5.44304959353920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F2-48DE-9613-C71C5A90531F}"/>
                </c:ext>
              </c:extLst>
            </c:dLbl>
            <c:dLbl>
              <c:idx val="10"/>
              <c:layout>
                <c:manualLayout>
                  <c:x val="-2.888663406343838E-3"/>
                  <c:y val="-4.98946212741093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F2-48DE-9613-C71C5A90531F}"/>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détaillé'!$E$1030:$E$1036,'Tableau détaillé'!$E$1038:$E$1041)</c:f>
              <c:numCache>
                <c:formatCode>0%</c:formatCode>
                <c:ptCount val="11"/>
                <c:pt idx="0">
                  <c:v>0.18088715058945651</c:v>
                </c:pt>
                <c:pt idx="1">
                  <c:v>0.32437282169847131</c:v>
                </c:pt>
                <c:pt idx="2">
                  <c:v>0.11836761008316679</c:v>
                </c:pt>
                <c:pt idx="3">
                  <c:v>0.36071854903923911</c:v>
                </c:pt>
                <c:pt idx="4">
                  <c:v>0.14591512665983145</c:v>
                </c:pt>
                <c:pt idx="5">
                  <c:v>0.31986791414419374</c:v>
                </c:pt>
                <c:pt idx="6">
                  <c:v>3.9185658949644174E-2</c:v>
                </c:pt>
                <c:pt idx="7">
                  <c:v>0.41651015237093547</c:v>
                </c:pt>
                <c:pt idx="8">
                  <c:v>0.47502770661870242</c:v>
                </c:pt>
                <c:pt idx="9">
                  <c:v>0.11209873747381532</c:v>
                </c:pt>
                <c:pt idx="10">
                  <c:v>0.14528351188920827</c:v>
                </c:pt>
              </c:numCache>
            </c:numRef>
          </c:val>
          <c:extLst>
            <c:ext xmlns:c16="http://schemas.microsoft.com/office/drawing/2014/chart" uri="{C3380CC4-5D6E-409C-BE32-E72D297353CC}">
              <c16:uniqueId val="{0000000C-BFF2-48DE-9613-C71C5A90531F}"/>
            </c:ext>
          </c:extLst>
        </c:ser>
        <c:ser>
          <c:idx val="1"/>
          <c:order val="1"/>
          <c:tx>
            <c:v>M</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E-BFF2-48DE-9613-C71C5A90531F}"/>
              </c:ext>
            </c:extLst>
          </c:dPt>
          <c:dPt>
            <c:idx val="8"/>
            <c:invertIfNegative val="0"/>
            <c:bubble3D val="0"/>
            <c:spPr>
              <a:solidFill>
                <a:srgbClr val="FF0000"/>
              </a:solidFill>
              <a:ln>
                <a:noFill/>
              </a:ln>
              <a:effectLst/>
            </c:spPr>
            <c:extLst>
              <c:ext xmlns:c16="http://schemas.microsoft.com/office/drawing/2014/chart" uri="{C3380CC4-5D6E-409C-BE32-E72D297353CC}">
                <c16:uniqueId val="{00000010-BFF2-48DE-9613-C71C5A90531F}"/>
              </c:ext>
            </c:extLst>
          </c:dPt>
          <c:dPt>
            <c:idx val="9"/>
            <c:invertIfNegative val="0"/>
            <c:bubble3D val="0"/>
            <c:spPr>
              <a:solidFill>
                <a:srgbClr val="FF0000"/>
              </a:solidFill>
              <a:ln>
                <a:noFill/>
              </a:ln>
              <a:effectLst/>
            </c:spPr>
            <c:extLst>
              <c:ext xmlns:c16="http://schemas.microsoft.com/office/drawing/2014/chart" uri="{C3380CC4-5D6E-409C-BE32-E72D297353CC}">
                <c16:uniqueId val="{00000012-BFF2-48DE-9613-C71C5A90531F}"/>
              </c:ext>
            </c:extLst>
          </c:dPt>
          <c:dPt>
            <c:idx val="10"/>
            <c:invertIfNegative val="0"/>
            <c:bubble3D val="0"/>
            <c:spPr>
              <a:solidFill>
                <a:srgbClr val="FF0000"/>
              </a:solidFill>
              <a:ln>
                <a:noFill/>
              </a:ln>
              <a:effectLst/>
            </c:spPr>
            <c:extLst>
              <c:ext xmlns:c16="http://schemas.microsoft.com/office/drawing/2014/chart" uri="{C3380CC4-5D6E-409C-BE32-E72D297353CC}">
                <c16:uniqueId val="{00000014-BFF2-48DE-9613-C71C5A90531F}"/>
              </c:ext>
            </c:extLst>
          </c:dPt>
          <c:dLbls>
            <c:dLbl>
              <c:idx val="1"/>
              <c:layout>
                <c:manualLayout>
                  <c:x val="8.6659902190311701E-3"/>
                  <c:y val="-4.08228719515440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FF2-48DE-9613-C71C5A90531F}"/>
                </c:ext>
              </c:extLst>
            </c:dLbl>
            <c:dLbl>
              <c:idx val="3"/>
              <c:layout>
                <c:manualLayout>
                  <c:x val="2.0220643844406073E-2"/>
                  <c:y val="-1.3607623983847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BFF2-48DE-9613-C71C5A90531F}"/>
                </c:ext>
              </c:extLst>
            </c:dLbl>
            <c:dLbl>
              <c:idx val="5"/>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17-BFF2-48DE-9613-C71C5A90531F}"/>
                </c:ext>
              </c:extLst>
            </c:dLbl>
            <c:dLbl>
              <c:idx val="8"/>
              <c:layout>
                <c:manualLayout>
                  <c:x val="0"/>
                  <c:y val="-6.350224525795737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FF2-48DE-9613-C71C5A90531F}"/>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détaillé'!$G$1030:$G$1036,'Tableau détaillé'!$G$1038:$G$1041)</c:f>
              <c:numCache>
                <c:formatCode>0%</c:formatCode>
                <c:ptCount val="11"/>
                <c:pt idx="0">
                  <c:v>0.17201090903222682</c:v>
                </c:pt>
                <c:pt idx="1">
                  <c:v>0.34008174292542692</c:v>
                </c:pt>
                <c:pt idx="2">
                  <c:v>0.22185305580000358</c:v>
                </c:pt>
                <c:pt idx="3">
                  <c:v>0.37804203539823011</c:v>
                </c:pt>
                <c:pt idx="4">
                  <c:v>0.17915207425756668</c:v>
                </c:pt>
                <c:pt idx="5">
                  <c:v>0.35606251575497855</c:v>
                </c:pt>
                <c:pt idx="6">
                  <c:v>2.0976385865014234E-2</c:v>
                </c:pt>
                <c:pt idx="7">
                  <c:v>0.43632709926359647</c:v>
                </c:pt>
                <c:pt idx="8">
                  <c:v>0.40244799100384931</c:v>
                </c:pt>
                <c:pt idx="9">
                  <c:v>0.14829646971844002</c:v>
                </c:pt>
                <c:pt idx="10">
                  <c:v>0.17616322468275691</c:v>
                </c:pt>
              </c:numCache>
            </c:numRef>
          </c:val>
          <c:extLst>
            <c:ext xmlns:c16="http://schemas.microsoft.com/office/drawing/2014/chart" uri="{C3380CC4-5D6E-409C-BE32-E72D297353CC}">
              <c16:uniqueId val="{00000018-BFF2-48DE-9613-C71C5A90531F}"/>
            </c:ext>
          </c:extLst>
        </c:ser>
        <c:dLbls>
          <c:showLegendKey val="0"/>
          <c:showVal val="0"/>
          <c:showCatName val="0"/>
          <c:showSerName val="0"/>
          <c:showPercent val="0"/>
          <c:showBubbleSize val="0"/>
        </c:dLbls>
        <c:gapWidth val="150"/>
        <c:axId val="680287496"/>
        <c:axId val="680289064"/>
      </c:barChart>
      <c:catAx>
        <c:axId val="68028749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80289064"/>
        <c:crosses val="autoZero"/>
        <c:auto val="1"/>
        <c:lblAlgn val="ctr"/>
        <c:lblOffset val="100"/>
        <c:noMultiLvlLbl val="0"/>
      </c:catAx>
      <c:valAx>
        <c:axId val="680289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80287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2"/>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Part des crédits renouvelés dans le stock de crédits - par DR</a:t>
            </a:r>
          </a:p>
        </c:rich>
      </c:tx>
      <c:layout>
        <c:manualLayout>
          <c:xMode val="edge"/>
          <c:yMode val="edge"/>
          <c:x val="2.796335594806942E-2"/>
          <c:y val="2.394218700724769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65000"/>
              </a:sysClr>
            </a:solidFill>
            <a:ln>
              <a:noFill/>
            </a:ln>
            <a:effectLst/>
          </c:spPr>
          <c:invertIfNegative val="0"/>
          <c:dPt>
            <c:idx val="0"/>
            <c:invertIfNegative val="0"/>
            <c:bubble3D val="0"/>
            <c:spPr>
              <a:solidFill>
                <a:srgbClr val="FFA7A7"/>
              </a:solidFill>
              <a:ln>
                <a:noFill/>
              </a:ln>
              <a:effectLst/>
            </c:spPr>
            <c:extLst>
              <c:ext xmlns:c16="http://schemas.microsoft.com/office/drawing/2014/chart" uri="{C3380CC4-5D6E-409C-BE32-E72D297353CC}">
                <c16:uniqueId val="{00000002-70DD-4014-804B-0DB126BD4A9C}"/>
              </c:ext>
            </c:extLst>
          </c:dPt>
          <c:dPt>
            <c:idx val="1"/>
            <c:invertIfNegative val="0"/>
            <c:bubble3D val="0"/>
            <c:spPr>
              <a:solidFill>
                <a:srgbClr val="FFA7A7"/>
              </a:solidFill>
              <a:ln>
                <a:noFill/>
              </a:ln>
              <a:effectLst/>
            </c:spPr>
            <c:extLst>
              <c:ext xmlns:c16="http://schemas.microsoft.com/office/drawing/2014/chart" uri="{C3380CC4-5D6E-409C-BE32-E72D297353CC}">
                <c16:uniqueId val="{00000001-70DD-4014-804B-0DB126BD4A9C}"/>
              </c:ext>
            </c:extLst>
          </c:dPt>
          <c:dLbls>
            <c:dLbl>
              <c:idx val="0"/>
              <c:layout>
                <c:manualLayout>
                  <c:x val="-8.5884605804311589E-3"/>
                  <c:y val="0.174099309367407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0DD-4014-804B-0DB126BD4A9C}"/>
                </c:ext>
              </c:extLst>
            </c:dLbl>
            <c:dLbl>
              <c:idx val="1"/>
              <c:layout>
                <c:manualLayout>
                  <c:x val="-8.5884605804311589E-3"/>
                  <c:y val="0.30802185503464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0DD-4014-804B-0DB126BD4A9C}"/>
                </c:ext>
              </c:extLst>
            </c:dLbl>
            <c:dLbl>
              <c:idx val="2"/>
              <c:layout>
                <c:manualLayout>
                  <c:x val="-2.8628201934771578E-3"/>
                  <c:y val="0.209811988212003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D3-4EEB-950E-70F80374C95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détaillé'!$E$1037,'Tableau détaillé'!$E$1042,'Tableau détaillé'!$E$1029)</c:f>
              <c:numCache>
                <c:formatCode>0%</c:formatCode>
                <c:ptCount val="3"/>
                <c:pt idx="0">
                  <c:v>0.19996479271712206</c:v>
                </c:pt>
                <c:pt idx="1">
                  <c:v>0.40218434626597893</c:v>
                </c:pt>
                <c:pt idx="2">
                  <c:v>0.27261257341744616</c:v>
                </c:pt>
              </c:numCache>
            </c:numRef>
          </c:val>
          <c:extLst>
            <c:ext xmlns:c16="http://schemas.microsoft.com/office/drawing/2014/chart" uri="{C3380CC4-5D6E-409C-BE32-E72D297353CC}">
              <c16:uniqueId val="{00000003-70DD-4014-804B-0DB126BD4A9C}"/>
            </c:ext>
          </c:extLst>
        </c:ser>
        <c:ser>
          <c:idx val="1"/>
          <c:order val="1"/>
          <c:tx>
            <c:v>M</c:v>
          </c:tx>
          <c:spPr>
            <a:solidFill>
              <a:srgbClr val="FF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5-70DD-4014-804B-0DB126BD4A9C}"/>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4-97D3-4EEB-950E-70F80374C954}"/>
              </c:ext>
            </c:extLst>
          </c:dPt>
          <c:dLbls>
            <c:dLbl>
              <c:idx val="0"/>
              <c:layout>
                <c:manualLayout>
                  <c:x val="0"/>
                  <c:y val="0.174099309367407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DD-4014-804B-0DB126BD4A9C}"/>
                </c:ext>
              </c:extLst>
            </c:dLbl>
            <c:dLbl>
              <c:idx val="1"/>
              <c:layout>
                <c:manualLayout>
                  <c:x val="-2.8628201934770528E-3"/>
                  <c:y val="0.31695002474579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DD-4014-804B-0DB126BD4A9C}"/>
                </c:ext>
              </c:extLst>
            </c:dLbl>
            <c:dLbl>
              <c:idx val="2"/>
              <c:layout>
                <c:manualLayout>
                  <c:x val="1.0496886115158391E-16"/>
                  <c:y val="0.200883818500854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D3-4EEB-950E-70F80374C95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détaillé'!$D$627,'Tableau détaillé'!$D$614)</c:f>
              <c:strCache>
                <c:ptCount val="3"/>
                <c:pt idx="0">
                  <c:v>Total AFO</c:v>
                </c:pt>
                <c:pt idx="1">
                  <c:v>Total AFCE</c:v>
                </c:pt>
                <c:pt idx="2">
                  <c:v>Total AFS</c:v>
                </c:pt>
              </c:strCache>
            </c:strRef>
          </c:cat>
          <c:val>
            <c:numRef>
              <c:f>('Tableau détaillé'!$G$1037,'Tableau détaillé'!$G$1042,'Tableau détaillé'!$G$1029)</c:f>
              <c:numCache>
                <c:formatCode>0%</c:formatCode>
                <c:ptCount val="3"/>
                <c:pt idx="0">
                  <c:v>0.22970703436340037</c:v>
                </c:pt>
                <c:pt idx="1">
                  <c:v>0.40343562782736275</c:v>
                </c:pt>
                <c:pt idx="2">
                  <c:v>0.30114937134850855</c:v>
                </c:pt>
              </c:numCache>
            </c:numRef>
          </c:val>
          <c:extLst>
            <c:ext xmlns:c16="http://schemas.microsoft.com/office/drawing/2014/chart" uri="{C3380CC4-5D6E-409C-BE32-E72D297353CC}">
              <c16:uniqueId val="{00000007-70DD-4014-804B-0DB126BD4A9C}"/>
            </c:ext>
          </c:extLst>
        </c:ser>
        <c:dLbls>
          <c:showLegendKey val="0"/>
          <c:showVal val="0"/>
          <c:showCatName val="0"/>
          <c:showSerName val="0"/>
          <c:showPercent val="0"/>
          <c:showBubbleSize val="0"/>
        </c:dLbls>
        <c:gapWidth val="150"/>
        <c:axId val="690684584"/>
        <c:axId val="690686152"/>
      </c:barChart>
      <c:catAx>
        <c:axId val="69068458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90686152"/>
        <c:crosses val="autoZero"/>
        <c:auto val="1"/>
        <c:lblAlgn val="ctr"/>
        <c:lblOffset val="100"/>
        <c:noMultiLvlLbl val="0"/>
      </c:catAx>
      <c:valAx>
        <c:axId val="690686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90684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Part des crédits renouvelés dans la production de crédits en montant - Par entité</a:t>
            </a:r>
          </a:p>
        </c:rich>
      </c:tx>
      <c:layout>
        <c:manualLayout>
          <c:xMode val="edge"/>
          <c:yMode val="edge"/>
          <c:x val="2.0003652908213061E-2"/>
          <c:y val="2.8478149763152341E-2"/>
        </c:manualLayout>
      </c:layout>
      <c:overlay val="0"/>
      <c:spPr>
        <a:noFill/>
        <a:ln>
          <a:noFill/>
        </a:ln>
        <a:effectLst/>
      </c:sp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ysClr val="window" lastClr="FFFFFF">
                <a:lumMod val="75000"/>
              </a:sysClr>
            </a:solidFill>
          </c:spPr>
          <c:invertIfNegative val="0"/>
          <c:dPt>
            <c:idx val="7"/>
            <c:invertIfNegative val="0"/>
            <c:bubble3D val="0"/>
            <c:spPr>
              <a:solidFill>
                <a:srgbClr val="FFA7A7"/>
              </a:solidFill>
            </c:spPr>
            <c:extLst>
              <c:ext xmlns:c16="http://schemas.microsoft.com/office/drawing/2014/chart" uri="{C3380CC4-5D6E-409C-BE32-E72D297353CC}">
                <c16:uniqueId val="{00000001-D1CD-4900-BEEA-9128567F2856}"/>
              </c:ext>
            </c:extLst>
          </c:dPt>
          <c:dPt>
            <c:idx val="8"/>
            <c:invertIfNegative val="0"/>
            <c:bubble3D val="0"/>
            <c:spPr>
              <a:solidFill>
                <a:srgbClr val="FFA7A7"/>
              </a:solidFill>
            </c:spPr>
            <c:extLst>
              <c:ext xmlns:c16="http://schemas.microsoft.com/office/drawing/2014/chart" uri="{C3380CC4-5D6E-409C-BE32-E72D297353CC}">
                <c16:uniqueId val="{00000003-D1CD-4900-BEEA-9128567F2856}"/>
              </c:ext>
            </c:extLst>
          </c:dPt>
          <c:dPt>
            <c:idx val="9"/>
            <c:invertIfNegative val="0"/>
            <c:bubble3D val="0"/>
            <c:spPr>
              <a:solidFill>
                <a:srgbClr val="FFA7A7"/>
              </a:solidFill>
            </c:spPr>
            <c:extLst>
              <c:ext xmlns:c16="http://schemas.microsoft.com/office/drawing/2014/chart" uri="{C3380CC4-5D6E-409C-BE32-E72D297353CC}">
                <c16:uniqueId val="{00000005-D1CD-4900-BEEA-9128567F2856}"/>
              </c:ext>
            </c:extLst>
          </c:dPt>
          <c:dPt>
            <c:idx val="10"/>
            <c:invertIfNegative val="0"/>
            <c:bubble3D val="0"/>
            <c:spPr>
              <a:solidFill>
                <a:srgbClr val="FFA7A7"/>
              </a:solidFill>
            </c:spPr>
            <c:extLst>
              <c:ext xmlns:c16="http://schemas.microsoft.com/office/drawing/2014/chart" uri="{C3380CC4-5D6E-409C-BE32-E72D297353CC}">
                <c16:uniqueId val="{00000007-D1CD-4900-BEEA-9128567F2856}"/>
              </c:ext>
            </c:extLst>
          </c:dPt>
          <c:dLbls>
            <c:dLbl>
              <c:idx val="9"/>
              <c:layout>
                <c:manualLayout>
                  <c:x val="-2.0217323722107192E-2"/>
                  <c:y val="-4.53587466128266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CD-4900-BEEA-9128567F2856}"/>
                </c:ext>
              </c:extLst>
            </c:dLbl>
            <c:spPr>
              <a:noFill/>
              <a:ln>
                <a:noFill/>
              </a:ln>
              <a:effectLst/>
            </c:spPr>
            <c:txPr>
              <a:bodyPr wrap="square" lIns="38100" tIns="19050" rIns="38100" bIns="19050" anchor="ctr">
                <a:spAutoFit/>
              </a:bodyPr>
              <a:lstStyle/>
              <a:p>
                <a:pPr>
                  <a:defRPr sz="7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détaillé'!$E$1046:$E$1052,'Tableau détaillé'!$E$1054:$E$1057)</c:f>
              <c:numCache>
                <c:formatCode>0%</c:formatCode>
                <c:ptCount val="11"/>
                <c:pt idx="0">
                  <c:v>0.82988346308696226</c:v>
                </c:pt>
                <c:pt idx="1">
                  <c:v>0.43455763680312776</c:v>
                </c:pt>
                <c:pt idx="2">
                  <c:v>0.5858093756837397</c:v>
                </c:pt>
                <c:pt idx="3">
                  <c:v>0.66435969363272007</c:v>
                </c:pt>
                <c:pt idx="4">
                  <c:v>0.74710507858836128</c:v>
                </c:pt>
                <c:pt idx="5">
                  <c:v>0.64862572849911393</c:v>
                </c:pt>
                <c:pt idx="6">
                  <c:v>0.63434669719905079</c:v>
                </c:pt>
                <c:pt idx="7">
                  <c:v>0.58257665252814927</c:v>
                </c:pt>
                <c:pt idx="8">
                  <c:v>0.65504171561596936</c:v>
                </c:pt>
                <c:pt idx="9">
                  <c:v>0.46626745022688521</c:v>
                </c:pt>
                <c:pt idx="10">
                  <c:v>0.44503073289978523</c:v>
                </c:pt>
              </c:numCache>
            </c:numRef>
          </c:val>
          <c:extLst>
            <c:ext xmlns:c16="http://schemas.microsoft.com/office/drawing/2014/chart" uri="{C3380CC4-5D6E-409C-BE32-E72D297353CC}">
              <c16:uniqueId val="{00000008-D1CD-4900-BEEA-9128567F2856}"/>
            </c:ext>
          </c:extLst>
        </c:ser>
        <c:ser>
          <c:idx val="1"/>
          <c:order val="1"/>
          <c:tx>
            <c:v>M</c:v>
          </c:tx>
          <c:spPr>
            <a:solidFill>
              <a:sysClr val="windowText" lastClr="000000"/>
            </a:solidFill>
          </c:spPr>
          <c:invertIfNegative val="0"/>
          <c:dPt>
            <c:idx val="7"/>
            <c:invertIfNegative val="0"/>
            <c:bubble3D val="0"/>
            <c:spPr>
              <a:solidFill>
                <a:srgbClr val="FF0000"/>
              </a:solidFill>
            </c:spPr>
            <c:extLst>
              <c:ext xmlns:c16="http://schemas.microsoft.com/office/drawing/2014/chart" uri="{C3380CC4-5D6E-409C-BE32-E72D297353CC}">
                <c16:uniqueId val="{0000000A-D1CD-4900-BEEA-9128567F2856}"/>
              </c:ext>
            </c:extLst>
          </c:dPt>
          <c:dPt>
            <c:idx val="8"/>
            <c:invertIfNegative val="0"/>
            <c:bubble3D val="0"/>
            <c:spPr>
              <a:solidFill>
                <a:srgbClr val="FF0000"/>
              </a:solidFill>
            </c:spPr>
            <c:extLst>
              <c:ext xmlns:c16="http://schemas.microsoft.com/office/drawing/2014/chart" uri="{C3380CC4-5D6E-409C-BE32-E72D297353CC}">
                <c16:uniqueId val="{0000000C-D1CD-4900-BEEA-9128567F2856}"/>
              </c:ext>
            </c:extLst>
          </c:dPt>
          <c:dPt>
            <c:idx val="9"/>
            <c:invertIfNegative val="0"/>
            <c:bubble3D val="0"/>
            <c:spPr>
              <a:solidFill>
                <a:srgbClr val="FF0000"/>
              </a:solidFill>
            </c:spPr>
            <c:extLst>
              <c:ext xmlns:c16="http://schemas.microsoft.com/office/drawing/2014/chart" uri="{C3380CC4-5D6E-409C-BE32-E72D297353CC}">
                <c16:uniqueId val="{0000000E-D1CD-4900-BEEA-9128567F2856}"/>
              </c:ext>
            </c:extLst>
          </c:dPt>
          <c:dPt>
            <c:idx val="10"/>
            <c:invertIfNegative val="0"/>
            <c:bubble3D val="0"/>
            <c:spPr>
              <a:solidFill>
                <a:srgbClr val="FF0000"/>
              </a:solidFill>
            </c:spPr>
            <c:extLst>
              <c:ext xmlns:c16="http://schemas.microsoft.com/office/drawing/2014/chart" uri="{C3380CC4-5D6E-409C-BE32-E72D297353CC}">
                <c16:uniqueId val="{00000010-D1CD-4900-BEEA-9128567F2856}"/>
              </c:ext>
            </c:extLst>
          </c:dPt>
          <c:dLbls>
            <c:dLbl>
              <c:idx val="0"/>
              <c:layout>
                <c:manualLayout>
                  <c:x val="-2.6474760940252195E-17"/>
                  <c:y val="-8.61816185643706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1CD-4900-BEEA-9128567F2856}"/>
                </c:ext>
              </c:extLst>
            </c:dLbl>
            <c:dLbl>
              <c:idx val="2"/>
              <c:layout>
                <c:manualLayout>
                  <c:x val="0"/>
                  <c:y val="-4.08228719515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1CD-4900-BEEA-9128567F2856}"/>
                </c:ext>
              </c:extLst>
            </c:dLbl>
            <c:dLbl>
              <c:idx val="3"/>
              <c:layout>
                <c:manualLayout>
                  <c:x val="0"/>
                  <c:y val="-5.44304959353920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1CD-4900-BEEA-9128567F2856}"/>
                </c:ext>
              </c:extLst>
            </c:dLbl>
            <c:dLbl>
              <c:idx val="4"/>
              <c:layout>
                <c:manualLayout>
                  <c:x val="1.155275641263262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1CD-4900-BEEA-9128567F2856}"/>
                </c:ext>
              </c:extLst>
            </c:dLbl>
            <c:dLbl>
              <c:idx val="8"/>
              <c:layout>
                <c:manualLayout>
                  <c:x val="5.7763782063162041E-3"/>
                  <c:y val="-4.98946212741093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1CD-4900-BEEA-9128567F2856}"/>
                </c:ext>
              </c:extLst>
            </c:dLbl>
            <c:spPr>
              <a:noFill/>
              <a:ln>
                <a:noFill/>
              </a:ln>
              <a:effectLst/>
            </c:spPr>
            <c:txPr>
              <a:bodyPr wrap="square" lIns="38100" tIns="19050" rIns="38100" bIns="19050" anchor="ctr">
                <a:spAutoFit/>
              </a:bodyPr>
              <a:lstStyle/>
              <a:p>
                <a:pPr>
                  <a:defRPr sz="7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('Tableau détaillé'!$D$598:$D$604,'Tableau détaillé'!$D$606:$D$609)</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détaillé'!$G$1046:$G$1052,'Tableau détaillé'!$G$1054:$G$1057)</c:f>
              <c:numCache>
                <c:formatCode>0%</c:formatCode>
                <c:ptCount val="11"/>
                <c:pt idx="0">
                  <c:v>0.5435351996351111</c:v>
                </c:pt>
                <c:pt idx="1">
                  <c:v>0.42511759586416276</c:v>
                </c:pt>
                <c:pt idx="2">
                  <c:v>0.52529307688218352</c:v>
                </c:pt>
                <c:pt idx="3">
                  <c:v>0.59398945192299557</c:v>
                </c:pt>
                <c:pt idx="4">
                  <c:v>0.71198943860789099</c:v>
                </c:pt>
                <c:pt idx="5">
                  <c:v>0.62206172107752589</c:v>
                </c:pt>
                <c:pt idx="6">
                  <c:v>0.74856806805258547</c:v>
                </c:pt>
                <c:pt idx="7">
                  <c:v>0.5435351996351111</c:v>
                </c:pt>
                <c:pt idx="8">
                  <c:v>0.65681393383877817</c:v>
                </c:pt>
                <c:pt idx="9">
                  <c:v>0.53573942676638242</c:v>
                </c:pt>
                <c:pt idx="10">
                  <c:v>0.53114226832176137</c:v>
                </c:pt>
              </c:numCache>
            </c:numRef>
          </c:val>
          <c:extLst>
            <c:ext xmlns:c16="http://schemas.microsoft.com/office/drawing/2014/chart" uri="{C3380CC4-5D6E-409C-BE32-E72D297353CC}">
              <c16:uniqueId val="{00000011-D1CD-4900-BEEA-9128567F2856}"/>
            </c:ext>
          </c:extLst>
        </c:ser>
        <c:dLbls>
          <c:showLegendKey val="0"/>
          <c:showVal val="0"/>
          <c:showCatName val="0"/>
          <c:showSerName val="0"/>
          <c:showPercent val="0"/>
          <c:showBubbleSize val="0"/>
        </c:dLbls>
        <c:gapWidth val="150"/>
        <c:axId val="680287496"/>
        <c:axId val="680289064"/>
      </c:barChart>
      <c:catAx>
        <c:axId val="68028749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80289064"/>
        <c:crosses val="autoZero"/>
        <c:auto val="1"/>
        <c:lblAlgn val="ctr"/>
        <c:lblOffset val="100"/>
        <c:noMultiLvlLbl val="0"/>
      </c:catAx>
      <c:valAx>
        <c:axId val="680289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802874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2"/>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i="0" u="none" strike="noStrike" baseline="0">
                <a:effectLst/>
              </a:rPr>
              <a:t>Part des crédits renouvelés dans la production de crédits en montant </a:t>
            </a:r>
            <a:r>
              <a:rPr lang="fr-FR"/>
              <a:t>- par DR</a:t>
            </a:r>
          </a:p>
        </c:rich>
      </c:tx>
      <c:layout>
        <c:manualLayout>
          <c:xMode val="edge"/>
          <c:yMode val="edge"/>
          <c:x val="2.796335594806942E-2"/>
          <c:y val="2.394218700724769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M-1</c:v>
          </c:tx>
          <c:spPr>
            <a:solidFill>
              <a:srgbClr val="FFA7A7"/>
            </a:solidFill>
            <a:ln>
              <a:noFill/>
            </a:ln>
            <a:effectLst/>
          </c:spPr>
          <c:invertIfNegative val="0"/>
          <c:dPt>
            <c:idx val="0"/>
            <c:invertIfNegative val="0"/>
            <c:bubble3D val="0"/>
            <c:spPr>
              <a:solidFill>
                <a:sysClr val="window" lastClr="FFFFFF">
                  <a:lumMod val="75000"/>
                </a:sysClr>
              </a:solidFill>
              <a:ln>
                <a:noFill/>
              </a:ln>
              <a:effectLst/>
            </c:spPr>
            <c:extLst>
              <c:ext xmlns:c16="http://schemas.microsoft.com/office/drawing/2014/chart" uri="{C3380CC4-5D6E-409C-BE32-E72D297353CC}">
                <c16:uniqueId val="{00000001-B2E1-4B38-8076-09702702734F}"/>
              </c:ext>
            </c:extLst>
          </c:dPt>
          <c:dLbls>
            <c:dLbl>
              <c:idx val="0"/>
              <c:layout>
                <c:manualLayout>
                  <c:x val="2.8864836878442633E-3"/>
                  <c:y val="0.16502044230676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E1-4B38-8076-09702702734F}"/>
                </c:ext>
              </c:extLst>
            </c:dLbl>
            <c:dLbl>
              <c:idx val="1"/>
              <c:layout>
                <c:manualLayout>
                  <c:x val="0"/>
                  <c:y val="0.21854058575760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2E1-4B38-8076-09702702734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détaillé'!$E$1053,'Tableau détaillé'!$E$1058)</c:f>
              <c:numCache>
                <c:formatCode>0%</c:formatCode>
                <c:ptCount val="2"/>
                <c:pt idx="0">
                  <c:v>0.74817810414364083</c:v>
                </c:pt>
                <c:pt idx="1">
                  <c:v>0.61341394317172404</c:v>
                </c:pt>
              </c:numCache>
            </c:numRef>
          </c:val>
          <c:extLst>
            <c:ext xmlns:c16="http://schemas.microsoft.com/office/drawing/2014/chart" uri="{C3380CC4-5D6E-409C-BE32-E72D297353CC}">
              <c16:uniqueId val="{00000003-B2E1-4B38-8076-09702702734F}"/>
            </c:ext>
          </c:extLst>
        </c:ser>
        <c:ser>
          <c:idx val="1"/>
          <c:order val="1"/>
          <c:tx>
            <c:v>M</c:v>
          </c:tx>
          <c:spPr>
            <a:solidFill>
              <a:srgbClr val="FF0000"/>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05-B2E1-4B38-8076-09702702734F}"/>
              </c:ext>
            </c:extLst>
          </c:dPt>
          <c:dLbls>
            <c:dLbl>
              <c:idx val="0"/>
              <c:layout>
                <c:manualLayout>
                  <c:x val="0"/>
                  <c:y val="0.129340346672866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E1-4B38-8076-09702702734F}"/>
                </c:ext>
              </c:extLst>
            </c:dLbl>
            <c:dLbl>
              <c:idx val="1"/>
              <c:layout>
                <c:manualLayout>
                  <c:x val="-1.0583651258853249E-16"/>
                  <c:y val="0.285440765071153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2E1-4B38-8076-09702702734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détaillé'!$D$622,'Tableau détaillé'!$D$627)</c:f>
              <c:strCache>
                <c:ptCount val="2"/>
                <c:pt idx="0">
                  <c:v>Total AFO</c:v>
                </c:pt>
                <c:pt idx="1">
                  <c:v>Total AFCE</c:v>
                </c:pt>
              </c:strCache>
            </c:strRef>
          </c:cat>
          <c:val>
            <c:numRef>
              <c:f>('Tableau détaillé'!$G$1053,'Tableau détaillé'!$G$1058)</c:f>
              <c:numCache>
                <c:formatCode>0%</c:formatCode>
                <c:ptCount val="2"/>
                <c:pt idx="0">
                  <c:v>0.73729073045913374</c:v>
                </c:pt>
                <c:pt idx="1">
                  <c:v>0.59541602385367765</c:v>
                </c:pt>
              </c:numCache>
            </c:numRef>
          </c:val>
          <c:extLst>
            <c:ext xmlns:c16="http://schemas.microsoft.com/office/drawing/2014/chart" uri="{C3380CC4-5D6E-409C-BE32-E72D297353CC}">
              <c16:uniqueId val="{00000007-B2E1-4B38-8076-09702702734F}"/>
            </c:ext>
          </c:extLst>
        </c:ser>
        <c:dLbls>
          <c:showLegendKey val="0"/>
          <c:showVal val="0"/>
          <c:showCatName val="0"/>
          <c:showSerName val="0"/>
          <c:showPercent val="0"/>
          <c:showBubbleSize val="0"/>
        </c:dLbls>
        <c:gapWidth val="150"/>
        <c:axId val="690684584"/>
        <c:axId val="690686152"/>
      </c:barChart>
      <c:catAx>
        <c:axId val="690684584"/>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90686152"/>
        <c:crosses val="autoZero"/>
        <c:auto val="1"/>
        <c:lblAlgn val="ctr"/>
        <c:lblOffset val="100"/>
        <c:noMultiLvlLbl val="0"/>
      </c:catAx>
      <c:valAx>
        <c:axId val="6906861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690684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200" b="1"/>
              <a:t>EQUIPEMENT PPO AFS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6.75643046499214E-2"/>
          <c:y val="9.0773338141212245E-2"/>
          <c:w val="0.91624160584721182"/>
          <c:h val="0.53897199034918475"/>
        </c:manualLayout>
      </c:layout>
      <c:barChart>
        <c:barDir val="col"/>
        <c:grouping val="clustered"/>
        <c:varyColors val="0"/>
        <c:ser>
          <c:idx val="0"/>
          <c:order val="0"/>
          <c:tx>
            <c:strRef>
              <c:f>'Equipement PPO'!$D$3</c:f>
              <c:strCache>
                <c:ptCount val="1"/>
                <c:pt idx="0">
                  <c:v>2022</c:v>
                </c:pt>
              </c:strCache>
            </c:strRef>
          </c:tx>
          <c:spPr>
            <a:solidFill>
              <a:schemeClr val="bg2">
                <a:lumMod val="90000"/>
              </a:scheme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1-FFA8-4FDC-A137-C5E92F7AB550}"/>
              </c:ext>
            </c:extLst>
          </c:dPt>
          <c:dPt>
            <c:idx val="8"/>
            <c:invertIfNegative val="0"/>
            <c:bubble3D val="0"/>
            <c:spPr>
              <a:solidFill>
                <a:srgbClr val="FFA7A7"/>
              </a:solidFill>
              <a:ln>
                <a:noFill/>
              </a:ln>
              <a:effectLst/>
            </c:spPr>
            <c:extLst>
              <c:ext xmlns:c16="http://schemas.microsoft.com/office/drawing/2014/chart" uri="{C3380CC4-5D6E-409C-BE32-E72D297353CC}">
                <c16:uniqueId val="{00000003-FFA8-4FDC-A137-C5E92F7AB550}"/>
              </c:ext>
            </c:extLst>
          </c:dPt>
          <c:dPt>
            <c:idx val="9"/>
            <c:invertIfNegative val="0"/>
            <c:bubble3D val="0"/>
            <c:spPr>
              <a:solidFill>
                <a:srgbClr val="FFA7A7"/>
              </a:solidFill>
              <a:ln>
                <a:noFill/>
              </a:ln>
              <a:effectLst/>
            </c:spPr>
            <c:extLst>
              <c:ext xmlns:c16="http://schemas.microsoft.com/office/drawing/2014/chart" uri="{C3380CC4-5D6E-409C-BE32-E72D297353CC}">
                <c16:uniqueId val="{00000005-FFA8-4FDC-A137-C5E92F7AB550}"/>
              </c:ext>
            </c:extLst>
          </c:dPt>
          <c:dPt>
            <c:idx val="10"/>
            <c:invertIfNegative val="0"/>
            <c:bubble3D val="0"/>
            <c:spPr>
              <a:solidFill>
                <a:srgbClr val="FFA7A7"/>
              </a:solidFill>
              <a:ln>
                <a:noFill/>
              </a:ln>
              <a:effectLst/>
            </c:spPr>
            <c:extLst>
              <c:ext xmlns:c16="http://schemas.microsoft.com/office/drawing/2014/chart" uri="{C3380CC4-5D6E-409C-BE32-E72D297353CC}">
                <c16:uniqueId val="{00000007-FFA8-4FDC-A137-C5E92F7AB550}"/>
              </c:ext>
            </c:extLst>
          </c:dPt>
          <c:dLbls>
            <c:dLbl>
              <c:idx val="10"/>
              <c:layout>
                <c:manualLayout>
                  <c:x val="-2.364273041888588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A8-4FDC-A137-C5E92F7AB5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'Equipement PPO'!$C$4:$C$14</c:f>
              <c:strCache>
                <c:ptCount val="11"/>
                <c:pt idx="0">
                  <c:v>BENIN</c:v>
                </c:pt>
                <c:pt idx="1">
                  <c:v>BURKINA FASO</c:v>
                </c:pt>
                <c:pt idx="2">
                  <c:v>COTE D'IVOIRE</c:v>
                </c:pt>
                <c:pt idx="3">
                  <c:v>GHANA</c:v>
                </c:pt>
                <c:pt idx="4">
                  <c:v>GUINEE</c:v>
                </c:pt>
                <c:pt idx="5">
                  <c:v>MAURITANIE</c:v>
                </c:pt>
                <c:pt idx="6">
                  <c:v>SENEGAL</c:v>
                </c:pt>
                <c:pt idx="7">
                  <c:v>CAMEROUN</c:v>
                </c:pt>
                <c:pt idx="8">
                  <c:v>TCHAD</c:v>
                </c:pt>
                <c:pt idx="9">
                  <c:v>CONGO</c:v>
                </c:pt>
                <c:pt idx="10">
                  <c:v>MADAGASCAR</c:v>
                </c:pt>
              </c:strCache>
            </c:strRef>
          </c:cat>
          <c:val>
            <c:numRef>
              <c:f>'Equipement PPO'!$D$4:$D$14</c:f>
              <c:numCache>
                <c:formatCode>0%</c:formatCode>
                <c:ptCount val="11"/>
                <c:pt idx="0">
                  <c:v>0.46899841017400001</c:v>
                </c:pt>
                <c:pt idx="1">
                  <c:v>0.69268098359399999</c:v>
                </c:pt>
                <c:pt idx="2">
                  <c:v>0.33495289422800001</c:v>
                </c:pt>
                <c:pt idx="3">
                  <c:v>0.47940082477500001</c:v>
                </c:pt>
                <c:pt idx="4">
                  <c:v>0.52248499152500005</c:v>
                </c:pt>
                <c:pt idx="5">
                  <c:v>0.65955088468300005</c:v>
                </c:pt>
                <c:pt idx="6">
                  <c:v>0.39935878691600002</c:v>
                </c:pt>
                <c:pt idx="7">
                  <c:v>0.354651439771</c:v>
                </c:pt>
                <c:pt idx="8">
                  <c:v>0.421598381385</c:v>
                </c:pt>
                <c:pt idx="9">
                  <c:v>0.158070297719</c:v>
                </c:pt>
                <c:pt idx="10">
                  <c:v>0.539242459442</c:v>
                </c:pt>
              </c:numCache>
            </c:numRef>
          </c:val>
          <c:extLst>
            <c:ext xmlns:c16="http://schemas.microsoft.com/office/drawing/2014/chart" uri="{C3380CC4-5D6E-409C-BE32-E72D297353CC}">
              <c16:uniqueId val="{00000008-FFA8-4FDC-A137-C5E92F7AB550}"/>
            </c:ext>
          </c:extLst>
        </c:ser>
        <c:ser>
          <c:idx val="1"/>
          <c:order val="1"/>
          <c:tx>
            <c:strRef>
              <c:f>'Equipement PPO'!$E$3</c:f>
              <c:strCache>
                <c:ptCount val="1"/>
                <c:pt idx="0">
                  <c:v>2023</c:v>
                </c:pt>
              </c:strCache>
            </c:strRef>
          </c:tx>
          <c:spPr>
            <a:solidFill>
              <a:schemeClr val="tx1"/>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A-FFA8-4FDC-A137-C5E92F7AB550}"/>
              </c:ext>
            </c:extLst>
          </c:dPt>
          <c:dPt>
            <c:idx val="8"/>
            <c:invertIfNegative val="0"/>
            <c:bubble3D val="0"/>
            <c:spPr>
              <a:solidFill>
                <a:srgbClr val="FF0000"/>
              </a:solidFill>
              <a:ln>
                <a:noFill/>
              </a:ln>
              <a:effectLst/>
            </c:spPr>
            <c:extLst>
              <c:ext xmlns:c16="http://schemas.microsoft.com/office/drawing/2014/chart" uri="{C3380CC4-5D6E-409C-BE32-E72D297353CC}">
                <c16:uniqueId val="{0000000C-FFA8-4FDC-A137-C5E92F7AB550}"/>
              </c:ext>
            </c:extLst>
          </c:dPt>
          <c:dPt>
            <c:idx val="9"/>
            <c:invertIfNegative val="0"/>
            <c:bubble3D val="0"/>
            <c:spPr>
              <a:solidFill>
                <a:srgbClr val="FF0000"/>
              </a:solidFill>
              <a:ln>
                <a:noFill/>
              </a:ln>
              <a:effectLst/>
            </c:spPr>
            <c:extLst>
              <c:ext xmlns:c16="http://schemas.microsoft.com/office/drawing/2014/chart" uri="{C3380CC4-5D6E-409C-BE32-E72D297353CC}">
                <c16:uniqueId val="{0000000E-FFA8-4FDC-A137-C5E92F7AB550}"/>
              </c:ext>
            </c:extLst>
          </c:dPt>
          <c:dPt>
            <c:idx val="10"/>
            <c:invertIfNegative val="0"/>
            <c:bubble3D val="0"/>
            <c:spPr>
              <a:solidFill>
                <a:srgbClr val="FF0000"/>
              </a:solidFill>
              <a:ln>
                <a:noFill/>
              </a:ln>
              <a:effectLst/>
            </c:spPr>
            <c:extLst>
              <c:ext xmlns:c16="http://schemas.microsoft.com/office/drawing/2014/chart" uri="{C3380CC4-5D6E-409C-BE32-E72D297353CC}">
                <c16:uniqueId val="{00000010-FFA8-4FDC-A137-C5E92F7AB550}"/>
              </c:ext>
            </c:extLst>
          </c:dPt>
          <c:dLbls>
            <c:dLbl>
              <c:idx val="0"/>
              <c:layout>
                <c:manualLayout>
                  <c:x val="1.4064697609001406E-2"/>
                  <c:y val="-3.8531150793503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FA8-4FDC-A137-C5E92F7AB550}"/>
                </c:ext>
              </c:extLst>
            </c:dLbl>
            <c:dLbl>
              <c:idx val="1"/>
              <c:layout>
                <c:manualLayout>
                  <c:x val="4.502254333311196E-2"/>
                  <c:y val="8.310251120084436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FA8-4FDC-A137-C5E92F7AB550}"/>
                </c:ext>
              </c:extLst>
            </c:dLbl>
            <c:dLbl>
              <c:idx val="2"/>
              <c:layout>
                <c:manualLayout>
                  <c:x val="2.109704641350210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FA8-4FDC-A137-C5E92F7AB550}"/>
                </c:ext>
              </c:extLst>
            </c:dLbl>
            <c:dLbl>
              <c:idx val="3"/>
              <c:layout>
                <c:manualLayout>
                  <c:x val="2.3441162681669011E-2"/>
                  <c:y val="-3.8531150793503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FA8-4FDC-A137-C5E92F7AB550}"/>
                </c:ext>
              </c:extLst>
            </c:dLbl>
            <c:dLbl>
              <c:idx val="5"/>
              <c:layout>
                <c:manualLayout>
                  <c:x val="2.1097046413502109E-2"/>
                  <c:y val="4.20344682639764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FA8-4FDC-A137-C5E92F7AB550}"/>
                </c:ext>
              </c:extLst>
            </c:dLbl>
            <c:dLbl>
              <c:idx val="6"/>
              <c:layout>
                <c:manualLayout>
                  <c:x val="3.0105182747678837E-2"/>
                  <c:y val="4.15512556004218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FA8-4FDC-A137-C5E92F7AB550}"/>
                </c:ext>
              </c:extLst>
            </c:dLbl>
            <c:dLbl>
              <c:idx val="7"/>
              <c:layout>
                <c:manualLayout>
                  <c:x val="1.6408813877168308E-2"/>
                  <c:y val="-3.8531150793503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FA8-4FDC-A137-C5E92F7AB550}"/>
                </c:ext>
              </c:extLst>
            </c:dLbl>
            <c:dLbl>
              <c:idx val="8"/>
              <c:layout>
                <c:manualLayout>
                  <c:x val="2.3441162681669011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FA8-4FDC-A137-C5E92F7AB550}"/>
                </c:ext>
              </c:extLst>
            </c:dLbl>
            <c:dLbl>
              <c:idx val="9"/>
              <c:layout>
                <c:manualLayout>
                  <c:x val="1.4064697609001234E-2"/>
                  <c:y val="4.20344682639756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FA8-4FDC-A137-C5E92F7AB550}"/>
                </c:ext>
              </c:extLst>
            </c:dLbl>
            <c:dLbl>
              <c:idx val="10"/>
              <c:layout>
                <c:manualLayout>
                  <c:x val="1.4064697609001406E-2"/>
                  <c:y val="-3.853115079350313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FA8-4FDC-A137-C5E92F7AB5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'Equipement PPO'!$C$4:$C$14</c:f>
              <c:strCache>
                <c:ptCount val="11"/>
                <c:pt idx="0">
                  <c:v>BENIN</c:v>
                </c:pt>
                <c:pt idx="1">
                  <c:v>BURKINA FASO</c:v>
                </c:pt>
                <c:pt idx="2">
                  <c:v>COTE D'IVOIRE</c:v>
                </c:pt>
                <c:pt idx="3">
                  <c:v>GHANA</c:v>
                </c:pt>
                <c:pt idx="4">
                  <c:v>GUINEE</c:v>
                </c:pt>
                <c:pt idx="5">
                  <c:v>MAURITANIE</c:v>
                </c:pt>
                <c:pt idx="6">
                  <c:v>SENEGAL</c:v>
                </c:pt>
                <c:pt idx="7">
                  <c:v>CAMEROUN</c:v>
                </c:pt>
                <c:pt idx="8">
                  <c:v>TCHAD</c:v>
                </c:pt>
                <c:pt idx="9">
                  <c:v>CONGO</c:v>
                </c:pt>
                <c:pt idx="10">
                  <c:v>MADAGASCAR</c:v>
                </c:pt>
              </c:strCache>
            </c:strRef>
          </c:cat>
          <c:val>
            <c:numRef>
              <c:f>'Equipement PPO'!$E$4:$E$14</c:f>
              <c:numCache>
                <c:formatCode>0%</c:formatCode>
                <c:ptCount val="11"/>
                <c:pt idx="0">
                  <c:v>0.41467205470899998</c:v>
                </c:pt>
                <c:pt idx="1">
                  <c:v>0.674347360309</c:v>
                </c:pt>
                <c:pt idx="2">
                  <c:v>0.34018856692900001</c:v>
                </c:pt>
                <c:pt idx="3">
                  <c:v>0.49132666692100002</c:v>
                </c:pt>
                <c:pt idx="4">
                  <c:v>0.497690475809</c:v>
                </c:pt>
                <c:pt idx="5">
                  <c:v>0.66708410761799997</c:v>
                </c:pt>
                <c:pt idx="6">
                  <c:v>0.394182219587</c:v>
                </c:pt>
                <c:pt idx="7">
                  <c:v>0.40114791181300002</c:v>
                </c:pt>
                <c:pt idx="8">
                  <c:v>0.41529672053</c:v>
                </c:pt>
                <c:pt idx="9">
                  <c:v>0.16239653133599999</c:v>
                </c:pt>
                <c:pt idx="10">
                  <c:v>0.54793417915300002</c:v>
                </c:pt>
              </c:numCache>
            </c:numRef>
          </c:val>
          <c:extLst>
            <c:ext xmlns:c16="http://schemas.microsoft.com/office/drawing/2014/chart" uri="{C3380CC4-5D6E-409C-BE32-E72D297353CC}">
              <c16:uniqueId val="{00000017-FFA8-4FDC-A137-C5E92F7AB550}"/>
            </c:ext>
          </c:extLst>
        </c:ser>
        <c:dLbls>
          <c:dLblPos val="outEnd"/>
          <c:showLegendKey val="0"/>
          <c:showVal val="1"/>
          <c:showCatName val="0"/>
          <c:showSerName val="0"/>
          <c:showPercent val="0"/>
          <c:showBubbleSize val="0"/>
        </c:dLbls>
        <c:gapWidth val="182"/>
        <c:axId val="1846745439"/>
        <c:axId val="1846746271"/>
      </c:barChart>
      <c:catAx>
        <c:axId val="184674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700" b="0" i="0" u="none" strike="noStrike" kern="1200" baseline="0">
                <a:solidFill>
                  <a:schemeClr val="tx1">
                    <a:lumMod val="65000"/>
                    <a:lumOff val="35000"/>
                  </a:schemeClr>
                </a:solidFill>
                <a:latin typeface="+mn-lt"/>
                <a:ea typeface="+mn-ea"/>
                <a:cs typeface="+mn-cs"/>
              </a:defRPr>
            </a:pPr>
            <a:endParaRPr lang="fr-FR"/>
          </a:p>
        </c:txPr>
        <c:crossAx val="1846746271"/>
        <c:crosses val="autoZero"/>
        <c:auto val="1"/>
        <c:lblAlgn val="ctr"/>
        <c:lblOffset val="100"/>
        <c:noMultiLvlLbl val="0"/>
      </c:catAx>
      <c:valAx>
        <c:axId val="18467462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84674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fr-FR" sz="1200" b="1"/>
              <a:t>EQUIPEMENT</a:t>
            </a:r>
            <a:r>
              <a:rPr lang="fr-FR" sz="1200" b="1" baseline="0"/>
              <a:t> </a:t>
            </a:r>
            <a:r>
              <a:rPr lang="fr-FR" sz="1200" b="1"/>
              <a:t>PPO PAR REGION</a:t>
            </a:r>
          </a:p>
        </c:rich>
      </c:tx>
      <c:layout>
        <c:manualLayout>
          <c:xMode val="edge"/>
          <c:yMode val="edge"/>
          <c:x val="0.45175455104319573"/>
          <c:y val="3.110152034190448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'Equipement PPO'!$E$23</c:f>
              <c:strCache>
                <c:ptCount val="1"/>
                <c:pt idx="0">
                  <c:v>2022</c:v>
                </c:pt>
              </c:strCache>
            </c:strRef>
          </c:tx>
          <c:spPr>
            <a:solidFill>
              <a:schemeClr val="tx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870E-4220-92C3-8CCA5EB262FA}"/>
              </c:ext>
            </c:extLst>
          </c:dPt>
          <c:dPt>
            <c:idx val="1"/>
            <c:invertIfNegative val="0"/>
            <c:bubble3D val="0"/>
            <c:spPr>
              <a:solidFill>
                <a:schemeClr val="tx1"/>
              </a:solidFill>
              <a:ln>
                <a:noFill/>
              </a:ln>
              <a:effectLst/>
            </c:spPr>
            <c:extLst>
              <c:ext xmlns:c16="http://schemas.microsoft.com/office/drawing/2014/chart" uri="{C3380CC4-5D6E-409C-BE32-E72D297353CC}">
                <c16:uniqueId val="{00000003-870E-4220-92C3-8CCA5EB262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'Equipement PPO'!$D$24:$D$25</c:f>
              <c:strCache>
                <c:ptCount val="2"/>
                <c:pt idx="0">
                  <c:v>Total AFO</c:v>
                </c:pt>
                <c:pt idx="1">
                  <c:v>Total AFCE</c:v>
                </c:pt>
              </c:strCache>
            </c:strRef>
          </c:cat>
          <c:val>
            <c:numRef>
              <c:f>'Equipement PPO'!$E$24:$E$25</c:f>
              <c:numCache>
                <c:formatCode>0%</c:formatCode>
                <c:ptCount val="2"/>
                <c:pt idx="0">
                  <c:v>0.42676461703899998</c:v>
                </c:pt>
                <c:pt idx="1">
                  <c:v>0.45487271290499998</c:v>
                </c:pt>
              </c:numCache>
            </c:numRef>
          </c:val>
          <c:extLst>
            <c:ext xmlns:c16="http://schemas.microsoft.com/office/drawing/2014/chart" uri="{C3380CC4-5D6E-409C-BE32-E72D297353CC}">
              <c16:uniqueId val="{00000004-870E-4220-92C3-8CCA5EB262FA}"/>
            </c:ext>
          </c:extLst>
        </c:ser>
        <c:ser>
          <c:idx val="1"/>
          <c:order val="1"/>
          <c:tx>
            <c:strRef>
              <c:f>'Equipement PPO'!$F$23</c:f>
              <c:strCache>
                <c:ptCount val="1"/>
                <c:pt idx="0">
                  <c:v>2023</c:v>
                </c:pt>
              </c:strCache>
            </c:strRef>
          </c:tx>
          <c:spPr>
            <a:solidFill>
              <a:srgbClr val="FF0000"/>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6-870E-4220-92C3-8CCA5EB262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'Equipement PPO'!$D$24:$D$25</c:f>
              <c:strCache>
                <c:ptCount val="2"/>
                <c:pt idx="0">
                  <c:v>Total AFO</c:v>
                </c:pt>
                <c:pt idx="1">
                  <c:v>Total AFCE</c:v>
                </c:pt>
              </c:strCache>
            </c:strRef>
          </c:cat>
          <c:val>
            <c:numRef>
              <c:f>'Equipement PPO'!$F$24:$F$25</c:f>
              <c:numCache>
                <c:formatCode>0%</c:formatCode>
                <c:ptCount val="2"/>
                <c:pt idx="0">
                  <c:v>0.43386643857700002</c:v>
                </c:pt>
                <c:pt idx="1">
                  <c:v>0.48359501330100002</c:v>
                </c:pt>
              </c:numCache>
            </c:numRef>
          </c:val>
          <c:extLst>
            <c:ext xmlns:c16="http://schemas.microsoft.com/office/drawing/2014/chart" uri="{C3380CC4-5D6E-409C-BE32-E72D297353CC}">
              <c16:uniqueId val="{00000007-870E-4220-92C3-8CCA5EB262FA}"/>
            </c:ext>
          </c:extLst>
        </c:ser>
        <c:dLbls>
          <c:dLblPos val="ctr"/>
          <c:showLegendKey val="0"/>
          <c:showVal val="1"/>
          <c:showCatName val="0"/>
          <c:showSerName val="0"/>
          <c:showPercent val="0"/>
          <c:showBubbleSize val="0"/>
        </c:dLbls>
        <c:gapWidth val="182"/>
        <c:axId val="31905151"/>
        <c:axId val="31907647"/>
      </c:barChart>
      <c:catAx>
        <c:axId val="31905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1907647"/>
        <c:crosses val="autoZero"/>
        <c:auto val="1"/>
        <c:lblAlgn val="ctr"/>
        <c:lblOffset val="100"/>
        <c:noMultiLvlLbl val="0"/>
      </c:catAx>
      <c:valAx>
        <c:axId val="31907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190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200" b="1">
                <a:latin typeface="Arial Narrow" panose="020B0606020202030204" pitchFamily="34" charset="0"/>
              </a:rPr>
              <a:t>Production</a:t>
            </a:r>
            <a:r>
              <a:rPr lang="fr-FR" sz="1200" b="1" baseline="0">
                <a:latin typeface="Arial Narrow" panose="020B0606020202030204" pitchFamily="34" charset="0"/>
              </a:rPr>
              <a:t> PPO AFS (en  K euros</a:t>
            </a:r>
            <a:r>
              <a:rPr lang="fr-FR" baseline="0"/>
              <a:t>)</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2865069991251094"/>
          <c:y val="0.17171296296296298"/>
          <c:w val="0.83523818897637792"/>
          <c:h val="0.61498432487605714"/>
        </c:manualLayout>
      </c:layout>
      <c:lineChart>
        <c:grouping val="standard"/>
        <c:varyColors val="0"/>
        <c:ser>
          <c:idx val="0"/>
          <c:order val="0"/>
          <c:tx>
            <c:strRef>
              <c:f>'PPO AFS'!$E$6</c:f>
              <c:strCache>
                <c:ptCount val="1"/>
                <c:pt idx="0">
                  <c:v>PPO 2022</c:v>
                </c:pt>
              </c:strCache>
            </c:strRef>
          </c:tx>
          <c:spPr>
            <a:ln w="28575" cap="rnd">
              <a:solidFill>
                <a:sysClr val="windowText" lastClr="000000"/>
              </a:solidFill>
              <a:round/>
            </a:ln>
            <a:effectLst/>
          </c:spPr>
          <c:marker>
            <c:symbol val="circle"/>
            <c:size val="5"/>
            <c:spPr>
              <a:solidFill>
                <a:schemeClr val="accent1"/>
              </a:solidFill>
              <a:ln w="9525">
                <a:solidFill>
                  <a:sysClr val="windowText" lastClr="000000"/>
                </a:solidFill>
              </a:ln>
              <a:effectLst/>
            </c:spPr>
          </c:marker>
          <c:dLbls>
            <c:dLbl>
              <c:idx val="0"/>
              <c:layout>
                <c:manualLayout>
                  <c:x val="-7.2041776027996524E-2"/>
                  <c:y val="4.8645742198891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D54-4633-A42E-BA47505EF070}"/>
                </c:ext>
              </c:extLst>
            </c:dLbl>
            <c:dLbl>
              <c:idx val="1"/>
              <c:layout>
                <c:manualLayout>
                  <c:x val="-2.4819553805774278E-2"/>
                  <c:y val="6.7164260717410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54-4633-A42E-BA47505EF070}"/>
                </c:ext>
              </c:extLst>
            </c:dLbl>
            <c:dLbl>
              <c:idx val="2"/>
              <c:layout>
                <c:manualLayout>
                  <c:x val="-5.8152887139107712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D54-4633-A42E-BA47505EF070}"/>
                </c:ext>
              </c:extLst>
            </c:dLbl>
            <c:dLbl>
              <c:idx val="4"/>
              <c:layout>
                <c:manualLayout>
                  <c:x val="-2.4819553805774379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54-4633-A42E-BA47505EF0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'PPO AFS'!$D$7:$D$18</c:f>
              <c:strCache>
                <c:ptCount val="12"/>
                <c:pt idx="0">
                  <c:v>JANVIER</c:v>
                </c:pt>
                <c:pt idx="1">
                  <c:v>FEVRIER</c:v>
                </c:pt>
                <c:pt idx="2">
                  <c:v>MARS</c:v>
                </c:pt>
                <c:pt idx="3">
                  <c:v>AVRIL</c:v>
                </c:pt>
                <c:pt idx="4">
                  <c:v>MAI</c:v>
                </c:pt>
                <c:pt idx="5">
                  <c:v>JUIN</c:v>
                </c:pt>
                <c:pt idx="6">
                  <c:v>JUILLET</c:v>
                </c:pt>
                <c:pt idx="7">
                  <c:v>AOUT</c:v>
                </c:pt>
                <c:pt idx="8">
                  <c:v>SEPTEMBRE</c:v>
                </c:pt>
                <c:pt idx="9">
                  <c:v>OCTOBRE</c:v>
                </c:pt>
                <c:pt idx="10">
                  <c:v>NOVEMBRE</c:v>
                </c:pt>
                <c:pt idx="11">
                  <c:v>DECEMBRE</c:v>
                </c:pt>
              </c:strCache>
            </c:strRef>
          </c:cat>
          <c:val>
            <c:numRef>
              <c:f>'PPO AFS'!$E$7:$E$18</c:f>
              <c:numCache>
                <c:formatCode>_-* #\ ##0_-;\-* #\ ##0_-;_-* "-"??_-;_-@_-</c:formatCode>
                <c:ptCount val="12"/>
                <c:pt idx="0">
                  <c:v>61850</c:v>
                </c:pt>
                <c:pt idx="1">
                  <c:v>75738.040429999994</c:v>
                </c:pt>
                <c:pt idx="2">
                  <c:v>99435.941099999996</c:v>
                </c:pt>
                <c:pt idx="3">
                  <c:v>89159.802899999995</c:v>
                </c:pt>
                <c:pt idx="4" formatCode="_-* #\ ##0\ _€_-;\-* #\ ##0\ _€_-;_-* &quot;-&quot;??\ _€_-;_-@_-">
                  <c:v>90021.372499999998</c:v>
                </c:pt>
                <c:pt idx="5" formatCode="_-* #\ ##0\ _€_-;\-* #\ ##0\ _€_-;_-* &quot;-&quot;??\ _€_-;_-@_-">
                  <c:v>96931.777039999986</c:v>
                </c:pt>
                <c:pt idx="6" formatCode="_-* #\ ##0\ _€_-;\-* #\ ##0\ _€_-;_-* &quot;-&quot;??\ _€_-;_-@_-">
                  <c:v>101432.53883999999</c:v>
                </c:pt>
                <c:pt idx="7" formatCode="_-* #\ ##0\ _€_-;\-* #\ ##0\ _€_-;_-* &quot;-&quot;??\ _€_-;_-@_-">
                  <c:v>112004.43498999999</c:v>
                </c:pt>
                <c:pt idx="8" formatCode="_-* #\ ##0\ _€_-;\-* #\ ##0\ _€_-;_-* &quot;-&quot;??\ _€_-;_-@_-">
                  <c:v>106272.24017999999</c:v>
                </c:pt>
                <c:pt idx="9" formatCode="_-* #\ ##0\ _€_-;\-* #\ ##0\ _€_-;_-* &quot;-&quot;??\ _€_-;_-@_-">
                  <c:v>96073.015880000006</c:v>
                </c:pt>
                <c:pt idx="10" formatCode="_-* #\ ##0\ _€_-;\-* #\ ##0\ _€_-;_-* &quot;-&quot;??\ _€_-;_-@_-">
                  <c:v>86918.096799999999</c:v>
                </c:pt>
                <c:pt idx="11" formatCode="_-* #\ ##0\ _€_-;\-* #\ ##0\ _€_-;_-* &quot;-&quot;??\ _€_-;_-@_-">
                  <c:v>70329.41936</c:v>
                </c:pt>
              </c:numCache>
            </c:numRef>
          </c:val>
          <c:smooth val="0"/>
          <c:extLst>
            <c:ext xmlns:c16="http://schemas.microsoft.com/office/drawing/2014/chart" uri="{C3380CC4-5D6E-409C-BE32-E72D297353CC}">
              <c16:uniqueId val="{00000004-9D54-4633-A42E-BA47505EF070}"/>
            </c:ext>
          </c:extLst>
        </c:ser>
        <c:ser>
          <c:idx val="1"/>
          <c:order val="1"/>
          <c:tx>
            <c:strRef>
              <c:f>'PPO AFS'!$F$6</c:f>
              <c:strCache>
                <c:ptCount val="1"/>
                <c:pt idx="0">
                  <c:v>PPO 2023</c:v>
                </c:pt>
              </c:strCache>
            </c:strRef>
          </c:tx>
          <c:spPr>
            <a:ln w="28575" cap="rnd">
              <a:solidFill>
                <a:schemeClr val="accent2"/>
              </a:solidFill>
              <a:round/>
            </a:ln>
            <a:effectLst/>
          </c:spPr>
          <c:marker>
            <c:symbol val="circle"/>
            <c:size val="5"/>
            <c:spPr>
              <a:solidFill>
                <a:srgbClr val="FF0000"/>
              </a:solidFill>
              <a:ln w="9525">
                <a:solidFill>
                  <a:schemeClr val="accent2"/>
                </a:solidFill>
              </a:ln>
              <a:effectLst/>
            </c:spPr>
          </c:marker>
          <c:dPt>
            <c:idx val="1"/>
            <c:marker>
              <c:symbol val="circle"/>
              <c:size val="5"/>
              <c:spPr>
                <a:solidFill>
                  <a:srgbClr val="FF0000"/>
                </a:solidFill>
                <a:ln w="9525">
                  <a:solidFill>
                    <a:srgbClr val="FF0000"/>
                  </a:solidFill>
                </a:ln>
                <a:effectLst/>
              </c:spPr>
            </c:marker>
            <c:bubble3D val="0"/>
            <c:spPr>
              <a:ln w="28575" cap="rnd">
                <a:solidFill>
                  <a:srgbClr val="FF0000"/>
                </a:solidFill>
                <a:round/>
              </a:ln>
              <a:effectLst/>
            </c:spPr>
            <c:extLst>
              <c:ext xmlns:c16="http://schemas.microsoft.com/office/drawing/2014/chart" uri="{C3380CC4-5D6E-409C-BE32-E72D297353CC}">
                <c16:uniqueId val="{00000006-9D54-4633-A42E-BA47505EF070}"/>
              </c:ext>
            </c:extLst>
          </c:dPt>
          <c:dPt>
            <c:idx val="2"/>
            <c:marker>
              <c:symbol val="circle"/>
              <c:size val="5"/>
              <c:spPr>
                <a:solidFill>
                  <a:srgbClr val="FF0000"/>
                </a:solidFill>
                <a:ln w="9525">
                  <a:solidFill>
                    <a:srgbClr val="FF0000"/>
                  </a:solidFill>
                </a:ln>
                <a:effectLst/>
              </c:spPr>
            </c:marker>
            <c:bubble3D val="0"/>
            <c:spPr>
              <a:ln w="28575" cap="rnd">
                <a:solidFill>
                  <a:srgbClr val="FF0000"/>
                </a:solidFill>
                <a:round/>
              </a:ln>
              <a:effectLst/>
            </c:spPr>
            <c:extLst>
              <c:ext xmlns:c16="http://schemas.microsoft.com/office/drawing/2014/chart" uri="{C3380CC4-5D6E-409C-BE32-E72D297353CC}">
                <c16:uniqueId val="{00000008-9D54-4633-A42E-BA47505EF070}"/>
              </c:ext>
            </c:extLst>
          </c:dPt>
          <c:dPt>
            <c:idx val="3"/>
            <c:marker>
              <c:symbol val="circle"/>
              <c:size val="5"/>
              <c:spPr>
                <a:solidFill>
                  <a:srgbClr val="FF0000"/>
                </a:solidFill>
                <a:ln w="9525">
                  <a:solidFill>
                    <a:srgbClr val="FF0000"/>
                  </a:solidFill>
                </a:ln>
                <a:effectLst/>
              </c:spPr>
            </c:marker>
            <c:bubble3D val="0"/>
            <c:spPr>
              <a:ln w="28575" cap="rnd">
                <a:solidFill>
                  <a:srgbClr val="FF0000"/>
                </a:solidFill>
                <a:round/>
              </a:ln>
              <a:effectLst/>
            </c:spPr>
            <c:extLst>
              <c:ext xmlns:c16="http://schemas.microsoft.com/office/drawing/2014/chart" uri="{C3380CC4-5D6E-409C-BE32-E72D297353CC}">
                <c16:uniqueId val="{0000000A-9D54-4633-A42E-BA47505EF070}"/>
              </c:ext>
            </c:extLst>
          </c:dPt>
          <c:dLbls>
            <c:dLbl>
              <c:idx val="1"/>
              <c:layout>
                <c:manualLayout>
                  <c:x val="-7.7597331583552059E-2"/>
                  <c:y val="-4.85764800233304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D54-4633-A42E-BA47505EF070}"/>
                </c:ext>
              </c:extLst>
            </c:dLbl>
            <c:dLbl>
              <c:idx val="2"/>
              <c:layout>
                <c:manualLayout>
                  <c:x val="-6.0930664916885389E-2"/>
                  <c:y val="4.8645742198891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D54-4633-A42E-BA47505EF070}"/>
                </c:ext>
              </c:extLst>
            </c:dLbl>
            <c:dLbl>
              <c:idx val="3"/>
              <c:layout>
                <c:manualLayout>
                  <c:x val="-4.9819553805774276E-2"/>
                  <c:y val="3.47568533100029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D54-4633-A42E-BA47505EF070}"/>
                </c:ext>
              </c:extLst>
            </c:dLbl>
            <c:dLbl>
              <c:idx val="4"/>
              <c:layout>
                <c:manualLayout>
                  <c:x val="-4.981955380577438E-2"/>
                  <c:y val="-6.7094998541848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D54-4633-A42E-BA47505EF070}"/>
                </c:ext>
              </c:extLst>
            </c:dLbl>
            <c:dLbl>
              <c:idx val="5"/>
              <c:layout>
                <c:manualLayout>
                  <c:x val="-3.5061679790026348E-2"/>
                  <c:y val="7.17938903470399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D54-4633-A42E-BA47505EF070}"/>
                </c:ext>
              </c:extLst>
            </c:dLbl>
            <c:dLbl>
              <c:idx val="6"/>
              <c:layout>
                <c:manualLayout>
                  <c:x val="-4.4562773403324686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D54-4633-A42E-BA47505EF070}"/>
                </c:ext>
              </c:extLst>
            </c:dLbl>
            <c:dLbl>
              <c:idx val="7"/>
              <c:layout>
                <c:manualLayout>
                  <c:x val="-4.4660761154855538E-2"/>
                  <c:y val="6.2534631087780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D54-4633-A42E-BA47505EF070}"/>
                </c:ext>
              </c:extLst>
            </c:dLbl>
            <c:dLbl>
              <c:idx val="8"/>
              <c:layout>
                <c:manualLayout>
                  <c:x val="-4.4039438252036676E-2"/>
                  <c:y val="9.0675972656293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D54-4633-A42E-BA47505EF070}"/>
                </c:ext>
              </c:extLst>
            </c:dLbl>
            <c:dLbl>
              <c:idx val="9"/>
              <c:layout>
                <c:manualLayout>
                  <c:x val="-1.1996454988580972E-2"/>
                  <c:y val="5.37984119446500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D54-4633-A42E-BA47505EF070}"/>
                </c:ext>
              </c:extLst>
            </c:dLbl>
            <c:dLbl>
              <c:idx val="10"/>
              <c:layout>
                <c:manualLayout>
                  <c:x val="-2.9807406229103516E-2"/>
                  <c:y val="6.7823657386445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D54-4633-A42E-BA47505EF070}"/>
                </c:ext>
              </c:extLst>
            </c:dLbl>
            <c:dLbl>
              <c:idx val="11"/>
              <c:layout>
                <c:manualLayout>
                  <c:x val="-3.2687917377331337E-2"/>
                  <c:y val="6.7823657386445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D54-4633-A42E-BA47505EF0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'PPO AFS'!$D$7:$D$18</c:f>
              <c:strCache>
                <c:ptCount val="12"/>
                <c:pt idx="0">
                  <c:v>JANVIER</c:v>
                </c:pt>
                <c:pt idx="1">
                  <c:v>FEVRIER</c:v>
                </c:pt>
                <c:pt idx="2">
                  <c:v>MARS</c:v>
                </c:pt>
                <c:pt idx="3">
                  <c:v>AVRIL</c:v>
                </c:pt>
                <c:pt idx="4">
                  <c:v>MAI</c:v>
                </c:pt>
                <c:pt idx="5">
                  <c:v>JUIN</c:v>
                </c:pt>
                <c:pt idx="6">
                  <c:v>JUILLET</c:v>
                </c:pt>
                <c:pt idx="7">
                  <c:v>AOUT</c:v>
                </c:pt>
                <c:pt idx="8">
                  <c:v>SEPTEMBRE</c:v>
                </c:pt>
                <c:pt idx="9">
                  <c:v>OCTOBRE</c:v>
                </c:pt>
                <c:pt idx="10">
                  <c:v>NOVEMBRE</c:v>
                </c:pt>
                <c:pt idx="11">
                  <c:v>DECEMBRE</c:v>
                </c:pt>
              </c:strCache>
            </c:strRef>
          </c:cat>
          <c:val>
            <c:numRef>
              <c:f>'PPO AFS'!$F$7:$F$18</c:f>
              <c:numCache>
                <c:formatCode>_-* #\ ##0_-;\-* #\ ##0_-;_-* "-"??_-;_-@_-</c:formatCode>
                <c:ptCount val="12"/>
                <c:pt idx="0">
                  <c:v>67275</c:v>
                </c:pt>
                <c:pt idx="1">
                  <c:v>77088.727920000005</c:v>
                </c:pt>
                <c:pt idx="2">
                  <c:v>96397.155650000001</c:v>
                </c:pt>
                <c:pt idx="3">
                  <c:v>79302.926080000005</c:v>
                </c:pt>
                <c:pt idx="4" formatCode="_-* #\ ##0\ _€_-;\-* #\ ##0\ _€_-;_-* &quot;-&quot;??\ _€_-;_-@_-">
                  <c:v>94224.593210000006</c:v>
                </c:pt>
                <c:pt idx="5" formatCode="_-* #\ ##0\ _€_-;\-* #\ ##0\ _€_-;_-* &quot;-&quot;??\ _€_-;_-@_-">
                  <c:v>94923.482520000005</c:v>
                </c:pt>
                <c:pt idx="6" formatCode="_-* #\ ##0\ _€_-;\-* #\ ##0\ _€_-;_-* &quot;-&quot;??\ _€_-;_-@_-">
                  <c:v>96537.993659999993</c:v>
                </c:pt>
                <c:pt idx="7" formatCode="_-* #\ ##0\ _€_-;\-* #\ ##0\ _€_-;_-* &quot;-&quot;??\ _€_-;_-@_-">
                  <c:v>107074.85936</c:v>
                </c:pt>
                <c:pt idx="8" formatCode="_-* #\ ##0\ _€_-;\-* #\ ##0\ _€_-;_-* &quot;-&quot;??\ _€_-;_-@_-">
                  <c:v>93382.828680000006</c:v>
                </c:pt>
                <c:pt idx="9" formatCode="_-* #\ ##0\ _€_-;\-* #\ ##0\ _€_-;_-* &quot;-&quot;??\ _€_-;_-@_-">
                  <c:v>93940.298590000006</c:v>
                </c:pt>
                <c:pt idx="10" formatCode="_-* #\ ##0\ _€_-;\-* #\ ##0\ _€_-;_-* &quot;-&quot;??\ _€_-;_-@_-">
                  <c:v>83480.09547</c:v>
                </c:pt>
                <c:pt idx="11" formatCode="_-* #\ ##0\ _€_-;\-* #\ ##0\ _€_-;_-* &quot;-&quot;??\ _€_-;_-@_-">
                  <c:v>68371.41833</c:v>
                </c:pt>
              </c:numCache>
            </c:numRef>
          </c:val>
          <c:smooth val="0"/>
          <c:extLst>
            <c:ext xmlns:c16="http://schemas.microsoft.com/office/drawing/2014/chart" uri="{C3380CC4-5D6E-409C-BE32-E72D297353CC}">
              <c16:uniqueId val="{00000013-9D54-4633-A42E-BA47505EF070}"/>
            </c:ext>
          </c:extLst>
        </c:ser>
        <c:dLbls>
          <c:dLblPos val="t"/>
          <c:showLegendKey val="0"/>
          <c:showVal val="1"/>
          <c:showCatName val="0"/>
          <c:showSerName val="0"/>
          <c:showPercent val="0"/>
          <c:showBubbleSize val="0"/>
        </c:dLbls>
        <c:marker val="1"/>
        <c:smooth val="0"/>
        <c:axId val="178531695"/>
        <c:axId val="178552079"/>
      </c:lineChart>
      <c:catAx>
        <c:axId val="17853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8552079"/>
        <c:crosses val="autoZero"/>
        <c:auto val="1"/>
        <c:lblAlgn val="ctr"/>
        <c:lblOffset val="100"/>
        <c:noMultiLvlLbl val="0"/>
      </c:catAx>
      <c:valAx>
        <c:axId val="178552079"/>
        <c:scaling>
          <c:orientation val="minMax"/>
        </c:scaling>
        <c:delete val="0"/>
        <c:axPos val="l"/>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8531695"/>
        <c:crosses val="autoZero"/>
        <c:crossBetween val="between"/>
      </c:valAx>
      <c:spPr>
        <a:noFill/>
        <a:ln>
          <a:noFill/>
        </a:ln>
        <a:effectLst/>
      </c:spPr>
    </c:plotArea>
    <c:legend>
      <c:legendPos val="b"/>
      <c:layout>
        <c:manualLayout>
          <c:xMode val="edge"/>
          <c:yMode val="edge"/>
          <c:x val="0.36636354799084458"/>
          <c:y val="0.91643236040095266"/>
          <c:w val="0.26727290401831083"/>
          <c:h val="5.55171487154568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200" b="1">
                <a:latin typeface="Arial Narrow" panose="020B0606020202030204" pitchFamily="34" charset="0"/>
              </a:rPr>
              <a:t>Evolution</a:t>
            </a:r>
            <a:r>
              <a:rPr lang="fr-FR" sz="1200" b="1" baseline="0">
                <a:latin typeface="Arial Narrow" panose="020B0606020202030204" pitchFamily="34" charset="0"/>
              </a:rPr>
              <a:t> du stocks Clients AFS</a:t>
            </a:r>
            <a:endParaRPr lang="fr-FR" sz="1200" b="1">
              <a:latin typeface="Arial Narrow" panose="020B0606020202030204" pitchFamily="34" charset="0"/>
            </a:endParaRPr>
          </a:p>
        </c:rich>
      </c:tx>
      <c:layout>
        <c:manualLayout>
          <c:xMode val="edge"/>
          <c:yMode val="edge"/>
          <c:x val="0.32393191886870715"/>
          <c:y val="3.24976787372330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percentStacked"/>
        <c:varyColors val="0"/>
        <c:ser>
          <c:idx val="0"/>
          <c:order val="0"/>
          <c:tx>
            <c:strRef>
              <c:f>'STOCK CLIENTS AFS'!$G$5</c:f>
              <c:strCache>
                <c:ptCount val="1"/>
                <c:pt idx="0">
                  <c:v>STOCKS CLIENTS</c:v>
                </c:pt>
              </c:strCache>
            </c:strRef>
          </c:tx>
          <c:spPr>
            <a:solidFill>
              <a:schemeClr val="bg2">
                <a:lumMod val="9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'STOCK CLIENTS AFS'!$F$6:$F$17</c:f>
              <c:strCache>
                <c:ptCount val="12"/>
                <c:pt idx="0">
                  <c:v>JANVIER</c:v>
                </c:pt>
                <c:pt idx="1">
                  <c:v>FEVRIER</c:v>
                </c:pt>
                <c:pt idx="2">
                  <c:v>MARS</c:v>
                </c:pt>
                <c:pt idx="3">
                  <c:v>AVRIL</c:v>
                </c:pt>
                <c:pt idx="4">
                  <c:v>MAI</c:v>
                </c:pt>
                <c:pt idx="5">
                  <c:v>JUIN</c:v>
                </c:pt>
                <c:pt idx="6">
                  <c:v>JUILLET</c:v>
                </c:pt>
                <c:pt idx="7">
                  <c:v>AOUT</c:v>
                </c:pt>
                <c:pt idx="8">
                  <c:v>SEPTEMBRE</c:v>
                </c:pt>
                <c:pt idx="9">
                  <c:v>OCTOBRE</c:v>
                </c:pt>
                <c:pt idx="10">
                  <c:v>NOVEMBRE</c:v>
                </c:pt>
                <c:pt idx="11">
                  <c:v>DECEMBRE</c:v>
                </c:pt>
              </c:strCache>
            </c:strRef>
          </c:cat>
          <c:val>
            <c:numRef>
              <c:f>'STOCK CLIENTS AFS'!$G$6:$G$17</c:f>
              <c:numCache>
                <c:formatCode>_-* #\ ##0_-;\-* #\ ##0_-;_-* "-"??_-;_-@_-</c:formatCode>
                <c:ptCount val="12"/>
                <c:pt idx="0">
                  <c:v>1983911</c:v>
                </c:pt>
                <c:pt idx="1">
                  <c:v>1993421</c:v>
                </c:pt>
                <c:pt idx="2">
                  <c:v>1991687</c:v>
                </c:pt>
                <c:pt idx="3">
                  <c:v>1997687</c:v>
                </c:pt>
                <c:pt idx="4" formatCode="_-* #\ ##0\ _€_-;\-* #\ ##0\ _€_-;_-* &quot;-&quot;??\ _€_-;_-@_-">
                  <c:v>2009043</c:v>
                </c:pt>
                <c:pt idx="5" formatCode="_-* #\ ##0\ _€_-;\-* #\ ##0\ _€_-;_-* &quot;-&quot;??\ _€_-;_-@_-">
                  <c:v>2015717</c:v>
                </c:pt>
                <c:pt idx="6" formatCode="_-* #\ ##0\ _€_-;\-* #\ ##0\ _€_-;_-* &quot;-&quot;??\ _€_-;_-@_-">
                  <c:v>2022600</c:v>
                </c:pt>
                <c:pt idx="7" formatCode="_-* #\ ##0\ _€_-;\-* #\ ##0\ _€_-;_-* &quot;-&quot;??\ _€_-;_-@_-">
                  <c:v>2021965</c:v>
                </c:pt>
                <c:pt idx="8" formatCode="_-* #\ ##0\ _€_-;\-* #\ ##0\ _€_-;_-* &quot;-&quot;??\ _€_-;_-@_-">
                  <c:v>2019331</c:v>
                </c:pt>
                <c:pt idx="9" formatCode="_-* #\ ##0\ _€_-;\-* #\ ##0\ _€_-;_-* &quot;-&quot;??\ _€_-;_-@_-">
                  <c:v>2020853</c:v>
                </c:pt>
                <c:pt idx="10" formatCode="_-* #\ ##0\ _€_-;\-* #\ ##0\ _€_-;_-* &quot;-&quot;??\ _€_-;_-@_-">
                  <c:v>2015981</c:v>
                </c:pt>
                <c:pt idx="11" formatCode="_-* #\ ##0\ _€_-;\-* #\ ##0\ _€_-;_-* &quot;-&quot;??\ _€_-;_-@_-">
                  <c:v>2002484</c:v>
                </c:pt>
              </c:numCache>
            </c:numRef>
          </c:val>
          <c:extLst>
            <c:ext xmlns:c16="http://schemas.microsoft.com/office/drawing/2014/chart" uri="{C3380CC4-5D6E-409C-BE32-E72D297353CC}">
              <c16:uniqueId val="{00000000-EA12-44E9-B369-F6925AC5B91A}"/>
            </c:ext>
          </c:extLst>
        </c:ser>
        <c:ser>
          <c:idx val="1"/>
          <c:order val="1"/>
          <c:tx>
            <c:strRef>
              <c:f>'STOCK CLIENTS AFS'!$H$5</c:f>
              <c:strCache>
                <c:ptCount val="1"/>
                <c:pt idx="0">
                  <c:v>STOCKS CLIENTS ACTIFS</c:v>
                </c:pt>
              </c:strCache>
            </c:strRef>
          </c:tx>
          <c:spPr>
            <a:solidFill>
              <a:schemeClr val="tx1"/>
            </a:solidFill>
            <a:ln>
              <a:noFill/>
            </a:ln>
            <a:effectLst/>
          </c:spPr>
          <c:invertIfNegative val="0"/>
          <c:dLbls>
            <c:dLbl>
              <c:idx val="0"/>
              <c:layout>
                <c:manualLayout>
                  <c:x val="6.6401062416998466E-3"/>
                  <c:y val="9.25925925925921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12-44E9-B369-F6925AC5B91A}"/>
                </c:ext>
              </c:extLst>
            </c:dLbl>
            <c:dLbl>
              <c:idx val="1"/>
              <c:layout>
                <c:manualLayout>
                  <c:x val="8.8534749889331559E-3"/>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A12-44E9-B369-F6925AC5B91A}"/>
                </c:ext>
              </c:extLst>
            </c:dLbl>
            <c:dLbl>
              <c:idx val="2"/>
              <c:layout>
                <c:manualLayout>
                  <c:x val="4.426737494466578E-3"/>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A12-44E9-B369-F6925AC5B91A}"/>
                </c:ext>
              </c:extLst>
            </c:dLbl>
            <c:dLbl>
              <c:idx val="3"/>
              <c:layout>
                <c:manualLayout>
                  <c:x val="6.6401062416997858E-3"/>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A12-44E9-B369-F6925AC5B91A}"/>
                </c:ext>
              </c:extLst>
            </c:dLbl>
            <c:numFmt formatCode="#,##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'STOCK CLIENTS AFS'!$F$6:$F$17</c:f>
              <c:strCache>
                <c:ptCount val="12"/>
                <c:pt idx="0">
                  <c:v>JANVIER</c:v>
                </c:pt>
                <c:pt idx="1">
                  <c:v>FEVRIER</c:v>
                </c:pt>
                <c:pt idx="2">
                  <c:v>MARS</c:v>
                </c:pt>
                <c:pt idx="3">
                  <c:v>AVRIL</c:v>
                </c:pt>
                <c:pt idx="4">
                  <c:v>MAI</c:v>
                </c:pt>
                <c:pt idx="5">
                  <c:v>JUIN</c:v>
                </c:pt>
                <c:pt idx="6">
                  <c:v>JUILLET</c:v>
                </c:pt>
                <c:pt idx="7">
                  <c:v>AOUT</c:v>
                </c:pt>
                <c:pt idx="8">
                  <c:v>SEPTEMBRE</c:v>
                </c:pt>
                <c:pt idx="9">
                  <c:v>OCTOBRE</c:v>
                </c:pt>
                <c:pt idx="10">
                  <c:v>NOVEMBRE</c:v>
                </c:pt>
                <c:pt idx="11">
                  <c:v>DECEMBRE</c:v>
                </c:pt>
              </c:strCache>
            </c:strRef>
          </c:cat>
          <c:val>
            <c:numRef>
              <c:f>'STOCK CLIENTS AFS'!$H$6:$H$17</c:f>
              <c:numCache>
                <c:formatCode>_-* #\ ##0_-;\-* #\ ##0_-;_-* "-"??_-;_-@_-</c:formatCode>
                <c:ptCount val="12"/>
                <c:pt idx="0">
                  <c:v>1296049</c:v>
                </c:pt>
                <c:pt idx="1">
                  <c:v>1309057</c:v>
                </c:pt>
                <c:pt idx="2">
                  <c:v>1313730</c:v>
                </c:pt>
                <c:pt idx="3">
                  <c:v>1314244</c:v>
                </c:pt>
                <c:pt idx="4" formatCode="_-* #\ ##0\ _€_-;\-* #\ ##0\ _€_-;_-* &quot;-&quot;??\ _€_-;_-@_-">
                  <c:v>1312738</c:v>
                </c:pt>
                <c:pt idx="5" formatCode="_-* #\ ##0\ _€_-;\-* #\ ##0\ _€_-;_-* &quot;-&quot;??\ _€_-;_-@_-">
                  <c:v>1320601</c:v>
                </c:pt>
                <c:pt idx="6" formatCode="_-* #\ ##0\ _€_-;\-* #\ ##0\ _€_-;_-* &quot;-&quot;??\ _€_-;_-@_-">
                  <c:v>1385766</c:v>
                </c:pt>
                <c:pt idx="7" formatCode="_-* #\ ##0\ _€_-;\-* #\ ##0\ _€_-;_-* &quot;-&quot;??\ _€_-;_-@_-">
                  <c:v>1394614</c:v>
                </c:pt>
                <c:pt idx="8" formatCode="_-* #\ ##0\ _€_-;\-* #\ ##0\ _€_-;_-* &quot;-&quot;??\ _€_-;_-@_-">
                  <c:v>1382033</c:v>
                </c:pt>
                <c:pt idx="9" formatCode="_-* #\ ##0\ _€_-;\-* #\ ##0\ _€_-;_-* &quot;-&quot;??\ _€_-;_-@_-">
                  <c:v>1321480</c:v>
                </c:pt>
                <c:pt idx="10" formatCode="_-* #\ ##0\ _€_-;\-* #\ ##0\ _€_-;_-* &quot;-&quot;??\ _€_-;_-@_-">
                  <c:v>1320808</c:v>
                </c:pt>
                <c:pt idx="11" formatCode="_-* #\ ##0\ _€_-;\-* #\ ##0\ _€_-;_-* &quot;-&quot;??\ _€_-;_-@_-">
                  <c:v>1317176</c:v>
                </c:pt>
              </c:numCache>
            </c:numRef>
          </c:val>
          <c:extLst>
            <c:ext xmlns:c16="http://schemas.microsoft.com/office/drawing/2014/chart" uri="{C3380CC4-5D6E-409C-BE32-E72D297353CC}">
              <c16:uniqueId val="{00000005-EA12-44E9-B369-F6925AC5B91A}"/>
            </c:ext>
          </c:extLst>
        </c:ser>
        <c:dLbls>
          <c:showLegendKey val="0"/>
          <c:showVal val="1"/>
          <c:showCatName val="0"/>
          <c:showSerName val="0"/>
          <c:showPercent val="0"/>
          <c:showBubbleSize val="0"/>
        </c:dLbls>
        <c:gapWidth val="219"/>
        <c:overlap val="100"/>
        <c:axId val="1762019951"/>
        <c:axId val="1762020367"/>
      </c:barChart>
      <c:catAx>
        <c:axId val="1762019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62020367"/>
        <c:crosses val="autoZero"/>
        <c:auto val="1"/>
        <c:lblAlgn val="ctr"/>
        <c:lblOffset val="100"/>
        <c:noMultiLvlLbl val="0"/>
      </c:catAx>
      <c:valAx>
        <c:axId val="176202036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62019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b="1"/>
              <a:t>Evolution du taux d'attrition sur les CAV par région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0"/>
          <c:order val="0"/>
          <c:tx>
            <c:strRef>
              <c:f>'Tableau détaillé'!$F$364</c:f>
              <c:strCache>
                <c:ptCount val="1"/>
                <c:pt idx="0">
                  <c:v>31/01/2019</c:v>
                </c:pt>
              </c:strCache>
            </c:strRef>
          </c:tx>
          <c:spPr>
            <a:solidFill>
              <a:schemeClr val="accent1"/>
            </a:solidFill>
            <a:ln>
              <a:noFill/>
            </a:ln>
            <a:effectLst/>
          </c:spPr>
          <c:invertIfNegative val="0"/>
          <c:cat>
            <c:strRef>
              <c:f>('Tableau détaillé'!$D$373,'Tableau détaillé'!$D$378)</c:f>
              <c:strCache>
                <c:ptCount val="2"/>
                <c:pt idx="0">
                  <c:v>Total AFO</c:v>
                </c:pt>
                <c:pt idx="1">
                  <c:v>Total AFCE</c:v>
                </c:pt>
              </c:strCache>
            </c:strRef>
          </c:cat>
          <c:val>
            <c:numRef>
              <c:f>('Tableau détaillé'!$F$373,'Tableau détaillé'!$F$378)</c:f>
              <c:numCache>
                <c:formatCode>0%</c:formatCode>
                <c:ptCount val="2"/>
                <c:pt idx="0">
                  <c:v>0.296875</c:v>
                </c:pt>
                <c:pt idx="1">
                  <c:v>0.13879093198992443</c:v>
                </c:pt>
              </c:numCache>
            </c:numRef>
          </c:val>
          <c:extLst>
            <c:ext xmlns:c16="http://schemas.microsoft.com/office/drawing/2014/chart" uri="{C3380CC4-5D6E-409C-BE32-E72D297353CC}">
              <c16:uniqueId val="{00000000-379A-438C-8FCD-0D8307E1FA96}"/>
            </c:ext>
          </c:extLst>
        </c:ser>
        <c:ser>
          <c:idx val="1"/>
          <c:order val="1"/>
          <c:tx>
            <c:strRef>
              <c:f>'Tableau détaillé'!$G$364</c:f>
              <c:strCache>
                <c:ptCount val="1"/>
                <c:pt idx="0">
                  <c:v>30/09/2019</c:v>
                </c:pt>
              </c:strCache>
            </c:strRef>
          </c:tx>
          <c:spPr>
            <a:solidFill>
              <a:schemeClr val="accent2"/>
            </a:solidFill>
            <a:ln>
              <a:noFill/>
            </a:ln>
            <a:effectLst/>
          </c:spPr>
          <c:invertIfNegative val="0"/>
          <c:cat>
            <c:strRef>
              <c:f>('Tableau détaillé'!$D$373,'Tableau détaillé'!$D$378)</c:f>
              <c:strCache>
                <c:ptCount val="2"/>
                <c:pt idx="0">
                  <c:v>Total AFO</c:v>
                </c:pt>
                <c:pt idx="1">
                  <c:v>Total AFCE</c:v>
                </c:pt>
              </c:strCache>
            </c:strRef>
          </c:cat>
          <c:val>
            <c:numRef>
              <c:f>('Tableau détaillé'!$G$373,'Tableau détaillé'!$G$378)</c:f>
              <c:numCache>
                <c:formatCode>0%</c:formatCode>
                <c:ptCount val="2"/>
                <c:pt idx="0">
                  <c:v>0.26002719238613187</c:v>
                </c:pt>
                <c:pt idx="1">
                  <c:v>0.14119832791453785</c:v>
                </c:pt>
              </c:numCache>
            </c:numRef>
          </c:val>
          <c:extLst>
            <c:ext xmlns:c16="http://schemas.microsoft.com/office/drawing/2014/chart" uri="{C3380CC4-5D6E-409C-BE32-E72D297353CC}">
              <c16:uniqueId val="{00000001-379A-438C-8FCD-0D8307E1FA96}"/>
            </c:ext>
          </c:extLst>
        </c:ser>
        <c:ser>
          <c:idx val="2"/>
          <c:order val="2"/>
          <c:tx>
            <c:strRef>
              <c:f>'Tableau détaillé'!$H$364</c:f>
              <c:strCache>
                <c:ptCount val="1"/>
                <c:pt idx="0">
                  <c:v>30/09/2019</c:v>
                </c:pt>
              </c:strCache>
            </c:strRef>
          </c:tx>
          <c:spPr>
            <a:solidFill>
              <a:schemeClr val="accent3"/>
            </a:solidFill>
            <a:ln>
              <a:noFill/>
            </a:ln>
            <a:effectLst/>
          </c:spPr>
          <c:invertIfNegative val="0"/>
          <c:cat>
            <c:strRef>
              <c:f>('Tableau détaillé'!$D$373,'Tableau détaillé'!$D$378)</c:f>
              <c:strCache>
                <c:ptCount val="2"/>
                <c:pt idx="0">
                  <c:v>Total AFO</c:v>
                </c:pt>
                <c:pt idx="1">
                  <c:v>Total AFCE</c:v>
                </c:pt>
              </c:strCache>
            </c:strRef>
          </c:cat>
          <c:val>
            <c:numRef>
              <c:f>('Tableau détaillé'!$H$373,'Tableau détaillé'!$H$378)</c:f>
              <c:numCache>
                <c:formatCode>0%</c:formatCode>
                <c:ptCount val="2"/>
                <c:pt idx="0">
                  <c:v>0.27281834372217273</c:v>
                </c:pt>
                <c:pt idx="1">
                  <c:v>0.1614719485220189</c:v>
                </c:pt>
              </c:numCache>
            </c:numRef>
          </c:val>
          <c:extLst>
            <c:ext xmlns:c16="http://schemas.microsoft.com/office/drawing/2014/chart" uri="{C3380CC4-5D6E-409C-BE32-E72D297353CC}">
              <c16:uniqueId val="{00000002-379A-438C-8FCD-0D8307E1FA96}"/>
            </c:ext>
          </c:extLst>
        </c:ser>
        <c:dLbls>
          <c:showLegendKey val="0"/>
          <c:showVal val="0"/>
          <c:showCatName val="0"/>
          <c:showSerName val="0"/>
          <c:showPercent val="0"/>
          <c:showBubbleSize val="0"/>
        </c:dLbls>
        <c:gapWidth val="219"/>
        <c:overlap val="-27"/>
        <c:axId val="969156064"/>
        <c:axId val="969164296"/>
      </c:barChart>
      <c:catAx>
        <c:axId val="96915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64296"/>
        <c:crosses val="autoZero"/>
        <c:auto val="1"/>
        <c:lblAlgn val="ctr"/>
        <c:lblOffset val="100"/>
        <c:noMultiLvlLbl val="0"/>
      </c:catAx>
      <c:valAx>
        <c:axId val="969164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6064"/>
        <c:crosses val="autoZero"/>
        <c:crossBetween val="between"/>
      </c:valAx>
      <c:spPr>
        <a:noFill/>
        <a:ln>
          <a:noFill/>
        </a:ln>
        <a:effectLst/>
      </c:spPr>
    </c:plotArea>
    <c:legend>
      <c:legendPos val="b"/>
      <c:layout>
        <c:manualLayout>
          <c:xMode val="edge"/>
          <c:yMode val="edge"/>
          <c:x val="0.24609779266665663"/>
          <c:y val="0.89203718973409096"/>
          <c:w val="0.52021928143256668"/>
          <c:h val="8.1728245021199394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b="1"/>
              <a:t>Evolution du taux d'attrition sur les CAV AFS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0"/>
          <c:order val="0"/>
          <c:tx>
            <c:strRef>
              <c:f>'Tableau détaillé'!$F$364</c:f>
              <c:strCache>
                <c:ptCount val="1"/>
                <c:pt idx="0">
                  <c:v>31/01/2019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détaillé'!$F$365</c:f>
              <c:numCache>
                <c:formatCode>0%</c:formatCode>
                <c:ptCount val="1"/>
                <c:pt idx="0">
                  <c:v>0.24735679343537953</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0-203C-498B-B145-A9407A2D3EE3}"/>
            </c:ext>
          </c:extLst>
        </c:ser>
        <c:ser>
          <c:idx val="1"/>
          <c:order val="1"/>
          <c:tx>
            <c:strRef>
              <c:f>'Tableau détaillé'!$G$364</c:f>
              <c:strCache>
                <c:ptCount val="1"/>
                <c:pt idx="0">
                  <c:v>30/09/2019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détaillé'!$G$365</c:f>
              <c:numCache>
                <c:formatCode>0%</c:formatCode>
                <c:ptCount val="1"/>
                <c:pt idx="0">
                  <c:v>0.22106305208650626</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1-203C-498B-B145-A9407A2D3EE3}"/>
            </c:ext>
          </c:extLst>
        </c:ser>
        <c:ser>
          <c:idx val="2"/>
          <c:order val="2"/>
          <c:tx>
            <c:strRef>
              <c:f>'Tableau détaillé'!$H$364</c:f>
              <c:strCache>
                <c:ptCount val="1"/>
                <c:pt idx="0">
                  <c:v>30/09/2019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détaillé'!$H$365</c:f>
              <c:numCache>
                <c:formatCode>0%</c:formatCode>
                <c:ptCount val="1"/>
                <c:pt idx="0">
                  <c:v>0.23314465859425379</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2-203C-498B-B145-A9407A2D3EE3}"/>
            </c:ext>
          </c:extLst>
        </c:ser>
        <c:dLbls>
          <c:showLegendKey val="0"/>
          <c:showVal val="0"/>
          <c:showCatName val="0"/>
          <c:showSerName val="0"/>
          <c:showPercent val="0"/>
          <c:showBubbleSize val="0"/>
        </c:dLbls>
        <c:gapWidth val="219"/>
        <c:overlap val="-27"/>
        <c:axId val="969163120"/>
        <c:axId val="969166648"/>
      </c:barChart>
      <c:catAx>
        <c:axId val="96916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66648"/>
        <c:crosses val="autoZero"/>
        <c:auto val="1"/>
        <c:lblAlgn val="ctr"/>
        <c:lblOffset val="100"/>
        <c:noMultiLvlLbl val="0"/>
      </c:catAx>
      <c:valAx>
        <c:axId val="969166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63120"/>
        <c:crosses val="autoZero"/>
        <c:crossBetween val="between"/>
      </c:valAx>
      <c:spPr>
        <a:noFill/>
        <a:ln>
          <a:noFill/>
        </a:ln>
        <a:effectLst/>
      </c:spPr>
    </c:plotArea>
    <c:legend>
      <c:legendPos val="b"/>
      <c:layout>
        <c:manualLayout>
          <c:xMode val="edge"/>
          <c:yMode val="edge"/>
          <c:x val="0.24609779266665663"/>
          <c:y val="0.89203718973409096"/>
          <c:w val="0.52021928143256668"/>
          <c:h val="8.1728245021199394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par région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4962792494967431"/>
          <c:w val="0.91811982262009828"/>
          <c:h val="0.64097649511354926"/>
        </c:manualLayout>
      </c:layout>
      <c:barChart>
        <c:barDir val="col"/>
        <c:grouping val="clustered"/>
        <c:varyColors val="0"/>
        <c:ser>
          <c:idx val="0"/>
          <c:order val="0"/>
          <c:tx>
            <c:strRef>
              <c:f>'Tableau détaillé'!$F$364</c:f>
              <c:strCache>
                <c:ptCount val="1"/>
                <c:pt idx="0">
                  <c:v>31/01/2019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détaillé'!$F$409,'Tableau détaillé'!$F$414)</c:f>
            </c:numRef>
          </c:val>
          <c:extLst>
            <c:ext xmlns:c16="http://schemas.microsoft.com/office/drawing/2014/chart" uri="{C3380CC4-5D6E-409C-BE32-E72D297353CC}">
              <c16:uniqueId val="{00000000-A6F9-410A-9DCD-43ADEE2BA2F0}"/>
            </c:ext>
          </c:extLst>
        </c:ser>
        <c:ser>
          <c:idx val="1"/>
          <c:order val="1"/>
          <c:tx>
            <c:strRef>
              <c:f>'Tableau détaillé'!$G$364</c:f>
              <c:strCache>
                <c:ptCount val="1"/>
                <c:pt idx="0">
                  <c:v>30/09/2019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détaillé'!$G$409,'Tableau détaillé'!$G$414)</c:f>
            </c:numRef>
          </c:val>
          <c:extLst>
            <c:ext xmlns:c16="http://schemas.microsoft.com/office/drawing/2014/chart" uri="{C3380CC4-5D6E-409C-BE32-E72D297353CC}">
              <c16:uniqueId val="{00000001-A6F9-410A-9DCD-43ADEE2BA2F0}"/>
            </c:ext>
          </c:extLst>
        </c:ser>
        <c:ser>
          <c:idx val="2"/>
          <c:order val="2"/>
          <c:tx>
            <c:strRef>
              <c:f>'Tableau détaillé'!$H$364</c:f>
              <c:strCache>
                <c:ptCount val="1"/>
                <c:pt idx="0">
                  <c:v>30/09/2019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détaillé'!$H$409,'Tableau détaillé'!$H$414)</c:f>
            </c:numRef>
          </c:val>
          <c:extLst>
            <c:ext xmlns:c16="http://schemas.microsoft.com/office/drawing/2014/chart" uri="{C3380CC4-5D6E-409C-BE32-E72D297353CC}">
              <c16:uniqueId val="{00000002-A6F9-410A-9DCD-43ADEE2BA2F0}"/>
            </c:ext>
          </c:extLst>
        </c:ser>
        <c:dLbls>
          <c:showLegendKey val="0"/>
          <c:showVal val="0"/>
          <c:showCatName val="0"/>
          <c:showSerName val="0"/>
          <c:showPercent val="0"/>
          <c:showBubbleSize val="0"/>
        </c:dLbls>
        <c:gapWidth val="219"/>
        <c:overlap val="-27"/>
        <c:axId val="969157240"/>
        <c:axId val="969159592"/>
      </c:barChart>
      <c:catAx>
        <c:axId val="969157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9592"/>
        <c:crosses val="autoZero"/>
        <c:auto val="1"/>
        <c:lblAlgn val="ctr"/>
        <c:lblOffset val="100"/>
        <c:noMultiLvlLbl val="0"/>
      </c:catAx>
      <c:valAx>
        <c:axId val="9691595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7240"/>
        <c:crosses val="autoZero"/>
        <c:crossBetween val="between"/>
      </c:valAx>
      <c:spPr>
        <a:noFill/>
        <a:ln>
          <a:noFill/>
        </a:ln>
        <a:effectLst/>
      </c:spPr>
    </c:plotArea>
    <c:legend>
      <c:legendPos val="b"/>
      <c:layout>
        <c:manualLayout>
          <c:xMode val="edge"/>
          <c:yMode val="edge"/>
          <c:x val="0.24609779266665663"/>
          <c:y val="0.89203718973409096"/>
          <c:w val="0.52021928143256668"/>
          <c:h val="8.17282450211993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AFS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7.0008159079134255E-2"/>
          <c:y val="0.13143517187599521"/>
          <c:w val="0.92889860361678056"/>
          <c:h val="0.6591692731958142"/>
        </c:manualLayout>
      </c:layout>
      <c:barChart>
        <c:barDir val="col"/>
        <c:grouping val="clustered"/>
        <c:varyColors val="0"/>
        <c:ser>
          <c:idx val="0"/>
          <c:order val="0"/>
          <c:tx>
            <c:strRef>
              <c:f>'Tableau détaillé'!$F$364</c:f>
              <c:strCache>
                <c:ptCount val="1"/>
                <c:pt idx="0">
                  <c:v>31/01/2019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détaillé'!$F$401</c:f>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0-20BB-46FC-9F5F-D48AE576F39E}"/>
            </c:ext>
          </c:extLst>
        </c:ser>
        <c:ser>
          <c:idx val="1"/>
          <c:order val="1"/>
          <c:tx>
            <c:strRef>
              <c:f>'Tableau détaillé'!$G$364</c:f>
              <c:strCache>
                <c:ptCount val="1"/>
                <c:pt idx="0">
                  <c:v>30/09/2019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détaillé'!$G$401</c:f>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1-20BB-46FC-9F5F-D48AE576F39E}"/>
            </c:ext>
          </c:extLst>
        </c:ser>
        <c:ser>
          <c:idx val="2"/>
          <c:order val="2"/>
          <c:tx>
            <c:strRef>
              <c:f>'Tableau détaillé'!$H$364</c:f>
              <c:strCache>
                <c:ptCount val="1"/>
                <c:pt idx="0">
                  <c:v>30/09/2019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détaillé'!$H$401</c:f>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2-20BB-46FC-9F5F-D48AE576F39E}"/>
            </c:ext>
          </c:extLst>
        </c:ser>
        <c:dLbls>
          <c:showLegendKey val="0"/>
          <c:showVal val="0"/>
          <c:showCatName val="0"/>
          <c:showSerName val="0"/>
          <c:showPercent val="0"/>
          <c:showBubbleSize val="0"/>
        </c:dLbls>
        <c:gapWidth val="219"/>
        <c:overlap val="-27"/>
        <c:axId val="969162728"/>
        <c:axId val="969166256"/>
      </c:barChart>
      <c:catAx>
        <c:axId val="969162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66256"/>
        <c:crosses val="autoZero"/>
        <c:auto val="1"/>
        <c:lblAlgn val="ctr"/>
        <c:lblOffset val="100"/>
        <c:noMultiLvlLbl val="0"/>
      </c:catAx>
      <c:valAx>
        <c:axId val="9691662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62728"/>
        <c:crosses val="autoZero"/>
        <c:crossBetween val="between"/>
      </c:valAx>
      <c:spPr>
        <a:noFill/>
        <a:ln>
          <a:noFill/>
        </a:ln>
        <a:effectLst/>
      </c:spPr>
    </c:plotArea>
    <c:legend>
      <c:legendPos val="b"/>
      <c:layout>
        <c:manualLayout>
          <c:xMode val="edge"/>
          <c:yMode val="edge"/>
          <c:x val="0.2608213878604303"/>
          <c:y val="0.89203718973409096"/>
          <c:w val="0.52980037233041921"/>
          <c:h val="8.17282450211993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b="1"/>
              <a:t>Evolution du taux d'attrition sur les CAV par région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0"/>
          <c:order val="0"/>
          <c:tx>
            <c:strRef>
              <c:f>'Tableau détaillé'!$F$364</c:f>
              <c:strCache>
                <c:ptCount val="1"/>
                <c:pt idx="0">
                  <c:v>31/01/2019</c:v>
                </c:pt>
              </c:strCache>
            </c:strRef>
          </c:tx>
          <c:spPr>
            <a:solidFill>
              <a:schemeClr val="accent1"/>
            </a:solidFill>
            <a:ln>
              <a:noFill/>
            </a:ln>
            <a:effectLst/>
          </c:spPr>
          <c:invertIfNegative val="0"/>
          <c:cat>
            <c:strRef>
              <c:f>('Tableau détaillé'!$D$373,'Tableau détaillé'!$D$378)</c:f>
              <c:strCache>
                <c:ptCount val="2"/>
                <c:pt idx="0">
                  <c:v>Total AFO</c:v>
                </c:pt>
                <c:pt idx="1">
                  <c:v>Total AFCE</c:v>
                </c:pt>
              </c:strCache>
            </c:strRef>
          </c:cat>
          <c:val>
            <c:numRef>
              <c:f>('Tableau détaillé'!$F$373,'Tableau détaillé'!$F$378)</c:f>
              <c:numCache>
                <c:formatCode>0%</c:formatCode>
                <c:ptCount val="2"/>
                <c:pt idx="0">
                  <c:v>0.296875</c:v>
                </c:pt>
                <c:pt idx="1">
                  <c:v>0.13879093198992443</c:v>
                </c:pt>
              </c:numCache>
            </c:numRef>
          </c:val>
          <c:extLst>
            <c:ext xmlns:c16="http://schemas.microsoft.com/office/drawing/2014/chart" uri="{C3380CC4-5D6E-409C-BE32-E72D297353CC}">
              <c16:uniqueId val="{00000000-0D9A-45E8-B09E-73DF7969803A}"/>
            </c:ext>
          </c:extLst>
        </c:ser>
        <c:ser>
          <c:idx val="1"/>
          <c:order val="1"/>
          <c:tx>
            <c:strRef>
              <c:f>'Tableau détaillé'!$G$364</c:f>
              <c:strCache>
                <c:ptCount val="1"/>
                <c:pt idx="0">
                  <c:v>30/09/2019</c:v>
                </c:pt>
              </c:strCache>
            </c:strRef>
          </c:tx>
          <c:spPr>
            <a:solidFill>
              <a:schemeClr val="accent2"/>
            </a:solidFill>
            <a:ln>
              <a:noFill/>
            </a:ln>
            <a:effectLst/>
          </c:spPr>
          <c:invertIfNegative val="0"/>
          <c:cat>
            <c:strRef>
              <c:f>('Tableau détaillé'!$D$373,'Tableau détaillé'!$D$378)</c:f>
              <c:strCache>
                <c:ptCount val="2"/>
                <c:pt idx="0">
                  <c:v>Total AFO</c:v>
                </c:pt>
                <c:pt idx="1">
                  <c:v>Total AFCE</c:v>
                </c:pt>
              </c:strCache>
            </c:strRef>
          </c:cat>
          <c:val>
            <c:numRef>
              <c:f>('Tableau détaillé'!$G$373,'Tableau détaillé'!$G$378)</c:f>
              <c:numCache>
                <c:formatCode>0%</c:formatCode>
                <c:ptCount val="2"/>
                <c:pt idx="0">
                  <c:v>0.26002719238613187</c:v>
                </c:pt>
                <c:pt idx="1">
                  <c:v>0.14119832791453785</c:v>
                </c:pt>
              </c:numCache>
            </c:numRef>
          </c:val>
          <c:extLst>
            <c:ext xmlns:c16="http://schemas.microsoft.com/office/drawing/2014/chart" uri="{C3380CC4-5D6E-409C-BE32-E72D297353CC}">
              <c16:uniqueId val="{00000001-0D9A-45E8-B09E-73DF7969803A}"/>
            </c:ext>
          </c:extLst>
        </c:ser>
        <c:ser>
          <c:idx val="2"/>
          <c:order val="2"/>
          <c:tx>
            <c:strRef>
              <c:f>'Tableau détaillé'!$H$364</c:f>
              <c:strCache>
                <c:ptCount val="1"/>
                <c:pt idx="0">
                  <c:v>30/09/2019</c:v>
                </c:pt>
              </c:strCache>
            </c:strRef>
          </c:tx>
          <c:spPr>
            <a:solidFill>
              <a:schemeClr val="accent3"/>
            </a:solidFill>
            <a:ln>
              <a:noFill/>
            </a:ln>
            <a:effectLst/>
          </c:spPr>
          <c:invertIfNegative val="0"/>
          <c:cat>
            <c:strRef>
              <c:f>('Tableau détaillé'!$D$373,'Tableau détaillé'!$D$378)</c:f>
              <c:strCache>
                <c:ptCount val="2"/>
                <c:pt idx="0">
                  <c:v>Total AFO</c:v>
                </c:pt>
                <c:pt idx="1">
                  <c:v>Total AFCE</c:v>
                </c:pt>
              </c:strCache>
            </c:strRef>
          </c:cat>
          <c:val>
            <c:numRef>
              <c:f>('Tableau détaillé'!$H$373,'Tableau détaillé'!$H$378)</c:f>
              <c:numCache>
                <c:formatCode>0%</c:formatCode>
                <c:ptCount val="2"/>
                <c:pt idx="0">
                  <c:v>0.27281834372217273</c:v>
                </c:pt>
                <c:pt idx="1">
                  <c:v>0.1614719485220189</c:v>
                </c:pt>
              </c:numCache>
            </c:numRef>
          </c:val>
          <c:extLst>
            <c:ext xmlns:c16="http://schemas.microsoft.com/office/drawing/2014/chart" uri="{C3380CC4-5D6E-409C-BE32-E72D297353CC}">
              <c16:uniqueId val="{00000002-0D9A-45E8-B09E-73DF7969803A}"/>
            </c:ext>
          </c:extLst>
        </c:ser>
        <c:dLbls>
          <c:showLegendKey val="0"/>
          <c:showVal val="0"/>
          <c:showCatName val="0"/>
          <c:showSerName val="0"/>
          <c:showPercent val="0"/>
          <c:showBubbleSize val="0"/>
        </c:dLbls>
        <c:gapWidth val="219"/>
        <c:overlap val="-27"/>
        <c:axId val="969159984"/>
        <c:axId val="969163512"/>
      </c:barChart>
      <c:catAx>
        <c:axId val="96915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63512"/>
        <c:crosses val="autoZero"/>
        <c:auto val="1"/>
        <c:lblAlgn val="ctr"/>
        <c:lblOffset val="100"/>
        <c:noMultiLvlLbl val="0"/>
      </c:catAx>
      <c:valAx>
        <c:axId val="9691635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9984"/>
        <c:crosses val="autoZero"/>
        <c:crossBetween val="between"/>
      </c:valAx>
      <c:spPr>
        <a:noFill/>
        <a:ln>
          <a:noFill/>
        </a:ln>
        <a:effectLst/>
      </c:spPr>
    </c:plotArea>
    <c:legend>
      <c:legendPos val="b"/>
      <c:layout>
        <c:manualLayout>
          <c:xMode val="edge"/>
          <c:yMode val="edge"/>
          <c:x val="0.24609779266665663"/>
          <c:y val="0.89203718973409096"/>
          <c:w val="0.52021928143256668"/>
          <c:h val="8.1728245021199394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b="1"/>
              <a:t>Evolution du taux d'attrition sur les CAV AFS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0"/>
          <c:order val="0"/>
          <c:tx>
            <c:strRef>
              <c:f>'Tableau détaillé'!$F$364</c:f>
              <c:strCache>
                <c:ptCount val="1"/>
                <c:pt idx="0">
                  <c:v>31/01/2019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détaillé'!$F$365</c:f>
              <c:numCache>
                <c:formatCode>0%</c:formatCode>
                <c:ptCount val="1"/>
                <c:pt idx="0">
                  <c:v>0.24735679343537953</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0-BD87-445C-9139-D5B1B505FFA4}"/>
            </c:ext>
          </c:extLst>
        </c:ser>
        <c:ser>
          <c:idx val="1"/>
          <c:order val="1"/>
          <c:tx>
            <c:strRef>
              <c:f>'Tableau détaillé'!$G$364</c:f>
              <c:strCache>
                <c:ptCount val="1"/>
                <c:pt idx="0">
                  <c:v>30/09/2019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détaillé'!$G$365</c:f>
              <c:numCache>
                <c:formatCode>0%</c:formatCode>
                <c:ptCount val="1"/>
                <c:pt idx="0">
                  <c:v>0.22106305208650626</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1-BD87-445C-9139-D5B1B505FFA4}"/>
            </c:ext>
          </c:extLst>
        </c:ser>
        <c:ser>
          <c:idx val="2"/>
          <c:order val="2"/>
          <c:tx>
            <c:strRef>
              <c:f>'Tableau détaillé'!$H$364</c:f>
              <c:strCache>
                <c:ptCount val="1"/>
                <c:pt idx="0">
                  <c:v>30/09/2019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détaillé'!$H$365</c:f>
              <c:numCache>
                <c:formatCode>0%</c:formatCode>
                <c:ptCount val="1"/>
                <c:pt idx="0">
                  <c:v>0.23314465859425379</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2-BD87-445C-9139-D5B1B505FFA4}"/>
            </c:ext>
          </c:extLst>
        </c:ser>
        <c:dLbls>
          <c:showLegendKey val="0"/>
          <c:showVal val="0"/>
          <c:showCatName val="0"/>
          <c:showSerName val="0"/>
          <c:showPercent val="0"/>
          <c:showBubbleSize val="0"/>
        </c:dLbls>
        <c:gapWidth val="219"/>
        <c:overlap val="-27"/>
        <c:axId val="969167040"/>
        <c:axId val="969159200"/>
      </c:barChart>
      <c:catAx>
        <c:axId val="96916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9200"/>
        <c:crosses val="autoZero"/>
        <c:auto val="1"/>
        <c:lblAlgn val="ctr"/>
        <c:lblOffset val="100"/>
        <c:noMultiLvlLbl val="0"/>
      </c:catAx>
      <c:valAx>
        <c:axId val="969159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67040"/>
        <c:crosses val="autoZero"/>
        <c:crossBetween val="between"/>
      </c:valAx>
      <c:spPr>
        <a:noFill/>
        <a:ln>
          <a:noFill/>
        </a:ln>
        <a:effectLst/>
      </c:spPr>
    </c:plotArea>
    <c:legend>
      <c:legendPos val="b"/>
      <c:layout>
        <c:manualLayout>
          <c:xMode val="edge"/>
          <c:yMode val="edge"/>
          <c:x val="0.24609779266665663"/>
          <c:y val="0.89203718973409096"/>
          <c:w val="0.52021928143256668"/>
          <c:h val="8.1728245021199394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par région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4962792494967431"/>
          <c:w val="0.91811982262009828"/>
          <c:h val="0.64097649511354926"/>
        </c:manualLayout>
      </c:layout>
      <c:barChart>
        <c:barDir val="col"/>
        <c:grouping val="clustered"/>
        <c:varyColors val="0"/>
        <c:ser>
          <c:idx val="0"/>
          <c:order val="0"/>
          <c:tx>
            <c:strRef>
              <c:f>'Tableau détaillé'!$F$364</c:f>
              <c:strCache>
                <c:ptCount val="1"/>
                <c:pt idx="0">
                  <c:v>31/01/2019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détaillé'!$F$409,'Tableau détaillé'!$F$414)</c:f>
            </c:numRef>
          </c:val>
          <c:extLst>
            <c:ext xmlns:c16="http://schemas.microsoft.com/office/drawing/2014/chart" uri="{C3380CC4-5D6E-409C-BE32-E72D297353CC}">
              <c16:uniqueId val="{00000000-5B6F-4E14-8CB0-E8D0861559D6}"/>
            </c:ext>
          </c:extLst>
        </c:ser>
        <c:ser>
          <c:idx val="1"/>
          <c:order val="1"/>
          <c:tx>
            <c:strRef>
              <c:f>'Tableau détaillé'!$G$364</c:f>
              <c:strCache>
                <c:ptCount val="1"/>
                <c:pt idx="0">
                  <c:v>30/09/2019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détaillé'!$G$409,'Tableau détaillé'!$G$414)</c:f>
            </c:numRef>
          </c:val>
          <c:extLst>
            <c:ext xmlns:c16="http://schemas.microsoft.com/office/drawing/2014/chart" uri="{C3380CC4-5D6E-409C-BE32-E72D297353CC}">
              <c16:uniqueId val="{00000001-5B6F-4E14-8CB0-E8D0861559D6}"/>
            </c:ext>
          </c:extLst>
        </c:ser>
        <c:ser>
          <c:idx val="2"/>
          <c:order val="2"/>
          <c:tx>
            <c:strRef>
              <c:f>'Tableau détaillé'!$H$364</c:f>
              <c:strCache>
                <c:ptCount val="1"/>
                <c:pt idx="0">
                  <c:v>30/09/2019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détaillé'!$H$409,'Tableau détaillé'!$H$414)</c:f>
            </c:numRef>
          </c:val>
          <c:extLst>
            <c:ext xmlns:c16="http://schemas.microsoft.com/office/drawing/2014/chart" uri="{C3380CC4-5D6E-409C-BE32-E72D297353CC}">
              <c16:uniqueId val="{00000002-5B6F-4E14-8CB0-E8D0861559D6}"/>
            </c:ext>
          </c:extLst>
        </c:ser>
        <c:dLbls>
          <c:showLegendKey val="0"/>
          <c:showVal val="0"/>
          <c:showCatName val="0"/>
          <c:showSerName val="0"/>
          <c:showPercent val="0"/>
          <c:showBubbleSize val="0"/>
        </c:dLbls>
        <c:gapWidth val="219"/>
        <c:overlap val="-27"/>
        <c:axId val="969162336"/>
        <c:axId val="969157632"/>
      </c:barChart>
      <c:catAx>
        <c:axId val="96916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7632"/>
        <c:crosses val="autoZero"/>
        <c:auto val="1"/>
        <c:lblAlgn val="ctr"/>
        <c:lblOffset val="100"/>
        <c:noMultiLvlLbl val="0"/>
      </c:catAx>
      <c:valAx>
        <c:axId val="9691576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62336"/>
        <c:crosses val="autoZero"/>
        <c:crossBetween val="between"/>
      </c:valAx>
      <c:spPr>
        <a:noFill/>
        <a:ln>
          <a:noFill/>
        </a:ln>
        <a:effectLst/>
      </c:spPr>
    </c:plotArea>
    <c:legend>
      <c:legendPos val="b"/>
      <c:layout>
        <c:manualLayout>
          <c:xMode val="edge"/>
          <c:yMode val="edge"/>
          <c:x val="0.24609779266665663"/>
          <c:y val="0.89203718973409096"/>
          <c:w val="0.52021928143256668"/>
          <c:h val="8.17282450211993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AFS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7.0008159079134255E-2"/>
          <c:y val="0.13143517187599521"/>
          <c:w val="0.92889860361678056"/>
          <c:h val="0.6591692731958142"/>
        </c:manualLayout>
      </c:layout>
      <c:barChart>
        <c:barDir val="col"/>
        <c:grouping val="clustered"/>
        <c:varyColors val="0"/>
        <c:ser>
          <c:idx val="0"/>
          <c:order val="0"/>
          <c:tx>
            <c:strRef>
              <c:f>'Tableau détaillé'!$F$364</c:f>
              <c:strCache>
                <c:ptCount val="1"/>
                <c:pt idx="0">
                  <c:v>31/01/2019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détaillé'!$F$401</c:f>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0-4E57-410A-B89B-D5003A5C7AB5}"/>
            </c:ext>
          </c:extLst>
        </c:ser>
        <c:ser>
          <c:idx val="1"/>
          <c:order val="1"/>
          <c:tx>
            <c:strRef>
              <c:f>'Tableau détaillé'!$G$364</c:f>
              <c:strCache>
                <c:ptCount val="1"/>
                <c:pt idx="0">
                  <c:v>30/09/2019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détaillé'!$G$401</c:f>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1-4E57-410A-B89B-D5003A5C7AB5}"/>
            </c:ext>
          </c:extLst>
        </c:ser>
        <c:ser>
          <c:idx val="2"/>
          <c:order val="2"/>
          <c:tx>
            <c:strRef>
              <c:f>'Tableau détaillé'!$H$364</c:f>
              <c:strCache>
                <c:ptCount val="1"/>
                <c:pt idx="0">
                  <c:v>30/09/2019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détaillé'!$H$401</c:f>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2-4E57-410A-B89B-D5003A5C7AB5}"/>
            </c:ext>
          </c:extLst>
        </c:ser>
        <c:dLbls>
          <c:showLegendKey val="0"/>
          <c:showVal val="0"/>
          <c:showCatName val="0"/>
          <c:showSerName val="0"/>
          <c:showPercent val="0"/>
          <c:showBubbleSize val="0"/>
        </c:dLbls>
        <c:gapWidth val="219"/>
        <c:overlap val="-27"/>
        <c:axId val="969160376"/>
        <c:axId val="969158024"/>
      </c:barChart>
      <c:catAx>
        <c:axId val="969160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58024"/>
        <c:crosses val="autoZero"/>
        <c:auto val="1"/>
        <c:lblAlgn val="ctr"/>
        <c:lblOffset val="100"/>
        <c:noMultiLvlLbl val="0"/>
      </c:catAx>
      <c:valAx>
        <c:axId val="9691580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9160376"/>
        <c:crosses val="autoZero"/>
        <c:crossBetween val="between"/>
      </c:valAx>
      <c:spPr>
        <a:noFill/>
        <a:ln>
          <a:noFill/>
        </a:ln>
        <a:effectLst/>
      </c:spPr>
    </c:plotArea>
    <c:legend>
      <c:legendPos val="b"/>
      <c:layout>
        <c:manualLayout>
          <c:xMode val="edge"/>
          <c:yMode val="edge"/>
          <c:x val="0.2608213878604303"/>
          <c:y val="0.89203718973409096"/>
          <c:w val="0.52980037233041921"/>
          <c:h val="8.17282450211993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'Client BGPAT'!$H$16</c:f>
              <c:strCache>
                <c:ptCount val="1"/>
                <c:pt idx="0">
                  <c:v>2022</c:v>
                </c:pt>
              </c:strCache>
            </c:strRef>
          </c:tx>
          <c:spPr>
            <a:solidFill>
              <a:schemeClr val="bg2">
                <a:lumMod val="90000"/>
              </a:schemeClr>
            </a:solidFill>
            <a:ln>
              <a:noFill/>
            </a:ln>
            <a:effectLst/>
          </c:spPr>
          <c:invertIfNegative val="0"/>
          <c:dPt>
            <c:idx val="7"/>
            <c:invertIfNegative val="0"/>
            <c:bubble3D val="0"/>
            <c:spPr>
              <a:solidFill>
                <a:srgbClr val="FFA7A7"/>
              </a:solidFill>
              <a:ln>
                <a:noFill/>
              </a:ln>
              <a:effectLst/>
            </c:spPr>
            <c:extLst>
              <c:ext xmlns:c16="http://schemas.microsoft.com/office/drawing/2014/chart" uri="{C3380CC4-5D6E-409C-BE32-E72D297353CC}">
                <c16:uniqueId val="{00000002-9A0A-4B56-97EF-0F5CF0054DB9}"/>
              </c:ext>
            </c:extLst>
          </c:dPt>
          <c:dPt>
            <c:idx val="8"/>
            <c:invertIfNegative val="0"/>
            <c:bubble3D val="0"/>
            <c:spPr>
              <a:solidFill>
                <a:srgbClr val="FFA7A7"/>
              </a:solidFill>
              <a:ln>
                <a:noFill/>
              </a:ln>
              <a:effectLst/>
            </c:spPr>
            <c:extLst>
              <c:ext xmlns:c16="http://schemas.microsoft.com/office/drawing/2014/chart" uri="{C3380CC4-5D6E-409C-BE32-E72D297353CC}">
                <c16:uniqueId val="{00000003-9A0A-4B56-97EF-0F5CF0054DB9}"/>
              </c:ext>
            </c:extLst>
          </c:dPt>
          <c:dPt>
            <c:idx val="9"/>
            <c:invertIfNegative val="0"/>
            <c:bubble3D val="0"/>
            <c:spPr>
              <a:solidFill>
                <a:srgbClr val="FFA7A7"/>
              </a:solidFill>
              <a:ln>
                <a:noFill/>
              </a:ln>
              <a:effectLst/>
            </c:spPr>
            <c:extLst>
              <c:ext xmlns:c16="http://schemas.microsoft.com/office/drawing/2014/chart" uri="{C3380CC4-5D6E-409C-BE32-E72D297353CC}">
                <c16:uniqueId val="{00000004-9A0A-4B56-97EF-0F5CF0054DB9}"/>
              </c:ext>
            </c:extLst>
          </c:dPt>
          <c:dPt>
            <c:idx val="10"/>
            <c:invertIfNegative val="0"/>
            <c:bubble3D val="0"/>
            <c:spPr>
              <a:solidFill>
                <a:srgbClr val="FFA7A7"/>
              </a:solidFill>
              <a:ln>
                <a:noFill/>
              </a:ln>
              <a:effectLst/>
            </c:spPr>
            <c:extLst>
              <c:ext xmlns:c16="http://schemas.microsoft.com/office/drawing/2014/chart" uri="{C3380CC4-5D6E-409C-BE32-E72D297353CC}">
                <c16:uniqueId val="{00000005-9A0A-4B56-97EF-0F5CF0054DB9}"/>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'Client BGPAT'!$G$17:$G$27</c:f>
              <c:strCache>
                <c:ptCount val="11"/>
                <c:pt idx="0">
                  <c:v>COTE D'IVOIRE</c:v>
                </c:pt>
                <c:pt idx="1">
                  <c:v>SENEGAL</c:v>
                </c:pt>
                <c:pt idx="2">
                  <c:v>GHANA</c:v>
                </c:pt>
                <c:pt idx="3">
                  <c:v>BURKINA FASO</c:v>
                </c:pt>
                <c:pt idx="4">
                  <c:v>MAURITANIE</c:v>
                </c:pt>
                <c:pt idx="5">
                  <c:v>GUINEE</c:v>
                </c:pt>
                <c:pt idx="6">
                  <c:v>BENIN</c:v>
                </c:pt>
                <c:pt idx="7">
                  <c:v>CAMEROUN</c:v>
                </c:pt>
                <c:pt idx="8">
                  <c:v>CONGO</c:v>
                </c:pt>
                <c:pt idx="9">
                  <c:v>MADAGASCAR</c:v>
                </c:pt>
                <c:pt idx="10">
                  <c:v>TCHAD</c:v>
                </c:pt>
              </c:strCache>
            </c:strRef>
          </c:cat>
          <c:val>
            <c:numRef>
              <c:f>'Client BGPAT'!$H$17:$H$27</c:f>
              <c:numCache>
                <c:formatCode>General</c:formatCode>
                <c:ptCount val="11"/>
                <c:pt idx="0">
                  <c:v>444</c:v>
                </c:pt>
                <c:pt idx="1">
                  <c:v>177</c:v>
                </c:pt>
                <c:pt idx="2">
                  <c:v>87</c:v>
                </c:pt>
                <c:pt idx="3">
                  <c:v>77</c:v>
                </c:pt>
                <c:pt idx="4">
                  <c:v>65</c:v>
                </c:pt>
                <c:pt idx="5">
                  <c:v>54</c:v>
                </c:pt>
                <c:pt idx="6">
                  <c:v>34</c:v>
                </c:pt>
                <c:pt idx="7">
                  <c:v>334</c:v>
                </c:pt>
                <c:pt idx="8">
                  <c:v>131</c:v>
                </c:pt>
                <c:pt idx="9">
                  <c:v>76</c:v>
                </c:pt>
                <c:pt idx="10">
                  <c:v>41</c:v>
                </c:pt>
              </c:numCache>
            </c:numRef>
          </c:val>
          <c:extLst>
            <c:ext xmlns:c16="http://schemas.microsoft.com/office/drawing/2014/chart" uri="{C3380CC4-5D6E-409C-BE32-E72D297353CC}">
              <c16:uniqueId val="{00000000-9A0A-4B56-97EF-0F5CF0054DB9}"/>
            </c:ext>
          </c:extLst>
        </c:ser>
        <c:ser>
          <c:idx val="1"/>
          <c:order val="1"/>
          <c:tx>
            <c:strRef>
              <c:f>'Client BGPAT'!$I$16</c:f>
              <c:strCache>
                <c:ptCount val="1"/>
                <c:pt idx="0">
                  <c:v>2023</c:v>
                </c:pt>
              </c:strCache>
            </c:strRef>
          </c:tx>
          <c:spPr>
            <a:solidFill>
              <a:schemeClr val="tx1"/>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6-9A0A-4B56-97EF-0F5CF0054DB9}"/>
              </c:ext>
            </c:extLst>
          </c:dPt>
          <c:dPt>
            <c:idx val="8"/>
            <c:invertIfNegative val="0"/>
            <c:bubble3D val="0"/>
            <c:spPr>
              <a:solidFill>
                <a:srgbClr val="FF0000"/>
              </a:solidFill>
              <a:ln>
                <a:noFill/>
              </a:ln>
              <a:effectLst/>
            </c:spPr>
            <c:extLst>
              <c:ext xmlns:c16="http://schemas.microsoft.com/office/drawing/2014/chart" uri="{C3380CC4-5D6E-409C-BE32-E72D297353CC}">
                <c16:uniqueId val="{00000007-9A0A-4B56-97EF-0F5CF0054DB9}"/>
              </c:ext>
            </c:extLst>
          </c:dPt>
          <c:dPt>
            <c:idx val="9"/>
            <c:invertIfNegative val="0"/>
            <c:bubble3D val="0"/>
            <c:spPr>
              <a:solidFill>
                <a:srgbClr val="FF0000"/>
              </a:solidFill>
              <a:ln>
                <a:noFill/>
              </a:ln>
              <a:effectLst/>
            </c:spPr>
            <c:extLst>
              <c:ext xmlns:c16="http://schemas.microsoft.com/office/drawing/2014/chart" uri="{C3380CC4-5D6E-409C-BE32-E72D297353CC}">
                <c16:uniqueId val="{00000008-9A0A-4B56-97EF-0F5CF0054DB9}"/>
              </c:ext>
            </c:extLst>
          </c:dPt>
          <c:dPt>
            <c:idx val="10"/>
            <c:invertIfNegative val="0"/>
            <c:bubble3D val="0"/>
            <c:spPr>
              <a:solidFill>
                <a:srgbClr val="FF0000"/>
              </a:solidFill>
              <a:ln>
                <a:noFill/>
              </a:ln>
              <a:effectLst/>
            </c:spPr>
            <c:extLst>
              <c:ext xmlns:c16="http://schemas.microsoft.com/office/drawing/2014/chart" uri="{C3380CC4-5D6E-409C-BE32-E72D297353CC}">
                <c16:uniqueId val="{00000009-9A0A-4B56-97EF-0F5CF0054DB9}"/>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'Client BGPAT'!$G$17:$G$27</c:f>
              <c:strCache>
                <c:ptCount val="11"/>
                <c:pt idx="0">
                  <c:v>COTE D'IVOIRE</c:v>
                </c:pt>
                <c:pt idx="1">
                  <c:v>SENEGAL</c:v>
                </c:pt>
                <c:pt idx="2">
                  <c:v>GHANA</c:v>
                </c:pt>
                <c:pt idx="3">
                  <c:v>BURKINA FASO</c:v>
                </c:pt>
                <c:pt idx="4">
                  <c:v>MAURITANIE</c:v>
                </c:pt>
                <c:pt idx="5">
                  <c:v>GUINEE</c:v>
                </c:pt>
                <c:pt idx="6">
                  <c:v>BENIN</c:v>
                </c:pt>
                <c:pt idx="7">
                  <c:v>CAMEROUN</c:v>
                </c:pt>
                <c:pt idx="8">
                  <c:v>CONGO</c:v>
                </c:pt>
                <c:pt idx="9">
                  <c:v>MADAGASCAR</c:v>
                </c:pt>
                <c:pt idx="10">
                  <c:v>TCHAD</c:v>
                </c:pt>
              </c:strCache>
            </c:strRef>
          </c:cat>
          <c:val>
            <c:numRef>
              <c:f>'Client BGPAT'!$I$17:$I$27</c:f>
              <c:numCache>
                <c:formatCode>General</c:formatCode>
                <c:ptCount val="11"/>
                <c:pt idx="0">
                  <c:v>549</c:v>
                </c:pt>
                <c:pt idx="1">
                  <c:v>205</c:v>
                </c:pt>
                <c:pt idx="2">
                  <c:v>118</c:v>
                </c:pt>
                <c:pt idx="3">
                  <c:v>60</c:v>
                </c:pt>
                <c:pt idx="4">
                  <c:v>38</c:v>
                </c:pt>
                <c:pt idx="5">
                  <c:v>119</c:v>
                </c:pt>
                <c:pt idx="6">
                  <c:v>34</c:v>
                </c:pt>
                <c:pt idx="7">
                  <c:v>285</c:v>
                </c:pt>
                <c:pt idx="8">
                  <c:v>185</c:v>
                </c:pt>
                <c:pt idx="9">
                  <c:v>137</c:v>
                </c:pt>
                <c:pt idx="10">
                  <c:v>66</c:v>
                </c:pt>
              </c:numCache>
            </c:numRef>
          </c:val>
          <c:extLst>
            <c:ext xmlns:c16="http://schemas.microsoft.com/office/drawing/2014/chart" uri="{C3380CC4-5D6E-409C-BE32-E72D297353CC}">
              <c16:uniqueId val="{00000001-9A0A-4B56-97EF-0F5CF0054DB9}"/>
            </c:ext>
          </c:extLst>
        </c:ser>
        <c:dLbls>
          <c:dLblPos val="outEnd"/>
          <c:showLegendKey val="0"/>
          <c:showVal val="1"/>
          <c:showCatName val="0"/>
          <c:showSerName val="0"/>
          <c:showPercent val="0"/>
          <c:showBubbleSize val="0"/>
        </c:dLbls>
        <c:gapWidth val="219"/>
        <c:overlap val="-27"/>
        <c:axId val="2067913807"/>
        <c:axId val="2067914223"/>
      </c:barChart>
      <c:catAx>
        <c:axId val="20679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67914223"/>
        <c:crosses val="autoZero"/>
        <c:auto val="1"/>
        <c:lblAlgn val="ctr"/>
        <c:lblOffset val="100"/>
        <c:noMultiLvlLbl val="0"/>
      </c:catAx>
      <c:valAx>
        <c:axId val="2067914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2067913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35870516185474"/>
          <c:y val="0.18518518518518517"/>
          <c:w val="0.80808573928258975"/>
          <c:h val="0.70741542723826178"/>
        </c:manualLayout>
      </c:layout>
      <c:barChart>
        <c:barDir val="col"/>
        <c:grouping val="clustered"/>
        <c:varyColors val="0"/>
        <c:ser>
          <c:idx val="0"/>
          <c:order val="0"/>
          <c:tx>
            <c:strRef>
              <c:f>'Client BGPAT'!$H$3</c:f>
              <c:strCache>
                <c:ptCount val="1"/>
                <c:pt idx="0">
                  <c:v>2022</c:v>
                </c:pt>
              </c:strCache>
            </c:strRef>
          </c:tx>
          <c:spPr>
            <a:solidFill>
              <a:schemeClr val="bg2">
                <a:lumMod val="90000"/>
              </a:scheme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2-BC0B-411B-83B2-0C9F5C1AAC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'Client BGPAT'!$G$4:$G$5</c:f>
              <c:strCache>
                <c:ptCount val="2"/>
                <c:pt idx="0">
                  <c:v>TOTAL AFO</c:v>
                </c:pt>
                <c:pt idx="1">
                  <c:v>TOTAL AFCE</c:v>
                </c:pt>
              </c:strCache>
            </c:strRef>
          </c:cat>
          <c:val>
            <c:numRef>
              <c:f>'Client BGPAT'!$H$4:$H$5</c:f>
              <c:numCache>
                <c:formatCode>_-* #\ ##0\ _€_-;\-* #\ ##0\ _€_-;_-* "-"??\ _€_-;_-@_-</c:formatCode>
                <c:ptCount val="2"/>
                <c:pt idx="0">
                  <c:v>938</c:v>
                </c:pt>
                <c:pt idx="1">
                  <c:v>582</c:v>
                </c:pt>
              </c:numCache>
            </c:numRef>
          </c:val>
          <c:extLst>
            <c:ext xmlns:c16="http://schemas.microsoft.com/office/drawing/2014/chart" uri="{C3380CC4-5D6E-409C-BE32-E72D297353CC}">
              <c16:uniqueId val="{00000000-BC0B-411B-83B2-0C9F5C1AACD0}"/>
            </c:ext>
          </c:extLst>
        </c:ser>
        <c:ser>
          <c:idx val="1"/>
          <c:order val="1"/>
          <c:tx>
            <c:strRef>
              <c:f>'Client BGPAT'!$I$3</c:f>
              <c:strCache>
                <c:ptCount val="1"/>
                <c:pt idx="0">
                  <c:v>2023</c:v>
                </c:pt>
              </c:strCache>
            </c:strRef>
          </c:tx>
          <c:spPr>
            <a:solidFill>
              <a:schemeClr val="tx1">
                <a:lumMod val="85000"/>
                <a:lumOff val="15000"/>
              </a:schemeClr>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3-BC0B-411B-83B2-0C9F5C1AAC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'Client BGPAT'!$G$4:$G$5</c:f>
              <c:strCache>
                <c:ptCount val="2"/>
                <c:pt idx="0">
                  <c:v>TOTAL AFO</c:v>
                </c:pt>
                <c:pt idx="1">
                  <c:v>TOTAL AFCE</c:v>
                </c:pt>
              </c:strCache>
            </c:strRef>
          </c:cat>
          <c:val>
            <c:numRef>
              <c:f>'Client BGPAT'!$I$4:$I$5</c:f>
              <c:numCache>
                <c:formatCode>_-* #\ ##0\ _€_-;\-* #\ ##0\ _€_-;_-* "-"??\ _€_-;_-@_-</c:formatCode>
                <c:ptCount val="2"/>
                <c:pt idx="0">
                  <c:v>1123</c:v>
                </c:pt>
                <c:pt idx="1">
                  <c:v>673</c:v>
                </c:pt>
              </c:numCache>
            </c:numRef>
          </c:val>
          <c:extLst>
            <c:ext xmlns:c16="http://schemas.microsoft.com/office/drawing/2014/chart" uri="{C3380CC4-5D6E-409C-BE32-E72D297353CC}">
              <c16:uniqueId val="{00000001-BC0B-411B-83B2-0C9F5C1AACD0}"/>
            </c:ext>
          </c:extLst>
        </c:ser>
        <c:dLbls>
          <c:dLblPos val="outEnd"/>
          <c:showLegendKey val="0"/>
          <c:showVal val="1"/>
          <c:showCatName val="0"/>
          <c:showSerName val="0"/>
          <c:showPercent val="0"/>
          <c:showBubbleSize val="0"/>
        </c:dLbls>
        <c:gapWidth val="182"/>
        <c:axId val="1999442095"/>
        <c:axId val="1999442511"/>
      </c:barChart>
      <c:catAx>
        <c:axId val="1999442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99442511"/>
        <c:crosses val="autoZero"/>
        <c:auto val="1"/>
        <c:lblAlgn val="ctr"/>
        <c:lblOffset val="100"/>
        <c:noMultiLvlLbl val="0"/>
      </c:catAx>
      <c:valAx>
        <c:axId val="1999442511"/>
        <c:scaling>
          <c:orientation val="minMax"/>
        </c:scaling>
        <c:delete val="0"/>
        <c:axPos val="l"/>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99442095"/>
        <c:crosses val="autoZero"/>
        <c:crossBetween val="between"/>
      </c:valAx>
      <c:spPr>
        <a:noFill/>
        <a:ln>
          <a:noFill/>
        </a:ln>
        <a:effectLst/>
      </c:spPr>
    </c:plotArea>
    <c:legend>
      <c:legendPos val="r"/>
      <c:layout>
        <c:manualLayout>
          <c:xMode val="edge"/>
          <c:yMode val="edge"/>
          <c:x val="0.7987280007137918"/>
          <c:y val="0.10099432963371047"/>
          <c:w val="0.16854297249670988"/>
          <c:h val="0.14010060697580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Stock</a:t>
            </a:r>
            <a:r>
              <a:rPr lang="fr-FR" baseline="0"/>
              <a:t> clients AFS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GRAPHES!$A$3</c:f>
              <c:strCache>
                <c:ptCount val="1"/>
                <c:pt idx="0">
                  <c:v>déc.-22</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GRAPHES!$B$2</c:f>
              <c:strCache>
                <c:ptCount val="1"/>
                <c:pt idx="0">
                  <c:v>Stock client</c:v>
                </c:pt>
              </c:strCache>
            </c:strRef>
          </c:cat>
          <c:val>
            <c:numRef>
              <c:f>GRAPHES!$B$3</c:f>
              <c:numCache>
                <c:formatCode>_-* #\ ##0\ _€_-;\-* #\ ##0\ _€_-;_-* "-"??\ _€_-;_-@_-</c:formatCode>
                <c:ptCount val="1"/>
                <c:pt idx="0">
                  <c:v>1972228</c:v>
                </c:pt>
              </c:numCache>
            </c:numRef>
          </c:val>
          <c:extLst>
            <c:ext xmlns:c16="http://schemas.microsoft.com/office/drawing/2014/chart" uri="{C3380CC4-5D6E-409C-BE32-E72D297353CC}">
              <c16:uniqueId val="{00000000-8E2C-4803-A98E-8E29811CA0CB}"/>
            </c:ext>
          </c:extLst>
        </c:ser>
        <c:ser>
          <c:idx val="1"/>
          <c:order val="1"/>
          <c:tx>
            <c:strRef>
              <c:f>GRAPHES!$A$4</c:f>
              <c:strCache>
                <c:ptCount val="1"/>
                <c:pt idx="0">
                  <c:v>déc.-23</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GRAPHES!$B$2</c:f>
              <c:strCache>
                <c:ptCount val="1"/>
                <c:pt idx="0">
                  <c:v>Stock client</c:v>
                </c:pt>
              </c:strCache>
            </c:strRef>
          </c:cat>
          <c:val>
            <c:numRef>
              <c:f>GRAPHES!$B$4</c:f>
              <c:numCache>
                <c:formatCode>_-* #\ ##0\ _€_-;\-* #\ ##0\ _€_-;_-* "-"??\ _€_-;_-@_-</c:formatCode>
                <c:ptCount val="1"/>
                <c:pt idx="0">
                  <c:v>2002484</c:v>
                </c:pt>
              </c:numCache>
            </c:numRef>
          </c:val>
          <c:extLst>
            <c:ext xmlns:c16="http://schemas.microsoft.com/office/drawing/2014/chart" uri="{C3380CC4-5D6E-409C-BE32-E72D297353CC}">
              <c16:uniqueId val="{00000001-8E2C-4803-A98E-8E29811CA0CB}"/>
            </c:ext>
          </c:extLst>
        </c:ser>
        <c:dLbls>
          <c:dLblPos val="outEnd"/>
          <c:showLegendKey val="0"/>
          <c:showVal val="1"/>
          <c:showCatName val="0"/>
          <c:showSerName val="0"/>
          <c:showPercent val="0"/>
          <c:showBubbleSize val="0"/>
        </c:dLbls>
        <c:gapWidth val="219"/>
        <c:overlap val="-27"/>
        <c:axId val="1530967184"/>
        <c:axId val="1530980912"/>
      </c:barChart>
      <c:catAx>
        <c:axId val="153096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0980912"/>
        <c:crosses val="autoZero"/>
        <c:auto val="1"/>
        <c:lblAlgn val="ctr"/>
        <c:lblOffset val="100"/>
        <c:noMultiLvlLbl val="0"/>
      </c:catAx>
      <c:valAx>
        <c:axId val="1530980912"/>
        <c:scaling>
          <c:orientation val="minMax"/>
        </c:scaling>
        <c:delete val="0"/>
        <c:axPos val="l"/>
        <c:majorGridlines>
          <c:spPr>
            <a:ln w="9525" cap="flat" cmpd="sng" algn="ctr">
              <a:solidFill>
                <a:schemeClr val="tx1">
                  <a:lumMod val="15000"/>
                  <a:lumOff val="85000"/>
                </a:schemeClr>
              </a:solidFill>
              <a:round/>
            </a:ln>
            <a:effectLst/>
          </c:spPr>
        </c:majorGridlines>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096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fr-FR" sz="1200"/>
              <a:t>Stock</a:t>
            </a:r>
            <a:r>
              <a:rPr lang="fr-FR" sz="1200" baseline="0"/>
              <a:t> clients actifs AFS</a:t>
            </a:r>
            <a:endParaRPr lang="fr-FR"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GRAPHES!$A$14</c:f>
              <c:strCache>
                <c:ptCount val="1"/>
                <c:pt idx="0">
                  <c:v>déc.-22</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GRAPHES!$B$13</c:f>
              <c:strCache>
                <c:ptCount val="1"/>
                <c:pt idx="0">
                  <c:v>Stock clients actifs AFS</c:v>
                </c:pt>
              </c:strCache>
            </c:strRef>
          </c:cat>
          <c:val>
            <c:numRef>
              <c:f>GRAPHES!$B$14</c:f>
              <c:numCache>
                <c:formatCode>_-* #\ ##0\ _€_-;\-* #\ ##0\ _€_-;_-* "-"??\ _€_-;_-@_-</c:formatCode>
                <c:ptCount val="1"/>
                <c:pt idx="0">
                  <c:v>1287715.9999991572</c:v>
                </c:pt>
              </c:numCache>
            </c:numRef>
          </c:val>
          <c:extLst>
            <c:ext xmlns:c16="http://schemas.microsoft.com/office/drawing/2014/chart" uri="{C3380CC4-5D6E-409C-BE32-E72D297353CC}">
              <c16:uniqueId val="{00000000-657D-415D-8E6E-FFE0C7404216}"/>
            </c:ext>
          </c:extLst>
        </c:ser>
        <c:ser>
          <c:idx val="1"/>
          <c:order val="1"/>
          <c:tx>
            <c:strRef>
              <c:f>GRAPHES!$A$15</c:f>
              <c:strCache>
                <c:ptCount val="1"/>
                <c:pt idx="0">
                  <c:v>déc.-23</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GRAPHES!$B$13</c:f>
              <c:strCache>
                <c:ptCount val="1"/>
                <c:pt idx="0">
                  <c:v>Stock clients actifs AFS</c:v>
                </c:pt>
              </c:strCache>
            </c:strRef>
          </c:cat>
          <c:val>
            <c:numRef>
              <c:f>GRAPHES!$B$15</c:f>
              <c:numCache>
                <c:formatCode>_-* #\ ##0\ _€_-;\-* #\ ##0\ _€_-;_-* "-"??\ _€_-;_-@_-</c:formatCode>
                <c:ptCount val="1"/>
                <c:pt idx="0">
                  <c:v>1317175.9999991693</c:v>
                </c:pt>
              </c:numCache>
            </c:numRef>
          </c:val>
          <c:extLst>
            <c:ext xmlns:c16="http://schemas.microsoft.com/office/drawing/2014/chart" uri="{C3380CC4-5D6E-409C-BE32-E72D297353CC}">
              <c16:uniqueId val="{00000001-657D-415D-8E6E-FFE0C7404216}"/>
            </c:ext>
          </c:extLst>
        </c:ser>
        <c:dLbls>
          <c:dLblPos val="outEnd"/>
          <c:showLegendKey val="0"/>
          <c:showVal val="1"/>
          <c:showCatName val="0"/>
          <c:showSerName val="0"/>
          <c:showPercent val="0"/>
          <c:showBubbleSize val="0"/>
        </c:dLbls>
        <c:gapWidth val="219"/>
        <c:overlap val="-27"/>
        <c:axId val="1533374496"/>
        <c:axId val="1533376576"/>
      </c:barChart>
      <c:catAx>
        <c:axId val="153337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crossAx val="1533376576"/>
        <c:crosses val="autoZero"/>
        <c:auto val="1"/>
        <c:lblAlgn val="ctr"/>
        <c:lblOffset val="100"/>
        <c:noMultiLvlLbl val="0"/>
      </c:catAx>
      <c:valAx>
        <c:axId val="1533376576"/>
        <c:scaling>
          <c:orientation val="minMax"/>
        </c:scaling>
        <c:delete val="0"/>
        <c:axPos val="l"/>
        <c:majorGridlines>
          <c:spPr>
            <a:ln w="9525" cap="flat" cmpd="sng" algn="ctr">
              <a:solidFill>
                <a:schemeClr val="tx1">
                  <a:lumMod val="15000"/>
                  <a:lumOff val="85000"/>
                </a:schemeClr>
              </a:solidFill>
              <a:round/>
            </a:ln>
            <a:effectLst/>
          </c:spPr>
        </c:majorGridlines>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crossAx val="153337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EER AFS</a:t>
            </a:r>
          </a:p>
        </c:rich>
      </c:tx>
      <c:layout>
        <c:manualLayout>
          <c:xMode val="edge"/>
          <c:yMode val="edge"/>
          <c:x val="0.412825437411262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GRAPHES!$A$26</c:f>
              <c:strCache>
                <c:ptCount val="1"/>
                <c:pt idx="0">
                  <c:v>avr.-22</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GRAPHES!$B$25</c:f>
              <c:strCache>
                <c:ptCount val="1"/>
                <c:pt idx="0">
                  <c:v>EER AFS</c:v>
                </c:pt>
              </c:strCache>
            </c:strRef>
          </c:cat>
          <c:val>
            <c:numRef>
              <c:f>GRAPHES!$B$26</c:f>
              <c:numCache>
                <c:formatCode>_-* #\ ##0\ _€_-;\-* #\ ##0\ _€_-;_-* "-"??\ _€_-;_-@_-</c:formatCode>
                <c:ptCount val="1"/>
                <c:pt idx="0">
                  <c:v>189442</c:v>
                </c:pt>
              </c:numCache>
            </c:numRef>
          </c:val>
          <c:extLst>
            <c:ext xmlns:c16="http://schemas.microsoft.com/office/drawing/2014/chart" uri="{C3380CC4-5D6E-409C-BE32-E72D297353CC}">
              <c16:uniqueId val="{00000000-AAE2-4302-AEC0-2E428FC42E0C}"/>
            </c:ext>
          </c:extLst>
        </c:ser>
        <c:ser>
          <c:idx val="1"/>
          <c:order val="1"/>
          <c:tx>
            <c:strRef>
              <c:f>GRAPHES!$A$27</c:f>
              <c:strCache>
                <c:ptCount val="1"/>
                <c:pt idx="0">
                  <c:v>déc.-23</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GRAPHES!$B$25</c:f>
              <c:strCache>
                <c:ptCount val="1"/>
                <c:pt idx="0">
                  <c:v>EER AFS</c:v>
                </c:pt>
              </c:strCache>
            </c:strRef>
          </c:cat>
          <c:val>
            <c:numRef>
              <c:f>GRAPHES!$B$27</c:f>
              <c:numCache>
                <c:formatCode>_-* #\ ##0\ _€_-;\-* #\ ##0\ _€_-;_-* "-"??\ _€_-;_-@_-</c:formatCode>
                <c:ptCount val="1"/>
                <c:pt idx="0">
                  <c:v>177142</c:v>
                </c:pt>
              </c:numCache>
            </c:numRef>
          </c:val>
          <c:extLst>
            <c:ext xmlns:c16="http://schemas.microsoft.com/office/drawing/2014/chart" uri="{C3380CC4-5D6E-409C-BE32-E72D297353CC}">
              <c16:uniqueId val="{00000001-AAE2-4302-AEC0-2E428FC42E0C}"/>
            </c:ext>
          </c:extLst>
        </c:ser>
        <c:dLbls>
          <c:showLegendKey val="0"/>
          <c:showVal val="0"/>
          <c:showCatName val="0"/>
          <c:showSerName val="0"/>
          <c:showPercent val="0"/>
          <c:showBubbleSize val="0"/>
        </c:dLbls>
        <c:gapWidth val="219"/>
        <c:overlap val="-27"/>
        <c:axId val="1481671616"/>
        <c:axId val="1481665792"/>
      </c:barChart>
      <c:catAx>
        <c:axId val="148167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81665792"/>
        <c:crosses val="autoZero"/>
        <c:auto val="1"/>
        <c:lblAlgn val="ctr"/>
        <c:lblOffset val="100"/>
        <c:noMultiLvlLbl val="0"/>
      </c:catAx>
      <c:valAx>
        <c:axId val="1481665792"/>
        <c:scaling>
          <c:orientation val="minMax"/>
        </c:scaling>
        <c:delete val="0"/>
        <c:axPos val="l"/>
        <c:majorGridlines>
          <c:spPr>
            <a:ln w="9525" cap="flat" cmpd="sng" algn="ctr">
              <a:solidFill>
                <a:schemeClr val="tx1">
                  <a:lumMod val="15000"/>
                  <a:lumOff val="85000"/>
                </a:schemeClr>
              </a:solidFill>
              <a:round/>
            </a:ln>
            <a:effectLst/>
          </c:spPr>
        </c:majorGridlines>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481671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Taux</a:t>
            </a:r>
            <a:r>
              <a:rPr lang="fr-FR" baseline="0"/>
              <a:t> d'équipement PPO </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GRAPHES!$A$38</c:f>
              <c:strCache>
                <c:ptCount val="1"/>
                <c:pt idx="0">
                  <c:v>déc.-22</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GRAPHES!$B$37</c:f>
              <c:strCache>
                <c:ptCount val="1"/>
                <c:pt idx="0">
                  <c:v>Taux d'équipement AFS</c:v>
                </c:pt>
              </c:strCache>
            </c:strRef>
          </c:cat>
          <c:val>
            <c:numRef>
              <c:f>GRAPHES!$B$38</c:f>
              <c:numCache>
                <c:formatCode>0.0%</c:formatCode>
                <c:ptCount val="1"/>
                <c:pt idx="0">
                  <c:v>0.44680167774399998</c:v>
                </c:pt>
              </c:numCache>
            </c:numRef>
          </c:val>
          <c:extLst>
            <c:ext xmlns:c16="http://schemas.microsoft.com/office/drawing/2014/chart" uri="{C3380CC4-5D6E-409C-BE32-E72D297353CC}">
              <c16:uniqueId val="{00000000-8F96-4BC7-9DFF-16E25E84116A}"/>
            </c:ext>
          </c:extLst>
        </c:ser>
        <c:ser>
          <c:idx val="1"/>
          <c:order val="1"/>
          <c:tx>
            <c:strRef>
              <c:f>GRAPHES!$A$39</c:f>
              <c:strCache>
                <c:ptCount val="1"/>
                <c:pt idx="0">
                  <c:v>déc.-23</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GRAPHES!$B$37</c:f>
              <c:strCache>
                <c:ptCount val="1"/>
                <c:pt idx="0">
                  <c:v>Taux d'équipement AFS</c:v>
                </c:pt>
              </c:strCache>
            </c:strRef>
          </c:cat>
          <c:val>
            <c:numRef>
              <c:f>GRAPHES!$B$39</c:f>
              <c:numCache>
                <c:formatCode>0.0%</c:formatCode>
                <c:ptCount val="1"/>
                <c:pt idx="0">
                  <c:v>0.457401656612</c:v>
                </c:pt>
              </c:numCache>
            </c:numRef>
          </c:val>
          <c:extLst>
            <c:ext xmlns:c16="http://schemas.microsoft.com/office/drawing/2014/chart" uri="{C3380CC4-5D6E-409C-BE32-E72D297353CC}">
              <c16:uniqueId val="{00000001-8F96-4BC7-9DFF-16E25E84116A}"/>
            </c:ext>
          </c:extLst>
        </c:ser>
        <c:dLbls>
          <c:dLblPos val="outEnd"/>
          <c:showLegendKey val="0"/>
          <c:showVal val="1"/>
          <c:showCatName val="0"/>
          <c:showSerName val="0"/>
          <c:showPercent val="0"/>
          <c:showBubbleSize val="0"/>
        </c:dLbls>
        <c:gapWidth val="219"/>
        <c:overlap val="-27"/>
        <c:axId val="1530964688"/>
        <c:axId val="1530966352"/>
      </c:barChart>
      <c:catAx>
        <c:axId val="153096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0966352"/>
        <c:crosses val="autoZero"/>
        <c:auto val="1"/>
        <c:lblAlgn val="ctr"/>
        <c:lblOffset val="100"/>
        <c:noMultiLvlLbl val="0"/>
      </c:catAx>
      <c:valAx>
        <c:axId val="15309663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530964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Encours Dépots (M€)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GRAPHES!$A$51</c:f>
              <c:strCache>
                <c:ptCount val="1"/>
                <c:pt idx="0">
                  <c:v>déc.-22</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GRAPHES!$B$50</c:f>
              <c:strCache>
                <c:ptCount val="1"/>
                <c:pt idx="0">
                  <c:v>Dépots </c:v>
                </c:pt>
              </c:strCache>
            </c:strRef>
          </c:cat>
          <c:val>
            <c:numRef>
              <c:f>GRAPHES!$B$51</c:f>
              <c:numCache>
                <c:formatCode>_-* #\ ##0\ _€_-;\-* #\ ##0\ _€_-;_-* "-"??\ _€_-;_-@_-</c:formatCode>
                <c:ptCount val="1"/>
                <c:pt idx="0">
                  <c:v>3929.8009608900006</c:v>
                </c:pt>
              </c:numCache>
            </c:numRef>
          </c:val>
          <c:extLst>
            <c:ext xmlns:c16="http://schemas.microsoft.com/office/drawing/2014/chart" uri="{C3380CC4-5D6E-409C-BE32-E72D297353CC}">
              <c16:uniqueId val="{00000000-5E8E-4AB0-8EFC-CB53AA77374C}"/>
            </c:ext>
          </c:extLst>
        </c:ser>
        <c:ser>
          <c:idx val="1"/>
          <c:order val="1"/>
          <c:tx>
            <c:strRef>
              <c:f>GRAPHES!$A$52</c:f>
              <c:strCache>
                <c:ptCount val="1"/>
                <c:pt idx="0">
                  <c:v>déc.-23</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GRAPHES!$B$50</c:f>
              <c:strCache>
                <c:ptCount val="1"/>
                <c:pt idx="0">
                  <c:v>Dépots </c:v>
                </c:pt>
              </c:strCache>
            </c:strRef>
          </c:cat>
          <c:val>
            <c:numRef>
              <c:f>GRAPHES!$B$52</c:f>
              <c:numCache>
                <c:formatCode>_-* #\ ##0\ _€_-;\-* #\ ##0\ _€_-;_-* "-"??\ _€_-;_-@_-</c:formatCode>
                <c:ptCount val="1"/>
                <c:pt idx="0">
                  <c:v>4033.0060909899998</c:v>
                </c:pt>
              </c:numCache>
            </c:numRef>
          </c:val>
          <c:extLst>
            <c:ext xmlns:c16="http://schemas.microsoft.com/office/drawing/2014/chart" uri="{C3380CC4-5D6E-409C-BE32-E72D297353CC}">
              <c16:uniqueId val="{00000001-5E8E-4AB0-8EFC-CB53AA77374C}"/>
            </c:ext>
          </c:extLst>
        </c:ser>
        <c:dLbls>
          <c:dLblPos val="outEnd"/>
          <c:showLegendKey val="0"/>
          <c:showVal val="1"/>
          <c:showCatName val="0"/>
          <c:showSerName val="0"/>
          <c:showPercent val="0"/>
          <c:showBubbleSize val="0"/>
        </c:dLbls>
        <c:gapWidth val="219"/>
        <c:overlap val="-27"/>
        <c:axId val="1913938224"/>
        <c:axId val="1913954032"/>
      </c:barChart>
      <c:catAx>
        <c:axId val="191393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3954032"/>
        <c:crosses val="autoZero"/>
        <c:auto val="1"/>
        <c:lblAlgn val="ctr"/>
        <c:lblOffset val="100"/>
        <c:noMultiLvlLbl val="0"/>
      </c:catAx>
      <c:valAx>
        <c:axId val="1913954032"/>
        <c:scaling>
          <c:orientation val="minMax"/>
        </c:scaling>
        <c:delete val="0"/>
        <c:axPos val="l"/>
        <c:majorGridlines>
          <c:spPr>
            <a:ln w="9525" cap="flat" cmpd="sng" algn="ctr">
              <a:solidFill>
                <a:schemeClr val="tx1">
                  <a:lumMod val="15000"/>
                  <a:lumOff val="85000"/>
                </a:schemeClr>
              </a:solidFill>
              <a:round/>
            </a:ln>
            <a:effectLst/>
          </c:spPr>
        </c:majorGridlines>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393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fr-FR" sz="1100"/>
              <a:t>Evolution</a:t>
            </a:r>
            <a:r>
              <a:rPr lang="fr-FR" sz="1100" baseline="0"/>
              <a:t> YTD des encours crédits par DR</a:t>
            </a:r>
            <a:endParaRPr lang="fr-FR"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GRAPHES!$A$59</c:f>
              <c:strCache>
                <c:ptCount val="1"/>
                <c:pt idx="0">
                  <c:v> AFO</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GRAPHES!$D$59</c:f>
              <c:numCache>
                <c:formatCode>0.0%</c:formatCode>
                <c:ptCount val="1"/>
                <c:pt idx="0">
                  <c:v>6.0507364885236337E-2</c:v>
                </c:pt>
              </c:numCache>
            </c:numRef>
          </c:val>
          <c:extLst>
            <c:ext xmlns:c16="http://schemas.microsoft.com/office/drawing/2014/chart" uri="{C3380CC4-5D6E-409C-BE32-E72D297353CC}">
              <c16:uniqueId val="{00000000-987B-4A95-8651-CC21530BA112}"/>
            </c:ext>
          </c:extLst>
        </c:ser>
        <c:ser>
          <c:idx val="1"/>
          <c:order val="1"/>
          <c:tx>
            <c:strRef>
              <c:f>GRAPHES!$A$60</c:f>
              <c:strCache>
                <c:ptCount val="1"/>
                <c:pt idx="0">
                  <c:v> AFCE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GRAPHES!$D$60</c:f>
              <c:numCache>
                <c:formatCode>0.0%</c:formatCode>
                <c:ptCount val="1"/>
                <c:pt idx="0">
                  <c:v>0.13202665705230698</c:v>
                </c:pt>
              </c:numCache>
            </c:numRef>
          </c:val>
          <c:extLst>
            <c:ext xmlns:c16="http://schemas.microsoft.com/office/drawing/2014/chart" uri="{C3380CC4-5D6E-409C-BE32-E72D297353CC}">
              <c16:uniqueId val="{00000001-987B-4A95-8651-CC21530BA112}"/>
            </c:ext>
          </c:extLst>
        </c:ser>
        <c:ser>
          <c:idx val="2"/>
          <c:order val="2"/>
          <c:tx>
            <c:strRef>
              <c:f>GRAPHES!$A$61</c:f>
              <c:strCache>
                <c:ptCount val="1"/>
                <c:pt idx="0">
                  <c:v> AFS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GRAPHES!$D$61</c:f>
              <c:numCache>
                <c:formatCode>0.0%</c:formatCode>
                <c:ptCount val="1"/>
                <c:pt idx="0">
                  <c:v>7.8157129242167001E-2</c:v>
                </c:pt>
              </c:numCache>
            </c:numRef>
          </c:val>
          <c:extLst>
            <c:ext xmlns:c16="http://schemas.microsoft.com/office/drawing/2014/chart" uri="{C3380CC4-5D6E-409C-BE32-E72D297353CC}">
              <c16:uniqueId val="{00000000-2DD1-44E4-A5B5-69C3C19AA30A}"/>
            </c:ext>
          </c:extLst>
        </c:ser>
        <c:dLbls>
          <c:dLblPos val="outEnd"/>
          <c:showLegendKey val="0"/>
          <c:showVal val="1"/>
          <c:showCatName val="0"/>
          <c:showSerName val="0"/>
          <c:showPercent val="0"/>
          <c:showBubbleSize val="0"/>
        </c:dLbls>
        <c:gapWidth val="219"/>
        <c:overlap val="-27"/>
        <c:axId val="1913923248"/>
        <c:axId val="1913926160"/>
      </c:barChart>
      <c:catAx>
        <c:axId val="1913923248"/>
        <c:scaling>
          <c:orientation val="minMax"/>
        </c:scaling>
        <c:delete val="1"/>
        <c:axPos val="b"/>
        <c:numFmt formatCode="General" sourceLinked="1"/>
        <c:majorTickMark val="none"/>
        <c:minorTickMark val="none"/>
        <c:tickLblPos val="nextTo"/>
        <c:crossAx val="1913926160"/>
        <c:crosses val="autoZero"/>
        <c:auto val="1"/>
        <c:lblAlgn val="ctr"/>
        <c:lblOffset val="100"/>
        <c:noMultiLvlLbl val="0"/>
      </c:catAx>
      <c:valAx>
        <c:axId val="1913926160"/>
        <c:scaling>
          <c:orientation val="minMax"/>
        </c:scaling>
        <c:delete val="0"/>
        <c:axPos val="l"/>
        <c:majorGridlines>
          <c:spPr>
            <a:ln w="9525" cap="flat" cmpd="sng" algn="ctr">
              <a:no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1913923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fr-FR" sz="1100"/>
              <a:t>Evolution</a:t>
            </a:r>
            <a:r>
              <a:rPr lang="fr-FR" sz="1100" baseline="0"/>
              <a:t> YTD des encours crédits par DR</a:t>
            </a:r>
            <a:endParaRPr lang="fr-FR" sz="1100"/>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GRAPHES!$B$75</c:f>
              <c:strCache>
                <c:ptCount val="1"/>
                <c:pt idx="0">
                  <c:v>déc.-22</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GRAPHES!$A$76:$A$78</c:f>
              <c:strCache>
                <c:ptCount val="3"/>
                <c:pt idx="0">
                  <c:v> AFO</c:v>
                </c:pt>
                <c:pt idx="1">
                  <c:v> AFCE</c:v>
                </c:pt>
                <c:pt idx="2">
                  <c:v> AFS</c:v>
                </c:pt>
              </c:strCache>
            </c:strRef>
          </c:cat>
          <c:val>
            <c:numRef>
              <c:f>GRAPHES!$B$76:$B$78</c:f>
              <c:numCache>
                <c:formatCode>_-* #\ ##0\ _€_-;\-* #\ ##0\ _€_-;_-* "-"??\ _€_-;_-@_-</c:formatCode>
                <c:ptCount val="3"/>
                <c:pt idx="0">
                  <c:v>774.98129222999989</c:v>
                </c:pt>
                <c:pt idx="1">
                  <c:v>362.42463209000005</c:v>
                </c:pt>
                <c:pt idx="2">
                  <c:v>1137.4059243199999</c:v>
                </c:pt>
              </c:numCache>
            </c:numRef>
          </c:val>
          <c:extLst>
            <c:ext xmlns:c16="http://schemas.microsoft.com/office/drawing/2014/chart" uri="{C3380CC4-5D6E-409C-BE32-E72D297353CC}">
              <c16:uniqueId val="{00000000-ABA3-4B26-9E35-77A284828E75}"/>
            </c:ext>
          </c:extLst>
        </c:ser>
        <c:ser>
          <c:idx val="1"/>
          <c:order val="1"/>
          <c:tx>
            <c:strRef>
              <c:f>GRAPHES!$C$75</c:f>
              <c:strCache>
                <c:ptCount val="1"/>
                <c:pt idx="0">
                  <c:v>déc.-23</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GRAPHES!$A$76:$A$78</c:f>
              <c:strCache>
                <c:ptCount val="3"/>
                <c:pt idx="0">
                  <c:v> AFO</c:v>
                </c:pt>
                <c:pt idx="1">
                  <c:v> AFCE</c:v>
                </c:pt>
                <c:pt idx="2">
                  <c:v> AFS</c:v>
                </c:pt>
              </c:strCache>
            </c:strRef>
          </c:cat>
          <c:val>
            <c:numRef>
              <c:f>GRAPHES!$C$76:$C$78</c:f>
              <c:numCache>
                <c:formatCode>_-* #\ ##0\ _€_-;\-* #\ ##0\ _€_-;_-* "-"??\ _€_-;_-@_-</c:formatCode>
                <c:ptCount val="3"/>
                <c:pt idx="0">
                  <c:v>712.78761170999996</c:v>
                </c:pt>
                <c:pt idx="1">
                  <c:v>375.03108015999999</c:v>
                </c:pt>
                <c:pt idx="2">
                  <c:v>1087.8186918700001</c:v>
                </c:pt>
              </c:numCache>
            </c:numRef>
          </c:val>
          <c:extLst>
            <c:ext xmlns:c16="http://schemas.microsoft.com/office/drawing/2014/chart" uri="{C3380CC4-5D6E-409C-BE32-E72D297353CC}">
              <c16:uniqueId val="{00000001-ABA3-4B26-9E35-77A284828E75}"/>
            </c:ext>
          </c:extLst>
        </c:ser>
        <c:dLbls>
          <c:dLblPos val="outEnd"/>
          <c:showLegendKey val="0"/>
          <c:showVal val="1"/>
          <c:showCatName val="0"/>
          <c:showSerName val="0"/>
          <c:showPercent val="0"/>
          <c:showBubbleSize val="0"/>
        </c:dLbls>
        <c:gapWidth val="219"/>
        <c:overlap val="-27"/>
        <c:axId val="1913923248"/>
        <c:axId val="1913926160"/>
      </c:barChart>
      <c:catAx>
        <c:axId val="191392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13926160"/>
        <c:crosses val="autoZero"/>
        <c:auto val="1"/>
        <c:lblAlgn val="ctr"/>
        <c:lblOffset val="100"/>
        <c:noMultiLvlLbl val="0"/>
      </c:catAx>
      <c:valAx>
        <c:axId val="1913926160"/>
        <c:scaling>
          <c:orientation val="minMax"/>
        </c:scaling>
        <c:delete val="0"/>
        <c:axPos val="l"/>
        <c:majorGridlines>
          <c:spPr>
            <a:ln w="9525" cap="flat" cmpd="sng" algn="ctr">
              <a:noFill/>
              <a:round/>
            </a:ln>
            <a:effectLst/>
          </c:spPr>
        </c:majorGridlines>
        <c:numFmt formatCode="_-* #\ ##0\ _€_-;\-* #\ ##0\ _€_-;_-* &quot;-&quot;??\ _€_-;_-@_-"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fr-FR"/>
          </a:p>
        </c:txPr>
        <c:crossAx val="1913923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200" b="1">
                <a:latin typeface="Arial Narrow" panose="020B0606020202030204" pitchFamily="34" charset="0"/>
              </a:rPr>
              <a:t>Production</a:t>
            </a:r>
            <a:r>
              <a:rPr lang="fr-FR" sz="1200" b="1" baseline="0">
                <a:latin typeface="Arial Narrow" panose="020B0606020202030204" pitchFamily="34" charset="0"/>
              </a:rPr>
              <a:t> PPO AFS (en  K euros</a:t>
            </a:r>
            <a:r>
              <a:rPr lang="fr-FR" baseline="0"/>
              <a:t>)</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0.12865069991251094"/>
          <c:y val="0.17171296296296298"/>
          <c:w val="0.83523818897637792"/>
          <c:h val="0.61498432487605714"/>
        </c:manualLayout>
      </c:layout>
      <c:lineChart>
        <c:grouping val="standard"/>
        <c:varyColors val="0"/>
        <c:ser>
          <c:idx val="0"/>
          <c:order val="0"/>
          <c:tx>
            <c:strRef>
              <c:f>'PPO AFS'!$E$6</c:f>
              <c:strCache>
                <c:ptCount val="1"/>
                <c:pt idx="0">
                  <c:v>PPO 2022</c:v>
                </c:pt>
              </c:strCache>
            </c:strRef>
          </c:tx>
          <c:spPr>
            <a:ln w="28575" cap="rnd">
              <a:solidFill>
                <a:sysClr val="windowText" lastClr="000000"/>
              </a:solidFill>
              <a:round/>
            </a:ln>
            <a:effectLst/>
          </c:spPr>
          <c:marker>
            <c:symbol val="circle"/>
            <c:size val="5"/>
            <c:spPr>
              <a:solidFill>
                <a:schemeClr val="accent1"/>
              </a:solidFill>
              <a:ln w="9525">
                <a:solidFill>
                  <a:sysClr val="windowText" lastClr="000000"/>
                </a:solidFill>
              </a:ln>
              <a:effectLst/>
            </c:spPr>
          </c:marker>
          <c:dLbls>
            <c:dLbl>
              <c:idx val="0"/>
              <c:layout>
                <c:manualLayout>
                  <c:x val="-7.2041776027996524E-2"/>
                  <c:y val="4.8645742198891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92E-41AA-AFF4-1C656C6BAB45}"/>
                </c:ext>
              </c:extLst>
            </c:dLbl>
            <c:dLbl>
              <c:idx val="1"/>
              <c:layout>
                <c:manualLayout>
                  <c:x val="-2.4819553805774278E-2"/>
                  <c:y val="6.716426071741032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2E-41AA-AFF4-1C656C6BAB45}"/>
                </c:ext>
              </c:extLst>
            </c:dLbl>
            <c:dLbl>
              <c:idx val="2"/>
              <c:layout>
                <c:manualLayout>
                  <c:x val="-5.8152887139107712E-2"/>
                  <c:y val="-5.783573928258967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2E-41AA-AFF4-1C656C6BAB45}"/>
                </c:ext>
              </c:extLst>
            </c:dLbl>
            <c:dLbl>
              <c:idx val="4"/>
              <c:layout>
                <c:manualLayout>
                  <c:x val="-2.4819553805774379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AFF-4398-8982-284E364718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'PPO AFS'!$D$7:$D$18</c:f>
              <c:strCache>
                <c:ptCount val="12"/>
                <c:pt idx="0">
                  <c:v>JANVIER</c:v>
                </c:pt>
                <c:pt idx="1">
                  <c:v>FEVRIER</c:v>
                </c:pt>
                <c:pt idx="2">
                  <c:v>MARS</c:v>
                </c:pt>
                <c:pt idx="3">
                  <c:v>AVRIL</c:v>
                </c:pt>
                <c:pt idx="4">
                  <c:v>MAI</c:v>
                </c:pt>
                <c:pt idx="5">
                  <c:v>JUIN</c:v>
                </c:pt>
                <c:pt idx="6">
                  <c:v>JUILLET</c:v>
                </c:pt>
                <c:pt idx="7">
                  <c:v>AOUT</c:v>
                </c:pt>
                <c:pt idx="8">
                  <c:v>SEPTEMBRE</c:v>
                </c:pt>
                <c:pt idx="9">
                  <c:v>OCTOBRE</c:v>
                </c:pt>
                <c:pt idx="10">
                  <c:v>NOVEMBRE</c:v>
                </c:pt>
                <c:pt idx="11">
                  <c:v>DECEMBRE</c:v>
                </c:pt>
              </c:strCache>
            </c:strRef>
          </c:cat>
          <c:val>
            <c:numRef>
              <c:f>'PPO AFS'!$E$7:$E$18</c:f>
              <c:numCache>
                <c:formatCode>_-* #\ ##0_-;\-* #\ ##0_-;_-* "-"??_-;_-@_-</c:formatCode>
                <c:ptCount val="12"/>
                <c:pt idx="0">
                  <c:v>61850</c:v>
                </c:pt>
                <c:pt idx="1">
                  <c:v>75738.040429999994</c:v>
                </c:pt>
                <c:pt idx="2">
                  <c:v>99435.941099999996</c:v>
                </c:pt>
                <c:pt idx="3">
                  <c:v>89159.802899999995</c:v>
                </c:pt>
                <c:pt idx="4" formatCode="_-* #\ ##0\ _€_-;\-* #\ ##0\ _€_-;_-* &quot;-&quot;??\ _€_-;_-@_-">
                  <c:v>90021.372499999998</c:v>
                </c:pt>
                <c:pt idx="5" formatCode="_-* #\ ##0\ _€_-;\-* #\ ##0\ _€_-;_-* &quot;-&quot;??\ _€_-;_-@_-">
                  <c:v>96931.777039999986</c:v>
                </c:pt>
                <c:pt idx="6" formatCode="_-* #\ ##0\ _€_-;\-* #\ ##0\ _€_-;_-* &quot;-&quot;??\ _€_-;_-@_-">
                  <c:v>101432.53883999999</c:v>
                </c:pt>
                <c:pt idx="7" formatCode="_-* #\ ##0\ _€_-;\-* #\ ##0\ _€_-;_-* &quot;-&quot;??\ _€_-;_-@_-">
                  <c:v>112004.43498999999</c:v>
                </c:pt>
                <c:pt idx="8" formatCode="_-* #\ ##0\ _€_-;\-* #\ ##0\ _€_-;_-* &quot;-&quot;??\ _€_-;_-@_-">
                  <c:v>106272.24017999999</c:v>
                </c:pt>
                <c:pt idx="9" formatCode="_-* #\ ##0\ _€_-;\-* #\ ##0\ _€_-;_-* &quot;-&quot;??\ _€_-;_-@_-">
                  <c:v>96073.015880000006</c:v>
                </c:pt>
                <c:pt idx="10" formatCode="_-* #\ ##0\ _€_-;\-* #\ ##0\ _€_-;_-* &quot;-&quot;??\ _€_-;_-@_-">
                  <c:v>86918.096799999999</c:v>
                </c:pt>
                <c:pt idx="11" formatCode="_-* #\ ##0\ _€_-;\-* #\ ##0\ _€_-;_-* &quot;-&quot;??\ _€_-;_-@_-">
                  <c:v>70329.41936</c:v>
                </c:pt>
              </c:numCache>
            </c:numRef>
          </c:val>
          <c:smooth val="0"/>
          <c:extLst>
            <c:ext xmlns:c16="http://schemas.microsoft.com/office/drawing/2014/chart" uri="{C3380CC4-5D6E-409C-BE32-E72D297353CC}">
              <c16:uniqueId val="{00000003-E92E-41AA-AFF4-1C656C6BAB45}"/>
            </c:ext>
          </c:extLst>
        </c:ser>
        <c:ser>
          <c:idx val="1"/>
          <c:order val="1"/>
          <c:tx>
            <c:strRef>
              <c:f>'PPO AFS'!$F$6</c:f>
              <c:strCache>
                <c:ptCount val="1"/>
                <c:pt idx="0">
                  <c:v>PPO 2023</c:v>
                </c:pt>
              </c:strCache>
            </c:strRef>
          </c:tx>
          <c:spPr>
            <a:ln w="28575" cap="rnd">
              <a:solidFill>
                <a:schemeClr val="accent2"/>
              </a:solidFill>
              <a:round/>
            </a:ln>
            <a:effectLst/>
          </c:spPr>
          <c:marker>
            <c:symbol val="circle"/>
            <c:size val="5"/>
            <c:spPr>
              <a:solidFill>
                <a:srgbClr val="FF0000"/>
              </a:solidFill>
              <a:ln w="9525">
                <a:solidFill>
                  <a:schemeClr val="accent2"/>
                </a:solidFill>
              </a:ln>
              <a:effectLst/>
            </c:spPr>
          </c:marker>
          <c:dPt>
            <c:idx val="1"/>
            <c:marker>
              <c:symbol val="circle"/>
              <c:size val="5"/>
              <c:spPr>
                <a:solidFill>
                  <a:srgbClr val="FF0000"/>
                </a:solidFill>
                <a:ln w="9525">
                  <a:solidFill>
                    <a:srgbClr val="FF0000"/>
                  </a:solidFill>
                </a:ln>
                <a:effectLst/>
              </c:spPr>
            </c:marker>
            <c:bubble3D val="0"/>
            <c:spPr>
              <a:ln w="28575" cap="rnd">
                <a:solidFill>
                  <a:srgbClr val="FF0000"/>
                </a:solidFill>
                <a:round/>
              </a:ln>
              <a:effectLst/>
            </c:spPr>
            <c:extLst>
              <c:ext xmlns:c16="http://schemas.microsoft.com/office/drawing/2014/chart" uri="{C3380CC4-5D6E-409C-BE32-E72D297353CC}">
                <c16:uniqueId val="{00000005-E92E-41AA-AFF4-1C656C6BAB45}"/>
              </c:ext>
            </c:extLst>
          </c:dPt>
          <c:dPt>
            <c:idx val="2"/>
            <c:marker>
              <c:symbol val="circle"/>
              <c:size val="5"/>
              <c:spPr>
                <a:solidFill>
                  <a:srgbClr val="FF0000"/>
                </a:solidFill>
                <a:ln w="9525">
                  <a:solidFill>
                    <a:srgbClr val="FF0000"/>
                  </a:solidFill>
                </a:ln>
                <a:effectLst/>
              </c:spPr>
            </c:marker>
            <c:bubble3D val="0"/>
            <c:spPr>
              <a:ln w="28575" cap="rnd">
                <a:solidFill>
                  <a:srgbClr val="FF0000"/>
                </a:solidFill>
                <a:round/>
              </a:ln>
              <a:effectLst/>
            </c:spPr>
            <c:extLst>
              <c:ext xmlns:c16="http://schemas.microsoft.com/office/drawing/2014/chart" uri="{C3380CC4-5D6E-409C-BE32-E72D297353CC}">
                <c16:uniqueId val="{00000007-E92E-41AA-AFF4-1C656C6BAB45}"/>
              </c:ext>
            </c:extLst>
          </c:dPt>
          <c:dPt>
            <c:idx val="3"/>
            <c:marker>
              <c:symbol val="circle"/>
              <c:size val="5"/>
              <c:spPr>
                <a:solidFill>
                  <a:srgbClr val="FF0000"/>
                </a:solidFill>
                <a:ln w="9525">
                  <a:solidFill>
                    <a:srgbClr val="FF0000"/>
                  </a:solidFill>
                </a:ln>
                <a:effectLst/>
              </c:spPr>
            </c:marker>
            <c:bubble3D val="0"/>
            <c:spPr>
              <a:ln w="28575" cap="rnd">
                <a:solidFill>
                  <a:srgbClr val="FF0000"/>
                </a:solidFill>
                <a:round/>
              </a:ln>
              <a:effectLst/>
            </c:spPr>
            <c:extLst>
              <c:ext xmlns:c16="http://schemas.microsoft.com/office/drawing/2014/chart" uri="{C3380CC4-5D6E-409C-BE32-E72D297353CC}">
                <c16:uniqueId val="{00000009-E92E-41AA-AFF4-1C656C6BAB45}"/>
              </c:ext>
            </c:extLst>
          </c:dPt>
          <c:dLbls>
            <c:dLbl>
              <c:idx val="1"/>
              <c:layout>
                <c:manualLayout>
                  <c:x val="-7.7597331583552059E-2"/>
                  <c:y val="-4.857648002333046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2E-41AA-AFF4-1C656C6BAB45}"/>
                </c:ext>
              </c:extLst>
            </c:dLbl>
            <c:dLbl>
              <c:idx val="2"/>
              <c:layout>
                <c:manualLayout>
                  <c:x val="-6.0930664916885389E-2"/>
                  <c:y val="4.8645742198891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2E-41AA-AFF4-1C656C6BAB45}"/>
                </c:ext>
              </c:extLst>
            </c:dLbl>
            <c:dLbl>
              <c:idx val="3"/>
              <c:layout>
                <c:manualLayout>
                  <c:x val="-4.9819553805774276E-2"/>
                  <c:y val="3.47568533100029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2E-41AA-AFF4-1C656C6BAB45}"/>
                </c:ext>
              </c:extLst>
            </c:dLbl>
            <c:dLbl>
              <c:idx val="4"/>
              <c:layout>
                <c:manualLayout>
                  <c:x val="-4.981955380577438E-2"/>
                  <c:y val="-6.7094998541848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AFF-4398-8982-284E364718C3}"/>
                </c:ext>
              </c:extLst>
            </c:dLbl>
            <c:dLbl>
              <c:idx val="5"/>
              <c:layout>
                <c:manualLayout>
                  <c:x val="-3.5061679790026348E-2"/>
                  <c:y val="7.179389034703995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9BC-4D00-A74D-B107B9FF4AE4}"/>
                </c:ext>
              </c:extLst>
            </c:dLbl>
            <c:dLbl>
              <c:idx val="6"/>
              <c:layout>
                <c:manualLayout>
                  <c:x val="-4.4562773403324686E-2"/>
                  <c:y val="5.32753718285214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489-4D74-86AF-E5BAA239CD83}"/>
                </c:ext>
              </c:extLst>
            </c:dLbl>
            <c:dLbl>
              <c:idx val="7"/>
              <c:layout>
                <c:manualLayout>
                  <c:x val="-4.4660761154855538E-2"/>
                  <c:y val="6.2534631087780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E9-4D4F-B15D-5EACE808ABF1}"/>
                </c:ext>
              </c:extLst>
            </c:dLbl>
            <c:dLbl>
              <c:idx val="8"/>
              <c:layout>
                <c:manualLayout>
                  <c:x val="-4.4039438252036676E-2"/>
                  <c:y val="9.0675972656293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DE-4B07-8295-82CD38FAC4A3}"/>
                </c:ext>
              </c:extLst>
            </c:dLbl>
            <c:dLbl>
              <c:idx val="9"/>
              <c:layout>
                <c:manualLayout>
                  <c:x val="-1.1996454988580972E-2"/>
                  <c:y val="5.379841194465002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FA-41FB-9DE2-BED2AC605AD2}"/>
                </c:ext>
              </c:extLst>
            </c:dLbl>
            <c:dLbl>
              <c:idx val="10"/>
              <c:layout>
                <c:manualLayout>
                  <c:x val="-2.9807406229103516E-2"/>
                  <c:y val="6.7823657386445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96-40CE-ABF4-5781249C2647}"/>
                </c:ext>
              </c:extLst>
            </c:dLbl>
            <c:dLbl>
              <c:idx val="11"/>
              <c:layout>
                <c:manualLayout>
                  <c:x val="-3.2687917377331337E-2"/>
                  <c:y val="6.7823657386445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A91-4290-9137-72FE413A92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'PPO AFS'!$D$7:$D$18</c:f>
              <c:strCache>
                <c:ptCount val="12"/>
                <c:pt idx="0">
                  <c:v>JANVIER</c:v>
                </c:pt>
                <c:pt idx="1">
                  <c:v>FEVRIER</c:v>
                </c:pt>
                <c:pt idx="2">
                  <c:v>MARS</c:v>
                </c:pt>
                <c:pt idx="3">
                  <c:v>AVRIL</c:v>
                </c:pt>
                <c:pt idx="4">
                  <c:v>MAI</c:v>
                </c:pt>
                <c:pt idx="5">
                  <c:v>JUIN</c:v>
                </c:pt>
                <c:pt idx="6">
                  <c:v>JUILLET</c:v>
                </c:pt>
                <c:pt idx="7">
                  <c:v>AOUT</c:v>
                </c:pt>
                <c:pt idx="8">
                  <c:v>SEPTEMBRE</c:v>
                </c:pt>
                <c:pt idx="9">
                  <c:v>OCTOBRE</c:v>
                </c:pt>
                <c:pt idx="10">
                  <c:v>NOVEMBRE</c:v>
                </c:pt>
                <c:pt idx="11">
                  <c:v>DECEMBRE</c:v>
                </c:pt>
              </c:strCache>
            </c:strRef>
          </c:cat>
          <c:val>
            <c:numRef>
              <c:f>'PPO AFS'!$F$7:$F$18</c:f>
              <c:numCache>
                <c:formatCode>_-* #\ ##0_-;\-* #\ ##0_-;_-* "-"??_-;_-@_-</c:formatCode>
                <c:ptCount val="12"/>
                <c:pt idx="0">
                  <c:v>67275</c:v>
                </c:pt>
                <c:pt idx="1">
                  <c:v>77088.727920000005</c:v>
                </c:pt>
                <c:pt idx="2">
                  <c:v>96397.155650000001</c:v>
                </c:pt>
                <c:pt idx="3">
                  <c:v>79302.926080000005</c:v>
                </c:pt>
                <c:pt idx="4" formatCode="_-* #\ ##0\ _€_-;\-* #\ ##0\ _€_-;_-* &quot;-&quot;??\ _€_-;_-@_-">
                  <c:v>94224.593210000006</c:v>
                </c:pt>
                <c:pt idx="5" formatCode="_-* #\ ##0\ _€_-;\-* #\ ##0\ _€_-;_-* &quot;-&quot;??\ _€_-;_-@_-">
                  <c:v>94923.482520000005</c:v>
                </c:pt>
                <c:pt idx="6" formatCode="_-* #\ ##0\ _€_-;\-* #\ ##0\ _€_-;_-* &quot;-&quot;??\ _€_-;_-@_-">
                  <c:v>96537.993659999993</c:v>
                </c:pt>
                <c:pt idx="7" formatCode="_-* #\ ##0\ _€_-;\-* #\ ##0\ _€_-;_-* &quot;-&quot;??\ _€_-;_-@_-">
                  <c:v>107074.85936</c:v>
                </c:pt>
                <c:pt idx="8" formatCode="_-* #\ ##0\ _€_-;\-* #\ ##0\ _€_-;_-* &quot;-&quot;??\ _€_-;_-@_-">
                  <c:v>93382.828680000006</c:v>
                </c:pt>
                <c:pt idx="9" formatCode="_-* #\ ##0\ _€_-;\-* #\ ##0\ _€_-;_-* &quot;-&quot;??\ _€_-;_-@_-">
                  <c:v>93940.298590000006</c:v>
                </c:pt>
                <c:pt idx="10" formatCode="_-* #\ ##0\ _€_-;\-* #\ ##0\ _€_-;_-* &quot;-&quot;??\ _€_-;_-@_-">
                  <c:v>83480.09547</c:v>
                </c:pt>
                <c:pt idx="11" formatCode="_-* #\ ##0\ _€_-;\-* #\ ##0\ _€_-;_-* &quot;-&quot;??\ _€_-;_-@_-">
                  <c:v>68371.41833</c:v>
                </c:pt>
              </c:numCache>
            </c:numRef>
          </c:val>
          <c:smooth val="0"/>
          <c:extLst>
            <c:ext xmlns:c16="http://schemas.microsoft.com/office/drawing/2014/chart" uri="{C3380CC4-5D6E-409C-BE32-E72D297353CC}">
              <c16:uniqueId val="{0000000A-E92E-41AA-AFF4-1C656C6BAB45}"/>
            </c:ext>
          </c:extLst>
        </c:ser>
        <c:dLbls>
          <c:dLblPos val="t"/>
          <c:showLegendKey val="0"/>
          <c:showVal val="1"/>
          <c:showCatName val="0"/>
          <c:showSerName val="0"/>
          <c:showPercent val="0"/>
          <c:showBubbleSize val="0"/>
        </c:dLbls>
        <c:marker val="1"/>
        <c:smooth val="0"/>
        <c:axId val="178531695"/>
        <c:axId val="178552079"/>
      </c:lineChart>
      <c:catAx>
        <c:axId val="17853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8552079"/>
        <c:crosses val="autoZero"/>
        <c:auto val="1"/>
        <c:lblAlgn val="ctr"/>
        <c:lblOffset val="100"/>
        <c:noMultiLvlLbl val="0"/>
      </c:catAx>
      <c:valAx>
        <c:axId val="178552079"/>
        <c:scaling>
          <c:orientation val="minMax"/>
        </c:scaling>
        <c:delete val="0"/>
        <c:axPos val="l"/>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8531695"/>
        <c:crosses val="autoZero"/>
        <c:crossBetween val="between"/>
      </c:valAx>
      <c:spPr>
        <a:noFill/>
        <a:ln>
          <a:noFill/>
        </a:ln>
        <a:effectLst/>
      </c:spPr>
    </c:plotArea>
    <c:legend>
      <c:legendPos val="b"/>
      <c:layout>
        <c:manualLayout>
          <c:xMode val="edge"/>
          <c:yMode val="edge"/>
          <c:x val="0.36636354799084458"/>
          <c:y val="0.91643236040095266"/>
          <c:w val="0.26727290401831083"/>
          <c:h val="5.55171487154568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200" b="1">
                <a:latin typeface="Arial Narrow" panose="020B0606020202030204" pitchFamily="34" charset="0"/>
              </a:rPr>
              <a:t>Evolution</a:t>
            </a:r>
            <a:r>
              <a:rPr lang="fr-FR" sz="1200" b="1" baseline="0">
                <a:latin typeface="Arial Narrow" panose="020B0606020202030204" pitchFamily="34" charset="0"/>
              </a:rPr>
              <a:t> du stocks Clients AFS</a:t>
            </a:r>
            <a:endParaRPr lang="fr-FR" sz="1200" b="1">
              <a:latin typeface="Arial Narrow" panose="020B0606020202030204" pitchFamily="34" charset="0"/>
            </a:endParaRPr>
          </a:p>
        </c:rich>
      </c:tx>
      <c:layout>
        <c:manualLayout>
          <c:xMode val="edge"/>
          <c:yMode val="edge"/>
          <c:x val="0.32393191886870715"/>
          <c:y val="3.24976787372330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percentStacked"/>
        <c:varyColors val="0"/>
        <c:ser>
          <c:idx val="0"/>
          <c:order val="0"/>
          <c:tx>
            <c:strRef>
              <c:f>'STOCK CLIENTS AFS'!$G$5</c:f>
              <c:strCache>
                <c:ptCount val="1"/>
                <c:pt idx="0">
                  <c:v>STOCKS CLIENTS</c:v>
                </c:pt>
              </c:strCache>
            </c:strRef>
          </c:tx>
          <c:spPr>
            <a:solidFill>
              <a:schemeClr val="bg2">
                <a:lumMod val="90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'STOCK CLIENTS AFS'!$F$6:$F$17</c:f>
              <c:strCache>
                <c:ptCount val="12"/>
                <c:pt idx="0">
                  <c:v>JANVIER</c:v>
                </c:pt>
                <c:pt idx="1">
                  <c:v>FEVRIER</c:v>
                </c:pt>
                <c:pt idx="2">
                  <c:v>MARS</c:v>
                </c:pt>
                <c:pt idx="3">
                  <c:v>AVRIL</c:v>
                </c:pt>
                <c:pt idx="4">
                  <c:v>MAI</c:v>
                </c:pt>
                <c:pt idx="5">
                  <c:v>JUIN</c:v>
                </c:pt>
                <c:pt idx="6">
                  <c:v>JUILLET</c:v>
                </c:pt>
                <c:pt idx="7">
                  <c:v>AOUT</c:v>
                </c:pt>
                <c:pt idx="8">
                  <c:v>SEPTEMBRE</c:v>
                </c:pt>
                <c:pt idx="9">
                  <c:v>OCTOBRE</c:v>
                </c:pt>
                <c:pt idx="10">
                  <c:v>NOVEMBRE</c:v>
                </c:pt>
                <c:pt idx="11">
                  <c:v>DECEMBRE</c:v>
                </c:pt>
              </c:strCache>
            </c:strRef>
          </c:cat>
          <c:val>
            <c:numRef>
              <c:f>'STOCK CLIENTS AFS'!$G$6:$G$17</c:f>
              <c:numCache>
                <c:formatCode>_-* #\ ##0_-;\-* #\ ##0_-;_-* "-"??_-;_-@_-</c:formatCode>
                <c:ptCount val="12"/>
                <c:pt idx="0">
                  <c:v>1983911</c:v>
                </c:pt>
                <c:pt idx="1">
                  <c:v>1993421</c:v>
                </c:pt>
                <c:pt idx="2">
                  <c:v>1991687</c:v>
                </c:pt>
                <c:pt idx="3">
                  <c:v>1997687</c:v>
                </c:pt>
                <c:pt idx="4" formatCode="_-* #\ ##0\ _€_-;\-* #\ ##0\ _€_-;_-* &quot;-&quot;??\ _€_-;_-@_-">
                  <c:v>2009043</c:v>
                </c:pt>
                <c:pt idx="5" formatCode="_-* #\ ##0\ _€_-;\-* #\ ##0\ _€_-;_-* &quot;-&quot;??\ _€_-;_-@_-">
                  <c:v>2015717</c:v>
                </c:pt>
                <c:pt idx="6" formatCode="_-* #\ ##0\ _€_-;\-* #\ ##0\ _€_-;_-* &quot;-&quot;??\ _€_-;_-@_-">
                  <c:v>2022600</c:v>
                </c:pt>
                <c:pt idx="7" formatCode="_-* #\ ##0\ _€_-;\-* #\ ##0\ _€_-;_-* &quot;-&quot;??\ _€_-;_-@_-">
                  <c:v>2021965</c:v>
                </c:pt>
                <c:pt idx="8" formatCode="_-* #\ ##0\ _€_-;\-* #\ ##0\ _€_-;_-* &quot;-&quot;??\ _€_-;_-@_-">
                  <c:v>2019331</c:v>
                </c:pt>
                <c:pt idx="9" formatCode="_-* #\ ##0\ _€_-;\-* #\ ##0\ _€_-;_-* &quot;-&quot;??\ _€_-;_-@_-">
                  <c:v>2020853</c:v>
                </c:pt>
                <c:pt idx="10" formatCode="_-* #\ ##0\ _€_-;\-* #\ ##0\ _€_-;_-* &quot;-&quot;??\ _€_-;_-@_-">
                  <c:v>2015981</c:v>
                </c:pt>
                <c:pt idx="11" formatCode="_-* #\ ##0\ _€_-;\-* #\ ##0\ _€_-;_-* &quot;-&quot;??\ _€_-;_-@_-">
                  <c:v>2002484</c:v>
                </c:pt>
              </c:numCache>
            </c:numRef>
          </c:val>
          <c:extLst>
            <c:ext xmlns:c16="http://schemas.microsoft.com/office/drawing/2014/chart" uri="{C3380CC4-5D6E-409C-BE32-E72D297353CC}">
              <c16:uniqueId val="{00000000-3450-459F-89D4-C040ED416571}"/>
            </c:ext>
          </c:extLst>
        </c:ser>
        <c:ser>
          <c:idx val="1"/>
          <c:order val="1"/>
          <c:tx>
            <c:strRef>
              <c:f>'STOCK CLIENTS AFS'!$H$5</c:f>
              <c:strCache>
                <c:ptCount val="1"/>
                <c:pt idx="0">
                  <c:v>STOCKS CLIENTS ACTIFS</c:v>
                </c:pt>
              </c:strCache>
            </c:strRef>
          </c:tx>
          <c:spPr>
            <a:solidFill>
              <a:schemeClr val="tx1"/>
            </a:solidFill>
            <a:ln>
              <a:noFill/>
            </a:ln>
            <a:effectLst/>
          </c:spPr>
          <c:invertIfNegative val="0"/>
          <c:dLbls>
            <c:dLbl>
              <c:idx val="0"/>
              <c:layout>
                <c:manualLayout>
                  <c:x val="6.6401062416998466E-3"/>
                  <c:y val="9.259259259259217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50-459F-89D4-C040ED416571}"/>
                </c:ext>
              </c:extLst>
            </c:dLbl>
            <c:dLbl>
              <c:idx val="1"/>
              <c:layout>
                <c:manualLayout>
                  <c:x val="8.8534749889331559E-3"/>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50-459F-89D4-C040ED416571}"/>
                </c:ext>
              </c:extLst>
            </c:dLbl>
            <c:dLbl>
              <c:idx val="2"/>
              <c:layout>
                <c:manualLayout>
                  <c:x val="4.426737494466578E-3"/>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50-459F-89D4-C040ED416571}"/>
                </c:ext>
              </c:extLst>
            </c:dLbl>
            <c:dLbl>
              <c:idx val="3"/>
              <c:layout>
                <c:manualLayout>
                  <c:x val="6.6401062416997858E-3"/>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450-459F-89D4-C040ED416571}"/>
                </c:ext>
              </c:extLst>
            </c:dLbl>
            <c:numFmt formatCode="#,##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'STOCK CLIENTS AFS'!$F$6:$F$17</c:f>
              <c:strCache>
                <c:ptCount val="12"/>
                <c:pt idx="0">
                  <c:v>JANVIER</c:v>
                </c:pt>
                <c:pt idx="1">
                  <c:v>FEVRIER</c:v>
                </c:pt>
                <c:pt idx="2">
                  <c:v>MARS</c:v>
                </c:pt>
                <c:pt idx="3">
                  <c:v>AVRIL</c:v>
                </c:pt>
                <c:pt idx="4">
                  <c:v>MAI</c:v>
                </c:pt>
                <c:pt idx="5">
                  <c:v>JUIN</c:v>
                </c:pt>
                <c:pt idx="6">
                  <c:v>JUILLET</c:v>
                </c:pt>
                <c:pt idx="7">
                  <c:v>AOUT</c:v>
                </c:pt>
                <c:pt idx="8">
                  <c:v>SEPTEMBRE</c:v>
                </c:pt>
                <c:pt idx="9">
                  <c:v>OCTOBRE</c:v>
                </c:pt>
                <c:pt idx="10">
                  <c:v>NOVEMBRE</c:v>
                </c:pt>
                <c:pt idx="11">
                  <c:v>DECEMBRE</c:v>
                </c:pt>
              </c:strCache>
            </c:strRef>
          </c:cat>
          <c:val>
            <c:numRef>
              <c:f>'STOCK CLIENTS AFS'!$H$6:$H$17</c:f>
              <c:numCache>
                <c:formatCode>_-* #\ ##0_-;\-* #\ ##0_-;_-* "-"??_-;_-@_-</c:formatCode>
                <c:ptCount val="12"/>
                <c:pt idx="0">
                  <c:v>1296049</c:v>
                </c:pt>
                <c:pt idx="1">
                  <c:v>1309057</c:v>
                </c:pt>
                <c:pt idx="2">
                  <c:v>1313730</c:v>
                </c:pt>
                <c:pt idx="3">
                  <c:v>1314244</c:v>
                </c:pt>
                <c:pt idx="4" formatCode="_-* #\ ##0\ _€_-;\-* #\ ##0\ _€_-;_-* &quot;-&quot;??\ _€_-;_-@_-">
                  <c:v>1312738</c:v>
                </c:pt>
                <c:pt idx="5" formatCode="_-* #\ ##0\ _€_-;\-* #\ ##0\ _€_-;_-* &quot;-&quot;??\ _€_-;_-@_-">
                  <c:v>1320601</c:v>
                </c:pt>
                <c:pt idx="6" formatCode="_-* #\ ##0\ _€_-;\-* #\ ##0\ _€_-;_-* &quot;-&quot;??\ _€_-;_-@_-">
                  <c:v>1385766</c:v>
                </c:pt>
                <c:pt idx="7" formatCode="_-* #\ ##0\ _€_-;\-* #\ ##0\ _€_-;_-* &quot;-&quot;??\ _€_-;_-@_-">
                  <c:v>1394614</c:v>
                </c:pt>
                <c:pt idx="8" formatCode="_-* #\ ##0\ _€_-;\-* #\ ##0\ _€_-;_-* &quot;-&quot;??\ _€_-;_-@_-">
                  <c:v>1382033</c:v>
                </c:pt>
                <c:pt idx="9" formatCode="_-* #\ ##0\ _€_-;\-* #\ ##0\ _€_-;_-* &quot;-&quot;??\ _€_-;_-@_-">
                  <c:v>1321480</c:v>
                </c:pt>
                <c:pt idx="10" formatCode="_-* #\ ##0\ _€_-;\-* #\ ##0\ _€_-;_-* &quot;-&quot;??\ _€_-;_-@_-">
                  <c:v>1320808</c:v>
                </c:pt>
                <c:pt idx="11" formatCode="_-* #\ ##0\ _€_-;\-* #\ ##0\ _€_-;_-* &quot;-&quot;??\ _€_-;_-@_-">
                  <c:v>1317176</c:v>
                </c:pt>
              </c:numCache>
            </c:numRef>
          </c:val>
          <c:extLst>
            <c:ext xmlns:c16="http://schemas.microsoft.com/office/drawing/2014/chart" uri="{C3380CC4-5D6E-409C-BE32-E72D297353CC}">
              <c16:uniqueId val="{00000005-3450-459F-89D4-C040ED416571}"/>
            </c:ext>
          </c:extLst>
        </c:ser>
        <c:dLbls>
          <c:showLegendKey val="0"/>
          <c:showVal val="1"/>
          <c:showCatName val="0"/>
          <c:showSerName val="0"/>
          <c:showPercent val="0"/>
          <c:showBubbleSize val="0"/>
        </c:dLbls>
        <c:gapWidth val="219"/>
        <c:overlap val="100"/>
        <c:axId val="1762019951"/>
        <c:axId val="1762020367"/>
      </c:barChart>
      <c:catAx>
        <c:axId val="1762019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62020367"/>
        <c:crosses val="autoZero"/>
        <c:auto val="1"/>
        <c:lblAlgn val="ctr"/>
        <c:lblOffset val="100"/>
        <c:noMultiLvlLbl val="0"/>
      </c:catAx>
      <c:valAx>
        <c:axId val="176202036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62019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Production </a:t>
            </a:r>
            <a:r>
              <a:rPr lang="fr-FR" sz="1200" b="1" baseline="0"/>
              <a:t>YTD 2021 </a:t>
            </a:r>
            <a:r>
              <a:rPr lang="fr-FR" sz="1200" b="1"/>
              <a:t>vs Budget 2021</a:t>
            </a:r>
          </a:p>
        </c:rich>
      </c:tx>
      <c:layout>
        <c:manualLayout>
          <c:xMode val="edge"/>
          <c:yMode val="edge"/>
          <c:x val="0.25194953572923262"/>
          <c:y val="3.803179002879474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66296635161268"/>
          <c:w val="0.89920800524934386"/>
          <c:h val="0.6025199385998047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F9D3-484F-8D25-D1398BFEA438}"/>
              </c:ext>
            </c:extLst>
          </c:dPt>
          <c:dPt>
            <c:idx val="1"/>
            <c:invertIfNegative val="0"/>
            <c:bubble3D val="0"/>
            <c:spPr>
              <a:solidFill>
                <a:schemeClr val="tx1"/>
              </a:solidFill>
              <a:ln>
                <a:noFill/>
              </a:ln>
              <a:effectLst/>
            </c:spPr>
            <c:extLst>
              <c:ext xmlns:c16="http://schemas.microsoft.com/office/drawing/2014/chart" uri="{C3380CC4-5D6E-409C-BE32-E72D297353CC}">
                <c16:uniqueId val="{00000003-F9D3-484F-8D25-D1398BFEA438}"/>
              </c:ext>
            </c:extLst>
          </c:dPt>
          <c:dPt>
            <c:idx val="2"/>
            <c:invertIfNegative val="0"/>
            <c:bubble3D val="0"/>
            <c:spPr>
              <a:solidFill>
                <a:schemeClr val="tx1"/>
              </a:solidFill>
              <a:ln>
                <a:noFill/>
              </a:ln>
              <a:effectLst/>
            </c:spPr>
            <c:extLst>
              <c:ext xmlns:c16="http://schemas.microsoft.com/office/drawing/2014/chart" uri="{C3380CC4-5D6E-409C-BE32-E72D297353CC}">
                <c16:uniqueId val="{00000005-F9D3-484F-8D25-D1398BFEA438}"/>
              </c:ext>
            </c:extLst>
          </c:dPt>
          <c:dPt>
            <c:idx val="3"/>
            <c:invertIfNegative val="0"/>
            <c:bubble3D val="0"/>
            <c:spPr>
              <a:solidFill>
                <a:schemeClr val="tx1"/>
              </a:solidFill>
              <a:ln>
                <a:noFill/>
              </a:ln>
              <a:effectLst/>
            </c:spPr>
            <c:extLst>
              <c:ext xmlns:c16="http://schemas.microsoft.com/office/drawing/2014/chart" uri="{C3380CC4-5D6E-409C-BE32-E72D297353CC}">
                <c16:uniqueId val="{00000007-F9D3-484F-8D25-D1398BFEA438}"/>
              </c:ext>
            </c:extLst>
          </c:dPt>
          <c:dPt>
            <c:idx val="4"/>
            <c:invertIfNegative val="0"/>
            <c:bubble3D val="0"/>
            <c:spPr>
              <a:solidFill>
                <a:schemeClr val="tx1"/>
              </a:solidFill>
              <a:ln>
                <a:noFill/>
              </a:ln>
              <a:effectLst/>
            </c:spPr>
            <c:extLst>
              <c:ext xmlns:c16="http://schemas.microsoft.com/office/drawing/2014/chart" uri="{C3380CC4-5D6E-409C-BE32-E72D297353CC}">
                <c16:uniqueId val="{00000009-F9D3-484F-8D25-D1398BFEA438}"/>
              </c:ext>
            </c:extLst>
          </c:dPt>
          <c:dPt>
            <c:idx val="5"/>
            <c:invertIfNegative val="0"/>
            <c:bubble3D val="0"/>
            <c:spPr>
              <a:solidFill>
                <a:schemeClr val="tx1"/>
              </a:solidFill>
              <a:ln>
                <a:noFill/>
              </a:ln>
              <a:effectLst/>
            </c:spPr>
            <c:extLst>
              <c:ext xmlns:c16="http://schemas.microsoft.com/office/drawing/2014/chart" uri="{C3380CC4-5D6E-409C-BE32-E72D297353CC}">
                <c16:uniqueId val="{0000000B-F9D3-484F-8D25-D1398BFEA438}"/>
              </c:ext>
            </c:extLst>
          </c:dPt>
          <c:dPt>
            <c:idx val="6"/>
            <c:invertIfNegative val="0"/>
            <c:bubble3D val="0"/>
            <c:spPr>
              <a:solidFill>
                <a:schemeClr val="tx1"/>
              </a:solidFill>
              <a:ln>
                <a:noFill/>
              </a:ln>
              <a:effectLst/>
            </c:spPr>
            <c:extLst>
              <c:ext xmlns:c16="http://schemas.microsoft.com/office/drawing/2014/chart" uri="{C3380CC4-5D6E-409C-BE32-E72D297353CC}">
                <c16:uniqueId val="{0000000D-F9D3-484F-8D25-D1398BFEA438}"/>
              </c:ext>
            </c:extLst>
          </c:dPt>
          <c:dPt>
            <c:idx val="7"/>
            <c:invertIfNegative val="0"/>
            <c:bubble3D val="0"/>
            <c:spPr>
              <a:solidFill>
                <a:srgbClr val="FF0000"/>
              </a:solidFill>
              <a:ln>
                <a:noFill/>
              </a:ln>
              <a:effectLst/>
            </c:spPr>
            <c:extLst>
              <c:ext xmlns:c16="http://schemas.microsoft.com/office/drawing/2014/chart" uri="{C3380CC4-5D6E-409C-BE32-E72D297353CC}">
                <c16:uniqueId val="{0000000F-F9D3-484F-8D25-D1398BFEA438}"/>
              </c:ext>
            </c:extLst>
          </c:dPt>
          <c:dPt>
            <c:idx val="8"/>
            <c:invertIfNegative val="0"/>
            <c:bubble3D val="0"/>
            <c:spPr>
              <a:solidFill>
                <a:srgbClr val="FF0000"/>
              </a:solidFill>
              <a:ln>
                <a:noFill/>
              </a:ln>
              <a:effectLst/>
            </c:spPr>
            <c:extLst>
              <c:ext xmlns:c16="http://schemas.microsoft.com/office/drawing/2014/chart" uri="{C3380CC4-5D6E-409C-BE32-E72D297353CC}">
                <c16:uniqueId val="{00000011-F9D3-484F-8D25-D1398BFEA438}"/>
              </c:ext>
            </c:extLst>
          </c:dPt>
          <c:dPt>
            <c:idx val="9"/>
            <c:invertIfNegative val="0"/>
            <c:bubble3D val="0"/>
            <c:spPr>
              <a:solidFill>
                <a:srgbClr val="FF0000"/>
              </a:solidFill>
              <a:ln>
                <a:noFill/>
              </a:ln>
              <a:effectLst/>
            </c:spPr>
            <c:extLst>
              <c:ext xmlns:c16="http://schemas.microsoft.com/office/drawing/2014/chart" uri="{C3380CC4-5D6E-409C-BE32-E72D297353CC}">
                <c16:uniqueId val="{00000013-F9D3-484F-8D25-D1398BFEA438}"/>
              </c:ext>
            </c:extLst>
          </c:dPt>
          <c:dPt>
            <c:idx val="10"/>
            <c:invertIfNegative val="0"/>
            <c:bubble3D val="0"/>
            <c:spPr>
              <a:solidFill>
                <a:srgbClr val="FF0000"/>
              </a:solidFill>
              <a:ln>
                <a:noFill/>
              </a:ln>
              <a:effectLst/>
            </c:spPr>
            <c:extLst>
              <c:ext xmlns:c16="http://schemas.microsoft.com/office/drawing/2014/chart" uri="{C3380CC4-5D6E-409C-BE32-E72D297353CC}">
                <c16:uniqueId val="{00000015-F9D3-484F-8D25-D1398BFEA438}"/>
              </c:ext>
            </c:extLst>
          </c:dPt>
          <c:dLbls>
            <c:dLbl>
              <c:idx val="0"/>
              <c:layout>
                <c:manualLayout>
                  <c:x val="9.5936283826590646E-5"/>
                  <c:y val="-2.83574042297774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D3-484F-8D25-D1398BFEA438}"/>
                </c:ext>
              </c:extLst>
            </c:dLbl>
            <c:dLbl>
              <c:idx val="2"/>
              <c:layout>
                <c:manualLayout>
                  <c:x val="5.4554710833559072E-3"/>
                  <c:y val="-1.88639868329975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D3-484F-8D25-D1398BFEA438}"/>
                </c:ext>
              </c:extLst>
            </c:dLbl>
            <c:dLbl>
              <c:idx val="3"/>
              <c:layout>
                <c:manualLayout>
                  <c:x val="5.6025831757542666E-3"/>
                  <c:y val="-5.72905062461926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9D3-484F-8D25-D1398BFEA438}"/>
                </c:ext>
              </c:extLst>
            </c:dLbl>
            <c:dLbl>
              <c:idx val="4"/>
              <c:layout>
                <c:manualLayout>
                  <c:x val="2.2783736084713548E-2"/>
                  <c:y val="-3.34225477733088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9D3-484F-8D25-D1398BFEA438}"/>
                </c:ext>
              </c:extLst>
            </c:dLbl>
            <c:dLbl>
              <c:idx val="6"/>
              <c:layout>
                <c:manualLayout>
                  <c:x val="5.5555555555555558E-3"/>
                  <c:y val="3.21897262842136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9D3-484F-8D25-D1398BFEA438}"/>
                </c:ext>
              </c:extLst>
            </c:dLbl>
            <c:dLbl>
              <c:idx val="7"/>
              <c:layout>
                <c:manualLayout>
                  <c:x val="1.1391981174766842E-2"/>
                  <c:y val="-3.7396068649739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9D3-484F-8D25-D1398BFEA438}"/>
                </c:ext>
              </c:extLst>
            </c:dLbl>
            <c:dLbl>
              <c:idx val="8"/>
              <c:layout>
                <c:manualLayout>
                  <c:x val="2.7711795580338534E-3"/>
                  <c:y val="-4.69861701572713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9D3-484F-8D25-D1398BFEA438}"/>
                </c:ext>
              </c:extLst>
            </c:dLbl>
            <c:dLbl>
              <c:idx val="10"/>
              <c:layout>
                <c:manualLayout>
                  <c:x val="5.1724137931034378E-2"/>
                  <c:y val="2.2809489753510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9D3-484F-8D25-D1398BFEA43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détaillé'!$H$6:$H$12,'Tableau détaillé'!$H$14:$H$17)</c:f>
              <c:numCache>
                <c:formatCode>0.0%</c:formatCode>
                <c:ptCount val="11"/>
                <c:pt idx="0">
                  <c:v>0.8768047811141304</c:v>
                </c:pt>
                <c:pt idx="1">
                  <c:v>0.65034735217816808</c:v>
                </c:pt>
                <c:pt idx="2">
                  <c:v>1.0182901815228522</c:v>
                </c:pt>
                <c:pt idx="3">
                  <c:v>0.61917954643017015</c:v>
                </c:pt>
                <c:pt idx="4">
                  <c:v>0.71147077719512197</c:v>
                </c:pt>
                <c:pt idx="5">
                  <c:v>0.67870097471657753</c:v>
                </c:pt>
                <c:pt idx="6">
                  <c:v>0.94264552129032264</c:v>
                </c:pt>
                <c:pt idx="7">
                  <c:v>1.1536743217981034</c:v>
                </c:pt>
                <c:pt idx="8">
                  <c:v>1.0713839808764007</c:v>
                </c:pt>
                <c:pt idx="9">
                  <c:v>1.5387459099919745</c:v>
                </c:pt>
                <c:pt idx="10">
                  <c:v>0.78952532884300042</c:v>
                </c:pt>
              </c:numCache>
            </c:numRef>
          </c:val>
          <c:extLst>
            <c:ext xmlns:c16="http://schemas.microsoft.com/office/drawing/2014/chart" uri="{C3380CC4-5D6E-409C-BE32-E72D297353CC}">
              <c16:uniqueId val="{00000016-F9D3-484F-8D25-D1398BFEA438}"/>
            </c:ext>
          </c:extLst>
        </c:ser>
        <c:dLbls>
          <c:showLegendKey val="0"/>
          <c:showVal val="0"/>
          <c:showCatName val="0"/>
          <c:showSerName val="0"/>
          <c:showPercent val="0"/>
          <c:showBubbleSize val="0"/>
        </c:dLbls>
        <c:gapWidth val="219"/>
        <c:overlap val="-27"/>
        <c:axId val="964177816"/>
        <c:axId val="964178992"/>
      </c:barChart>
      <c:lineChart>
        <c:grouping val="standard"/>
        <c:varyColors val="0"/>
        <c:ser>
          <c:idx val="1"/>
          <c:order val="1"/>
          <c:spPr>
            <a:ln w="28575" cap="rnd">
              <a:solidFill>
                <a:srgbClr val="C00000"/>
              </a:solidFill>
              <a:round/>
            </a:ln>
            <a:effectLst/>
          </c:spPr>
          <c:marker>
            <c:symbol val="none"/>
          </c:marker>
          <c:val>
            <c:numRef>
              <c:f>('Tableau détaillé'!$J$6:$J$12,'Tableau détaillé'!$J$14:$J$18)</c:f>
              <c:numCache>
                <c:formatCode>0.0%</c:formatCode>
                <c:ptCount val="12"/>
                <c:pt idx="0">
                  <c:v>0.91013031367336794</c:v>
                </c:pt>
                <c:pt idx="1">
                  <c:v>0.91013031367336794</c:v>
                </c:pt>
                <c:pt idx="2">
                  <c:v>0.91013031367336794</c:v>
                </c:pt>
                <c:pt idx="3">
                  <c:v>0.91013031367336794</c:v>
                </c:pt>
                <c:pt idx="4">
                  <c:v>0.91013031367336794</c:v>
                </c:pt>
                <c:pt idx="5">
                  <c:v>0.91013031367336794</c:v>
                </c:pt>
                <c:pt idx="6">
                  <c:v>0.91013031367336794</c:v>
                </c:pt>
                <c:pt idx="7">
                  <c:v>0.91013031367336794</c:v>
                </c:pt>
                <c:pt idx="8">
                  <c:v>0.91013031367336794</c:v>
                </c:pt>
                <c:pt idx="9">
                  <c:v>0.91013031367336794</c:v>
                </c:pt>
                <c:pt idx="10">
                  <c:v>0.91013031367336794</c:v>
                </c:pt>
                <c:pt idx="11">
                  <c:v>0.91013031367336794</c:v>
                </c:pt>
              </c:numCache>
            </c:numRef>
          </c:val>
          <c:smooth val="0"/>
          <c:extLst>
            <c:ext xmlns:c16="http://schemas.microsoft.com/office/drawing/2014/chart" uri="{C3380CC4-5D6E-409C-BE32-E72D297353CC}">
              <c16:uniqueId val="{00000017-F9D3-484F-8D25-D1398BFEA438}"/>
            </c:ext>
          </c:extLst>
        </c:ser>
        <c:dLbls>
          <c:showLegendKey val="0"/>
          <c:showVal val="0"/>
          <c:showCatName val="0"/>
          <c:showSerName val="0"/>
          <c:showPercent val="0"/>
          <c:showBubbleSize val="0"/>
        </c:dLbls>
        <c:marker val="1"/>
        <c:smooth val="0"/>
        <c:axId val="964177816"/>
        <c:axId val="964178992"/>
      </c:lineChart>
      <c:catAx>
        <c:axId val="96417781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8992"/>
        <c:crosses val="autoZero"/>
        <c:auto val="1"/>
        <c:lblAlgn val="ctr"/>
        <c:lblOffset val="100"/>
        <c:noMultiLvlLbl val="0"/>
      </c:catAx>
      <c:valAx>
        <c:axId val="96417899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7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sz="1200" b="1" i="0" baseline="0">
                <a:effectLst/>
              </a:rPr>
              <a:t>Production YTD 2021 vs Budget 2021</a:t>
            </a:r>
            <a:endParaRPr lang="fr-FR" sz="1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200" b="1">
                <a:solidFill>
                  <a:sysClr val="windowText" lastClr="000000">
                    <a:lumMod val="65000"/>
                    <a:lumOff val="35000"/>
                  </a:sysClr>
                </a:solidFill>
              </a:defRPr>
            </a:pPr>
            <a:r>
              <a:rPr lang="fr-FR" sz="1200" b="1"/>
              <a:t>par DR</a:t>
            </a:r>
          </a:p>
        </c:rich>
      </c:tx>
      <c:layout>
        <c:manualLayout>
          <c:xMode val="edge"/>
          <c:yMode val="edge"/>
          <c:x val="0.24353043988666528"/>
          <c:y val="1.428564557702901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04DB-43EC-A5EE-A1336F2C3C9E}"/>
              </c:ext>
            </c:extLst>
          </c:dPt>
          <c:dLbls>
            <c:dLbl>
              <c:idx val="0"/>
              <c:layout>
                <c:manualLayout>
                  <c:x val="-1.9961987510181918E-2"/>
                  <c:y val="-2.95679236072471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DB-43EC-A5EE-A1336F2C3C9E}"/>
                </c:ext>
              </c:extLst>
            </c:dLbl>
            <c:dLbl>
              <c:idx val="1"/>
              <c:layout>
                <c:manualLayout>
                  <c:x val="4.022988505747116E-2"/>
                  <c:y val="-1.36856938521061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4DB-43EC-A5EE-A1336F2C3C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détaillé'!$H$13,'Tableau détaillé'!$H$18)</c:f>
              <c:numCache>
                <c:formatCode>0.0%</c:formatCode>
                <c:ptCount val="2"/>
                <c:pt idx="0">
                  <c:v>0.82654061368366361</c:v>
                </c:pt>
                <c:pt idx="1">
                  <c:v>1.1266951091156594</c:v>
                </c:pt>
              </c:numCache>
            </c:numRef>
          </c:val>
          <c:extLst>
            <c:ext xmlns:c16="http://schemas.microsoft.com/office/drawing/2014/chart" uri="{C3380CC4-5D6E-409C-BE32-E72D297353CC}">
              <c16:uniqueId val="{00000003-04DB-43EC-A5EE-A1336F2C3C9E}"/>
            </c:ext>
          </c:extLst>
        </c:ser>
        <c:dLbls>
          <c:showLegendKey val="0"/>
          <c:showVal val="0"/>
          <c:showCatName val="0"/>
          <c:showSerName val="0"/>
          <c:showPercent val="0"/>
          <c:showBubbleSize val="0"/>
        </c:dLbls>
        <c:gapWidth val="219"/>
        <c:overlap val="-27"/>
        <c:axId val="964179384"/>
        <c:axId val="964184872"/>
      </c:barChart>
      <c:lineChart>
        <c:grouping val="standard"/>
        <c:varyColors val="0"/>
        <c:ser>
          <c:idx val="1"/>
          <c:order val="1"/>
          <c:spPr>
            <a:ln w="28575" cap="rnd">
              <a:solidFill>
                <a:srgbClr val="C00000"/>
              </a:solidFill>
              <a:round/>
            </a:ln>
            <a:effectLst/>
          </c:spPr>
          <c:marker>
            <c:symbol val="none"/>
          </c:marker>
          <c:val>
            <c:numRef>
              <c:f>('Tableau détaillé'!$J$13,'Tableau détaillé'!$J$18)</c:f>
              <c:numCache>
                <c:formatCode>0.0%</c:formatCode>
                <c:ptCount val="2"/>
                <c:pt idx="0">
                  <c:v>0.91013031367336794</c:v>
                </c:pt>
                <c:pt idx="1">
                  <c:v>0.91013031367336794</c:v>
                </c:pt>
              </c:numCache>
            </c:numRef>
          </c:val>
          <c:smooth val="0"/>
          <c:extLst>
            <c:ext xmlns:c16="http://schemas.microsoft.com/office/drawing/2014/chart" uri="{C3380CC4-5D6E-409C-BE32-E72D297353CC}">
              <c16:uniqueId val="{00000004-04DB-43EC-A5EE-A1336F2C3C9E}"/>
            </c:ext>
          </c:extLst>
        </c:ser>
        <c:dLbls>
          <c:showLegendKey val="0"/>
          <c:showVal val="0"/>
          <c:showCatName val="0"/>
          <c:showSerName val="0"/>
          <c:showPercent val="0"/>
          <c:showBubbleSize val="0"/>
        </c:dLbls>
        <c:marker val="1"/>
        <c:smooth val="0"/>
        <c:axId val="964179384"/>
        <c:axId val="964184872"/>
      </c:lineChart>
      <c:catAx>
        <c:axId val="9641793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4872"/>
        <c:crosses val="autoZero"/>
        <c:auto val="1"/>
        <c:lblAlgn val="ctr"/>
        <c:lblOffset val="100"/>
        <c:noMultiLvlLbl val="0"/>
      </c:catAx>
      <c:valAx>
        <c:axId val="964184872"/>
        <c:scaling>
          <c:orientation val="minMax"/>
          <c:min val="0.1"/>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9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des encours de credits</a:t>
            </a:r>
          </a:p>
        </c:rich>
      </c:tx>
      <c:layout>
        <c:manualLayout>
          <c:xMode val="edge"/>
          <c:yMode val="edge"/>
          <c:x val="0.26315966754155729"/>
          <c:y val="3.33333333333333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405211848518935"/>
          <c:w val="0.89920800524934386"/>
          <c:h val="0.64476415448069002"/>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BB63-47CF-BEDB-E849D17C0BBC}"/>
              </c:ext>
            </c:extLst>
          </c:dPt>
          <c:dPt>
            <c:idx val="1"/>
            <c:invertIfNegative val="0"/>
            <c:bubble3D val="0"/>
            <c:spPr>
              <a:solidFill>
                <a:schemeClr val="tx1"/>
              </a:solidFill>
              <a:ln>
                <a:noFill/>
              </a:ln>
              <a:effectLst/>
            </c:spPr>
            <c:extLst>
              <c:ext xmlns:c16="http://schemas.microsoft.com/office/drawing/2014/chart" uri="{C3380CC4-5D6E-409C-BE32-E72D297353CC}">
                <c16:uniqueId val="{00000003-BB63-47CF-BEDB-E849D17C0BBC}"/>
              </c:ext>
            </c:extLst>
          </c:dPt>
          <c:dPt>
            <c:idx val="2"/>
            <c:invertIfNegative val="0"/>
            <c:bubble3D val="0"/>
            <c:spPr>
              <a:solidFill>
                <a:schemeClr val="tx1"/>
              </a:solidFill>
              <a:ln>
                <a:noFill/>
              </a:ln>
              <a:effectLst/>
            </c:spPr>
            <c:extLst>
              <c:ext xmlns:c16="http://schemas.microsoft.com/office/drawing/2014/chart" uri="{C3380CC4-5D6E-409C-BE32-E72D297353CC}">
                <c16:uniqueId val="{00000005-BB63-47CF-BEDB-E849D17C0BBC}"/>
              </c:ext>
            </c:extLst>
          </c:dPt>
          <c:dPt>
            <c:idx val="3"/>
            <c:invertIfNegative val="0"/>
            <c:bubble3D val="0"/>
            <c:spPr>
              <a:solidFill>
                <a:schemeClr val="tx1"/>
              </a:solidFill>
              <a:ln>
                <a:noFill/>
              </a:ln>
              <a:effectLst/>
            </c:spPr>
            <c:extLst>
              <c:ext xmlns:c16="http://schemas.microsoft.com/office/drawing/2014/chart" uri="{C3380CC4-5D6E-409C-BE32-E72D297353CC}">
                <c16:uniqueId val="{00000007-BB63-47CF-BEDB-E849D17C0BBC}"/>
              </c:ext>
            </c:extLst>
          </c:dPt>
          <c:dPt>
            <c:idx val="4"/>
            <c:invertIfNegative val="0"/>
            <c:bubble3D val="0"/>
            <c:spPr>
              <a:solidFill>
                <a:schemeClr val="tx1"/>
              </a:solidFill>
              <a:ln>
                <a:noFill/>
              </a:ln>
              <a:effectLst/>
            </c:spPr>
            <c:extLst>
              <c:ext xmlns:c16="http://schemas.microsoft.com/office/drawing/2014/chart" uri="{C3380CC4-5D6E-409C-BE32-E72D297353CC}">
                <c16:uniqueId val="{00000009-BB63-47CF-BEDB-E849D17C0BBC}"/>
              </c:ext>
            </c:extLst>
          </c:dPt>
          <c:dPt>
            <c:idx val="5"/>
            <c:invertIfNegative val="0"/>
            <c:bubble3D val="0"/>
            <c:spPr>
              <a:solidFill>
                <a:schemeClr val="tx1"/>
              </a:solidFill>
              <a:ln>
                <a:noFill/>
              </a:ln>
              <a:effectLst/>
            </c:spPr>
            <c:extLst>
              <c:ext xmlns:c16="http://schemas.microsoft.com/office/drawing/2014/chart" uri="{C3380CC4-5D6E-409C-BE32-E72D297353CC}">
                <c16:uniqueId val="{0000000B-BB63-47CF-BEDB-E849D17C0BBC}"/>
              </c:ext>
            </c:extLst>
          </c:dPt>
          <c:dPt>
            <c:idx val="6"/>
            <c:invertIfNegative val="0"/>
            <c:bubble3D val="0"/>
            <c:spPr>
              <a:solidFill>
                <a:schemeClr val="tx1"/>
              </a:solidFill>
              <a:ln>
                <a:noFill/>
              </a:ln>
              <a:effectLst/>
            </c:spPr>
            <c:extLst>
              <c:ext xmlns:c16="http://schemas.microsoft.com/office/drawing/2014/chart" uri="{C3380CC4-5D6E-409C-BE32-E72D297353CC}">
                <c16:uniqueId val="{0000000D-BB63-47CF-BEDB-E849D17C0BBC}"/>
              </c:ext>
            </c:extLst>
          </c:dPt>
          <c:dPt>
            <c:idx val="7"/>
            <c:invertIfNegative val="0"/>
            <c:bubble3D val="0"/>
            <c:spPr>
              <a:solidFill>
                <a:srgbClr val="FF0000"/>
              </a:solidFill>
              <a:ln>
                <a:noFill/>
              </a:ln>
              <a:effectLst/>
            </c:spPr>
            <c:extLst>
              <c:ext xmlns:c16="http://schemas.microsoft.com/office/drawing/2014/chart" uri="{C3380CC4-5D6E-409C-BE32-E72D297353CC}">
                <c16:uniqueId val="{0000000F-BB63-47CF-BEDB-E849D17C0BBC}"/>
              </c:ext>
            </c:extLst>
          </c:dPt>
          <c:dPt>
            <c:idx val="8"/>
            <c:invertIfNegative val="0"/>
            <c:bubble3D val="0"/>
            <c:spPr>
              <a:solidFill>
                <a:srgbClr val="FF0000"/>
              </a:solidFill>
              <a:ln>
                <a:noFill/>
              </a:ln>
              <a:effectLst/>
            </c:spPr>
            <c:extLst>
              <c:ext xmlns:c16="http://schemas.microsoft.com/office/drawing/2014/chart" uri="{C3380CC4-5D6E-409C-BE32-E72D297353CC}">
                <c16:uniqueId val="{00000011-BB63-47CF-BEDB-E849D17C0BBC}"/>
              </c:ext>
            </c:extLst>
          </c:dPt>
          <c:dPt>
            <c:idx val="9"/>
            <c:invertIfNegative val="0"/>
            <c:bubble3D val="0"/>
            <c:spPr>
              <a:solidFill>
                <a:srgbClr val="FF0000"/>
              </a:solidFill>
              <a:ln>
                <a:noFill/>
              </a:ln>
              <a:effectLst/>
            </c:spPr>
            <c:extLst>
              <c:ext xmlns:c16="http://schemas.microsoft.com/office/drawing/2014/chart" uri="{C3380CC4-5D6E-409C-BE32-E72D297353CC}">
                <c16:uniqueId val="{00000013-BB63-47CF-BEDB-E849D17C0BBC}"/>
              </c:ext>
            </c:extLst>
          </c:dPt>
          <c:dPt>
            <c:idx val="10"/>
            <c:invertIfNegative val="0"/>
            <c:bubble3D val="0"/>
            <c:spPr>
              <a:solidFill>
                <a:srgbClr val="FF0000"/>
              </a:solidFill>
              <a:ln>
                <a:noFill/>
              </a:ln>
              <a:effectLst/>
            </c:spPr>
            <c:extLst>
              <c:ext xmlns:c16="http://schemas.microsoft.com/office/drawing/2014/chart" uri="{C3380CC4-5D6E-409C-BE32-E72D297353CC}">
                <c16:uniqueId val="{00000015-BB63-47CF-BEDB-E849D17C0BBC}"/>
              </c:ext>
            </c:extLst>
          </c:dPt>
          <c:dLbls>
            <c:dLbl>
              <c:idx val="0"/>
              <c:layout>
                <c:manualLayout>
                  <c:x val="0"/>
                  <c:y val="7.22797150356205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B63-47CF-BEDB-E849D17C0BBC}"/>
                </c:ext>
              </c:extLst>
            </c:dLbl>
            <c:dLbl>
              <c:idx val="1"/>
              <c:layout>
                <c:manualLayout>
                  <c:x val="5.4077292062630102E-3"/>
                  <c:y val="1.335346780282601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63-47CF-BEDB-E849D17C0BBC}"/>
                </c:ext>
              </c:extLst>
            </c:dLbl>
            <c:dLbl>
              <c:idx val="2"/>
              <c:layout>
                <c:manualLayout>
                  <c:x val="2.7778531993845595E-3"/>
                  <c:y val="1.2328946895336713E-2"/>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15:layout>
                    <c:manualLayout>
                      <c:w val="6.6888888888888887E-2"/>
                      <c:h val="6.2071616047994001E-2"/>
                    </c:manualLayout>
                  </c15:layout>
                </c:ext>
                <c:ext xmlns:c16="http://schemas.microsoft.com/office/drawing/2014/chart" uri="{C3380CC4-5D6E-409C-BE32-E72D297353CC}">
                  <c16:uniqueId val="{00000005-BB63-47CF-BEDB-E849D17C0BBC}"/>
                </c:ext>
              </c:extLst>
            </c:dLbl>
            <c:dLbl>
              <c:idx val="6"/>
              <c:layout>
                <c:manualLayout>
                  <c:x val="0"/>
                  <c:y val="1.2742407199100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B63-47CF-BEDB-E849D17C0BBC}"/>
                </c:ext>
              </c:extLst>
            </c:dLbl>
            <c:dLbl>
              <c:idx val="8"/>
              <c:layout>
                <c:manualLayout>
                  <c:x val="2.7777256514781297E-3"/>
                  <c:y val="-5.22288572214923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B63-47CF-BEDB-E849D17C0BBC}"/>
                </c:ext>
              </c:extLst>
            </c:dLbl>
            <c:dLbl>
              <c:idx val="9"/>
              <c:layout>
                <c:manualLayout>
                  <c:x val="5.5774273172289144E-3"/>
                  <c:y val="-7.99590695282280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B63-47CF-BEDB-E849D17C0BBC}"/>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détaillé'!$H$21:$H$27,'Tableau détaillé'!$H$29:$H$32)</c:f>
              <c:numCache>
                <c:formatCode>0.0%</c:formatCode>
                <c:ptCount val="11"/>
                <c:pt idx="0">
                  <c:v>0.10840435009238347</c:v>
                </c:pt>
                <c:pt idx="1">
                  <c:v>0.14012865638316296</c:v>
                </c:pt>
                <c:pt idx="2">
                  <c:v>0.1023929752888677</c:v>
                </c:pt>
                <c:pt idx="3">
                  <c:v>-7.5575933222685854E-2</c:v>
                </c:pt>
                <c:pt idx="4">
                  <c:v>-2.5555901553273253E-2</c:v>
                </c:pt>
                <c:pt idx="5">
                  <c:v>-6.1268795711962643E-2</c:v>
                </c:pt>
                <c:pt idx="6">
                  <c:v>8.5015698568648101E-2</c:v>
                </c:pt>
                <c:pt idx="7">
                  <c:v>0.13912103246456953</c:v>
                </c:pt>
                <c:pt idx="8">
                  <c:v>0.12616422810788075</c:v>
                </c:pt>
                <c:pt idx="9">
                  <c:v>0.20442466492871336</c:v>
                </c:pt>
                <c:pt idx="10">
                  <c:v>1.0390984116237734E-2</c:v>
                </c:pt>
              </c:numCache>
            </c:numRef>
          </c:val>
          <c:extLst>
            <c:ext xmlns:c16="http://schemas.microsoft.com/office/drawing/2014/chart" uri="{C3380CC4-5D6E-409C-BE32-E72D297353CC}">
              <c16:uniqueId val="{00000016-BB63-47CF-BEDB-E849D17C0BBC}"/>
            </c:ext>
          </c:extLst>
        </c:ser>
        <c:dLbls>
          <c:showLegendKey val="0"/>
          <c:showVal val="0"/>
          <c:showCatName val="0"/>
          <c:showSerName val="0"/>
          <c:showPercent val="0"/>
          <c:showBubbleSize val="0"/>
        </c:dLbls>
        <c:gapWidth val="219"/>
        <c:overlap val="-27"/>
        <c:axId val="964175856"/>
        <c:axId val="964179776"/>
      </c:barChart>
      <c:lineChart>
        <c:grouping val="standard"/>
        <c:varyColors val="0"/>
        <c:ser>
          <c:idx val="1"/>
          <c:order val="1"/>
          <c:spPr>
            <a:ln w="28575" cap="rnd">
              <a:solidFill>
                <a:srgbClr val="C00000"/>
              </a:solidFill>
              <a:round/>
            </a:ln>
            <a:effectLst/>
          </c:spPr>
          <c:marker>
            <c:symbol val="none"/>
          </c:marker>
          <c:val>
            <c:numRef>
              <c:f>('Tableau détaillé'!$J$21:$J$27,'Tableau détaillé'!$J$29:$J$32)</c:f>
              <c:numCache>
                <c:formatCode>0.0%</c:formatCode>
                <c:ptCount val="11"/>
                <c:pt idx="0">
                  <c:v>7.8157129242167001E-2</c:v>
                </c:pt>
                <c:pt idx="1">
                  <c:v>7.8157129242167001E-2</c:v>
                </c:pt>
                <c:pt idx="2">
                  <c:v>7.8157129242167001E-2</c:v>
                </c:pt>
                <c:pt idx="3">
                  <c:v>7.8157129242167001E-2</c:v>
                </c:pt>
                <c:pt idx="4">
                  <c:v>7.8157129242167001E-2</c:v>
                </c:pt>
                <c:pt idx="5">
                  <c:v>7.8157129242167001E-2</c:v>
                </c:pt>
                <c:pt idx="6">
                  <c:v>7.8157129242167001E-2</c:v>
                </c:pt>
                <c:pt idx="7">
                  <c:v>7.8157129242167001E-2</c:v>
                </c:pt>
                <c:pt idx="8">
                  <c:v>7.8157129242167001E-2</c:v>
                </c:pt>
                <c:pt idx="9">
                  <c:v>7.8157129242167001E-2</c:v>
                </c:pt>
                <c:pt idx="10">
                  <c:v>7.8157129242167001E-2</c:v>
                </c:pt>
              </c:numCache>
            </c:numRef>
          </c:val>
          <c:smooth val="0"/>
          <c:extLst>
            <c:ext xmlns:c16="http://schemas.microsoft.com/office/drawing/2014/chart" uri="{C3380CC4-5D6E-409C-BE32-E72D297353CC}">
              <c16:uniqueId val="{00000017-BB63-47CF-BEDB-E849D17C0BBC}"/>
            </c:ext>
          </c:extLst>
        </c:ser>
        <c:dLbls>
          <c:showLegendKey val="0"/>
          <c:showVal val="0"/>
          <c:showCatName val="0"/>
          <c:showSerName val="0"/>
          <c:showPercent val="0"/>
          <c:showBubbleSize val="0"/>
        </c:dLbls>
        <c:marker val="1"/>
        <c:smooth val="0"/>
        <c:axId val="964175856"/>
        <c:axId val="964179776"/>
      </c:lineChart>
      <c:catAx>
        <c:axId val="96417585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9776"/>
        <c:crosses val="autoZero"/>
        <c:auto val="1"/>
        <c:lblAlgn val="ctr"/>
        <c:lblOffset val="100"/>
        <c:noMultiLvlLbl val="0"/>
      </c:catAx>
      <c:valAx>
        <c:axId val="96417977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5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des encours de credits par DR</a:t>
            </a:r>
          </a:p>
        </c:rich>
      </c:tx>
      <c:layout>
        <c:manualLayout>
          <c:xMode val="edge"/>
          <c:yMode val="edge"/>
          <c:x val="0.24371522309711285"/>
          <c:y val="2.857142857142857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56BF-4210-AB46-0DF9210F4E65}"/>
              </c:ext>
            </c:extLst>
          </c:dPt>
          <c:dLbls>
            <c:dLbl>
              <c:idx val="0"/>
              <c:layout>
                <c:manualLayout>
                  <c:x val="-5.000000000000005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BF-4210-AB46-0DF9210F4E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détaillé'!$H$28,'Tableau détaillé'!$H$33)</c:f>
              <c:numCache>
                <c:formatCode>0.0%</c:formatCode>
                <c:ptCount val="2"/>
                <c:pt idx="0">
                  <c:v>6.0507364885236337E-2</c:v>
                </c:pt>
                <c:pt idx="1">
                  <c:v>0.13202665705230698</c:v>
                </c:pt>
              </c:numCache>
            </c:numRef>
          </c:val>
          <c:extLst>
            <c:ext xmlns:c16="http://schemas.microsoft.com/office/drawing/2014/chart" uri="{C3380CC4-5D6E-409C-BE32-E72D297353CC}">
              <c16:uniqueId val="{00000003-56BF-4210-AB46-0DF9210F4E65}"/>
            </c:ext>
          </c:extLst>
        </c:ser>
        <c:dLbls>
          <c:showLegendKey val="0"/>
          <c:showVal val="0"/>
          <c:showCatName val="0"/>
          <c:showSerName val="0"/>
          <c:showPercent val="0"/>
          <c:showBubbleSize val="0"/>
        </c:dLbls>
        <c:gapWidth val="219"/>
        <c:overlap val="-27"/>
        <c:axId val="964180168"/>
        <c:axId val="964182912"/>
      </c:barChart>
      <c:lineChart>
        <c:grouping val="standard"/>
        <c:varyColors val="0"/>
        <c:ser>
          <c:idx val="1"/>
          <c:order val="1"/>
          <c:spPr>
            <a:ln w="28575" cap="rnd">
              <a:solidFill>
                <a:srgbClr val="C00000"/>
              </a:solidFill>
              <a:round/>
            </a:ln>
            <a:effectLst/>
          </c:spPr>
          <c:marker>
            <c:symbol val="none"/>
          </c:marker>
          <c:val>
            <c:numRef>
              <c:f>('Tableau détaillé'!$J$28,'Tableau détaillé'!$J$33)</c:f>
              <c:numCache>
                <c:formatCode>0.0%</c:formatCode>
                <c:ptCount val="2"/>
                <c:pt idx="0">
                  <c:v>7.8157129242167001E-2</c:v>
                </c:pt>
                <c:pt idx="1">
                  <c:v>7.8157129242167001E-2</c:v>
                </c:pt>
              </c:numCache>
            </c:numRef>
          </c:val>
          <c:smooth val="0"/>
          <c:extLst>
            <c:ext xmlns:c16="http://schemas.microsoft.com/office/drawing/2014/chart" uri="{C3380CC4-5D6E-409C-BE32-E72D297353CC}">
              <c16:uniqueId val="{00000004-56BF-4210-AB46-0DF9210F4E65}"/>
            </c:ext>
          </c:extLst>
        </c:ser>
        <c:dLbls>
          <c:showLegendKey val="0"/>
          <c:showVal val="0"/>
          <c:showCatName val="0"/>
          <c:showSerName val="0"/>
          <c:showPercent val="0"/>
          <c:showBubbleSize val="0"/>
        </c:dLbls>
        <c:marker val="1"/>
        <c:smooth val="0"/>
        <c:axId val="964180168"/>
        <c:axId val="964182912"/>
      </c:lineChart>
      <c:catAx>
        <c:axId val="964180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2912"/>
        <c:crosses val="autoZero"/>
        <c:auto val="1"/>
        <c:lblAlgn val="ctr"/>
        <c:lblOffset val="100"/>
        <c:noMultiLvlLbl val="0"/>
      </c:catAx>
      <c:valAx>
        <c:axId val="96418291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0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des encours de dépôts</a:t>
            </a:r>
          </a:p>
        </c:rich>
      </c:tx>
      <c:layout>
        <c:manualLayout>
          <c:xMode val="edge"/>
          <c:yMode val="edge"/>
          <c:x val="0.27707816280792846"/>
          <c:y val="3.823906387495876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104851693257789"/>
          <c:y val="0.18119144935399703"/>
          <c:w val="0.88263845112267614"/>
          <c:h val="0.75913604826021197"/>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9A43-41FF-BC4D-4B806B529DCE}"/>
              </c:ext>
            </c:extLst>
          </c:dPt>
          <c:dPt>
            <c:idx val="1"/>
            <c:invertIfNegative val="0"/>
            <c:bubble3D val="0"/>
            <c:spPr>
              <a:solidFill>
                <a:schemeClr val="tx1"/>
              </a:solidFill>
              <a:ln>
                <a:noFill/>
              </a:ln>
              <a:effectLst/>
            </c:spPr>
            <c:extLst>
              <c:ext xmlns:c16="http://schemas.microsoft.com/office/drawing/2014/chart" uri="{C3380CC4-5D6E-409C-BE32-E72D297353CC}">
                <c16:uniqueId val="{00000003-9A43-41FF-BC4D-4B806B529DCE}"/>
              </c:ext>
            </c:extLst>
          </c:dPt>
          <c:dPt>
            <c:idx val="2"/>
            <c:invertIfNegative val="0"/>
            <c:bubble3D val="0"/>
            <c:spPr>
              <a:solidFill>
                <a:schemeClr val="tx1"/>
              </a:solidFill>
              <a:ln>
                <a:noFill/>
              </a:ln>
              <a:effectLst/>
            </c:spPr>
            <c:extLst>
              <c:ext xmlns:c16="http://schemas.microsoft.com/office/drawing/2014/chart" uri="{C3380CC4-5D6E-409C-BE32-E72D297353CC}">
                <c16:uniqueId val="{00000005-9A43-41FF-BC4D-4B806B529DCE}"/>
              </c:ext>
            </c:extLst>
          </c:dPt>
          <c:dPt>
            <c:idx val="3"/>
            <c:invertIfNegative val="0"/>
            <c:bubble3D val="0"/>
            <c:spPr>
              <a:solidFill>
                <a:schemeClr val="tx1"/>
              </a:solidFill>
              <a:ln>
                <a:noFill/>
              </a:ln>
              <a:effectLst/>
            </c:spPr>
            <c:extLst>
              <c:ext xmlns:c16="http://schemas.microsoft.com/office/drawing/2014/chart" uri="{C3380CC4-5D6E-409C-BE32-E72D297353CC}">
                <c16:uniqueId val="{00000007-9A43-41FF-BC4D-4B806B529DCE}"/>
              </c:ext>
            </c:extLst>
          </c:dPt>
          <c:dPt>
            <c:idx val="4"/>
            <c:invertIfNegative val="0"/>
            <c:bubble3D val="0"/>
            <c:spPr>
              <a:solidFill>
                <a:schemeClr val="tx1"/>
              </a:solidFill>
              <a:ln>
                <a:noFill/>
              </a:ln>
              <a:effectLst/>
            </c:spPr>
            <c:extLst>
              <c:ext xmlns:c16="http://schemas.microsoft.com/office/drawing/2014/chart" uri="{C3380CC4-5D6E-409C-BE32-E72D297353CC}">
                <c16:uniqueId val="{00000009-9A43-41FF-BC4D-4B806B529DCE}"/>
              </c:ext>
            </c:extLst>
          </c:dPt>
          <c:dPt>
            <c:idx val="5"/>
            <c:invertIfNegative val="0"/>
            <c:bubble3D val="0"/>
            <c:spPr>
              <a:solidFill>
                <a:schemeClr val="tx1"/>
              </a:solidFill>
              <a:ln>
                <a:noFill/>
              </a:ln>
              <a:effectLst/>
            </c:spPr>
            <c:extLst>
              <c:ext xmlns:c16="http://schemas.microsoft.com/office/drawing/2014/chart" uri="{C3380CC4-5D6E-409C-BE32-E72D297353CC}">
                <c16:uniqueId val="{0000000B-9A43-41FF-BC4D-4B806B529DCE}"/>
              </c:ext>
            </c:extLst>
          </c:dPt>
          <c:dPt>
            <c:idx val="6"/>
            <c:invertIfNegative val="0"/>
            <c:bubble3D val="0"/>
            <c:spPr>
              <a:solidFill>
                <a:schemeClr val="tx1"/>
              </a:solidFill>
              <a:ln>
                <a:noFill/>
              </a:ln>
              <a:effectLst/>
            </c:spPr>
            <c:extLst>
              <c:ext xmlns:c16="http://schemas.microsoft.com/office/drawing/2014/chart" uri="{C3380CC4-5D6E-409C-BE32-E72D297353CC}">
                <c16:uniqueId val="{0000000D-9A43-41FF-BC4D-4B806B529DCE}"/>
              </c:ext>
            </c:extLst>
          </c:dPt>
          <c:dPt>
            <c:idx val="7"/>
            <c:invertIfNegative val="0"/>
            <c:bubble3D val="0"/>
            <c:spPr>
              <a:solidFill>
                <a:srgbClr val="FF0000"/>
              </a:solidFill>
              <a:ln>
                <a:noFill/>
              </a:ln>
              <a:effectLst/>
            </c:spPr>
            <c:extLst>
              <c:ext xmlns:c16="http://schemas.microsoft.com/office/drawing/2014/chart" uri="{C3380CC4-5D6E-409C-BE32-E72D297353CC}">
                <c16:uniqueId val="{0000000F-9A43-41FF-BC4D-4B806B529DCE}"/>
              </c:ext>
            </c:extLst>
          </c:dPt>
          <c:dPt>
            <c:idx val="8"/>
            <c:invertIfNegative val="0"/>
            <c:bubble3D val="0"/>
            <c:spPr>
              <a:solidFill>
                <a:srgbClr val="FF0000"/>
              </a:solidFill>
              <a:ln>
                <a:noFill/>
              </a:ln>
              <a:effectLst/>
            </c:spPr>
            <c:extLst>
              <c:ext xmlns:c16="http://schemas.microsoft.com/office/drawing/2014/chart" uri="{C3380CC4-5D6E-409C-BE32-E72D297353CC}">
                <c16:uniqueId val="{00000011-9A43-41FF-BC4D-4B806B529DCE}"/>
              </c:ext>
            </c:extLst>
          </c:dPt>
          <c:dPt>
            <c:idx val="9"/>
            <c:invertIfNegative val="0"/>
            <c:bubble3D val="0"/>
            <c:spPr>
              <a:solidFill>
                <a:srgbClr val="FF0000"/>
              </a:solidFill>
              <a:ln>
                <a:noFill/>
              </a:ln>
              <a:effectLst/>
            </c:spPr>
            <c:extLst>
              <c:ext xmlns:c16="http://schemas.microsoft.com/office/drawing/2014/chart" uri="{C3380CC4-5D6E-409C-BE32-E72D297353CC}">
                <c16:uniqueId val="{00000013-9A43-41FF-BC4D-4B806B529DCE}"/>
              </c:ext>
            </c:extLst>
          </c:dPt>
          <c:dPt>
            <c:idx val="10"/>
            <c:invertIfNegative val="0"/>
            <c:bubble3D val="0"/>
            <c:spPr>
              <a:solidFill>
                <a:srgbClr val="FF0000"/>
              </a:solidFill>
              <a:ln>
                <a:noFill/>
              </a:ln>
              <a:effectLst/>
            </c:spPr>
            <c:extLst>
              <c:ext xmlns:c16="http://schemas.microsoft.com/office/drawing/2014/chart" uri="{C3380CC4-5D6E-409C-BE32-E72D297353CC}">
                <c16:uniqueId val="{00000015-9A43-41FF-BC4D-4B806B529DCE}"/>
              </c:ext>
            </c:extLst>
          </c:dPt>
          <c:dLbls>
            <c:dLbl>
              <c:idx val="0"/>
              <c:layout>
                <c:manualLayout>
                  <c:x val="2.7803221637584556E-3"/>
                  <c:y val="-2.04700094332552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43-41FF-BC4D-4B806B529DCE}"/>
                </c:ext>
              </c:extLst>
            </c:dLbl>
            <c:dLbl>
              <c:idx val="1"/>
              <c:layout>
                <c:manualLayout>
                  <c:x val="0"/>
                  <c:y val="-1.3809135993893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43-41FF-BC4D-4B806B529DCE}"/>
                </c:ext>
              </c:extLst>
            </c:dLbl>
            <c:dLbl>
              <c:idx val="4"/>
              <c:layout>
                <c:manualLayout>
                  <c:x val="5.7251680361843967E-3"/>
                  <c:y val="0.16374119576969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43-41FF-BC4D-4B806B529DCE}"/>
                </c:ext>
              </c:extLst>
            </c:dLbl>
            <c:dLbl>
              <c:idx val="5"/>
              <c:layout>
                <c:manualLayout>
                  <c:x val="0"/>
                  <c:y val="1.34313794416850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A43-41FF-BC4D-4B806B529DCE}"/>
                </c:ext>
              </c:extLst>
            </c:dLbl>
            <c:dLbl>
              <c:idx val="6"/>
              <c:layout>
                <c:manualLayout>
                  <c:x val="8.5043342322166249E-3"/>
                  <c:y val="7.981028204344682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A43-41FF-BC4D-4B806B529DCE}"/>
                </c:ext>
              </c:extLst>
            </c:dLbl>
            <c:dLbl>
              <c:idx val="7"/>
              <c:layout>
                <c:manualLayout>
                  <c:x val="8.2312974132971815E-3"/>
                  <c:y val="-1.30989686154434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A43-41FF-BC4D-4B806B529DCE}"/>
                </c:ext>
              </c:extLst>
            </c:dLbl>
            <c:dLbl>
              <c:idx val="8"/>
              <c:layout>
                <c:manualLayout>
                  <c:x val="-8.5897811364348074E-3"/>
                  <c:y val="-3.67486117468992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A43-41FF-BC4D-4B806B529DCE}"/>
                </c:ext>
              </c:extLst>
            </c:dLbl>
            <c:dLbl>
              <c:idx val="9"/>
              <c:layout>
                <c:manualLayout>
                  <c:x val="-1.016795614837821E-4"/>
                  <c:y val="0.141801061376394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A43-41FF-BC4D-4B806B529DC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détaillé'!$H$53:$H$59,'Tableau détaillé'!$H$61:$H$64)</c:f>
              <c:numCache>
                <c:formatCode>0.0%</c:formatCode>
                <c:ptCount val="11"/>
                <c:pt idx="0">
                  <c:v>7.5482677326485392E-2</c:v>
                </c:pt>
                <c:pt idx="1">
                  <c:v>0.24268996703702328</c:v>
                </c:pt>
                <c:pt idx="2">
                  <c:v>2.9327321505148385E-2</c:v>
                </c:pt>
                <c:pt idx="3">
                  <c:v>-1.5598335978079358E-2</c:v>
                </c:pt>
                <c:pt idx="4">
                  <c:v>6.7668520385383513E-2</c:v>
                </c:pt>
                <c:pt idx="5">
                  <c:v>-5.112223743377653E-2</c:v>
                </c:pt>
                <c:pt idx="6">
                  <c:v>-5.1190852837148082E-2</c:v>
                </c:pt>
                <c:pt idx="7">
                  <c:v>0.13898354811228408</c:v>
                </c:pt>
                <c:pt idx="8">
                  <c:v>-1.5711636806566842E-2</c:v>
                </c:pt>
                <c:pt idx="9">
                  <c:v>-5.1627588052694184E-2</c:v>
                </c:pt>
                <c:pt idx="10">
                  <c:v>-2.2572266978934996E-2</c:v>
                </c:pt>
              </c:numCache>
            </c:numRef>
          </c:val>
          <c:extLst>
            <c:ext xmlns:c16="http://schemas.microsoft.com/office/drawing/2014/chart" uri="{C3380CC4-5D6E-409C-BE32-E72D297353CC}">
              <c16:uniqueId val="{00000016-9A43-41FF-BC4D-4B806B529DCE}"/>
            </c:ext>
          </c:extLst>
        </c:ser>
        <c:dLbls>
          <c:showLegendKey val="0"/>
          <c:showVal val="0"/>
          <c:showCatName val="0"/>
          <c:showSerName val="0"/>
          <c:showPercent val="0"/>
          <c:showBubbleSize val="0"/>
        </c:dLbls>
        <c:gapWidth val="219"/>
        <c:overlap val="-27"/>
        <c:axId val="964181736"/>
        <c:axId val="964182128"/>
      </c:barChart>
      <c:lineChart>
        <c:grouping val="standard"/>
        <c:varyColors val="0"/>
        <c:ser>
          <c:idx val="1"/>
          <c:order val="1"/>
          <c:spPr>
            <a:ln w="28575" cap="rnd">
              <a:solidFill>
                <a:srgbClr val="C00000"/>
              </a:solidFill>
              <a:round/>
            </a:ln>
            <a:effectLst/>
          </c:spPr>
          <c:marker>
            <c:symbol val="none"/>
          </c:marker>
          <c:val>
            <c:numRef>
              <c:f>('Tableau détaillé'!$J$53:$J$59,'Tableau détaillé'!$J$61:$J$64)</c:f>
              <c:numCache>
                <c:formatCode>0.0%</c:formatCode>
                <c:ptCount val="11"/>
                <c:pt idx="0">
                  <c:v>4.9873568684914771E-2</c:v>
                </c:pt>
                <c:pt idx="1">
                  <c:v>4.9873568684914771E-2</c:v>
                </c:pt>
                <c:pt idx="2">
                  <c:v>4.9873568684914771E-2</c:v>
                </c:pt>
                <c:pt idx="3">
                  <c:v>4.9873568684914771E-2</c:v>
                </c:pt>
                <c:pt idx="4">
                  <c:v>4.9873568684914771E-2</c:v>
                </c:pt>
                <c:pt idx="5">
                  <c:v>4.9873568684914771E-2</c:v>
                </c:pt>
                <c:pt idx="6">
                  <c:v>4.9873568684914771E-2</c:v>
                </c:pt>
                <c:pt idx="7">
                  <c:v>4.9873568684914771E-2</c:v>
                </c:pt>
                <c:pt idx="8">
                  <c:v>4.9873568684914771E-2</c:v>
                </c:pt>
                <c:pt idx="9">
                  <c:v>4.9873568684914771E-2</c:v>
                </c:pt>
                <c:pt idx="10">
                  <c:v>4.9873568684914771E-2</c:v>
                </c:pt>
              </c:numCache>
            </c:numRef>
          </c:val>
          <c:smooth val="0"/>
          <c:extLst>
            <c:ext xmlns:c16="http://schemas.microsoft.com/office/drawing/2014/chart" uri="{C3380CC4-5D6E-409C-BE32-E72D297353CC}">
              <c16:uniqueId val="{00000017-9A43-41FF-BC4D-4B806B529DCE}"/>
            </c:ext>
          </c:extLst>
        </c:ser>
        <c:dLbls>
          <c:showLegendKey val="0"/>
          <c:showVal val="0"/>
          <c:showCatName val="0"/>
          <c:showSerName val="0"/>
          <c:showPercent val="0"/>
          <c:showBubbleSize val="0"/>
        </c:dLbls>
        <c:marker val="1"/>
        <c:smooth val="0"/>
        <c:axId val="964181736"/>
        <c:axId val="964182128"/>
      </c:lineChart>
      <c:catAx>
        <c:axId val="964181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2128"/>
        <c:crosses val="autoZero"/>
        <c:auto val="1"/>
        <c:lblAlgn val="ctr"/>
        <c:lblOffset val="100"/>
        <c:noMultiLvlLbl val="0"/>
      </c:catAx>
      <c:valAx>
        <c:axId val="96418212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17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encours de dépôts par DR</a:t>
            </a:r>
          </a:p>
        </c:rich>
      </c:tx>
      <c:layout>
        <c:manualLayout>
          <c:xMode val="edge"/>
          <c:yMode val="edge"/>
          <c:x val="0.3020485564304462"/>
          <c:y val="3.33333333333333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9A7C-4ACE-B266-0C0D590CF19F}"/>
              </c:ext>
            </c:extLst>
          </c:dPt>
          <c:dLbls>
            <c:dLbl>
              <c:idx val="0"/>
              <c:layout>
                <c:manualLayout>
                  <c:x val="-1.1329949477136995E-2"/>
                  <c:y val="0.189740990280084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7C-4ACE-B266-0C0D590CF19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détaillé'!$H$60,'Tableau détaillé'!$H$65)</c:f>
              <c:numCache>
                <c:formatCode>0.0%</c:formatCode>
                <c:ptCount val="2"/>
                <c:pt idx="0">
                  <c:v>6.1213171969016766E-2</c:v>
                </c:pt>
                <c:pt idx="1">
                  <c:v>1.268484546054971E-2</c:v>
                </c:pt>
              </c:numCache>
            </c:numRef>
          </c:val>
          <c:extLst>
            <c:ext xmlns:c16="http://schemas.microsoft.com/office/drawing/2014/chart" uri="{C3380CC4-5D6E-409C-BE32-E72D297353CC}">
              <c16:uniqueId val="{00000003-9A7C-4ACE-B266-0C0D590CF19F}"/>
            </c:ext>
          </c:extLst>
        </c:ser>
        <c:dLbls>
          <c:showLegendKey val="0"/>
          <c:showVal val="0"/>
          <c:showCatName val="0"/>
          <c:showSerName val="0"/>
          <c:showPercent val="0"/>
          <c:showBubbleSize val="0"/>
        </c:dLbls>
        <c:gapWidth val="219"/>
        <c:overlap val="-27"/>
        <c:axId val="964182520"/>
        <c:axId val="964183696"/>
      </c:barChart>
      <c:lineChart>
        <c:grouping val="standard"/>
        <c:varyColors val="0"/>
        <c:ser>
          <c:idx val="1"/>
          <c:order val="1"/>
          <c:spPr>
            <a:ln w="28575" cap="rnd">
              <a:solidFill>
                <a:srgbClr val="C00000"/>
              </a:solidFill>
              <a:round/>
            </a:ln>
            <a:effectLst/>
          </c:spPr>
          <c:marker>
            <c:symbol val="none"/>
          </c:marker>
          <c:val>
            <c:numRef>
              <c:f>('Tableau détaillé'!$J$60,'Tableau détaillé'!$J$65)</c:f>
              <c:numCache>
                <c:formatCode>0.0%</c:formatCode>
                <c:ptCount val="2"/>
                <c:pt idx="0">
                  <c:v>4.9873568684914771E-2</c:v>
                </c:pt>
                <c:pt idx="1">
                  <c:v>4.9873568684914771E-2</c:v>
                </c:pt>
              </c:numCache>
            </c:numRef>
          </c:val>
          <c:smooth val="0"/>
          <c:extLst>
            <c:ext xmlns:c16="http://schemas.microsoft.com/office/drawing/2014/chart" uri="{C3380CC4-5D6E-409C-BE32-E72D297353CC}">
              <c16:uniqueId val="{00000004-9A7C-4ACE-B266-0C0D590CF19F}"/>
            </c:ext>
          </c:extLst>
        </c:ser>
        <c:dLbls>
          <c:showLegendKey val="0"/>
          <c:showVal val="0"/>
          <c:showCatName val="0"/>
          <c:showSerName val="0"/>
          <c:showPercent val="0"/>
          <c:showBubbleSize val="0"/>
        </c:dLbls>
        <c:marker val="1"/>
        <c:smooth val="0"/>
        <c:axId val="964182520"/>
        <c:axId val="964183696"/>
      </c:lineChart>
      <c:catAx>
        <c:axId val="964182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3696"/>
        <c:crosses val="autoZero"/>
        <c:auto val="1"/>
        <c:lblAlgn val="ctr"/>
        <c:lblOffset val="100"/>
        <c:noMultiLvlLbl val="0"/>
      </c:catAx>
      <c:valAx>
        <c:axId val="96418369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2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i="0" u="none" strike="noStrike" baseline="0">
                <a:effectLst/>
              </a:rPr>
              <a:t>Taux d'évolution </a:t>
            </a:r>
            <a:r>
              <a:rPr lang="fr-FR"/>
              <a:t>du stock de CAV</a:t>
            </a:r>
          </a:p>
        </c:rich>
      </c:tx>
      <c:layout>
        <c:manualLayout>
          <c:xMode val="edge"/>
          <c:yMode val="edge"/>
          <c:x val="0.2846486618146582"/>
          <c:y val="3.333354666722886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0686658828270257"/>
          <c:w val="0.89920800524934386"/>
          <c:h val="0.66848684093071176"/>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D3EC-4316-9845-C15435685541}"/>
              </c:ext>
            </c:extLst>
          </c:dPt>
          <c:dPt>
            <c:idx val="1"/>
            <c:invertIfNegative val="0"/>
            <c:bubble3D val="0"/>
            <c:spPr>
              <a:solidFill>
                <a:schemeClr val="tx1"/>
              </a:solidFill>
              <a:ln>
                <a:noFill/>
              </a:ln>
              <a:effectLst/>
            </c:spPr>
            <c:extLst>
              <c:ext xmlns:c16="http://schemas.microsoft.com/office/drawing/2014/chart" uri="{C3380CC4-5D6E-409C-BE32-E72D297353CC}">
                <c16:uniqueId val="{00000003-D3EC-4316-9845-C15435685541}"/>
              </c:ext>
            </c:extLst>
          </c:dPt>
          <c:dPt>
            <c:idx val="2"/>
            <c:invertIfNegative val="0"/>
            <c:bubble3D val="0"/>
            <c:spPr>
              <a:solidFill>
                <a:schemeClr val="tx1"/>
              </a:solidFill>
              <a:ln>
                <a:noFill/>
              </a:ln>
              <a:effectLst/>
            </c:spPr>
            <c:extLst>
              <c:ext xmlns:c16="http://schemas.microsoft.com/office/drawing/2014/chart" uri="{C3380CC4-5D6E-409C-BE32-E72D297353CC}">
                <c16:uniqueId val="{00000005-D3EC-4316-9845-C15435685541}"/>
              </c:ext>
            </c:extLst>
          </c:dPt>
          <c:dPt>
            <c:idx val="3"/>
            <c:invertIfNegative val="0"/>
            <c:bubble3D val="0"/>
            <c:spPr>
              <a:solidFill>
                <a:schemeClr val="tx1"/>
              </a:solidFill>
              <a:ln>
                <a:noFill/>
              </a:ln>
              <a:effectLst/>
            </c:spPr>
            <c:extLst>
              <c:ext xmlns:c16="http://schemas.microsoft.com/office/drawing/2014/chart" uri="{C3380CC4-5D6E-409C-BE32-E72D297353CC}">
                <c16:uniqueId val="{00000007-D3EC-4316-9845-C15435685541}"/>
              </c:ext>
            </c:extLst>
          </c:dPt>
          <c:dPt>
            <c:idx val="4"/>
            <c:invertIfNegative val="0"/>
            <c:bubble3D val="0"/>
            <c:spPr>
              <a:solidFill>
                <a:schemeClr val="tx1"/>
              </a:solidFill>
              <a:ln>
                <a:noFill/>
              </a:ln>
              <a:effectLst/>
            </c:spPr>
            <c:extLst>
              <c:ext xmlns:c16="http://schemas.microsoft.com/office/drawing/2014/chart" uri="{C3380CC4-5D6E-409C-BE32-E72D297353CC}">
                <c16:uniqueId val="{00000009-D3EC-4316-9845-C15435685541}"/>
              </c:ext>
            </c:extLst>
          </c:dPt>
          <c:dPt>
            <c:idx val="5"/>
            <c:invertIfNegative val="0"/>
            <c:bubble3D val="0"/>
            <c:spPr>
              <a:solidFill>
                <a:schemeClr val="tx1"/>
              </a:solidFill>
              <a:ln>
                <a:noFill/>
              </a:ln>
              <a:effectLst/>
            </c:spPr>
            <c:extLst>
              <c:ext xmlns:c16="http://schemas.microsoft.com/office/drawing/2014/chart" uri="{C3380CC4-5D6E-409C-BE32-E72D297353CC}">
                <c16:uniqueId val="{0000000B-D3EC-4316-9845-C15435685541}"/>
              </c:ext>
            </c:extLst>
          </c:dPt>
          <c:dPt>
            <c:idx val="6"/>
            <c:invertIfNegative val="0"/>
            <c:bubble3D val="0"/>
            <c:spPr>
              <a:solidFill>
                <a:schemeClr val="tx1"/>
              </a:solidFill>
              <a:ln>
                <a:noFill/>
              </a:ln>
              <a:effectLst/>
            </c:spPr>
            <c:extLst>
              <c:ext xmlns:c16="http://schemas.microsoft.com/office/drawing/2014/chart" uri="{C3380CC4-5D6E-409C-BE32-E72D297353CC}">
                <c16:uniqueId val="{0000000D-D3EC-4316-9845-C15435685541}"/>
              </c:ext>
            </c:extLst>
          </c:dPt>
          <c:dPt>
            <c:idx val="7"/>
            <c:invertIfNegative val="0"/>
            <c:bubble3D val="0"/>
            <c:spPr>
              <a:solidFill>
                <a:srgbClr val="FF0000"/>
              </a:solidFill>
              <a:ln>
                <a:noFill/>
              </a:ln>
              <a:effectLst/>
            </c:spPr>
            <c:extLst>
              <c:ext xmlns:c16="http://schemas.microsoft.com/office/drawing/2014/chart" uri="{C3380CC4-5D6E-409C-BE32-E72D297353CC}">
                <c16:uniqueId val="{0000000F-D3EC-4316-9845-C15435685541}"/>
              </c:ext>
            </c:extLst>
          </c:dPt>
          <c:dPt>
            <c:idx val="8"/>
            <c:invertIfNegative val="0"/>
            <c:bubble3D val="0"/>
            <c:spPr>
              <a:solidFill>
                <a:srgbClr val="FF0000"/>
              </a:solidFill>
              <a:ln>
                <a:noFill/>
              </a:ln>
              <a:effectLst/>
            </c:spPr>
            <c:extLst>
              <c:ext xmlns:c16="http://schemas.microsoft.com/office/drawing/2014/chart" uri="{C3380CC4-5D6E-409C-BE32-E72D297353CC}">
                <c16:uniqueId val="{00000011-D3EC-4316-9845-C15435685541}"/>
              </c:ext>
            </c:extLst>
          </c:dPt>
          <c:dPt>
            <c:idx val="9"/>
            <c:invertIfNegative val="0"/>
            <c:bubble3D val="0"/>
            <c:spPr>
              <a:solidFill>
                <a:srgbClr val="FF0000"/>
              </a:solidFill>
              <a:ln>
                <a:noFill/>
              </a:ln>
              <a:effectLst/>
            </c:spPr>
            <c:extLst>
              <c:ext xmlns:c16="http://schemas.microsoft.com/office/drawing/2014/chart" uri="{C3380CC4-5D6E-409C-BE32-E72D297353CC}">
                <c16:uniqueId val="{00000013-D3EC-4316-9845-C15435685541}"/>
              </c:ext>
            </c:extLst>
          </c:dPt>
          <c:dPt>
            <c:idx val="10"/>
            <c:invertIfNegative val="0"/>
            <c:bubble3D val="0"/>
            <c:spPr>
              <a:solidFill>
                <a:srgbClr val="FF0000"/>
              </a:solidFill>
              <a:ln>
                <a:noFill/>
              </a:ln>
              <a:effectLst/>
            </c:spPr>
            <c:extLst>
              <c:ext xmlns:c16="http://schemas.microsoft.com/office/drawing/2014/chart" uri="{C3380CC4-5D6E-409C-BE32-E72D297353CC}">
                <c16:uniqueId val="{00000015-D3EC-4316-9845-C15435685541}"/>
              </c:ext>
            </c:extLst>
          </c:dPt>
          <c:dLbls>
            <c:dLbl>
              <c:idx val="0"/>
              <c:layout>
                <c:manualLayout>
                  <c:x val="2.8262199077076912E-3"/>
                  <c:y val="6.803594400060536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EC-4316-9845-C15435685541}"/>
                </c:ext>
              </c:extLst>
            </c:dLbl>
            <c:dLbl>
              <c:idx val="2"/>
              <c:layout>
                <c:manualLayout>
                  <c:x val="8.372701979295261E-3"/>
                  <c:y val="-7.9792786513489865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EC-4316-9845-C15435685541}"/>
                </c:ext>
              </c:extLst>
            </c:dLbl>
            <c:dLbl>
              <c:idx val="3"/>
              <c:layout>
                <c:manualLayout>
                  <c:x val="-5.116611606320417E-17"/>
                  <c:y val="-2.238354685629773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3EC-4316-9845-C15435685541}"/>
                </c:ext>
              </c:extLst>
            </c:dLbl>
            <c:dLbl>
              <c:idx val="4"/>
              <c:layout>
                <c:manualLayout>
                  <c:x val="8.6628612225547637E-3"/>
                  <c:y val="9.44107223960145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3EC-4316-9845-C15435685541}"/>
                </c:ext>
              </c:extLst>
            </c:dLbl>
            <c:dLbl>
              <c:idx val="6"/>
              <c:layout>
                <c:manualLayout>
                  <c:x val="2.384219495530335E-3"/>
                  <c:y val="-5.6554724238406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3EC-4316-9845-C15435685541}"/>
                </c:ext>
              </c:extLst>
            </c:dLbl>
            <c:dLbl>
              <c:idx val="7"/>
              <c:layout>
                <c:manualLayout>
                  <c:x val="2.8019510404284028E-3"/>
                  <c:y val="-4.3030701633849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3EC-4316-9845-C15435685541}"/>
                </c:ext>
              </c:extLst>
            </c:dLbl>
            <c:dLbl>
              <c:idx val="9"/>
              <c:layout>
                <c:manualLayout>
                  <c:x val="-2.31009632601460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3EC-4316-9845-C15435685541}"/>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détaillé'!$H$86:$H$92,'Tableau détaillé'!$H$94:$H$97)</c:f>
              <c:numCache>
                <c:formatCode>0.0%</c:formatCode>
                <c:ptCount val="11"/>
                <c:pt idx="0">
                  <c:v>7.9095776888646885E-3</c:v>
                </c:pt>
                <c:pt idx="1">
                  <c:v>-3.305470090124385E-3</c:v>
                </c:pt>
                <c:pt idx="2">
                  <c:v>2.3270294535028491E-2</c:v>
                </c:pt>
                <c:pt idx="3">
                  <c:v>-2.6535856771683686E-2</c:v>
                </c:pt>
                <c:pt idx="4">
                  <c:v>-2.9739632559524609E-2</c:v>
                </c:pt>
                <c:pt idx="5">
                  <c:v>3.9407008086253414E-2</c:v>
                </c:pt>
                <c:pt idx="6">
                  <c:v>3.6732972060875557E-2</c:v>
                </c:pt>
                <c:pt idx="7">
                  <c:v>7.3939485905734736E-2</c:v>
                </c:pt>
                <c:pt idx="8">
                  <c:v>-4.3022602171722824E-3</c:v>
                </c:pt>
                <c:pt idx="9">
                  <c:v>4.2867507759280832E-2</c:v>
                </c:pt>
                <c:pt idx="10">
                  <c:v>8.4044727666225727E-2</c:v>
                </c:pt>
              </c:numCache>
            </c:numRef>
          </c:val>
          <c:extLst>
            <c:ext xmlns:c16="http://schemas.microsoft.com/office/drawing/2014/chart" uri="{C3380CC4-5D6E-409C-BE32-E72D297353CC}">
              <c16:uniqueId val="{00000016-D3EC-4316-9845-C15435685541}"/>
            </c:ext>
          </c:extLst>
        </c:ser>
        <c:dLbls>
          <c:showLegendKey val="0"/>
          <c:showVal val="0"/>
          <c:showCatName val="0"/>
          <c:showSerName val="0"/>
          <c:showPercent val="0"/>
          <c:showBubbleSize val="0"/>
        </c:dLbls>
        <c:gapWidth val="219"/>
        <c:overlap val="-27"/>
        <c:axId val="964186832"/>
        <c:axId val="964184480"/>
      </c:barChart>
      <c:lineChart>
        <c:grouping val="standard"/>
        <c:varyColors val="0"/>
        <c:ser>
          <c:idx val="1"/>
          <c:order val="1"/>
          <c:spPr>
            <a:ln w="28575" cap="rnd">
              <a:solidFill>
                <a:srgbClr val="C00000"/>
              </a:solidFill>
              <a:round/>
            </a:ln>
            <a:effectLst/>
          </c:spPr>
          <c:marker>
            <c:symbol val="none"/>
          </c:marker>
          <c:val>
            <c:numRef>
              <c:f>('Tableau détaillé'!$J$86:$J$92,'Tableau détaillé'!$J$94:$J$97)</c:f>
              <c:numCache>
                <c:formatCode>0.0%</c:formatCode>
                <c:ptCount val="11"/>
                <c:pt idx="0">
                  <c:v>1.7722724711439763E-2</c:v>
                </c:pt>
                <c:pt idx="1">
                  <c:v>1.7722724711439763E-2</c:v>
                </c:pt>
                <c:pt idx="2">
                  <c:v>1.7722724711439763E-2</c:v>
                </c:pt>
                <c:pt idx="3">
                  <c:v>1.7722724711439763E-2</c:v>
                </c:pt>
                <c:pt idx="4">
                  <c:v>1.7722724711439763E-2</c:v>
                </c:pt>
                <c:pt idx="5">
                  <c:v>1.7722724711439763E-2</c:v>
                </c:pt>
                <c:pt idx="6">
                  <c:v>1.7722724711439763E-2</c:v>
                </c:pt>
                <c:pt idx="7">
                  <c:v>1.7722724711439763E-2</c:v>
                </c:pt>
                <c:pt idx="8">
                  <c:v>1.7722724711439763E-2</c:v>
                </c:pt>
                <c:pt idx="9">
                  <c:v>1.7722724711439763E-2</c:v>
                </c:pt>
                <c:pt idx="10">
                  <c:v>1.7722724711439763E-2</c:v>
                </c:pt>
              </c:numCache>
            </c:numRef>
          </c:val>
          <c:smooth val="0"/>
          <c:extLst>
            <c:ext xmlns:c16="http://schemas.microsoft.com/office/drawing/2014/chart" uri="{C3380CC4-5D6E-409C-BE32-E72D297353CC}">
              <c16:uniqueId val="{00000017-D3EC-4316-9845-C15435685541}"/>
            </c:ext>
          </c:extLst>
        </c:ser>
        <c:dLbls>
          <c:showLegendKey val="0"/>
          <c:showVal val="0"/>
          <c:showCatName val="0"/>
          <c:showSerName val="0"/>
          <c:showPercent val="0"/>
          <c:showBubbleSize val="0"/>
        </c:dLbls>
        <c:marker val="1"/>
        <c:smooth val="0"/>
        <c:axId val="964186832"/>
        <c:axId val="964184480"/>
      </c:lineChart>
      <c:catAx>
        <c:axId val="96418683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4480"/>
        <c:crosses val="autoZero"/>
        <c:auto val="1"/>
        <c:lblAlgn val="ctr"/>
        <c:lblOffset val="100"/>
        <c:noMultiLvlLbl val="0"/>
      </c:catAx>
      <c:valAx>
        <c:axId val="96418448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a:t>
            </a:r>
            <a:r>
              <a:rPr lang="fr-FR" baseline="0"/>
              <a:t> d'é</a:t>
            </a:r>
            <a:r>
              <a:rPr lang="fr-FR"/>
              <a:t>volution du stock de CAV par DR</a:t>
            </a:r>
          </a:p>
        </c:rich>
      </c:tx>
      <c:layout>
        <c:manualLayout>
          <c:xMode val="edge"/>
          <c:yMode val="edge"/>
          <c:x val="0.21516270061725004"/>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18B2-4080-B8E5-1B4979F67335}"/>
              </c:ext>
            </c:extLst>
          </c:dPt>
          <c:dLbls>
            <c:dLbl>
              <c:idx val="0"/>
              <c:layout>
                <c:manualLayout>
                  <c:x val="-1.1154857083883208E-2"/>
                  <c:y val="1.40472636962664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B2-4080-B8E5-1B4979F67335}"/>
                </c:ext>
              </c:extLst>
            </c:dLbl>
            <c:dLbl>
              <c:idx val="1"/>
              <c:layout>
                <c:manualLayout>
                  <c:x val="0"/>
                  <c:y val="-8.910809926513101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B2-4080-B8E5-1B4979F6733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détaillé'!$H$93,'Tableau détaillé'!$H$98)</c:f>
              <c:numCache>
                <c:formatCode>0.0%</c:formatCode>
                <c:ptCount val="2"/>
                <c:pt idx="0">
                  <c:v>3.867338069182269E-3</c:v>
                </c:pt>
                <c:pt idx="1">
                  <c:v>4.3528057337272497E-2</c:v>
                </c:pt>
              </c:numCache>
            </c:numRef>
          </c:val>
          <c:extLst>
            <c:ext xmlns:c16="http://schemas.microsoft.com/office/drawing/2014/chart" uri="{C3380CC4-5D6E-409C-BE32-E72D297353CC}">
              <c16:uniqueId val="{00000003-18B2-4080-B8E5-1B4979F67335}"/>
            </c:ext>
          </c:extLst>
        </c:ser>
        <c:dLbls>
          <c:showLegendKey val="0"/>
          <c:showVal val="0"/>
          <c:showCatName val="0"/>
          <c:showSerName val="0"/>
          <c:showPercent val="0"/>
          <c:showBubbleSize val="0"/>
        </c:dLbls>
        <c:gapWidth val="219"/>
        <c:overlap val="-27"/>
        <c:axId val="964176640"/>
        <c:axId val="964186048"/>
      </c:barChart>
      <c:lineChart>
        <c:grouping val="standard"/>
        <c:varyColors val="0"/>
        <c:ser>
          <c:idx val="1"/>
          <c:order val="1"/>
          <c:spPr>
            <a:ln w="28575" cap="rnd">
              <a:solidFill>
                <a:srgbClr val="C00000"/>
              </a:solidFill>
              <a:round/>
            </a:ln>
            <a:effectLst/>
          </c:spPr>
          <c:marker>
            <c:symbol val="none"/>
          </c:marker>
          <c:val>
            <c:numRef>
              <c:f>('Tableau détaillé'!$J$93,'Tableau détaillé'!$J$98)</c:f>
              <c:numCache>
                <c:formatCode>0.0%</c:formatCode>
                <c:ptCount val="2"/>
                <c:pt idx="0">
                  <c:v>1.7722724711439763E-2</c:v>
                </c:pt>
                <c:pt idx="1">
                  <c:v>1.7722724711439763E-2</c:v>
                </c:pt>
              </c:numCache>
            </c:numRef>
          </c:val>
          <c:smooth val="0"/>
          <c:extLst>
            <c:ext xmlns:c16="http://schemas.microsoft.com/office/drawing/2014/chart" uri="{C3380CC4-5D6E-409C-BE32-E72D297353CC}">
              <c16:uniqueId val="{00000004-18B2-4080-B8E5-1B4979F67335}"/>
            </c:ext>
          </c:extLst>
        </c:ser>
        <c:dLbls>
          <c:showLegendKey val="0"/>
          <c:showVal val="0"/>
          <c:showCatName val="0"/>
          <c:showSerName val="0"/>
          <c:showPercent val="0"/>
          <c:showBubbleSize val="0"/>
        </c:dLbls>
        <c:marker val="1"/>
        <c:smooth val="0"/>
        <c:axId val="964176640"/>
        <c:axId val="964186048"/>
      </c:lineChart>
      <c:catAx>
        <c:axId val="9641766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6048"/>
        <c:crosses val="autoZero"/>
        <c:auto val="1"/>
        <c:lblAlgn val="ctr"/>
        <c:lblOffset val="100"/>
        <c:noMultiLvlLbl val="0"/>
      </c:catAx>
      <c:valAx>
        <c:axId val="96418604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6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i="0" u="none" strike="noStrike" baseline="0">
                <a:effectLst/>
              </a:rPr>
              <a:t>Taux d'évolution </a:t>
            </a:r>
            <a:r>
              <a:rPr lang="fr-FR"/>
              <a:t>de</a:t>
            </a:r>
            <a:r>
              <a:rPr lang="fr-FR" baseline="0"/>
              <a:t> la part de packages dans les CAV</a:t>
            </a:r>
            <a:endParaRPr lang="fr-FR"/>
          </a:p>
        </c:rich>
      </c:tx>
      <c:layout>
        <c:manualLayout>
          <c:xMode val="edge"/>
          <c:yMode val="edge"/>
          <c:x val="0.14895657108262977"/>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8.5406077174564624E-2"/>
          <c:w val="0.89920800524934386"/>
          <c:h val="0.6854513432465287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6DCE-49DC-827A-35C09936EE31}"/>
              </c:ext>
            </c:extLst>
          </c:dPt>
          <c:dPt>
            <c:idx val="1"/>
            <c:invertIfNegative val="0"/>
            <c:bubble3D val="0"/>
            <c:spPr>
              <a:solidFill>
                <a:schemeClr val="tx1"/>
              </a:solidFill>
              <a:ln>
                <a:noFill/>
              </a:ln>
              <a:effectLst/>
            </c:spPr>
            <c:extLst>
              <c:ext xmlns:c16="http://schemas.microsoft.com/office/drawing/2014/chart" uri="{C3380CC4-5D6E-409C-BE32-E72D297353CC}">
                <c16:uniqueId val="{00000003-6DCE-49DC-827A-35C09936EE31}"/>
              </c:ext>
            </c:extLst>
          </c:dPt>
          <c:dPt>
            <c:idx val="2"/>
            <c:invertIfNegative val="0"/>
            <c:bubble3D val="0"/>
            <c:spPr>
              <a:solidFill>
                <a:schemeClr val="tx1"/>
              </a:solidFill>
              <a:ln>
                <a:noFill/>
              </a:ln>
              <a:effectLst/>
            </c:spPr>
            <c:extLst>
              <c:ext xmlns:c16="http://schemas.microsoft.com/office/drawing/2014/chart" uri="{C3380CC4-5D6E-409C-BE32-E72D297353CC}">
                <c16:uniqueId val="{00000005-6DCE-49DC-827A-35C09936EE31}"/>
              </c:ext>
            </c:extLst>
          </c:dPt>
          <c:dPt>
            <c:idx val="3"/>
            <c:invertIfNegative val="0"/>
            <c:bubble3D val="0"/>
            <c:spPr>
              <a:solidFill>
                <a:schemeClr val="tx1"/>
              </a:solidFill>
              <a:ln>
                <a:noFill/>
              </a:ln>
              <a:effectLst/>
            </c:spPr>
            <c:extLst>
              <c:ext xmlns:c16="http://schemas.microsoft.com/office/drawing/2014/chart" uri="{C3380CC4-5D6E-409C-BE32-E72D297353CC}">
                <c16:uniqueId val="{00000007-6DCE-49DC-827A-35C09936EE31}"/>
              </c:ext>
            </c:extLst>
          </c:dPt>
          <c:dPt>
            <c:idx val="4"/>
            <c:invertIfNegative val="0"/>
            <c:bubble3D val="0"/>
            <c:spPr>
              <a:solidFill>
                <a:schemeClr val="tx1"/>
              </a:solidFill>
              <a:ln>
                <a:noFill/>
              </a:ln>
              <a:effectLst/>
            </c:spPr>
            <c:extLst>
              <c:ext xmlns:c16="http://schemas.microsoft.com/office/drawing/2014/chart" uri="{C3380CC4-5D6E-409C-BE32-E72D297353CC}">
                <c16:uniqueId val="{00000009-6DCE-49DC-827A-35C09936EE31}"/>
              </c:ext>
            </c:extLst>
          </c:dPt>
          <c:dPt>
            <c:idx val="5"/>
            <c:invertIfNegative val="0"/>
            <c:bubble3D val="0"/>
            <c:spPr>
              <a:solidFill>
                <a:schemeClr val="tx1"/>
              </a:solidFill>
              <a:ln>
                <a:noFill/>
              </a:ln>
              <a:effectLst/>
            </c:spPr>
            <c:extLst>
              <c:ext xmlns:c16="http://schemas.microsoft.com/office/drawing/2014/chart" uri="{C3380CC4-5D6E-409C-BE32-E72D297353CC}">
                <c16:uniqueId val="{0000000B-6DCE-49DC-827A-35C09936EE31}"/>
              </c:ext>
            </c:extLst>
          </c:dPt>
          <c:dPt>
            <c:idx val="6"/>
            <c:invertIfNegative val="0"/>
            <c:bubble3D val="0"/>
            <c:spPr>
              <a:solidFill>
                <a:schemeClr val="tx1"/>
              </a:solidFill>
              <a:ln>
                <a:noFill/>
              </a:ln>
              <a:effectLst/>
            </c:spPr>
            <c:extLst>
              <c:ext xmlns:c16="http://schemas.microsoft.com/office/drawing/2014/chart" uri="{C3380CC4-5D6E-409C-BE32-E72D297353CC}">
                <c16:uniqueId val="{0000000D-6DCE-49DC-827A-35C09936EE31}"/>
              </c:ext>
            </c:extLst>
          </c:dPt>
          <c:dPt>
            <c:idx val="7"/>
            <c:invertIfNegative val="0"/>
            <c:bubble3D val="0"/>
            <c:spPr>
              <a:solidFill>
                <a:srgbClr val="FF0000"/>
              </a:solidFill>
              <a:ln>
                <a:noFill/>
              </a:ln>
              <a:effectLst/>
            </c:spPr>
            <c:extLst>
              <c:ext xmlns:c16="http://schemas.microsoft.com/office/drawing/2014/chart" uri="{C3380CC4-5D6E-409C-BE32-E72D297353CC}">
                <c16:uniqueId val="{0000000F-6DCE-49DC-827A-35C09936EE31}"/>
              </c:ext>
            </c:extLst>
          </c:dPt>
          <c:dPt>
            <c:idx val="8"/>
            <c:invertIfNegative val="0"/>
            <c:bubble3D val="0"/>
            <c:spPr>
              <a:solidFill>
                <a:srgbClr val="FF0000"/>
              </a:solidFill>
              <a:ln>
                <a:noFill/>
              </a:ln>
              <a:effectLst/>
            </c:spPr>
            <c:extLst>
              <c:ext xmlns:c16="http://schemas.microsoft.com/office/drawing/2014/chart" uri="{C3380CC4-5D6E-409C-BE32-E72D297353CC}">
                <c16:uniqueId val="{00000011-6DCE-49DC-827A-35C09936EE31}"/>
              </c:ext>
            </c:extLst>
          </c:dPt>
          <c:dPt>
            <c:idx val="9"/>
            <c:invertIfNegative val="0"/>
            <c:bubble3D val="0"/>
            <c:spPr>
              <a:solidFill>
                <a:srgbClr val="FF0000"/>
              </a:solidFill>
              <a:ln>
                <a:noFill/>
              </a:ln>
              <a:effectLst/>
            </c:spPr>
            <c:extLst>
              <c:ext xmlns:c16="http://schemas.microsoft.com/office/drawing/2014/chart" uri="{C3380CC4-5D6E-409C-BE32-E72D297353CC}">
                <c16:uniqueId val="{00000013-6DCE-49DC-827A-35C09936EE31}"/>
              </c:ext>
            </c:extLst>
          </c:dPt>
          <c:dPt>
            <c:idx val="10"/>
            <c:invertIfNegative val="0"/>
            <c:bubble3D val="0"/>
            <c:spPr>
              <a:solidFill>
                <a:srgbClr val="FF0000"/>
              </a:solidFill>
              <a:ln>
                <a:noFill/>
              </a:ln>
              <a:effectLst/>
            </c:spPr>
            <c:extLst>
              <c:ext xmlns:c16="http://schemas.microsoft.com/office/drawing/2014/chart" uri="{C3380CC4-5D6E-409C-BE32-E72D297353CC}">
                <c16:uniqueId val="{00000015-6DCE-49DC-827A-35C09936EE31}"/>
              </c:ext>
            </c:extLst>
          </c:dPt>
          <c:dLbls>
            <c:dLbl>
              <c:idx val="0"/>
              <c:layout>
                <c:manualLayout>
                  <c:x val="-1.2731334408019993E-17"/>
                  <c:y val="7.227971503562032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DCE-49DC-827A-35C09936EE31}"/>
                </c:ext>
              </c:extLst>
            </c:dLbl>
            <c:dLbl>
              <c:idx val="1"/>
              <c:layout>
                <c:manualLayout>
                  <c:x val="2.7777777777777523E-3"/>
                  <c:y val="0.152380952380952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CE-49DC-827A-35C09936EE31}"/>
                </c:ext>
              </c:extLst>
            </c:dLbl>
            <c:dLbl>
              <c:idx val="3"/>
              <c:layout>
                <c:manualLayout>
                  <c:x val="-1.1550481630073141E-2"/>
                  <c:y val="0.108389954286133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DCE-49DC-827A-35C09936EE31}"/>
                </c:ext>
              </c:extLst>
            </c:dLbl>
            <c:dLbl>
              <c:idx val="4"/>
              <c:layout>
                <c:manualLayout>
                  <c:x val="5.2939095914214853E-17"/>
                  <c:y val="9.8015833546341483E-2"/>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DCE-49DC-827A-35C09936EE31}"/>
                </c:ext>
              </c:extLst>
            </c:dLbl>
            <c:dLbl>
              <c:idx val="5"/>
              <c:layout>
                <c:manualLayout>
                  <c:x val="5.5685012247414208E-3"/>
                  <c:y val="-4.19693810783083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DCE-49DC-827A-35C09936EE31}"/>
                </c:ext>
              </c:extLst>
            </c:dLbl>
            <c:dLbl>
              <c:idx val="6"/>
              <c:layout>
                <c:manualLayout>
                  <c:x val="2.7777777777777779E-3"/>
                  <c:y val="3.21859767529050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DCE-49DC-827A-35C09936EE31}"/>
                </c:ext>
              </c:extLst>
            </c:dLbl>
            <c:dLbl>
              <c:idx val="9"/>
              <c:layout>
                <c:manualLayout>
                  <c:x val="-2.233995022833812E-2"/>
                  <c:y val="-1.1923821868860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DCE-49DC-827A-35C09936EE31}"/>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détaillé'!$H$118:$H$124,'Tableau détaillé'!$H$126:$H$129)</c:f>
              <c:numCache>
                <c:formatCode>#\ ##0.0" pts"</c:formatCode>
                <c:ptCount val="11"/>
                <c:pt idx="0">
                  <c:v>1.1494844316000008</c:v>
                </c:pt>
                <c:pt idx="1">
                  <c:v>-0.32811076959999991</c:v>
                </c:pt>
                <c:pt idx="2">
                  <c:v>1.40450288959999</c:v>
                </c:pt>
                <c:pt idx="3">
                  <c:v>-5.5369812899996873E-2</c:v>
                </c:pt>
                <c:pt idx="4">
                  <c:v>0.41553867720000026</c:v>
                </c:pt>
                <c:pt idx="5">
                  <c:v>-1.0597497267999967</c:v>
                </c:pt>
                <c:pt idx="6">
                  <c:v>-4.10525883656965E-3</c:v>
                </c:pt>
                <c:pt idx="7">
                  <c:v>3.2070619567999947</c:v>
                </c:pt>
                <c:pt idx="8">
                  <c:v>2.0984112148</c:v>
                </c:pt>
                <c:pt idx="9">
                  <c:v>2.1307886291</c:v>
                </c:pt>
                <c:pt idx="10">
                  <c:v>-36.244150154299994</c:v>
                </c:pt>
              </c:numCache>
            </c:numRef>
          </c:val>
          <c:extLst>
            <c:ext xmlns:c16="http://schemas.microsoft.com/office/drawing/2014/chart" uri="{C3380CC4-5D6E-409C-BE32-E72D297353CC}">
              <c16:uniqueId val="{00000016-6DCE-49DC-827A-35C09936EE31}"/>
            </c:ext>
          </c:extLst>
        </c:ser>
        <c:dLbls>
          <c:showLegendKey val="0"/>
          <c:showVal val="0"/>
          <c:showCatName val="0"/>
          <c:showSerName val="0"/>
          <c:showPercent val="0"/>
          <c:showBubbleSize val="0"/>
        </c:dLbls>
        <c:gapWidth val="219"/>
        <c:overlap val="-27"/>
        <c:axId val="964174680"/>
        <c:axId val="964181344"/>
      </c:barChart>
      <c:lineChart>
        <c:grouping val="standard"/>
        <c:varyColors val="0"/>
        <c:ser>
          <c:idx val="1"/>
          <c:order val="1"/>
          <c:spPr>
            <a:ln w="28575" cap="rnd">
              <a:solidFill>
                <a:srgbClr val="C00000"/>
              </a:solidFill>
              <a:round/>
            </a:ln>
            <a:effectLst/>
          </c:spPr>
          <c:marker>
            <c:symbol val="none"/>
          </c:marker>
          <c:val>
            <c:numRef>
              <c:f>('Tableau détaillé'!$J$118:$J$124,'Tableau détaillé'!$J$126:$J$129)</c:f>
              <c:numCache>
                <c:formatCode>#\ ##0.0" pts"</c:formatCode>
                <c:ptCount val="11"/>
                <c:pt idx="0">
                  <c:v>2.0987246901999934</c:v>
                </c:pt>
                <c:pt idx="1">
                  <c:v>2.0987246901999934</c:v>
                </c:pt>
                <c:pt idx="2">
                  <c:v>2.0987246901999934</c:v>
                </c:pt>
                <c:pt idx="3">
                  <c:v>2.0987246901999934</c:v>
                </c:pt>
                <c:pt idx="4">
                  <c:v>2.0987246901999934</c:v>
                </c:pt>
                <c:pt idx="5">
                  <c:v>2.0987246901999934</c:v>
                </c:pt>
                <c:pt idx="6">
                  <c:v>2.0987246901999934</c:v>
                </c:pt>
                <c:pt idx="7">
                  <c:v>2.0987246901999934</c:v>
                </c:pt>
                <c:pt idx="8">
                  <c:v>2.0987246901999934</c:v>
                </c:pt>
                <c:pt idx="9">
                  <c:v>2.0987246901999934</c:v>
                </c:pt>
                <c:pt idx="10">
                  <c:v>2.0987246901999934</c:v>
                </c:pt>
              </c:numCache>
            </c:numRef>
          </c:val>
          <c:smooth val="0"/>
          <c:extLst>
            <c:ext xmlns:c16="http://schemas.microsoft.com/office/drawing/2014/chart" uri="{C3380CC4-5D6E-409C-BE32-E72D297353CC}">
              <c16:uniqueId val="{00000017-6DCE-49DC-827A-35C09936EE31}"/>
            </c:ext>
          </c:extLst>
        </c:ser>
        <c:dLbls>
          <c:showLegendKey val="0"/>
          <c:showVal val="0"/>
          <c:showCatName val="0"/>
          <c:showSerName val="0"/>
          <c:showPercent val="0"/>
          <c:showBubbleSize val="0"/>
        </c:dLbls>
        <c:marker val="1"/>
        <c:smooth val="0"/>
        <c:axId val="964174680"/>
        <c:axId val="964181344"/>
      </c:lineChart>
      <c:catAx>
        <c:axId val="96417468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1344"/>
        <c:crosses val="autoZero"/>
        <c:auto val="1"/>
        <c:lblAlgn val="ctr"/>
        <c:lblOffset val="100"/>
        <c:noMultiLvlLbl val="0"/>
      </c:catAx>
      <c:valAx>
        <c:axId val="964181344"/>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4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i="0" u="none" strike="noStrike" baseline="0">
                <a:effectLst/>
              </a:rPr>
              <a:t>Taux d'évolution </a:t>
            </a:r>
            <a:r>
              <a:rPr lang="fr-FR"/>
              <a:t>de la part de packages dans les CAV par DR</a:t>
            </a:r>
          </a:p>
        </c:rich>
      </c:tx>
      <c:layout>
        <c:manualLayout>
          <c:xMode val="edge"/>
          <c:yMode val="edge"/>
          <c:x val="0.12927754733677788"/>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3718-4DAD-BF83-7D1ADE14CA3A}"/>
              </c:ext>
            </c:extLst>
          </c:dPt>
          <c:dLbls>
            <c:dLbl>
              <c:idx val="0"/>
              <c:layout>
                <c:manualLayout>
                  <c:x val="-6.9551616609583228E-2"/>
                  <c:y val="-2.79795873855388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718-4DAD-BF83-7D1ADE14CA3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détaillé'!$H$125,'Tableau détaillé'!$H$130)</c:f>
              <c:numCache>
                <c:formatCode>#\ ##0.0" pts"</c:formatCode>
                <c:ptCount val="2"/>
                <c:pt idx="0">
                  <c:v>0.80336315919999901</c:v>
                </c:pt>
                <c:pt idx="1">
                  <c:v>5.1484680294</c:v>
                </c:pt>
              </c:numCache>
            </c:numRef>
          </c:val>
          <c:extLst>
            <c:ext xmlns:c16="http://schemas.microsoft.com/office/drawing/2014/chart" uri="{C3380CC4-5D6E-409C-BE32-E72D297353CC}">
              <c16:uniqueId val="{00000003-3718-4DAD-BF83-7D1ADE14CA3A}"/>
            </c:ext>
          </c:extLst>
        </c:ser>
        <c:dLbls>
          <c:showLegendKey val="0"/>
          <c:showVal val="0"/>
          <c:showCatName val="0"/>
          <c:showSerName val="0"/>
          <c:showPercent val="0"/>
          <c:showBubbleSize val="0"/>
        </c:dLbls>
        <c:gapWidth val="219"/>
        <c:overlap val="-27"/>
        <c:axId val="964177032"/>
        <c:axId val="964193496"/>
      </c:barChart>
      <c:lineChart>
        <c:grouping val="standard"/>
        <c:varyColors val="0"/>
        <c:ser>
          <c:idx val="1"/>
          <c:order val="1"/>
          <c:spPr>
            <a:ln w="28575" cap="rnd">
              <a:solidFill>
                <a:srgbClr val="C00000"/>
              </a:solidFill>
              <a:round/>
            </a:ln>
            <a:effectLst/>
          </c:spPr>
          <c:marker>
            <c:symbol val="none"/>
          </c:marker>
          <c:val>
            <c:numRef>
              <c:f>('Tableau détaillé'!$J$125,'Tableau détaillé'!$J$130)</c:f>
              <c:numCache>
                <c:formatCode>#\ ##0.0" pts"</c:formatCode>
                <c:ptCount val="2"/>
                <c:pt idx="0">
                  <c:v>2.0987246901999934</c:v>
                </c:pt>
                <c:pt idx="1">
                  <c:v>2.0987246901999934</c:v>
                </c:pt>
              </c:numCache>
            </c:numRef>
          </c:val>
          <c:smooth val="0"/>
          <c:extLst>
            <c:ext xmlns:c16="http://schemas.microsoft.com/office/drawing/2014/chart" uri="{C3380CC4-5D6E-409C-BE32-E72D297353CC}">
              <c16:uniqueId val="{00000004-3718-4DAD-BF83-7D1ADE14CA3A}"/>
            </c:ext>
          </c:extLst>
        </c:ser>
        <c:dLbls>
          <c:showLegendKey val="0"/>
          <c:showVal val="0"/>
          <c:showCatName val="0"/>
          <c:showSerName val="0"/>
          <c:showPercent val="0"/>
          <c:showBubbleSize val="0"/>
        </c:dLbls>
        <c:marker val="1"/>
        <c:smooth val="0"/>
        <c:axId val="964177032"/>
        <c:axId val="964193496"/>
      </c:lineChart>
      <c:catAx>
        <c:axId val="964177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3496"/>
        <c:crosses val="autoZero"/>
        <c:auto val="1"/>
        <c:lblAlgn val="ctr"/>
        <c:lblOffset val="100"/>
        <c:noMultiLvlLbl val="0"/>
      </c:catAx>
      <c:valAx>
        <c:axId val="964193496"/>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7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 l'équipement BAD</a:t>
            </a:r>
          </a:p>
        </c:rich>
      </c:tx>
      <c:layout>
        <c:manualLayout>
          <c:xMode val="edge"/>
          <c:yMode val="edge"/>
          <c:x val="0.28540825868011871"/>
          <c:y val="1.460362920961806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4312386203309568"/>
          <c:w val="0.89920800524934386"/>
          <c:h val="0.6295509401068563"/>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7043-41F1-B58D-16DF6F3CEE05}"/>
              </c:ext>
            </c:extLst>
          </c:dPt>
          <c:dPt>
            <c:idx val="1"/>
            <c:invertIfNegative val="0"/>
            <c:bubble3D val="0"/>
            <c:spPr>
              <a:solidFill>
                <a:schemeClr val="tx1"/>
              </a:solidFill>
              <a:ln>
                <a:noFill/>
              </a:ln>
              <a:effectLst/>
            </c:spPr>
            <c:extLst>
              <c:ext xmlns:c16="http://schemas.microsoft.com/office/drawing/2014/chart" uri="{C3380CC4-5D6E-409C-BE32-E72D297353CC}">
                <c16:uniqueId val="{00000003-7043-41F1-B58D-16DF6F3CEE05}"/>
              </c:ext>
            </c:extLst>
          </c:dPt>
          <c:dPt>
            <c:idx val="2"/>
            <c:invertIfNegative val="0"/>
            <c:bubble3D val="0"/>
            <c:spPr>
              <a:solidFill>
                <a:schemeClr val="tx1"/>
              </a:solidFill>
              <a:ln>
                <a:noFill/>
              </a:ln>
              <a:effectLst/>
            </c:spPr>
            <c:extLst>
              <c:ext xmlns:c16="http://schemas.microsoft.com/office/drawing/2014/chart" uri="{C3380CC4-5D6E-409C-BE32-E72D297353CC}">
                <c16:uniqueId val="{00000005-7043-41F1-B58D-16DF6F3CEE05}"/>
              </c:ext>
            </c:extLst>
          </c:dPt>
          <c:dPt>
            <c:idx val="3"/>
            <c:invertIfNegative val="0"/>
            <c:bubble3D val="0"/>
            <c:spPr>
              <a:solidFill>
                <a:schemeClr val="tx1"/>
              </a:solidFill>
              <a:ln>
                <a:noFill/>
              </a:ln>
              <a:effectLst/>
            </c:spPr>
            <c:extLst>
              <c:ext xmlns:c16="http://schemas.microsoft.com/office/drawing/2014/chart" uri="{C3380CC4-5D6E-409C-BE32-E72D297353CC}">
                <c16:uniqueId val="{00000007-7043-41F1-B58D-16DF6F3CEE05}"/>
              </c:ext>
            </c:extLst>
          </c:dPt>
          <c:dPt>
            <c:idx val="4"/>
            <c:invertIfNegative val="0"/>
            <c:bubble3D val="0"/>
            <c:spPr>
              <a:solidFill>
                <a:schemeClr val="tx1"/>
              </a:solidFill>
              <a:ln>
                <a:noFill/>
              </a:ln>
              <a:effectLst/>
            </c:spPr>
            <c:extLst>
              <c:ext xmlns:c16="http://schemas.microsoft.com/office/drawing/2014/chart" uri="{C3380CC4-5D6E-409C-BE32-E72D297353CC}">
                <c16:uniqueId val="{00000009-7043-41F1-B58D-16DF6F3CEE05}"/>
              </c:ext>
            </c:extLst>
          </c:dPt>
          <c:dPt>
            <c:idx val="5"/>
            <c:invertIfNegative val="0"/>
            <c:bubble3D val="0"/>
            <c:spPr>
              <a:solidFill>
                <a:schemeClr val="tx1"/>
              </a:solidFill>
              <a:ln>
                <a:noFill/>
              </a:ln>
              <a:effectLst/>
            </c:spPr>
            <c:extLst>
              <c:ext xmlns:c16="http://schemas.microsoft.com/office/drawing/2014/chart" uri="{C3380CC4-5D6E-409C-BE32-E72D297353CC}">
                <c16:uniqueId val="{0000000B-7043-41F1-B58D-16DF6F3CEE05}"/>
              </c:ext>
            </c:extLst>
          </c:dPt>
          <c:dPt>
            <c:idx val="6"/>
            <c:invertIfNegative val="0"/>
            <c:bubble3D val="0"/>
            <c:spPr>
              <a:solidFill>
                <a:schemeClr val="tx1"/>
              </a:solidFill>
              <a:ln>
                <a:noFill/>
              </a:ln>
              <a:effectLst/>
            </c:spPr>
            <c:extLst>
              <c:ext xmlns:c16="http://schemas.microsoft.com/office/drawing/2014/chart" uri="{C3380CC4-5D6E-409C-BE32-E72D297353CC}">
                <c16:uniqueId val="{0000000D-7043-41F1-B58D-16DF6F3CEE05}"/>
              </c:ext>
            </c:extLst>
          </c:dPt>
          <c:dPt>
            <c:idx val="7"/>
            <c:invertIfNegative val="0"/>
            <c:bubble3D val="0"/>
            <c:spPr>
              <a:solidFill>
                <a:srgbClr val="FF0000"/>
              </a:solidFill>
              <a:ln>
                <a:noFill/>
              </a:ln>
              <a:effectLst/>
            </c:spPr>
            <c:extLst>
              <c:ext xmlns:c16="http://schemas.microsoft.com/office/drawing/2014/chart" uri="{C3380CC4-5D6E-409C-BE32-E72D297353CC}">
                <c16:uniqueId val="{0000000F-7043-41F1-B58D-16DF6F3CEE05}"/>
              </c:ext>
            </c:extLst>
          </c:dPt>
          <c:dPt>
            <c:idx val="8"/>
            <c:invertIfNegative val="0"/>
            <c:bubble3D val="0"/>
            <c:spPr>
              <a:solidFill>
                <a:srgbClr val="FF0000"/>
              </a:solidFill>
              <a:ln>
                <a:noFill/>
              </a:ln>
              <a:effectLst/>
            </c:spPr>
            <c:extLst>
              <c:ext xmlns:c16="http://schemas.microsoft.com/office/drawing/2014/chart" uri="{C3380CC4-5D6E-409C-BE32-E72D297353CC}">
                <c16:uniqueId val="{00000011-7043-41F1-B58D-16DF6F3CEE05}"/>
              </c:ext>
            </c:extLst>
          </c:dPt>
          <c:dPt>
            <c:idx val="9"/>
            <c:invertIfNegative val="0"/>
            <c:bubble3D val="0"/>
            <c:spPr>
              <a:solidFill>
                <a:srgbClr val="FF0000"/>
              </a:solidFill>
              <a:ln>
                <a:noFill/>
              </a:ln>
              <a:effectLst/>
            </c:spPr>
            <c:extLst>
              <c:ext xmlns:c16="http://schemas.microsoft.com/office/drawing/2014/chart" uri="{C3380CC4-5D6E-409C-BE32-E72D297353CC}">
                <c16:uniqueId val="{00000013-7043-41F1-B58D-16DF6F3CEE05}"/>
              </c:ext>
            </c:extLst>
          </c:dPt>
          <c:dPt>
            <c:idx val="10"/>
            <c:invertIfNegative val="0"/>
            <c:bubble3D val="0"/>
            <c:spPr>
              <a:solidFill>
                <a:srgbClr val="FF0000"/>
              </a:solidFill>
              <a:ln>
                <a:noFill/>
              </a:ln>
              <a:effectLst/>
            </c:spPr>
            <c:extLst>
              <c:ext xmlns:c16="http://schemas.microsoft.com/office/drawing/2014/chart" uri="{C3380CC4-5D6E-409C-BE32-E72D297353CC}">
                <c16:uniqueId val="{00000015-7043-41F1-B58D-16DF6F3CEE05}"/>
              </c:ext>
            </c:extLst>
          </c:dPt>
          <c:dLbls>
            <c:dLbl>
              <c:idx val="0"/>
              <c:layout>
                <c:manualLayout>
                  <c:x val="2.8876204075182588E-3"/>
                  <c:y val="2.65144301181886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043-41F1-B58D-16DF6F3CEE05}"/>
                </c:ext>
              </c:extLst>
            </c:dLbl>
            <c:dLbl>
              <c:idx val="3"/>
              <c:layout>
                <c:manualLayout>
                  <c:x val="5.6949982801223582E-3"/>
                  <c:y val="7.3430041692835373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043-41F1-B58D-16DF6F3CEE05}"/>
                </c:ext>
              </c:extLst>
            </c:dLbl>
            <c:dLbl>
              <c:idx val="4"/>
              <c:layout>
                <c:manualLayout>
                  <c:x val="0"/>
                  <c:y val="-4.2209538336813193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043-41F1-B58D-16DF6F3CEE05}"/>
                </c:ext>
              </c:extLst>
            </c:dLbl>
            <c:dLbl>
              <c:idx val="6"/>
              <c:layout>
                <c:manualLayout>
                  <c:x val="1.3941371084620548E-2"/>
                  <c:y val="-5.77324316043640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043-41F1-B58D-16DF6F3CEE05}"/>
                </c:ext>
              </c:extLst>
            </c:dLbl>
            <c:dLbl>
              <c:idx val="9"/>
              <c:layout>
                <c:manualLayout>
                  <c:x val="-8.372733895398065E-3"/>
                  <c:y val="3.4325478538113104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043-41F1-B58D-16DF6F3CEE05}"/>
                </c:ext>
              </c:extLst>
            </c:dLbl>
            <c:dLbl>
              <c:idx val="10"/>
              <c:layout>
                <c:manualLayout>
                  <c:x val="-2.1175638365685941E-16"/>
                  <c:y val="1.34701514172296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043-41F1-B58D-16DF6F3CEE05}"/>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détaillé'!$H$133:$H$139,'Tableau détaillé'!$H$141:$H$144)</c:f>
              <c:numCache>
                <c:formatCode>#\ ##0.0" pts"</c:formatCode>
                <c:ptCount val="11"/>
                <c:pt idx="0">
                  <c:v>-0.9380913215022102</c:v>
                </c:pt>
                <c:pt idx="1">
                  <c:v>-15.784043600397506</c:v>
                </c:pt>
                <c:pt idx="2">
                  <c:v>-2.4042358199988789</c:v>
                </c:pt>
                <c:pt idx="3">
                  <c:v>6.4234312490751844E-2</c:v>
                </c:pt>
                <c:pt idx="4">
                  <c:v>1.2858228372254699</c:v>
                </c:pt>
                <c:pt idx="5">
                  <c:v>0.45901395044015691</c:v>
                </c:pt>
                <c:pt idx="6">
                  <c:v>1.8904528774728369</c:v>
                </c:pt>
                <c:pt idx="7">
                  <c:v>1.6319334706663913</c:v>
                </c:pt>
                <c:pt idx="8">
                  <c:v>11.392851989293495</c:v>
                </c:pt>
                <c:pt idx="9">
                  <c:v>-0.71796580761547824</c:v>
                </c:pt>
                <c:pt idx="10">
                  <c:v>1.5738353828339324</c:v>
                </c:pt>
              </c:numCache>
            </c:numRef>
          </c:val>
          <c:extLst>
            <c:ext xmlns:c16="http://schemas.microsoft.com/office/drawing/2014/chart" uri="{C3380CC4-5D6E-409C-BE32-E72D297353CC}">
              <c16:uniqueId val="{00000016-7043-41F1-B58D-16DF6F3CEE05}"/>
            </c:ext>
          </c:extLst>
        </c:ser>
        <c:dLbls>
          <c:showLegendKey val="0"/>
          <c:showVal val="0"/>
          <c:showCatName val="0"/>
          <c:showSerName val="0"/>
          <c:showPercent val="0"/>
          <c:showBubbleSize val="0"/>
        </c:dLbls>
        <c:gapWidth val="219"/>
        <c:overlap val="-27"/>
        <c:axId val="964194672"/>
        <c:axId val="964193104"/>
      </c:barChart>
      <c:lineChart>
        <c:grouping val="standard"/>
        <c:varyColors val="0"/>
        <c:ser>
          <c:idx val="1"/>
          <c:order val="1"/>
          <c:spPr>
            <a:ln w="28575" cap="rnd">
              <a:solidFill>
                <a:srgbClr val="C00000"/>
              </a:solidFill>
              <a:round/>
            </a:ln>
            <a:effectLst/>
          </c:spPr>
          <c:marker>
            <c:symbol val="none"/>
          </c:marker>
          <c:val>
            <c:numRef>
              <c:f>('Tableau détaillé'!$J$133:$J$139,'Tableau détaillé'!$J$141:$J$144)</c:f>
              <c:numCache>
                <c:formatCode>#\ ##0.0" pts"</c:formatCode>
                <c:ptCount val="11"/>
                <c:pt idx="0">
                  <c:v>-0.41133232177608114</c:v>
                </c:pt>
                <c:pt idx="1">
                  <c:v>-0.41133232177608114</c:v>
                </c:pt>
                <c:pt idx="2">
                  <c:v>-0.41133232177608114</c:v>
                </c:pt>
                <c:pt idx="3">
                  <c:v>-0.41133232177608114</c:v>
                </c:pt>
                <c:pt idx="4">
                  <c:v>-0.41133232177608114</c:v>
                </c:pt>
                <c:pt idx="5">
                  <c:v>-0.41133232177608114</c:v>
                </c:pt>
                <c:pt idx="6">
                  <c:v>-0.41133232177608114</c:v>
                </c:pt>
                <c:pt idx="7">
                  <c:v>-0.41133232177608114</c:v>
                </c:pt>
                <c:pt idx="8">
                  <c:v>-0.41133232177608114</c:v>
                </c:pt>
                <c:pt idx="9">
                  <c:v>-0.41133232177608114</c:v>
                </c:pt>
                <c:pt idx="10">
                  <c:v>-0.41133232177608114</c:v>
                </c:pt>
              </c:numCache>
            </c:numRef>
          </c:val>
          <c:smooth val="0"/>
          <c:extLst>
            <c:ext xmlns:c16="http://schemas.microsoft.com/office/drawing/2014/chart" uri="{C3380CC4-5D6E-409C-BE32-E72D297353CC}">
              <c16:uniqueId val="{00000017-7043-41F1-B58D-16DF6F3CEE05}"/>
            </c:ext>
          </c:extLst>
        </c:ser>
        <c:dLbls>
          <c:showLegendKey val="0"/>
          <c:showVal val="0"/>
          <c:showCatName val="0"/>
          <c:showSerName val="0"/>
          <c:showPercent val="0"/>
          <c:showBubbleSize val="0"/>
        </c:dLbls>
        <c:marker val="1"/>
        <c:smooth val="0"/>
        <c:axId val="964194672"/>
        <c:axId val="964193104"/>
      </c:lineChart>
      <c:catAx>
        <c:axId val="964194672"/>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3104"/>
        <c:crosses val="autoZero"/>
        <c:auto val="1"/>
        <c:lblAlgn val="ctr"/>
        <c:lblOffset val="100"/>
        <c:noMultiLvlLbl val="0"/>
      </c:catAx>
      <c:valAx>
        <c:axId val="964193104"/>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4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 l'équipement BAD par DR</a:t>
            </a:r>
          </a:p>
        </c:rich>
      </c:tx>
      <c:layout>
        <c:manualLayout>
          <c:xMode val="edge"/>
          <c:yMode val="edge"/>
          <c:x val="0.24351843515800153"/>
          <c:y val="2.809453775083684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6264320318625434"/>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EDD9-44F8-ACC8-92BD33E0C05D}"/>
              </c:ext>
            </c:extLst>
          </c:dPt>
          <c:dLbls>
            <c:dLbl>
              <c:idx val="0"/>
              <c:layout>
                <c:manualLayout>
                  <c:x val="-2.8852685458019872E-3"/>
                  <c:y val="0.125742979611635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DD9-44F8-ACC8-92BD33E0C05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détaillé'!$H$140,'Tableau détaillé'!$H$145)</c:f>
              <c:numCache>
                <c:formatCode>#\ ##0.0" pts"</c:formatCode>
                <c:ptCount val="2"/>
                <c:pt idx="0">
                  <c:v>-3.6309328003607533</c:v>
                </c:pt>
                <c:pt idx="1">
                  <c:v>5.0898306970398988</c:v>
                </c:pt>
              </c:numCache>
            </c:numRef>
          </c:val>
          <c:extLst>
            <c:ext xmlns:c16="http://schemas.microsoft.com/office/drawing/2014/chart" uri="{C3380CC4-5D6E-409C-BE32-E72D297353CC}">
              <c16:uniqueId val="{00000003-EDD9-44F8-ACC8-92BD33E0C05D}"/>
            </c:ext>
          </c:extLst>
        </c:ser>
        <c:dLbls>
          <c:showLegendKey val="0"/>
          <c:showVal val="0"/>
          <c:showCatName val="0"/>
          <c:showSerName val="0"/>
          <c:showPercent val="0"/>
          <c:showBubbleSize val="0"/>
        </c:dLbls>
        <c:gapWidth val="219"/>
        <c:overlap val="-27"/>
        <c:axId val="964192320"/>
        <c:axId val="964192712"/>
      </c:barChart>
      <c:lineChart>
        <c:grouping val="standard"/>
        <c:varyColors val="0"/>
        <c:ser>
          <c:idx val="1"/>
          <c:order val="1"/>
          <c:spPr>
            <a:ln w="28575" cap="rnd">
              <a:solidFill>
                <a:srgbClr val="C00000"/>
              </a:solidFill>
              <a:round/>
            </a:ln>
            <a:effectLst/>
          </c:spPr>
          <c:marker>
            <c:symbol val="none"/>
          </c:marker>
          <c:val>
            <c:numRef>
              <c:f>('Tableau détaillé'!$J$140,'Tableau détaillé'!$J$145)</c:f>
              <c:numCache>
                <c:formatCode>#\ ##0.0" pts"</c:formatCode>
                <c:ptCount val="2"/>
                <c:pt idx="0">
                  <c:v>-0.41133232177608114</c:v>
                </c:pt>
                <c:pt idx="1">
                  <c:v>-0.41133232177608114</c:v>
                </c:pt>
              </c:numCache>
            </c:numRef>
          </c:val>
          <c:smooth val="0"/>
          <c:extLst>
            <c:ext xmlns:c16="http://schemas.microsoft.com/office/drawing/2014/chart" uri="{C3380CC4-5D6E-409C-BE32-E72D297353CC}">
              <c16:uniqueId val="{00000004-EDD9-44F8-ACC8-92BD33E0C05D}"/>
            </c:ext>
          </c:extLst>
        </c:ser>
        <c:dLbls>
          <c:showLegendKey val="0"/>
          <c:showVal val="0"/>
          <c:showCatName val="0"/>
          <c:showSerName val="0"/>
          <c:showPercent val="0"/>
          <c:showBubbleSize val="0"/>
        </c:dLbls>
        <c:marker val="1"/>
        <c:smooth val="0"/>
        <c:axId val="964192320"/>
        <c:axId val="964192712"/>
      </c:lineChart>
      <c:catAx>
        <c:axId val="964192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2712"/>
        <c:crosses val="autoZero"/>
        <c:auto val="1"/>
        <c:lblAlgn val="ctr"/>
        <c:lblOffset val="100"/>
        <c:noMultiLvlLbl val="0"/>
      </c:catAx>
      <c:valAx>
        <c:axId val="964192712"/>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2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du</a:t>
            </a:r>
            <a:r>
              <a:rPr lang="fr-FR" baseline="0"/>
              <a:t> stock de clients</a:t>
            </a:r>
            <a:endParaRPr lang="fr-FR"/>
          </a:p>
        </c:rich>
      </c:tx>
      <c:layout>
        <c:manualLayout>
          <c:xMode val="edge"/>
          <c:yMode val="edge"/>
          <c:x val="0.31918758636383665"/>
          <c:y val="3.333317521554798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8.9130434782608695E-2"/>
          <c:w val="0.89920800524934386"/>
          <c:h val="0.87463768115942031"/>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5728-49C8-A9CE-3763DB1862E9}"/>
              </c:ext>
            </c:extLst>
          </c:dPt>
          <c:dPt>
            <c:idx val="1"/>
            <c:invertIfNegative val="0"/>
            <c:bubble3D val="0"/>
            <c:spPr>
              <a:solidFill>
                <a:schemeClr val="tx1"/>
              </a:solidFill>
              <a:ln>
                <a:noFill/>
              </a:ln>
              <a:effectLst/>
            </c:spPr>
            <c:extLst>
              <c:ext xmlns:c16="http://schemas.microsoft.com/office/drawing/2014/chart" uri="{C3380CC4-5D6E-409C-BE32-E72D297353CC}">
                <c16:uniqueId val="{00000003-5728-49C8-A9CE-3763DB1862E9}"/>
              </c:ext>
            </c:extLst>
          </c:dPt>
          <c:dPt>
            <c:idx val="2"/>
            <c:invertIfNegative val="0"/>
            <c:bubble3D val="0"/>
            <c:spPr>
              <a:solidFill>
                <a:schemeClr val="tx1"/>
              </a:solidFill>
              <a:ln>
                <a:noFill/>
              </a:ln>
              <a:effectLst/>
            </c:spPr>
            <c:extLst>
              <c:ext xmlns:c16="http://schemas.microsoft.com/office/drawing/2014/chart" uri="{C3380CC4-5D6E-409C-BE32-E72D297353CC}">
                <c16:uniqueId val="{00000005-5728-49C8-A9CE-3763DB1862E9}"/>
              </c:ext>
            </c:extLst>
          </c:dPt>
          <c:dPt>
            <c:idx val="3"/>
            <c:invertIfNegative val="0"/>
            <c:bubble3D val="0"/>
            <c:spPr>
              <a:solidFill>
                <a:schemeClr val="tx1"/>
              </a:solidFill>
              <a:ln>
                <a:noFill/>
              </a:ln>
              <a:effectLst/>
            </c:spPr>
            <c:extLst>
              <c:ext xmlns:c16="http://schemas.microsoft.com/office/drawing/2014/chart" uri="{C3380CC4-5D6E-409C-BE32-E72D297353CC}">
                <c16:uniqueId val="{00000007-5728-49C8-A9CE-3763DB1862E9}"/>
              </c:ext>
            </c:extLst>
          </c:dPt>
          <c:dPt>
            <c:idx val="4"/>
            <c:invertIfNegative val="0"/>
            <c:bubble3D val="0"/>
            <c:spPr>
              <a:solidFill>
                <a:schemeClr val="tx1"/>
              </a:solidFill>
              <a:ln>
                <a:noFill/>
              </a:ln>
              <a:effectLst/>
            </c:spPr>
            <c:extLst>
              <c:ext xmlns:c16="http://schemas.microsoft.com/office/drawing/2014/chart" uri="{C3380CC4-5D6E-409C-BE32-E72D297353CC}">
                <c16:uniqueId val="{00000009-5728-49C8-A9CE-3763DB1862E9}"/>
              </c:ext>
            </c:extLst>
          </c:dPt>
          <c:dPt>
            <c:idx val="5"/>
            <c:invertIfNegative val="0"/>
            <c:bubble3D val="0"/>
            <c:spPr>
              <a:solidFill>
                <a:schemeClr val="tx1"/>
              </a:solidFill>
              <a:ln>
                <a:noFill/>
              </a:ln>
              <a:effectLst/>
            </c:spPr>
            <c:extLst>
              <c:ext xmlns:c16="http://schemas.microsoft.com/office/drawing/2014/chart" uri="{C3380CC4-5D6E-409C-BE32-E72D297353CC}">
                <c16:uniqueId val="{0000000B-5728-49C8-A9CE-3763DB1862E9}"/>
              </c:ext>
            </c:extLst>
          </c:dPt>
          <c:dPt>
            <c:idx val="6"/>
            <c:invertIfNegative val="0"/>
            <c:bubble3D val="0"/>
            <c:spPr>
              <a:solidFill>
                <a:schemeClr val="tx1"/>
              </a:solidFill>
              <a:ln>
                <a:noFill/>
              </a:ln>
              <a:effectLst/>
            </c:spPr>
            <c:extLst>
              <c:ext xmlns:c16="http://schemas.microsoft.com/office/drawing/2014/chart" uri="{C3380CC4-5D6E-409C-BE32-E72D297353CC}">
                <c16:uniqueId val="{0000000D-5728-49C8-A9CE-3763DB1862E9}"/>
              </c:ext>
            </c:extLst>
          </c:dPt>
          <c:dPt>
            <c:idx val="7"/>
            <c:invertIfNegative val="0"/>
            <c:bubble3D val="0"/>
            <c:spPr>
              <a:solidFill>
                <a:srgbClr val="FF0000"/>
              </a:solidFill>
              <a:ln>
                <a:noFill/>
              </a:ln>
              <a:effectLst/>
            </c:spPr>
            <c:extLst>
              <c:ext xmlns:c16="http://schemas.microsoft.com/office/drawing/2014/chart" uri="{C3380CC4-5D6E-409C-BE32-E72D297353CC}">
                <c16:uniqueId val="{0000000F-5728-49C8-A9CE-3763DB1862E9}"/>
              </c:ext>
            </c:extLst>
          </c:dPt>
          <c:dPt>
            <c:idx val="8"/>
            <c:invertIfNegative val="0"/>
            <c:bubble3D val="0"/>
            <c:spPr>
              <a:solidFill>
                <a:srgbClr val="FF0000"/>
              </a:solidFill>
              <a:ln>
                <a:noFill/>
              </a:ln>
              <a:effectLst/>
            </c:spPr>
            <c:extLst>
              <c:ext xmlns:c16="http://schemas.microsoft.com/office/drawing/2014/chart" uri="{C3380CC4-5D6E-409C-BE32-E72D297353CC}">
                <c16:uniqueId val="{00000011-5728-49C8-A9CE-3763DB1862E9}"/>
              </c:ext>
            </c:extLst>
          </c:dPt>
          <c:dPt>
            <c:idx val="9"/>
            <c:invertIfNegative val="0"/>
            <c:bubble3D val="0"/>
            <c:spPr>
              <a:solidFill>
                <a:srgbClr val="FF0000"/>
              </a:solidFill>
              <a:ln>
                <a:noFill/>
              </a:ln>
              <a:effectLst/>
            </c:spPr>
            <c:extLst>
              <c:ext xmlns:c16="http://schemas.microsoft.com/office/drawing/2014/chart" uri="{C3380CC4-5D6E-409C-BE32-E72D297353CC}">
                <c16:uniqueId val="{00000013-5728-49C8-A9CE-3763DB1862E9}"/>
              </c:ext>
            </c:extLst>
          </c:dPt>
          <c:dPt>
            <c:idx val="10"/>
            <c:invertIfNegative val="0"/>
            <c:bubble3D val="0"/>
            <c:spPr>
              <a:solidFill>
                <a:srgbClr val="FF0000"/>
              </a:solidFill>
              <a:ln>
                <a:noFill/>
              </a:ln>
              <a:effectLst/>
            </c:spPr>
            <c:extLst>
              <c:ext xmlns:c16="http://schemas.microsoft.com/office/drawing/2014/chart" uri="{C3380CC4-5D6E-409C-BE32-E72D297353CC}">
                <c16:uniqueId val="{00000015-5728-49C8-A9CE-3763DB1862E9}"/>
              </c:ext>
            </c:extLst>
          </c:dPt>
          <c:dLbls>
            <c:dLbl>
              <c:idx val="0"/>
              <c:layout>
                <c:manualLayout>
                  <c:x val="1.3185407709275339E-5"/>
                  <c:y val="-7.0508172773501383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728-49C8-A9CE-3763DB1862E9}"/>
                </c:ext>
              </c:extLst>
            </c:dLbl>
            <c:dLbl>
              <c:idx val="2"/>
              <c:layout>
                <c:manualLayout>
                  <c:x val="-2.9733395330012948E-3"/>
                  <c:y val="-8.680636327537946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28-49C8-A9CE-3763DB1862E9}"/>
                </c:ext>
              </c:extLst>
            </c:dLbl>
            <c:dLbl>
              <c:idx val="3"/>
              <c:layout>
                <c:manualLayout>
                  <c:x val="2.8876204075182722E-3"/>
                  <c:y val="-3.33813056604699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728-49C8-A9CE-3763DB1862E9}"/>
                </c:ext>
              </c:extLst>
            </c:dLbl>
            <c:dLbl>
              <c:idx val="4"/>
              <c:layout>
                <c:manualLayout>
                  <c:x val="5.6039020808567545E-3"/>
                  <c:y val="-1.79469332722019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728-49C8-A9CE-3763DB1862E9}"/>
                </c:ext>
              </c:extLst>
            </c:dLbl>
            <c:dLbl>
              <c:idx val="5"/>
              <c:layout>
                <c:manualLayout>
                  <c:x val="-3.5206440666255484E-6"/>
                  <c:y val="8.575083913347693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728-49C8-A9CE-3763DB1862E9}"/>
                </c:ext>
              </c:extLst>
            </c:dLbl>
            <c:dLbl>
              <c:idx val="6"/>
              <c:layout>
                <c:manualLayout>
                  <c:x val="-5.8432249490403213E-3"/>
                  <c:y val="2.47085626656539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728-49C8-A9CE-3763DB1862E9}"/>
                </c:ext>
              </c:extLst>
            </c:dLbl>
            <c:dLbl>
              <c:idx val="7"/>
              <c:layout>
                <c:manualLayout>
                  <c:x val="6.1924678581700898E-3"/>
                  <c:y val="3.32402035046752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728-49C8-A9CE-3763DB1862E9}"/>
                </c:ext>
              </c:extLst>
            </c:dLbl>
            <c:dLbl>
              <c:idx val="8"/>
              <c:layout>
                <c:manualLayout>
                  <c:x val="5.7752408150364386E-3"/>
                  <c:y val="-4.11559322730759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728-49C8-A9CE-3763DB1862E9}"/>
                </c:ext>
              </c:extLst>
            </c:dLbl>
            <c:dLbl>
              <c:idx val="9"/>
              <c:layout>
                <c:manualLayout>
                  <c:x val="5.7752408150365444E-3"/>
                  <c:y val="-9.16030919785351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728-49C8-A9CE-3763DB1862E9}"/>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détaillé'!$H$186:$H$192,'Tableau détaillé'!$H$194:$H$197)</c:f>
              <c:numCache>
                <c:formatCode>0.0%</c:formatCode>
                <c:ptCount val="11"/>
                <c:pt idx="0">
                  <c:v>1.8970709662830432E-2</c:v>
                </c:pt>
                <c:pt idx="1">
                  <c:v>-3.4159102652253304E-2</c:v>
                </c:pt>
                <c:pt idx="2">
                  <c:v>2.0311066029077951E-2</c:v>
                </c:pt>
                <c:pt idx="3">
                  <c:v>1.3858413211687237E-2</c:v>
                </c:pt>
                <c:pt idx="4">
                  <c:v>-2.0758475238244034E-2</c:v>
                </c:pt>
                <c:pt idx="5">
                  <c:v>-6.0356652949245526E-2</c:v>
                </c:pt>
                <c:pt idx="6">
                  <c:v>3.4168773030422983E-2</c:v>
                </c:pt>
                <c:pt idx="7">
                  <c:v>7.2648331790434506E-2</c:v>
                </c:pt>
                <c:pt idx="8">
                  <c:v>-1.0317214603084324E-2</c:v>
                </c:pt>
                <c:pt idx="9">
                  <c:v>4.1453551710766812E-2</c:v>
                </c:pt>
                <c:pt idx="10">
                  <c:v>0.10944388870364197</c:v>
                </c:pt>
              </c:numCache>
            </c:numRef>
          </c:val>
          <c:extLst>
            <c:ext xmlns:c16="http://schemas.microsoft.com/office/drawing/2014/chart" uri="{C3380CC4-5D6E-409C-BE32-E72D297353CC}">
              <c16:uniqueId val="{00000016-5728-49C8-A9CE-3763DB1862E9}"/>
            </c:ext>
          </c:extLst>
        </c:ser>
        <c:dLbls>
          <c:showLegendKey val="0"/>
          <c:showVal val="0"/>
          <c:showCatName val="0"/>
          <c:showSerName val="0"/>
          <c:showPercent val="0"/>
          <c:showBubbleSize val="0"/>
        </c:dLbls>
        <c:gapWidth val="219"/>
        <c:overlap val="-27"/>
        <c:axId val="964196632"/>
        <c:axId val="964197024"/>
      </c:barChart>
      <c:lineChart>
        <c:grouping val="standard"/>
        <c:varyColors val="0"/>
        <c:ser>
          <c:idx val="1"/>
          <c:order val="1"/>
          <c:spPr>
            <a:ln w="28575" cap="rnd">
              <a:solidFill>
                <a:srgbClr val="C00000"/>
              </a:solidFill>
              <a:round/>
            </a:ln>
            <a:effectLst/>
          </c:spPr>
          <c:marker>
            <c:symbol val="none"/>
          </c:marker>
          <c:val>
            <c:numRef>
              <c:f>('Tableau détaillé'!$J$186:$J$192,'Tableau détaillé'!$J$194:$J$197)</c:f>
              <c:numCache>
                <c:formatCode>0.0%</c:formatCode>
                <c:ptCount val="11"/>
                <c:pt idx="0">
                  <c:v>1.5341025479812753E-2</c:v>
                </c:pt>
                <c:pt idx="1">
                  <c:v>1.5341025479812753E-2</c:v>
                </c:pt>
                <c:pt idx="2">
                  <c:v>1.5341025479812753E-2</c:v>
                </c:pt>
                <c:pt idx="3">
                  <c:v>1.5341025479812753E-2</c:v>
                </c:pt>
                <c:pt idx="4">
                  <c:v>1.5341025479812753E-2</c:v>
                </c:pt>
                <c:pt idx="5">
                  <c:v>1.5341025479812753E-2</c:v>
                </c:pt>
                <c:pt idx="6">
                  <c:v>1.5341025479812753E-2</c:v>
                </c:pt>
                <c:pt idx="7">
                  <c:v>1.5341025479812753E-2</c:v>
                </c:pt>
                <c:pt idx="8">
                  <c:v>1.5341025479812753E-2</c:v>
                </c:pt>
                <c:pt idx="9">
                  <c:v>1.5341025479812753E-2</c:v>
                </c:pt>
                <c:pt idx="10">
                  <c:v>1.5341025479812753E-2</c:v>
                </c:pt>
              </c:numCache>
            </c:numRef>
          </c:val>
          <c:smooth val="0"/>
          <c:extLst>
            <c:ext xmlns:c16="http://schemas.microsoft.com/office/drawing/2014/chart" uri="{C3380CC4-5D6E-409C-BE32-E72D297353CC}">
              <c16:uniqueId val="{00000017-5728-49C8-A9CE-3763DB1862E9}"/>
            </c:ext>
          </c:extLst>
        </c:ser>
        <c:dLbls>
          <c:showLegendKey val="0"/>
          <c:showVal val="0"/>
          <c:showCatName val="0"/>
          <c:showSerName val="0"/>
          <c:showPercent val="0"/>
          <c:showBubbleSize val="0"/>
        </c:dLbls>
        <c:marker val="1"/>
        <c:smooth val="0"/>
        <c:axId val="964196632"/>
        <c:axId val="964197024"/>
      </c:lineChart>
      <c:catAx>
        <c:axId val="964196632"/>
        <c:scaling>
          <c:orientation val="minMax"/>
        </c:scaling>
        <c:delete val="0"/>
        <c:axPos val="b"/>
        <c:numFmt formatCode="General" sourceLinked="1"/>
        <c:majorTickMark val="out"/>
        <c:minorTickMark val="none"/>
        <c:tickLblPos val="low"/>
        <c:spPr>
          <a:noFill/>
          <a:ln w="9525" cap="flat" cmpd="sng" algn="ctr">
            <a:solidFill>
              <a:sysClr val="windowText" lastClr="000000">
                <a:lumMod val="15000"/>
                <a:lumOff val="85000"/>
                <a:alpha val="99000"/>
              </a:sys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7024"/>
        <c:crosses val="autoZero"/>
        <c:auto val="1"/>
        <c:lblAlgn val="ctr"/>
        <c:lblOffset val="100"/>
        <c:noMultiLvlLbl val="0"/>
      </c:catAx>
      <c:valAx>
        <c:axId val="96419702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6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du stock de clients par DR</a:t>
            </a:r>
          </a:p>
        </c:rich>
      </c:tx>
      <c:layout>
        <c:manualLayout>
          <c:xMode val="edge"/>
          <c:yMode val="edge"/>
          <c:x val="0.26057877898231691"/>
          <c:y val="2.394209086495817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5859-4F6C-97DA-1FA4FB75A9B5}"/>
              </c:ext>
            </c:extLst>
          </c:dPt>
          <c:dLbls>
            <c:dLbl>
              <c:idx val="0"/>
              <c:layout>
                <c:manualLayout>
                  <c:x val="-7.314042170358068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59-4F6C-97DA-1FA4FB75A9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détaillé'!$H$193,'Tableau détaillé'!$H$198)</c:f>
              <c:numCache>
                <c:formatCode>0.0%</c:formatCode>
                <c:ptCount val="2"/>
                <c:pt idx="0">
                  <c:v>4.6022909933842726E-3</c:v>
                </c:pt>
                <c:pt idx="1">
                  <c:v>3.9157781385369628E-2</c:v>
                </c:pt>
              </c:numCache>
            </c:numRef>
          </c:val>
          <c:extLst>
            <c:ext xmlns:c16="http://schemas.microsoft.com/office/drawing/2014/chart" uri="{C3380CC4-5D6E-409C-BE32-E72D297353CC}">
              <c16:uniqueId val="{00000003-5859-4F6C-97DA-1FA4FB75A9B5}"/>
            </c:ext>
          </c:extLst>
        </c:ser>
        <c:dLbls>
          <c:showLegendKey val="0"/>
          <c:showVal val="0"/>
          <c:showCatName val="0"/>
          <c:showSerName val="0"/>
          <c:showPercent val="0"/>
          <c:showBubbleSize val="0"/>
        </c:dLbls>
        <c:gapWidth val="219"/>
        <c:overlap val="-27"/>
        <c:axId val="964187224"/>
        <c:axId val="964198200"/>
      </c:barChart>
      <c:lineChart>
        <c:grouping val="standard"/>
        <c:varyColors val="0"/>
        <c:ser>
          <c:idx val="1"/>
          <c:order val="1"/>
          <c:spPr>
            <a:ln w="28575" cap="rnd">
              <a:solidFill>
                <a:srgbClr val="C00000"/>
              </a:solidFill>
              <a:round/>
            </a:ln>
            <a:effectLst/>
          </c:spPr>
          <c:marker>
            <c:symbol val="none"/>
          </c:marker>
          <c:val>
            <c:numRef>
              <c:f>('Tableau détaillé'!$J$193,'Tableau détaillé'!$J$198)</c:f>
              <c:numCache>
                <c:formatCode>0.0%</c:formatCode>
                <c:ptCount val="2"/>
                <c:pt idx="0">
                  <c:v>1.5341025479812753E-2</c:v>
                </c:pt>
                <c:pt idx="1">
                  <c:v>1.5341025479812753E-2</c:v>
                </c:pt>
              </c:numCache>
            </c:numRef>
          </c:val>
          <c:smooth val="0"/>
          <c:extLst>
            <c:ext xmlns:c16="http://schemas.microsoft.com/office/drawing/2014/chart" uri="{C3380CC4-5D6E-409C-BE32-E72D297353CC}">
              <c16:uniqueId val="{00000004-5859-4F6C-97DA-1FA4FB75A9B5}"/>
            </c:ext>
          </c:extLst>
        </c:ser>
        <c:dLbls>
          <c:showLegendKey val="0"/>
          <c:showVal val="0"/>
          <c:showCatName val="0"/>
          <c:showSerName val="0"/>
          <c:showPercent val="0"/>
          <c:showBubbleSize val="0"/>
        </c:dLbls>
        <c:marker val="1"/>
        <c:smooth val="0"/>
        <c:axId val="964187224"/>
        <c:axId val="964198200"/>
      </c:lineChart>
      <c:catAx>
        <c:axId val="964187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8200"/>
        <c:crosses val="autoZero"/>
        <c:auto val="1"/>
        <c:lblAlgn val="ctr"/>
        <c:lblOffset val="100"/>
        <c:noMultiLvlLbl val="0"/>
      </c:catAx>
      <c:valAx>
        <c:axId val="96419820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7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 la part des BG et PAT </a:t>
            </a:r>
          </a:p>
          <a:p>
            <a:pPr>
              <a:defRPr sz="1200" b="1"/>
            </a:pPr>
            <a:r>
              <a:rPr lang="fr-FR"/>
              <a:t>dans le portefeuille</a:t>
            </a:r>
          </a:p>
        </c:rich>
      </c:tx>
      <c:layout>
        <c:manualLayout>
          <c:xMode val="edge"/>
          <c:yMode val="edge"/>
          <c:x val="0.277050693749752"/>
          <c:y val="2.394212710366275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9234779178495831"/>
          <c:w val="0.89920800524934386"/>
          <c:h val="0.58240636321809069"/>
        </c:manualLayout>
      </c:layout>
      <c:barChart>
        <c:barDir val="col"/>
        <c:grouping val="clustered"/>
        <c:varyColors val="0"/>
        <c:ser>
          <c:idx val="0"/>
          <c:order val="0"/>
          <c:tx>
            <c:v>déc-19</c:v>
          </c:tx>
          <c:spPr>
            <a:solidFill>
              <a:schemeClr val="accent1"/>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01-C895-4687-83E9-3B813D84DCDC}"/>
              </c:ext>
            </c:extLst>
          </c:dPt>
          <c:dPt>
            <c:idx val="1"/>
            <c:invertIfNegative val="0"/>
            <c:bubble3D val="0"/>
            <c:spPr>
              <a:solidFill>
                <a:sysClr val="windowText" lastClr="000000"/>
              </a:solidFill>
              <a:ln>
                <a:noFill/>
              </a:ln>
              <a:effectLst/>
            </c:spPr>
            <c:extLst>
              <c:ext xmlns:c16="http://schemas.microsoft.com/office/drawing/2014/chart" uri="{C3380CC4-5D6E-409C-BE32-E72D297353CC}">
                <c16:uniqueId val="{00000003-C895-4687-83E9-3B813D84DCDC}"/>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5-C895-4687-83E9-3B813D84DCDC}"/>
              </c:ext>
            </c:extLst>
          </c:dPt>
          <c:dPt>
            <c:idx val="3"/>
            <c:invertIfNegative val="0"/>
            <c:bubble3D val="0"/>
            <c:spPr>
              <a:solidFill>
                <a:sysClr val="windowText" lastClr="000000"/>
              </a:solidFill>
              <a:ln>
                <a:noFill/>
              </a:ln>
              <a:effectLst/>
            </c:spPr>
            <c:extLst>
              <c:ext xmlns:c16="http://schemas.microsoft.com/office/drawing/2014/chart" uri="{C3380CC4-5D6E-409C-BE32-E72D297353CC}">
                <c16:uniqueId val="{00000007-C895-4687-83E9-3B813D84DCDC}"/>
              </c:ext>
            </c:extLst>
          </c:dPt>
          <c:dPt>
            <c:idx val="4"/>
            <c:invertIfNegative val="0"/>
            <c:bubble3D val="0"/>
            <c:spPr>
              <a:solidFill>
                <a:sysClr val="windowText" lastClr="000000"/>
              </a:solidFill>
              <a:ln>
                <a:noFill/>
              </a:ln>
              <a:effectLst/>
            </c:spPr>
            <c:extLst>
              <c:ext xmlns:c16="http://schemas.microsoft.com/office/drawing/2014/chart" uri="{C3380CC4-5D6E-409C-BE32-E72D297353CC}">
                <c16:uniqueId val="{00000009-C895-4687-83E9-3B813D84DCDC}"/>
              </c:ext>
            </c:extLst>
          </c:dPt>
          <c:dPt>
            <c:idx val="5"/>
            <c:invertIfNegative val="0"/>
            <c:bubble3D val="0"/>
            <c:spPr>
              <a:solidFill>
                <a:sysClr val="windowText" lastClr="000000"/>
              </a:solidFill>
              <a:ln>
                <a:noFill/>
              </a:ln>
              <a:effectLst/>
            </c:spPr>
            <c:extLst>
              <c:ext xmlns:c16="http://schemas.microsoft.com/office/drawing/2014/chart" uri="{C3380CC4-5D6E-409C-BE32-E72D297353CC}">
                <c16:uniqueId val="{0000000B-C895-4687-83E9-3B813D84DCDC}"/>
              </c:ext>
            </c:extLst>
          </c:dPt>
          <c:dPt>
            <c:idx val="6"/>
            <c:invertIfNegative val="0"/>
            <c:bubble3D val="0"/>
            <c:spPr>
              <a:solidFill>
                <a:sysClr val="windowText" lastClr="000000"/>
              </a:solidFill>
              <a:ln>
                <a:noFill/>
              </a:ln>
              <a:effectLst/>
            </c:spPr>
            <c:extLst>
              <c:ext xmlns:c16="http://schemas.microsoft.com/office/drawing/2014/chart" uri="{C3380CC4-5D6E-409C-BE32-E72D297353CC}">
                <c16:uniqueId val="{0000000D-C895-4687-83E9-3B813D84DCDC}"/>
              </c:ext>
            </c:extLst>
          </c:dPt>
          <c:dPt>
            <c:idx val="7"/>
            <c:invertIfNegative val="0"/>
            <c:bubble3D val="0"/>
            <c:spPr>
              <a:solidFill>
                <a:srgbClr val="FF0000"/>
              </a:solidFill>
              <a:ln>
                <a:noFill/>
              </a:ln>
              <a:effectLst/>
            </c:spPr>
            <c:extLst>
              <c:ext xmlns:c16="http://schemas.microsoft.com/office/drawing/2014/chart" uri="{C3380CC4-5D6E-409C-BE32-E72D297353CC}">
                <c16:uniqueId val="{0000000F-C895-4687-83E9-3B813D84DCDC}"/>
              </c:ext>
            </c:extLst>
          </c:dPt>
          <c:dPt>
            <c:idx val="8"/>
            <c:invertIfNegative val="0"/>
            <c:bubble3D val="0"/>
            <c:spPr>
              <a:solidFill>
                <a:srgbClr val="FF0000"/>
              </a:solidFill>
              <a:ln>
                <a:noFill/>
              </a:ln>
              <a:effectLst/>
            </c:spPr>
            <c:extLst>
              <c:ext xmlns:c16="http://schemas.microsoft.com/office/drawing/2014/chart" uri="{C3380CC4-5D6E-409C-BE32-E72D297353CC}">
                <c16:uniqueId val="{00000011-C895-4687-83E9-3B813D84DCDC}"/>
              </c:ext>
            </c:extLst>
          </c:dPt>
          <c:dPt>
            <c:idx val="9"/>
            <c:invertIfNegative val="0"/>
            <c:bubble3D val="0"/>
            <c:spPr>
              <a:solidFill>
                <a:srgbClr val="FF0000"/>
              </a:solidFill>
              <a:ln>
                <a:noFill/>
              </a:ln>
              <a:effectLst/>
            </c:spPr>
            <c:extLst>
              <c:ext xmlns:c16="http://schemas.microsoft.com/office/drawing/2014/chart" uri="{C3380CC4-5D6E-409C-BE32-E72D297353CC}">
                <c16:uniqueId val="{00000013-C895-4687-83E9-3B813D84DCDC}"/>
              </c:ext>
            </c:extLst>
          </c:dPt>
          <c:dPt>
            <c:idx val="10"/>
            <c:invertIfNegative val="0"/>
            <c:bubble3D val="0"/>
            <c:spPr>
              <a:solidFill>
                <a:srgbClr val="FF0000"/>
              </a:solidFill>
              <a:ln>
                <a:noFill/>
              </a:ln>
              <a:effectLst/>
            </c:spPr>
            <c:extLst>
              <c:ext xmlns:c16="http://schemas.microsoft.com/office/drawing/2014/chart" uri="{C3380CC4-5D6E-409C-BE32-E72D297353CC}">
                <c16:uniqueId val="{00000015-C895-4687-83E9-3B813D84DCDC}"/>
              </c:ext>
            </c:extLst>
          </c:dPt>
          <c:dLbls>
            <c:dLbl>
              <c:idx val="10"/>
              <c:layout>
                <c:manualLayout>
                  <c:x val="-5.4864787742847275E-2"/>
                  <c:y val="2.7031331867776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895-4687-83E9-3B813D84DCDC}"/>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détaillé'!$F$271:$F$277,'Tableau détaillé'!$F$279:$F$282)</c:f>
              <c:numCache>
                <c:formatCode>0.0%</c:formatCode>
                <c:ptCount val="11"/>
                <c:pt idx="0">
                  <c:v>0.1651179505063427</c:v>
                </c:pt>
                <c:pt idx="1">
                  <c:v>0.11436884341823128</c:v>
                </c:pt>
                <c:pt idx="2">
                  <c:v>0.12798084151930428</c:v>
                </c:pt>
                <c:pt idx="3">
                  <c:v>9.6712044929565325E-2</c:v>
                </c:pt>
                <c:pt idx="4">
                  <c:v>0.1439976730890789</c:v>
                </c:pt>
                <c:pt idx="5">
                  <c:v>0.20700758130065958</c:v>
                </c:pt>
                <c:pt idx="6">
                  <c:v>0.18034949956488294</c:v>
                </c:pt>
                <c:pt idx="7">
                  <c:v>0.14754742542417942</c:v>
                </c:pt>
                <c:pt idx="8">
                  <c:v>0.17687123061408444</c:v>
                </c:pt>
                <c:pt idx="9">
                  <c:v>0.21488622777130534</c:v>
                </c:pt>
                <c:pt idx="10">
                  <c:v>0.64453125000017875</c:v>
                </c:pt>
              </c:numCache>
            </c:numRef>
          </c:val>
          <c:extLst>
            <c:ext xmlns:c16="http://schemas.microsoft.com/office/drawing/2014/chart" uri="{C3380CC4-5D6E-409C-BE32-E72D297353CC}">
              <c16:uniqueId val="{00000016-C895-4687-83E9-3B813D84DCDC}"/>
            </c:ext>
          </c:extLst>
        </c:ser>
        <c:ser>
          <c:idx val="1"/>
          <c:order val="1"/>
          <c:tx>
            <c:v>Dec 2020</c:v>
          </c:tx>
          <c:spPr>
            <a:solidFill>
              <a:schemeClr val="accent2"/>
            </a:solidFill>
            <a:ln>
              <a:noFill/>
            </a:ln>
            <a:effectLst/>
          </c:spPr>
          <c:invertIfNegative val="0"/>
          <c:dPt>
            <c:idx val="0"/>
            <c:invertIfNegative val="0"/>
            <c:bubble3D val="0"/>
            <c:spPr>
              <a:solidFill>
                <a:srgbClr val="E7E6E6">
                  <a:lumMod val="75000"/>
                </a:srgbClr>
              </a:solidFill>
              <a:ln>
                <a:noFill/>
              </a:ln>
              <a:effectLst/>
            </c:spPr>
            <c:extLst>
              <c:ext xmlns:c16="http://schemas.microsoft.com/office/drawing/2014/chart" uri="{C3380CC4-5D6E-409C-BE32-E72D297353CC}">
                <c16:uniqueId val="{00000018-C895-4687-83E9-3B813D84DCDC}"/>
              </c:ext>
            </c:extLst>
          </c:dPt>
          <c:dPt>
            <c:idx val="1"/>
            <c:invertIfNegative val="0"/>
            <c:bubble3D val="0"/>
            <c:spPr>
              <a:solidFill>
                <a:srgbClr val="E7E6E6">
                  <a:lumMod val="75000"/>
                </a:srgbClr>
              </a:solidFill>
              <a:ln>
                <a:noFill/>
              </a:ln>
              <a:effectLst/>
            </c:spPr>
            <c:extLst>
              <c:ext xmlns:c16="http://schemas.microsoft.com/office/drawing/2014/chart" uri="{C3380CC4-5D6E-409C-BE32-E72D297353CC}">
                <c16:uniqueId val="{0000001A-C895-4687-83E9-3B813D84DCDC}"/>
              </c:ext>
            </c:extLst>
          </c:dPt>
          <c:dPt>
            <c:idx val="2"/>
            <c:invertIfNegative val="0"/>
            <c:bubble3D val="0"/>
            <c:spPr>
              <a:solidFill>
                <a:srgbClr val="E7E6E6">
                  <a:lumMod val="75000"/>
                </a:srgbClr>
              </a:solidFill>
              <a:ln>
                <a:noFill/>
              </a:ln>
              <a:effectLst/>
            </c:spPr>
            <c:extLst>
              <c:ext xmlns:c16="http://schemas.microsoft.com/office/drawing/2014/chart" uri="{C3380CC4-5D6E-409C-BE32-E72D297353CC}">
                <c16:uniqueId val="{0000001C-C895-4687-83E9-3B813D84DCDC}"/>
              </c:ext>
            </c:extLst>
          </c:dPt>
          <c:dPt>
            <c:idx val="3"/>
            <c:invertIfNegative val="0"/>
            <c:bubble3D val="0"/>
            <c:spPr>
              <a:solidFill>
                <a:srgbClr val="E7E6E6">
                  <a:lumMod val="75000"/>
                </a:srgbClr>
              </a:solidFill>
              <a:ln>
                <a:noFill/>
              </a:ln>
              <a:effectLst/>
            </c:spPr>
            <c:extLst>
              <c:ext xmlns:c16="http://schemas.microsoft.com/office/drawing/2014/chart" uri="{C3380CC4-5D6E-409C-BE32-E72D297353CC}">
                <c16:uniqueId val="{0000001E-C895-4687-83E9-3B813D84DCDC}"/>
              </c:ext>
            </c:extLst>
          </c:dPt>
          <c:dPt>
            <c:idx val="4"/>
            <c:invertIfNegative val="0"/>
            <c:bubble3D val="0"/>
            <c:spPr>
              <a:solidFill>
                <a:srgbClr val="E7E6E6">
                  <a:lumMod val="75000"/>
                </a:srgbClr>
              </a:solidFill>
              <a:ln>
                <a:noFill/>
              </a:ln>
              <a:effectLst/>
            </c:spPr>
            <c:extLst>
              <c:ext xmlns:c16="http://schemas.microsoft.com/office/drawing/2014/chart" uri="{C3380CC4-5D6E-409C-BE32-E72D297353CC}">
                <c16:uniqueId val="{00000020-C895-4687-83E9-3B813D84DCDC}"/>
              </c:ext>
            </c:extLst>
          </c:dPt>
          <c:dPt>
            <c:idx val="5"/>
            <c:invertIfNegative val="0"/>
            <c:bubble3D val="0"/>
            <c:spPr>
              <a:solidFill>
                <a:srgbClr val="E7E6E6">
                  <a:lumMod val="75000"/>
                </a:srgbClr>
              </a:solidFill>
              <a:ln>
                <a:noFill/>
              </a:ln>
              <a:effectLst/>
            </c:spPr>
            <c:extLst>
              <c:ext xmlns:c16="http://schemas.microsoft.com/office/drawing/2014/chart" uri="{C3380CC4-5D6E-409C-BE32-E72D297353CC}">
                <c16:uniqueId val="{00000022-C895-4687-83E9-3B813D84DCDC}"/>
              </c:ext>
            </c:extLst>
          </c:dPt>
          <c:dPt>
            <c:idx val="6"/>
            <c:invertIfNegative val="0"/>
            <c:bubble3D val="0"/>
            <c:spPr>
              <a:solidFill>
                <a:srgbClr val="E7E6E6">
                  <a:lumMod val="75000"/>
                </a:srgbClr>
              </a:solidFill>
              <a:ln>
                <a:noFill/>
              </a:ln>
              <a:effectLst/>
            </c:spPr>
            <c:extLst>
              <c:ext xmlns:c16="http://schemas.microsoft.com/office/drawing/2014/chart" uri="{C3380CC4-5D6E-409C-BE32-E72D297353CC}">
                <c16:uniqueId val="{00000024-C895-4687-83E9-3B813D84DCDC}"/>
              </c:ext>
            </c:extLst>
          </c:dPt>
          <c:dPt>
            <c:idx val="7"/>
            <c:invertIfNegative val="0"/>
            <c:bubble3D val="0"/>
            <c:spPr>
              <a:solidFill>
                <a:srgbClr val="FFA7A7"/>
              </a:solidFill>
              <a:ln>
                <a:noFill/>
              </a:ln>
              <a:effectLst/>
            </c:spPr>
            <c:extLst>
              <c:ext xmlns:c16="http://schemas.microsoft.com/office/drawing/2014/chart" uri="{C3380CC4-5D6E-409C-BE32-E72D297353CC}">
                <c16:uniqueId val="{00000026-C895-4687-83E9-3B813D84DCDC}"/>
              </c:ext>
            </c:extLst>
          </c:dPt>
          <c:dPt>
            <c:idx val="8"/>
            <c:invertIfNegative val="0"/>
            <c:bubble3D val="0"/>
            <c:spPr>
              <a:solidFill>
                <a:srgbClr val="FFA7A7"/>
              </a:solidFill>
              <a:ln>
                <a:noFill/>
              </a:ln>
              <a:effectLst/>
            </c:spPr>
            <c:extLst>
              <c:ext xmlns:c16="http://schemas.microsoft.com/office/drawing/2014/chart" uri="{C3380CC4-5D6E-409C-BE32-E72D297353CC}">
                <c16:uniqueId val="{00000028-C895-4687-83E9-3B813D84DCDC}"/>
              </c:ext>
            </c:extLst>
          </c:dPt>
          <c:dPt>
            <c:idx val="9"/>
            <c:invertIfNegative val="0"/>
            <c:bubble3D val="0"/>
            <c:spPr>
              <a:solidFill>
                <a:srgbClr val="FFA7A7"/>
              </a:solidFill>
              <a:ln>
                <a:noFill/>
              </a:ln>
              <a:effectLst/>
            </c:spPr>
            <c:extLst>
              <c:ext xmlns:c16="http://schemas.microsoft.com/office/drawing/2014/chart" uri="{C3380CC4-5D6E-409C-BE32-E72D297353CC}">
                <c16:uniqueId val="{0000002A-C895-4687-83E9-3B813D84DCDC}"/>
              </c:ext>
            </c:extLst>
          </c:dPt>
          <c:dPt>
            <c:idx val="10"/>
            <c:invertIfNegative val="0"/>
            <c:bubble3D val="0"/>
            <c:spPr>
              <a:solidFill>
                <a:srgbClr val="FFA7A7"/>
              </a:solidFill>
              <a:ln>
                <a:noFill/>
              </a:ln>
              <a:effectLst/>
            </c:spPr>
            <c:extLst>
              <c:ext xmlns:c16="http://schemas.microsoft.com/office/drawing/2014/chart" uri="{C3380CC4-5D6E-409C-BE32-E72D297353CC}">
                <c16:uniqueId val="{0000002C-C895-4687-83E9-3B813D84DCDC}"/>
              </c:ext>
            </c:extLst>
          </c:dPt>
          <c:dLbls>
            <c:dLbl>
              <c:idx val="1"/>
              <c:layout>
                <c:manualLayout>
                  <c:x val="1.3921253061853578E-2"/>
                  <c:y val="-4.63959481359057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C895-4687-83E9-3B813D84DCDC}"/>
                </c:ext>
              </c:extLst>
            </c:dLbl>
            <c:dLbl>
              <c:idx val="2"/>
              <c:layout>
                <c:manualLayout>
                  <c:x val="8.352751837112079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C895-4687-83E9-3B813D84DCDC}"/>
                </c:ext>
              </c:extLst>
            </c:dLbl>
            <c:dLbl>
              <c:idx val="4"/>
              <c:layout>
                <c:manualLayout>
                  <c:x val="8.352751837112131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C895-4687-83E9-3B813D84DCDC}"/>
                </c:ext>
              </c:extLst>
            </c:dLbl>
            <c:dLbl>
              <c:idx val="6"/>
              <c:layout>
                <c:manualLayout>
                  <c:x val="1.6705503674224263E-2"/>
                  <c:y val="-8.505825564893305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C895-4687-83E9-3B813D84DCDC}"/>
                </c:ext>
              </c:extLst>
            </c:dLbl>
            <c:dLbl>
              <c:idx val="8"/>
              <c:layout>
                <c:manualLayout>
                  <c:x val="1.948975428659487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C895-4687-83E9-3B813D84DCDC}"/>
                </c:ext>
              </c:extLst>
            </c:dLbl>
            <c:dLbl>
              <c:idx val="9"/>
              <c:layout>
                <c:manualLayout>
                  <c:x val="8.3527518371120293E-3"/>
                  <c:y val="-1.85583792543623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C895-4687-83E9-3B813D84DCDC}"/>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détaillé'!$D$271:$D$277,'Tableau détaillé'!$D$279:$D$282)</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détaillé'!$G$271:$G$277,'Tableau détaillé'!$G$279:$G$282)</c:f>
              <c:numCache>
                <c:formatCode>0.0%</c:formatCode>
                <c:ptCount val="11"/>
                <c:pt idx="0">
                  <c:v>0.16145438479934271</c:v>
                </c:pt>
                <c:pt idx="1">
                  <c:v>0.15499998486423128</c:v>
                </c:pt>
                <c:pt idx="2">
                  <c:v>0.16269726852130428</c:v>
                </c:pt>
                <c:pt idx="3">
                  <c:v>0.12611315057256534</c:v>
                </c:pt>
                <c:pt idx="4">
                  <c:v>0.16354071744407891</c:v>
                </c:pt>
                <c:pt idx="5">
                  <c:v>0.20416383931365958</c:v>
                </c:pt>
                <c:pt idx="6">
                  <c:v>0.19487501772288293</c:v>
                </c:pt>
                <c:pt idx="7">
                  <c:v>0.14411673111017942</c:v>
                </c:pt>
                <c:pt idx="8">
                  <c:v>0.19498922239308444</c:v>
                </c:pt>
                <c:pt idx="9">
                  <c:v>0.25463824646130534</c:v>
                </c:pt>
                <c:pt idx="10">
                  <c:v>0.64453125000017875</c:v>
                </c:pt>
              </c:numCache>
            </c:numRef>
          </c:val>
          <c:extLst>
            <c:ext xmlns:c16="http://schemas.microsoft.com/office/drawing/2014/chart" uri="{C3380CC4-5D6E-409C-BE32-E72D297353CC}">
              <c16:uniqueId val="{0000002D-C895-4687-83E9-3B813D84DCDC}"/>
            </c:ext>
          </c:extLst>
        </c:ser>
        <c:dLbls>
          <c:showLegendKey val="0"/>
          <c:showVal val="0"/>
          <c:showCatName val="0"/>
          <c:showSerName val="0"/>
          <c:showPercent val="0"/>
          <c:showBubbleSize val="0"/>
        </c:dLbls>
        <c:gapWidth val="150"/>
        <c:axId val="964197808"/>
        <c:axId val="964199376"/>
      </c:barChart>
      <c:catAx>
        <c:axId val="96419780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9376"/>
        <c:crosses val="autoZero"/>
        <c:auto val="1"/>
        <c:lblAlgn val="ctr"/>
        <c:lblOffset val="100"/>
        <c:noMultiLvlLbl val="0"/>
      </c:catAx>
      <c:valAx>
        <c:axId val="964199376"/>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7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a:t>Evolution de la part des BG et PAT </a:t>
            </a:r>
          </a:p>
          <a:p>
            <a:pPr marL="0" marR="0" indent="0" algn="ctr" defTabSz="914400" rtl="0" eaLnBrk="1" fontAlgn="auto" latinLnBrk="0" hangingPunct="1">
              <a:lnSpc>
                <a:spcPct val="100000"/>
              </a:lnSpc>
              <a:spcBef>
                <a:spcPts val="0"/>
              </a:spcBef>
              <a:spcAft>
                <a:spcPts val="0"/>
              </a:spcAft>
              <a:buClrTx/>
              <a:buSzTx/>
              <a:buFontTx/>
              <a:buNone/>
              <a:tabLst/>
              <a:defRPr sz="1200" b="1">
                <a:solidFill>
                  <a:sysClr val="windowText" lastClr="000000">
                    <a:lumMod val="65000"/>
                    <a:lumOff val="35000"/>
                  </a:sysClr>
                </a:solidFill>
              </a:defRPr>
            </a:pPr>
            <a:r>
              <a:rPr lang="fr-FR"/>
              <a:t>dans le portefeuille </a:t>
            </a:r>
            <a:r>
              <a:rPr lang="fr-FR" sz="1200" b="1" i="0" u="none" strike="noStrike" kern="1200" spc="0" baseline="0">
                <a:solidFill>
                  <a:sysClr val="windowText" lastClr="000000">
                    <a:lumMod val="65000"/>
                    <a:lumOff val="35000"/>
                  </a:sysClr>
                </a:solidFill>
                <a:latin typeface="Arial Narrow" panose="020B0606020202030204" pitchFamily="34" charset="0"/>
                <a:ea typeface="+mn-ea"/>
                <a:cs typeface="+mn-cs"/>
              </a:rPr>
              <a:t>par DR</a:t>
            </a:r>
          </a:p>
        </c:rich>
      </c:tx>
      <c:layout>
        <c:manualLayout>
          <c:xMode val="edge"/>
          <c:yMode val="edge"/>
          <c:x val="0.26615619466915441"/>
          <c:y val="2.3849796078772877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021038537939908"/>
          <c:y val="0.14660885907721372"/>
          <c:w val="0.89920800524934386"/>
          <c:h val="0.76249998585366341"/>
        </c:manualLayout>
      </c:layout>
      <c:barChart>
        <c:barDir val="col"/>
        <c:grouping val="clustered"/>
        <c:varyColors val="0"/>
        <c:ser>
          <c:idx val="0"/>
          <c:order val="0"/>
          <c:tx>
            <c:v>déc-19</c:v>
          </c:tx>
          <c:spPr>
            <a:solidFill>
              <a:schemeClr val="accent1"/>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01-5E84-4FD8-A4BE-BB0076F0D306}"/>
              </c:ext>
            </c:extLst>
          </c:dPt>
          <c:dPt>
            <c:idx val="1"/>
            <c:invertIfNegative val="0"/>
            <c:bubble3D val="0"/>
            <c:spPr>
              <a:solidFill>
                <a:srgbClr val="FF0000"/>
              </a:solidFill>
              <a:ln>
                <a:noFill/>
              </a:ln>
              <a:effectLst/>
            </c:spPr>
            <c:extLst>
              <c:ext xmlns:c16="http://schemas.microsoft.com/office/drawing/2014/chart" uri="{C3380CC4-5D6E-409C-BE32-E72D297353CC}">
                <c16:uniqueId val="{00000003-5E84-4FD8-A4BE-BB0076F0D30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détaillé'!$F$278,'Tableau détaillé'!$F$283)</c:f>
              <c:numCache>
                <c:formatCode>0.0%</c:formatCode>
                <c:ptCount val="2"/>
                <c:pt idx="0">
                  <c:v>0.14225766292715872</c:v>
                </c:pt>
                <c:pt idx="1">
                  <c:v>0.1847668867183152</c:v>
                </c:pt>
              </c:numCache>
            </c:numRef>
          </c:val>
          <c:extLst>
            <c:ext xmlns:c16="http://schemas.microsoft.com/office/drawing/2014/chart" uri="{C3380CC4-5D6E-409C-BE32-E72D297353CC}">
              <c16:uniqueId val="{00000004-5E84-4FD8-A4BE-BB0076F0D306}"/>
            </c:ext>
          </c:extLst>
        </c:ser>
        <c:ser>
          <c:idx val="1"/>
          <c:order val="1"/>
          <c:tx>
            <c:v>Mars 2020</c:v>
          </c:tx>
          <c:spPr>
            <a:solidFill>
              <a:sysClr val="window" lastClr="FFFFFF">
                <a:lumMod val="8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6-5E84-4FD8-A4BE-BB0076F0D306}"/>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détaillé'!$G$278,'Tableau détaillé'!$G$283)</c:f>
              <c:numCache>
                <c:formatCode>0.0%</c:formatCode>
                <c:ptCount val="2"/>
                <c:pt idx="0">
                  <c:v>0.15847542792815872</c:v>
                </c:pt>
                <c:pt idx="1">
                  <c:v>0.17479585367431522</c:v>
                </c:pt>
              </c:numCache>
            </c:numRef>
          </c:val>
          <c:extLst>
            <c:ext xmlns:c16="http://schemas.microsoft.com/office/drawing/2014/chart" uri="{C3380CC4-5D6E-409C-BE32-E72D297353CC}">
              <c16:uniqueId val="{00000007-5E84-4FD8-A4BE-BB0076F0D306}"/>
            </c:ext>
          </c:extLst>
        </c:ser>
        <c:dLbls>
          <c:showLegendKey val="0"/>
          <c:showVal val="0"/>
          <c:showCatName val="0"/>
          <c:showSerName val="0"/>
          <c:showPercent val="0"/>
          <c:showBubbleSize val="0"/>
        </c:dLbls>
        <c:gapWidth val="150"/>
        <c:axId val="964198592"/>
        <c:axId val="964198984"/>
      </c:barChart>
      <c:catAx>
        <c:axId val="9641985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8984"/>
        <c:crosses val="autoZero"/>
        <c:auto val="1"/>
        <c:lblAlgn val="ctr"/>
        <c:lblOffset val="100"/>
        <c:noMultiLvlLbl val="0"/>
      </c:catAx>
      <c:valAx>
        <c:axId val="96419898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 l'équipement Cartes</a:t>
            </a:r>
          </a:p>
        </c:rich>
      </c:tx>
      <c:layout>
        <c:manualLayout>
          <c:xMode val="edge"/>
          <c:yMode val="edge"/>
          <c:x val="0.29093744531933508"/>
          <c:y val="3.33333333333333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3623528032412691"/>
          <c:w val="0.89920800524934386"/>
          <c:h val="0.6364397215469987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F500-45D3-B8E7-7C1BB7FFE2A6}"/>
              </c:ext>
            </c:extLst>
          </c:dPt>
          <c:dPt>
            <c:idx val="1"/>
            <c:invertIfNegative val="0"/>
            <c:bubble3D val="0"/>
            <c:spPr>
              <a:solidFill>
                <a:schemeClr val="tx1"/>
              </a:solidFill>
              <a:ln>
                <a:noFill/>
              </a:ln>
              <a:effectLst/>
            </c:spPr>
            <c:extLst>
              <c:ext xmlns:c16="http://schemas.microsoft.com/office/drawing/2014/chart" uri="{C3380CC4-5D6E-409C-BE32-E72D297353CC}">
                <c16:uniqueId val="{00000003-F500-45D3-B8E7-7C1BB7FFE2A6}"/>
              </c:ext>
            </c:extLst>
          </c:dPt>
          <c:dPt>
            <c:idx val="2"/>
            <c:invertIfNegative val="0"/>
            <c:bubble3D val="0"/>
            <c:spPr>
              <a:solidFill>
                <a:schemeClr val="tx1"/>
              </a:solidFill>
              <a:ln>
                <a:noFill/>
              </a:ln>
              <a:effectLst/>
            </c:spPr>
            <c:extLst>
              <c:ext xmlns:c16="http://schemas.microsoft.com/office/drawing/2014/chart" uri="{C3380CC4-5D6E-409C-BE32-E72D297353CC}">
                <c16:uniqueId val="{00000005-F500-45D3-B8E7-7C1BB7FFE2A6}"/>
              </c:ext>
            </c:extLst>
          </c:dPt>
          <c:dPt>
            <c:idx val="3"/>
            <c:invertIfNegative val="0"/>
            <c:bubble3D val="0"/>
            <c:spPr>
              <a:solidFill>
                <a:schemeClr val="tx1"/>
              </a:solidFill>
              <a:ln>
                <a:noFill/>
              </a:ln>
              <a:effectLst/>
            </c:spPr>
            <c:extLst>
              <c:ext xmlns:c16="http://schemas.microsoft.com/office/drawing/2014/chart" uri="{C3380CC4-5D6E-409C-BE32-E72D297353CC}">
                <c16:uniqueId val="{00000007-F500-45D3-B8E7-7C1BB7FFE2A6}"/>
              </c:ext>
            </c:extLst>
          </c:dPt>
          <c:dPt>
            <c:idx val="4"/>
            <c:invertIfNegative val="0"/>
            <c:bubble3D val="0"/>
            <c:spPr>
              <a:solidFill>
                <a:schemeClr val="tx1"/>
              </a:solidFill>
              <a:ln>
                <a:noFill/>
              </a:ln>
              <a:effectLst/>
            </c:spPr>
            <c:extLst>
              <c:ext xmlns:c16="http://schemas.microsoft.com/office/drawing/2014/chart" uri="{C3380CC4-5D6E-409C-BE32-E72D297353CC}">
                <c16:uniqueId val="{00000009-F500-45D3-B8E7-7C1BB7FFE2A6}"/>
              </c:ext>
            </c:extLst>
          </c:dPt>
          <c:dPt>
            <c:idx val="5"/>
            <c:invertIfNegative val="0"/>
            <c:bubble3D val="0"/>
            <c:spPr>
              <a:solidFill>
                <a:schemeClr val="tx1"/>
              </a:solidFill>
              <a:ln>
                <a:noFill/>
              </a:ln>
              <a:effectLst/>
            </c:spPr>
            <c:extLst>
              <c:ext xmlns:c16="http://schemas.microsoft.com/office/drawing/2014/chart" uri="{C3380CC4-5D6E-409C-BE32-E72D297353CC}">
                <c16:uniqueId val="{0000000B-F500-45D3-B8E7-7C1BB7FFE2A6}"/>
              </c:ext>
            </c:extLst>
          </c:dPt>
          <c:dPt>
            <c:idx val="6"/>
            <c:invertIfNegative val="0"/>
            <c:bubble3D val="0"/>
            <c:spPr>
              <a:solidFill>
                <a:schemeClr val="tx1"/>
              </a:solidFill>
              <a:ln>
                <a:noFill/>
              </a:ln>
              <a:effectLst/>
            </c:spPr>
            <c:extLst>
              <c:ext xmlns:c16="http://schemas.microsoft.com/office/drawing/2014/chart" uri="{C3380CC4-5D6E-409C-BE32-E72D297353CC}">
                <c16:uniqueId val="{0000000D-F500-45D3-B8E7-7C1BB7FFE2A6}"/>
              </c:ext>
            </c:extLst>
          </c:dPt>
          <c:dPt>
            <c:idx val="7"/>
            <c:invertIfNegative val="0"/>
            <c:bubble3D val="0"/>
            <c:spPr>
              <a:solidFill>
                <a:srgbClr val="FF0000"/>
              </a:solidFill>
              <a:ln>
                <a:noFill/>
              </a:ln>
              <a:effectLst/>
            </c:spPr>
            <c:extLst>
              <c:ext xmlns:c16="http://schemas.microsoft.com/office/drawing/2014/chart" uri="{C3380CC4-5D6E-409C-BE32-E72D297353CC}">
                <c16:uniqueId val="{0000000F-F500-45D3-B8E7-7C1BB7FFE2A6}"/>
              </c:ext>
            </c:extLst>
          </c:dPt>
          <c:dPt>
            <c:idx val="8"/>
            <c:invertIfNegative val="0"/>
            <c:bubble3D val="0"/>
            <c:spPr>
              <a:solidFill>
                <a:srgbClr val="FF0000"/>
              </a:solidFill>
              <a:ln>
                <a:noFill/>
              </a:ln>
              <a:effectLst/>
            </c:spPr>
            <c:extLst>
              <c:ext xmlns:c16="http://schemas.microsoft.com/office/drawing/2014/chart" uri="{C3380CC4-5D6E-409C-BE32-E72D297353CC}">
                <c16:uniqueId val="{00000011-F500-45D3-B8E7-7C1BB7FFE2A6}"/>
              </c:ext>
            </c:extLst>
          </c:dPt>
          <c:dPt>
            <c:idx val="9"/>
            <c:invertIfNegative val="0"/>
            <c:bubble3D val="0"/>
            <c:spPr>
              <a:solidFill>
                <a:srgbClr val="FF0000"/>
              </a:solidFill>
              <a:ln>
                <a:noFill/>
              </a:ln>
              <a:effectLst/>
            </c:spPr>
            <c:extLst>
              <c:ext xmlns:c16="http://schemas.microsoft.com/office/drawing/2014/chart" uri="{C3380CC4-5D6E-409C-BE32-E72D297353CC}">
                <c16:uniqueId val="{00000013-F500-45D3-B8E7-7C1BB7FFE2A6}"/>
              </c:ext>
            </c:extLst>
          </c:dPt>
          <c:dPt>
            <c:idx val="10"/>
            <c:invertIfNegative val="0"/>
            <c:bubble3D val="0"/>
            <c:spPr>
              <a:solidFill>
                <a:srgbClr val="FF0000"/>
              </a:solidFill>
              <a:ln>
                <a:noFill/>
              </a:ln>
              <a:effectLst/>
            </c:spPr>
            <c:extLst>
              <c:ext xmlns:c16="http://schemas.microsoft.com/office/drawing/2014/chart" uri="{C3380CC4-5D6E-409C-BE32-E72D297353CC}">
                <c16:uniqueId val="{00000015-F500-45D3-B8E7-7C1BB7FFE2A6}"/>
              </c:ext>
            </c:extLst>
          </c:dPt>
          <c:dLbls>
            <c:dLbl>
              <c:idx val="0"/>
              <c:layout>
                <c:manualLayout>
                  <c:x val="1.1502051461033582E-2"/>
                  <c:y val="-4.35121245504646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00-45D3-B8E7-7C1BB7FFE2A6}"/>
                </c:ext>
              </c:extLst>
            </c:dLbl>
            <c:dLbl>
              <c:idx val="1"/>
              <c:layout>
                <c:manualLayout>
                  <c:x val="2.8130424946311598E-3"/>
                  <c:y val="1.69345612266111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00-45D3-B8E7-7C1BB7FFE2A6}"/>
                </c:ext>
              </c:extLst>
            </c:dLbl>
            <c:dLbl>
              <c:idx val="2"/>
              <c:layout>
                <c:manualLayout>
                  <c:x val="-1.1429292521631574E-2"/>
                  <c:y val="-4.70748205040452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00-45D3-B8E7-7C1BB7FFE2A6}"/>
                </c:ext>
              </c:extLst>
            </c:dLbl>
            <c:dLbl>
              <c:idx val="3"/>
              <c:layout>
                <c:manualLayout>
                  <c:x val="0"/>
                  <c:y val="-1.52679102813829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00-45D3-B8E7-7C1BB7FFE2A6}"/>
                </c:ext>
              </c:extLst>
            </c:dLbl>
            <c:dLbl>
              <c:idx val="4"/>
              <c:layout>
                <c:manualLayout>
                  <c:x val="-2.869885416039079E-3"/>
                  <c:y val="7.34893985312231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500-45D3-B8E7-7C1BB7FFE2A6}"/>
                </c:ext>
              </c:extLst>
            </c:dLbl>
            <c:dLbl>
              <c:idx val="5"/>
              <c:layout>
                <c:manualLayout>
                  <c:x val="-8.3461748671616494E-3"/>
                  <c:y val="1.04141119586171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500-45D3-B8E7-7C1BB7FFE2A6}"/>
                </c:ext>
              </c:extLst>
            </c:dLbl>
            <c:dLbl>
              <c:idx val="6"/>
              <c:layout>
                <c:manualLayout>
                  <c:x val="0"/>
                  <c:y val="-4.11380545565881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500-45D3-B8E7-7C1BB7FFE2A6}"/>
                </c:ext>
              </c:extLst>
            </c:dLbl>
            <c:dLbl>
              <c:idx val="7"/>
              <c:layout>
                <c:manualLayout>
                  <c:x val="-1.0587819182842971E-16"/>
                  <c:y val="-3.5920403779279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500-45D3-B8E7-7C1BB7FFE2A6}"/>
                </c:ext>
              </c:extLst>
            </c:dLbl>
            <c:dLbl>
              <c:idx val="8"/>
              <c:layout>
                <c:manualLayout>
                  <c:x val="-2.7730697634549932E-3"/>
                  <c:y val="-8.441179916701679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500-45D3-B8E7-7C1BB7FFE2A6}"/>
                </c:ext>
              </c:extLst>
            </c:dLbl>
            <c:dLbl>
              <c:idx val="9"/>
              <c:layout>
                <c:manualLayout>
                  <c:x val="-1.6120652511252836E-4"/>
                  <c:y val="-7.5835891837158949E-4"/>
                </c:manualLayout>
              </c:layout>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500-45D3-B8E7-7C1BB7FFE2A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détaillé'!$H$151:$H$157,'Tableau détaillé'!$H$159:$H$162)</c:f>
              <c:numCache>
                <c:formatCode>#\ ##0.0" pts"</c:formatCode>
                <c:ptCount val="11"/>
                <c:pt idx="0">
                  <c:v>-1.5160395100226709</c:v>
                </c:pt>
                <c:pt idx="1">
                  <c:v>1.1320343062523996</c:v>
                </c:pt>
                <c:pt idx="2">
                  <c:v>-2.831474471542117</c:v>
                </c:pt>
                <c:pt idx="3">
                  <c:v>74.075432599571656</c:v>
                </c:pt>
                <c:pt idx="4">
                  <c:v>-1.3230989347152722</c:v>
                </c:pt>
                <c:pt idx="5">
                  <c:v>0.69868763167963976</c:v>
                </c:pt>
                <c:pt idx="6">
                  <c:v>-5.6106498373441562</c:v>
                </c:pt>
                <c:pt idx="7">
                  <c:v>32.852302216027532</c:v>
                </c:pt>
                <c:pt idx="8">
                  <c:v>-1.7871988251484616</c:v>
                </c:pt>
                <c:pt idx="9">
                  <c:v>1.9070584374291988</c:v>
                </c:pt>
                <c:pt idx="10">
                  <c:v>2.3860546618132861</c:v>
                </c:pt>
              </c:numCache>
            </c:numRef>
          </c:val>
          <c:extLst>
            <c:ext xmlns:c16="http://schemas.microsoft.com/office/drawing/2014/chart" uri="{C3380CC4-5D6E-409C-BE32-E72D297353CC}">
              <c16:uniqueId val="{00000016-F500-45D3-B8E7-7C1BB7FFE2A6}"/>
            </c:ext>
          </c:extLst>
        </c:ser>
        <c:dLbls>
          <c:showLegendKey val="0"/>
          <c:showVal val="0"/>
          <c:showCatName val="0"/>
          <c:showSerName val="0"/>
          <c:showPercent val="0"/>
          <c:showBubbleSize val="0"/>
        </c:dLbls>
        <c:gapWidth val="219"/>
        <c:overlap val="-27"/>
        <c:axId val="964188008"/>
        <c:axId val="964188400"/>
      </c:barChart>
      <c:lineChart>
        <c:grouping val="standard"/>
        <c:varyColors val="0"/>
        <c:ser>
          <c:idx val="1"/>
          <c:order val="1"/>
          <c:spPr>
            <a:ln w="28575" cap="rnd">
              <a:solidFill>
                <a:srgbClr val="C00000"/>
              </a:solidFill>
              <a:round/>
            </a:ln>
            <a:effectLst/>
          </c:spPr>
          <c:marker>
            <c:symbol val="none"/>
          </c:marker>
          <c:val>
            <c:numRef>
              <c:f>('Tableau détaillé'!$J$151:$J$157,'Tableau détaillé'!$J$159:$J$162)</c:f>
              <c:numCache>
                <c:formatCode>#\ ##0.0" pts"</c:formatCode>
                <c:ptCount val="11"/>
                <c:pt idx="0">
                  <c:v>8.7540411243462675</c:v>
                </c:pt>
                <c:pt idx="1">
                  <c:v>8.7540411243462675</c:v>
                </c:pt>
                <c:pt idx="2">
                  <c:v>8.7540411243462675</c:v>
                </c:pt>
                <c:pt idx="3">
                  <c:v>8.7540411243462675</c:v>
                </c:pt>
                <c:pt idx="4">
                  <c:v>8.7540411243462675</c:v>
                </c:pt>
                <c:pt idx="5">
                  <c:v>8.7540411243462675</c:v>
                </c:pt>
                <c:pt idx="6">
                  <c:v>8.7540411243462675</c:v>
                </c:pt>
                <c:pt idx="7">
                  <c:v>8.7540411243462675</c:v>
                </c:pt>
                <c:pt idx="8">
                  <c:v>8.7540411243462675</c:v>
                </c:pt>
                <c:pt idx="9">
                  <c:v>8.7540411243462675</c:v>
                </c:pt>
                <c:pt idx="10">
                  <c:v>8.7540411243462675</c:v>
                </c:pt>
              </c:numCache>
            </c:numRef>
          </c:val>
          <c:smooth val="0"/>
          <c:extLst>
            <c:ext xmlns:c16="http://schemas.microsoft.com/office/drawing/2014/chart" uri="{C3380CC4-5D6E-409C-BE32-E72D297353CC}">
              <c16:uniqueId val="{00000017-F500-45D3-B8E7-7C1BB7FFE2A6}"/>
            </c:ext>
          </c:extLst>
        </c:ser>
        <c:dLbls>
          <c:showLegendKey val="0"/>
          <c:showVal val="0"/>
          <c:showCatName val="0"/>
          <c:showSerName val="0"/>
          <c:showPercent val="0"/>
          <c:showBubbleSize val="0"/>
        </c:dLbls>
        <c:marker val="1"/>
        <c:smooth val="0"/>
        <c:axId val="964188008"/>
        <c:axId val="964188400"/>
      </c:lineChart>
      <c:catAx>
        <c:axId val="96418800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t" anchorCtr="0"/>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8400"/>
        <c:crosses val="autoZero"/>
        <c:auto val="1"/>
        <c:lblAlgn val="ctr"/>
        <c:lblOffset val="100"/>
        <c:noMultiLvlLbl val="0"/>
      </c:catAx>
      <c:valAx>
        <c:axId val="964188400"/>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8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 l'équipement Cartes par DR</a:t>
            </a:r>
          </a:p>
        </c:rich>
      </c:tx>
      <c:layout>
        <c:manualLayout>
          <c:xMode val="edge"/>
          <c:yMode val="edge"/>
          <c:x val="0.22400819486744827"/>
          <c:y val="2.865089808503648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8944458379107786E-2"/>
          <c:y val="0.1272257344277733"/>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94DC-4B6E-84F0-9FCBB8D1FB2B}"/>
              </c:ext>
            </c:extLst>
          </c:dPt>
          <c:dLbls>
            <c:dLbl>
              <c:idx val="0"/>
              <c:layout>
                <c:manualLayout>
                  <c:x val="-6.9246445099246393E-2"/>
                  <c:y val="-4.506110438396174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4DC-4B6E-84F0-9FCBB8D1FB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détaillé'!$H$158,'Tableau détaillé'!$H$163)</c:f>
              <c:numCache>
                <c:formatCode>#\ ##0.0" pts"</c:formatCode>
                <c:ptCount val="2"/>
                <c:pt idx="0">
                  <c:v>4.359612421792364</c:v>
                </c:pt>
                <c:pt idx="1">
                  <c:v>16.01134786654762</c:v>
                </c:pt>
              </c:numCache>
            </c:numRef>
          </c:val>
          <c:extLst>
            <c:ext xmlns:c16="http://schemas.microsoft.com/office/drawing/2014/chart" uri="{C3380CC4-5D6E-409C-BE32-E72D297353CC}">
              <c16:uniqueId val="{00000003-94DC-4B6E-84F0-9FCBB8D1FB2B}"/>
            </c:ext>
          </c:extLst>
        </c:ser>
        <c:dLbls>
          <c:showLegendKey val="0"/>
          <c:showVal val="0"/>
          <c:showCatName val="0"/>
          <c:showSerName val="0"/>
          <c:showPercent val="0"/>
          <c:showBubbleSize val="0"/>
        </c:dLbls>
        <c:gapWidth val="219"/>
        <c:overlap val="-27"/>
        <c:axId val="964189576"/>
        <c:axId val="964191536"/>
      </c:barChart>
      <c:lineChart>
        <c:grouping val="standard"/>
        <c:varyColors val="0"/>
        <c:ser>
          <c:idx val="1"/>
          <c:order val="1"/>
          <c:spPr>
            <a:ln w="28575" cap="rnd">
              <a:solidFill>
                <a:srgbClr val="C00000"/>
              </a:solidFill>
              <a:round/>
            </a:ln>
            <a:effectLst/>
          </c:spPr>
          <c:marker>
            <c:symbol val="none"/>
          </c:marker>
          <c:val>
            <c:numRef>
              <c:f>('Tableau détaillé'!$J$158,'Tableau détaillé'!$J$163)</c:f>
              <c:numCache>
                <c:formatCode>#\ ##0.0" pts"</c:formatCode>
                <c:ptCount val="2"/>
                <c:pt idx="0">
                  <c:v>8.7540411243462675</c:v>
                </c:pt>
                <c:pt idx="1">
                  <c:v>8.7540411243462675</c:v>
                </c:pt>
              </c:numCache>
            </c:numRef>
          </c:val>
          <c:smooth val="0"/>
          <c:extLst>
            <c:ext xmlns:c16="http://schemas.microsoft.com/office/drawing/2014/chart" uri="{C3380CC4-5D6E-409C-BE32-E72D297353CC}">
              <c16:uniqueId val="{00000004-94DC-4B6E-84F0-9FCBB8D1FB2B}"/>
            </c:ext>
          </c:extLst>
        </c:ser>
        <c:dLbls>
          <c:showLegendKey val="0"/>
          <c:showVal val="0"/>
          <c:showCatName val="0"/>
          <c:showSerName val="0"/>
          <c:showPercent val="0"/>
          <c:showBubbleSize val="0"/>
        </c:dLbls>
        <c:marker val="1"/>
        <c:smooth val="0"/>
        <c:axId val="964189576"/>
        <c:axId val="964191536"/>
      </c:lineChart>
      <c:catAx>
        <c:axId val="96418957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1536"/>
        <c:crosses val="autoZero"/>
        <c:auto val="1"/>
        <c:lblAlgn val="ctr"/>
        <c:lblOffset val="100"/>
        <c:noMultiLvlLbl val="0"/>
      </c:catAx>
      <c:valAx>
        <c:axId val="964191536"/>
        <c:scaling>
          <c:orientation val="minMax"/>
        </c:scaling>
        <c:delete val="0"/>
        <c:axPos val="l"/>
        <c:numFmt formatCode="#\ ##0.0&quot; pts&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89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des encours de dépôts</a:t>
            </a:r>
          </a:p>
        </c:rich>
      </c:tx>
      <c:layout>
        <c:manualLayout>
          <c:xMode val="edge"/>
          <c:yMode val="edge"/>
          <c:x val="0.27704855643044618"/>
          <c:y val="3.33333333333333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0521447319085114"/>
          <c:w val="0.89920800524934386"/>
          <c:h val="0.6636017997750280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F2FA-4D33-B024-4EA507ACCAF6}"/>
              </c:ext>
            </c:extLst>
          </c:dPt>
          <c:dPt>
            <c:idx val="1"/>
            <c:invertIfNegative val="0"/>
            <c:bubble3D val="0"/>
            <c:spPr>
              <a:solidFill>
                <a:schemeClr val="tx1"/>
              </a:solidFill>
              <a:ln>
                <a:noFill/>
              </a:ln>
              <a:effectLst/>
            </c:spPr>
            <c:extLst>
              <c:ext xmlns:c16="http://schemas.microsoft.com/office/drawing/2014/chart" uri="{C3380CC4-5D6E-409C-BE32-E72D297353CC}">
                <c16:uniqueId val="{00000003-F2FA-4D33-B024-4EA507ACCAF6}"/>
              </c:ext>
            </c:extLst>
          </c:dPt>
          <c:dPt>
            <c:idx val="2"/>
            <c:invertIfNegative val="0"/>
            <c:bubble3D val="0"/>
            <c:spPr>
              <a:solidFill>
                <a:schemeClr val="tx1"/>
              </a:solidFill>
              <a:ln>
                <a:noFill/>
              </a:ln>
              <a:effectLst/>
            </c:spPr>
            <c:extLst>
              <c:ext xmlns:c16="http://schemas.microsoft.com/office/drawing/2014/chart" uri="{C3380CC4-5D6E-409C-BE32-E72D297353CC}">
                <c16:uniqueId val="{00000005-F2FA-4D33-B024-4EA507ACCAF6}"/>
              </c:ext>
            </c:extLst>
          </c:dPt>
          <c:dPt>
            <c:idx val="3"/>
            <c:invertIfNegative val="0"/>
            <c:bubble3D val="0"/>
            <c:spPr>
              <a:solidFill>
                <a:schemeClr val="tx1"/>
              </a:solidFill>
              <a:ln>
                <a:noFill/>
              </a:ln>
              <a:effectLst/>
            </c:spPr>
            <c:extLst>
              <c:ext xmlns:c16="http://schemas.microsoft.com/office/drawing/2014/chart" uri="{C3380CC4-5D6E-409C-BE32-E72D297353CC}">
                <c16:uniqueId val="{00000007-F2FA-4D33-B024-4EA507ACCAF6}"/>
              </c:ext>
            </c:extLst>
          </c:dPt>
          <c:dPt>
            <c:idx val="4"/>
            <c:invertIfNegative val="0"/>
            <c:bubble3D val="0"/>
            <c:spPr>
              <a:solidFill>
                <a:schemeClr val="tx1"/>
              </a:solidFill>
              <a:ln>
                <a:noFill/>
              </a:ln>
              <a:effectLst/>
            </c:spPr>
            <c:extLst>
              <c:ext xmlns:c16="http://schemas.microsoft.com/office/drawing/2014/chart" uri="{C3380CC4-5D6E-409C-BE32-E72D297353CC}">
                <c16:uniqueId val="{00000009-F2FA-4D33-B024-4EA507ACCAF6}"/>
              </c:ext>
            </c:extLst>
          </c:dPt>
          <c:dPt>
            <c:idx val="5"/>
            <c:invertIfNegative val="0"/>
            <c:bubble3D val="0"/>
            <c:spPr>
              <a:solidFill>
                <a:schemeClr val="tx1"/>
              </a:solidFill>
              <a:ln>
                <a:noFill/>
              </a:ln>
              <a:effectLst/>
            </c:spPr>
            <c:extLst>
              <c:ext xmlns:c16="http://schemas.microsoft.com/office/drawing/2014/chart" uri="{C3380CC4-5D6E-409C-BE32-E72D297353CC}">
                <c16:uniqueId val="{0000000B-F2FA-4D33-B024-4EA507ACCAF6}"/>
              </c:ext>
            </c:extLst>
          </c:dPt>
          <c:dPt>
            <c:idx val="6"/>
            <c:invertIfNegative val="0"/>
            <c:bubble3D val="0"/>
            <c:spPr>
              <a:solidFill>
                <a:schemeClr val="tx1"/>
              </a:solidFill>
              <a:ln>
                <a:noFill/>
              </a:ln>
              <a:effectLst/>
            </c:spPr>
            <c:extLst>
              <c:ext xmlns:c16="http://schemas.microsoft.com/office/drawing/2014/chart" uri="{C3380CC4-5D6E-409C-BE32-E72D297353CC}">
                <c16:uniqueId val="{0000000D-F2FA-4D33-B024-4EA507ACCAF6}"/>
              </c:ext>
            </c:extLst>
          </c:dPt>
          <c:dPt>
            <c:idx val="7"/>
            <c:invertIfNegative val="0"/>
            <c:bubble3D val="0"/>
            <c:spPr>
              <a:solidFill>
                <a:srgbClr val="FF0000"/>
              </a:solidFill>
              <a:ln>
                <a:noFill/>
              </a:ln>
              <a:effectLst/>
            </c:spPr>
            <c:extLst>
              <c:ext xmlns:c16="http://schemas.microsoft.com/office/drawing/2014/chart" uri="{C3380CC4-5D6E-409C-BE32-E72D297353CC}">
                <c16:uniqueId val="{0000000F-F2FA-4D33-B024-4EA507ACCAF6}"/>
              </c:ext>
            </c:extLst>
          </c:dPt>
          <c:dPt>
            <c:idx val="8"/>
            <c:invertIfNegative val="0"/>
            <c:bubble3D val="0"/>
            <c:spPr>
              <a:solidFill>
                <a:srgbClr val="FF0000"/>
              </a:solidFill>
              <a:ln>
                <a:noFill/>
              </a:ln>
              <a:effectLst/>
            </c:spPr>
            <c:extLst>
              <c:ext xmlns:c16="http://schemas.microsoft.com/office/drawing/2014/chart" uri="{C3380CC4-5D6E-409C-BE32-E72D297353CC}">
                <c16:uniqueId val="{00000011-F2FA-4D33-B024-4EA507ACCAF6}"/>
              </c:ext>
            </c:extLst>
          </c:dPt>
          <c:dPt>
            <c:idx val="9"/>
            <c:invertIfNegative val="0"/>
            <c:bubble3D val="0"/>
            <c:spPr>
              <a:solidFill>
                <a:srgbClr val="FF0000"/>
              </a:solidFill>
              <a:ln>
                <a:noFill/>
              </a:ln>
              <a:effectLst/>
            </c:spPr>
            <c:extLst>
              <c:ext xmlns:c16="http://schemas.microsoft.com/office/drawing/2014/chart" uri="{C3380CC4-5D6E-409C-BE32-E72D297353CC}">
                <c16:uniqueId val="{00000013-F2FA-4D33-B024-4EA507ACCAF6}"/>
              </c:ext>
            </c:extLst>
          </c:dPt>
          <c:dPt>
            <c:idx val="10"/>
            <c:invertIfNegative val="0"/>
            <c:bubble3D val="0"/>
            <c:spPr>
              <a:solidFill>
                <a:srgbClr val="FF0000"/>
              </a:solidFill>
              <a:ln>
                <a:noFill/>
              </a:ln>
              <a:effectLst/>
            </c:spPr>
            <c:extLst>
              <c:ext xmlns:c16="http://schemas.microsoft.com/office/drawing/2014/chart" uri="{C3380CC4-5D6E-409C-BE32-E72D297353CC}">
                <c16:uniqueId val="{00000015-F2FA-4D33-B024-4EA507ACCAF6}"/>
              </c:ext>
            </c:extLst>
          </c:dPt>
          <c:dLbls>
            <c:dLbl>
              <c:idx val="0"/>
              <c:layout>
                <c:manualLayout>
                  <c:x val="0"/>
                  <c:y val="1.67521559805024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FA-4D33-B024-4EA507ACCAF6}"/>
                </c:ext>
              </c:extLst>
            </c:dLbl>
            <c:dLbl>
              <c:idx val="1"/>
              <c:layout>
                <c:manualLayout>
                  <c:x val="8.7272615098189631E-3"/>
                  <c:y val="1.45019576433330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FA-4D33-B024-4EA507ACCAF6}"/>
                </c:ext>
              </c:extLst>
            </c:dLbl>
            <c:dLbl>
              <c:idx val="3"/>
              <c:layout>
                <c:manualLayout>
                  <c:x val="4.6090537966400232E-2"/>
                  <c:y val="4.3887149742724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FA-4D33-B024-4EA507ACCAF6}"/>
                </c:ext>
              </c:extLst>
            </c:dLbl>
            <c:dLbl>
              <c:idx val="4"/>
              <c:layout>
                <c:manualLayout>
                  <c:x val="8.6419758687000334E-3"/>
                  <c:y val="-2.40705187194265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2FA-4D33-B024-4EA507ACCAF6}"/>
                </c:ext>
              </c:extLst>
            </c:dLbl>
            <c:dLbl>
              <c:idx val="6"/>
              <c:layout>
                <c:manualLayout>
                  <c:x val="2.7776807477191763E-3"/>
                  <c:y val="-5.5989538431733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2FA-4D33-B024-4EA507ACCAF6}"/>
                </c:ext>
              </c:extLst>
            </c:dLbl>
            <c:dLbl>
              <c:idx val="7"/>
              <c:layout>
                <c:manualLayout>
                  <c:x val="8.3332690666710375E-3"/>
                  <c:y val="-1.35988729872097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2FA-4D33-B024-4EA507ACCAF6}"/>
                </c:ext>
              </c:extLst>
            </c:dLbl>
            <c:dLbl>
              <c:idx val="8"/>
              <c:layout>
                <c:manualLayout>
                  <c:x val="3.1365155462567997E-3"/>
                  <c:y val="2.750230057635491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2FA-4D33-B024-4EA507ACCAF6}"/>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détaillé'!$I$53:$I$59,'Tableau détaillé'!$I$61:$I$64)</c:f>
              <c:numCache>
                <c:formatCode>0.0%</c:formatCode>
                <c:ptCount val="11"/>
                <c:pt idx="0">
                  <c:v>7.5482677326485392E-2</c:v>
                </c:pt>
                <c:pt idx="1">
                  <c:v>0.24268996703702328</c:v>
                </c:pt>
                <c:pt idx="2">
                  <c:v>2.9327321505148385E-2</c:v>
                </c:pt>
                <c:pt idx="3">
                  <c:v>-1.5598335978079358E-2</c:v>
                </c:pt>
                <c:pt idx="4">
                  <c:v>6.7668520385383513E-2</c:v>
                </c:pt>
                <c:pt idx="5">
                  <c:v>-5.112223743377653E-2</c:v>
                </c:pt>
                <c:pt idx="6">
                  <c:v>-5.1190852837148082E-2</c:v>
                </c:pt>
                <c:pt idx="7">
                  <c:v>0.13898354811228408</c:v>
                </c:pt>
                <c:pt idx="8">
                  <c:v>-1.5711636806566842E-2</c:v>
                </c:pt>
                <c:pt idx="9">
                  <c:v>-5.1627588052694184E-2</c:v>
                </c:pt>
                <c:pt idx="10">
                  <c:v>-2.2572266978934996E-2</c:v>
                </c:pt>
              </c:numCache>
            </c:numRef>
          </c:val>
          <c:extLst>
            <c:ext xmlns:c16="http://schemas.microsoft.com/office/drawing/2014/chart" uri="{C3380CC4-5D6E-409C-BE32-E72D297353CC}">
              <c16:uniqueId val="{00000016-F2FA-4D33-B024-4EA507ACCAF6}"/>
            </c:ext>
          </c:extLst>
        </c:ser>
        <c:dLbls>
          <c:showLegendKey val="0"/>
          <c:showVal val="0"/>
          <c:showCatName val="0"/>
          <c:showSerName val="0"/>
          <c:showPercent val="0"/>
          <c:showBubbleSize val="0"/>
        </c:dLbls>
        <c:gapWidth val="219"/>
        <c:overlap val="-27"/>
        <c:axId val="964200160"/>
        <c:axId val="964204864"/>
      </c:barChart>
      <c:lineChart>
        <c:grouping val="standard"/>
        <c:varyColors val="0"/>
        <c:ser>
          <c:idx val="1"/>
          <c:order val="1"/>
          <c:spPr>
            <a:ln w="28575" cap="rnd">
              <a:solidFill>
                <a:srgbClr val="C00000"/>
              </a:solidFill>
              <a:round/>
            </a:ln>
            <a:effectLst/>
          </c:spPr>
          <c:marker>
            <c:symbol val="none"/>
          </c:marker>
          <c:val>
            <c:numRef>
              <c:f>('Tableau détaillé'!$K$53:$K$59,'Tableau détaillé'!$K$61:$K$64)</c:f>
              <c:numCache>
                <c:formatCode>0.0%</c:formatCode>
                <c:ptCount val="11"/>
                <c:pt idx="0">
                  <c:v>4.9873568684914771E-2</c:v>
                </c:pt>
                <c:pt idx="1">
                  <c:v>4.9873568684914771E-2</c:v>
                </c:pt>
                <c:pt idx="2">
                  <c:v>4.9873568684914771E-2</c:v>
                </c:pt>
                <c:pt idx="3">
                  <c:v>4.9873568684914771E-2</c:v>
                </c:pt>
                <c:pt idx="4">
                  <c:v>4.9873568684914771E-2</c:v>
                </c:pt>
                <c:pt idx="5">
                  <c:v>4.9873568684914771E-2</c:v>
                </c:pt>
                <c:pt idx="6">
                  <c:v>4.9873568684914771E-2</c:v>
                </c:pt>
                <c:pt idx="7">
                  <c:v>4.9873568684914771E-2</c:v>
                </c:pt>
                <c:pt idx="8">
                  <c:v>4.9873568684914771E-2</c:v>
                </c:pt>
                <c:pt idx="9">
                  <c:v>4.9873568684914771E-2</c:v>
                </c:pt>
                <c:pt idx="10">
                  <c:v>4.9873568684914771E-2</c:v>
                </c:pt>
              </c:numCache>
            </c:numRef>
          </c:val>
          <c:smooth val="0"/>
          <c:extLst>
            <c:ext xmlns:c16="http://schemas.microsoft.com/office/drawing/2014/chart" uri="{C3380CC4-5D6E-409C-BE32-E72D297353CC}">
              <c16:uniqueId val="{00000017-F2FA-4D33-B024-4EA507ACCAF6}"/>
            </c:ext>
          </c:extLst>
        </c:ser>
        <c:dLbls>
          <c:showLegendKey val="0"/>
          <c:showVal val="0"/>
          <c:showCatName val="0"/>
          <c:showSerName val="0"/>
          <c:showPercent val="0"/>
          <c:showBubbleSize val="0"/>
        </c:dLbls>
        <c:marker val="1"/>
        <c:smooth val="0"/>
        <c:axId val="964200160"/>
        <c:axId val="964204864"/>
      </c:lineChart>
      <c:catAx>
        <c:axId val="964200160"/>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4864"/>
        <c:crosses val="autoZero"/>
        <c:auto val="1"/>
        <c:lblAlgn val="ctr"/>
        <c:lblOffset val="100"/>
        <c:noMultiLvlLbl val="0"/>
      </c:catAx>
      <c:valAx>
        <c:axId val="96420486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0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encours de dépôts par DR</a:t>
            </a:r>
          </a:p>
        </c:rich>
      </c:tx>
      <c:layout>
        <c:manualLayout>
          <c:xMode val="edge"/>
          <c:yMode val="edge"/>
          <c:x val="0.26593744531933511"/>
          <c:y val="2.857142857142857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9591-43FA-AB99-6641A507F7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détaillé'!$I$60,'Tableau détaillé'!$I$65)</c:f>
              <c:numCache>
                <c:formatCode>0.0%</c:formatCode>
                <c:ptCount val="2"/>
                <c:pt idx="0">
                  <c:v>6.1213171969016766E-2</c:v>
                </c:pt>
                <c:pt idx="1">
                  <c:v>1.268484546054971E-2</c:v>
                </c:pt>
              </c:numCache>
            </c:numRef>
          </c:val>
          <c:extLst>
            <c:ext xmlns:c16="http://schemas.microsoft.com/office/drawing/2014/chart" uri="{C3380CC4-5D6E-409C-BE32-E72D297353CC}">
              <c16:uniqueId val="{00000002-9591-43FA-AB99-6641A507F749}"/>
            </c:ext>
          </c:extLst>
        </c:ser>
        <c:dLbls>
          <c:showLegendKey val="0"/>
          <c:showVal val="0"/>
          <c:showCatName val="0"/>
          <c:showSerName val="0"/>
          <c:showPercent val="0"/>
          <c:showBubbleSize val="0"/>
        </c:dLbls>
        <c:gapWidth val="219"/>
        <c:overlap val="-27"/>
        <c:axId val="964204472"/>
        <c:axId val="964200552"/>
      </c:barChart>
      <c:lineChart>
        <c:grouping val="standard"/>
        <c:varyColors val="0"/>
        <c:ser>
          <c:idx val="1"/>
          <c:order val="1"/>
          <c:spPr>
            <a:ln w="28575" cap="rnd">
              <a:solidFill>
                <a:srgbClr val="C00000"/>
              </a:solidFill>
              <a:round/>
            </a:ln>
            <a:effectLst/>
          </c:spPr>
          <c:marker>
            <c:symbol val="none"/>
          </c:marker>
          <c:val>
            <c:numRef>
              <c:f>('Tableau détaillé'!$K$60,'Tableau détaillé'!$K$65)</c:f>
              <c:numCache>
                <c:formatCode>0.0%</c:formatCode>
                <c:ptCount val="2"/>
                <c:pt idx="0">
                  <c:v>4.9873568684914771E-2</c:v>
                </c:pt>
                <c:pt idx="1">
                  <c:v>4.9873568684914771E-2</c:v>
                </c:pt>
              </c:numCache>
            </c:numRef>
          </c:val>
          <c:smooth val="0"/>
          <c:extLst>
            <c:ext xmlns:c16="http://schemas.microsoft.com/office/drawing/2014/chart" uri="{C3380CC4-5D6E-409C-BE32-E72D297353CC}">
              <c16:uniqueId val="{00000003-9591-43FA-AB99-6641A507F749}"/>
            </c:ext>
          </c:extLst>
        </c:ser>
        <c:dLbls>
          <c:showLegendKey val="0"/>
          <c:showVal val="0"/>
          <c:showCatName val="0"/>
          <c:showSerName val="0"/>
          <c:showPercent val="0"/>
          <c:showBubbleSize val="0"/>
        </c:dLbls>
        <c:marker val="1"/>
        <c:smooth val="0"/>
        <c:axId val="964204472"/>
        <c:axId val="964200552"/>
      </c:lineChart>
      <c:catAx>
        <c:axId val="964204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0552"/>
        <c:crosses val="autoZero"/>
        <c:auto val="1"/>
        <c:lblAlgn val="ctr"/>
        <c:lblOffset val="100"/>
        <c:noMultiLvlLbl val="0"/>
      </c:catAx>
      <c:valAx>
        <c:axId val="96420055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4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des encours de credits</a:t>
            </a:r>
          </a:p>
        </c:rich>
      </c:tx>
      <c:layout>
        <c:manualLayout>
          <c:xMode val="edge"/>
          <c:yMode val="edge"/>
          <c:x val="0.27982633420822395"/>
          <c:y val="3.3333333333333333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0521447319085114"/>
          <c:w val="0.89920800524934386"/>
          <c:h val="0.66360179977502809"/>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A78B-4FF5-BDD6-89EFA2B4D59A}"/>
              </c:ext>
            </c:extLst>
          </c:dPt>
          <c:dPt>
            <c:idx val="1"/>
            <c:invertIfNegative val="0"/>
            <c:bubble3D val="0"/>
            <c:spPr>
              <a:solidFill>
                <a:schemeClr val="tx1"/>
              </a:solidFill>
              <a:ln>
                <a:noFill/>
              </a:ln>
              <a:effectLst/>
            </c:spPr>
            <c:extLst>
              <c:ext xmlns:c16="http://schemas.microsoft.com/office/drawing/2014/chart" uri="{C3380CC4-5D6E-409C-BE32-E72D297353CC}">
                <c16:uniqueId val="{00000003-A78B-4FF5-BDD6-89EFA2B4D59A}"/>
              </c:ext>
            </c:extLst>
          </c:dPt>
          <c:dPt>
            <c:idx val="2"/>
            <c:invertIfNegative val="0"/>
            <c:bubble3D val="0"/>
            <c:spPr>
              <a:solidFill>
                <a:schemeClr val="tx1"/>
              </a:solidFill>
              <a:ln>
                <a:noFill/>
              </a:ln>
              <a:effectLst/>
            </c:spPr>
            <c:extLst>
              <c:ext xmlns:c16="http://schemas.microsoft.com/office/drawing/2014/chart" uri="{C3380CC4-5D6E-409C-BE32-E72D297353CC}">
                <c16:uniqueId val="{00000005-A78B-4FF5-BDD6-89EFA2B4D59A}"/>
              </c:ext>
            </c:extLst>
          </c:dPt>
          <c:dPt>
            <c:idx val="3"/>
            <c:invertIfNegative val="0"/>
            <c:bubble3D val="0"/>
            <c:spPr>
              <a:solidFill>
                <a:schemeClr val="tx1"/>
              </a:solidFill>
              <a:ln>
                <a:noFill/>
              </a:ln>
              <a:effectLst/>
            </c:spPr>
            <c:extLst>
              <c:ext xmlns:c16="http://schemas.microsoft.com/office/drawing/2014/chart" uri="{C3380CC4-5D6E-409C-BE32-E72D297353CC}">
                <c16:uniqueId val="{00000007-A78B-4FF5-BDD6-89EFA2B4D59A}"/>
              </c:ext>
            </c:extLst>
          </c:dPt>
          <c:dPt>
            <c:idx val="4"/>
            <c:invertIfNegative val="0"/>
            <c:bubble3D val="0"/>
            <c:spPr>
              <a:solidFill>
                <a:schemeClr val="tx1"/>
              </a:solidFill>
              <a:ln>
                <a:noFill/>
              </a:ln>
              <a:effectLst/>
            </c:spPr>
            <c:extLst>
              <c:ext xmlns:c16="http://schemas.microsoft.com/office/drawing/2014/chart" uri="{C3380CC4-5D6E-409C-BE32-E72D297353CC}">
                <c16:uniqueId val="{00000009-A78B-4FF5-BDD6-89EFA2B4D59A}"/>
              </c:ext>
            </c:extLst>
          </c:dPt>
          <c:dPt>
            <c:idx val="5"/>
            <c:invertIfNegative val="0"/>
            <c:bubble3D val="0"/>
            <c:spPr>
              <a:solidFill>
                <a:schemeClr val="tx1"/>
              </a:solidFill>
              <a:ln>
                <a:noFill/>
              </a:ln>
              <a:effectLst/>
            </c:spPr>
            <c:extLst>
              <c:ext xmlns:c16="http://schemas.microsoft.com/office/drawing/2014/chart" uri="{C3380CC4-5D6E-409C-BE32-E72D297353CC}">
                <c16:uniqueId val="{0000000B-A78B-4FF5-BDD6-89EFA2B4D59A}"/>
              </c:ext>
            </c:extLst>
          </c:dPt>
          <c:dPt>
            <c:idx val="6"/>
            <c:invertIfNegative val="0"/>
            <c:bubble3D val="0"/>
            <c:spPr>
              <a:solidFill>
                <a:schemeClr val="tx1"/>
              </a:solidFill>
              <a:ln>
                <a:noFill/>
              </a:ln>
              <a:effectLst/>
            </c:spPr>
            <c:extLst>
              <c:ext xmlns:c16="http://schemas.microsoft.com/office/drawing/2014/chart" uri="{C3380CC4-5D6E-409C-BE32-E72D297353CC}">
                <c16:uniqueId val="{0000000D-A78B-4FF5-BDD6-89EFA2B4D59A}"/>
              </c:ext>
            </c:extLst>
          </c:dPt>
          <c:dPt>
            <c:idx val="7"/>
            <c:invertIfNegative val="0"/>
            <c:bubble3D val="0"/>
            <c:spPr>
              <a:solidFill>
                <a:srgbClr val="FF0000"/>
              </a:solidFill>
              <a:ln>
                <a:noFill/>
              </a:ln>
              <a:effectLst/>
            </c:spPr>
            <c:extLst>
              <c:ext xmlns:c16="http://schemas.microsoft.com/office/drawing/2014/chart" uri="{C3380CC4-5D6E-409C-BE32-E72D297353CC}">
                <c16:uniqueId val="{0000000F-A78B-4FF5-BDD6-89EFA2B4D59A}"/>
              </c:ext>
            </c:extLst>
          </c:dPt>
          <c:dPt>
            <c:idx val="8"/>
            <c:invertIfNegative val="0"/>
            <c:bubble3D val="0"/>
            <c:spPr>
              <a:solidFill>
                <a:srgbClr val="FF0000"/>
              </a:solidFill>
              <a:ln>
                <a:noFill/>
              </a:ln>
              <a:effectLst/>
            </c:spPr>
            <c:extLst>
              <c:ext xmlns:c16="http://schemas.microsoft.com/office/drawing/2014/chart" uri="{C3380CC4-5D6E-409C-BE32-E72D297353CC}">
                <c16:uniqueId val="{00000011-A78B-4FF5-BDD6-89EFA2B4D59A}"/>
              </c:ext>
            </c:extLst>
          </c:dPt>
          <c:dPt>
            <c:idx val="9"/>
            <c:invertIfNegative val="0"/>
            <c:bubble3D val="0"/>
            <c:spPr>
              <a:solidFill>
                <a:srgbClr val="FF0000"/>
              </a:solidFill>
              <a:ln>
                <a:noFill/>
              </a:ln>
              <a:effectLst/>
            </c:spPr>
            <c:extLst>
              <c:ext xmlns:c16="http://schemas.microsoft.com/office/drawing/2014/chart" uri="{C3380CC4-5D6E-409C-BE32-E72D297353CC}">
                <c16:uniqueId val="{00000013-A78B-4FF5-BDD6-89EFA2B4D59A}"/>
              </c:ext>
            </c:extLst>
          </c:dPt>
          <c:dPt>
            <c:idx val="10"/>
            <c:invertIfNegative val="0"/>
            <c:bubble3D val="0"/>
            <c:spPr>
              <a:solidFill>
                <a:srgbClr val="FF0000"/>
              </a:solidFill>
              <a:ln>
                <a:noFill/>
              </a:ln>
              <a:effectLst/>
            </c:spPr>
            <c:extLst>
              <c:ext xmlns:c16="http://schemas.microsoft.com/office/drawing/2014/chart" uri="{C3380CC4-5D6E-409C-BE32-E72D297353CC}">
                <c16:uniqueId val="{00000015-A78B-4FF5-BDD6-89EFA2B4D59A}"/>
              </c:ext>
            </c:extLst>
          </c:dPt>
          <c:dLbls>
            <c:dLbl>
              <c:idx val="0"/>
              <c:layout>
                <c:manualLayout>
                  <c:x val="0"/>
                  <c:y val="7.228346456692913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8B-4FF5-BDD6-89EFA2B4D59A}"/>
                </c:ext>
              </c:extLst>
            </c:dLbl>
            <c:dLbl>
              <c:idx val="2"/>
              <c:layout>
                <c:manualLayout>
                  <c:x val="0"/>
                  <c:y val="-9.44038820974182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78B-4FF5-BDD6-89EFA2B4D59A}"/>
                </c:ext>
              </c:extLst>
            </c:dLbl>
            <c:dLbl>
              <c:idx val="5"/>
              <c:layout>
                <c:manualLayout>
                  <c:x val="1.4232721832262091E-2"/>
                  <c:y val="-7.39070947795308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78B-4FF5-BDD6-89EFA2B4D59A}"/>
                </c:ext>
              </c:extLst>
            </c:dLbl>
            <c:dLbl>
              <c:idx val="6"/>
              <c:layout>
                <c:manualLayout>
                  <c:x val="2.7777777777777779E-3"/>
                  <c:y val="7.980877390326166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78B-4FF5-BDD6-89EFA2B4D59A}"/>
                </c:ext>
              </c:extLst>
            </c:dLbl>
            <c:dLbl>
              <c:idx val="8"/>
              <c:layout>
                <c:manualLayout>
                  <c:x val="2.7953729817810817E-3"/>
                  <c:y val="-2.88972925540402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78B-4FF5-BDD6-89EFA2B4D59A}"/>
                </c:ext>
              </c:extLst>
            </c:dLbl>
            <c:dLbl>
              <c:idx val="10"/>
              <c:layout>
                <c:manualLayout>
                  <c:x val="-1.0562292934124084E-16"/>
                  <c:y val="0.11235833560245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78B-4FF5-BDD6-89EFA2B4D59A}"/>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détaillé'!$I$21:$I$27,'Tableau détaillé'!$I$29:$I$32)</c:f>
              <c:numCache>
                <c:formatCode>0.0%</c:formatCode>
                <c:ptCount val="11"/>
                <c:pt idx="0">
                  <c:v>0.10840435009238347</c:v>
                </c:pt>
                <c:pt idx="1">
                  <c:v>0.14012865638316296</c:v>
                </c:pt>
                <c:pt idx="2">
                  <c:v>0.1023929752888677</c:v>
                </c:pt>
                <c:pt idx="3">
                  <c:v>-7.5575933222685854E-2</c:v>
                </c:pt>
                <c:pt idx="4">
                  <c:v>-2.5555901553273253E-2</c:v>
                </c:pt>
                <c:pt idx="5">
                  <c:v>-6.1268795711962643E-2</c:v>
                </c:pt>
                <c:pt idx="6">
                  <c:v>8.5015698568648101E-2</c:v>
                </c:pt>
                <c:pt idx="7">
                  <c:v>0.13912103246456953</c:v>
                </c:pt>
                <c:pt idx="8">
                  <c:v>0.12616422810788075</c:v>
                </c:pt>
                <c:pt idx="9">
                  <c:v>0.20442466492871336</c:v>
                </c:pt>
                <c:pt idx="10">
                  <c:v>1.0390984116237734E-2</c:v>
                </c:pt>
              </c:numCache>
            </c:numRef>
          </c:val>
          <c:extLst>
            <c:ext xmlns:c16="http://schemas.microsoft.com/office/drawing/2014/chart" uri="{C3380CC4-5D6E-409C-BE32-E72D297353CC}">
              <c16:uniqueId val="{00000016-A78B-4FF5-BDD6-89EFA2B4D59A}"/>
            </c:ext>
          </c:extLst>
        </c:ser>
        <c:dLbls>
          <c:showLegendKey val="0"/>
          <c:showVal val="0"/>
          <c:showCatName val="0"/>
          <c:showSerName val="0"/>
          <c:showPercent val="0"/>
          <c:showBubbleSize val="0"/>
        </c:dLbls>
        <c:gapWidth val="219"/>
        <c:overlap val="-27"/>
        <c:axId val="964201728"/>
        <c:axId val="964202512"/>
      </c:barChart>
      <c:lineChart>
        <c:grouping val="standard"/>
        <c:varyColors val="0"/>
        <c:ser>
          <c:idx val="1"/>
          <c:order val="1"/>
          <c:spPr>
            <a:ln w="28575" cap="rnd">
              <a:solidFill>
                <a:srgbClr val="C00000"/>
              </a:solidFill>
              <a:round/>
            </a:ln>
            <a:effectLst/>
          </c:spPr>
          <c:marker>
            <c:symbol val="none"/>
          </c:marker>
          <c:val>
            <c:numRef>
              <c:f>('Tableau détaillé'!$K$21:$K$27,'Tableau détaillé'!$K$29:$K$32)</c:f>
              <c:numCache>
                <c:formatCode>0.0%</c:formatCode>
                <c:ptCount val="11"/>
                <c:pt idx="0">
                  <c:v>7.8157129242167001E-2</c:v>
                </c:pt>
                <c:pt idx="1">
                  <c:v>7.8157129242167001E-2</c:v>
                </c:pt>
                <c:pt idx="2">
                  <c:v>7.8157129242167001E-2</c:v>
                </c:pt>
                <c:pt idx="3">
                  <c:v>7.8157129242167001E-2</c:v>
                </c:pt>
                <c:pt idx="4">
                  <c:v>7.8157129242167001E-2</c:v>
                </c:pt>
                <c:pt idx="5">
                  <c:v>7.8157129242167001E-2</c:v>
                </c:pt>
                <c:pt idx="6">
                  <c:v>7.8157129242167001E-2</c:v>
                </c:pt>
                <c:pt idx="7">
                  <c:v>7.8157129242167001E-2</c:v>
                </c:pt>
                <c:pt idx="8">
                  <c:v>7.8157129242167001E-2</c:v>
                </c:pt>
                <c:pt idx="9">
                  <c:v>7.8157129242167001E-2</c:v>
                </c:pt>
                <c:pt idx="10">
                  <c:v>7.8157129242167001E-2</c:v>
                </c:pt>
              </c:numCache>
            </c:numRef>
          </c:val>
          <c:smooth val="0"/>
          <c:extLst>
            <c:ext xmlns:c16="http://schemas.microsoft.com/office/drawing/2014/chart" uri="{C3380CC4-5D6E-409C-BE32-E72D297353CC}">
              <c16:uniqueId val="{00000017-A78B-4FF5-BDD6-89EFA2B4D59A}"/>
            </c:ext>
          </c:extLst>
        </c:ser>
        <c:dLbls>
          <c:showLegendKey val="0"/>
          <c:showVal val="0"/>
          <c:showCatName val="0"/>
          <c:showSerName val="0"/>
          <c:showPercent val="0"/>
          <c:showBubbleSize val="0"/>
        </c:dLbls>
        <c:marker val="1"/>
        <c:smooth val="0"/>
        <c:axId val="964201728"/>
        <c:axId val="964202512"/>
      </c:lineChart>
      <c:catAx>
        <c:axId val="96420172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2512"/>
        <c:crosses val="autoZero"/>
        <c:auto val="1"/>
        <c:lblAlgn val="ctr"/>
        <c:lblOffset val="100"/>
        <c:noMultiLvlLbl val="0"/>
      </c:catAx>
      <c:valAx>
        <c:axId val="96420251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17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des</a:t>
            </a:r>
            <a:r>
              <a:rPr lang="fr-FR" baseline="0"/>
              <a:t> encours </a:t>
            </a:r>
            <a:r>
              <a:rPr lang="fr-FR"/>
              <a:t>de credits par DR</a:t>
            </a:r>
          </a:p>
        </c:rich>
      </c:tx>
      <c:layout>
        <c:manualLayout>
          <c:xMode val="edge"/>
          <c:yMode val="edge"/>
          <c:x val="0.24371522309711285"/>
          <c:y val="2.8571428571428571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4151143607049119"/>
          <c:w val="0.89920800524934386"/>
          <c:h val="0.70797112860892386"/>
        </c:manualLayout>
      </c:layout>
      <c:barChart>
        <c:barDir val="col"/>
        <c:grouping val="clustered"/>
        <c:varyColors val="0"/>
        <c:ser>
          <c:idx val="0"/>
          <c:order val="0"/>
          <c:spPr>
            <a:solidFill>
              <a:schemeClr val="tx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D052-4FF7-B16D-F2324D986D4E}"/>
              </c:ext>
            </c:extLst>
          </c:dPt>
          <c:dLbls>
            <c:dLbl>
              <c:idx val="0"/>
              <c:layout>
                <c:manualLayout>
                  <c:x val="-5.5555643764679759E-2"/>
                  <c:y val="-2.9829004412725907E-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052-4FF7-B16D-F2324D986D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détaillé'!$I$28,'Tableau détaillé'!$I$33)</c:f>
              <c:numCache>
                <c:formatCode>0.0%</c:formatCode>
                <c:ptCount val="2"/>
                <c:pt idx="0">
                  <c:v>6.0507364885236337E-2</c:v>
                </c:pt>
                <c:pt idx="1">
                  <c:v>0.13202665705230698</c:v>
                </c:pt>
              </c:numCache>
            </c:numRef>
          </c:val>
          <c:extLst>
            <c:ext xmlns:c16="http://schemas.microsoft.com/office/drawing/2014/chart" uri="{C3380CC4-5D6E-409C-BE32-E72D297353CC}">
              <c16:uniqueId val="{00000003-D052-4FF7-B16D-F2324D986D4E}"/>
            </c:ext>
          </c:extLst>
        </c:ser>
        <c:dLbls>
          <c:showLegendKey val="0"/>
          <c:showVal val="0"/>
          <c:showCatName val="0"/>
          <c:showSerName val="0"/>
          <c:showPercent val="0"/>
          <c:showBubbleSize val="0"/>
        </c:dLbls>
        <c:gapWidth val="219"/>
        <c:overlap val="-27"/>
        <c:axId val="964202120"/>
        <c:axId val="964202904"/>
      </c:barChart>
      <c:lineChart>
        <c:grouping val="standard"/>
        <c:varyColors val="0"/>
        <c:ser>
          <c:idx val="1"/>
          <c:order val="1"/>
          <c:spPr>
            <a:ln w="28575" cap="rnd">
              <a:solidFill>
                <a:srgbClr val="C00000"/>
              </a:solidFill>
              <a:round/>
            </a:ln>
            <a:effectLst/>
          </c:spPr>
          <c:marker>
            <c:symbol val="none"/>
          </c:marker>
          <c:val>
            <c:numRef>
              <c:f>('Tableau détaillé'!$K$28,'Tableau détaillé'!$K$33)</c:f>
              <c:numCache>
                <c:formatCode>0.0%</c:formatCode>
                <c:ptCount val="2"/>
                <c:pt idx="0">
                  <c:v>7.8157129242167001E-2</c:v>
                </c:pt>
                <c:pt idx="1">
                  <c:v>7.8157129242167001E-2</c:v>
                </c:pt>
              </c:numCache>
            </c:numRef>
          </c:val>
          <c:smooth val="0"/>
          <c:extLst>
            <c:ext xmlns:c16="http://schemas.microsoft.com/office/drawing/2014/chart" uri="{C3380CC4-5D6E-409C-BE32-E72D297353CC}">
              <c16:uniqueId val="{00000004-D052-4FF7-B16D-F2324D986D4E}"/>
            </c:ext>
          </c:extLst>
        </c:ser>
        <c:dLbls>
          <c:showLegendKey val="0"/>
          <c:showVal val="0"/>
          <c:showCatName val="0"/>
          <c:showSerName val="0"/>
          <c:showPercent val="0"/>
          <c:showBubbleSize val="0"/>
        </c:dLbls>
        <c:marker val="1"/>
        <c:smooth val="0"/>
        <c:axId val="964202120"/>
        <c:axId val="964202904"/>
      </c:lineChart>
      <c:catAx>
        <c:axId val="9642021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2904"/>
        <c:crosses val="autoZero"/>
        <c:auto val="1"/>
        <c:lblAlgn val="ctr"/>
        <c:lblOffset val="100"/>
        <c:noMultiLvlLbl val="0"/>
      </c:catAx>
      <c:valAx>
        <c:axId val="96420290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2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 la part des clients actifs </a:t>
            </a:r>
          </a:p>
          <a:p>
            <a:pPr>
              <a:defRPr sz="1200" b="1"/>
            </a:pPr>
            <a:r>
              <a:rPr lang="fr-FR"/>
              <a:t>dans le portefeuille</a:t>
            </a:r>
          </a:p>
        </c:rich>
      </c:tx>
      <c:layout>
        <c:manualLayout>
          <c:xMode val="edge"/>
          <c:yMode val="edge"/>
          <c:x val="0.21641077878212903"/>
          <c:y val="2.394202327236838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3957331566306913"/>
          <c:w val="0.89920800524934386"/>
          <c:h val="0.63518080518898601"/>
        </c:manualLayout>
      </c:layout>
      <c:barChart>
        <c:barDir val="col"/>
        <c:grouping val="clustered"/>
        <c:varyColors val="0"/>
        <c:ser>
          <c:idx val="0"/>
          <c:order val="0"/>
          <c:tx>
            <c:v>déc-19</c:v>
          </c:tx>
          <c:spPr>
            <a:solidFill>
              <a:schemeClr val="accent1"/>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01-4802-4CA8-B028-1475BA0901FE}"/>
              </c:ext>
            </c:extLst>
          </c:dPt>
          <c:dPt>
            <c:idx val="1"/>
            <c:invertIfNegative val="0"/>
            <c:bubble3D val="0"/>
            <c:spPr>
              <a:solidFill>
                <a:sysClr val="windowText" lastClr="000000"/>
              </a:solidFill>
              <a:ln>
                <a:noFill/>
              </a:ln>
              <a:effectLst/>
            </c:spPr>
            <c:extLst>
              <c:ext xmlns:c16="http://schemas.microsoft.com/office/drawing/2014/chart" uri="{C3380CC4-5D6E-409C-BE32-E72D297353CC}">
                <c16:uniqueId val="{00000003-4802-4CA8-B028-1475BA0901FE}"/>
              </c:ext>
            </c:extLst>
          </c:dPt>
          <c:dPt>
            <c:idx val="2"/>
            <c:invertIfNegative val="0"/>
            <c:bubble3D val="0"/>
            <c:spPr>
              <a:solidFill>
                <a:sysClr val="windowText" lastClr="000000"/>
              </a:solidFill>
              <a:ln>
                <a:noFill/>
              </a:ln>
              <a:effectLst/>
            </c:spPr>
            <c:extLst>
              <c:ext xmlns:c16="http://schemas.microsoft.com/office/drawing/2014/chart" uri="{C3380CC4-5D6E-409C-BE32-E72D297353CC}">
                <c16:uniqueId val="{00000005-4802-4CA8-B028-1475BA0901FE}"/>
              </c:ext>
            </c:extLst>
          </c:dPt>
          <c:dPt>
            <c:idx val="3"/>
            <c:invertIfNegative val="0"/>
            <c:bubble3D val="0"/>
            <c:spPr>
              <a:solidFill>
                <a:sysClr val="windowText" lastClr="000000"/>
              </a:solidFill>
              <a:ln>
                <a:noFill/>
              </a:ln>
              <a:effectLst/>
            </c:spPr>
            <c:extLst>
              <c:ext xmlns:c16="http://schemas.microsoft.com/office/drawing/2014/chart" uri="{C3380CC4-5D6E-409C-BE32-E72D297353CC}">
                <c16:uniqueId val="{00000007-4802-4CA8-B028-1475BA0901FE}"/>
              </c:ext>
            </c:extLst>
          </c:dPt>
          <c:dPt>
            <c:idx val="4"/>
            <c:invertIfNegative val="0"/>
            <c:bubble3D val="0"/>
            <c:spPr>
              <a:solidFill>
                <a:sysClr val="windowText" lastClr="000000"/>
              </a:solidFill>
              <a:ln>
                <a:noFill/>
              </a:ln>
              <a:effectLst/>
            </c:spPr>
            <c:extLst>
              <c:ext xmlns:c16="http://schemas.microsoft.com/office/drawing/2014/chart" uri="{C3380CC4-5D6E-409C-BE32-E72D297353CC}">
                <c16:uniqueId val="{00000009-4802-4CA8-B028-1475BA0901FE}"/>
              </c:ext>
            </c:extLst>
          </c:dPt>
          <c:dPt>
            <c:idx val="5"/>
            <c:invertIfNegative val="0"/>
            <c:bubble3D val="0"/>
            <c:spPr>
              <a:solidFill>
                <a:sysClr val="windowText" lastClr="000000"/>
              </a:solidFill>
              <a:ln>
                <a:noFill/>
              </a:ln>
              <a:effectLst/>
            </c:spPr>
            <c:extLst>
              <c:ext xmlns:c16="http://schemas.microsoft.com/office/drawing/2014/chart" uri="{C3380CC4-5D6E-409C-BE32-E72D297353CC}">
                <c16:uniqueId val="{0000000B-4802-4CA8-B028-1475BA0901FE}"/>
              </c:ext>
            </c:extLst>
          </c:dPt>
          <c:dPt>
            <c:idx val="6"/>
            <c:invertIfNegative val="0"/>
            <c:bubble3D val="0"/>
            <c:spPr>
              <a:solidFill>
                <a:sysClr val="windowText" lastClr="000000"/>
              </a:solidFill>
              <a:ln>
                <a:noFill/>
              </a:ln>
              <a:effectLst/>
            </c:spPr>
            <c:extLst>
              <c:ext xmlns:c16="http://schemas.microsoft.com/office/drawing/2014/chart" uri="{C3380CC4-5D6E-409C-BE32-E72D297353CC}">
                <c16:uniqueId val="{0000000D-4802-4CA8-B028-1475BA0901FE}"/>
              </c:ext>
            </c:extLst>
          </c:dPt>
          <c:dPt>
            <c:idx val="7"/>
            <c:invertIfNegative val="0"/>
            <c:bubble3D val="0"/>
            <c:spPr>
              <a:solidFill>
                <a:srgbClr val="FF0000"/>
              </a:solidFill>
              <a:ln>
                <a:noFill/>
              </a:ln>
              <a:effectLst/>
            </c:spPr>
            <c:extLst>
              <c:ext xmlns:c16="http://schemas.microsoft.com/office/drawing/2014/chart" uri="{C3380CC4-5D6E-409C-BE32-E72D297353CC}">
                <c16:uniqueId val="{0000000F-4802-4CA8-B028-1475BA0901FE}"/>
              </c:ext>
            </c:extLst>
          </c:dPt>
          <c:dPt>
            <c:idx val="8"/>
            <c:invertIfNegative val="0"/>
            <c:bubble3D val="0"/>
            <c:spPr>
              <a:solidFill>
                <a:srgbClr val="FF0000"/>
              </a:solidFill>
              <a:ln>
                <a:noFill/>
              </a:ln>
              <a:effectLst/>
            </c:spPr>
            <c:extLst>
              <c:ext xmlns:c16="http://schemas.microsoft.com/office/drawing/2014/chart" uri="{C3380CC4-5D6E-409C-BE32-E72D297353CC}">
                <c16:uniqueId val="{00000011-4802-4CA8-B028-1475BA0901FE}"/>
              </c:ext>
            </c:extLst>
          </c:dPt>
          <c:dPt>
            <c:idx val="9"/>
            <c:invertIfNegative val="0"/>
            <c:bubble3D val="0"/>
            <c:spPr>
              <a:solidFill>
                <a:srgbClr val="FF0000"/>
              </a:solidFill>
              <a:ln>
                <a:noFill/>
              </a:ln>
              <a:effectLst/>
            </c:spPr>
            <c:extLst>
              <c:ext xmlns:c16="http://schemas.microsoft.com/office/drawing/2014/chart" uri="{C3380CC4-5D6E-409C-BE32-E72D297353CC}">
                <c16:uniqueId val="{00000013-4802-4CA8-B028-1475BA0901FE}"/>
              </c:ext>
            </c:extLst>
          </c:dPt>
          <c:dPt>
            <c:idx val="10"/>
            <c:invertIfNegative val="0"/>
            <c:bubble3D val="0"/>
            <c:spPr>
              <a:solidFill>
                <a:srgbClr val="FF0000"/>
              </a:solidFill>
              <a:ln>
                <a:noFill/>
              </a:ln>
              <a:effectLst/>
            </c:spPr>
            <c:extLst>
              <c:ext xmlns:c16="http://schemas.microsoft.com/office/drawing/2014/chart" uri="{C3380CC4-5D6E-409C-BE32-E72D297353CC}">
                <c16:uniqueId val="{00000015-4802-4CA8-B028-1475BA0901FE}"/>
              </c:ext>
            </c:extLst>
          </c:dPt>
          <c:dLbls>
            <c:dLbl>
              <c:idx val="2"/>
              <c:layout>
                <c:manualLayout>
                  <c:x val="-3.0626756736077815E-2"/>
                  <c:y val="-1.85362628412879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02-4CA8-B028-1475BA0901FE}"/>
                </c:ext>
              </c:extLst>
            </c:dLbl>
            <c:dLbl>
              <c:idx val="3"/>
              <c:layout>
                <c:manualLayout>
                  <c:x val="-2.7842506123707103E-2"/>
                  <c:y val="-4.6340657103219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02-4CA8-B028-1475BA0901FE}"/>
                </c:ext>
              </c:extLst>
            </c:dLbl>
            <c:dLbl>
              <c:idx val="4"/>
              <c:layout>
                <c:manualLayout>
                  <c:x val="-8.3527518371121316E-3"/>
                  <c:y val="-2.31703285516099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802-4CA8-B028-1475BA0901FE}"/>
                </c:ext>
              </c:extLst>
            </c:dLbl>
            <c:dLbl>
              <c:idx val="5"/>
              <c:layout>
                <c:manualLayout>
                  <c:x val="-1.9489754286594975E-2"/>
                  <c:y val="-2.780439426193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802-4CA8-B028-1475BA0901FE}"/>
                </c:ext>
              </c:extLst>
            </c:dLbl>
            <c:dLbl>
              <c:idx val="6"/>
              <c:layout>
                <c:manualLayout>
                  <c:x val="-1.67055036742242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802-4CA8-B028-1475BA0901FE}"/>
                </c:ext>
              </c:extLst>
            </c:dLbl>
            <c:dLbl>
              <c:idx val="10"/>
              <c:layout>
                <c:manualLayout>
                  <c:x val="-3.8979508573190047E-2"/>
                  <c:y val="3.24384599722539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802-4CA8-B028-1475BA0901F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détaillé'!$D$286:$D$292,'Tableau détaillé'!$D$294:$D$297)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détaillé'!$F$286:$F$292,'Tableau détaillé'!$F$294:$F$297)</c:f>
              <c:numCache>
                <c:formatCode>0.0%</c:formatCode>
                <c:ptCount val="11"/>
                <c:pt idx="0">
                  <c:v>0.61575319233400005</c:v>
                </c:pt>
                <c:pt idx="1">
                  <c:v>0.56308408363200002</c:v>
                </c:pt>
                <c:pt idx="2">
                  <c:v>0.522730200132</c:v>
                </c:pt>
                <c:pt idx="3">
                  <c:v>0.60824220242100002</c:v>
                </c:pt>
                <c:pt idx="4">
                  <c:v>0.68196375566300005</c:v>
                </c:pt>
                <c:pt idx="5">
                  <c:v>0.629868193475</c:v>
                </c:pt>
                <c:pt idx="6">
                  <c:v>0.78198373785599995</c:v>
                </c:pt>
                <c:pt idx="7">
                  <c:v>0.83553609187699995</c:v>
                </c:pt>
                <c:pt idx="8">
                  <c:v>0.718983507518</c:v>
                </c:pt>
                <c:pt idx="9">
                  <c:v>0.68711339254299997</c:v>
                </c:pt>
                <c:pt idx="10">
                  <c:v>0.78696602571200003</c:v>
                </c:pt>
              </c:numCache>
            </c:numRef>
          </c:val>
          <c:extLst>
            <c:ext xmlns:c16="http://schemas.microsoft.com/office/drawing/2014/chart" uri="{C3380CC4-5D6E-409C-BE32-E72D297353CC}">
              <c16:uniqueId val="{00000016-4802-4CA8-B028-1475BA0901FE}"/>
            </c:ext>
          </c:extLst>
        </c:ser>
        <c:ser>
          <c:idx val="1"/>
          <c:order val="1"/>
          <c:tx>
            <c:v>Mars 2020</c:v>
          </c:tx>
          <c:spPr>
            <a:solidFill>
              <a:schemeClr val="accent2"/>
            </a:solidFill>
            <a:ln>
              <a:noFill/>
            </a:ln>
            <a:effectLst/>
          </c:spPr>
          <c:invertIfNegative val="0"/>
          <c:dPt>
            <c:idx val="0"/>
            <c:invertIfNegative val="0"/>
            <c:bubble3D val="0"/>
            <c:spPr>
              <a:solidFill>
                <a:srgbClr val="E7E6E6">
                  <a:lumMod val="75000"/>
                </a:srgbClr>
              </a:solidFill>
              <a:ln>
                <a:noFill/>
              </a:ln>
              <a:effectLst/>
            </c:spPr>
            <c:extLst>
              <c:ext xmlns:c16="http://schemas.microsoft.com/office/drawing/2014/chart" uri="{C3380CC4-5D6E-409C-BE32-E72D297353CC}">
                <c16:uniqueId val="{00000018-4802-4CA8-B028-1475BA0901FE}"/>
              </c:ext>
            </c:extLst>
          </c:dPt>
          <c:dPt>
            <c:idx val="1"/>
            <c:invertIfNegative val="0"/>
            <c:bubble3D val="0"/>
            <c:spPr>
              <a:solidFill>
                <a:srgbClr val="E7E6E6">
                  <a:lumMod val="75000"/>
                </a:srgbClr>
              </a:solidFill>
              <a:ln>
                <a:noFill/>
              </a:ln>
              <a:effectLst/>
            </c:spPr>
            <c:extLst>
              <c:ext xmlns:c16="http://schemas.microsoft.com/office/drawing/2014/chart" uri="{C3380CC4-5D6E-409C-BE32-E72D297353CC}">
                <c16:uniqueId val="{0000001A-4802-4CA8-B028-1475BA0901FE}"/>
              </c:ext>
            </c:extLst>
          </c:dPt>
          <c:dPt>
            <c:idx val="2"/>
            <c:invertIfNegative val="0"/>
            <c:bubble3D val="0"/>
            <c:spPr>
              <a:solidFill>
                <a:srgbClr val="E7E6E6">
                  <a:lumMod val="75000"/>
                </a:srgbClr>
              </a:solidFill>
              <a:ln>
                <a:noFill/>
              </a:ln>
              <a:effectLst/>
            </c:spPr>
            <c:extLst>
              <c:ext xmlns:c16="http://schemas.microsoft.com/office/drawing/2014/chart" uri="{C3380CC4-5D6E-409C-BE32-E72D297353CC}">
                <c16:uniqueId val="{0000001C-4802-4CA8-B028-1475BA0901FE}"/>
              </c:ext>
            </c:extLst>
          </c:dPt>
          <c:dPt>
            <c:idx val="3"/>
            <c:invertIfNegative val="0"/>
            <c:bubble3D val="0"/>
            <c:spPr>
              <a:solidFill>
                <a:srgbClr val="E7E6E6">
                  <a:lumMod val="75000"/>
                </a:srgbClr>
              </a:solidFill>
              <a:ln>
                <a:noFill/>
              </a:ln>
              <a:effectLst/>
            </c:spPr>
            <c:extLst>
              <c:ext xmlns:c16="http://schemas.microsoft.com/office/drawing/2014/chart" uri="{C3380CC4-5D6E-409C-BE32-E72D297353CC}">
                <c16:uniqueId val="{0000001E-4802-4CA8-B028-1475BA0901FE}"/>
              </c:ext>
            </c:extLst>
          </c:dPt>
          <c:dPt>
            <c:idx val="4"/>
            <c:invertIfNegative val="0"/>
            <c:bubble3D val="0"/>
            <c:spPr>
              <a:solidFill>
                <a:srgbClr val="E7E6E6">
                  <a:lumMod val="75000"/>
                </a:srgbClr>
              </a:solidFill>
              <a:ln>
                <a:noFill/>
              </a:ln>
              <a:effectLst/>
            </c:spPr>
            <c:extLst>
              <c:ext xmlns:c16="http://schemas.microsoft.com/office/drawing/2014/chart" uri="{C3380CC4-5D6E-409C-BE32-E72D297353CC}">
                <c16:uniqueId val="{00000020-4802-4CA8-B028-1475BA0901FE}"/>
              </c:ext>
            </c:extLst>
          </c:dPt>
          <c:dPt>
            <c:idx val="5"/>
            <c:invertIfNegative val="0"/>
            <c:bubble3D val="0"/>
            <c:spPr>
              <a:solidFill>
                <a:srgbClr val="E7E6E6">
                  <a:lumMod val="75000"/>
                </a:srgbClr>
              </a:solidFill>
              <a:ln>
                <a:noFill/>
              </a:ln>
              <a:effectLst/>
            </c:spPr>
            <c:extLst>
              <c:ext xmlns:c16="http://schemas.microsoft.com/office/drawing/2014/chart" uri="{C3380CC4-5D6E-409C-BE32-E72D297353CC}">
                <c16:uniqueId val="{00000022-4802-4CA8-B028-1475BA0901FE}"/>
              </c:ext>
            </c:extLst>
          </c:dPt>
          <c:dPt>
            <c:idx val="6"/>
            <c:invertIfNegative val="0"/>
            <c:bubble3D val="0"/>
            <c:spPr>
              <a:solidFill>
                <a:srgbClr val="E7E6E6">
                  <a:lumMod val="75000"/>
                </a:srgbClr>
              </a:solidFill>
              <a:ln>
                <a:noFill/>
              </a:ln>
              <a:effectLst/>
            </c:spPr>
            <c:extLst>
              <c:ext xmlns:c16="http://schemas.microsoft.com/office/drawing/2014/chart" uri="{C3380CC4-5D6E-409C-BE32-E72D297353CC}">
                <c16:uniqueId val="{00000024-4802-4CA8-B028-1475BA0901FE}"/>
              </c:ext>
            </c:extLst>
          </c:dPt>
          <c:dPt>
            <c:idx val="7"/>
            <c:invertIfNegative val="0"/>
            <c:bubble3D val="0"/>
            <c:spPr>
              <a:solidFill>
                <a:srgbClr val="FFA7A7"/>
              </a:solidFill>
              <a:ln>
                <a:noFill/>
              </a:ln>
              <a:effectLst/>
            </c:spPr>
            <c:extLst>
              <c:ext xmlns:c16="http://schemas.microsoft.com/office/drawing/2014/chart" uri="{C3380CC4-5D6E-409C-BE32-E72D297353CC}">
                <c16:uniqueId val="{00000026-4802-4CA8-B028-1475BA0901FE}"/>
              </c:ext>
            </c:extLst>
          </c:dPt>
          <c:dPt>
            <c:idx val="8"/>
            <c:invertIfNegative val="0"/>
            <c:bubble3D val="0"/>
            <c:spPr>
              <a:solidFill>
                <a:srgbClr val="FFA7A7"/>
              </a:solidFill>
              <a:ln>
                <a:noFill/>
              </a:ln>
              <a:effectLst/>
            </c:spPr>
            <c:extLst>
              <c:ext xmlns:c16="http://schemas.microsoft.com/office/drawing/2014/chart" uri="{C3380CC4-5D6E-409C-BE32-E72D297353CC}">
                <c16:uniqueId val="{00000028-4802-4CA8-B028-1475BA0901FE}"/>
              </c:ext>
            </c:extLst>
          </c:dPt>
          <c:dPt>
            <c:idx val="9"/>
            <c:invertIfNegative val="0"/>
            <c:bubble3D val="0"/>
            <c:spPr>
              <a:solidFill>
                <a:srgbClr val="FFA7A7"/>
              </a:solidFill>
              <a:ln>
                <a:noFill/>
              </a:ln>
              <a:effectLst/>
            </c:spPr>
            <c:extLst>
              <c:ext xmlns:c16="http://schemas.microsoft.com/office/drawing/2014/chart" uri="{C3380CC4-5D6E-409C-BE32-E72D297353CC}">
                <c16:uniqueId val="{0000002A-4802-4CA8-B028-1475BA0901FE}"/>
              </c:ext>
            </c:extLst>
          </c:dPt>
          <c:dPt>
            <c:idx val="10"/>
            <c:invertIfNegative val="0"/>
            <c:bubble3D val="0"/>
            <c:spPr>
              <a:solidFill>
                <a:srgbClr val="FFA7A7"/>
              </a:solidFill>
              <a:ln>
                <a:noFill/>
              </a:ln>
              <a:effectLst/>
            </c:spPr>
            <c:extLst>
              <c:ext xmlns:c16="http://schemas.microsoft.com/office/drawing/2014/chart" uri="{C3380CC4-5D6E-409C-BE32-E72D297353CC}">
                <c16:uniqueId val="{0000002C-4802-4CA8-B028-1475BA0901FE}"/>
              </c:ext>
            </c:extLst>
          </c:dPt>
          <c:dLbls>
            <c:dLbl>
              <c:idx val="0"/>
              <c:layout>
                <c:manualLayout>
                  <c:x val="2.505825551133639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802-4CA8-B028-1475BA0901FE}"/>
                </c:ext>
              </c:extLst>
            </c:dLbl>
            <c:dLbl>
              <c:idx val="1"/>
              <c:layout>
                <c:manualLayout>
                  <c:x val="1.670550367422423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802-4CA8-B028-1475BA0901FE}"/>
                </c:ext>
              </c:extLst>
            </c:dLbl>
            <c:dLbl>
              <c:idx val="7"/>
              <c:layout>
                <c:manualLayout>
                  <c:x val="2.227400489896578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4802-4CA8-B028-1475BA0901FE}"/>
                </c:ext>
              </c:extLst>
            </c:dLbl>
            <c:dLbl>
              <c:idx val="8"/>
              <c:layout>
                <c:manualLayout>
                  <c:x val="1.3921253061853552E-2"/>
                  <c:y val="9.26813142064399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4802-4CA8-B028-1475BA0901FE}"/>
                </c:ext>
              </c:extLst>
            </c:dLbl>
            <c:dLbl>
              <c:idx val="9"/>
              <c:layout>
                <c:manualLayout>
                  <c:x val="2.5058255511336395E-2"/>
                  <c:y val="-4.247844496333060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4802-4CA8-B028-1475BA0901FE}"/>
                </c:ext>
              </c:extLst>
            </c:dLbl>
            <c:dLbl>
              <c:idx val="10"/>
              <c:layout>
                <c:manualLayout>
                  <c:x val="2.7842506123705061E-3"/>
                  <c:y val="-3.7072525682575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4802-4CA8-B028-1475BA0901FE}"/>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détaillé'!$D$286:$D$292,'Tableau détaillé'!$D$294:$D$297)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détaillé'!$G$286:$G$292,'Tableau détaillé'!$G$294:$G$297)</c:f>
              <c:numCache>
                <c:formatCode>0.0%</c:formatCode>
                <c:ptCount val="11"/>
                <c:pt idx="0">
                  <c:v>0.63556461157699995</c:v>
                </c:pt>
                <c:pt idx="1">
                  <c:v>0.59900166389300002</c:v>
                </c:pt>
                <c:pt idx="2">
                  <c:v>0.50734568924000001</c:v>
                </c:pt>
                <c:pt idx="3">
                  <c:v>0.580616330929</c:v>
                </c:pt>
                <c:pt idx="4">
                  <c:v>0.68628975969600003</c:v>
                </c:pt>
                <c:pt idx="5">
                  <c:v>0.64725483973300002</c:v>
                </c:pt>
                <c:pt idx="6">
                  <c:v>0.76742542477599995</c:v>
                </c:pt>
                <c:pt idx="7">
                  <c:v>0.81058642191499997</c:v>
                </c:pt>
                <c:pt idx="8">
                  <c:v>0.73472217525100003</c:v>
                </c:pt>
                <c:pt idx="9">
                  <c:v>0.66002978617700003</c:v>
                </c:pt>
                <c:pt idx="10">
                  <c:v>0.70879946568709296</c:v>
                </c:pt>
              </c:numCache>
            </c:numRef>
          </c:val>
          <c:extLst>
            <c:ext xmlns:c16="http://schemas.microsoft.com/office/drawing/2014/chart" uri="{C3380CC4-5D6E-409C-BE32-E72D297353CC}">
              <c16:uniqueId val="{0000002D-4802-4CA8-B028-1475BA0901FE}"/>
            </c:ext>
          </c:extLst>
        </c:ser>
        <c:dLbls>
          <c:showLegendKey val="0"/>
          <c:showVal val="0"/>
          <c:showCatName val="0"/>
          <c:showSerName val="0"/>
          <c:showPercent val="0"/>
          <c:showBubbleSize val="0"/>
        </c:dLbls>
        <c:gapWidth val="150"/>
        <c:axId val="964203296"/>
        <c:axId val="964203688"/>
      </c:barChart>
      <c:catAx>
        <c:axId val="964203296"/>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3688"/>
        <c:crosses val="autoZero"/>
        <c:auto val="1"/>
        <c:lblAlgn val="ctr"/>
        <c:lblOffset val="100"/>
        <c:noMultiLvlLbl val="0"/>
      </c:catAx>
      <c:valAx>
        <c:axId val="96420368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3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en-US"/>
              <a:t>Evolution de la part des clients actifs </a:t>
            </a:r>
          </a:p>
          <a:p>
            <a:pPr marL="0" marR="0" indent="0" algn="ctr" defTabSz="914400" rtl="0" eaLnBrk="1" fontAlgn="auto" latinLnBrk="0" hangingPunct="1">
              <a:lnSpc>
                <a:spcPct val="100000"/>
              </a:lnSpc>
              <a:spcBef>
                <a:spcPts val="0"/>
              </a:spcBef>
              <a:spcAft>
                <a:spcPts val="0"/>
              </a:spcAft>
              <a:buClrTx/>
              <a:buSzTx/>
              <a:buFontTx/>
              <a:buNone/>
              <a:tabLst/>
              <a:defRPr sz="1200" b="1">
                <a:solidFill>
                  <a:sysClr val="windowText" lastClr="000000">
                    <a:lumMod val="65000"/>
                    <a:lumOff val="35000"/>
                  </a:sysClr>
                </a:solidFill>
              </a:defRPr>
            </a:pPr>
            <a:r>
              <a:rPr lang="en-US"/>
              <a:t>dans le portefeuille par DR</a:t>
            </a:r>
          </a:p>
        </c:rich>
      </c:tx>
      <c:layout>
        <c:manualLayout>
          <c:xMode val="edge"/>
          <c:yMode val="edge"/>
          <c:x val="0.2661562075242585"/>
          <c:y val="3.8028936080847398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021038537939908"/>
          <c:y val="0.28938499744943941"/>
          <c:w val="0.89920800524934386"/>
          <c:h val="0.62041236616854711"/>
        </c:manualLayout>
      </c:layout>
      <c:barChart>
        <c:barDir val="col"/>
        <c:grouping val="clustered"/>
        <c:varyColors val="0"/>
        <c:ser>
          <c:idx val="0"/>
          <c:order val="0"/>
          <c:tx>
            <c:v>déc-19</c:v>
          </c:tx>
          <c:spPr>
            <a:solidFill>
              <a:schemeClr val="accent1"/>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01-CCA6-4EA0-BF64-4F7EA2DCD802}"/>
              </c:ext>
            </c:extLst>
          </c:dPt>
          <c:dPt>
            <c:idx val="1"/>
            <c:invertIfNegative val="0"/>
            <c:bubble3D val="0"/>
            <c:spPr>
              <a:solidFill>
                <a:srgbClr val="FF0000"/>
              </a:solidFill>
              <a:ln>
                <a:noFill/>
              </a:ln>
              <a:effectLst/>
            </c:spPr>
            <c:extLst>
              <c:ext xmlns:c16="http://schemas.microsoft.com/office/drawing/2014/chart" uri="{C3380CC4-5D6E-409C-BE32-E72D297353CC}">
                <c16:uniqueId val="{00000003-CCA6-4EA0-BF64-4F7EA2DCD8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détaillé'!$D$293,'Tableau détaillé'!$D$298)</c:f>
              <c:strCache>
                <c:ptCount val="2"/>
                <c:pt idx="0">
                  <c:v>Total AFO</c:v>
                </c:pt>
                <c:pt idx="1">
                  <c:v>Total AFCE</c:v>
                </c:pt>
              </c:strCache>
            </c:strRef>
          </c:cat>
          <c:val>
            <c:numRef>
              <c:f>('Tableau détaillé'!$F$293,'Tableau détaillé'!$F$298)</c:f>
              <c:numCache>
                <c:formatCode>0.0%</c:formatCode>
                <c:ptCount val="2"/>
                <c:pt idx="0">
                  <c:v>0.59795868972958965</c:v>
                </c:pt>
                <c:pt idx="1">
                  <c:v>0.77482970444010446</c:v>
                </c:pt>
              </c:numCache>
            </c:numRef>
          </c:val>
          <c:extLst>
            <c:ext xmlns:c16="http://schemas.microsoft.com/office/drawing/2014/chart" uri="{C3380CC4-5D6E-409C-BE32-E72D297353CC}">
              <c16:uniqueId val="{00000004-CCA6-4EA0-BF64-4F7EA2DCD802}"/>
            </c:ext>
          </c:extLst>
        </c:ser>
        <c:ser>
          <c:idx val="1"/>
          <c:order val="1"/>
          <c:tx>
            <c:v>Mars 2020</c:v>
          </c:tx>
          <c:spPr>
            <a:solidFill>
              <a:sysClr val="window" lastClr="FFFFFF">
                <a:lumMod val="8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6-CCA6-4EA0-BF64-4F7EA2DCD802}"/>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détaillé'!$D$293,'Tableau détaillé'!$D$298)</c:f>
              <c:strCache>
                <c:ptCount val="2"/>
                <c:pt idx="0">
                  <c:v>Total AFO</c:v>
                </c:pt>
                <c:pt idx="1">
                  <c:v>Total AFCE</c:v>
                </c:pt>
              </c:strCache>
            </c:strRef>
          </c:cat>
          <c:val>
            <c:numRef>
              <c:f>('Tableau détaillé'!$G$293,'Tableau détaillé'!$G$298)</c:f>
              <c:numCache>
                <c:formatCode>0.0%</c:formatCode>
                <c:ptCount val="2"/>
                <c:pt idx="0" formatCode="0.00%">
                  <c:v>0.60809004825015478</c:v>
                </c:pt>
                <c:pt idx="1">
                  <c:v>0.76429137783463974</c:v>
                </c:pt>
              </c:numCache>
            </c:numRef>
          </c:val>
          <c:extLst>
            <c:ext xmlns:c16="http://schemas.microsoft.com/office/drawing/2014/chart" uri="{C3380CC4-5D6E-409C-BE32-E72D297353CC}">
              <c16:uniqueId val="{00000007-CCA6-4EA0-BF64-4F7EA2DCD802}"/>
            </c:ext>
          </c:extLst>
        </c:ser>
        <c:dLbls>
          <c:showLegendKey val="0"/>
          <c:showVal val="0"/>
          <c:showCatName val="0"/>
          <c:showSerName val="0"/>
          <c:showPercent val="0"/>
          <c:showBubbleSize val="0"/>
        </c:dLbls>
        <c:gapWidth val="150"/>
        <c:axId val="964206040"/>
        <c:axId val="964199768"/>
      </c:barChart>
      <c:catAx>
        <c:axId val="964206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99768"/>
        <c:crosses val="autoZero"/>
        <c:auto val="1"/>
        <c:lblAlgn val="ctr"/>
        <c:lblOffset val="100"/>
        <c:noMultiLvlLbl val="0"/>
      </c:catAx>
      <c:valAx>
        <c:axId val="964199768"/>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206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Taux d'attrition sur les CAV par entité</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4.194019324728273E-2"/>
          <c:y val="0.13143517187599521"/>
          <c:w val="0.94288616192918395"/>
          <c:h val="0.6591692731958142"/>
        </c:manualLayout>
      </c:layout>
      <c:barChart>
        <c:barDir val="col"/>
        <c:grouping val="clustered"/>
        <c:varyColors val="0"/>
        <c:ser>
          <c:idx val="1"/>
          <c:order val="0"/>
          <c:tx>
            <c:strRef>
              <c:f>'Tableau détaillé'!$Y$364</c:f>
              <c:strCache>
                <c:ptCount val="1"/>
                <c:pt idx="0">
                  <c:v>30/09/2020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détaillé'!$D$366:$D$372,'Tableau détaillé'!$D$374:$D$377)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détaillé'!$Y$366:$Y$372,'Tableau détaillé'!$Y$374:$Y$377)</c:f>
              <c:numCache>
                <c:formatCode>0%</c:formatCode>
                <c:ptCount val="11"/>
                <c:pt idx="0">
                  <c:v>0.21657194137002692</c:v>
                </c:pt>
                <c:pt idx="1">
                  <c:v>0.19086651053864168</c:v>
                </c:pt>
                <c:pt idx="2">
                  <c:v>0.25027322404371583</c:v>
                </c:pt>
                <c:pt idx="3">
                  <c:v>0.14201183431952663</c:v>
                </c:pt>
                <c:pt idx="4">
                  <c:v>0.17107093184979139</c:v>
                </c:pt>
                <c:pt idx="5">
                  <c:v>0.23853211009174313</c:v>
                </c:pt>
                <c:pt idx="6">
                  <c:v>0.18435754189944134</c:v>
                </c:pt>
                <c:pt idx="7">
                  <c:v>0.18029115341545351</c:v>
                </c:pt>
                <c:pt idx="8">
                  <c:v>0.14524555903866249</c:v>
                </c:pt>
                <c:pt idx="9">
                  <c:v>0.18823529411764706</c:v>
                </c:pt>
                <c:pt idx="10">
                  <c:v>0.22615803814713897</c:v>
                </c:pt>
              </c:numCache>
            </c:numRef>
          </c:val>
          <c:extLst>
            <c:ext xmlns:c16="http://schemas.microsoft.com/office/drawing/2014/chart" uri="{C3380CC4-5D6E-409C-BE32-E72D297353CC}">
              <c16:uniqueId val="{00000000-1E67-407E-B70A-2C1EA810084E}"/>
            </c:ext>
          </c:extLst>
        </c:ser>
        <c:ser>
          <c:idx val="2"/>
          <c:order val="1"/>
          <c:tx>
            <c:strRef>
              <c:f>'Tableau détaillé'!$Z$364</c:f>
              <c:strCache>
                <c:ptCount val="1"/>
                <c:pt idx="0">
                  <c:v>30/09/2020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détaillé'!$D$366:$D$372,'Tableau détaillé'!$D$374:$D$377)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détaillé'!$Z$366:$Z$372,'Tableau détaillé'!$Z$374:$Z$377)</c:f>
              <c:numCache>
                <c:formatCode>0%</c:formatCode>
                <c:ptCount val="11"/>
                <c:pt idx="0">
                  <c:v>0.18974358974358974</c:v>
                </c:pt>
                <c:pt idx="1">
                  <c:v>0.20412168792934249</c:v>
                </c:pt>
                <c:pt idx="2">
                  <c:v>0.22439893143365983</c:v>
                </c:pt>
                <c:pt idx="3">
                  <c:v>0.13076923076923078</c:v>
                </c:pt>
                <c:pt idx="4">
                  <c:v>0.18860244233378562</c:v>
                </c:pt>
                <c:pt idx="5">
                  <c:v>0.23275862068965517</c:v>
                </c:pt>
                <c:pt idx="6">
                  <c:v>0.22264150943396227</c:v>
                </c:pt>
                <c:pt idx="7">
                  <c:v>0.20214735283228433</c:v>
                </c:pt>
                <c:pt idx="8">
                  <c:v>0.28885135135135137</c:v>
                </c:pt>
                <c:pt idx="9">
                  <c:v>0.16494845360824742</c:v>
                </c:pt>
                <c:pt idx="10">
                  <c:v>0.21370967741935484</c:v>
                </c:pt>
              </c:numCache>
            </c:numRef>
          </c:val>
          <c:extLst>
            <c:ext xmlns:c16="http://schemas.microsoft.com/office/drawing/2014/chart" uri="{C3380CC4-5D6E-409C-BE32-E72D297353CC}">
              <c16:uniqueId val="{00000001-1E67-407E-B70A-2C1EA810084E}"/>
            </c:ext>
          </c:extLst>
        </c:ser>
        <c:ser>
          <c:idx val="3"/>
          <c:order val="2"/>
          <c:tx>
            <c:strRef>
              <c:f>'Tableau détaillé'!$AA$364</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détaillé'!$D$366:$D$372,'Tableau détaillé'!$D$374:$D$377)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détaillé'!$AA$366:$AA$372,'Tableau détaillé'!$AA$374:$AA$377)</c:f>
              <c:numCache>
                <c:formatCode>0%</c:formatCode>
                <c:ptCount val="11"/>
                <c:pt idx="0">
                  <c:v>0.18055982774530913</c:v>
                </c:pt>
                <c:pt idx="1">
                  <c:v>0.20357142857142857</c:v>
                </c:pt>
                <c:pt idx="2">
                  <c:v>0.24868282402528977</c:v>
                </c:pt>
                <c:pt idx="3">
                  <c:v>0.12790697674418605</c:v>
                </c:pt>
                <c:pt idx="4">
                  <c:v>4.8309178743961352E-2</c:v>
                </c:pt>
                <c:pt idx="5">
                  <c:v>0.36363636363636365</c:v>
                </c:pt>
                <c:pt idx="6">
                  <c:v>0.15238095238095239</c:v>
                </c:pt>
                <c:pt idx="7">
                  <c:v>0.16690595836324479</c:v>
                </c:pt>
                <c:pt idx="8">
                  <c:v>0.232355273592387</c:v>
                </c:pt>
                <c:pt idx="9">
                  <c:v>0.34065934065934067</c:v>
                </c:pt>
                <c:pt idx="10">
                  <c:v>0.25068870523415976</c:v>
                </c:pt>
              </c:numCache>
            </c:numRef>
          </c:val>
          <c:extLst>
            <c:ext xmlns:c16="http://schemas.microsoft.com/office/drawing/2014/chart" uri="{C3380CC4-5D6E-409C-BE32-E72D297353CC}">
              <c16:uniqueId val="{00000002-1E67-407E-B70A-2C1EA810084E}"/>
            </c:ext>
          </c:extLst>
        </c:ser>
        <c:ser>
          <c:idx val="4"/>
          <c:order val="3"/>
          <c:tx>
            <c:strRef>
              <c:f>'Tableau détaillé'!$AB$364</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détaillé'!$D$366:$D$372,'Tableau détaillé'!$D$374:$D$377)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détaillé'!$AB$366:$AB$372,'Tableau détaillé'!$AB$374:$AB$377)</c:f>
              <c:numCache>
                <c:formatCode>0%</c:formatCode>
                <c:ptCount val="11"/>
                <c:pt idx="0">
                  <c:v>0.21681247622670216</c:v>
                </c:pt>
                <c:pt idx="1">
                  <c:v>0.27580893682588598</c:v>
                </c:pt>
                <c:pt idx="2">
                  <c:v>0.21729237770193402</c:v>
                </c:pt>
                <c:pt idx="3">
                  <c:v>0.13636363636363635</c:v>
                </c:pt>
                <c:pt idx="4">
                  <c:v>0.20851688693098386</c:v>
                </c:pt>
                <c:pt idx="5">
                  <c:v>0.25225225225225223</c:v>
                </c:pt>
                <c:pt idx="6">
                  <c:v>4.3076923076923075E-2</c:v>
                </c:pt>
                <c:pt idx="7">
                  <c:v>0.18764637002341919</c:v>
                </c:pt>
                <c:pt idx="8">
                  <c:v>0.20717488789237667</c:v>
                </c:pt>
                <c:pt idx="9">
                  <c:v>0.375</c:v>
                </c:pt>
                <c:pt idx="10">
                  <c:v>0.28165374677002586</c:v>
                </c:pt>
              </c:numCache>
            </c:numRef>
          </c:val>
          <c:extLst>
            <c:ext xmlns:c16="http://schemas.microsoft.com/office/drawing/2014/chart" uri="{C3380CC4-5D6E-409C-BE32-E72D297353CC}">
              <c16:uniqueId val="{00000003-1E67-407E-B70A-2C1EA810084E}"/>
            </c:ext>
          </c:extLst>
        </c:ser>
        <c:ser>
          <c:idx val="5"/>
          <c:order val="4"/>
          <c:tx>
            <c:strRef>
              <c:f>'Tableau détaillé'!$AC$364</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détaillé'!$D$366:$D$372,'Tableau détaillé'!$D$374:$D$377)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détaillé'!$AC$366:$AC$372,'Tableau détaillé'!$AC$374:$AC$377)</c:f>
              <c:numCache>
                <c:formatCode>0%</c:formatCode>
                <c:ptCount val="11"/>
                <c:pt idx="0">
                  <c:v>0.17992503123698458</c:v>
                </c:pt>
                <c:pt idx="1">
                  <c:v>0.1673228346456693</c:v>
                </c:pt>
                <c:pt idx="2">
                  <c:v>0.23018458197611291</c:v>
                </c:pt>
                <c:pt idx="3">
                  <c:v>0.17757009345794392</c:v>
                </c:pt>
                <c:pt idx="4">
                  <c:v>0.23820754716981132</c:v>
                </c:pt>
                <c:pt idx="5">
                  <c:v>0.36486486486486486</c:v>
                </c:pt>
                <c:pt idx="6">
                  <c:v>5.829596412556054E-2</c:v>
                </c:pt>
                <c:pt idx="7">
                  <c:v>0.22137681159420289</c:v>
                </c:pt>
                <c:pt idx="8">
                  <c:v>0.21147356580427445</c:v>
                </c:pt>
                <c:pt idx="9">
                  <c:v>0.18560606060606061</c:v>
                </c:pt>
                <c:pt idx="10">
                  <c:v>0.25301204819277107</c:v>
                </c:pt>
              </c:numCache>
            </c:numRef>
          </c:val>
          <c:extLst>
            <c:ext xmlns:c16="http://schemas.microsoft.com/office/drawing/2014/chart" uri="{C3380CC4-5D6E-409C-BE32-E72D297353CC}">
              <c16:uniqueId val="{00000004-1E67-407E-B70A-2C1EA810084E}"/>
            </c:ext>
          </c:extLst>
        </c:ser>
        <c:ser>
          <c:idx val="0"/>
          <c:order val="5"/>
          <c:tx>
            <c:strRef>
              <c:f>'Tableau détaillé'!$AD$364</c:f>
              <c:strCache>
                <c:ptCount val="1"/>
                <c:pt idx="0">
                  <c:v>31/01/2021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détaillé'!$D$366:$D$372,'Tableau détaillé'!$D$374:$D$377)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détaillé'!$AD$366:$AD$372,'Tableau détaillé'!$AD$374:$AD$377)</c:f>
              <c:numCache>
                <c:formatCode>0%</c:formatCode>
                <c:ptCount val="11"/>
                <c:pt idx="0">
                  <c:v>0.22276516240298935</c:v>
                </c:pt>
                <c:pt idx="1">
                  <c:v>0.18630751964085299</c:v>
                </c:pt>
                <c:pt idx="2">
                  <c:v>0.20784729586426298</c:v>
                </c:pt>
                <c:pt idx="3">
                  <c:v>9.5652173913043481E-2</c:v>
                </c:pt>
                <c:pt idx="4">
                  <c:v>0.13680154142581888</c:v>
                </c:pt>
                <c:pt idx="5">
                  <c:v>0.16901408450704225</c:v>
                </c:pt>
                <c:pt idx="6">
                  <c:v>9.7165991902834009E-2</c:v>
                </c:pt>
                <c:pt idx="7">
                  <c:v>0.16836301950805768</c:v>
                </c:pt>
                <c:pt idx="8">
                  <c:v>0.1705685618729097</c:v>
                </c:pt>
                <c:pt idx="9">
                  <c:v>0.1007905138339921</c:v>
                </c:pt>
                <c:pt idx="10">
                  <c:v>0.22562674094707522</c:v>
                </c:pt>
              </c:numCache>
            </c:numRef>
          </c:val>
          <c:extLst>
            <c:ext xmlns:c16="http://schemas.microsoft.com/office/drawing/2014/chart" uri="{C3380CC4-5D6E-409C-BE32-E72D297353CC}">
              <c16:uniqueId val="{00000005-1E67-407E-B70A-2C1EA810084E}"/>
            </c:ext>
          </c:extLst>
        </c:ser>
        <c:dLbls>
          <c:showLegendKey val="0"/>
          <c:showVal val="0"/>
          <c:showCatName val="0"/>
          <c:showSerName val="0"/>
          <c:showPercent val="0"/>
          <c:showBubbleSize val="0"/>
        </c:dLbls>
        <c:gapWidth val="219"/>
        <c:overlap val="-27"/>
        <c:axId val="964145280"/>
        <c:axId val="964148024"/>
      </c:barChart>
      <c:catAx>
        <c:axId val="96414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8024"/>
        <c:crosses val="autoZero"/>
        <c:auto val="1"/>
        <c:lblAlgn val="ctr"/>
        <c:lblOffset val="100"/>
        <c:noMultiLvlLbl val="0"/>
      </c:catAx>
      <c:valAx>
        <c:axId val="9641480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5280"/>
        <c:crosses val="autoZero"/>
        <c:crossBetween val="between"/>
      </c:valAx>
      <c:spPr>
        <a:noFill/>
        <a:ln>
          <a:noFill/>
        </a:ln>
        <a:effectLst/>
      </c:spPr>
    </c:plotArea>
    <c:legend>
      <c:legendPos val="b"/>
      <c:layout>
        <c:manualLayout>
          <c:xMode val="edge"/>
          <c:yMode val="edge"/>
          <c:x val="0.18757208281666984"/>
          <c:y val="0.89203718973409096"/>
          <c:w val="0.63559954595002632"/>
          <c:h val="6.84080355728882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Taux d'attrition sur les CAV par DR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1"/>
          <c:order val="0"/>
          <c:tx>
            <c:strRef>
              <c:f>'Tableau détaillé'!$Y$364</c:f>
              <c:strCache>
                <c:ptCount val="1"/>
                <c:pt idx="0">
                  <c:v>30/09/2020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détaillé'!$Y$373,'Tableau détaillé'!$Y$378)</c:f>
              <c:numCache>
                <c:formatCode>0%</c:formatCode>
                <c:ptCount val="2"/>
                <c:pt idx="0">
                  <c:v>0.21024173027989823</c:v>
                </c:pt>
                <c:pt idx="1">
                  <c:v>0.17560975609756097</c:v>
                </c:pt>
              </c:numCache>
            </c:numRef>
          </c:val>
          <c:extLst>
            <c:ext xmlns:c16="http://schemas.microsoft.com/office/drawing/2014/chart" uri="{C3380CC4-5D6E-409C-BE32-E72D297353CC}">
              <c16:uniqueId val="{00000000-52B0-46AE-A18B-BEB6AB1FDDA4}"/>
            </c:ext>
          </c:extLst>
        </c:ser>
        <c:ser>
          <c:idx val="2"/>
          <c:order val="1"/>
          <c:tx>
            <c:strRef>
              <c:f>'Tableau détaillé'!$Z$364</c:f>
              <c:strCache>
                <c:ptCount val="1"/>
                <c:pt idx="0">
                  <c:v>30/09/2020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détaillé'!$Z$373,'Tableau détaillé'!$Z$378)</c:f>
              <c:numCache>
                <c:formatCode>0%</c:formatCode>
                <c:ptCount val="2"/>
                <c:pt idx="0">
                  <c:v>0.19701280227596016</c:v>
                </c:pt>
                <c:pt idx="1">
                  <c:v>0.22426229508196721</c:v>
                </c:pt>
              </c:numCache>
            </c:numRef>
          </c:val>
          <c:extLst>
            <c:ext xmlns:c16="http://schemas.microsoft.com/office/drawing/2014/chart" uri="{C3380CC4-5D6E-409C-BE32-E72D297353CC}">
              <c16:uniqueId val="{00000001-52B0-46AE-A18B-BEB6AB1FDDA4}"/>
            </c:ext>
          </c:extLst>
        </c:ser>
        <c:ser>
          <c:idx val="3"/>
          <c:order val="2"/>
          <c:tx>
            <c:strRef>
              <c:f>'Tableau détaillé'!$AA$364</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détaillé'!$AA$373,'Tableau détaillé'!$AA$378)</c:f>
              <c:numCache>
                <c:formatCode>0%</c:formatCode>
                <c:ptCount val="2"/>
                <c:pt idx="0">
                  <c:v>0.1809993201903467</c:v>
                </c:pt>
                <c:pt idx="1">
                  <c:v>0.19838850174216027</c:v>
                </c:pt>
              </c:numCache>
            </c:numRef>
          </c:val>
          <c:extLst>
            <c:ext xmlns:c16="http://schemas.microsoft.com/office/drawing/2014/chart" uri="{C3380CC4-5D6E-409C-BE32-E72D297353CC}">
              <c16:uniqueId val="{00000002-52B0-46AE-A18B-BEB6AB1FDDA4}"/>
            </c:ext>
          </c:extLst>
        </c:ser>
        <c:ser>
          <c:idx val="4"/>
          <c:order val="3"/>
          <c:tx>
            <c:strRef>
              <c:f>'Tableau détaillé'!$AB$364</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détaillé'!$AB$373,'Tableau détaillé'!$AB$378)</c:f>
              <c:numCache>
                <c:formatCode>0%</c:formatCode>
                <c:ptCount val="2"/>
                <c:pt idx="0">
                  <c:v>0.21064220183486237</c:v>
                </c:pt>
                <c:pt idx="1">
                  <c:v>0.20659383534920014</c:v>
                </c:pt>
              </c:numCache>
            </c:numRef>
          </c:val>
          <c:extLst>
            <c:ext xmlns:c16="http://schemas.microsoft.com/office/drawing/2014/chart" uri="{C3380CC4-5D6E-409C-BE32-E72D297353CC}">
              <c16:uniqueId val="{00000003-52B0-46AE-A18B-BEB6AB1FDDA4}"/>
            </c:ext>
          </c:extLst>
        </c:ser>
        <c:ser>
          <c:idx val="5"/>
          <c:order val="4"/>
          <c:tx>
            <c:strRef>
              <c:f>'Tableau détaillé'!$AC$364</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détaillé'!$AC$373,'Tableau détaillé'!$AC$378)</c:f>
              <c:numCache>
                <c:formatCode>0%</c:formatCode>
                <c:ptCount val="2"/>
                <c:pt idx="0">
                  <c:v>0.19085444396736798</c:v>
                </c:pt>
                <c:pt idx="1">
                  <c:v>0.21888515136953388</c:v>
                </c:pt>
              </c:numCache>
            </c:numRef>
          </c:val>
          <c:extLst>
            <c:ext xmlns:c16="http://schemas.microsoft.com/office/drawing/2014/chart" uri="{C3380CC4-5D6E-409C-BE32-E72D297353CC}">
              <c16:uniqueId val="{00000004-52B0-46AE-A18B-BEB6AB1FDDA4}"/>
            </c:ext>
          </c:extLst>
        </c:ser>
        <c:ser>
          <c:idx val="0"/>
          <c:order val="5"/>
          <c:tx>
            <c:strRef>
              <c:f>'Tableau détaillé'!$AD$364</c:f>
              <c:strCache>
                <c:ptCount val="1"/>
                <c:pt idx="0">
                  <c:v>31/01/2021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détaillé'!$D$373,'Tableau détaillé'!$D$378)</c:f>
              <c:strCache>
                <c:ptCount val="2"/>
                <c:pt idx="0">
                  <c:v>Total AFO</c:v>
                </c:pt>
                <c:pt idx="1">
                  <c:v>Total AFCE</c:v>
                </c:pt>
              </c:strCache>
            </c:strRef>
          </c:cat>
          <c:val>
            <c:numRef>
              <c:f>('Tableau détaillé'!$AD$373,'Tableau détaillé'!$AD$378)</c:f>
              <c:numCache>
                <c:formatCode>0%</c:formatCode>
                <c:ptCount val="2"/>
                <c:pt idx="0">
                  <c:v>0.20031923383878691</c:v>
                </c:pt>
                <c:pt idx="1">
                  <c:v>0.16587463226974428</c:v>
                </c:pt>
              </c:numCache>
            </c:numRef>
          </c:val>
          <c:extLst>
            <c:ext xmlns:c16="http://schemas.microsoft.com/office/drawing/2014/chart" uri="{C3380CC4-5D6E-409C-BE32-E72D297353CC}">
              <c16:uniqueId val="{00000005-52B0-46AE-A18B-BEB6AB1FDDA4}"/>
            </c:ext>
          </c:extLst>
        </c:ser>
        <c:dLbls>
          <c:showLegendKey val="0"/>
          <c:showVal val="0"/>
          <c:showCatName val="0"/>
          <c:showSerName val="0"/>
          <c:showPercent val="0"/>
          <c:showBubbleSize val="0"/>
        </c:dLbls>
        <c:gapWidth val="219"/>
        <c:overlap val="-27"/>
        <c:axId val="964141360"/>
        <c:axId val="964142536"/>
      </c:barChart>
      <c:catAx>
        <c:axId val="96414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2536"/>
        <c:crosses val="autoZero"/>
        <c:auto val="1"/>
        <c:lblAlgn val="ctr"/>
        <c:lblOffset val="100"/>
        <c:noMultiLvlLbl val="0"/>
      </c:catAx>
      <c:valAx>
        <c:axId val="9641425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1360"/>
        <c:crosses val="autoZero"/>
        <c:crossBetween val="between"/>
      </c:valAx>
      <c:spPr>
        <a:noFill/>
        <a:ln>
          <a:noFill/>
        </a:ln>
        <a:effectLst/>
      </c:spPr>
    </c:plotArea>
    <c:legend>
      <c:legendPos val="b"/>
      <c:layout>
        <c:manualLayout>
          <c:xMode val="edge"/>
          <c:yMode val="edge"/>
          <c:x val="3.4444278282054687E-2"/>
          <c:y val="0.89203718973409096"/>
          <c:w val="0.96555572171794535"/>
          <c:h val="6.81821291335534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Taux d'attrition sur les CAV AFS</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1"/>
          <c:order val="0"/>
          <c:tx>
            <c:strRef>
              <c:f>'Tableau détaillé'!$Y$364</c:f>
              <c:strCache>
                <c:ptCount val="1"/>
                <c:pt idx="0">
                  <c:v>30/09/2020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détaillé'!$Y$365</c:f>
              <c:numCache>
                <c:formatCode>0%</c:formatCode>
                <c:ptCount val="1"/>
                <c:pt idx="0">
                  <c:v>0.1983695652173913</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0-3E55-4E4A-BB72-618EA374FC0F}"/>
            </c:ext>
          </c:extLst>
        </c:ser>
        <c:ser>
          <c:idx val="2"/>
          <c:order val="1"/>
          <c:tx>
            <c:strRef>
              <c:f>'Tableau détaillé'!$Z$364</c:f>
              <c:strCache>
                <c:ptCount val="1"/>
                <c:pt idx="0">
                  <c:v>30/09/2020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détaillé'!$Z$365</c:f>
              <c:numCache>
                <c:formatCode>0%</c:formatCode>
                <c:ptCount val="1"/>
                <c:pt idx="0">
                  <c:v>0.20775527789745799</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1-3E55-4E4A-BB72-618EA374FC0F}"/>
            </c:ext>
          </c:extLst>
        </c:ser>
        <c:ser>
          <c:idx val="3"/>
          <c:order val="2"/>
          <c:tx>
            <c:strRef>
              <c:f>'Tableau détaillé'!$AA$364</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détaillé'!$AA$365</c:f>
              <c:numCache>
                <c:formatCode>0%</c:formatCode>
                <c:ptCount val="1"/>
                <c:pt idx="0">
                  <c:v>0.18862161130202368</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2-3E55-4E4A-BB72-618EA374FC0F}"/>
            </c:ext>
          </c:extLst>
        </c:ser>
        <c:ser>
          <c:idx val="4"/>
          <c:order val="3"/>
          <c:tx>
            <c:strRef>
              <c:f>'Tableau détaillé'!$AB$364</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détaillé'!$AB$365</c:f>
              <c:numCache>
                <c:formatCode>0%</c:formatCode>
                <c:ptCount val="1"/>
                <c:pt idx="0">
                  <c:v>0.20868003025718609</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3-3E55-4E4A-BB72-618EA374FC0F}"/>
            </c:ext>
          </c:extLst>
        </c:ser>
        <c:ser>
          <c:idx val="5"/>
          <c:order val="4"/>
          <c:tx>
            <c:strRef>
              <c:f>'Tableau détaillé'!$AC$364</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détaillé'!$AC$365</c:f>
              <c:numCache>
                <c:formatCode>0%</c:formatCode>
                <c:ptCount val="1"/>
                <c:pt idx="0">
                  <c:v>0.20408163265306123</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4-3E55-4E4A-BB72-618EA374FC0F}"/>
            </c:ext>
          </c:extLst>
        </c:ser>
        <c:ser>
          <c:idx val="0"/>
          <c:order val="5"/>
          <c:tx>
            <c:strRef>
              <c:f>'Tableau détaillé'!$AD$364</c:f>
              <c:strCache>
                <c:ptCount val="1"/>
                <c:pt idx="0">
                  <c:v>31/01/2021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détaillé'!$AD$365</c:f>
              <c:numCache>
                <c:formatCode>0%</c:formatCode>
                <c:ptCount val="1"/>
                <c:pt idx="0">
                  <c:v>0.1860726319730438</c:v>
                </c:pt>
              </c:numCache>
            </c:numRef>
          </c:val>
          <c:extLst>
            <c:ext xmlns:c15="http://schemas.microsoft.com/office/drawing/2012/chart" uri="{02D57815-91ED-43cb-92C2-25804820EDAC}">
              <c15:filteredCategoryTitle>
                <c15:cat>
                  <c:strRef>
                    <c:extLst>
                      <c:ext uri="{02D57815-91ED-43cb-92C2-25804820EDAC}">
                        <c15:formulaRef>
                          <c15:sqref>'Tableau détaillé'!$D$365</c15:sqref>
                        </c15:formulaRef>
                      </c:ext>
                    </c:extLst>
                    <c:strCache>
                      <c:ptCount val="1"/>
                      <c:pt idx="0">
                        <c:v>Total AFS</c:v>
                      </c:pt>
                    </c:strCache>
                  </c:strRef>
                </c15:cat>
              </c15:filteredCategoryTitle>
            </c:ext>
            <c:ext xmlns:c16="http://schemas.microsoft.com/office/drawing/2014/chart" uri="{C3380CC4-5D6E-409C-BE32-E72D297353CC}">
              <c16:uniqueId val="{00000005-3E55-4E4A-BB72-618EA374FC0F}"/>
            </c:ext>
          </c:extLst>
        </c:ser>
        <c:dLbls>
          <c:showLegendKey val="0"/>
          <c:showVal val="0"/>
          <c:showCatName val="0"/>
          <c:showSerName val="0"/>
          <c:showPercent val="0"/>
          <c:showBubbleSize val="0"/>
        </c:dLbls>
        <c:gapWidth val="219"/>
        <c:overlap val="-27"/>
        <c:axId val="964143320"/>
        <c:axId val="964145672"/>
      </c:barChart>
      <c:catAx>
        <c:axId val="964143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5672"/>
        <c:crosses val="autoZero"/>
        <c:auto val="1"/>
        <c:lblAlgn val="ctr"/>
        <c:lblOffset val="100"/>
        <c:noMultiLvlLbl val="0"/>
      </c:catAx>
      <c:valAx>
        <c:axId val="9641456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3320"/>
        <c:crosses val="autoZero"/>
        <c:crossBetween val="between"/>
      </c:valAx>
      <c:spPr>
        <a:noFill/>
        <a:ln>
          <a:noFill/>
        </a:ln>
        <a:effectLst/>
      </c:spPr>
    </c:plotArea>
    <c:legend>
      <c:legendPos val="b"/>
      <c:layout>
        <c:manualLayout>
          <c:xMode val="edge"/>
          <c:yMode val="edge"/>
          <c:x val="1.4689965053308853E-2"/>
          <c:y val="0.89203718973409096"/>
          <c:w val="0.98531003494669112"/>
          <c:h val="6.81821291335534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(CAV</a:t>
            </a:r>
            <a:r>
              <a:rPr lang="fr-FR" baseline="0"/>
              <a:t> fermés)</a:t>
            </a:r>
            <a:r>
              <a:rPr lang="fr-FR"/>
              <a:t> par DR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4962792494967431"/>
          <c:w val="0.91811982262009828"/>
          <c:h val="0.64097649511354926"/>
        </c:manualLayout>
      </c:layout>
      <c:barChart>
        <c:barDir val="col"/>
        <c:grouping val="clustered"/>
        <c:varyColors val="0"/>
        <c:ser>
          <c:idx val="1"/>
          <c:order val="0"/>
          <c:tx>
            <c:strRef>
              <c:f>'Tableau détaillé'!$Y$364</c:f>
              <c:strCache>
                <c:ptCount val="1"/>
                <c:pt idx="0">
                  <c:v>30/09/2020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détaillé'!$D$409,'Tableau détaillé'!$D$414)</c:f>
            </c:multiLvlStrRef>
          </c:cat>
          <c:val>
            <c:numRef>
              <c:f>('Tableau détaillé'!$Y$409,'Tableau détaillé'!$Y$414)</c:f>
            </c:numRef>
          </c:val>
          <c:extLst>
            <c:ext xmlns:c16="http://schemas.microsoft.com/office/drawing/2014/chart" uri="{C3380CC4-5D6E-409C-BE32-E72D297353CC}">
              <c16:uniqueId val="{00000000-AD89-4008-815A-1F8CED7A57CB}"/>
            </c:ext>
          </c:extLst>
        </c:ser>
        <c:ser>
          <c:idx val="2"/>
          <c:order val="1"/>
          <c:tx>
            <c:strRef>
              <c:f>'Tableau détaillé'!$Z$364</c:f>
              <c:strCache>
                <c:ptCount val="1"/>
                <c:pt idx="0">
                  <c:v>30/09/2020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détaillé'!$D$409,'Tableau détaillé'!$D$414)</c:f>
            </c:multiLvlStrRef>
          </c:cat>
          <c:val>
            <c:numRef>
              <c:f>('Tableau détaillé'!$Z$409,'Tableau détaillé'!$Z$414)</c:f>
            </c:numRef>
          </c:val>
          <c:extLst>
            <c:ext xmlns:c16="http://schemas.microsoft.com/office/drawing/2014/chart" uri="{C3380CC4-5D6E-409C-BE32-E72D297353CC}">
              <c16:uniqueId val="{00000001-AD89-4008-815A-1F8CED7A57CB}"/>
            </c:ext>
          </c:extLst>
        </c:ser>
        <c:ser>
          <c:idx val="3"/>
          <c:order val="2"/>
          <c:tx>
            <c:strRef>
              <c:f>'Tableau détaillé'!$AA$400</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détaillé'!$D$409,'Tableau détaillé'!$D$414)</c:f>
            </c:multiLvlStrRef>
          </c:cat>
          <c:val>
            <c:numRef>
              <c:f>('Tableau détaillé'!$AA$409,'Tableau détaillé'!$AA$414)</c:f>
            </c:numRef>
          </c:val>
          <c:extLst>
            <c:ext xmlns:c16="http://schemas.microsoft.com/office/drawing/2014/chart" uri="{C3380CC4-5D6E-409C-BE32-E72D297353CC}">
              <c16:uniqueId val="{00000002-AD89-4008-815A-1F8CED7A57CB}"/>
            </c:ext>
          </c:extLst>
        </c:ser>
        <c:ser>
          <c:idx val="4"/>
          <c:order val="3"/>
          <c:tx>
            <c:strRef>
              <c:f>'Tableau détaillé'!$AB$400</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détaillé'!$D$409,'Tableau détaillé'!$D$414)</c:f>
            </c:multiLvlStrRef>
          </c:cat>
          <c:val>
            <c:numRef>
              <c:f>('Tableau détaillé'!$AB$409,'Tableau détaillé'!$AB$414)</c:f>
            </c:numRef>
          </c:val>
          <c:extLst>
            <c:ext xmlns:c16="http://schemas.microsoft.com/office/drawing/2014/chart" uri="{C3380CC4-5D6E-409C-BE32-E72D297353CC}">
              <c16:uniqueId val="{00000003-AD89-4008-815A-1F8CED7A57CB}"/>
            </c:ext>
          </c:extLst>
        </c:ser>
        <c:ser>
          <c:idx val="5"/>
          <c:order val="4"/>
          <c:tx>
            <c:strRef>
              <c:f>'Tableau détaillé'!$AC$400</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détaillé'!$D$409,'Tableau détaillé'!$D$414)</c:f>
            </c:multiLvlStrRef>
          </c:cat>
          <c:val>
            <c:numRef>
              <c:f>('Tableau détaillé'!$AC$409,'Tableau détaillé'!$AC$414)</c:f>
            </c:numRef>
          </c:val>
          <c:extLst>
            <c:ext xmlns:c16="http://schemas.microsoft.com/office/drawing/2014/chart" uri="{C3380CC4-5D6E-409C-BE32-E72D297353CC}">
              <c16:uniqueId val="{00000004-AD89-4008-815A-1F8CED7A57CB}"/>
            </c:ext>
          </c:extLst>
        </c:ser>
        <c:ser>
          <c:idx val="0"/>
          <c:order val="5"/>
          <c:tx>
            <c:strRef>
              <c:f>'Tableau détaillé'!$AD$364</c:f>
              <c:strCache>
                <c:ptCount val="1"/>
                <c:pt idx="0">
                  <c:v>31/01/2021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détaillé'!$D$409,'Tableau détaillé'!$D$414)</c:f>
            </c:multiLvlStrRef>
          </c:cat>
          <c:val>
            <c:numRef>
              <c:f>('Tableau détaillé'!$AD$409,'Tableau détaillé'!$AD$414)</c:f>
            </c:numRef>
          </c:val>
          <c:extLst>
            <c:ext xmlns:c16="http://schemas.microsoft.com/office/drawing/2014/chart" uri="{C3380CC4-5D6E-409C-BE32-E72D297353CC}">
              <c16:uniqueId val="{00000005-AD89-4008-815A-1F8CED7A57CB}"/>
            </c:ext>
          </c:extLst>
        </c:ser>
        <c:dLbls>
          <c:showLegendKey val="0"/>
          <c:showVal val="0"/>
          <c:showCatName val="0"/>
          <c:showSerName val="0"/>
          <c:showPercent val="0"/>
          <c:showBubbleSize val="0"/>
        </c:dLbls>
        <c:gapWidth val="219"/>
        <c:overlap val="-27"/>
        <c:axId val="964146064"/>
        <c:axId val="964137048"/>
      </c:barChart>
      <c:catAx>
        <c:axId val="96414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37048"/>
        <c:crosses val="autoZero"/>
        <c:auto val="1"/>
        <c:lblAlgn val="ctr"/>
        <c:lblOffset val="100"/>
        <c:noMultiLvlLbl val="0"/>
      </c:catAx>
      <c:valAx>
        <c:axId val="9641370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6064"/>
        <c:crosses val="autoZero"/>
        <c:crossBetween val="between"/>
      </c:valAx>
      <c:spPr>
        <a:noFill/>
        <a:ln>
          <a:noFill/>
        </a:ln>
        <a:effectLst/>
      </c:spPr>
    </c:plotArea>
    <c:legend>
      <c:legendPos val="b"/>
      <c:layout>
        <c:manualLayout>
          <c:xMode val="edge"/>
          <c:yMode val="edge"/>
          <c:x val="3.287919494814677E-2"/>
          <c:y val="0.89203718973409096"/>
          <c:w val="0.96712080505185327"/>
          <c:h val="7.66780153086575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a:t>
            </a:r>
            <a:r>
              <a:rPr lang="fr-FR" sz="1400" b="1" i="0" u="none" strike="noStrike" baseline="0">
                <a:effectLst/>
              </a:rPr>
              <a:t>(CAV fermés) </a:t>
            </a:r>
            <a:r>
              <a:rPr lang="fr-FR"/>
              <a:t>AFS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9522395470572558E-2"/>
          <c:y val="0.13143517187599521"/>
          <c:w val="0.90938423239283417"/>
          <c:h val="0.6591692731958142"/>
        </c:manualLayout>
      </c:layout>
      <c:barChart>
        <c:barDir val="col"/>
        <c:grouping val="clustered"/>
        <c:varyColors val="0"/>
        <c:ser>
          <c:idx val="1"/>
          <c:order val="0"/>
          <c:tx>
            <c:strRef>
              <c:f>'Tableau détaillé'!$Y$364</c:f>
              <c:strCache>
                <c:ptCount val="1"/>
                <c:pt idx="0">
                  <c:v>30/09/2020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détaillé'!$Y$401</c:f>
            </c:numRef>
          </c:val>
          <c:extLst>
            <c:ext xmlns:c15="http://schemas.microsoft.com/office/drawing/2012/chart" uri="{02D57815-91ED-43cb-92C2-25804820EDAC}">
              <c15:filteredCategoryTitle>
                <c15:cat>
                  <c:multiLvlStrRef>
                    <c:extLst>
                      <c:ext uri="{02D57815-91ED-43cb-92C2-25804820EDAC}">
                        <c15:formulaRef>
                          <c15:sqref>'Tableau détaillé'!$D$401</c15:sqref>
                        </c15:formulaRef>
                      </c:ext>
                    </c:extLst>
                  </c:multiLvlStrRef>
                </c15:cat>
              </c15:filteredCategoryTitle>
            </c:ext>
            <c:ext xmlns:c16="http://schemas.microsoft.com/office/drawing/2014/chart" uri="{C3380CC4-5D6E-409C-BE32-E72D297353CC}">
              <c16:uniqueId val="{00000000-2D6D-4C53-A301-3E1316B2F62A}"/>
            </c:ext>
          </c:extLst>
        </c:ser>
        <c:ser>
          <c:idx val="2"/>
          <c:order val="1"/>
          <c:tx>
            <c:strRef>
              <c:f>'Tableau détaillé'!$Z$364</c:f>
              <c:strCache>
                <c:ptCount val="1"/>
                <c:pt idx="0">
                  <c:v>30/09/2020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détaillé'!$Z$401</c:f>
            </c:numRef>
          </c:val>
          <c:extLst>
            <c:ext xmlns:c15="http://schemas.microsoft.com/office/drawing/2012/chart" uri="{02D57815-91ED-43cb-92C2-25804820EDAC}">
              <c15:filteredCategoryTitle>
                <c15:cat>
                  <c:multiLvlStrRef>
                    <c:extLst>
                      <c:ext uri="{02D57815-91ED-43cb-92C2-25804820EDAC}">
                        <c15:formulaRef>
                          <c15:sqref>'Tableau détaillé'!$D$401</c15:sqref>
                        </c15:formulaRef>
                      </c:ext>
                    </c:extLst>
                  </c:multiLvlStrRef>
                </c15:cat>
              </c15:filteredCategoryTitle>
            </c:ext>
            <c:ext xmlns:c16="http://schemas.microsoft.com/office/drawing/2014/chart" uri="{C3380CC4-5D6E-409C-BE32-E72D297353CC}">
              <c16:uniqueId val="{00000001-2D6D-4C53-A301-3E1316B2F62A}"/>
            </c:ext>
          </c:extLst>
        </c:ser>
        <c:ser>
          <c:idx val="3"/>
          <c:order val="2"/>
          <c:tx>
            <c:strRef>
              <c:f>'Tableau détaillé'!$AA$400</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détaillé'!$AA$401</c:f>
            </c:numRef>
          </c:val>
          <c:extLst>
            <c:ext xmlns:c15="http://schemas.microsoft.com/office/drawing/2012/chart" uri="{02D57815-91ED-43cb-92C2-25804820EDAC}">
              <c15:filteredCategoryTitle>
                <c15:cat>
                  <c:multiLvlStrRef>
                    <c:extLst>
                      <c:ext uri="{02D57815-91ED-43cb-92C2-25804820EDAC}">
                        <c15:formulaRef>
                          <c15:sqref>'Tableau détaillé'!$D$401</c15:sqref>
                        </c15:formulaRef>
                      </c:ext>
                    </c:extLst>
                  </c:multiLvlStrRef>
                </c15:cat>
              </c15:filteredCategoryTitle>
            </c:ext>
            <c:ext xmlns:c16="http://schemas.microsoft.com/office/drawing/2014/chart" uri="{C3380CC4-5D6E-409C-BE32-E72D297353CC}">
              <c16:uniqueId val="{00000002-2D6D-4C53-A301-3E1316B2F62A}"/>
            </c:ext>
          </c:extLst>
        </c:ser>
        <c:ser>
          <c:idx val="4"/>
          <c:order val="3"/>
          <c:tx>
            <c:strRef>
              <c:f>'Tableau détaillé'!$AB$400</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détaillé'!$AB$401</c:f>
            </c:numRef>
          </c:val>
          <c:extLst>
            <c:ext xmlns:c15="http://schemas.microsoft.com/office/drawing/2012/chart" uri="{02D57815-91ED-43cb-92C2-25804820EDAC}">
              <c15:filteredCategoryTitle>
                <c15:cat>
                  <c:multiLvlStrRef>
                    <c:extLst>
                      <c:ext uri="{02D57815-91ED-43cb-92C2-25804820EDAC}">
                        <c15:formulaRef>
                          <c15:sqref>'Tableau détaillé'!$D$401</c15:sqref>
                        </c15:formulaRef>
                      </c:ext>
                    </c:extLst>
                  </c:multiLvlStrRef>
                </c15:cat>
              </c15:filteredCategoryTitle>
            </c:ext>
            <c:ext xmlns:c16="http://schemas.microsoft.com/office/drawing/2014/chart" uri="{C3380CC4-5D6E-409C-BE32-E72D297353CC}">
              <c16:uniqueId val="{00000003-2D6D-4C53-A301-3E1316B2F62A}"/>
            </c:ext>
          </c:extLst>
        </c:ser>
        <c:ser>
          <c:idx val="5"/>
          <c:order val="4"/>
          <c:tx>
            <c:strRef>
              <c:f>'Tableau détaillé'!$AC$400</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détaillé'!$AC$401</c:f>
            </c:numRef>
          </c:val>
          <c:extLst>
            <c:ext xmlns:c15="http://schemas.microsoft.com/office/drawing/2012/chart" uri="{02D57815-91ED-43cb-92C2-25804820EDAC}">
              <c15:filteredCategoryTitle>
                <c15:cat>
                  <c:multiLvlStrRef>
                    <c:extLst>
                      <c:ext uri="{02D57815-91ED-43cb-92C2-25804820EDAC}">
                        <c15:formulaRef>
                          <c15:sqref>'Tableau détaillé'!$D$401</c15:sqref>
                        </c15:formulaRef>
                      </c:ext>
                    </c:extLst>
                  </c:multiLvlStrRef>
                </c15:cat>
              </c15:filteredCategoryTitle>
            </c:ext>
            <c:ext xmlns:c16="http://schemas.microsoft.com/office/drawing/2014/chart" uri="{C3380CC4-5D6E-409C-BE32-E72D297353CC}">
              <c16:uniqueId val="{00000004-2D6D-4C53-A301-3E1316B2F62A}"/>
            </c:ext>
          </c:extLst>
        </c:ser>
        <c:ser>
          <c:idx val="0"/>
          <c:order val="5"/>
          <c:tx>
            <c:strRef>
              <c:f>'Tableau détaillé'!$AD$364</c:f>
              <c:strCache>
                <c:ptCount val="1"/>
                <c:pt idx="0">
                  <c:v>31/01/2021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détaillé'!$AD$401</c:f>
            </c:numRef>
          </c:val>
          <c:extLst>
            <c:ext xmlns:c15="http://schemas.microsoft.com/office/drawing/2012/chart" uri="{02D57815-91ED-43cb-92C2-25804820EDAC}">
              <c15:filteredCategoryTitle>
                <c15:cat>
                  <c:multiLvlStrRef>
                    <c:extLst>
                      <c:ext uri="{02D57815-91ED-43cb-92C2-25804820EDAC}">
                        <c15:formulaRef>
                          <c15:sqref>'Tableau détaillé'!$D$401</c15:sqref>
                        </c15:formulaRef>
                      </c:ext>
                    </c:extLst>
                  </c:multiLvlStrRef>
                </c15:cat>
              </c15:filteredCategoryTitle>
            </c:ext>
            <c:ext xmlns:c16="http://schemas.microsoft.com/office/drawing/2014/chart" uri="{C3380CC4-5D6E-409C-BE32-E72D297353CC}">
              <c16:uniqueId val="{00000005-2D6D-4C53-A301-3E1316B2F62A}"/>
            </c:ext>
          </c:extLst>
        </c:ser>
        <c:dLbls>
          <c:showLegendKey val="0"/>
          <c:showVal val="0"/>
          <c:showCatName val="0"/>
          <c:showSerName val="0"/>
          <c:showPercent val="0"/>
          <c:showBubbleSize val="0"/>
        </c:dLbls>
        <c:gapWidth val="219"/>
        <c:overlap val="-27"/>
        <c:axId val="964146456"/>
        <c:axId val="964138224"/>
      </c:barChart>
      <c:catAx>
        <c:axId val="964146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38224"/>
        <c:crosses val="autoZero"/>
        <c:auto val="1"/>
        <c:lblAlgn val="ctr"/>
        <c:lblOffset val="100"/>
        <c:noMultiLvlLbl val="0"/>
      </c:catAx>
      <c:valAx>
        <c:axId val="9641382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6456"/>
        <c:crosses val="autoZero"/>
        <c:crossBetween val="between"/>
      </c:valAx>
      <c:spPr>
        <a:noFill/>
        <a:ln>
          <a:noFill/>
        </a:ln>
        <a:effectLst/>
      </c:spPr>
    </c:plotArea>
    <c:legend>
      <c:legendPos val="b"/>
      <c:layout>
        <c:manualLayout>
          <c:xMode val="edge"/>
          <c:yMode val="edge"/>
          <c:x val="1.1131444264578013E-2"/>
          <c:y val="0.89203718973409096"/>
          <c:w val="0.98886855573542198"/>
          <c:h val="7.655324376849724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(CAV</a:t>
            </a:r>
            <a:r>
              <a:rPr lang="fr-FR" baseline="0"/>
              <a:t> </a:t>
            </a:r>
            <a:r>
              <a:rPr lang="fr-FR"/>
              <a:t>fermés)</a:t>
            </a:r>
            <a:r>
              <a:rPr lang="fr-FR" baseline="0"/>
              <a:t> </a:t>
            </a:r>
            <a:r>
              <a:rPr lang="fr-FR"/>
              <a:t>par entité</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1"/>
          <c:order val="0"/>
          <c:tx>
            <c:strRef>
              <c:f>'Tableau détaillé'!$Y$364</c:f>
              <c:strCache>
                <c:ptCount val="1"/>
                <c:pt idx="0">
                  <c:v>30/09/2020</c:v>
                </c:pt>
              </c:strCache>
            </c:strRef>
          </c:tx>
          <c:spPr>
            <a:solidFill>
              <a:schemeClr val="accent2"/>
            </a:solidFill>
            <a:ln>
              <a:noFill/>
            </a:ln>
            <a:effectLst/>
          </c:spPr>
          <c:invertIfNegative val="0"/>
          <c:cat>
            <c:multiLvlStrRef>
              <c:f>('Tableau détaillé'!$D$402:$D$408,'Tableau détaillé'!$D$410:$D$413)</c:f>
            </c:multiLvlStrRef>
          </c:cat>
          <c:val>
            <c:numRef>
              <c:f>('Tableau détaillé'!$Y$402:$Y$408,'Tableau détaillé'!$Y$410:$Y$413)</c:f>
            </c:numRef>
          </c:val>
          <c:extLst>
            <c:ext xmlns:c16="http://schemas.microsoft.com/office/drawing/2014/chart" uri="{C3380CC4-5D6E-409C-BE32-E72D297353CC}">
              <c16:uniqueId val="{00000000-0C27-4932-A468-5CCD360418FC}"/>
            </c:ext>
          </c:extLst>
        </c:ser>
        <c:ser>
          <c:idx val="2"/>
          <c:order val="1"/>
          <c:tx>
            <c:strRef>
              <c:f>'Tableau détaillé'!$Z$364</c:f>
              <c:strCache>
                <c:ptCount val="1"/>
                <c:pt idx="0">
                  <c:v>30/09/2020</c:v>
                </c:pt>
              </c:strCache>
            </c:strRef>
          </c:tx>
          <c:spPr>
            <a:solidFill>
              <a:schemeClr val="accent3"/>
            </a:solidFill>
            <a:ln>
              <a:noFill/>
            </a:ln>
            <a:effectLst/>
          </c:spPr>
          <c:invertIfNegative val="0"/>
          <c:cat>
            <c:multiLvlStrRef>
              <c:f>('Tableau détaillé'!$D$402:$D$408,'Tableau détaillé'!$D$410:$D$413)</c:f>
            </c:multiLvlStrRef>
          </c:cat>
          <c:val>
            <c:numRef>
              <c:f>('Tableau détaillé'!$Z$402:$Z$408,'Tableau détaillé'!$Z$410:$Z$413)</c:f>
            </c:numRef>
          </c:val>
          <c:extLst>
            <c:ext xmlns:c16="http://schemas.microsoft.com/office/drawing/2014/chart" uri="{C3380CC4-5D6E-409C-BE32-E72D297353CC}">
              <c16:uniqueId val="{00000001-0C27-4932-A468-5CCD360418FC}"/>
            </c:ext>
          </c:extLst>
        </c:ser>
        <c:ser>
          <c:idx val="3"/>
          <c:order val="2"/>
          <c:tx>
            <c:strRef>
              <c:f>'Tableau détaillé'!$AA$400</c:f>
              <c:strCache>
                <c:ptCount val="1"/>
                <c:pt idx="0">
                  <c:v>31/10/2020</c:v>
                </c:pt>
              </c:strCache>
            </c:strRef>
          </c:tx>
          <c:spPr>
            <a:solidFill>
              <a:schemeClr val="accent4"/>
            </a:solidFill>
            <a:ln>
              <a:noFill/>
            </a:ln>
            <a:effectLst/>
          </c:spPr>
          <c:invertIfNegative val="0"/>
          <c:cat>
            <c:multiLvlStrRef>
              <c:f>('Tableau détaillé'!$D$402:$D$408,'Tableau détaillé'!$D$410:$D$413)</c:f>
            </c:multiLvlStrRef>
          </c:cat>
          <c:val>
            <c:numRef>
              <c:f>('Tableau détaillé'!$AA$402:$AA$408,'Tableau détaillé'!$AA$410:$AA$413)</c:f>
            </c:numRef>
          </c:val>
          <c:extLst>
            <c:ext xmlns:c16="http://schemas.microsoft.com/office/drawing/2014/chart" uri="{C3380CC4-5D6E-409C-BE32-E72D297353CC}">
              <c16:uniqueId val="{00000002-0C27-4932-A468-5CCD360418FC}"/>
            </c:ext>
          </c:extLst>
        </c:ser>
        <c:ser>
          <c:idx val="4"/>
          <c:order val="3"/>
          <c:tx>
            <c:strRef>
              <c:f>'Tableau détaillé'!$AB$400</c:f>
              <c:strCache>
                <c:ptCount val="1"/>
                <c:pt idx="0">
                  <c:v>30/11/2020</c:v>
                </c:pt>
              </c:strCache>
            </c:strRef>
          </c:tx>
          <c:spPr>
            <a:solidFill>
              <a:schemeClr val="accent5"/>
            </a:solidFill>
            <a:ln>
              <a:noFill/>
            </a:ln>
            <a:effectLst/>
          </c:spPr>
          <c:invertIfNegative val="0"/>
          <c:cat>
            <c:multiLvlStrRef>
              <c:f>('Tableau détaillé'!$D$402:$D$408,'Tableau détaillé'!$D$410:$D$413)</c:f>
            </c:multiLvlStrRef>
          </c:cat>
          <c:val>
            <c:numRef>
              <c:f>('Tableau détaillé'!$AB$402:$AB$408,'Tableau détaillé'!$AB$410:$AB$413)</c:f>
            </c:numRef>
          </c:val>
          <c:extLst>
            <c:ext xmlns:c16="http://schemas.microsoft.com/office/drawing/2014/chart" uri="{C3380CC4-5D6E-409C-BE32-E72D297353CC}">
              <c16:uniqueId val="{00000003-0C27-4932-A468-5CCD360418FC}"/>
            </c:ext>
          </c:extLst>
        </c:ser>
        <c:ser>
          <c:idx val="5"/>
          <c:order val="4"/>
          <c:tx>
            <c:strRef>
              <c:f>'Tableau détaillé'!$AC$400</c:f>
              <c:strCache>
                <c:ptCount val="1"/>
                <c:pt idx="0">
                  <c:v>31/12/2020</c:v>
                </c:pt>
              </c:strCache>
            </c:strRef>
          </c:tx>
          <c:spPr>
            <a:solidFill>
              <a:schemeClr val="accent6"/>
            </a:solidFill>
            <a:ln>
              <a:noFill/>
            </a:ln>
            <a:effectLst/>
          </c:spPr>
          <c:invertIfNegative val="0"/>
          <c:cat>
            <c:multiLvlStrRef>
              <c:f>('Tableau détaillé'!$D$402:$D$408,'Tableau détaillé'!$D$410:$D$413)</c:f>
            </c:multiLvlStrRef>
          </c:cat>
          <c:val>
            <c:numRef>
              <c:f>('Tableau détaillé'!$AC$402:$AC$408,'Tableau détaillé'!$AC$410:$AC$413)</c:f>
            </c:numRef>
          </c:val>
          <c:extLst>
            <c:ext xmlns:c16="http://schemas.microsoft.com/office/drawing/2014/chart" uri="{C3380CC4-5D6E-409C-BE32-E72D297353CC}">
              <c16:uniqueId val="{00000004-0C27-4932-A468-5CCD360418FC}"/>
            </c:ext>
          </c:extLst>
        </c:ser>
        <c:ser>
          <c:idx val="0"/>
          <c:order val="5"/>
          <c:tx>
            <c:strRef>
              <c:f>'Tableau détaillé'!$AD$364</c:f>
              <c:strCache>
                <c:ptCount val="1"/>
                <c:pt idx="0">
                  <c:v>31/01/2021</c:v>
                </c:pt>
              </c:strCache>
            </c:strRef>
          </c:tx>
          <c:spPr>
            <a:solidFill>
              <a:schemeClr val="accent1"/>
            </a:solidFill>
            <a:ln>
              <a:noFill/>
            </a:ln>
            <a:effectLst/>
          </c:spPr>
          <c:invertIfNegative val="0"/>
          <c:cat>
            <c:multiLvlStrRef>
              <c:f>('Tableau détaillé'!$D$402:$D$408,'Tableau détaillé'!$D$410:$D$413)</c:f>
            </c:multiLvlStrRef>
          </c:cat>
          <c:val>
            <c:numRef>
              <c:f>('Tableau détaillé'!$AD$402:$AD$408,'Tableau détaillé'!$AD$410:$AD$413)</c:f>
            </c:numRef>
          </c:val>
          <c:extLst>
            <c:ext xmlns:c16="http://schemas.microsoft.com/office/drawing/2014/chart" uri="{C3380CC4-5D6E-409C-BE32-E72D297353CC}">
              <c16:uniqueId val="{00000005-0C27-4932-A468-5CCD360418FC}"/>
            </c:ext>
          </c:extLst>
        </c:ser>
        <c:dLbls>
          <c:showLegendKey val="0"/>
          <c:showVal val="0"/>
          <c:showCatName val="0"/>
          <c:showSerName val="0"/>
          <c:showPercent val="0"/>
          <c:showBubbleSize val="0"/>
        </c:dLbls>
        <c:gapWidth val="219"/>
        <c:overlap val="-27"/>
        <c:axId val="964148808"/>
        <c:axId val="964143712"/>
      </c:barChart>
      <c:catAx>
        <c:axId val="964148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3712"/>
        <c:crosses val="autoZero"/>
        <c:auto val="1"/>
        <c:lblAlgn val="ctr"/>
        <c:lblOffset val="100"/>
        <c:noMultiLvlLbl val="0"/>
      </c:catAx>
      <c:valAx>
        <c:axId val="96414371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8808"/>
        <c:crosses val="autoZero"/>
        <c:crossBetween val="between"/>
      </c:valAx>
      <c:spPr>
        <a:noFill/>
        <a:ln>
          <a:noFill/>
        </a:ln>
        <a:effectLst/>
      </c:spPr>
    </c:plotArea>
    <c:legend>
      <c:legendPos val="b"/>
      <c:layout>
        <c:manualLayout>
          <c:xMode val="edge"/>
          <c:yMode val="edge"/>
          <c:x val="0.21873183568029136"/>
          <c:y val="0.89203718973409096"/>
          <c:w val="0.55684344566431454"/>
          <c:h val="7.678097061212003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(CAV inactifs) par entité</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4.76726560505965E-2"/>
          <c:y val="0.13143517187599521"/>
          <c:w val="0.95232734394940366"/>
          <c:h val="0.6591692731958142"/>
        </c:manualLayout>
      </c:layout>
      <c:barChart>
        <c:barDir val="col"/>
        <c:grouping val="clustered"/>
        <c:varyColors val="0"/>
        <c:ser>
          <c:idx val="1"/>
          <c:order val="0"/>
          <c:tx>
            <c:strRef>
              <c:f>'Tableau détaillé'!$Y$364</c:f>
              <c:strCache>
                <c:ptCount val="1"/>
                <c:pt idx="0">
                  <c:v>30/09/2020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détaillé'!$D$439:$D$445,'Tableau détaillé'!$D$447:$D$450)</c:f>
            </c:multiLvlStrRef>
          </c:cat>
          <c:val>
            <c:numRef>
              <c:f>('Tableau détaillé'!$Y$439:$Y$445,'Tableau détaillé'!$Y$447:$Y$450)</c:f>
            </c:numRef>
          </c:val>
          <c:extLst>
            <c:ext xmlns:c16="http://schemas.microsoft.com/office/drawing/2014/chart" uri="{C3380CC4-5D6E-409C-BE32-E72D297353CC}">
              <c16:uniqueId val="{00000000-FE55-460A-B286-FE643B5425CC}"/>
            </c:ext>
          </c:extLst>
        </c:ser>
        <c:ser>
          <c:idx val="2"/>
          <c:order val="1"/>
          <c:tx>
            <c:strRef>
              <c:f>'Tableau détaillé'!$Z$364</c:f>
              <c:strCache>
                <c:ptCount val="1"/>
                <c:pt idx="0">
                  <c:v>30/09/2020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détaillé'!$D$439:$D$445,'Tableau détaillé'!$D$447:$D$450)</c:f>
            </c:multiLvlStrRef>
          </c:cat>
          <c:val>
            <c:numRef>
              <c:f>('Tableau détaillé'!$Z$439:$Z$445,'Tableau détaillé'!$Z$447:$Z$450)</c:f>
            </c:numRef>
          </c:val>
          <c:extLst>
            <c:ext xmlns:c16="http://schemas.microsoft.com/office/drawing/2014/chart" uri="{C3380CC4-5D6E-409C-BE32-E72D297353CC}">
              <c16:uniqueId val="{00000001-FE55-460A-B286-FE643B5425CC}"/>
            </c:ext>
          </c:extLst>
        </c:ser>
        <c:ser>
          <c:idx val="3"/>
          <c:order val="2"/>
          <c:tx>
            <c:strRef>
              <c:f>'Tableau détaillé'!$AA$437</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détaillé'!$D$439:$D$445,'Tableau détaillé'!$D$447:$D$450)</c:f>
            </c:multiLvlStrRef>
          </c:cat>
          <c:val>
            <c:numRef>
              <c:f>('Tableau détaillé'!$AA$439:$AA$445,'Tableau détaillé'!$AA$447:$AA$450)</c:f>
            </c:numRef>
          </c:val>
          <c:extLst>
            <c:ext xmlns:c16="http://schemas.microsoft.com/office/drawing/2014/chart" uri="{C3380CC4-5D6E-409C-BE32-E72D297353CC}">
              <c16:uniqueId val="{00000002-FE55-460A-B286-FE643B5425CC}"/>
            </c:ext>
          </c:extLst>
        </c:ser>
        <c:ser>
          <c:idx val="4"/>
          <c:order val="3"/>
          <c:tx>
            <c:strRef>
              <c:f>'Tableau détaillé'!$AB$437</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détaillé'!$D$439:$D$445,'Tableau détaillé'!$D$447:$D$450)</c:f>
            </c:multiLvlStrRef>
          </c:cat>
          <c:val>
            <c:numRef>
              <c:f>('Tableau détaillé'!$AB$439:$AB$445,'Tableau détaillé'!$AB$447:$AB$450)</c:f>
            </c:numRef>
          </c:val>
          <c:extLst>
            <c:ext xmlns:c16="http://schemas.microsoft.com/office/drawing/2014/chart" uri="{C3380CC4-5D6E-409C-BE32-E72D297353CC}">
              <c16:uniqueId val="{00000003-FE55-460A-B286-FE643B5425CC}"/>
            </c:ext>
          </c:extLst>
        </c:ser>
        <c:ser>
          <c:idx val="5"/>
          <c:order val="4"/>
          <c:tx>
            <c:strRef>
              <c:f>'Tableau détaillé'!$AC$437</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détaillé'!$D$439:$D$445,'Tableau détaillé'!$D$447:$D$450)</c:f>
            </c:multiLvlStrRef>
          </c:cat>
          <c:val>
            <c:numRef>
              <c:f>('Tableau détaillé'!$AC$439:$AC$445,'Tableau détaillé'!$AC$447:$AC$450)</c:f>
            </c:numRef>
          </c:val>
          <c:extLst>
            <c:ext xmlns:c16="http://schemas.microsoft.com/office/drawing/2014/chart" uri="{C3380CC4-5D6E-409C-BE32-E72D297353CC}">
              <c16:uniqueId val="{00000004-FE55-460A-B286-FE643B5425CC}"/>
            </c:ext>
          </c:extLst>
        </c:ser>
        <c:ser>
          <c:idx val="0"/>
          <c:order val="5"/>
          <c:tx>
            <c:strRef>
              <c:f>'Tableau détaillé'!$AD$364</c:f>
              <c:strCache>
                <c:ptCount val="1"/>
                <c:pt idx="0">
                  <c:v>31/01/2021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détaillé'!$D$439:$D$445,'Tableau détaillé'!$D$447:$D$450)</c:f>
            </c:multiLvlStrRef>
          </c:cat>
          <c:val>
            <c:numRef>
              <c:f>('Tableau détaillé'!$AD$439:$AD$445,'Tableau détaillé'!$AD$447:$AD$450)</c:f>
            </c:numRef>
          </c:val>
          <c:extLst>
            <c:ext xmlns:c16="http://schemas.microsoft.com/office/drawing/2014/chart" uri="{C3380CC4-5D6E-409C-BE32-E72D297353CC}">
              <c16:uniqueId val="{00000005-FE55-460A-B286-FE643B5425CC}"/>
            </c:ext>
          </c:extLst>
        </c:ser>
        <c:dLbls>
          <c:showLegendKey val="0"/>
          <c:showVal val="0"/>
          <c:showCatName val="0"/>
          <c:showSerName val="0"/>
          <c:showPercent val="0"/>
          <c:showBubbleSize val="0"/>
        </c:dLbls>
        <c:gapWidth val="219"/>
        <c:overlap val="-27"/>
        <c:axId val="964144496"/>
        <c:axId val="964147240"/>
      </c:barChart>
      <c:catAx>
        <c:axId val="96414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7240"/>
        <c:crosses val="autoZero"/>
        <c:auto val="1"/>
        <c:lblAlgn val="ctr"/>
        <c:lblOffset val="100"/>
        <c:noMultiLvlLbl val="0"/>
      </c:catAx>
      <c:valAx>
        <c:axId val="9641472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4496"/>
        <c:crosses val="autoZero"/>
        <c:crossBetween val="between"/>
      </c:valAx>
      <c:spPr>
        <a:noFill/>
        <a:ln>
          <a:noFill/>
        </a:ln>
        <a:effectLst/>
      </c:spPr>
    </c:plotArea>
    <c:legend>
      <c:legendPos val="b"/>
      <c:layout>
        <c:manualLayout>
          <c:xMode val="edge"/>
          <c:yMode val="edge"/>
          <c:x val="0.22694163682533239"/>
          <c:y val="0.89203718973409096"/>
          <c:w val="0.53631894280171211"/>
          <c:h val="6.95589088403432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a:t>
            </a:r>
            <a:r>
              <a:rPr lang="fr-FR" sz="1400" b="1" i="0" u="none" strike="noStrike" baseline="0">
                <a:effectLst/>
              </a:rPr>
              <a:t> (CAV inactifs) </a:t>
            </a:r>
            <a:r>
              <a:rPr lang="fr-FR"/>
              <a:t>par DR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0243520708117378E-2"/>
          <c:y val="0.13143517187599521"/>
          <c:w val="0.90975647929188275"/>
          <c:h val="0.6591692731958142"/>
        </c:manualLayout>
      </c:layout>
      <c:barChart>
        <c:barDir val="col"/>
        <c:grouping val="clustered"/>
        <c:varyColors val="0"/>
        <c:ser>
          <c:idx val="1"/>
          <c:order val="0"/>
          <c:tx>
            <c:strRef>
              <c:f>'Tableau détaillé'!$Y$364</c:f>
              <c:strCache>
                <c:ptCount val="1"/>
                <c:pt idx="0">
                  <c:v>30/09/2020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détaillé'!$D$446,'Tableau détaillé'!$D$451)</c:f>
            </c:multiLvlStrRef>
          </c:cat>
          <c:val>
            <c:numRef>
              <c:f>('Tableau détaillé'!$Y$446,'Tableau détaillé'!$Y$451)</c:f>
            </c:numRef>
          </c:val>
          <c:extLst>
            <c:ext xmlns:c16="http://schemas.microsoft.com/office/drawing/2014/chart" uri="{C3380CC4-5D6E-409C-BE32-E72D297353CC}">
              <c16:uniqueId val="{00000000-2A10-4CBE-BACD-86F486367BAC}"/>
            </c:ext>
          </c:extLst>
        </c:ser>
        <c:ser>
          <c:idx val="2"/>
          <c:order val="1"/>
          <c:tx>
            <c:strRef>
              <c:f>'Tableau détaillé'!$Z$364</c:f>
              <c:strCache>
                <c:ptCount val="1"/>
                <c:pt idx="0">
                  <c:v>30/09/2020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détaillé'!$D$446,'Tableau détaillé'!$D$451)</c:f>
            </c:multiLvlStrRef>
          </c:cat>
          <c:val>
            <c:numRef>
              <c:f>('Tableau détaillé'!$Z$446,'Tableau détaillé'!$Z$451)</c:f>
            </c:numRef>
          </c:val>
          <c:extLst>
            <c:ext xmlns:c16="http://schemas.microsoft.com/office/drawing/2014/chart" uri="{C3380CC4-5D6E-409C-BE32-E72D297353CC}">
              <c16:uniqueId val="{00000001-2A10-4CBE-BACD-86F486367BAC}"/>
            </c:ext>
          </c:extLst>
        </c:ser>
        <c:ser>
          <c:idx val="3"/>
          <c:order val="2"/>
          <c:tx>
            <c:strRef>
              <c:f>'Tableau détaillé'!$AA$437</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détaillé'!$D$446,'Tableau détaillé'!$D$451)</c:f>
            </c:multiLvlStrRef>
          </c:cat>
          <c:val>
            <c:numRef>
              <c:f>('Tableau détaillé'!$AA$446,'Tableau détaillé'!$AA$451)</c:f>
            </c:numRef>
          </c:val>
          <c:extLst>
            <c:ext xmlns:c16="http://schemas.microsoft.com/office/drawing/2014/chart" uri="{C3380CC4-5D6E-409C-BE32-E72D297353CC}">
              <c16:uniqueId val="{00000002-2A10-4CBE-BACD-86F486367BAC}"/>
            </c:ext>
          </c:extLst>
        </c:ser>
        <c:ser>
          <c:idx val="4"/>
          <c:order val="3"/>
          <c:tx>
            <c:strRef>
              <c:f>'Tableau détaillé'!$AB$437</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détaillé'!$D$446,'Tableau détaillé'!$D$451)</c:f>
            </c:multiLvlStrRef>
          </c:cat>
          <c:val>
            <c:numRef>
              <c:f>('Tableau détaillé'!$AB$446,'Tableau détaillé'!$AB$451)</c:f>
            </c:numRef>
          </c:val>
          <c:extLst>
            <c:ext xmlns:c16="http://schemas.microsoft.com/office/drawing/2014/chart" uri="{C3380CC4-5D6E-409C-BE32-E72D297353CC}">
              <c16:uniqueId val="{00000003-2A10-4CBE-BACD-86F486367BAC}"/>
            </c:ext>
          </c:extLst>
        </c:ser>
        <c:ser>
          <c:idx val="5"/>
          <c:order val="4"/>
          <c:tx>
            <c:strRef>
              <c:f>'Tableau détaillé'!$AC$437</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détaillé'!$D$446,'Tableau détaillé'!$D$451)</c:f>
            </c:multiLvlStrRef>
          </c:cat>
          <c:val>
            <c:numRef>
              <c:f>('Tableau détaillé'!$AC$446,'Tableau détaillé'!$AC$451)</c:f>
            </c:numRef>
          </c:val>
          <c:extLst>
            <c:ext xmlns:c16="http://schemas.microsoft.com/office/drawing/2014/chart" uri="{C3380CC4-5D6E-409C-BE32-E72D297353CC}">
              <c16:uniqueId val="{00000004-2A10-4CBE-BACD-86F486367BAC}"/>
            </c:ext>
          </c:extLst>
        </c:ser>
        <c:ser>
          <c:idx val="0"/>
          <c:order val="5"/>
          <c:tx>
            <c:strRef>
              <c:f>'Tableau détaillé'!$AD$364</c:f>
              <c:strCache>
                <c:ptCount val="1"/>
                <c:pt idx="0">
                  <c:v>31/01/2021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('Tableau détaillé'!$D$446,'Tableau détaillé'!$D$451)</c:f>
            </c:multiLvlStrRef>
          </c:cat>
          <c:val>
            <c:numRef>
              <c:f>('Tableau détaillé'!$AD$446,'Tableau détaillé'!$AD$451)</c:f>
            </c:numRef>
          </c:val>
          <c:extLst>
            <c:ext xmlns:c16="http://schemas.microsoft.com/office/drawing/2014/chart" uri="{C3380CC4-5D6E-409C-BE32-E72D297353CC}">
              <c16:uniqueId val="{00000005-2A10-4CBE-BACD-86F486367BAC}"/>
            </c:ext>
          </c:extLst>
        </c:ser>
        <c:dLbls>
          <c:showLegendKey val="0"/>
          <c:showVal val="0"/>
          <c:showCatName val="0"/>
          <c:showSerName val="0"/>
          <c:showPercent val="0"/>
          <c:showBubbleSize val="0"/>
        </c:dLbls>
        <c:gapWidth val="219"/>
        <c:overlap val="-27"/>
        <c:axId val="964149200"/>
        <c:axId val="964137832"/>
      </c:barChart>
      <c:catAx>
        <c:axId val="96414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37832"/>
        <c:crosses val="autoZero"/>
        <c:auto val="1"/>
        <c:lblAlgn val="ctr"/>
        <c:lblOffset val="100"/>
        <c:noMultiLvlLbl val="0"/>
      </c:catAx>
      <c:valAx>
        <c:axId val="96413783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9200"/>
        <c:crosses val="autoZero"/>
        <c:crossBetween val="between"/>
      </c:valAx>
      <c:spPr>
        <a:noFill/>
        <a:ln>
          <a:noFill/>
        </a:ln>
        <a:effectLst/>
      </c:spPr>
    </c:plotArea>
    <c:legend>
      <c:legendPos val="b"/>
      <c:layout>
        <c:manualLayout>
          <c:xMode val="edge"/>
          <c:yMode val="edge"/>
          <c:x val="1.8851669187203199E-2"/>
          <c:y val="0.89203718973409096"/>
          <c:w val="0.98114833081279684"/>
          <c:h val="6.77494518043784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a:t>
            </a:r>
            <a:r>
              <a:rPr lang="fr-FR" sz="1400" b="1" i="0" u="none" strike="noStrike" baseline="0">
                <a:effectLst/>
              </a:rPr>
              <a:t>(CAV inactifs) </a:t>
            </a:r>
            <a:r>
              <a:rPr lang="fr-FR"/>
              <a:t> AFS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358665572343332E-2"/>
          <c:y val="0.13143517187599521"/>
          <c:w val="0.90764133442765682"/>
          <c:h val="0.6591692731958142"/>
        </c:manualLayout>
      </c:layout>
      <c:barChart>
        <c:barDir val="col"/>
        <c:grouping val="clustered"/>
        <c:varyColors val="0"/>
        <c:ser>
          <c:idx val="1"/>
          <c:order val="0"/>
          <c:tx>
            <c:strRef>
              <c:f>'Tableau détaillé'!$Y$364</c:f>
              <c:strCache>
                <c:ptCount val="1"/>
                <c:pt idx="0">
                  <c:v>30/09/2020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détaillé'!$Y$438</c:f>
            </c:numRef>
          </c:val>
          <c:extLst>
            <c:ext xmlns:c15="http://schemas.microsoft.com/office/drawing/2012/chart" uri="{02D57815-91ED-43cb-92C2-25804820EDAC}">
              <c15:filteredCategoryTitle>
                <c15:cat>
                  <c:multiLvlStrRef>
                    <c:extLst>
                      <c:ext uri="{02D57815-91ED-43cb-92C2-25804820EDAC}">
                        <c15:formulaRef>
                          <c15:sqref>'Tableau détaillé'!$D$438</c15:sqref>
                        </c15:formulaRef>
                      </c:ext>
                    </c:extLst>
                  </c:multiLvlStrRef>
                </c15:cat>
              </c15:filteredCategoryTitle>
            </c:ext>
            <c:ext xmlns:c16="http://schemas.microsoft.com/office/drawing/2014/chart" uri="{C3380CC4-5D6E-409C-BE32-E72D297353CC}">
              <c16:uniqueId val="{00000000-02F2-43C8-AAC8-53FEBCAB4D8F}"/>
            </c:ext>
          </c:extLst>
        </c:ser>
        <c:ser>
          <c:idx val="2"/>
          <c:order val="1"/>
          <c:tx>
            <c:strRef>
              <c:f>'Tableau détaillé'!$Z$364</c:f>
              <c:strCache>
                <c:ptCount val="1"/>
                <c:pt idx="0">
                  <c:v>30/09/2020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détaillé'!$Z$438</c:f>
            </c:numRef>
          </c:val>
          <c:extLst>
            <c:ext xmlns:c15="http://schemas.microsoft.com/office/drawing/2012/chart" uri="{02D57815-91ED-43cb-92C2-25804820EDAC}">
              <c15:filteredCategoryTitle>
                <c15:cat>
                  <c:multiLvlStrRef>
                    <c:extLst>
                      <c:ext uri="{02D57815-91ED-43cb-92C2-25804820EDAC}">
                        <c15:formulaRef>
                          <c15:sqref>'Tableau détaillé'!$D$438</c15:sqref>
                        </c15:formulaRef>
                      </c:ext>
                    </c:extLst>
                  </c:multiLvlStrRef>
                </c15:cat>
              </c15:filteredCategoryTitle>
            </c:ext>
            <c:ext xmlns:c16="http://schemas.microsoft.com/office/drawing/2014/chart" uri="{C3380CC4-5D6E-409C-BE32-E72D297353CC}">
              <c16:uniqueId val="{00000001-02F2-43C8-AAC8-53FEBCAB4D8F}"/>
            </c:ext>
          </c:extLst>
        </c:ser>
        <c:ser>
          <c:idx val="3"/>
          <c:order val="2"/>
          <c:tx>
            <c:strRef>
              <c:f>'Tableau détaillé'!$AA$437</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détaillé'!$AA$438</c:f>
            </c:numRef>
          </c:val>
          <c:extLst>
            <c:ext xmlns:c15="http://schemas.microsoft.com/office/drawing/2012/chart" uri="{02D57815-91ED-43cb-92C2-25804820EDAC}">
              <c15:filteredCategoryTitle>
                <c15:cat>
                  <c:multiLvlStrRef>
                    <c:extLst>
                      <c:ext uri="{02D57815-91ED-43cb-92C2-25804820EDAC}">
                        <c15:formulaRef>
                          <c15:sqref>'Tableau détaillé'!$D$438</c15:sqref>
                        </c15:formulaRef>
                      </c:ext>
                    </c:extLst>
                  </c:multiLvlStrRef>
                </c15:cat>
              </c15:filteredCategoryTitle>
            </c:ext>
            <c:ext xmlns:c16="http://schemas.microsoft.com/office/drawing/2014/chart" uri="{C3380CC4-5D6E-409C-BE32-E72D297353CC}">
              <c16:uniqueId val="{00000002-02F2-43C8-AAC8-53FEBCAB4D8F}"/>
            </c:ext>
          </c:extLst>
        </c:ser>
        <c:ser>
          <c:idx val="4"/>
          <c:order val="3"/>
          <c:tx>
            <c:strRef>
              <c:f>'Tableau détaillé'!$AB$437</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détaillé'!$AB$438</c:f>
            </c:numRef>
          </c:val>
          <c:extLst>
            <c:ext xmlns:c15="http://schemas.microsoft.com/office/drawing/2012/chart" uri="{02D57815-91ED-43cb-92C2-25804820EDAC}">
              <c15:filteredCategoryTitle>
                <c15:cat>
                  <c:multiLvlStrRef>
                    <c:extLst>
                      <c:ext uri="{02D57815-91ED-43cb-92C2-25804820EDAC}">
                        <c15:formulaRef>
                          <c15:sqref>'Tableau détaillé'!$D$438</c15:sqref>
                        </c15:formulaRef>
                      </c:ext>
                    </c:extLst>
                  </c:multiLvlStrRef>
                </c15:cat>
              </c15:filteredCategoryTitle>
            </c:ext>
            <c:ext xmlns:c16="http://schemas.microsoft.com/office/drawing/2014/chart" uri="{C3380CC4-5D6E-409C-BE32-E72D297353CC}">
              <c16:uniqueId val="{00000003-02F2-43C8-AAC8-53FEBCAB4D8F}"/>
            </c:ext>
          </c:extLst>
        </c:ser>
        <c:ser>
          <c:idx val="5"/>
          <c:order val="4"/>
          <c:tx>
            <c:strRef>
              <c:f>'Tableau détaillé'!$AC$437</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détaillé'!$AC$438</c:f>
            </c:numRef>
          </c:val>
          <c:extLst>
            <c:ext xmlns:c15="http://schemas.microsoft.com/office/drawing/2012/chart" uri="{02D57815-91ED-43cb-92C2-25804820EDAC}">
              <c15:filteredCategoryTitle>
                <c15:cat>
                  <c:multiLvlStrRef>
                    <c:extLst>
                      <c:ext uri="{02D57815-91ED-43cb-92C2-25804820EDAC}">
                        <c15:formulaRef>
                          <c15:sqref>'Tableau détaillé'!$D$438</c15:sqref>
                        </c15:formulaRef>
                      </c:ext>
                    </c:extLst>
                  </c:multiLvlStrRef>
                </c15:cat>
              </c15:filteredCategoryTitle>
            </c:ext>
            <c:ext xmlns:c16="http://schemas.microsoft.com/office/drawing/2014/chart" uri="{C3380CC4-5D6E-409C-BE32-E72D297353CC}">
              <c16:uniqueId val="{00000004-02F2-43C8-AAC8-53FEBCAB4D8F}"/>
            </c:ext>
          </c:extLst>
        </c:ser>
        <c:ser>
          <c:idx val="0"/>
          <c:order val="5"/>
          <c:tx>
            <c:strRef>
              <c:f>'Tableau détaillé'!$AD$364</c:f>
              <c:strCache>
                <c:ptCount val="1"/>
                <c:pt idx="0">
                  <c:v>31/01/2021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'Tableau détaillé'!$AD$438</c:f>
            </c:numRef>
          </c:val>
          <c:extLst>
            <c:ext xmlns:c15="http://schemas.microsoft.com/office/drawing/2012/chart" uri="{02D57815-91ED-43cb-92C2-25804820EDAC}">
              <c15:filteredCategoryTitle>
                <c15:cat>
                  <c:multiLvlStrRef>
                    <c:extLst>
                      <c:ext uri="{02D57815-91ED-43cb-92C2-25804820EDAC}">
                        <c15:formulaRef>
                          <c15:sqref>'Tableau détaillé'!$D$438</c15:sqref>
                        </c15:formulaRef>
                      </c:ext>
                    </c:extLst>
                  </c:multiLvlStrRef>
                </c15:cat>
              </c15:filteredCategoryTitle>
            </c:ext>
            <c:ext xmlns:c16="http://schemas.microsoft.com/office/drawing/2014/chart" uri="{C3380CC4-5D6E-409C-BE32-E72D297353CC}">
              <c16:uniqueId val="{00000005-02F2-43C8-AAC8-53FEBCAB4D8F}"/>
            </c:ext>
          </c:extLst>
        </c:ser>
        <c:dLbls>
          <c:showLegendKey val="0"/>
          <c:showVal val="0"/>
          <c:showCatName val="0"/>
          <c:showSerName val="0"/>
          <c:showPercent val="0"/>
          <c:showBubbleSize val="0"/>
        </c:dLbls>
        <c:gapWidth val="219"/>
        <c:overlap val="-27"/>
        <c:axId val="964139008"/>
        <c:axId val="964139792"/>
      </c:barChart>
      <c:catAx>
        <c:axId val="96413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39792"/>
        <c:crosses val="autoZero"/>
        <c:auto val="1"/>
        <c:lblAlgn val="ctr"/>
        <c:lblOffset val="100"/>
        <c:noMultiLvlLbl val="0"/>
      </c:catAx>
      <c:valAx>
        <c:axId val="964139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39008"/>
        <c:crosses val="autoZero"/>
        <c:crossBetween val="between"/>
      </c:valAx>
      <c:spPr>
        <a:noFill/>
        <a:ln>
          <a:noFill/>
        </a:ln>
        <a:effectLst/>
      </c:spPr>
    </c:plotArea>
    <c:legend>
      <c:legendPos val="b"/>
      <c:layout>
        <c:manualLayout>
          <c:xMode val="edge"/>
          <c:yMode val="edge"/>
          <c:x val="1.1024967659387975E-2"/>
          <c:y val="0.89203718973409096"/>
          <c:w val="0.98897503234061201"/>
          <c:h val="6.77494518043784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400" b="1"/>
              <a:t>Taux d'attrition sur les CAV par entité</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4.194019324728273E-2"/>
          <c:y val="6.7508354545834356E-2"/>
          <c:w val="0.94288616192918395"/>
          <c:h val="0.7230961979580629"/>
        </c:manualLayout>
      </c:layout>
      <c:barChart>
        <c:barDir val="col"/>
        <c:grouping val="clustered"/>
        <c:varyColors val="0"/>
        <c:ser>
          <c:idx val="3"/>
          <c:order val="0"/>
          <c:tx>
            <c:strRef>
              <c:f>'Tableau détaillé'!$AA$454</c:f>
              <c:strCache>
                <c:ptCount val="1"/>
                <c:pt idx="0">
                  <c:v>31/10/2020</c:v>
                </c:pt>
              </c:strCache>
            </c:strRef>
          </c:tx>
          <c:spPr>
            <a:solidFill>
              <a:schemeClr val="accent4"/>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détaillé'!$AA$456:$AA$462,'Tableau détaillé'!$AA$464:$AA$467)</c:f>
              <c:numCache>
                <c:formatCode>0%</c:formatCode>
                <c:ptCount val="11"/>
                <c:pt idx="0">
                  <c:v>0.18425099969240233</c:v>
                </c:pt>
                <c:pt idx="1">
                  <c:v>0.18928571428571428</c:v>
                </c:pt>
                <c:pt idx="2">
                  <c:v>0.23709167544783982</c:v>
                </c:pt>
                <c:pt idx="3">
                  <c:v>0.11046511627906977</c:v>
                </c:pt>
                <c:pt idx="4">
                  <c:v>0.16908212560386474</c:v>
                </c:pt>
                <c:pt idx="5">
                  <c:v>0.33057851239669422</c:v>
                </c:pt>
                <c:pt idx="6">
                  <c:v>0.18571428571428572</c:v>
                </c:pt>
                <c:pt idx="7">
                  <c:v>0.135678391959799</c:v>
                </c:pt>
                <c:pt idx="8">
                  <c:v>0.1950832672482157</c:v>
                </c:pt>
                <c:pt idx="9">
                  <c:v>0.37362637362637363</c:v>
                </c:pt>
                <c:pt idx="10">
                  <c:v>0.21763085399449036</c:v>
                </c:pt>
              </c:numCache>
            </c:numRef>
          </c:val>
          <c:extLst>
            <c:ext xmlns:c16="http://schemas.microsoft.com/office/drawing/2014/chart" uri="{C3380CC4-5D6E-409C-BE32-E72D297353CC}">
              <c16:uniqueId val="{00000000-D625-48B3-872C-F33BD7DFA5AF}"/>
            </c:ext>
          </c:extLst>
        </c:ser>
        <c:ser>
          <c:idx val="4"/>
          <c:order val="1"/>
          <c:tx>
            <c:strRef>
              <c:f>'Tableau détaillé'!$AB$454</c:f>
              <c:strCache>
                <c:ptCount val="1"/>
                <c:pt idx="0">
                  <c:v>30/11/2020</c:v>
                </c:pt>
              </c:strCache>
            </c:strRef>
          </c:tx>
          <c:spPr>
            <a:solidFill>
              <a:schemeClr val="accent5"/>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détaillé'!$AB$456:$AB$462,'Tableau détaillé'!$AB$464:$AB$467)</c:f>
              <c:numCache>
                <c:formatCode>0%</c:formatCode>
                <c:ptCount val="11"/>
                <c:pt idx="0">
                  <c:v>0.20616203879802206</c:v>
                </c:pt>
                <c:pt idx="1">
                  <c:v>0.28659476117103233</c:v>
                </c:pt>
                <c:pt idx="2">
                  <c:v>0.19681456200227532</c:v>
                </c:pt>
                <c:pt idx="3">
                  <c:v>0.10795454545454546</c:v>
                </c:pt>
                <c:pt idx="4">
                  <c:v>0.22026431718061673</c:v>
                </c:pt>
                <c:pt idx="5">
                  <c:v>0.27027027027027029</c:v>
                </c:pt>
                <c:pt idx="6">
                  <c:v>9.2307692307692313E-2</c:v>
                </c:pt>
                <c:pt idx="7">
                  <c:v>0.14168618266978922</c:v>
                </c:pt>
                <c:pt idx="8">
                  <c:v>0.16950672645739912</c:v>
                </c:pt>
                <c:pt idx="9">
                  <c:v>0.44230769230769229</c:v>
                </c:pt>
                <c:pt idx="10">
                  <c:v>0.23772609819121446</c:v>
                </c:pt>
              </c:numCache>
            </c:numRef>
          </c:val>
          <c:extLst>
            <c:ext xmlns:c16="http://schemas.microsoft.com/office/drawing/2014/chart" uri="{C3380CC4-5D6E-409C-BE32-E72D297353CC}">
              <c16:uniqueId val="{00000001-D625-48B3-872C-F33BD7DFA5AF}"/>
            </c:ext>
          </c:extLst>
        </c:ser>
        <c:ser>
          <c:idx val="5"/>
          <c:order val="2"/>
          <c:tx>
            <c:strRef>
              <c:f>'Tableau détaillé'!$AC$454</c:f>
              <c:strCache>
                <c:ptCount val="1"/>
                <c:pt idx="0">
                  <c:v>31/12/2020</c:v>
                </c:pt>
              </c:strCache>
            </c:strRef>
          </c:tx>
          <c:spPr>
            <a:solidFill>
              <a:schemeClr val="accent6"/>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détaillé'!$AC$456:$AC$462,'Tableau détaillé'!$AC$464:$AC$467)</c:f>
              <c:numCache>
                <c:formatCode>0%</c:formatCode>
                <c:ptCount val="11"/>
                <c:pt idx="0">
                  <c:v>0.17700957934194086</c:v>
                </c:pt>
                <c:pt idx="1">
                  <c:v>0.17519685039370078</c:v>
                </c:pt>
                <c:pt idx="2">
                  <c:v>0.22258414766558088</c:v>
                </c:pt>
                <c:pt idx="3">
                  <c:v>0.15887850467289719</c:v>
                </c:pt>
                <c:pt idx="4">
                  <c:v>0.24764150943396226</c:v>
                </c:pt>
                <c:pt idx="5">
                  <c:v>0.3783783783783784</c:v>
                </c:pt>
                <c:pt idx="6">
                  <c:v>0.13452914798206278</c:v>
                </c:pt>
                <c:pt idx="7">
                  <c:v>0.13115942028985508</c:v>
                </c:pt>
                <c:pt idx="8">
                  <c:v>0.14285714285714285</c:v>
                </c:pt>
                <c:pt idx="9">
                  <c:v>0.57196969696969702</c:v>
                </c:pt>
                <c:pt idx="10">
                  <c:v>0.20883534136546184</c:v>
                </c:pt>
              </c:numCache>
            </c:numRef>
          </c:val>
          <c:extLst>
            <c:ext xmlns:c16="http://schemas.microsoft.com/office/drawing/2014/chart" uri="{C3380CC4-5D6E-409C-BE32-E72D297353CC}">
              <c16:uniqueId val="{00000002-D625-48B3-872C-F33BD7DFA5AF}"/>
            </c:ext>
          </c:extLst>
        </c:ser>
        <c:ser>
          <c:idx val="6"/>
          <c:order val="3"/>
          <c:tx>
            <c:strRef>
              <c:f>'Tableau détaillé'!$AD$454</c:f>
              <c:strCache>
                <c:ptCount val="1"/>
                <c:pt idx="0">
                  <c:v>31/01/2021</c:v>
                </c:pt>
              </c:strCache>
            </c:strRef>
          </c:tx>
          <c:spPr>
            <a:solidFill>
              <a:schemeClr val="accent1">
                <a:lumMod val="60000"/>
              </a:schemeClr>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détaillé'!$AD$456:$AD$462,'Tableau détaillé'!$AD$464:$AD$467)</c:f>
              <c:numCache>
                <c:formatCode>0%</c:formatCode>
                <c:ptCount val="11"/>
                <c:pt idx="0">
                  <c:v>0.13423397528025294</c:v>
                </c:pt>
                <c:pt idx="1">
                  <c:v>0.23905723905723905</c:v>
                </c:pt>
                <c:pt idx="2">
                  <c:v>0.19724284199363734</c:v>
                </c:pt>
                <c:pt idx="3">
                  <c:v>6.0869565217391307E-2</c:v>
                </c:pt>
                <c:pt idx="4">
                  <c:v>0.27552986512524086</c:v>
                </c:pt>
                <c:pt idx="5">
                  <c:v>0.19718309859154928</c:v>
                </c:pt>
                <c:pt idx="6">
                  <c:v>4.8582995951417005E-2</c:v>
                </c:pt>
                <c:pt idx="7">
                  <c:v>0.11195928753180662</c:v>
                </c:pt>
                <c:pt idx="8">
                  <c:v>0.12290969899665552</c:v>
                </c:pt>
                <c:pt idx="9">
                  <c:v>0.15612648221343872</c:v>
                </c:pt>
                <c:pt idx="10">
                  <c:v>0.2116991643454039</c:v>
                </c:pt>
              </c:numCache>
            </c:numRef>
          </c:val>
          <c:extLst>
            <c:ext xmlns:c16="http://schemas.microsoft.com/office/drawing/2014/chart" uri="{C3380CC4-5D6E-409C-BE32-E72D297353CC}">
              <c16:uniqueId val="{00000003-D625-48B3-872C-F33BD7DFA5AF}"/>
            </c:ext>
          </c:extLst>
        </c:ser>
        <c:ser>
          <c:idx val="7"/>
          <c:order val="4"/>
          <c:tx>
            <c:strRef>
              <c:f>'Tableau détaillé'!$AE$454</c:f>
              <c:strCache>
                <c:ptCount val="1"/>
                <c:pt idx="0">
                  <c:v>30/09/2021</c:v>
                </c:pt>
              </c:strCache>
            </c:strRef>
          </c:tx>
          <c:spPr>
            <a:solidFill>
              <a:schemeClr val="accent2">
                <a:lumMod val="60000"/>
              </a:schemeClr>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détaillé'!$AE$456:$AE$462,'Tableau détaillé'!$AE$464:$AE$467)</c:f>
              <c:numCache>
                <c:formatCode>0%</c:formatCode>
                <c:ptCount val="11"/>
                <c:pt idx="0">
                  <c:v>0.29065200314218381</c:v>
                </c:pt>
                <c:pt idx="1">
                  <c:v>0.22533136966126657</c:v>
                </c:pt>
                <c:pt idx="2">
                  <c:v>0.32147742818057456</c:v>
                </c:pt>
                <c:pt idx="3">
                  <c:v>0.44334975369458129</c:v>
                </c:pt>
                <c:pt idx="4">
                  <c:v>0.28545454545454546</c:v>
                </c:pt>
                <c:pt idx="5">
                  <c:v>0.16</c:v>
                </c:pt>
                <c:pt idx="6">
                  <c:v>5.2356020942408377E-2</c:v>
                </c:pt>
                <c:pt idx="7">
                  <c:v>0.14302848575712143</c:v>
                </c:pt>
                <c:pt idx="8">
                  <c:v>0.15836012861736334</c:v>
                </c:pt>
                <c:pt idx="9">
                  <c:v>0.21649484536082475</c:v>
                </c:pt>
                <c:pt idx="10">
                  <c:v>0.24875621890547264</c:v>
                </c:pt>
              </c:numCache>
            </c:numRef>
          </c:val>
          <c:extLst>
            <c:ext xmlns:c16="http://schemas.microsoft.com/office/drawing/2014/chart" uri="{C3380CC4-5D6E-409C-BE32-E72D297353CC}">
              <c16:uniqueId val="{00000004-D625-48B3-872C-F33BD7DFA5AF}"/>
            </c:ext>
          </c:extLst>
        </c:ser>
        <c:ser>
          <c:idx val="2"/>
          <c:order val="5"/>
          <c:tx>
            <c:strRef>
              <c:f>'Tableau détaillé'!$AF$454</c:f>
              <c:strCache>
                <c:ptCount val="1"/>
                <c:pt idx="0">
                  <c:v>30/09/2021</c:v>
                </c:pt>
              </c:strCache>
            </c:strRef>
          </c:tx>
          <c:spPr>
            <a:solidFill>
              <a:schemeClr val="accent3"/>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détaillé'!$AF$456:$AF$462,'Tableau détaillé'!$AF$464:$AF$467)</c:f>
              <c:numCache>
                <c:formatCode>0%</c:formatCode>
                <c:ptCount val="11"/>
                <c:pt idx="0">
                  <c:v>0.22296317773267613</c:v>
                </c:pt>
                <c:pt idx="1">
                  <c:v>0.3216867469879518</c:v>
                </c:pt>
                <c:pt idx="2">
                  <c:v>0.32709832134292566</c:v>
                </c:pt>
                <c:pt idx="3">
                  <c:v>0.12953367875647667</c:v>
                </c:pt>
                <c:pt idx="4">
                  <c:v>0.3008595988538682</c:v>
                </c:pt>
                <c:pt idx="5">
                  <c:v>0.2578125</c:v>
                </c:pt>
                <c:pt idx="6">
                  <c:v>4.5283018867924525E-2</c:v>
                </c:pt>
                <c:pt idx="7">
                  <c:v>0.10664094791953706</c:v>
                </c:pt>
                <c:pt idx="8">
                  <c:v>0.15671162491971741</c:v>
                </c:pt>
                <c:pt idx="9">
                  <c:v>0.22935779816513763</c:v>
                </c:pt>
                <c:pt idx="10">
                  <c:v>0.28009259259259262</c:v>
                </c:pt>
              </c:numCache>
            </c:numRef>
          </c:val>
          <c:extLst>
            <c:ext xmlns:c16="http://schemas.microsoft.com/office/drawing/2014/chart" uri="{C3380CC4-5D6E-409C-BE32-E72D297353CC}">
              <c16:uniqueId val="{00000005-D625-48B3-872C-F33BD7DFA5AF}"/>
            </c:ext>
          </c:extLst>
        </c:ser>
        <c:dLbls>
          <c:showLegendKey val="0"/>
          <c:showVal val="0"/>
          <c:showCatName val="0"/>
          <c:showSerName val="0"/>
          <c:showPercent val="0"/>
          <c:showBubbleSize val="0"/>
        </c:dLbls>
        <c:gapWidth val="219"/>
        <c:overlap val="-27"/>
        <c:axId val="964140184"/>
        <c:axId val="964140576"/>
      </c:barChart>
      <c:catAx>
        <c:axId val="964140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0576"/>
        <c:crosses val="autoZero"/>
        <c:auto val="1"/>
        <c:lblAlgn val="ctr"/>
        <c:lblOffset val="100"/>
        <c:noMultiLvlLbl val="0"/>
      </c:catAx>
      <c:valAx>
        <c:axId val="9641405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0184"/>
        <c:crosses val="autoZero"/>
        <c:crossBetween val="between"/>
      </c:valAx>
      <c:spPr>
        <a:noFill/>
        <a:ln>
          <a:noFill/>
        </a:ln>
        <a:effectLst/>
      </c:spPr>
    </c:plotArea>
    <c:legend>
      <c:legendPos val="b"/>
      <c:layout>
        <c:manualLayout>
          <c:xMode val="edge"/>
          <c:yMode val="edge"/>
          <c:x val="0.21751848887441638"/>
          <c:y val="0.89203720900949124"/>
          <c:w val="0.6106272211277961"/>
          <c:h val="5.84718321044324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400" b="1"/>
              <a:t>Taux d'attrition sur les CAV par DR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7.8406477282766535E-2"/>
          <c:y val="0.13143506831289906"/>
          <c:w val="0.91811982262009828"/>
          <c:h val="0.6591692731958142"/>
        </c:manualLayout>
      </c:layout>
      <c:barChart>
        <c:barDir val="col"/>
        <c:grouping val="clustered"/>
        <c:varyColors val="0"/>
        <c:ser>
          <c:idx val="3"/>
          <c:order val="0"/>
          <c:tx>
            <c:strRef>
              <c:f>'Tableau détaillé'!$AA$454</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détaillé'!$AA$463,'Tableau détaillé'!$AA$468)</c:f>
              <c:numCache>
                <c:formatCode>0%</c:formatCode>
                <c:ptCount val="2"/>
                <c:pt idx="0">
                  <c:v>0.19255608429639701</c:v>
                </c:pt>
                <c:pt idx="1">
                  <c:v>0.16790069686411149</c:v>
                </c:pt>
              </c:numCache>
            </c:numRef>
          </c:val>
          <c:extLst>
            <c:ext xmlns:c16="http://schemas.microsoft.com/office/drawing/2014/chart" uri="{C3380CC4-5D6E-409C-BE32-E72D297353CC}">
              <c16:uniqueId val="{00000000-657F-433C-8579-53E8DC8BADC9}"/>
            </c:ext>
          </c:extLst>
        </c:ser>
        <c:ser>
          <c:idx val="4"/>
          <c:order val="1"/>
          <c:tx>
            <c:strRef>
              <c:f>'Tableau détaillé'!$AB$454</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détaillé'!$AB$463,'Tableau détaillé'!$AB$468)</c:f>
              <c:numCache>
                <c:formatCode>0%</c:formatCode>
                <c:ptCount val="2"/>
                <c:pt idx="0">
                  <c:v>0.20733944954128442</c:v>
                </c:pt>
                <c:pt idx="1">
                  <c:v>0.16718689036285603</c:v>
                </c:pt>
              </c:numCache>
            </c:numRef>
          </c:val>
          <c:extLst>
            <c:ext xmlns:c16="http://schemas.microsoft.com/office/drawing/2014/chart" uri="{C3380CC4-5D6E-409C-BE32-E72D297353CC}">
              <c16:uniqueId val="{00000001-657F-433C-8579-53E8DC8BADC9}"/>
            </c:ext>
          </c:extLst>
        </c:ser>
        <c:ser>
          <c:idx val="6"/>
          <c:order val="2"/>
          <c:tx>
            <c:strRef>
              <c:f>'Tableau détaillé'!$AC$454</c:f>
              <c:strCache>
                <c:ptCount val="1"/>
                <c:pt idx="0">
                  <c:v>31/12/2020</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détaillé'!$AC$463,'Tableau détaillé'!$AC$468)</c:f>
              <c:numCache>
                <c:formatCode>0%</c:formatCode>
                <c:ptCount val="2"/>
                <c:pt idx="0">
                  <c:v>0.19300128810648348</c:v>
                </c:pt>
                <c:pt idx="1">
                  <c:v>0.16626621816434406</c:v>
                </c:pt>
              </c:numCache>
            </c:numRef>
          </c:val>
          <c:extLst>
            <c:ext xmlns:c16="http://schemas.microsoft.com/office/drawing/2014/chart" uri="{C3380CC4-5D6E-409C-BE32-E72D297353CC}">
              <c16:uniqueId val="{00000002-657F-433C-8579-53E8DC8BADC9}"/>
            </c:ext>
          </c:extLst>
        </c:ser>
        <c:ser>
          <c:idx val="7"/>
          <c:order val="3"/>
          <c:tx>
            <c:strRef>
              <c:f>'Tableau détaillé'!$AD$454</c:f>
              <c:strCache>
                <c:ptCount val="1"/>
                <c:pt idx="0">
                  <c:v>31/01/2021</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détaillé'!$AD$463,'Tableau détaillé'!$AD$468)</c:f>
              <c:numCache>
                <c:formatCode>0%</c:formatCode>
                <c:ptCount val="2"/>
                <c:pt idx="0">
                  <c:v>0.16632083000798084</c:v>
                </c:pt>
                <c:pt idx="1">
                  <c:v>0.12808327675944783</c:v>
                </c:pt>
              </c:numCache>
            </c:numRef>
          </c:val>
          <c:extLst>
            <c:ext xmlns:c16="http://schemas.microsoft.com/office/drawing/2014/chart" uri="{C3380CC4-5D6E-409C-BE32-E72D297353CC}">
              <c16:uniqueId val="{00000003-657F-433C-8579-53E8DC8BADC9}"/>
            </c:ext>
          </c:extLst>
        </c:ser>
        <c:ser>
          <c:idx val="5"/>
          <c:order val="4"/>
          <c:tx>
            <c:strRef>
              <c:f>'Tableau détaillé'!$AE$454</c:f>
              <c:strCache>
                <c:ptCount val="1"/>
                <c:pt idx="0">
                  <c:v>30/09/2021</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détaillé'!$AE$463,'Tableau détaillé'!$AE$468)</c:f>
              <c:numCache>
                <c:formatCode>0%</c:formatCode>
                <c:ptCount val="2"/>
                <c:pt idx="0">
                  <c:v>0.29174235014670952</c:v>
                </c:pt>
                <c:pt idx="1">
                  <c:v>0.15768115942028985</c:v>
                </c:pt>
              </c:numCache>
            </c:numRef>
          </c:val>
          <c:extLst>
            <c:ext xmlns:c16="http://schemas.microsoft.com/office/drawing/2014/chart" uri="{C3380CC4-5D6E-409C-BE32-E72D297353CC}">
              <c16:uniqueId val="{00000004-657F-433C-8579-53E8DC8BADC9}"/>
            </c:ext>
          </c:extLst>
        </c:ser>
        <c:ser>
          <c:idx val="2"/>
          <c:order val="5"/>
          <c:tx>
            <c:strRef>
              <c:f>'Tableau détaillé'!$AF$454</c:f>
              <c:strCache>
                <c:ptCount val="1"/>
                <c:pt idx="0">
                  <c:v>30/09/2021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détaillé'!$AF$463,'Tableau détaillé'!$AF$468)</c:f>
              <c:numCache>
                <c:formatCode>0%</c:formatCode>
                <c:ptCount val="2"/>
                <c:pt idx="0">
                  <c:v>0.25935059597205096</c:v>
                </c:pt>
                <c:pt idx="1">
                  <c:v>0.1356731272917758</c:v>
                </c:pt>
              </c:numCache>
            </c:numRef>
          </c:val>
          <c:extLst>
            <c:ext xmlns:c16="http://schemas.microsoft.com/office/drawing/2014/chart" uri="{C3380CC4-5D6E-409C-BE32-E72D297353CC}">
              <c16:uniqueId val="{00000005-657F-433C-8579-53E8DC8BADC9}"/>
            </c:ext>
          </c:extLst>
        </c:ser>
        <c:dLbls>
          <c:showLegendKey val="0"/>
          <c:showVal val="0"/>
          <c:showCatName val="0"/>
          <c:showSerName val="0"/>
          <c:showPercent val="0"/>
          <c:showBubbleSize val="0"/>
        </c:dLbls>
        <c:gapWidth val="219"/>
        <c:overlap val="-27"/>
        <c:axId val="964157432"/>
        <c:axId val="964157824"/>
      </c:barChart>
      <c:catAx>
        <c:axId val="964157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7824"/>
        <c:crosses val="autoZero"/>
        <c:auto val="1"/>
        <c:lblAlgn val="ctr"/>
        <c:lblOffset val="100"/>
        <c:noMultiLvlLbl val="0"/>
      </c:catAx>
      <c:valAx>
        <c:axId val="9641578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7432"/>
        <c:crosses val="autoZero"/>
        <c:crossBetween val="between"/>
      </c:valAx>
      <c:spPr>
        <a:noFill/>
        <a:ln>
          <a:noFill/>
        </a:ln>
        <a:effectLst/>
      </c:spPr>
    </c:plotArea>
    <c:legend>
      <c:legendPos val="b"/>
      <c:layout>
        <c:manualLayout>
          <c:xMode val="edge"/>
          <c:yMode val="edge"/>
          <c:x val="0.16450528967888514"/>
          <c:y val="0.89203718973409096"/>
          <c:w val="0.71327040192329072"/>
          <c:h val="0.107962681968078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400" b="1"/>
              <a:t>Taux d'attrition sur les CAV AFS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9.6562008854841702E-2"/>
          <c:w val="0.91811982262009828"/>
          <c:h val="0.69404240298915809"/>
        </c:manualLayout>
      </c:layout>
      <c:barChart>
        <c:barDir val="col"/>
        <c:grouping val="clustered"/>
        <c:varyColors val="0"/>
        <c:ser>
          <c:idx val="3"/>
          <c:order val="0"/>
          <c:tx>
            <c:strRef>
              <c:f>'Tableau détaillé'!$AA$454</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détaillé'!$AA$455</c:f>
              <c:numCache>
                <c:formatCode>0%</c:formatCode>
                <c:ptCount val="1"/>
                <c:pt idx="0">
                  <c:v>0.1817487590683467</c:v>
                </c:pt>
              </c:numCache>
            </c:numRef>
          </c:val>
          <c:extLst>
            <c:ext xmlns:c16="http://schemas.microsoft.com/office/drawing/2014/chart" uri="{C3380CC4-5D6E-409C-BE32-E72D297353CC}">
              <c16:uniqueId val="{00000000-B1B8-423C-BD9B-FC786B20A1DD}"/>
            </c:ext>
          </c:extLst>
        </c:ser>
        <c:ser>
          <c:idx val="4"/>
          <c:order val="1"/>
          <c:tx>
            <c:strRef>
              <c:f>'Tableau détaillé'!$AB$454</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détaillé'!$AB$455</c:f>
              <c:numCache>
                <c:formatCode>0%</c:formatCode>
                <c:ptCount val="1"/>
                <c:pt idx="0">
                  <c:v>0.18787821482602118</c:v>
                </c:pt>
              </c:numCache>
            </c:numRef>
          </c:val>
          <c:extLst>
            <c:ext xmlns:c16="http://schemas.microsoft.com/office/drawing/2014/chart" uri="{C3380CC4-5D6E-409C-BE32-E72D297353CC}">
              <c16:uniqueId val="{00000001-B1B8-423C-BD9B-FC786B20A1DD}"/>
            </c:ext>
          </c:extLst>
        </c:ser>
        <c:ser>
          <c:idx val="5"/>
          <c:order val="2"/>
          <c:tx>
            <c:strRef>
              <c:f>'Tableau détaillé'!$AC$454</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détaillé'!$AC$455</c:f>
              <c:numCache>
                <c:formatCode>0%</c:formatCode>
                <c:ptCount val="1"/>
                <c:pt idx="0">
                  <c:v>0.18038548752834468</c:v>
                </c:pt>
              </c:numCache>
            </c:numRef>
          </c:val>
          <c:extLst>
            <c:ext xmlns:c16="http://schemas.microsoft.com/office/drawing/2014/chart" uri="{C3380CC4-5D6E-409C-BE32-E72D297353CC}">
              <c16:uniqueId val="{00000002-B1B8-423C-BD9B-FC786B20A1DD}"/>
            </c:ext>
          </c:extLst>
        </c:ser>
        <c:ser>
          <c:idx val="6"/>
          <c:order val="3"/>
          <c:tx>
            <c:strRef>
              <c:f>'Tableau détaillé'!$AD$454</c:f>
              <c:strCache>
                <c:ptCount val="1"/>
                <c:pt idx="0">
                  <c:v>31/01/2021</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détaillé'!$AD$455</c:f>
              <c:numCache>
                <c:formatCode>0%</c:formatCode>
                <c:ptCount val="1"/>
                <c:pt idx="0">
                  <c:v>0.15050542867839761</c:v>
                </c:pt>
              </c:numCache>
            </c:numRef>
          </c:val>
          <c:extLst>
            <c:ext xmlns:c16="http://schemas.microsoft.com/office/drawing/2014/chart" uri="{C3380CC4-5D6E-409C-BE32-E72D297353CC}">
              <c16:uniqueId val="{00000003-B1B8-423C-BD9B-FC786B20A1DD}"/>
            </c:ext>
          </c:extLst>
        </c:ser>
        <c:ser>
          <c:idx val="7"/>
          <c:order val="4"/>
          <c:tx>
            <c:strRef>
              <c:f>'Tableau détaillé'!$AE$454</c:f>
              <c:strCache>
                <c:ptCount val="1"/>
                <c:pt idx="0">
                  <c:v>30/09/2021</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détaillé'!$AE$455</c:f>
              <c:numCache>
                <c:formatCode>0%</c:formatCode>
                <c:ptCount val="1"/>
                <c:pt idx="0">
                  <c:v>0.23548491728835549</c:v>
                </c:pt>
              </c:numCache>
            </c:numRef>
          </c:val>
          <c:extLst>
            <c:ext xmlns:c16="http://schemas.microsoft.com/office/drawing/2014/chart" uri="{C3380CC4-5D6E-409C-BE32-E72D297353CC}">
              <c16:uniqueId val="{00000004-B1B8-423C-BD9B-FC786B20A1DD}"/>
            </c:ext>
          </c:extLst>
        </c:ser>
        <c:ser>
          <c:idx val="2"/>
          <c:order val="5"/>
          <c:tx>
            <c:strRef>
              <c:f>'Tableau détaillé'!$AF$454</c:f>
              <c:strCache>
                <c:ptCount val="1"/>
                <c:pt idx="0">
                  <c:v>30/09/2021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détaillé'!$AF$455</c:f>
              <c:numCache>
                <c:formatCode>0%</c:formatCode>
                <c:ptCount val="1"/>
                <c:pt idx="0">
                  <c:v>0.20497466605251036</c:v>
                </c:pt>
              </c:numCache>
            </c:numRef>
          </c:val>
          <c:extLst>
            <c:ext xmlns:c16="http://schemas.microsoft.com/office/drawing/2014/chart" uri="{C3380CC4-5D6E-409C-BE32-E72D297353CC}">
              <c16:uniqueId val="{00000005-B1B8-423C-BD9B-FC786B20A1DD}"/>
            </c:ext>
          </c:extLst>
        </c:ser>
        <c:dLbls>
          <c:showLegendKey val="0"/>
          <c:showVal val="0"/>
          <c:showCatName val="0"/>
          <c:showSerName val="0"/>
          <c:showPercent val="0"/>
          <c:showBubbleSize val="0"/>
        </c:dLbls>
        <c:gapWidth val="219"/>
        <c:overlap val="-27"/>
        <c:axId val="964150768"/>
        <c:axId val="964158608"/>
      </c:barChart>
      <c:catAx>
        <c:axId val="96415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8608"/>
        <c:crosses val="autoZero"/>
        <c:auto val="1"/>
        <c:lblAlgn val="ctr"/>
        <c:lblOffset val="100"/>
        <c:noMultiLvlLbl val="0"/>
      </c:catAx>
      <c:valAx>
        <c:axId val="9641586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0768"/>
        <c:crosses val="autoZero"/>
        <c:crossBetween val="between"/>
      </c:valAx>
      <c:spPr>
        <a:noFill/>
        <a:ln>
          <a:noFill/>
        </a:ln>
        <a:effectLst/>
      </c:spPr>
    </c:plotArea>
    <c:legend>
      <c:legendPos val="b"/>
      <c:layout>
        <c:manualLayout>
          <c:xMode val="edge"/>
          <c:yMode val="edge"/>
          <c:x val="0.12906983516803544"/>
          <c:y val="0.89203718973409096"/>
          <c:w val="0.77237628040124362"/>
          <c:h val="0.107962681968078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400"/>
              <a:t>Taux d'attrition sur les CAV </a:t>
            </a:r>
            <a:r>
              <a:rPr lang="fr-FR" sz="1400" b="1" i="0" u="none" strike="noStrike" baseline="0">
                <a:effectLst/>
              </a:rPr>
              <a:t>(CAV fermés) </a:t>
            </a:r>
            <a:r>
              <a:rPr lang="fr-FR" sz="1400"/>
              <a:t>par entité</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4.194019324728273E-2"/>
          <c:y val="0.13143517187599521"/>
          <c:w val="0.94288616192918395"/>
          <c:h val="0.6591692731958142"/>
        </c:manualLayout>
      </c:layout>
      <c:barChart>
        <c:barDir val="col"/>
        <c:grouping val="clustered"/>
        <c:varyColors val="0"/>
        <c:ser>
          <c:idx val="3"/>
          <c:order val="0"/>
          <c:tx>
            <c:strRef>
              <c:f>'Tableau détaillé'!$AA$454</c:f>
              <c:strCache>
                <c:ptCount val="1"/>
                <c:pt idx="0">
                  <c:v>31/10/2020</c:v>
                </c:pt>
              </c:strCache>
            </c:strRef>
          </c:tx>
          <c:spPr>
            <a:solidFill>
              <a:schemeClr val="accent4"/>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détaillé'!$AA$492:$AA$498,'Tableau détaillé'!$AA$500:$AA$503)</c:f>
              <c:numCache>
                <c:formatCode>0.0%</c:formatCode>
                <c:ptCount val="11"/>
                <c:pt idx="0">
                  <c:v>2.7683789603199014E-3</c:v>
                </c:pt>
                <c:pt idx="1">
                  <c:v>1.0714285714285714E-2</c:v>
                </c:pt>
                <c:pt idx="2">
                  <c:v>9.4836670179135937E-3</c:v>
                </c:pt>
                <c:pt idx="3">
                  <c:v>5.8139534883720929E-3</c:v>
                </c:pt>
                <c:pt idx="4">
                  <c:v>8.0515297906602248E-3</c:v>
                </c:pt>
                <c:pt idx="5">
                  <c:v>4.1322314049586778E-2</c:v>
                </c:pt>
                <c:pt idx="6">
                  <c:v>0</c:v>
                </c:pt>
                <c:pt idx="7">
                  <c:v>8.6145010768126345E-3</c:v>
                </c:pt>
                <c:pt idx="8">
                  <c:v>5.5511498810467885E-3</c:v>
                </c:pt>
                <c:pt idx="9">
                  <c:v>0</c:v>
                </c:pt>
                <c:pt idx="10">
                  <c:v>1.1019283746556474E-2</c:v>
                </c:pt>
              </c:numCache>
            </c:numRef>
          </c:val>
          <c:extLst>
            <c:ext xmlns:c16="http://schemas.microsoft.com/office/drawing/2014/chart" uri="{C3380CC4-5D6E-409C-BE32-E72D297353CC}">
              <c16:uniqueId val="{00000000-4300-44F3-8FFB-6164778C7AE8}"/>
            </c:ext>
          </c:extLst>
        </c:ser>
        <c:ser>
          <c:idx val="4"/>
          <c:order val="1"/>
          <c:tx>
            <c:strRef>
              <c:f>'Tableau détaillé'!$AB$454</c:f>
              <c:strCache>
                <c:ptCount val="1"/>
                <c:pt idx="0">
                  <c:v>30/11/2020</c:v>
                </c:pt>
              </c:strCache>
            </c:strRef>
          </c:tx>
          <c:spPr>
            <a:solidFill>
              <a:schemeClr val="accent5"/>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détaillé'!$AB$492:$AB$498,'Tableau détaillé'!$AB$500:$AB$503)</c:f>
              <c:numCache>
                <c:formatCode>0.0%</c:formatCode>
                <c:ptCount val="11"/>
                <c:pt idx="0">
                  <c:v>1.1411182959300114E-3</c:v>
                </c:pt>
                <c:pt idx="1">
                  <c:v>1.5408320493066256E-3</c:v>
                </c:pt>
                <c:pt idx="2">
                  <c:v>6.8259385665529011E-3</c:v>
                </c:pt>
                <c:pt idx="3">
                  <c:v>5.681818181818182E-3</c:v>
                </c:pt>
                <c:pt idx="4">
                  <c:v>5.8737151248164461E-3</c:v>
                </c:pt>
                <c:pt idx="5">
                  <c:v>1.8018018018018018E-2</c:v>
                </c:pt>
                <c:pt idx="6">
                  <c:v>2.4615384615384615E-2</c:v>
                </c:pt>
                <c:pt idx="7">
                  <c:v>3.8056206088992973E-3</c:v>
                </c:pt>
                <c:pt idx="8">
                  <c:v>1.0762331838565023E-2</c:v>
                </c:pt>
                <c:pt idx="9">
                  <c:v>0</c:v>
                </c:pt>
                <c:pt idx="10">
                  <c:v>0</c:v>
                </c:pt>
              </c:numCache>
            </c:numRef>
          </c:val>
          <c:extLst>
            <c:ext xmlns:c16="http://schemas.microsoft.com/office/drawing/2014/chart" uri="{C3380CC4-5D6E-409C-BE32-E72D297353CC}">
              <c16:uniqueId val="{00000001-4300-44F3-8FFB-6164778C7AE8}"/>
            </c:ext>
          </c:extLst>
        </c:ser>
        <c:ser>
          <c:idx val="5"/>
          <c:order val="2"/>
          <c:tx>
            <c:strRef>
              <c:f>'Tableau détaillé'!$AC$454</c:f>
              <c:strCache>
                <c:ptCount val="1"/>
                <c:pt idx="0">
                  <c:v>31/12/2020</c:v>
                </c:pt>
              </c:strCache>
            </c:strRef>
          </c:tx>
          <c:spPr>
            <a:solidFill>
              <a:schemeClr val="accent6"/>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détaillé'!$AC$492:$AC$498,'Tableau détaillé'!$AC$500:$AC$503)</c:f>
              <c:numCache>
                <c:formatCode>0.0%</c:formatCode>
                <c:ptCount val="11"/>
                <c:pt idx="0">
                  <c:v>1.2494793835901709E-3</c:v>
                </c:pt>
                <c:pt idx="1">
                  <c:v>7.874015748031496E-3</c:v>
                </c:pt>
                <c:pt idx="2">
                  <c:v>8.6862106406080351E-3</c:v>
                </c:pt>
                <c:pt idx="3">
                  <c:v>1.8691588785046728E-2</c:v>
                </c:pt>
                <c:pt idx="4">
                  <c:v>2.3584905660377358E-3</c:v>
                </c:pt>
                <c:pt idx="5">
                  <c:v>2.7027027027027029E-2</c:v>
                </c:pt>
                <c:pt idx="6">
                  <c:v>1.3452914798206279E-2</c:v>
                </c:pt>
                <c:pt idx="7">
                  <c:v>9.057971014492754E-3</c:v>
                </c:pt>
                <c:pt idx="8">
                  <c:v>1.1248593925759279E-2</c:v>
                </c:pt>
                <c:pt idx="9">
                  <c:v>0</c:v>
                </c:pt>
                <c:pt idx="10">
                  <c:v>0</c:v>
                </c:pt>
              </c:numCache>
            </c:numRef>
          </c:val>
          <c:extLst>
            <c:ext xmlns:c16="http://schemas.microsoft.com/office/drawing/2014/chart" uri="{C3380CC4-5D6E-409C-BE32-E72D297353CC}">
              <c16:uniqueId val="{00000002-4300-44F3-8FFB-6164778C7AE8}"/>
            </c:ext>
          </c:extLst>
        </c:ser>
        <c:ser>
          <c:idx val="6"/>
          <c:order val="3"/>
          <c:tx>
            <c:strRef>
              <c:f>'Tableau détaillé'!$AD$454</c:f>
              <c:strCache>
                <c:ptCount val="1"/>
                <c:pt idx="0">
                  <c:v>31/01/2021</c:v>
                </c:pt>
              </c:strCache>
            </c:strRef>
          </c:tx>
          <c:spPr>
            <a:solidFill>
              <a:schemeClr val="accent1">
                <a:lumMod val="60000"/>
              </a:schemeClr>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détaillé'!$AD$492:$AD$498,'Tableau détaillé'!$AD$500:$AD$503)</c:f>
              <c:numCache>
                <c:formatCode>0.0%</c:formatCode>
                <c:ptCount val="11"/>
                <c:pt idx="0">
                  <c:v>2.2995113538373095E-3</c:v>
                </c:pt>
                <c:pt idx="1">
                  <c:v>2.2446689113355782E-3</c:v>
                </c:pt>
                <c:pt idx="2">
                  <c:v>4.2417815482502655E-3</c:v>
                </c:pt>
                <c:pt idx="3">
                  <c:v>0</c:v>
                </c:pt>
                <c:pt idx="4">
                  <c:v>1.9267822736030828E-3</c:v>
                </c:pt>
                <c:pt idx="5">
                  <c:v>1.4084507042253521E-2</c:v>
                </c:pt>
                <c:pt idx="6">
                  <c:v>4.4534412955465584E-2</c:v>
                </c:pt>
                <c:pt idx="7">
                  <c:v>1.0178117048346057E-2</c:v>
                </c:pt>
                <c:pt idx="8">
                  <c:v>5.016722408026756E-3</c:v>
                </c:pt>
                <c:pt idx="9">
                  <c:v>0</c:v>
                </c:pt>
                <c:pt idx="10">
                  <c:v>2.7855153203342618E-3</c:v>
                </c:pt>
              </c:numCache>
            </c:numRef>
          </c:val>
          <c:extLst>
            <c:ext xmlns:c16="http://schemas.microsoft.com/office/drawing/2014/chart" uri="{C3380CC4-5D6E-409C-BE32-E72D297353CC}">
              <c16:uniqueId val="{00000003-4300-44F3-8FFB-6164778C7AE8}"/>
            </c:ext>
          </c:extLst>
        </c:ser>
        <c:ser>
          <c:idx val="7"/>
          <c:order val="4"/>
          <c:tx>
            <c:strRef>
              <c:f>'Tableau détaillé'!$AE$454</c:f>
              <c:strCache>
                <c:ptCount val="1"/>
                <c:pt idx="0">
                  <c:v>30/09/2021</c:v>
                </c:pt>
              </c:strCache>
            </c:strRef>
          </c:tx>
          <c:spPr>
            <a:solidFill>
              <a:schemeClr val="accent2">
                <a:lumMod val="60000"/>
              </a:schemeClr>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détaillé'!$AE$492:$AE$498,'Tableau détaillé'!$AE$500:$AE$503)</c:f>
              <c:numCache>
                <c:formatCode>0.0%</c:formatCode>
                <c:ptCount val="11"/>
                <c:pt idx="0">
                  <c:v>2.618486514794449E-3</c:v>
                </c:pt>
                <c:pt idx="1">
                  <c:v>8.836524300441826E-3</c:v>
                </c:pt>
                <c:pt idx="2">
                  <c:v>3.4199726402188782E-3</c:v>
                </c:pt>
                <c:pt idx="3">
                  <c:v>1.9704433497536946E-2</c:v>
                </c:pt>
                <c:pt idx="4">
                  <c:v>0</c:v>
                </c:pt>
                <c:pt idx="5">
                  <c:v>0.1</c:v>
                </c:pt>
                <c:pt idx="6">
                  <c:v>5.2356020942408377E-2</c:v>
                </c:pt>
                <c:pt idx="7">
                  <c:v>4.1379310344827586E-2</c:v>
                </c:pt>
                <c:pt idx="8">
                  <c:v>7.2347266881028936E-3</c:v>
                </c:pt>
                <c:pt idx="9">
                  <c:v>0</c:v>
                </c:pt>
                <c:pt idx="10">
                  <c:v>4.9751243781094526E-3</c:v>
                </c:pt>
              </c:numCache>
            </c:numRef>
          </c:val>
          <c:extLst>
            <c:ext xmlns:c16="http://schemas.microsoft.com/office/drawing/2014/chart" uri="{C3380CC4-5D6E-409C-BE32-E72D297353CC}">
              <c16:uniqueId val="{00000004-4300-44F3-8FFB-6164778C7AE8}"/>
            </c:ext>
          </c:extLst>
        </c:ser>
        <c:ser>
          <c:idx val="2"/>
          <c:order val="5"/>
          <c:tx>
            <c:strRef>
              <c:f>'Tableau détaillé'!$AF$454</c:f>
              <c:strCache>
                <c:ptCount val="1"/>
                <c:pt idx="0">
                  <c:v>30/09/2021</c:v>
                </c:pt>
              </c:strCache>
            </c:strRef>
          </c:tx>
          <c:spPr>
            <a:solidFill>
              <a:schemeClr val="accent3"/>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détaillé'!$AF$492:$AF$498,'Tableau détaillé'!$AF$500:$AF$503)</c:f>
              <c:numCache>
                <c:formatCode>0.0%</c:formatCode>
                <c:ptCount val="11"/>
                <c:pt idx="0">
                  <c:v>2.6094520150768338E-3</c:v>
                </c:pt>
                <c:pt idx="1">
                  <c:v>4.8192771084337354E-3</c:v>
                </c:pt>
                <c:pt idx="2">
                  <c:v>4.7961630695443642E-3</c:v>
                </c:pt>
                <c:pt idx="3">
                  <c:v>1.5544041450777202E-2</c:v>
                </c:pt>
                <c:pt idx="4">
                  <c:v>1.1461318051575931E-2</c:v>
                </c:pt>
                <c:pt idx="5">
                  <c:v>0.21875</c:v>
                </c:pt>
                <c:pt idx="6">
                  <c:v>3.0188679245283019E-2</c:v>
                </c:pt>
                <c:pt idx="7">
                  <c:v>1.6809038302562689E-2</c:v>
                </c:pt>
                <c:pt idx="8">
                  <c:v>4.4958253050738596E-3</c:v>
                </c:pt>
                <c:pt idx="9">
                  <c:v>0</c:v>
                </c:pt>
                <c:pt idx="10">
                  <c:v>2.3148148148148147E-3</c:v>
                </c:pt>
              </c:numCache>
            </c:numRef>
          </c:val>
          <c:extLst>
            <c:ext xmlns:c16="http://schemas.microsoft.com/office/drawing/2014/chart" uri="{C3380CC4-5D6E-409C-BE32-E72D297353CC}">
              <c16:uniqueId val="{00000005-4300-44F3-8FFB-6164778C7AE8}"/>
            </c:ext>
          </c:extLst>
        </c:ser>
        <c:dLbls>
          <c:showLegendKey val="0"/>
          <c:showVal val="0"/>
          <c:showCatName val="0"/>
          <c:showSerName val="0"/>
          <c:showPercent val="0"/>
          <c:showBubbleSize val="0"/>
        </c:dLbls>
        <c:gapWidth val="219"/>
        <c:overlap val="-27"/>
        <c:axId val="964158216"/>
        <c:axId val="964161352"/>
      </c:barChart>
      <c:catAx>
        <c:axId val="964158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1352"/>
        <c:crosses val="autoZero"/>
        <c:auto val="1"/>
        <c:lblAlgn val="ctr"/>
        <c:lblOffset val="100"/>
        <c:noMultiLvlLbl val="0"/>
      </c:catAx>
      <c:valAx>
        <c:axId val="96416135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8216"/>
        <c:crosses val="autoZero"/>
        <c:crossBetween val="between"/>
      </c:valAx>
      <c:spPr>
        <a:noFill/>
        <a:ln>
          <a:noFill/>
        </a:ln>
        <a:effectLst/>
      </c:spPr>
    </c:plotArea>
    <c:legend>
      <c:legendPos val="b"/>
      <c:layout>
        <c:manualLayout>
          <c:xMode val="edge"/>
          <c:yMode val="edge"/>
          <c:x val="0.21751848887441638"/>
          <c:y val="0.89203720900949124"/>
          <c:w val="0.6106272211277961"/>
          <c:h val="5.84718321044324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400"/>
              <a:t>Taux d'attrition sur les CAV </a:t>
            </a:r>
            <a:r>
              <a:rPr lang="fr-FR" sz="1400" b="1" i="0" u="none" strike="noStrike" baseline="0">
                <a:effectLst/>
              </a:rPr>
              <a:t>(CAV fermés) </a:t>
            </a:r>
            <a:r>
              <a:rPr lang="fr-FR" sz="1400"/>
              <a:t> par DR</a:t>
            </a:r>
          </a:p>
        </c:rich>
      </c:tx>
      <c:layout>
        <c:manualLayout>
          <c:xMode val="edge"/>
          <c:yMode val="edge"/>
          <c:x val="0.33889140149477709"/>
          <c:y val="4.217232541949959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3"/>
          <c:order val="0"/>
          <c:tx>
            <c:strRef>
              <c:f>'Tableau détaillé'!$AA$454</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détaillé'!$AA$499,'Tableau détaillé'!$AA$504)</c:f>
              <c:numCache>
                <c:formatCode>0.0%</c:formatCode>
                <c:ptCount val="2"/>
                <c:pt idx="0">
                  <c:v>5.9483344663494222E-3</c:v>
                </c:pt>
                <c:pt idx="1">
                  <c:v>7.621951219512195E-3</c:v>
                </c:pt>
              </c:numCache>
            </c:numRef>
          </c:val>
          <c:extLst>
            <c:ext xmlns:c16="http://schemas.microsoft.com/office/drawing/2014/chart" uri="{C3380CC4-5D6E-409C-BE32-E72D297353CC}">
              <c16:uniqueId val="{00000000-2333-41E9-A709-C210D8F5AF5B}"/>
            </c:ext>
          </c:extLst>
        </c:ser>
        <c:ser>
          <c:idx val="4"/>
          <c:order val="1"/>
          <c:tx>
            <c:strRef>
              <c:f>'Tableau détaillé'!$AB$454</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détaillé'!$AB$499,'Tableau détaillé'!$AB$504)</c:f>
              <c:numCache>
                <c:formatCode>0.0%</c:formatCode>
                <c:ptCount val="2"/>
                <c:pt idx="0">
                  <c:v>4.5871559633027525E-3</c:v>
                </c:pt>
                <c:pt idx="1">
                  <c:v>4.8770971517752637E-3</c:v>
                </c:pt>
              </c:numCache>
            </c:numRef>
          </c:val>
          <c:extLst>
            <c:ext xmlns:c16="http://schemas.microsoft.com/office/drawing/2014/chart" uri="{C3380CC4-5D6E-409C-BE32-E72D297353CC}">
              <c16:uniqueId val="{00000001-2333-41E9-A709-C210D8F5AF5B}"/>
            </c:ext>
          </c:extLst>
        </c:ser>
        <c:ser>
          <c:idx val="5"/>
          <c:order val="2"/>
          <c:tx>
            <c:strRef>
              <c:f>'Tableau détaillé'!$AC$454</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détaillé'!$AC$499,'Tableau détaillé'!$AC$504)</c:f>
              <c:numCache>
                <c:formatCode>0.0%</c:formatCode>
                <c:ptCount val="2"/>
                <c:pt idx="0">
                  <c:v>4.9377415199656502E-3</c:v>
                </c:pt>
                <c:pt idx="1">
                  <c:v>8.4094185487746283E-3</c:v>
                </c:pt>
              </c:numCache>
            </c:numRef>
          </c:val>
          <c:extLst>
            <c:ext xmlns:c16="http://schemas.microsoft.com/office/drawing/2014/chart" uri="{C3380CC4-5D6E-409C-BE32-E72D297353CC}">
              <c16:uniqueId val="{00000002-2333-41E9-A709-C210D8F5AF5B}"/>
            </c:ext>
          </c:extLst>
        </c:ser>
        <c:ser>
          <c:idx val="6"/>
          <c:order val="3"/>
          <c:tx>
            <c:strRef>
              <c:f>'Tableau détaillé'!$AD$454</c:f>
              <c:strCache>
                <c:ptCount val="1"/>
                <c:pt idx="0">
                  <c:v>31/01/2021</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détaillé'!$AD$499,'Tableau détaillé'!$AD$504)</c:f>
              <c:numCache>
                <c:formatCode>0.0%</c:formatCode>
                <c:ptCount val="2"/>
                <c:pt idx="0">
                  <c:v>4.3096568236233044E-3</c:v>
                </c:pt>
                <c:pt idx="1">
                  <c:v>7.0151618013125144E-3</c:v>
                </c:pt>
              </c:numCache>
            </c:numRef>
          </c:val>
          <c:extLst>
            <c:ext xmlns:c16="http://schemas.microsoft.com/office/drawing/2014/chart" uri="{C3380CC4-5D6E-409C-BE32-E72D297353CC}">
              <c16:uniqueId val="{00000003-2333-41E9-A709-C210D8F5AF5B}"/>
            </c:ext>
          </c:extLst>
        </c:ser>
        <c:ser>
          <c:idx val="7"/>
          <c:order val="4"/>
          <c:tx>
            <c:strRef>
              <c:f>'Tableau détaillé'!$AE$454</c:f>
              <c:strCache>
                <c:ptCount val="1"/>
                <c:pt idx="0">
                  <c:v>30/09/2021</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détaillé'!$AE$499,'Tableau détaillé'!$AE$504)</c:f>
              <c:numCache>
                <c:formatCode>0.0%</c:formatCode>
                <c:ptCount val="2"/>
                <c:pt idx="0">
                  <c:v>6.1478273019421542E-3</c:v>
                </c:pt>
                <c:pt idx="1">
                  <c:v>2.8792270531400967E-2</c:v>
                </c:pt>
              </c:numCache>
            </c:numRef>
          </c:val>
          <c:extLst>
            <c:ext xmlns:c16="http://schemas.microsoft.com/office/drawing/2014/chart" uri="{C3380CC4-5D6E-409C-BE32-E72D297353CC}">
              <c16:uniqueId val="{00000004-2333-41E9-A709-C210D8F5AF5B}"/>
            </c:ext>
          </c:extLst>
        </c:ser>
        <c:ser>
          <c:idx val="2"/>
          <c:order val="5"/>
          <c:tx>
            <c:strRef>
              <c:f>'Tableau détaillé'!$AF$454</c:f>
              <c:strCache>
                <c:ptCount val="1"/>
                <c:pt idx="0">
                  <c:v>30/09/2021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détaillé'!$AF$499,'Tableau détaillé'!$AF$504)</c:f>
              <c:numCache>
                <c:formatCode>0.0%</c:formatCode>
                <c:ptCount val="2"/>
                <c:pt idx="0">
                  <c:v>9.0423345663789567E-3</c:v>
                </c:pt>
                <c:pt idx="1">
                  <c:v>1.2048192771084338E-2</c:v>
                </c:pt>
              </c:numCache>
            </c:numRef>
          </c:val>
          <c:extLst>
            <c:ext xmlns:c16="http://schemas.microsoft.com/office/drawing/2014/chart" uri="{C3380CC4-5D6E-409C-BE32-E72D297353CC}">
              <c16:uniqueId val="{00000005-2333-41E9-A709-C210D8F5AF5B}"/>
            </c:ext>
          </c:extLst>
        </c:ser>
        <c:dLbls>
          <c:showLegendKey val="0"/>
          <c:showVal val="0"/>
          <c:showCatName val="0"/>
          <c:showSerName val="0"/>
          <c:showPercent val="0"/>
          <c:showBubbleSize val="0"/>
        </c:dLbls>
        <c:gapWidth val="219"/>
        <c:overlap val="-27"/>
        <c:axId val="964156648"/>
        <c:axId val="964149984"/>
      </c:barChart>
      <c:catAx>
        <c:axId val="964156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49984"/>
        <c:crosses val="autoZero"/>
        <c:auto val="1"/>
        <c:lblAlgn val="ctr"/>
        <c:lblOffset val="100"/>
        <c:noMultiLvlLbl val="0"/>
      </c:catAx>
      <c:valAx>
        <c:axId val="96414998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6648"/>
        <c:crosses val="autoZero"/>
        <c:crossBetween val="between"/>
      </c:valAx>
      <c:spPr>
        <a:noFill/>
        <a:ln>
          <a:noFill/>
        </a:ln>
        <a:effectLst/>
      </c:spPr>
    </c:plotArea>
    <c:legend>
      <c:legendPos val="b"/>
      <c:layout>
        <c:manualLayout>
          <c:xMode val="edge"/>
          <c:yMode val="edge"/>
          <c:x val="0.17184150255903594"/>
          <c:y val="0.89203718973409096"/>
          <c:w val="0.69058701353235985"/>
          <c:h val="0.107962681968078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Taux d'attrition sur les CAV </a:t>
            </a:r>
            <a:r>
              <a:rPr lang="fr-FR" sz="1400" b="1" i="0" u="none" strike="noStrike" baseline="0">
                <a:effectLst/>
              </a:rPr>
              <a:t>(CAV fermés) </a:t>
            </a:r>
            <a:r>
              <a:rPr lang="fr-FR"/>
              <a:t> AFS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3"/>
          <c:order val="0"/>
          <c:tx>
            <c:strRef>
              <c:f>'Tableau détaillé'!$AA$454</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détaillé'!$AA$491</c:f>
              <c:numCache>
                <c:formatCode>0.0%</c:formatCode>
                <c:ptCount val="1"/>
                <c:pt idx="0">
                  <c:v>6.6819396716303932E-3</c:v>
                </c:pt>
              </c:numCache>
            </c:numRef>
          </c:val>
          <c:extLst>
            <c:ext xmlns:c16="http://schemas.microsoft.com/office/drawing/2014/chart" uri="{C3380CC4-5D6E-409C-BE32-E72D297353CC}">
              <c16:uniqueId val="{00000000-E01F-48CB-A325-A4D6E987FF0F}"/>
            </c:ext>
          </c:extLst>
        </c:ser>
        <c:ser>
          <c:idx val="4"/>
          <c:order val="1"/>
          <c:tx>
            <c:strRef>
              <c:f>'Tableau détaillé'!$AB$454</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détaillé'!$AB$491</c:f>
              <c:numCache>
                <c:formatCode>0.0%</c:formatCode>
                <c:ptCount val="1"/>
                <c:pt idx="0">
                  <c:v>4.7276853252647506E-3</c:v>
                </c:pt>
              </c:numCache>
            </c:numRef>
          </c:val>
          <c:extLst>
            <c:ext xmlns:c16="http://schemas.microsoft.com/office/drawing/2014/chart" uri="{C3380CC4-5D6E-409C-BE32-E72D297353CC}">
              <c16:uniqueId val="{00000001-E01F-48CB-A325-A4D6E987FF0F}"/>
            </c:ext>
          </c:extLst>
        </c:ser>
        <c:ser>
          <c:idx val="5"/>
          <c:order val="2"/>
          <c:tx>
            <c:strRef>
              <c:f>'Tableau détaillé'!$AC$454</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détaillé'!$AC$491</c:f>
              <c:numCache>
                <c:formatCode>0.0%</c:formatCode>
                <c:ptCount val="1"/>
                <c:pt idx="0">
                  <c:v>6.575963718820862E-3</c:v>
                </c:pt>
              </c:numCache>
            </c:numRef>
          </c:val>
          <c:extLst>
            <c:ext xmlns:c16="http://schemas.microsoft.com/office/drawing/2014/chart" uri="{C3380CC4-5D6E-409C-BE32-E72D297353CC}">
              <c16:uniqueId val="{00000002-E01F-48CB-A325-A4D6E987FF0F}"/>
            </c:ext>
          </c:extLst>
        </c:ser>
        <c:ser>
          <c:idx val="6"/>
          <c:order val="3"/>
          <c:tx>
            <c:strRef>
              <c:f>'Tableau détaillé'!$AD$454</c:f>
              <c:strCache>
                <c:ptCount val="1"/>
                <c:pt idx="0">
                  <c:v>31/01/2021</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détaillé'!$AD$491</c:f>
              <c:numCache>
                <c:formatCode>0.0%</c:formatCode>
                <c:ptCount val="1"/>
                <c:pt idx="0">
                  <c:v>5.4286783976038935E-3</c:v>
                </c:pt>
              </c:numCache>
            </c:numRef>
          </c:val>
          <c:extLst>
            <c:ext xmlns:c16="http://schemas.microsoft.com/office/drawing/2014/chart" uri="{C3380CC4-5D6E-409C-BE32-E72D297353CC}">
              <c16:uniqueId val="{00000003-E01F-48CB-A325-A4D6E987FF0F}"/>
            </c:ext>
          </c:extLst>
        </c:ser>
        <c:ser>
          <c:idx val="7"/>
          <c:order val="4"/>
          <c:tx>
            <c:strRef>
              <c:f>'Tableau détaillé'!$AE$454</c:f>
              <c:strCache>
                <c:ptCount val="1"/>
                <c:pt idx="0">
                  <c:v>30/09/2021</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détaillé'!$AE$491</c:f>
              <c:numCache>
                <c:formatCode>0.0%</c:formatCode>
                <c:ptCount val="1"/>
                <c:pt idx="0">
                  <c:v>1.5650340577359714E-2</c:v>
                </c:pt>
              </c:numCache>
            </c:numRef>
          </c:val>
          <c:extLst>
            <c:ext xmlns:c16="http://schemas.microsoft.com/office/drawing/2014/chart" uri="{C3380CC4-5D6E-409C-BE32-E72D297353CC}">
              <c16:uniqueId val="{00000004-E01F-48CB-A325-A4D6E987FF0F}"/>
            </c:ext>
          </c:extLst>
        </c:ser>
        <c:ser>
          <c:idx val="2"/>
          <c:order val="5"/>
          <c:tx>
            <c:strRef>
              <c:f>'Tableau détaillé'!$AF$454</c:f>
              <c:strCache>
                <c:ptCount val="1"/>
                <c:pt idx="0">
                  <c:v>30/09/2021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détaillé'!$AF$491</c:f>
              <c:numCache>
                <c:formatCode>0.0%</c:formatCode>
                <c:ptCount val="1"/>
                <c:pt idx="0">
                  <c:v>1.0363887609396591E-2</c:v>
                </c:pt>
              </c:numCache>
            </c:numRef>
          </c:val>
          <c:extLst>
            <c:ext xmlns:c16="http://schemas.microsoft.com/office/drawing/2014/chart" uri="{C3380CC4-5D6E-409C-BE32-E72D297353CC}">
              <c16:uniqueId val="{00000005-E01F-48CB-A325-A4D6E987FF0F}"/>
            </c:ext>
          </c:extLst>
        </c:ser>
        <c:dLbls>
          <c:showLegendKey val="0"/>
          <c:showVal val="0"/>
          <c:showCatName val="0"/>
          <c:showSerName val="0"/>
          <c:showPercent val="0"/>
          <c:showBubbleSize val="0"/>
        </c:dLbls>
        <c:gapWidth val="219"/>
        <c:overlap val="-27"/>
        <c:axId val="964160568"/>
        <c:axId val="964151944"/>
      </c:barChart>
      <c:catAx>
        <c:axId val="964160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1944"/>
        <c:crosses val="autoZero"/>
        <c:auto val="1"/>
        <c:lblAlgn val="ctr"/>
        <c:lblOffset val="100"/>
        <c:noMultiLvlLbl val="0"/>
      </c:catAx>
      <c:valAx>
        <c:axId val="96415194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0568"/>
        <c:crosses val="autoZero"/>
        <c:crossBetween val="between"/>
      </c:valAx>
      <c:spPr>
        <a:noFill/>
        <a:ln>
          <a:noFill/>
        </a:ln>
        <a:effectLst/>
      </c:spPr>
    </c:plotArea>
    <c:legend>
      <c:legendPos val="b"/>
      <c:layout>
        <c:manualLayout>
          <c:xMode val="edge"/>
          <c:yMode val="edge"/>
          <c:x val="0.11063156431528455"/>
          <c:y val="0.89203718973409096"/>
          <c:w val="0.78937996580244962"/>
          <c:h val="0.107962681968078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400"/>
              <a:t>Taux d'attrition sur les CAV </a:t>
            </a:r>
            <a:r>
              <a:rPr lang="fr-FR" sz="1400" b="1" i="0" u="none" strike="noStrike" baseline="0">
                <a:effectLst/>
              </a:rPr>
              <a:t>(CAV inactifs) </a:t>
            </a:r>
            <a:r>
              <a:rPr lang="fr-FR" sz="1400"/>
              <a:t> par entité</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4.194019324728273E-2"/>
          <c:y val="0.13143517187599521"/>
          <c:w val="0.94288616192918395"/>
          <c:h val="0.6591692731958142"/>
        </c:manualLayout>
      </c:layout>
      <c:barChart>
        <c:barDir val="col"/>
        <c:grouping val="clustered"/>
        <c:varyColors val="0"/>
        <c:ser>
          <c:idx val="3"/>
          <c:order val="0"/>
          <c:tx>
            <c:strRef>
              <c:f>'Tableau détaillé'!$AA$454</c:f>
              <c:strCache>
                <c:ptCount val="1"/>
                <c:pt idx="0">
                  <c:v>31/10/2020</c:v>
                </c:pt>
              </c:strCache>
            </c:strRef>
          </c:tx>
          <c:spPr>
            <a:solidFill>
              <a:schemeClr val="accent4"/>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détaillé'!$AA$529:$AA$535,'Tableau détaillé'!$AA$537:$AA$540)</c:f>
              <c:numCache>
                <c:formatCode>0%</c:formatCode>
                <c:ptCount val="11"/>
                <c:pt idx="0">
                  <c:v>0.18148262073208243</c:v>
                </c:pt>
                <c:pt idx="1">
                  <c:v>0.17857142857142858</c:v>
                </c:pt>
                <c:pt idx="2">
                  <c:v>0.22760800842992623</c:v>
                </c:pt>
                <c:pt idx="3">
                  <c:v>0.10465116279069768</c:v>
                </c:pt>
                <c:pt idx="4">
                  <c:v>0.1610305958132045</c:v>
                </c:pt>
                <c:pt idx="5">
                  <c:v>0.28925619834710742</c:v>
                </c:pt>
                <c:pt idx="6">
                  <c:v>0.18571428571428572</c:v>
                </c:pt>
                <c:pt idx="7">
                  <c:v>0.12706389088298636</c:v>
                </c:pt>
                <c:pt idx="8">
                  <c:v>0.18953211736716891</c:v>
                </c:pt>
                <c:pt idx="9">
                  <c:v>0.37362637362637363</c:v>
                </c:pt>
                <c:pt idx="10">
                  <c:v>0.20661157024793389</c:v>
                </c:pt>
              </c:numCache>
            </c:numRef>
          </c:val>
          <c:extLst>
            <c:ext xmlns:c16="http://schemas.microsoft.com/office/drawing/2014/chart" uri="{C3380CC4-5D6E-409C-BE32-E72D297353CC}">
              <c16:uniqueId val="{00000000-0E80-457F-A158-36FBBA91875F}"/>
            </c:ext>
          </c:extLst>
        </c:ser>
        <c:ser>
          <c:idx val="4"/>
          <c:order val="1"/>
          <c:tx>
            <c:strRef>
              <c:f>'Tableau détaillé'!$AB$454</c:f>
              <c:strCache>
                <c:ptCount val="1"/>
                <c:pt idx="0">
                  <c:v>30/11/2020</c:v>
                </c:pt>
              </c:strCache>
            </c:strRef>
          </c:tx>
          <c:spPr>
            <a:solidFill>
              <a:schemeClr val="accent5"/>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détaillé'!$AB$529:$AB$535,'Tableau détaillé'!$AB$537:$AB$540)</c:f>
              <c:numCache>
                <c:formatCode>0%</c:formatCode>
                <c:ptCount val="11"/>
                <c:pt idx="0">
                  <c:v>0.20502092050209206</c:v>
                </c:pt>
                <c:pt idx="1">
                  <c:v>0.28505392912172572</c:v>
                </c:pt>
                <c:pt idx="2">
                  <c:v>0.1899886234357224</c:v>
                </c:pt>
                <c:pt idx="3">
                  <c:v>0.10227272727272728</c:v>
                </c:pt>
                <c:pt idx="4">
                  <c:v>0.21439060205580029</c:v>
                </c:pt>
                <c:pt idx="5">
                  <c:v>0.25225225225225223</c:v>
                </c:pt>
                <c:pt idx="6">
                  <c:v>6.7692307692307691E-2</c:v>
                </c:pt>
                <c:pt idx="7">
                  <c:v>0.13788056206088992</c:v>
                </c:pt>
                <c:pt idx="8">
                  <c:v>0.15874439461883408</c:v>
                </c:pt>
                <c:pt idx="9">
                  <c:v>0.44230769230769229</c:v>
                </c:pt>
                <c:pt idx="10">
                  <c:v>0.23772609819121446</c:v>
                </c:pt>
              </c:numCache>
            </c:numRef>
          </c:val>
          <c:extLst>
            <c:ext xmlns:c16="http://schemas.microsoft.com/office/drawing/2014/chart" uri="{C3380CC4-5D6E-409C-BE32-E72D297353CC}">
              <c16:uniqueId val="{00000001-0E80-457F-A158-36FBBA91875F}"/>
            </c:ext>
          </c:extLst>
        </c:ser>
        <c:ser>
          <c:idx val="5"/>
          <c:order val="2"/>
          <c:tx>
            <c:strRef>
              <c:f>'Tableau détaillé'!$AC$454</c:f>
              <c:strCache>
                <c:ptCount val="1"/>
                <c:pt idx="0">
                  <c:v>31/12/2020</c:v>
                </c:pt>
              </c:strCache>
            </c:strRef>
          </c:tx>
          <c:spPr>
            <a:solidFill>
              <a:schemeClr val="accent6"/>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détaillé'!$AC$529:$AC$535,'Tableau détaillé'!$AC$537:$AC$540)</c:f>
              <c:numCache>
                <c:formatCode>0%</c:formatCode>
                <c:ptCount val="11"/>
                <c:pt idx="0">
                  <c:v>0.17576009995835068</c:v>
                </c:pt>
                <c:pt idx="1">
                  <c:v>0.1673228346456693</c:v>
                </c:pt>
                <c:pt idx="2">
                  <c:v>0.21389793702497287</c:v>
                </c:pt>
                <c:pt idx="3">
                  <c:v>0.14018691588785046</c:v>
                </c:pt>
                <c:pt idx="4">
                  <c:v>0.24528301886792453</c:v>
                </c:pt>
                <c:pt idx="5">
                  <c:v>0.35135135135135137</c:v>
                </c:pt>
                <c:pt idx="6">
                  <c:v>0.1210762331838565</c:v>
                </c:pt>
                <c:pt idx="7">
                  <c:v>0.12210144927536232</c:v>
                </c:pt>
                <c:pt idx="8">
                  <c:v>0.13160854893138357</c:v>
                </c:pt>
                <c:pt idx="9">
                  <c:v>0.57196969696969702</c:v>
                </c:pt>
                <c:pt idx="10">
                  <c:v>0.20883534136546184</c:v>
                </c:pt>
              </c:numCache>
            </c:numRef>
          </c:val>
          <c:extLst>
            <c:ext xmlns:c16="http://schemas.microsoft.com/office/drawing/2014/chart" uri="{C3380CC4-5D6E-409C-BE32-E72D297353CC}">
              <c16:uniqueId val="{00000002-0E80-457F-A158-36FBBA91875F}"/>
            </c:ext>
          </c:extLst>
        </c:ser>
        <c:ser>
          <c:idx val="6"/>
          <c:order val="3"/>
          <c:tx>
            <c:strRef>
              <c:f>'Tableau détaillé'!$AD$454</c:f>
              <c:strCache>
                <c:ptCount val="1"/>
                <c:pt idx="0">
                  <c:v>31/01/2021</c:v>
                </c:pt>
              </c:strCache>
            </c:strRef>
          </c:tx>
          <c:spPr>
            <a:solidFill>
              <a:schemeClr val="accent1">
                <a:lumMod val="60000"/>
              </a:schemeClr>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détaillé'!$AD$529:$AD$535,'Tableau détaillé'!$AD$537:$AD$540)</c:f>
              <c:numCache>
                <c:formatCode>0%</c:formatCode>
                <c:ptCount val="11"/>
                <c:pt idx="0">
                  <c:v>0.13193446392641564</c:v>
                </c:pt>
                <c:pt idx="1">
                  <c:v>0.23681257014590348</c:v>
                </c:pt>
                <c:pt idx="2">
                  <c:v>0.19300106044538706</c:v>
                </c:pt>
                <c:pt idx="3">
                  <c:v>6.0869565217391307E-2</c:v>
                </c:pt>
                <c:pt idx="4">
                  <c:v>0.27360308285163776</c:v>
                </c:pt>
                <c:pt idx="5">
                  <c:v>0.18309859154929578</c:v>
                </c:pt>
                <c:pt idx="6">
                  <c:v>4.048582995951417E-3</c:v>
                </c:pt>
                <c:pt idx="7">
                  <c:v>0.10178117048346055</c:v>
                </c:pt>
                <c:pt idx="8">
                  <c:v>0.11789297658862877</c:v>
                </c:pt>
                <c:pt idx="9">
                  <c:v>0.15612648221343872</c:v>
                </c:pt>
                <c:pt idx="10">
                  <c:v>0.20891364902506965</c:v>
                </c:pt>
              </c:numCache>
            </c:numRef>
          </c:val>
          <c:extLst>
            <c:ext xmlns:c16="http://schemas.microsoft.com/office/drawing/2014/chart" uri="{C3380CC4-5D6E-409C-BE32-E72D297353CC}">
              <c16:uniqueId val="{00000003-0E80-457F-A158-36FBBA91875F}"/>
            </c:ext>
          </c:extLst>
        </c:ser>
        <c:ser>
          <c:idx val="7"/>
          <c:order val="4"/>
          <c:tx>
            <c:strRef>
              <c:f>'Tableau détaillé'!$AE$454</c:f>
              <c:strCache>
                <c:ptCount val="1"/>
                <c:pt idx="0">
                  <c:v>30/09/2021</c:v>
                </c:pt>
              </c:strCache>
            </c:strRef>
          </c:tx>
          <c:spPr>
            <a:solidFill>
              <a:schemeClr val="accent2">
                <a:lumMod val="60000"/>
              </a:schemeClr>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détaillé'!$AE$529:$AE$535,'Tableau détaillé'!$AE$537:$AE$540)</c:f>
              <c:numCache>
                <c:formatCode>0%</c:formatCode>
                <c:ptCount val="11"/>
                <c:pt idx="0">
                  <c:v>0.28803351662738935</c:v>
                </c:pt>
                <c:pt idx="1">
                  <c:v>0.21649484536082475</c:v>
                </c:pt>
                <c:pt idx="2">
                  <c:v>0.31805745554035569</c:v>
                </c:pt>
                <c:pt idx="3">
                  <c:v>0.42364532019704432</c:v>
                </c:pt>
                <c:pt idx="4">
                  <c:v>0.28545454545454546</c:v>
                </c:pt>
                <c:pt idx="5">
                  <c:v>0.06</c:v>
                </c:pt>
                <c:pt idx="6">
                  <c:v>0</c:v>
                </c:pt>
                <c:pt idx="7">
                  <c:v>0.10164917541229385</c:v>
                </c:pt>
                <c:pt idx="8">
                  <c:v>0.15112540192926044</c:v>
                </c:pt>
                <c:pt idx="9">
                  <c:v>0.21649484536082475</c:v>
                </c:pt>
                <c:pt idx="10">
                  <c:v>0.24378109452736318</c:v>
                </c:pt>
              </c:numCache>
            </c:numRef>
          </c:val>
          <c:extLst>
            <c:ext xmlns:c16="http://schemas.microsoft.com/office/drawing/2014/chart" uri="{C3380CC4-5D6E-409C-BE32-E72D297353CC}">
              <c16:uniqueId val="{00000004-0E80-457F-A158-36FBBA91875F}"/>
            </c:ext>
          </c:extLst>
        </c:ser>
        <c:ser>
          <c:idx val="2"/>
          <c:order val="5"/>
          <c:tx>
            <c:strRef>
              <c:f>'Tableau détaillé'!$AF$454</c:f>
              <c:strCache>
                <c:ptCount val="1"/>
                <c:pt idx="0">
                  <c:v>30/09/2021</c:v>
                </c:pt>
              </c:strCache>
            </c:strRef>
          </c:tx>
          <c:spPr>
            <a:solidFill>
              <a:schemeClr val="accent3"/>
            </a:solidFill>
            <a:ln>
              <a:noFill/>
            </a:ln>
            <a:effectLst/>
          </c:spPr>
          <c:invertIfNegative val="0"/>
          <c:cat>
            <c:strRef>
              <c:f>('Tableau détaillé'!$D$456:$D$462,'Tableau détaillé'!$D$464:$D$467)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détaillé'!$AF$529:$AF$535,'Tableau détaillé'!$AF$537:$AF$540)</c:f>
              <c:numCache>
                <c:formatCode>0%</c:formatCode>
                <c:ptCount val="11"/>
                <c:pt idx="0">
                  <c:v>0.22035372571759931</c:v>
                </c:pt>
                <c:pt idx="1">
                  <c:v>0.31686746987951808</c:v>
                </c:pt>
                <c:pt idx="2">
                  <c:v>0.32230215827338127</c:v>
                </c:pt>
                <c:pt idx="3">
                  <c:v>0.11398963730569948</c:v>
                </c:pt>
                <c:pt idx="4">
                  <c:v>0.28939828080229224</c:v>
                </c:pt>
                <c:pt idx="5">
                  <c:v>3.90625E-2</c:v>
                </c:pt>
                <c:pt idx="6">
                  <c:v>1.509433962264151E-2</c:v>
                </c:pt>
                <c:pt idx="7">
                  <c:v>8.9831909616974376E-2</c:v>
                </c:pt>
                <c:pt idx="8">
                  <c:v>0.15221579961464354</c:v>
                </c:pt>
                <c:pt idx="9">
                  <c:v>0.22935779816513763</c:v>
                </c:pt>
                <c:pt idx="10">
                  <c:v>0.27777777777777779</c:v>
                </c:pt>
              </c:numCache>
            </c:numRef>
          </c:val>
          <c:extLst>
            <c:ext xmlns:c16="http://schemas.microsoft.com/office/drawing/2014/chart" uri="{C3380CC4-5D6E-409C-BE32-E72D297353CC}">
              <c16:uniqueId val="{00000005-0E80-457F-A158-36FBBA91875F}"/>
            </c:ext>
          </c:extLst>
        </c:ser>
        <c:dLbls>
          <c:showLegendKey val="0"/>
          <c:showVal val="0"/>
          <c:showCatName val="0"/>
          <c:showSerName val="0"/>
          <c:showPercent val="0"/>
          <c:showBubbleSize val="0"/>
        </c:dLbls>
        <c:gapWidth val="219"/>
        <c:overlap val="-27"/>
        <c:axId val="964153120"/>
        <c:axId val="964152336"/>
      </c:barChart>
      <c:catAx>
        <c:axId val="96415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2336"/>
        <c:crosses val="autoZero"/>
        <c:auto val="1"/>
        <c:lblAlgn val="ctr"/>
        <c:lblOffset val="100"/>
        <c:noMultiLvlLbl val="0"/>
      </c:catAx>
      <c:valAx>
        <c:axId val="9641523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3120"/>
        <c:crosses val="autoZero"/>
        <c:crossBetween val="between"/>
      </c:valAx>
      <c:spPr>
        <a:noFill/>
        <a:ln>
          <a:noFill/>
        </a:ln>
        <a:effectLst/>
      </c:spPr>
    </c:plotArea>
    <c:legend>
      <c:legendPos val="b"/>
      <c:layout>
        <c:manualLayout>
          <c:xMode val="edge"/>
          <c:yMode val="edge"/>
          <c:x val="0.21751848887441638"/>
          <c:y val="0.89203720900949124"/>
          <c:w val="0.6106272211277961"/>
          <c:h val="5.8471832104432485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400"/>
              <a:t>Taux d'attrition sur les CAV </a:t>
            </a:r>
            <a:r>
              <a:rPr lang="fr-FR" sz="1400" b="1" i="0" u="none" strike="noStrike" baseline="0">
                <a:effectLst/>
              </a:rPr>
              <a:t>(CAV inactifs) </a:t>
            </a:r>
            <a:r>
              <a:rPr lang="fr-FR" sz="1400"/>
              <a:t> par DR</a:t>
            </a:r>
          </a:p>
        </c:rich>
      </c:tx>
      <c:layout>
        <c:manualLayout>
          <c:xMode val="edge"/>
          <c:yMode val="edge"/>
          <c:x val="0.3302148287874429"/>
          <c:y val="2.033111976710462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09859097147E-2"/>
          <c:y val="0.14420304971686945"/>
          <c:w val="0.91811982262009828"/>
          <c:h val="0.6591692731958142"/>
        </c:manualLayout>
      </c:layout>
      <c:barChart>
        <c:barDir val="col"/>
        <c:grouping val="clustered"/>
        <c:varyColors val="0"/>
        <c:ser>
          <c:idx val="3"/>
          <c:order val="0"/>
          <c:tx>
            <c:strRef>
              <c:f>'Tableau détaillé'!$AA$454</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détaillé'!$AA$536,'Tableau détaillé'!$AA$541)</c:f>
              <c:numCache>
                <c:formatCode>0%</c:formatCode>
                <c:ptCount val="2"/>
                <c:pt idx="0">
                  <c:v>0.18660774983004758</c:v>
                </c:pt>
                <c:pt idx="1">
                  <c:v>0.16027874564459929</c:v>
                </c:pt>
              </c:numCache>
            </c:numRef>
          </c:val>
          <c:extLst>
            <c:ext xmlns:c16="http://schemas.microsoft.com/office/drawing/2014/chart" uri="{C3380CC4-5D6E-409C-BE32-E72D297353CC}">
              <c16:uniqueId val="{00000000-7646-4479-8A47-3C353DF8142E}"/>
            </c:ext>
          </c:extLst>
        </c:ser>
        <c:ser>
          <c:idx val="4"/>
          <c:order val="1"/>
          <c:tx>
            <c:strRef>
              <c:f>'Tableau détaillé'!$AB$454</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détaillé'!$AB$536,'Tableau détaillé'!$AB$541)</c:f>
              <c:numCache>
                <c:formatCode>0%</c:formatCode>
                <c:ptCount val="2"/>
                <c:pt idx="0">
                  <c:v>0.20275229357798166</c:v>
                </c:pt>
                <c:pt idx="1">
                  <c:v>0.16230979321108077</c:v>
                </c:pt>
              </c:numCache>
            </c:numRef>
          </c:val>
          <c:extLst>
            <c:ext xmlns:c16="http://schemas.microsoft.com/office/drawing/2014/chart" uri="{C3380CC4-5D6E-409C-BE32-E72D297353CC}">
              <c16:uniqueId val="{00000001-7646-4479-8A47-3C353DF8142E}"/>
            </c:ext>
          </c:extLst>
        </c:ser>
        <c:ser>
          <c:idx val="5"/>
          <c:order val="2"/>
          <c:tx>
            <c:strRef>
              <c:f>'Tableau détaillé'!$AC$454</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détaillé'!$AC$536,'Tableau détaillé'!$AC$541)</c:f>
              <c:numCache>
                <c:formatCode>0%</c:formatCode>
                <c:ptCount val="2"/>
                <c:pt idx="0">
                  <c:v>0.18806354658651783</c:v>
                </c:pt>
                <c:pt idx="1">
                  <c:v>0.15785679961556945</c:v>
                </c:pt>
              </c:numCache>
            </c:numRef>
          </c:val>
          <c:extLst>
            <c:ext xmlns:c16="http://schemas.microsoft.com/office/drawing/2014/chart" uri="{C3380CC4-5D6E-409C-BE32-E72D297353CC}">
              <c16:uniqueId val="{00000002-7646-4479-8A47-3C353DF8142E}"/>
            </c:ext>
          </c:extLst>
        </c:ser>
        <c:ser>
          <c:idx val="6"/>
          <c:order val="3"/>
          <c:tx>
            <c:strRef>
              <c:f>'Tableau détaillé'!$AD$454</c:f>
              <c:strCache>
                <c:ptCount val="1"/>
                <c:pt idx="0">
                  <c:v>31/01/2021</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détaillé'!$AD$536,'Tableau détaillé'!$AD$541)</c:f>
              <c:numCache>
                <c:formatCode>0%</c:formatCode>
                <c:ptCount val="2"/>
                <c:pt idx="0">
                  <c:v>0.16201117318435754</c:v>
                </c:pt>
                <c:pt idx="1">
                  <c:v>0.12106811495813533</c:v>
                </c:pt>
              </c:numCache>
            </c:numRef>
          </c:val>
          <c:extLst>
            <c:ext xmlns:c16="http://schemas.microsoft.com/office/drawing/2014/chart" uri="{C3380CC4-5D6E-409C-BE32-E72D297353CC}">
              <c16:uniqueId val="{00000003-7646-4479-8A47-3C353DF8142E}"/>
            </c:ext>
          </c:extLst>
        </c:ser>
        <c:ser>
          <c:idx val="7"/>
          <c:order val="4"/>
          <c:tx>
            <c:strRef>
              <c:f>'Tableau détaillé'!$AE$454</c:f>
              <c:strCache>
                <c:ptCount val="1"/>
                <c:pt idx="0">
                  <c:v>30/09/2021</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détaillé'!$AE$536,'Tableau détaillé'!$AE$541)</c:f>
              <c:numCache>
                <c:formatCode>0%</c:formatCode>
                <c:ptCount val="2"/>
                <c:pt idx="0">
                  <c:v>0.28559452284476738</c:v>
                </c:pt>
                <c:pt idx="1">
                  <c:v>0.12888888888888889</c:v>
                </c:pt>
              </c:numCache>
            </c:numRef>
          </c:val>
          <c:extLst>
            <c:ext xmlns:c16="http://schemas.microsoft.com/office/drawing/2014/chart" uri="{C3380CC4-5D6E-409C-BE32-E72D297353CC}">
              <c16:uniqueId val="{00000004-7646-4479-8A47-3C353DF8142E}"/>
            </c:ext>
          </c:extLst>
        </c:ser>
        <c:ser>
          <c:idx val="2"/>
          <c:order val="5"/>
          <c:tx>
            <c:strRef>
              <c:f>'Tableau détaillé'!$AF$454</c:f>
              <c:strCache>
                <c:ptCount val="1"/>
                <c:pt idx="0">
                  <c:v>30/09/2021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détaillé'!$D$463,'Tableau détaillé'!$D$468)</c:f>
              <c:strCache>
                <c:ptCount val="2"/>
                <c:pt idx="0">
                  <c:v>Total AFO</c:v>
                </c:pt>
                <c:pt idx="1">
                  <c:v>Total AFCE</c:v>
                </c:pt>
              </c:strCache>
            </c:strRef>
          </c:cat>
          <c:val>
            <c:numRef>
              <c:f>('Tableau détaillé'!$AF$536,'Tableau détaillé'!$AF$541)</c:f>
              <c:numCache>
                <c:formatCode>0%</c:formatCode>
                <c:ptCount val="2"/>
                <c:pt idx="0">
                  <c:v>0.25030826140567203</c:v>
                </c:pt>
                <c:pt idx="1">
                  <c:v>0.12362493452069147</c:v>
                </c:pt>
              </c:numCache>
            </c:numRef>
          </c:val>
          <c:extLst>
            <c:ext xmlns:c16="http://schemas.microsoft.com/office/drawing/2014/chart" uri="{C3380CC4-5D6E-409C-BE32-E72D297353CC}">
              <c16:uniqueId val="{00000005-7646-4479-8A47-3C353DF8142E}"/>
            </c:ext>
          </c:extLst>
        </c:ser>
        <c:dLbls>
          <c:showLegendKey val="0"/>
          <c:showVal val="0"/>
          <c:showCatName val="0"/>
          <c:showSerName val="0"/>
          <c:showPercent val="0"/>
          <c:showBubbleSize val="0"/>
        </c:dLbls>
        <c:gapWidth val="219"/>
        <c:overlap val="-27"/>
        <c:axId val="964151160"/>
        <c:axId val="964154296"/>
      </c:barChart>
      <c:catAx>
        <c:axId val="964151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4296"/>
        <c:crosses val="autoZero"/>
        <c:auto val="1"/>
        <c:lblAlgn val="ctr"/>
        <c:lblOffset val="100"/>
        <c:noMultiLvlLbl val="0"/>
      </c:catAx>
      <c:valAx>
        <c:axId val="9641542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1160"/>
        <c:crosses val="autoZero"/>
        <c:crossBetween val="between"/>
      </c:valAx>
      <c:spPr>
        <a:noFill/>
        <a:ln>
          <a:noFill/>
        </a:ln>
        <a:effectLst/>
      </c:spPr>
    </c:plotArea>
    <c:legend>
      <c:legendPos val="b"/>
      <c:layout>
        <c:manualLayout>
          <c:xMode val="edge"/>
          <c:yMode val="edge"/>
          <c:x val="0.14244025811562966"/>
          <c:y val="0.87848313837781689"/>
          <c:w val="0.71194173843346953"/>
          <c:h val="0.107962681968078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400"/>
              <a:t>Taux d'attrition sur les CAV </a:t>
            </a:r>
            <a:r>
              <a:rPr lang="fr-FR" sz="1400" b="1" i="0" u="none" strike="noStrike" baseline="0">
                <a:effectLst/>
              </a:rPr>
              <a:t>(CAV inactifs) </a:t>
            </a:r>
            <a:r>
              <a:rPr lang="fr-FR" sz="1400"/>
              <a:t>AFS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8.1880177379901609E-2"/>
          <c:y val="0.13143517187599521"/>
          <c:w val="0.91811982262009828"/>
          <c:h val="0.6591692731958142"/>
        </c:manualLayout>
      </c:layout>
      <c:barChart>
        <c:barDir val="col"/>
        <c:grouping val="clustered"/>
        <c:varyColors val="0"/>
        <c:ser>
          <c:idx val="3"/>
          <c:order val="0"/>
          <c:tx>
            <c:strRef>
              <c:f>'Tableau détaillé'!$AA$454</c:f>
              <c:strCache>
                <c:ptCount val="1"/>
                <c:pt idx="0">
                  <c:v>31/10/2020</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détaillé'!$AA$528</c:f>
              <c:numCache>
                <c:formatCode>0%</c:formatCode>
                <c:ptCount val="1"/>
                <c:pt idx="0">
                  <c:v>0.17506681939671631</c:v>
                </c:pt>
              </c:numCache>
            </c:numRef>
          </c:val>
          <c:extLst>
            <c:ext xmlns:c16="http://schemas.microsoft.com/office/drawing/2014/chart" uri="{C3380CC4-5D6E-409C-BE32-E72D297353CC}">
              <c16:uniqueId val="{00000000-0E43-4010-A47A-382A9648BFEF}"/>
            </c:ext>
          </c:extLst>
        </c:ser>
        <c:ser>
          <c:idx val="4"/>
          <c:order val="1"/>
          <c:tx>
            <c:strRef>
              <c:f>'Tableau détaillé'!$AB$454</c:f>
              <c:strCache>
                <c:ptCount val="1"/>
                <c:pt idx="0">
                  <c:v>30/11/2020</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détaillé'!$AB$528</c:f>
              <c:numCache>
                <c:formatCode>0%</c:formatCode>
                <c:ptCount val="1"/>
                <c:pt idx="0">
                  <c:v>0.18315052950075644</c:v>
                </c:pt>
              </c:numCache>
            </c:numRef>
          </c:val>
          <c:extLst>
            <c:ext xmlns:c16="http://schemas.microsoft.com/office/drawing/2014/chart" uri="{C3380CC4-5D6E-409C-BE32-E72D297353CC}">
              <c16:uniqueId val="{00000001-0E43-4010-A47A-382A9648BFEF}"/>
            </c:ext>
          </c:extLst>
        </c:ser>
        <c:ser>
          <c:idx val="5"/>
          <c:order val="2"/>
          <c:tx>
            <c:strRef>
              <c:f>'Tableau détaillé'!$AC$454</c:f>
              <c:strCache>
                <c:ptCount val="1"/>
                <c:pt idx="0">
                  <c:v>31/12/2020</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détaillé'!$AC$528</c:f>
              <c:numCache>
                <c:formatCode>0%</c:formatCode>
                <c:ptCount val="1"/>
                <c:pt idx="0">
                  <c:v>0.1738095238095238</c:v>
                </c:pt>
              </c:numCache>
            </c:numRef>
          </c:val>
          <c:extLst>
            <c:ext xmlns:c16="http://schemas.microsoft.com/office/drawing/2014/chart" uri="{C3380CC4-5D6E-409C-BE32-E72D297353CC}">
              <c16:uniqueId val="{00000002-0E43-4010-A47A-382A9648BFEF}"/>
            </c:ext>
          </c:extLst>
        </c:ser>
        <c:ser>
          <c:idx val="6"/>
          <c:order val="3"/>
          <c:tx>
            <c:strRef>
              <c:f>'Tableau détaillé'!$AD$454</c:f>
              <c:strCache>
                <c:ptCount val="1"/>
                <c:pt idx="0">
                  <c:v>31/01/2021</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détaillé'!$AD$528</c:f>
              <c:numCache>
                <c:formatCode>0%</c:formatCode>
                <c:ptCount val="1"/>
                <c:pt idx="0">
                  <c:v>0.1450767502807937</c:v>
                </c:pt>
              </c:numCache>
            </c:numRef>
          </c:val>
          <c:extLst>
            <c:ext xmlns:c16="http://schemas.microsoft.com/office/drawing/2014/chart" uri="{C3380CC4-5D6E-409C-BE32-E72D297353CC}">
              <c16:uniqueId val="{00000003-0E43-4010-A47A-382A9648BFEF}"/>
            </c:ext>
          </c:extLst>
        </c:ser>
        <c:ser>
          <c:idx val="7"/>
          <c:order val="4"/>
          <c:tx>
            <c:strRef>
              <c:f>'Tableau détaillé'!$AE$454</c:f>
              <c:strCache>
                <c:ptCount val="1"/>
                <c:pt idx="0">
                  <c:v>30/09/2021</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détaillé'!$AE$528</c:f>
              <c:numCache>
                <c:formatCode>0%</c:formatCode>
                <c:ptCount val="1"/>
                <c:pt idx="0">
                  <c:v>0.21983457671099579</c:v>
                </c:pt>
              </c:numCache>
            </c:numRef>
          </c:val>
          <c:extLst>
            <c:ext xmlns:c16="http://schemas.microsoft.com/office/drawing/2014/chart" uri="{C3380CC4-5D6E-409C-BE32-E72D297353CC}">
              <c16:uniqueId val="{00000004-0E43-4010-A47A-382A9648BFEF}"/>
            </c:ext>
          </c:extLst>
        </c:ser>
        <c:ser>
          <c:idx val="2"/>
          <c:order val="5"/>
          <c:tx>
            <c:strRef>
              <c:f>'Tableau détaillé'!$AF$454</c:f>
              <c:strCache>
                <c:ptCount val="1"/>
                <c:pt idx="0">
                  <c:v>30/09/2021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détaillé'!$D$455</c:f>
              <c:strCache>
                <c:ptCount val="1"/>
                <c:pt idx="0">
                  <c:v>Total AFS</c:v>
                </c:pt>
              </c:strCache>
            </c:strRef>
          </c:cat>
          <c:val>
            <c:numRef>
              <c:f>'Tableau détaillé'!$AF$528</c:f>
              <c:numCache>
                <c:formatCode>0%</c:formatCode>
                <c:ptCount val="1"/>
                <c:pt idx="0">
                  <c:v>0.19461077844311378</c:v>
                </c:pt>
              </c:numCache>
            </c:numRef>
          </c:val>
          <c:extLst>
            <c:ext xmlns:c16="http://schemas.microsoft.com/office/drawing/2014/chart" uri="{C3380CC4-5D6E-409C-BE32-E72D297353CC}">
              <c16:uniqueId val="{00000005-0E43-4010-A47A-382A9648BFEF}"/>
            </c:ext>
          </c:extLst>
        </c:ser>
        <c:dLbls>
          <c:showLegendKey val="0"/>
          <c:showVal val="0"/>
          <c:showCatName val="0"/>
          <c:showSerName val="0"/>
          <c:showPercent val="0"/>
          <c:showBubbleSize val="0"/>
        </c:dLbls>
        <c:gapWidth val="219"/>
        <c:overlap val="-27"/>
        <c:axId val="964156256"/>
        <c:axId val="964155080"/>
      </c:barChart>
      <c:catAx>
        <c:axId val="96415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5080"/>
        <c:crosses val="autoZero"/>
        <c:auto val="1"/>
        <c:lblAlgn val="ctr"/>
        <c:lblOffset val="100"/>
        <c:noMultiLvlLbl val="0"/>
      </c:catAx>
      <c:valAx>
        <c:axId val="9641550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6256"/>
        <c:crosses val="autoZero"/>
        <c:crossBetween val="between"/>
      </c:valAx>
      <c:spPr>
        <a:noFill/>
        <a:ln>
          <a:noFill/>
        </a:ln>
        <a:effectLst/>
      </c:spPr>
    </c:plotArea>
    <c:legend>
      <c:legendPos val="b"/>
      <c:layout>
        <c:manualLayout>
          <c:xMode val="edge"/>
          <c:yMode val="edge"/>
          <c:x val="0.12771066328830727"/>
          <c:y val="0.87189178199784112"/>
          <c:w val="0.78583933827872432"/>
          <c:h val="0.107962681968078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sz="1200" b="1"/>
              <a:t>Production </a:t>
            </a:r>
            <a:r>
              <a:rPr lang="fr-FR" sz="1200" b="1" baseline="0"/>
              <a:t>YTD 2021 </a:t>
            </a:r>
            <a:r>
              <a:rPr lang="fr-FR" sz="1200" b="1"/>
              <a:t>vs Production YTD 2020</a:t>
            </a:r>
          </a:p>
        </c:rich>
      </c:tx>
      <c:layout>
        <c:manualLayout>
          <c:xMode val="edge"/>
          <c:yMode val="edge"/>
          <c:x val="0.25194953572923262"/>
          <c:y val="3.8031790028794747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66296635161268"/>
          <c:w val="0.89920800524934386"/>
          <c:h val="0.60251993859980479"/>
        </c:manualLayout>
      </c:layout>
      <c:barChart>
        <c:barDir val="col"/>
        <c:grouping val="clustered"/>
        <c:varyColors val="0"/>
        <c:ser>
          <c:idx val="0"/>
          <c:order val="0"/>
          <c:spPr>
            <a:solidFill>
              <a:schemeClr val="tx1"/>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1-0B24-459B-99C9-0BB12DF6DDE2}"/>
              </c:ext>
            </c:extLst>
          </c:dPt>
          <c:dPt>
            <c:idx val="8"/>
            <c:invertIfNegative val="0"/>
            <c:bubble3D val="0"/>
            <c:spPr>
              <a:solidFill>
                <a:srgbClr val="FF0000"/>
              </a:solidFill>
              <a:ln>
                <a:noFill/>
              </a:ln>
              <a:effectLst/>
            </c:spPr>
            <c:extLst>
              <c:ext xmlns:c16="http://schemas.microsoft.com/office/drawing/2014/chart" uri="{C3380CC4-5D6E-409C-BE32-E72D297353CC}">
                <c16:uniqueId val="{00000003-0B24-459B-99C9-0BB12DF6DDE2}"/>
              </c:ext>
            </c:extLst>
          </c:dPt>
          <c:dPt>
            <c:idx val="9"/>
            <c:invertIfNegative val="0"/>
            <c:bubble3D val="0"/>
            <c:spPr>
              <a:solidFill>
                <a:srgbClr val="FF0000"/>
              </a:solidFill>
              <a:ln>
                <a:noFill/>
              </a:ln>
              <a:effectLst/>
            </c:spPr>
            <c:extLst>
              <c:ext xmlns:c16="http://schemas.microsoft.com/office/drawing/2014/chart" uri="{C3380CC4-5D6E-409C-BE32-E72D297353CC}">
                <c16:uniqueId val="{00000005-0B24-459B-99C9-0BB12DF6DDE2}"/>
              </c:ext>
            </c:extLst>
          </c:dPt>
          <c:dPt>
            <c:idx val="10"/>
            <c:invertIfNegative val="0"/>
            <c:bubble3D val="0"/>
            <c:spPr>
              <a:solidFill>
                <a:srgbClr val="FF0000"/>
              </a:solidFill>
              <a:ln>
                <a:noFill/>
              </a:ln>
              <a:effectLst/>
            </c:spPr>
            <c:extLst>
              <c:ext xmlns:c16="http://schemas.microsoft.com/office/drawing/2014/chart" uri="{C3380CC4-5D6E-409C-BE32-E72D297353CC}">
                <c16:uniqueId val="{00000007-0B24-459B-99C9-0BB12DF6DDE2}"/>
              </c:ext>
            </c:extLst>
          </c:dPt>
          <c:dLbls>
            <c:dLbl>
              <c:idx val="0"/>
              <c:layout>
                <c:manualLayout>
                  <c:x val="8.6206896551724137E-3"/>
                  <c:y val="-3.59380507239017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24-459B-99C9-0BB12DF6DDE2}"/>
                </c:ext>
              </c:extLst>
            </c:dLbl>
            <c:dLbl>
              <c:idx val="3"/>
              <c:layout>
                <c:manualLayout>
                  <c:x val="-5.747126436781662E-3"/>
                  <c:y val="-4.39242842181022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24-459B-99C9-0BB12DF6DDE2}"/>
                </c:ext>
              </c:extLst>
            </c:dLbl>
            <c:dLbl>
              <c:idx val="4"/>
              <c:layout>
                <c:manualLayout>
                  <c:x val="-5.2681383757324109E-17"/>
                  <c:y val="-2.79075666234292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B24-459B-99C9-0BB12DF6DDE2}"/>
                </c:ext>
              </c:extLst>
            </c:dLbl>
            <c:dLbl>
              <c:idx val="9"/>
              <c:layout>
                <c:manualLayout>
                  <c:x val="1.0536276751464822E-16"/>
                  <c:y val="7.98623349420039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24-459B-99C9-0BB12DF6DDE2}"/>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détaillé'!$L$6:$L$12,'Tableau détaillé'!$L$14:$L$17)</c:f>
              <c:numCache>
                <c:formatCode>0.0%</c:formatCode>
                <c:ptCount val="11"/>
                <c:pt idx="0">
                  <c:v>1.7101835418178224E-2</c:v>
                </c:pt>
                <c:pt idx="1">
                  <c:v>0.18186679744042555</c:v>
                </c:pt>
                <c:pt idx="2">
                  <c:v>7.0657309854475825E-2</c:v>
                </c:pt>
                <c:pt idx="3">
                  <c:v>-0.36186923000942151</c:v>
                </c:pt>
                <c:pt idx="4">
                  <c:v>-0.21032059016346116</c:v>
                </c:pt>
                <c:pt idx="5">
                  <c:v>-0.21963692193701778</c:v>
                </c:pt>
                <c:pt idx="6">
                  <c:v>9.5157117006578584E-2</c:v>
                </c:pt>
                <c:pt idx="7">
                  <c:v>6.420749548268212E-4</c:v>
                </c:pt>
                <c:pt idx="8">
                  <c:v>0.14060556621730269</c:v>
                </c:pt>
                <c:pt idx="9">
                  <c:v>0.14845863635460343</c:v>
                </c:pt>
                <c:pt idx="10">
                  <c:v>-0.220745221234938</c:v>
                </c:pt>
              </c:numCache>
            </c:numRef>
          </c:val>
          <c:extLst>
            <c:ext xmlns:c16="http://schemas.microsoft.com/office/drawing/2014/chart" uri="{C3380CC4-5D6E-409C-BE32-E72D297353CC}">
              <c16:uniqueId val="{0000000B-0B24-459B-99C9-0BB12DF6DDE2}"/>
            </c:ext>
          </c:extLst>
        </c:ser>
        <c:dLbls>
          <c:showLegendKey val="0"/>
          <c:showVal val="0"/>
          <c:showCatName val="0"/>
          <c:showSerName val="0"/>
          <c:showPercent val="0"/>
          <c:showBubbleSize val="0"/>
        </c:dLbls>
        <c:gapWidth val="219"/>
        <c:overlap val="-27"/>
        <c:axId val="964154688"/>
        <c:axId val="964160960"/>
      </c:barChart>
      <c:lineChart>
        <c:grouping val="standard"/>
        <c:varyColors val="0"/>
        <c:ser>
          <c:idx val="1"/>
          <c:order val="1"/>
          <c:spPr>
            <a:ln w="28575" cap="rnd">
              <a:solidFill>
                <a:srgbClr val="C00000"/>
              </a:solidFill>
              <a:round/>
            </a:ln>
            <a:effectLst/>
          </c:spPr>
          <c:marker>
            <c:symbol val="none"/>
          </c:marker>
          <c:cat>
            <c:strRef>
              <c:f>('Tableau détaillé'!$D$6:$D$12,'Tableau détaillé'!$D$14:$D$17)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détaillé'!$M$6:$M$12,'Tableau détaillé'!$M$14:$M$17)</c:f>
              <c:numCache>
                <c:formatCode>0.0%</c:formatCode>
                <c:ptCount val="11"/>
                <c:pt idx="0">
                  <c:v>-1.1055680140595214E-2</c:v>
                </c:pt>
                <c:pt idx="1">
                  <c:v>-1.1055680140595214E-2</c:v>
                </c:pt>
                <c:pt idx="2">
                  <c:v>-1.1055680140595214E-2</c:v>
                </c:pt>
                <c:pt idx="3">
                  <c:v>-1.1055680140595214E-2</c:v>
                </c:pt>
                <c:pt idx="4">
                  <c:v>-1.1055680140595214E-2</c:v>
                </c:pt>
                <c:pt idx="5">
                  <c:v>-1.1055680140595214E-2</c:v>
                </c:pt>
                <c:pt idx="6">
                  <c:v>-1.1055680140595214E-2</c:v>
                </c:pt>
                <c:pt idx="7">
                  <c:v>-1.1055680140595214E-2</c:v>
                </c:pt>
                <c:pt idx="8">
                  <c:v>-1.1055680140595214E-2</c:v>
                </c:pt>
                <c:pt idx="9">
                  <c:v>-1.1055680140595214E-2</c:v>
                </c:pt>
                <c:pt idx="10">
                  <c:v>-1.1055680140595214E-2</c:v>
                </c:pt>
              </c:numCache>
            </c:numRef>
          </c:val>
          <c:smooth val="0"/>
          <c:extLst>
            <c:ext xmlns:c16="http://schemas.microsoft.com/office/drawing/2014/chart" uri="{C3380CC4-5D6E-409C-BE32-E72D297353CC}">
              <c16:uniqueId val="{0000000C-0B24-459B-99C9-0BB12DF6DDE2}"/>
            </c:ext>
          </c:extLst>
        </c:ser>
        <c:dLbls>
          <c:showLegendKey val="0"/>
          <c:showVal val="0"/>
          <c:showCatName val="0"/>
          <c:showSerName val="0"/>
          <c:showPercent val="0"/>
          <c:showBubbleSize val="0"/>
        </c:dLbls>
        <c:marker val="1"/>
        <c:smooth val="0"/>
        <c:axId val="964154688"/>
        <c:axId val="964160960"/>
      </c:lineChart>
      <c:catAx>
        <c:axId val="96415468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0960"/>
        <c:crosses val="autoZero"/>
        <c:auto val="1"/>
        <c:lblAlgn val="ctr"/>
        <c:lblOffset val="100"/>
        <c:noMultiLvlLbl val="0"/>
      </c:catAx>
      <c:valAx>
        <c:axId val="96416096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4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3"/>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fr-FR" sz="1200" b="1" i="0" baseline="0">
                <a:effectLst/>
              </a:rPr>
              <a:t>Production YTD 2021 vs Production YTD 2020</a:t>
            </a:r>
          </a:p>
          <a:p>
            <a:pPr marL="0" marR="0" lvl="0" indent="0" algn="ctr" defTabSz="914400" rtl="0" eaLnBrk="1" fontAlgn="auto" latinLnBrk="0" hangingPunct="1">
              <a:lnSpc>
                <a:spcPct val="100000"/>
              </a:lnSpc>
              <a:spcBef>
                <a:spcPts val="0"/>
              </a:spcBef>
              <a:spcAft>
                <a:spcPts val="0"/>
              </a:spcAft>
              <a:buClrTx/>
              <a:buSzTx/>
              <a:buFontTx/>
              <a:buNone/>
              <a:tabLst/>
              <a:defRPr sz="1200" b="1">
                <a:solidFill>
                  <a:sysClr val="windowText" lastClr="000000">
                    <a:lumMod val="65000"/>
                    <a:lumOff val="35000"/>
                  </a:sysClr>
                </a:solidFill>
              </a:defRPr>
            </a:pPr>
            <a:r>
              <a:rPr lang="fr-FR" sz="1200" b="1"/>
              <a:t>par DR</a:t>
            </a:r>
          </a:p>
        </c:rich>
      </c:tx>
      <c:layout>
        <c:manualLayout>
          <c:xMode val="edge"/>
          <c:yMode val="edge"/>
          <c:x val="0.24353043988666528"/>
          <c:y val="1.428564557702901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2722572178477687"/>
          <c:w val="0.89920800524934386"/>
          <c:h val="0.7222568428946381"/>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22E6-4663-A739-506AC0DD44C8}"/>
              </c:ext>
            </c:extLst>
          </c:dPt>
          <c:dPt>
            <c:idx val="1"/>
            <c:invertIfNegative val="0"/>
            <c:bubble3D val="0"/>
            <c:spPr>
              <a:solidFill>
                <a:srgbClr val="FF0000"/>
              </a:solidFill>
              <a:ln>
                <a:noFill/>
              </a:ln>
              <a:effectLst/>
            </c:spPr>
            <c:extLst>
              <c:ext xmlns:c16="http://schemas.microsoft.com/office/drawing/2014/chart" uri="{C3380CC4-5D6E-409C-BE32-E72D297353CC}">
                <c16:uniqueId val="{00000003-22E6-4663-A739-506AC0DD44C8}"/>
              </c:ext>
            </c:extLst>
          </c:dPt>
          <c:dLbls>
            <c:dLbl>
              <c:idx val="0"/>
              <c:layout>
                <c:manualLayout>
                  <c:x val="-2.2988505747126436E-2"/>
                  <c:y val="-4.41177352980094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E6-4663-A739-506AC0DD44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détaillé'!$D$13,'Tableau détaillé'!$D$18)</c:f>
              <c:strCache>
                <c:ptCount val="2"/>
                <c:pt idx="0">
                  <c:v>Total AFO</c:v>
                </c:pt>
                <c:pt idx="1">
                  <c:v>Total AFCE</c:v>
                </c:pt>
              </c:strCache>
            </c:strRef>
          </c:cat>
          <c:val>
            <c:numRef>
              <c:f>('Tableau détaillé'!$L$13,'Tableau détaillé'!$L$18)</c:f>
              <c:numCache>
                <c:formatCode>0.0%</c:formatCode>
                <c:ptCount val="2"/>
                <c:pt idx="0">
                  <c:v>-4.3779161782070086E-2</c:v>
                </c:pt>
                <c:pt idx="1">
                  <c:v>5.8917726309541729E-2</c:v>
                </c:pt>
              </c:numCache>
            </c:numRef>
          </c:val>
          <c:extLst>
            <c:ext xmlns:c16="http://schemas.microsoft.com/office/drawing/2014/chart" uri="{C3380CC4-5D6E-409C-BE32-E72D297353CC}">
              <c16:uniqueId val="{00000004-22E6-4663-A739-506AC0DD44C8}"/>
            </c:ext>
          </c:extLst>
        </c:ser>
        <c:dLbls>
          <c:showLegendKey val="0"/>
          <c:showVal val="0"/>
          <c:showCatName val="0"/>
          <c:showSerName val="0"/>
          <c:showPercent val="0"/>
          <c:showBubbleSize val="0"/>
        </c:dLbls>
        <c:gapWidth val="219"/>
        <c:overlap val="-27"/>
        <c:axId val="964155472"/>
        <c:axId val="964155864"/>
      </c:barChart>
      <c:lineChart>
        <c:grouping val="standard"/>
        <c:varyColors val="0"/>
        <c:ser>
          <c:idx val="1"/>
          <c:order val="1"/>
          <c:spPr>
            <a:ln w="28575" cap="rnd">
              <a:solidFill>
                <a:srgbClr val="C00000"/>
              </a:solidFill>
              <a:round/>
            </a:ln>
            <a:effectLst/>
          </c:spPr>
          <c:marker>
            <c:symbol val="none"/>
          </c:marker>
          <c:cat>
            <c:strRef>
              <c:f>('Tableau détaillé'!$D$13,'Tableau détaillé'!$D$18)</c:f>
              <c:strCache>
                <c:ptCount val="2"/>
                <c:pt idx="0">
                  <c:v>Total AFO</c:v>
                </c:pt>
                <c:pt idx="1">
                  <c:v>Total AFCE</c:v>
                </c:pt>
              </c:strCache>
            </c:strRef>
          </c:cat>
          <c:val>
            <c:numRef>
              <c:f>('Tableau détaillé'!$M$13,'Tableau détaillé'!$M$18)</c:f>
              <c:numCache>
                <c:formatCode>0.0%</c:formatCode>
                <c:ptCount val="2"/>
                <c:pt idx="0">
                  <c:v>-1.1055680140595214E-2</c:v>
                </c:pt>
                <c:pt idx="1">
                  <c:v>-1.1055680140595214E-2</c:v>
                </c:pt>
              </c:numCache>
            </c:numRef>
          </c:val>
          <c:smooth val="0"/>
          <c:extLst>
            <c:ext xmlns:c16="http://schemas.microsoft.com/office/drawing/2014/chart" uri="{C3380CC4-5D6E-409C-BE32-E72D297353CC}">
              <c16:uniqueId val="{00000005-22E6-4663-A739-506AC0DD44C8}"/>
            </c:ext>
          </c:extLst>
        </c:ser>
        <c:dLbls>
          <c:showLegendKey val="0"/>
          <c:showVal val="0"/>
          <c:showCatName val="0"/>
          <c:showSerName val="0"/>
          <c:showPercent val="0"/>
          <c:showBubbleSize val="0"/>
        </c:dLbls>
        <c:marker val="1"/>
        <c:smooth val="0"/>
        <c:axId val="964155472"/>
        <c:axId val="964155864"/>
      </c:lineChart>
      <c:catAx>
        <c:axId val="964155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5864"/>
        <c:crosses val="autoZero"/>
        <c:auto val="1"/>
        <c:lblAlgn val="ctr"/>
        <c:lblOffset val="100"/>
        <c:noMultiLvlLbl val="0"/>
      </c:catAx>
      <c:valAx>
        <c:axId val="964155864"/>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55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3"/>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r>
              <a:rPr lang="fr-FR"/>
              <a:t>Evolution de la part des clients actifs </a:t>
            </a:r>
          </a:p>
          <a:p>
            <a:pPr>
              <a:defRPr sz="1200" b="1"/>
            </a:pPr>
            <a:r>
              <a:rPr lang="fr-FR"/>
              <a:t>dans le portefeuille</a:t>
            </a:r>
          </a:p>
        </c:rich>
      </c:tx>
      <c:layout>
        <c:manualLayout>
          <c:xMode val="edge"/>
          <c:yMode val="edge"/>
          <c:x val="0.277050693749752"/>
          <c:y val="2.3942127103662759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9.245866141732284E-2"/>
          <c:y val="0.18456835109690323"/>
          <c:w val="0.89920800524934386"/>
          <c:h val="0.59018570881444599"/>
        </c:manualLayout>
      </c:layout>
      <c:barChart>
        <c:barDir val="col"/>
        <c:grouping val="clustered"/>
        <c:varyColors val="0"/>
        <c:ser>
          <c:idx val="0"/>
          <c:order val="0"/>
          <c:tx>
            <c:v>aout-19</c:v>
          </c:tx>
          <c:spPr>
            <a:solidFill>
              <a:sysClr val="windowText" lastClr="000000"/>
            </a:solidFill>
            <a:ln>
              <a:noFill/>
            </a:ln>
            <a:effectLst/>
          </c:spPr>
          <c:invertIfNegative val="0"/>
          <c:dPt>
            <c:idx val="7"/>
            <c:invertIfNegative val="0"/>
            <c:bubble3D val="0"/>
            <c:spPr>
              <a:solidFill>
                <a:srgbClr val="FF0000"/>
              </a:solidFill>
              <a:ln>
                <a:noFill/>
              </a:ln>
              <a:effectLst/>
            </c:spPr>
            <c:extLst>
              <c:ext xmlns:c16="http://schemas.microsoft.com/office/drawing/2014/chart" uri="{C3380CC4-5D6E-409C-BE32-E72D297353CC}">
                <c16:uniqueId val="{00000001-975C-4DCF-9008-6F7A49370F3F}"/>
              </c:ext>
            </c:extLst>
          </c:dPt>
          <c:dPt>
            <c:idx val="8"/>
            <c:invertIfNegative val="0"/>
            <c:bubble3D val="0"/>
            <c:spPr>
              <a:solidFill>
                <a:srgbClr val="FF0000"/>
              </a:solidFill>
              <a:ln>
                <a:noFill/>
              </a:ln>
              <a:effectLst/>
            </c:spPr>
            <c:extLst>
              <c:ext xmlns:c16="http://schemas.microsoft.com/office/drawing/2014/chart" uri="{C3380CC4-5D6E-409C-BE32-E72D297353CC}">
                <c16:uniqueId val="{00000003-975C-4DCF-9008-6F7A49370F3F}"/>
              </c:ext>
            </c:extLst>
          </c:dPt>
          <c:dPt>
            <c:idx val="9"/>
            <c:invertIfNegative val="0"/>
            <c:bubble3D val="0"/>
            <c:spPr>
              <a:solidFill>
                <a:srgbClr val="FF0000"/>
              </a:solidFill>
              <a:ln>
                <a:noFill/>
              </a:ln>
              <a:effectLst/>
            </c:spPr>
            <c:extLst>
              <c:ext xmlns:c16="http://schemas.microsoft.com/office/drawing/2014/chart" uri="{C3380CC4-5D6E-409C-BE32-E72D297353CC}">
                <c16:uniqueId val="{00000005-975C-4DCF-9008-6F7A49370F3F}"/>
              </c:ext>
            </c:extLst>
          </c:dPt>
          <c:dPt>
            <c:idx val="10"/>
            <c:invertIfNegative val="0"/>
            <c:bubble3D val="0"/>
            <c:spPr>
              <a:solidFill>
                <a:srgbClr val="FF0000"/>
              </a:solidFill>
              <a:ln>
                <a:noFill/>
              </a:ln>
              <a:effectLst/>
            </c:spPr>
            <c:extLst>
              <c:ext xmlns:c16="http://schemas.microsoft.com/office/drawing/2014/chart" uri="{C3380CC4-5D6E-409C-BE32-E72D297353CC}">
                <c16:uniqueId val="{00000007-975C-4DCF-9008-6F7A49370F3F}"/>
              </c:ext>
            </c:extLst>
          </c:dPt>
          <c:dLbls>
            <c:dLbl>
              <c:idx val="2"/>
              <c:layout>
                <c:manualLayout>
                  <c:x val="-1.3921253061853552E-2"/>
                  <c:y val="-3.70725256825759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75C-4DCF-9008-6F7A49370F3F}"/>
                </c:ext>
              </c:extLst>
            </c:dLbl>
            <c:dLbl>
              <c:idx val="3"/>
              <c:layout>
                <c:manualLayout>
                  <c:x val="-8.3527518371121819E-3"/>
                  <c:y val="-2.31703285516099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75C-4DCF-9008-6F7A49370F3F}"/>
                </c:ext>
              </c:extLst>
            </c:dLbl>
            <c:dLbl>
              <c:idx val="5"/>
              <c:layout>
                <c:manualLayout>
                  <c:x val="2.8876204075182722E-3"/>
                  <c:y val="4.50217948027119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75C-4DCF-9008-6F7A49370F3F}"/>
                </c:ext>
              </c:extLst>
            </c:dLbl>
            <c:dLbl>
              <c:idx val="6"/>
              <c:layout>
                <c:manualLayout>
                  <c:x val="-1.67055036742242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75C-4DCF-9008-6F7A49370F3F}"/>
                </c:ext>
              </c:extLst>
            </c:dLbl>
            <c:dLbl>
              <c:idx val="10"/>
              <c:layout>
                <c:manualLayout>
                  <c:x val="-2.5058178730060925E-2"/>
                  <c:y val="-3.0419796091247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75C-4DCF-9008-6F7A49370F3F}"/>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détaillé'!$D$286:$D$292,'Tableau détaillé'!$D$294:$D$297)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détaillé'!$E$286:$E$292,'Tableau détaillé'!$E$294:$E$297)</c:f>
              <c:numCache>
                <c:formatCode>0%</c:formatCode>
                <c:ptCount val="11"/>
                <c:pt idx="0">
                  <c:v>0.61575319233400005</c:v>
                </c:pt>
                <c:pt idx="1">
                  <c:v>0.56308408363200002</c:v>
                </c:pt>
                <c:pt idx="2">
                  <c:v>0.522730200132</c:v>
                </c:pt>
                <c:pt idx="3">
                  <c:v>0.60824220242100002</c:v>
                </c:pt>
                <c:pt idx="4">
                  <c:v>0.68196375566300005</c:v>
                </c:pt>
                <c:pt idx="5">
                  <c:v>0.629868193475</c:v>
                </c:pt>
                <c:pt idx="6">
                  <c:v>0.78198373785599995</c:v>
                </c:pt>
                <c:pt idx="7">
                  <c:v>0.83553609187699995</c:v>
                </c:pt>
                <c:pt idx="8">
                  <c:v>0.718983507518</c:v>
                </c:pt>
                <c:pt idx="9">
                  <c:v>0.68711339254299997</c:v>
                </c:pt>
                <c:pt idx="10">
                  <c:v>0.78696602571200003</c:v>
                </c:pt>
              </c:numCache>
            </c:numRef>
          </c:val>
          <c:extLst>
            <c:ext xmlns:c16="http://schemas.microsoft.com/office/drawing/2014/chart" uri="{C3380CC4-5D6E-409C-BE32-E72D297353CC}">
              <c16:uniqueId val="{0000000C-975C-4DCF-9008-6F7A49370F3F}"/>
            </c:ext>
          </c:extLst>
        </c:ser>
        <c:ser>
          <c:idx val="1"/>
          <c:order val="1"/>
          <c:tx>
            <c:v>aout 2020</c:v>
          </c:tx>
          <c:spPr>
            <a:solidFill>
              <a:schemeClr val="accent2"/>
            </a:solidFill>
            <a:ln>
              <a:noFill/>
            </a:ln>
            <a:effectLst/>
          </c:spPr>
          <c:invertIfNegative val="0"/>
          <c:dPt>
            <c:idx val="0"/>
            <c:invertIfNegative val="0"/>
            <c:bubble3D val="0"/>
            <c:spPr>
              <a:solidFill>
                <a:srgbClr val="E7E6E6">
                  <a:lumMod val="75000"/>
                </a:srgbClr>
              </a:solidFill>
              <a:ln>
                <a:noFill/>
              </a:ln>
              <a:effectLst/>
            </c:spPr>
            <c:extLst>
              <c:ext xmlns:c16="http://schemas.microsoft.com/office/drawing/2014/chart" uri="{C3380CC4-5D6E-409C-BE32-E72D297353CC}">
                <c16:uniqueId val="{0000000E-975C-4DCF-9008-6F7A49370F3F}"/>
              </c:ext>
            </c:extLst>
          </c:dPt>
          <c:dPt>
            <c:idx val="1"/>
            <c:invertIfNegative val="0"/>
            <c:bubble3D val="0"/>
            <c:spPr>
              <a:solidFill>
                <a:srgbClr val="E7E6E6">
                  <a:lumMod val="75000"/>
                </a:srgbClr>
              </a:solidFill>
              <a:ln>
                <a:noFill/>
              </a:ln>
              <a:effectLst/>
            </c:spPr>
            <c:extLst>
              <c:ext xmlns:c16="http://schemas.microsoft.com/office/drawing/2014/chart" uri="{C3380CC4-5D6E-409C-BE32-E72D297353CC}">
                <c16:uniqueId val="{00000010-975C-4DCF-9008-6F7A49370F3F}"/>
              </c:ext>
            </c:extLst>
          </c:dPt>
          <c:dPt>
            <c:idx val="2"/>
            <c:invertIfNegative val="0"/>
            <c:bubble3D val="0"/>
            <c:spPr>
              <a:solidFill>
                <a:srgbClr val="E7E6E6">
                  <a:lumMod val="75000"/>
                </a:srgbClr>
              </a:solidFill>
              <a:ln>
                <a:noFill/>
              </a:ln>
              <a:effectLst/>
            </c:spPr>
            <c:extLst>
              <c:ext xmlns:c16="http://schemas.microsoft.com/office/drawing/2014/chart" uri="{C3380CC4-5D6E-409C-BE32-E72D297353CC}">
                <c16:uniqueId val="{00000012-975C-4DCF-9008-6F7A49370F3F}"/>
              </c:ext>
            </c:extLst>
          </c:dPt>
          <c:dPt>
            <c:idx val="3"/>
            <c:invertIfNegative val="0"/>
            <c:bubble3D val="0"/>
            <c:spPr>
              <a:solidFill>
                <a:srgbClr val="E7E6E6">
                  <a:lumMod val="75000"/>
                </a:srgbClr>
              </a:solidFill>
              <a:ln>
                <a:noFill/>
              </a:ln>
              <a:effectLst/>
            </c:spPr>
            <c:extLst>
              <c:ext xmlns:c16="http://schemas.microsoft.com/office/drawing/2014/chart" uri="{C3380CC4-5D6E-409C-BE32-E72D297353CC}">
                <c16:uniqueId val="{00000014-975C-4DCF-9008-6F7A49370F3F}"/>
              </c:ext>
            </c:extLst>
          </c:dPt>
          <c:dPt>
            <c:idx val="4"/>
            <c:invertIfNegative val="0"/>
            <c:bubble3D val="0"/>
            <c:spPr>
              <a:solidFill>
                <a:srgbClr val="E7E6E6">
                  <a:lumMod val="75000"/>
                </a:srgbClr>
              </a:solidFill>
              <a:ln>
                <a:noFill/>
              </a:ln>
              <a:effectLst/>
            </c:spPr>
            <c:extLst>
              <c:ext xmlns:c16="http://schemas.microsoft.com/office/drawing/2014/chart" uri="{C3380CC4-5D6E-409C-BE32-E72D297353CC}">
                <c16:uniqueId val="{00000016-975C-4DCF-9008-6F7A49370F3F}"/>
              </c:ext>
            </c:extLst>
          </c:dPt>
          <c:dPt>
            <c:idx val="5"/>
            <c:invertIfNegative val="0"/>
            <c:bubble3D val="0"/>
            <c:spPr>
              <a:solidFill>
                <a:srgbClr val="E7E6E6">
                  <a:lumMod val="75000"/>
                </a:srgbClr>
              </a:solidFill>
              <a:ln>
                <a:noFill/>
              </a:ln>
              <a:effectLst/>
            </c:spPr>
            <c:extLst>
              <c:ext xmlns:c16="http://schemas.microsoft.com/office/drawing/2014/chart" uri="{C3380CC4-5D6E-409C-BE32-E72D297353CC}">
                <c16:uniqueId val="{00000018-975C-4DCF-9008-6F7A49370F3F}"/>
              </c:ext>
            </c:extLst>
          </c:dPt>
          <c:dPt>
            <c:idx val="6"/>
            <c:invertIfNegative val="0"/>
            <c:bubble3D val="0"/>
            <c:spPr>
              <a:solidFill>
                <a:srgbClr val="E7E6E6">
                  <a:lumMod val="75000"/>
                </a:srgbClr>
              </a:solidFill>
              <a:ln>
                <a:noFill/>
              </a:ln>
              <a:effectLst/>
            </c:spPr>
            <c:extLst>
              <c:ext xmlns:c16="http://schemas.microsoft.com/office/drawing/2014/chart" uri="{C3380CC4-5D6E-409C-BE32-E72D297353CC}">
                <c16:uniqueId val="{0000001A-975C-4DCF-9008-6F7A49370F3F}"/>
              </c:ext>
            </c:extLst>
          </c:dPt>
          <c:dPt>
            <c:idx val="7"/>
            <c:invertIfNegative val="0"/>
            <c:bubble3D val="0"/>
            <c:spPr>
              <a:solidFill>
                <a:srgbClr val="FFA7A7"/>
              </a:solidFill>
              <a:ln>
                <a:noFill/>
              </a:ln>
              <a:effectLst/>
            </c:spPr>
            <c:extLst>
              <c:ext xmlns:c16="http://schemas.microsoft.com/office/drawing/2014/chart" uri="{C3380CC4-5D6E-409C-BE32-E72D297353CC}">
                <c16:uniqueId val="{0000001C-975C-4DCF-9008-6F7A49370F3F}"/>
              </c:ext>
            </c:extLst>
          </c:dPt>
          <c:dPt>
            <c:idx val="8"/>
            <c:invertIfNegative val="0"/>
            <c:bubble3D val="0"/>
            <c:spPr>
              <a:solidFill>
                <a:srgbClr val="FFA7A7"/>
              </a:solidFill>
              <a:ln>
                <a:noFill/>
              </a:ln>
              <a:effectLst/>
            </c:spPr>
            <c:extLst>
              <c:ext xmlns:c16="http://schemas.microsoft.com/office/drawing/2014/chart" uri="{C3380CC4-5D6E-409C-BE32-E72D297353CC}">
                <c16:uniqueId val="{0000001E-975C-4DCF-9008-6F7A49370F3F}"/>
              </c:ext>
            </c:extLst>
          </c:dPt>
          <c:dPt>
            <c:idx val="9"/>
            <c:invertIfNegative val="0"/>
            <c:bubble3D val="0"/>
            <c:spPr>
              <a:solidFill>
                <a:srgbClr val="FFA7A7"/>
              </a:solidFill>
              <a:ln>
                <a:noFill/>
              </a:ln>
              <a:effectLst/>
            </c:spPr>
            <c:extLst>
              <c:ext xmlns:c16="http://schemas.microsoft.com/office/drawing/2014/chart" uri="{C3380CC4-5D6E-409C-BE32-E72D297353CC}">
                <c16:uniqueId val="{00000020-975C-4DCF-9008-6F7A49370F3F}"/>
              </c:ext>
            </c:extLst>
          </c:dPt>
          <c:dPt>
            <c:idx val="10"/>
            <c:invertIfNegative val="0"/>
            <c:bubble3D val="0"/>
            <c:spPr>
              <a:solidFill>
                <a:srgbClr val="FFA7A7"/>
              </a:solidFill>
              <a:ln>
                <a:noFill/>
              </a:ln>
              <a:effectLst/>
            </c:spPr>
            <c:extLst>
              <c:ext xmlns:c16="http://schemas.microsoft.com/office/drawing/2014/chart" uri="{C3380CC4-5D6E-409C-BE32-E72D297353CC}">
                <c16:uniqueId val="{00000022-975C-4DCF-9008-6F7A49370F3F}"/>
              </c:ext>
            </c:extLst>
          </c:dPt>
          <c:dLbls>
            <c:dLbl>
              <c:idx val="0"/>
              <c:layout>
                <c:manualLayout>
                  <c:x val="2.227400489896565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75C-4DCF-9008-6F7A49370F3F}"/>
                </c:ext>
              </c:extLst>
            </c:dLbl>
            <c:dLbl>
              <c:idx val="1"/>
              <c:layout>
                <c:manualLayout>
                  <c:x val="1.3921253061853527E-2"/>
                  <c:y val="-4.247844496333060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75C-4DCF-9008-6F7A49370F3F}"/>
                </c:ext>
              </c:extLst>
            </c:dLbl>
            <c:dLbl>
              <c:idx val="3"/>
              <c:layout>
                <c:manualLayout>
                  <c:x val="2.7842506123706592E-3"/>
                  <c:y val="-2.3170328551610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75C-4DCF-9008-6F7A49370F3F}"/>
                </c:ext>
              </c:extLst>
            </c:dLbl>
            <c:dLbl>
              <c:idx val="4"/>
              <c:layout>
                <c:manualLayout>
                  <c:x val="1.6705503674224263E-2"/>
                  <c:y val="-4.63406571032199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75C-4DCF-9008-6F7A49370F3F}"/>
                </c:ext>
              </c:extLst>
            </c:dLbl>
            <c:dLbl>
              <c:idx val="5"/>
              <c:layout>
                <c:manualLayout>
                  <c:x val="5.2584249735964633E-3"/>
                  <c:y val="-6.3294262450830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75C-4DCF-9008-6F7A49370F3F}"/>
                </c:ext>
              </c:extLst>
            </c:dLbl>
            <c:dLbl>
              <c:idx val="7"/>
              <c:layout>
                <c:manualLayout>
                  <c:x val="1.9489754286594975E-2"/>
                  <c:y val="-1.39021971309659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975C-4DCF-9008-6F7A49370F3F}"/>
                </c:ext>
              </c:extLst>
            </c:dLbl>
            <c:dLbl>
              <c:idx val="8"/>
              <c:layout>
                <c:manualLayout>
                  <c:x val="1.7015587465908456E-2"/>
                  <c:y val="-4.51536696662289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975C-4DCF-9008-6F7A49370F3F}"/>
                </c:ext>
              </c:extLst>
            </c:dLbl>
            <c:dLbl>
              <c:idx val="9"/>
              <c:layout>
                <c:manualLayout>
                  <c:x val="1.3921253061853654E-2"/>
                  <c:y val="4.63406571032195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975C-4DCF-9008-6F7A49370F3F}"/>
                </c:ext>
              </c:extLst>
            </c:dLbl>
            <c:dLbl>
              <c:idx val="10"/>
              <c:layout>
                <c:manualLayout>
                  <c:x val="8.3527518371121316E-3"/>
                  <c:y val="-2.780439426193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975C-4DCF-9008-6F7A49370F3F}"/>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détaillé'!$D$286:$D$292,'Tableau détaillé'!$D$294:$D$297)</c:f>
              <c:strCache>
                <c:ptCount val="11"/>
                <c:pt idx="0">
                  <c:v>COTE D'IVOIRE</c:v>
                </c:pt>
                <c:pt idx="1">
                  <c:v>GHANA</c:v>
                </c:pt>
                <c:pt idx="2">
                  <c:v>SENEGAL</c:v>
                </c:pt>
                <c:pt idx="3">
                  <c:v>BURKINA FASO</c:v>
                </c:pt>
                <c:pt idx="4">
                  <c:v>GUINEE</c:v>
                </c:pt>
                <c:pt idx="5">
                  <c:v>BENIN</c:v>
                </c:pt>
                <c:pt idx="6">
                  <c:v>MAURITANIE</c:v>
                </c:pt>
                <c:pt idx="7">
                  <c:v>MADAGASCAR</c:v>
                </c:pt>
                <c:pt idx="8">
                  <c:v>CAMEROUN</c:v>
                </c:pt>
                <c:pt idx="9">
                  <c:v>TCHAD</c:v>
                </c:pt>
                <c:pt idx="10">
                  <c:v>CONGO</c:v>
                </c:pt>
              </c:strCache>
            </c:strRef>
          </c:cat>
          <c:val>
            <c:numRef>
              <c:f>('Tableau détaillé'!$G$286:$G$292,'Tableau détaillé'!$G$294:$G$297)</c:f>
              <c:numCache>
                <c:formatCode>0.0%</c:formatCode>
                <c:ptCount val="11"/>
                <c:pt idx="0">
                  <c:v>0.63556461157699995</c:v>
                </c:pt>
                <c:pt idx="1">
                  <c:v>0.59900166389300002</c:v>
                </c:pt>
                <c:pt idx="2">
                  <c:v>0.50734568924000001</c:v>
                </c:pt>
                <c:pt idx="3">
                  <c:v>0.580616330929</c:v>
                </c:pt>
                <c:pt idx="4">
                  <c:v>0.68628975969600003</c:v>
                </c:pt>
                <c:pt idx="5">
                  <c:v>0.64725483973300002</c:v>
                </c:pt>
                <c:pt idx="6">
                  <c:v>0.76742542477599995</c:v>
                </c:pt>
                <c:pt idx="7">
                  <c:v>0.81058642191499997</c:v>
                </c:pt>
                <c:pt idx="8">
                  <c:v>0.73472217525100003</c:v>
                </c:pt>
                <c:pt idx="9">
                  <c:v>0.66002978617700003</c:v>
                </c:pt>
                <c:pt idx="10">
                  <c:v>0.70879946568709296</c:v>
                </c:pt>
              </c:numCache>
            </c:numRef>
          </c:val>
          <c:extLst>
            <c:ext xmlns:c16="http://schemas.microsoft.com/office/drawing/2014/chart" uri="{C3380CC4-5D6E-409C-BE32-E72D297353CC}">
              <c16:uniqueId val="{00000023-975C-4DCF-9008-6F7A49370F3F}"/>
            </c:ext>
          </c:extLst>
        </c:ser>
        <c:dLbls>
          <c:showLegendKey val="0"/>
          <c:showVal val="0"/>
          <c:showCatName val="0"/>
          <c:showSerName val="0"/>
          <c:showPercent val="0"/>
          <c:showBubbleSize val="0"/>
        </c:dLbls>
        <c:gapWidth val="150"/>
        <c:axId val="964172328"/>
        <c:axId val="964169976"/>
      </c:barChart>
      <c:catAx>
        <c:axId val="964172328"/>
        <c:scaling>
          <c:orientation val="minMax"/>
        </c:scaling>
        <c:delete val="0"/>
        <c:axPos val="b"/>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9976"/>
        <c:crosses val="autoZero"/>
        <c:auto val="1"/>
        <c:lblAlgn val="ctr"/>
        <c:lblOffset val="100"/>
        <c:noMultiLvlLbl val="0"/>
      </c:catAx>
      <c:valAx>
        <c:axId val="9641699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2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r>
              <a:rPr lang="en-US"/>
              <a:t>Evolution de la part des clients actifs </a:t>
            </a:r>
          </a:p>
          <a:p>
            <a:pPr marL="0" marR="0" indent="0" algn="ctr" defTabSz="914400" rtl="0" eaLnBrk="1" fontAlgn="auto" latinLnBrk="0" hangingPunct="1">
              <a:lnSpc>
                <a:spcPct val="100000"/>
              </a:lnSpc>
              <a:spcBef>
                <a:spcPts val="0"/>
              </a:spcBef>
              <a:spcAft>
                <a:spcPts val="0"/>
              </a:spcAft>
              <a:buClrTx/>
              <a:buSzTx/>
              <a:buFontTx/>
              <a:buNone/>
              <a:tabLst/>
              <a:defRPr sz="1200" b="1">
                <a:solidFill>
                  <a:sysClr val="windowText" lastClr="000000">
                    <a:lumMod val="65000"/>
                    <a:lumOff val="35000"/>
                  </a:sysClr>
                </a:solidFill>
              </a:defRPr>
            </a:pPr>
            <a:r>
              <a:rPr lang="en-US"/>
              <a:t>dans le portefeuille par DR</a:t>
            </a:r>
          </a:p>
        </c:rich>
      </c:tx>
      <c:layout>
        <c:manualLayout>
          <c:xMode val="edge"/>
          <c:yMode val="edge"/>
          <c:x val="0.2661562075242585"/>
          <c:y val="3.8028936080847398E-2"/>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200" b="1" i="0" u="none" strike="noStrike" kern="1200" spc="0" baseline="0">
              <a:solidFill>
                <a:sysClr val="windowText" lastClr="000000">
                  <a:lumMod val="65000"/>
                  <a:lumOff val="35000"/>
                </a:sysClr>
              </a:solidFill>
              <a:latin typeface="Arial Narrow" panose="020B0606020202030204" pitchFamily="34" charset="0"/>
              <a:ea typeface="+mn-ea"/>
              <a:cs typeface="+mn-cs"/>
            </a:defRPr>
          </a:pPr>
          <a:endParaRPr lang="fr-FR"/>
        </a:p>
      </c:txPr>
    </c:title>
    <c:autoTitleDeleted val="0"/>
    <c:plotArea>
      <c:layout>
        <c:manualLayout>
          <c:layoutTarget val="inner"/>
          <c:xMode val="edge"/>
          <c:yMode val="edge"/>
          <c:x val="0.10021038537939908"/>
          <c:y val="0.20839407951073805"/>
          <c:w val="0.89920800524934386"/>
          <c:h val="0.70140338284316561"/>
        </c:manualLayout>
      </c:layout>
      <c:barChart>
        <c:barDir val="col"/>
        <c:grouping val="clustered"/>
        <c:varyColors val="0"/>
        <c:ser>
          <c:idx val="0"/>
          <c:order val="0"/>
          <c:tx>
            <c:v>aout-19</c:v>
          </c:tx>
          <c:spPr>
            <a:solidFill>
              <a:srgbClr val="FF0000"/>
            </a:solidFill>
            <a:ln>
              <a:noFill/>
            </a:ln>
            <a:effectLst/>
          </c:spPr>
          <c:invertIfNegative val="0"/>
          <c:dPt>
            <c:idx val="0"/>
            <c:invertIfNegative val="0"/>
            <c:bubble3D val="0"/>
            <c:spPr>
              <a:solidFill>
                <a:sysClr val="windowText" lastClr="000000"/>
              </a:solidFill>
              <a:ln>
                <a:noFill/>
              </a:ln>
              <a:effectLst/>
            </c:spPr>
            <c:extLst>
              <c:ext xmlns:c16="http://schemas.microsoft.com/office/drawing/2014/chart" uri="{C3380CC4-5D6E-409C-BE32-E72D297353CC}">
                <c16:uniqueId val="{00000001-5C76-44C5-95F2-7E6A09017C77}"/>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détaillé'!$D$293,'Tableau détaillé'!$D$298)</c:f>
              <c:strCache>
                <c:ptCount val="2"/>
                <c:pt idx="0">
                  <c:v>Total AFO</c:v>
                </c:pt>
                <c:pt idx="1">
                  <c:v>Total AFCE</c:v>
                </c:pt>
              </c:strCache>
            </c:strRef>
          </c:cat>
          <c:val>
            <c:numRef>
              <c:f>('Tableau détaillé'!$E$293,'Tableau détaillé'!$E$298)</c:f>
              <c:numCache>
                <c:formatCode>0%</c:formatCode>
                <c:ptCount val="2"/>
                <c:pt idx="0" formatCode="0.00%">
                  <c:v>0.59795868972958965</c:v>
                </c:pt>
                <c:pt idx="1">
                  <c:v>0.77482970444010446</c:v>
                </c:pt>
              </c:numCache>
            </c:numRef>
          </c:val>
          <c:extLst>
            <c:ext xmlns:c16="http://schemas.microsoft.com/office/drawing/2014/chart" uri="{C3380CC4-5D6E-409C-BE32-E72D297353CC}">
              <c16:uniqueId val="{00000002-5C76-44C5-95F2-7E6A09017C77}"/>
            </c:ext>
          </c:extLst>
        </c:ser>
        <c:ser>
          <c:idx val="1"/>
          <c:order val="1"/>
          <c:tx>
            <c:v>aout2020</c:v>
          </c:tx>
          <c:spPr>
            <a:solidFill>
              <a:sysClr val="window" lastClr="FFFFFF">
                <a:lumMod val="85000"/>
              </a:sysClr>
            </a:solidFill>
            <a:ln>
              <a:noFill/>
            </a:ln>
            <a:effectLst/>
          </c:spPr>
          <c:invertIfNegative val="0"/>
          <c:dPt>
            <c:idx val="1"/>
            <c:invertIfNegative val="0"/>
            <c:bubble3D val="0"/>
            <c:spPr>
              <a:solidFill>
                <a:srgbClr val="FFA7A7"/>
              </a:solidFill>
              <a:ln>
                <a:noFill/>
              </a:ln>
              <a:effectLst/>
            </c:spPr>
            <c:extLst>
              <c:ext xmlns:c16="http://schemas.microsoft.com/office/drawing/2014/chart" uri="{C3380CC4-5D6E-409C-BE32-E72D297353CC}">
                <c16:uniqueId val="{00000004-5C76-44C5-95F2-7E6A09017C77}"/>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Narrow" panose="020B0606020202030204" pitchFamily="34" charset="0"/>
                    <a:ea typeface="+mn-ea"/>
                    <a:cs typeface="+mn-cs"/>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('Tableau détaillé'!$D$293,'Tableau détaillé'!$D$298)</c:f>
              <c:strCache>
                <c:ptCount val="2"/>
                <c:pt idx="0">
                  <c:v>Total AFO</c:v>
                </c:pt>
                <c:pt idx="1">
                  <c:v>Total AFCE</c:v>
                </c:pt>
              </c:strCache>
            </c:strRef>
          </c:cat>
          <c:val>
            <c:numRef>
              <c:f>('Tableau détaillé'!$G$293,'Tableau détaillé'!$G$298)</c:f>
              <c:numCache>
                <c:formatCode>0.0%</c:formatCode>
                <c:ptCount val="2"/>
                <c:pt idx="0" formatCode="0.00%">
                  <c:v>0.60809004825015478</c:v>
                </c:pt>
                <c:pt idx="1">
                  <c:v>0.76429137783463974</c:v>
                </c:pt>
              </c:numCache>
            </c:numRef>
          </c:val>
          <c:extLst>
            <c:ext xmlns:c16="http://schemas.microsoft.com/office/drawing/2014/chart" uri="{C3380CC4-5D6E-409C-BE32-E72D297353CC}">
              <c16:uniqueId val="{00000005-5C76-44C5-95F2-7E6A09017C77}"/>
            </c:ext>
          </c:extLst>
        </c:ser>
        <c:dLbls>
          <c:showLegendKey val="0"/>
          <c:showVal val="0"/>
          <c:showCatName val="0"/>
          <c:showSerName val="0"/>
          <c:showPercent val="0"/>
          <c:showBubbleSize val="0"/>
        </c:dLbls>
        <c:gapWidth val="150"/>
        <c:axId val="964173112"/>
        <c:axId val="964165272"/>
      </c:barChart>
      <c:catAx>
        <c:axId val="964173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65272"/>
        <c:crosses val="autoZero"/>
        <c:auto val="1"/>
        <c:lblAlgn val="ctr"/>
        <c:lblOffset val="100"/>
        <c:noMultiLvlLbl val="0"/>
      </c:catAx>
      <c:valAx>
        <c:axId val="96416527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Narrow" panose="020B0606020202030204" pitchFamily="34" charset="0"/>
                <a:ea typeface="+mn-ea"/>
                <a:cs typeface="+mn-cs"/>
              </a:defRPr>
            </a:pPr>
            <a:endParaRPr lang="fr-FR"/>
          </a:p>
        </c:txPr>
        <c:crossAx val="964173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Narrow" panose="020B0606020202030204" pitchFamily="34" charset="0"/>
        </a:defRPr>
      </a:pPr>
      <a:endParaRPr lang="fr-FR"/>
    </a:p>
  </c:txPr>
  <c:printSettings>
    <c:headerFooter/>
    <c:pageMargins b="0.75" l="0.7" r="0.7" t="0.75" header="0.3" footer="0.3"/>
    <c:pageSetup/>
  </c:printSettings>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6" Type="http://schemas.openxmlformats.org/officeDocument/2006/relationships/chart" Target="../charts/chart25.xml"/><Relationship Id="rId21" Type="http://schemas.openxmlformats.org/officeDocument/2006/relationships/chart" Target="../charts/chart20.xml"/><Relationship Id="rId42" Type="http://schemas.openxmlformats.org/officeDocument/2006/relationships/chart" Target="../charts/chart41.xml"/><Relationship Id="rId47" Type="http://schemas.openxmlformats.org/officeDocument/2006/relationships/chart" Target="../charts/chart46.xml"/><Relationship Id="rId63" Type="http://schemas.openxmlformats.org/officeDocument/2006/relationships/chart" Target="../charts/chart62.xml"/><Relationship Id="rId68" Type="http://schemas.openxmlformats.org/officeDocument/2006/relationships/chart" Target="../charts/chart67.xml"/><Relationship Id="rId84" Type="http://schemas.openxmlformats.org/officeDocument/2006/relationships/chart" Target="../charts/chart83.xml"/><Relationship Id="rId16" Type="http://schemas.openxmlformats.org/officeDocument/2006/relationships/chart" Target="../charts/chart15.xml"/><Relationship Id="rId11" Type="http://schemas.openxmlformats.org/officeDocument/2006/relationships/chart" Target="../charts/chart10.xml"/><Relationship Id="rId32" Type="http://schemas.openxmlformats.org/officeDocument/2006/relationships/chart" Target="../charts/chart31.xml"/><Relationship Id="rId37" Type="http://schemas.openxmlformats.org/officeDocument/2006/relationships/chart" Target="../charts/chart36.xml"/><Relationship Id="rId53" Type="http://schemas.openxmlformats.org/officeDocument/2006/relationships/chart" Target="../charts/chart52.xml"/><Relationship Id="rId58" Type="http://schemas.openxmlformats.org/officeDocument/2006/relationships/chart" Target="../charts/chart57.xml"/><Relationship Id="rId74" Type="http://schemas.openxmlformats.org/officeDocument/2006/relationships/chart" Target="../charts/chart73.xml"/><Relationship Id="rId79" Type="http://schemas.openxmlformats.org/officeDocument/2006/relationships/chart" Target="../charts/chart78.xml"/><Relationship Id="rId5" Type="http://schemas.openxmlformats.org/officeDocument/2006/relationships/chart" Target="../charts/chart4.xml"/><Relationship Id="rId19" Type="http://schemas.openxmlformats.org/officeDocument/2006/relationships/chart" Target="../charts/chart18.xml"/><Relationship Id="rId14" Type="http://schemas.openxmlformats.org/officeDocument/2006/relationships/chart" Target="../charts/chart13.xml"/><Relationship Id="rId22" Type="http://schemas.openxmlformats.org/officeDocument/2006/relationships/chart" Target="../charts/chart21.xml"/><Relationship Id="rId27" Type="http://schemas.openxmlformats.org/officeDocument/2006/relationships/chart" Target="../charts/chart26.xml"/><Relationship Id="rId30" Type="http://schemas.openxmlformats.org/officeDocument/2006/relationships/chart" Target="../charts/chart29.xml"/><Relationship Id="rId35" Type="http://schemas.openxmlformats.org/officeDocument/2006/relationships/chart" Target="../charts/chart34.xml"/><Relationship Id="rId43" Type="http://schemas.openxmlformats.org/officeDocument/2006/relationships/chart" Target="../charts/chart42.xml"/><Relationship Id="rId48" Type="http://schemas.openxmlformats.org/officeDocument/2006/relationships/chart" Target="../charts/chart47.xml"/><Relationship Id="rId56" Type="http://schemas.openxmlformats.org/officeDocument/2006/relationships/chart" Target="../charts/chart55.xml"/><Relationship Id="rId64" Type="http://schemas.openxmlformats.org/officeDocument/2006/relationships/chart" Target="../charts/chart63.xml"/><Relationship Id="rId69" Type="http://schemas.openxmlformats.org/officeDocument/2006/relationships/chart" Target="../charts/chart68.xml"/><Relationship Id="rId77" Type="http://schemas.openxmlformats.org/officeDocument/2006/relationships/chart" Target="../charts/chart76.xml"/><Relationship Id="rId8" Type="http://schemas.openxmlformats.org/officeDocument/2006/relationships/chart" Target="../charts/chart7.xml"/><Relationship Id="rId51" Type="http://schemas.openxmlformats.org/officeDocument/2006/relationships/chart" Target="../charts/chart50.xml"/><Relationship Id="rId72" Type="http://schemas.openxmlformats.org/officeDocument/2006/relationships/chart" Target="../charts/chart71.xml"/><Relationship Id="rId80" Type="http://schemas.openxmlformats.org/officeDocument/2006/relationships/chart" Target="../charts/chart79.xml"/><Relationship Id="rId85" Type="http://schemas.openxmlformats.org/officeDocument/2006/relationships/chart" Target="../charts/chart84.xml"/><Relationship Id="rId3" Type="http://schemas.openxmlformats.org/officeDocument/2006/relationships/image" Target="../media/image3.wmf"/><Relationship Id="rId12" Type="http://schemas.openxmlformats.org/officeDocument/2006/relationships/chart" Target="../charts/chart11.xml"/><Relationship Id="rId17" Type="http://schemas.openxmlformats.org/officeDocument/2006/relationships/chart" Target="../charts/chart16.xml"/><Relationship Id="rId25" Type="http://schemas.openxmlformats.org/officeDocument/2006/relationships/chart" Target="../charts/chart24.xml"/><Relationship Id="rId33" Type="http://schemas.openxmlformats.org/officeDocument/2006/relationships/chart" Target="../charts/chart32.xml"/><Relationship Id="rId38" Type="http://schemas.openxmlformats.org/officeDocument/2006/relationships/chart" Target="../charts/chart37.xml"/><Relationship Id="rId46" Type="http://schemas.openxmlformats.org/officeDocument/2006/relationships/chart" Target="../charts/chart45.xml"/><Relationship Id="rId59" Type="http://schemas.openxmlformats.org/officeDocument/2006/relationships/chart" Target="../charts/chart58.xml"/><Relationship Id="rId67" Type="http://schemas.openxmlformats.org/officeDocument/2006/relationships/chart" Target="../charts/chart66.xml"/><Relationship Id="rId20" Type="http://schemas.openxmlformats.org/officeDocument/2006/relationships/chart" Target="../charts/chart19.xml"/><Relationship Id="rId41" Type="http://schemas.openxmlformats.org/officeDocument/2006/relationships/chart" Target="../charts/chart40.xml"/><Relationship Id="rId54" Type="http://schemas.openxmlformats.org/officeDocument/2006/relationships/chart" Target="../charts/chart53.xml"/><Relationship Id="rId62" Type="http://schemas.openxmlformats.org/officeDocument/2006/relationships/chart" Target="../charts/chart61.xml"/><Relationship Id="rId70" Type="http://schemas.openxmlformats.org/officeDocument/2006/relationships/chart" Target="../charts/chart69.xml"/><Relationship Id="rId75" Type="http://schemas.openxmlformats.org/officeDocument/2006/relationships/chart" Target="../charts/chart74.xml"/><Relationship Id="rId83" Type="http://schemas.openxmlformats.org/officeDocument/2006/relationships/chart" Target="../charts/chart82.xml"/><Relationship Id="rId1" Type="http://schemas.openxmlformats.org/officeDocument/2006/relationships/image" Target="../media/image1.jpeg"/><Relationship Id="rId6" Type="http://schemas.openxmlformats.org/officeDocument/2006/relationships/chart" Target="../charts/chart5.xml"/><Relationship Id="rId15" Type="http://schemas.openxmlformats.org/officeDocument/2006/relationships/chart" Target="../charts/chart14.xml"/><Relationship Id="rId23" Type="http://schemas.openxmlformats.org/officeDocument/2006/relationships/chart" Target="../charts/chart22.xml"/><Relationship Id="rId28" Type="http://schemas.openxmlformats.org/officeDocument/2006/relationships/chart" Target="../charts/chart27.xml"/><Relationship Id="rId36" Type="http://schemas.openxmlformats.org/officeDocument/2006/relationships/chart" Target="../charts/chart35.xml"/><Relationship Id="rId49" Type="http://schemas.openxmlformats.org/officeDocument/2006/relationships/chart" Target="../charts/chart48.xml"/><Relationship Id="rId57" Type="http://schemas.openxmlformats.org/officeDocument/2006/relationships/chart" Target="../charts/chart56.xml"/><Relationship Id="rId10" Type="http://schemas.openxmlformats.org/officeDocument/2006/relationships/chart" Target="../charts/chart9.xml"/><Relationship Id="rId31" Type="http://schemas.openxmlformats.org/officeDocument/2006/relationships/chart" Target="../charts/chart30.xml"/><Relationship Id="rId44" Type="http://schemas.openxmlformats.org/officeDocument/2006/relationships/chart" Target="../charts/chart43.xml"/><Relationship Id="rId52" Type="http://schemas.openxmlformats.org/officeDocument/2006/relationships/chart" Target="../charts/chart51.xml"/><Relationship Id="rId60" Type="http://schemas.openxmlformats.org/officeDocument/2006/relationships/chart" Target="../charts/chart59.xml"/><Relationship Id="rId65" Type="http://schemas.openxmlformats.org/officeDocument/2006/relationships/chart" Target="../charts/chart64.xml"/><Relationship Id="rId73" Type="http://schemas.openxmlformats.org/officeDocument/2006/relationships/chart" Target="../charts/chart72.xml"/><Relationship Id="rId78" Type="http://schemas.openxmlformats.org/officeDocument/2006/relationships/chart" Target="../charts/chart77.xml"/><Relationship Id="rId81" Type="http://schemas.openxmlformats.org/officeDocument/2006/relationships/chart" Target="../charts/chart80.xml"/><Relationship Id="rId86" Type="http://schemas.openxmlformats.org/officeDocument/2006/relationships/chart" Target="../charts/chart85.xml"/><Relationship Id="rId4" Type="http://schemas.openxmlformats.org/officeDocument/2006/relationships/chart" Target="../charts/chart3.xml"/><Relationship Id="rId9" Type="http://schemas.openxmlformats.org/officeDocument/2006/relationships/chart" Target="../charts/chart8.xml"/><Relationship Id="rId13" Type="http://schemas.openxmlformats.org/officeDocument/2006/relationships/chart" Target="../charts/chart12.xml"/><Relationship Id="rId18" Type="http://schemas.openxmlformats.org/officeDocument/2006/relationships/chart" Target="../charts/chart17.xml"/><Relationship Id="rId39" Type="http://schemas.openxmlformats.org/officeDocument/2006/relationships/chart" Target="../charts/chart38.xml"/><Relationship Id="rId34" Type="http://schemas.openxmlformats.org/officeDocument/2006/relationships/chart" Target="../charts/chart33.xml"/><Relationship Id="rId50" Type="http://schemas.openxmlformats.org/officeDocument/2006/relationships/chart" Target="../charts/chart49.xml"/><Relationship Id="rId55" Type="http://schemas.openxmlformats.org/officeDocument/2006/relationships/chart" Target="../charts/chart54.xml"/><Relationship Id="rId76" Type="http://schemas.openxmlformats.org/officeDocument/2006/relationships/chart" Target="../charts/chart75.xml"/><Relationship Id="rId7" Type="http://schemas.openxmlformats.org/officeDocument/2006/relationships/chart" Target="../charts/chart6.xml"/><Relationship Id="rId71" Type="http://schemas.openxmlformats.org/officeDocument/2006/relationships/chart" Target="../charts/chart70.xml"/><Relationship Id="rId2" Type="http://schemas.openxmlformats.org/officeDocument/2006/relationships/image" Target="../media/image2.wmf"/><Relationship Id="rId29" Type="http://schemas.openxmlformats.org/officeDocument/2006/relationships/chart" Target="../charts/chart28.xml"/><Relationship Id="rId24" Type="http://schemas.openxmlformats.org/officeDocument/2006/relationships/chart" Target="../charts/chart23.xml"/><Relationship Id="rId40" Type="http://schemas.openxmlformats.org/officeDocument/2006/relationships/chart" Target="../charts/chart39.xml"/><Relationship Id="rId45" Type="http://schemas.openxmlformats.org/officeDocument/2006/relationships/chart" Target="../charts/chart44.xml"/><Relationship Id="rId66" Type="http://schemas.openxmlformats.org/officeDocument/2006/relationships/chart" Target="../charts/chart65.xml"/><Relationship Id="rId87" Type="http://schemas.openxmlformats.org/officeDocument/2006/relationships/chart" Target="../charts/chart86.xml"/><Relationship Id="rId61" Type="http://schemas.openxmlformats.org/officeDocument/2006/relationships/chart" Target="../charts/chart60.xml"/><Relationship Id="rId82" Type="http://schemas.openxmlformats.org/officeDocument/2006/relationships/chart" Target="../charts/chart81.xml"/></Relationships>
</file>

<file path=xl/drawings/_rels/drawing30.xml.rels><?xml version="1.0" encoding="UTF-8" standalone="yes"?>
<Relationships xmlns="http://schemas.openxmlformats.org/package/2006/relationships"><Relationship Id="rId8" Type="http://schemas.openxmlformats.org/officeDocument/2006/relationships/chart" Target="../charts/chart94.xml"/><Relationship Id="rId3" Type="http://schemas.openxmlformats.org/officeDocument/2006/relationships/chart" Target="../charts/chart89.xml"/><Relationship Id="rId7" Type="http://schemas.openxmlformats.org/officeDocument/2006/relationships/chart" Target="../charts/chart93.xml"/><Relationship Id="rId2" Type="http://schemas.openxmlformats.org/officeDocument/2006/relationships/chart" Target="../charts/chart88.xml"/><Relationship Id="rId1" Type="http://schemas.openxmlformats.org/officeDocument/2006/relationships/chart" Target="../charts/chart87.xml"/><Relationship Id="rId6" Type="http://schemas.openxmlformats.org/officeDocument/2006/relationships/chart" Target="../charts/chart92.xml"/><Relationship Id="rId5" Type="http://schemas.openxmlformats.org/officeDocument/2006/relationships/chart" Target="../charts/chart91.xml"/><Relationship Id="rId4" Type="http://schemas.openxmlformats.org/officeDocument/2006/relationships/chart" Target="../charts/chart90.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32.xml.rels><?xml version="1.0" encoding="UTF-8" standalone="yes"?>
<Relationships xmlns="http://schemas.openxmlformats.org/package/2006/relationships"><Relationship Id="rId3" Type="http://schemas.openxmlformats.org/officeDocument/2006/relationships/chart" Target="../charts/chart99.xml"/><Relationship Id="rId7" Type="http://schemas.openxmlformats.org/officeDocument/2006/relationships/chart" Target="../charts/chart103.xml"/><Relationship Id="rId2" Type="http://schemas.openxmlformats.org/officeDocument/2006/relationships/chart" Target="../charts/chart98.xml"/><Relationship Id="rId1" Type="http://schemas.openxmlformats.org/officeDocument/2006/relationships/chart" Target="../charts/chart97.xml"/><Relationship Id="rId6" Type="http://schemas.openxmlformats.org/officeDocument/2006/relationships/chart" Target="../charts/chart102.xml"/><Relationship Id="rId5" Type="http://schemas.openxmlformats.org/officeDocument/2006/relationships/chart" Target="../charts/chart101.xml"/><Relationship Id="rId4" Type="http://schemas.openxmlformats.org/officeDocument/2006/relationships/chart" Target="../charts/chart100.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35.xml.rels><?xml version="1.0" encoding="UTF-8" standalone="yes"?>
<Relationships xmlns="http://schemas.openxmlformats.org/package/2006/relationships"><Relationship Id="rId13" Type="http://schemas.openxmlformats.org/officeDocument/2006/relationships/chart" Target="../charts/chart118.xml"/><Relationship Id="rId18" Type="http://schemas.openxmlformats.org/officeDocument/2006/relationships/chart" Target="../charts/chart123.xml"/><Relationship Id="rId26" Type="http://schemas.openxmlformats.org/officeDocument/2006/relationships/chart" Target="../charts/chart130.xml"/><Relationship Id="rId39" Type="http://schemas.openxmlformats.org/officeDocument/2006/relationships/chart" Target="../charts/chart143.xml"/><Relationship Id="rId21" Type="http://schemas.openxmlformats.org/officeDocument/2006/relationships/chart" Target="../charts/chart125.xml"/><Relationship Id="rId34" Type="http://schemas.openxmlformats.org/officeDocument/2006/relationships/chart" Target="../charts/chart138.xml"/><Relationship Id="rId42" Type="http://schemas.openxmlformats.org/officeDocument/2006/relationships/chart" Target="../charts/chart146.xml"/><Relationship Id="rId47" Type="http://schemas.openxmlformats.org/officeDocument/2006/relationships/chart" Target="../charts/chart151.xml"/><Relationship Id="rId7" Type="http://schemas.openxmlformats.org/officeDocument/2006/relationships/chart" Target="../charts/chart112.xml"/><Relationship Id="rId2" Type="http://schemas.openxmlformats.org/officeDocument/2006/relationships/chart" Target="../charts/chart107.xml"/><Relationship Id="rId16" Type="http://schemas.openxmlformats.org/officeDocument/2006/relationships/chart" Target="../charts/chart121.xml"/><Relationship Id="rId29" Type="http://schemas.openxmlformats.org/officeDocument/2006/relationships/chart" Target="../charts/chart133.xml"/><Relationship Id="rId1" Type="http://schemas.openxmlformats.org/officeDocument/2006/relationships/chart" Target="../charts/chart106.xml"/><Relationship Id="rId6" Type="http://schemas.openxmlformats.org/officeDocument/2006/relationships/chart" Target="../charts/chart111.xml"/><Relationship Id="rId11" Type="http://schemas.openxmlformats.org/officeDocument/2006/relationships/chart" Target="../charts/chart116.xml"/><Relationship Id="rId24" Type="http://schemas.openxmlformats.org/officeDocument/2006/relationships/chart" Target="../charts/chart128.xml"/><Relationship Id="rId32" Type="http://schemas.openxmlformats.org/officeDocument/2006/relationships/chart" Target="../charts/chart136.xml"/><Relationship Id="rId37" Type="http://schemas.openxmlformats.org/officeDocument/2006/relationships/chart" Target="../charts/chart141.xml"/><Relationship Id="rId40" Type="http://schemas.openxmlformats.org/officeDocument/2006/relationships/chart" Target="../charts/chart144.xml"/><Relationship Id="rId45" Type="http://schemas.openxmlformats.org/officeDocument/2006/relationships/chart" Target="../charts/chart149.xml"/><Relationship Id="rId5" Type="http://schemas.openxmlformats.org/officeDocument/2006/relationships/chart" Target="../charts/chart110.xml"/><Relationship Id="rId15" Type="http://schemas.openxmlformats.org/officeDocument/2006/relationships/chart" Target="../charts/chart120.xml"/><Relationship Id="rId23" Type="http://schemas.openxmlformats.org/officeDocument/2006/relationships/chart" Target="../charts/chart127.xml"/><Relationship Id="rId28" Type="http://schemas.openxmlformats.org/officeDocument/2006/relationships/chart" Target="../charts/chart132.xml"/><Relationship Id="rId36" Type="http://schemas.openxmlformats.org/officeDocument/2006/relationships/chart" Target="../charts/chart140.xml"/><Relationship Id="rId10" Type="http://schemas.openxmlformats.org/officeDocument/2006/relationships/chart" Target="../charts/chart115.xml"/><Relationship Id="rId19" Type="http://schemas.openxmlformats.org/officeDocument/2006/relationships/image" Target="../media/image4.png"/><Relationship Id="rId31" Type="http://schemas.openxmlformats.org/officeDocument/2006/relationships/chart" Target="../charts/chart135.xml"/><Relationship Id="rId44" Type="http://schemas.openxmlformats.org/officeDocument/2006/relationships/chart" Target="../charts/chart148.xml"/><Relationship Id="rId4" Type="http://schemas.openxmlformats.org/officeDocument/2006/relationships/chart" Target="../charts/chart109.xml"/><Relationship Id="rId9" Type="http://schemas.openxmlformats.org/officeDocument/2006/relationships/chart" Target="../charts/chart114.xml"/><Relationship Id="rId14" Type="http://schemas.openxmlformats.org/officeDocument/2006/relationships/chart" Target="../charts/chart119.xml"/><Relationship Id="rId22" Type="http://schemas.openxmlformats.org/officeDocument/2006/relationships/chart" Target="../charts/chart126.xml"/><Relationship Id="rId27" Type="http://schemas.openxmlformats.org/officeDocument/2006/relationships/chart" Target="../charts/chart131.xml"/><Relationship Id="rId30" Type="http://schemas.openxmlformats.org/officeDocument/2006/relationships/chart" Target="../charts/chart134.xml"/><Relationship Id="rId35" Type="http://schemas.openxmlformats.org/officeDocument/2006/relationships/chart" Target="../charts/chart139.xml"/><Relationship Id="rId43" Type="http://schemas.openxmlformats.org/officeDocument/2006/relationships/chart" Target="../charts/chart147.xml"/><Relationship Id="rId8" Type="http://schemas.openxmlformats.org/officeDocument/2006/relationships/chart" Target="../charts/chart113.xml"/><Relationship Id="rId3" Type="http://schemas.openxmlformats.org/officeDocument/2006/relationships/chart" Target="../charts/chart108.xml"/><Relationship Id="rId12" Type="http://schemas.openxmlformats.org/officeDocument/2006/relationships/chart" Target="../charts/chart117.xml"/><Relationship Id="rId17" Type="http://schemas.openxmlformats.org/officeDocument/2006/relationships/chart" Target="../charts/chart122.xml"/><Relationship Id="rId25" Type="http://schemas.openxmlformats.org/officeDocument/2006/relationships/chart" Target="../charts/chart129.xml"/><Relationship Id="rId33" Type="http://schemas.openxmlformats.org/officeDocument/2006/relationships/chart" Target="../charts/chart137.xml"/><Relationship Id="rId38" Type="http://schemas.openxmlformats.org/officeDocument/2006/relationships/chart" Target="../charts/chart142.xml"/><Relationship Id="rId46" Type="http://schemas.openxmlformats.org/officeDocument/2006/relationships/chart" Target="../charts/chart150.xml"/><Relationship Id="rId20" Type="http://schemas.openxmlformats.org/officeDocument/2006/relationships/chart" Target="../charts/chart124.xml"/><Relationship Id="rId41" Type="http://schemas.openxmlformats.org/officeDocument/2006/relationships/chart" Target="../charts/chart145.xml"/></Relationships>
</file>

<file path=xl/drawings/drawing1.xml><?xml version="1.0" encoding="utf-8"?>
<xdr:wsDr xmlns:xdr="http://schemas.openxmlformats.org/drawingml/2006/spreadsheetDrawing" xmlns:a="http://schemas.openxmlformats.org/drawingml/2006/main">
  <xdr:twoCellAnchor>
    <xdr:from>
      <xdr:col>6</xdr:col>
      <xdr:colOff>15240</xdr:colOff>
      <xdr:row>1</xdr:row>
      <xdr:rowOff>114300</xdr:rowOff>
    </xdr:from>
    <xdr:to>
      <xdr:col>14</xdr:col>
      <xdr:colOff>502920</xdr:colOff>
      <xdr:row>18</xdr:row>
      <xdr:rowOff>137160</xdr:rowOff>
    </xdr:to>
    <xdr:graphicFrame macro="">
      <xdr:nvGraphicFramePr>
        <xdr:cNvPr id="2" name="Graphique 1">
          <a:extLst>
            <a:ext uri="{FF2B5EF4-FFF2-40B4-BE49-F238E27FC236}">
              <a16:creationId xmlns:a16="http://schemas.microsoft.com/office/drawing/2014/main" id="{187BFAB2-8B47-5C67-B0DC-F858BF39F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342900</xdr:colOff>
      <xdr:row>18</xdr:row>
      <xdr:rowOff>53340</xdr:rowOff>
    </xdr:from>
    <xdr:to>
      <xdr:col>13</xdr:col>
      <xdr:colOff>198120</xdr:colOff>
      <xdr:row>30</xdr:row>
      <xdr:rowOff>140970</xdr:rowOff>
    </xdr:to>
    <xdr:graphicFrame macro="">
      <xdr:nvGraphicFramePr>
        <xdr:cNvPr id="3" name="Graphique 2">
          <a:extLst>
            <a:ext uri="{FF2B5EF4-FFF2-40B4-BE49-F238E27FC236}">
              <a16:creationId xmlns:a16="http://schemas.microsoft.com/office/drawing/2014/main" id="{2B92D292-E09B-F2AE-1486-A327FB29D9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30883</xdr:colOff>
      <xdr:row>0</xdr:row>
      <xdr:rowOff>31751</xdr:rowOff>
    </xdr:from>
    <xdr:to>
      <xdr:col>8</xdr:col>
      <xdr:colOff>170295</xdr:colOff>
      <xdr:row>38</xdr:row>
      <xdr:rowOff>156681</xdr:rowOff>
    </xdr:to>
    <xdr:pic>
      <xdr:nvPicPr>
        <xdr:cNvPr id="138" name="Picture Placeholder 21">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a:ext>
          </a:extLst>
        </a:blip>
        <a:srcRect l="9416" r="9416"/>
        <a:stretch>
          <a:fillRect/>
        </a:stretch>
      </xdr:blipFill>
      <xdr:spPr>
        <a:xfrm>
          <a:off x="792883" y="31751"/>
          <a:ext cx="4282787" cy="7270750"/>
        </a:xfrm>
        <a:prstGeom prst="rect">
          <a:avLst/>
        </a:prstGeom>
        <a:ln>
          <a:noFill/>
        </a:ln>
      </xdr:spPr>
    </xdr:pic>
    <xdr:clientData/>
  </xdr:twoCellAnchor>
  <xdr:twoCellAnchor>
    <xdr:from>
      <xdr:col>6</xdr:col>
      <xdr:colOff>17257</xdr:colOff>
      <xdr:row>22</xdr:row>
      <xdr:rowOff>27708</xdr:rowOff>
    </xdr:from>
    <xdr:to>
      <xdr:col>11</xdr:col>
      <xdr:colOff>635257</xdr:colOff>
      <xdr:row>22</xdr:row>
      <xdr:rowOff>147708</xdr:rowOff>
    </xdr:to>
    <xdr:sp macro="" textlink="">
      <xdr:nvSpPr>
        <xdr:cNvPr id="139" name="Rectangle 138">
          <a:extLst>
            <a:ext uri="{FF2B5EF4-FFF2-40B4-BE49-F238E27FC236}">
              <a16:creationId xmlns:a16="http://schemas.microsoft.com/office/drawing/2014/main" id="{00000000-0008-0000-0200-00008B000000}"/>
            </a:ext>
          </a:extLst>
        </xdr:cNvPr>
        <xdr:cNvSpPr/>
      </xdr:nvSpPr>
      <xdr:spPr>
        <a:xfrm>
          <a:off x="2998996" y="4127599"/>
          <a:ext cx="4428000" cy="120000"/>
        </a:xfrm>
        <a:prstGeom prst="rect">
          <a:avLst/>
        </a:prstGeom>
        <a:solidFill>
          <a:srgbClr val="E9041E"/>
        </a:solidFill>
        <a:ln w="6350" cap="flat" cmpd="sng" algn="ctr">
          <a:noFill/>
          <a:prstDash val="solid"/>
        </a:ln>
        <a:effectLst/>
      </xdr:spPr>
      <xdr:txBody>
        <a:bodyPr wrap="square" rtlCol="0" anchor="ct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defTabSz="1072621">
            <a:defRPr/>
          </a:pPr>
          <a:endParaRPr lang="en-US" sz="975" kern="0">
            <a:solidFill>
              <a:prstClr val="white"/>
            </a:solidFill>
            <a:latin typeface="Quicksand Light" pitchFamily="2" charset="0"/>
          </a:endParaRPr>
        </a:p>
      </xdr:txBody>
    </xdr:sp>
    <xdr:clientData/>
  </xdr:twoCellAnchor>
  <xdr:twoCellAnchor>
    <xdr:from>
      <xdr:col>8</xdr:col>
      <xdr:colOff>249381</xdr:colOff>
      <xdr:row>17</xdr:row>
      <xdr:rowOff>20651</xdr:rowOff>
    </xdr:from>
    <xdr:to>
      <xdr:col>13</xdr:col>
      <xdr:colOff>571500</xdr:colOff>
      <xdr:row>21</xdr:row>
      <xdr:rowOff>84518</xdr:rowOff>
    </xdr:to>
    <xdr:sp macro="" textlink="">
      <xdr:nvSpPr>
        <xdr:cNvPr id="140" name="Title 5">
          <a:extLst>
            <a:ext uri="{FF2B5EF4-FFF2-40B4-BE49-F238E27FC236}">
              <a16:creationId xmlns:a16="http://schemas.microsoft.com/office/drawing/2014/main" id="{00000000-0008-0000-0200-00008C000000}"/>
            </a:ext>
          </a:extLst>
        </xdr:cNvPr>
        <xdr:cNvSpPr txBox="1">
          <a:spLocks/>
        </xdr:cNvSpPr>
      </xdr:nvSpPr>
      <xdr:spPr>
        <a:xfrm>
          <a:off x="5154756" y="3116276"/>
          <a:ext cx="4132119" cy="825867"/>
        </a:xfrm>
        <a:prstGeom prst="rect">
          <a:avLst/>
        </a:prstGeom>
        <a:noFill/>
      </xdr:spPr>
      <xdr:txBody>
        <a:bodyPr vert="horz" wrap="square" lIns="0" tIns="0" rIns="0" bIns="0" rtlCol="0" anchor="b">
          <a:sp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defRPr/>
          </a:pPr>
          <a:r>
            <a:rPr lang="fr-FR" sz="2800" b="1">
              <a:solidFill>
                <a:srgbClr val="E9041E"/>
              </a:solidFill>
              <a:latin typeface="Montserrat ExtraBold"/>
            </a:rPr>
            <a:t>RAPPORT</a:t>
          </a:r>
          <a:r>
            <a:rPr lang="fr-FR" sz="2800" b="1" baseline="0">
              <a:solidFill>
                <a:srgbClr val="E9041E"/>
              </a:solidFill>
              <a:latin typeface="Montserrat ExtraBold"/>
            </a:rPr>
            <a:t> REGIONAL COSTRAT - AFS</a:t>
          </a:r>
          <a:endParaRPr lang="fr-FR" sz="2800" b="1">
            <a:solidFill>
              <a:srgbClr val="E9041E"/>
            </a:solidFill>
            <a:latin typeface="Montserrat ExtraBold"/>
          </a:endParaRPr>
        </a:p>
      </xdr:txBody>
    </xdr:sp>
    <xdr:clientData/>
  </xdr:twoCellAnchor>
  <xdr:twoCellAnchor>
    <xdr:from>
      <xdr:col>8</xdr:col>
      <xdr:colOff>524808</xdr:colOff>
      <xdr:row>23</xdr:row>
      <xdr:rowOff>45469</xdr:rowOff>
    </xdr:from>
    <xdr:to>
      <xdr:col>12</xdr:col>
      <xdr:colOff>413088</xdr:colOff>
      <xdr:row>25</xdr:row>
      <xdr:rowOff>66546</xdr:rowOff>
    </xdr:to>
    <xdr:sp macro="" textlink="">
      <xdr:nvSpPr>
        <xdr:cNvPr id="141" name="Subtitle 9">
          <a:extLst>
            <a:ext uri="{FF2B5EF4-FFF2-40B4-BE49-F238E27FC236}">
              <a16:creationId xmlns:a16="http://schemas.microsoft.com/office/drawing/2014/main" id="{00000000-0008-0000-0200-00008D000000}"/>
            </a:ext>
          </a:extLst>
        </xdr:cNvPr>
        <xdr:cNvSpPr txBox="1">
          <a:spLocks/>
        </xdr:cNvSpPr>
      </xdr:nvSpPr>
      <xdr:spPr>
        <a:xfrm>
          <a:off x="5157768" y="4183129"/>
          <a:ext cx="3027720" cy="386837"/>
        </a:xfrm>
        <a:prstGeom prst="rect">
          <a:avLst/>
        </a:prstGeom>
        <a:noFill/>
      </xdr:spPr>
      <xdr:txBody>
        <a:bodyPr vert="horz" wrap="square" lIns="0" tIns="0" rIns="0" bIns="0" rtlCol="0" anchor="t">
          <a:spAutoFit/>
        </a:bodyPr>
        <a:lstStyle>
          <a:defPPr>
            <a:defRPr lang="fr-FR"/>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r">
            <a:buClr>
              <a:srgbClr val="E55F50"/>
            </a:buClr>
            <a:defRPr/>
          </a:pPr>
          <a:r>
            <a:rPr lang="fr-FR" sz="2400" b="1" baseline="0">
              <a:solidFill>
                <a:schemeClr val="tx1"/>
              </a:solidFill>
              <a:latin typeface="Source Sans Pro"/>
            </a:rPr>
            <a:t>DECEMBRE </a:t>
          </a:r>
          <a:r>
            <a:rPr lang="fr-FR" sz="2400" b="1">
              <a:solidFill>
                <a:schemeClr val="tx1"/>
              </a:solidFill>
              <a:latin typeface="Source Sans Pro"/>
            </a:rPr>
            <a:t>2023</a:t>
          </a:r>
        </a:p>
      </xdr:txBody>
    </xdr:sp>
    <xdr:clientData/>
  </xdr:twoCellAnchor>
  <xdr:twoCellAnchor editAs="oneCell">
    <xdr:from>
      <xdr:col>8</xdr:col>
      <xdr:colOff>616578</xdr:colOff>
      <xdr:row>35</xdr:row>
      <xdr:rowOff>107585</xdr:rowOff>
    </xdr:from>
    <xdr:to>
      <xdr:col>13</xdr:col>
      <xdr:colOff>14796</xdr:colOff>
      <xdr:row>38</xdr:row>
      <xdr:rowOff>49782</xdr:rowOff>
    </xdr:to>
    <xdr:pic>
      <xdr:nvPicPr>
        <xdr:cNvPr id="142" name="Picture 7">
          <a:extLst>
            <a:ext uri="{FF2B5EF4-FFF2-40B4-BE49-F238E27FC236}">
              <a16:creationId xmlns:a16="http://schemas.microsoft.com/office/drawing/2014/main" id="{00000000-0008-0000-0200-00008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5122317" y="6634281"/>
          <a:ext cx="3318477" cy="513697"/>
        </a:xfrm>
        <a:prstGeom prst="rect">
          <a:avLst/>
        </a:prstGeom>
      </xdr:spPr>
    </xdr:pic>
    <xdr:clientData/>
  </xdr:twoCellAnchor>
  <xdr:twoCellAnchor>
    <xdr:from>
      <xdr:col>1</xdr:col>
      <xdr:colOff>85725</xdr:colOff>
      <xdr:row>43</xdr:row>
      <xdr:rowOff>28575</xdr:rowOff>
    </xdr:from>
    <xdr:to>
      <xdr:col>14</xdr:col>
      <xdr:colOff>857250</xdr:colOff>
      <xdr:row>77</xdr:row>
      <xdr:rowOff>114300</xdr:rowOff>
    </xdr:to>
    <xdr:sp macro="" textlink="">
      <xdr:nvSpPr>
        <xdr:cNvPr id="158" name="Rectangle à coins arrondis 157">
          <a:extLst>
            <a:ext uri="{FF2B5EF4-FFF2-40B4-BE49-F238E27FC236}">
              <a16:creationId xmlns:a16="http://schemas.microsoft.com/office/drawing/2014/main" id="{00000000-0008-0000-0200-00009E000000}"/>
            </a:ext>
          </a:extLst>
        </xdr:cNvPr>
        <xdr:cNvSpPr/>
      </xdr:nvSpPr>
      <xdr:spPr>
        <a:xfrm>
          <a:off x="447675" y="7572375"/>
          <a:ext cx="9829800" cy="6248400"/>
        </a:xfrm>
        <a:prstGeom prst="roundRect">
          <a:avLst>
            <a:gd name="adj" fmla="val 1386"/>
          </a:avLst>
        </a:prstGeom>
        <a:noFill/>
        <a:ln>
          <a:solidFill>
            <a:srgbClr val="C24E1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fr-FR" sz="1100">
              <a:solidFill>
                <a:sysClr val="windowText" lastClr="000000"/>
              </a:solidFill>
              <a:effectLst/>
              <a:latin typeface="+mn-lt"/>
              <a:ea typeface="+mn-ea"/>
              <a:cs typeface="+mn-cs"/>
            </a:rPr>
            <a:t>- A fin fevrier</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2023, le </a:t>
          </a:r>
          <a:r>
            <a:rPr lang="fr-FR" sz="1100" b="1">
              <a:solidFill>
                <a:sysClr val="windowText" lastClr="000000"/>
              </a:solidFill>
              <a:effectLst/>
              <a:latin typeface="+mn-lt"/>
              <a:ea typeface="+mn-ea"/>
              <a:cs typeface="+mn-cs"/>
            </a:rPr>
            <a:t>portefeuille clients AFS </a:t>
          </a:r>
          <a:r>
            <a:rPr lang="fr-FR" sz="1100">
              <a:solidFill>
                <a:sysClr val="windowText" lastClr="000000"/>
              </a:solidFill>
              <a:effectLst/>
              <a:latin typeface="+mn-lt"/>
              <a:ea typeface="+mn-ea"/>
              <a:cs typeface="+mn-cs"/>
            </a:rPr>
            <a:t>a progressé de 1,3</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depuis le début de l'année et est passé de 1,972 M à 1,997 M de clients à fin Avril 2023. La région a enregistré  63 654</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nouveaux clients depuis le début de l'année (une hause</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de 2,2</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relativement à 2022) soit une acquisition brute de -</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0,1</a:t>
          </a:r>
          <a:r>
            <a:rPr lang="fr-FR" sz="1100" baseline="0">
              <a:solidFill>
                <a:sysClr val="windowText" lastClr="000000"/>
              </a:solidFill>
              <a:effectLst/>
              <a:latin typeface="+mn-lt"/>
              <a:ea typeface="+mn-ea"/>
              <a:cs typeface="+mn-cs"/>
            </a:rPr>
            <a:t> pts</a:t>
          </a:r>
          <a:r>
            <a:rPr lang="fr-FR" sz="1100">
              <a:solidFill>
                <a:sysClr val="windowText" lastClr="000000"/>
              </a:solidFill>
              <a:effectLst/>
              <a:latin typeface="+mn-lt"/>
              <a:ea typeface="+mn-ea"/>
              <a:cs typeface="+mn-cs"/>
            </a:rPr>
            <a:t>. Le portefeuille est à 65,8% constitué de clients actifs.</a:t>
          </a:r>
        </a:p>
        <a:p>
          <a:endParaRPr lang="fr-FR" sz="1100">
            <a:solidFill>
              <a:sysClr val="windowText" lastClr="000000"/>
            </a:solidFill>
            <a:effectLst/>
            <a:latin typeface="+mn-lt"/>
            <a:ea typeface="+mn-ea"/>
            <a:cs typeface="+mn-cs"/>
          </a:endParaRPr>
        </a:p>
        <a:p>
          <a:r>
            <a:rPr lang="fr-FR" sz="1100">
              <a:solidFill>
                <a:sysClr val="windowText" lastClr="000000"/>
              </a:solidFill>
              <a:effectLst/>
              <a:latin typeface="+mn-lt"/>
              <a:ea typeface="+mn-ea"/>
              <a:cs typeface="+mn-cs"/>
            </a:rPr>
            <a:t>- Il se compose également de 15,5% de clients BG/PAT (en légère hausse de 0,0 pt par rapport à la fin d'année 2022) en lien avec le déploiement du processus de mise à jour de la segmentation  sur la majorité des filiales. La mise en place d'une acquisition ciblée sur la clientèle Haut de Gamme devrait permettre d'améliorer ce ratio.</a:t>
          </a:r>
        </a:p>
        <a:p>
          <a:endParaRPr lang="fr-FR" sz="1100">
            <a:solidFill>
              <a:sysClr val="windowText" lastClr="000000"/>
            </a:solidFill>
            <a:effectLst/>
            <a:latin typeface="+mn-lt"/>
            <a:ea typeface="+mn-ea"/>
            <a:cs typeface="+mn-cs"/>
          </a:endParaRPr>
        </a:p>
        <a:p>
          <a:r>
            <a:rPr lang="fr-FR" sz="1100">
              <a:solidFill>
                <a:sysClr val="windowText" lastClr="000000"/>
              </a:solidFill>
              <a:effectLst/>
              <a:latin typeface="+mn-lt"/>
              <a:ea typeface="+mn-ea"/>
              <a:cs typeface="+mn-cs"/>
            </a:rPr>
            <a:t>- Parallèlement, l'</a:t>
          </a:r>
          <a:r>
            <a:rPr lang="fr-FR" sz="1100" b="1">
              <a:solidFill>
                <a:sysClr val="windowText" lastClr="000000"/>
              </a:solidFill>
              <a:effectLst/>
              <a:latin typeface="+mn-lt"/>
              <a:ea typeface="+mn-ea"/>
              <a:cs typeface="+mn-cs"/>
            </a:rPr>
            <a:t>équipement moyen</a:t>
          </a:r>
          <a:r>
            <a:rPr lang="fr-FR" sz="1100">
              <a:solidFill>
                <a:sysClr val="windowText" lastClr="000000"/>
              </a:solidFill>
              <a:effectLst/>
              <a:latin typeface="+mn-lt"/>
              <a:ea typeface="+mn-ea"/>
              <a:cs typeface="+mn-cs"/>
            </a:rPr>
            <a:t> après un mois des nouveaux clients entrants reste stable en</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ce début de l'année à 3 produits lorsque l'équipement moyen de l'ensemble du portefeuille s'établit à environ 6 produits. </a:t>
          </a:r>
        </a:p>
        <a:p>
          <a:endParaRPr lang="fr-FR" sz="1100">
            <a:solidFill>
              <a:sysClr val="windowText" lastClr="000000"/>
            </a:solidFill>
            <a:effectLst/>
            <a:latin typeface="+mn-lt"/>
            <a:ea typeface="+mn-ea"/>
            <a:cs typeface="+mn-cs"/>
          </a:endParaRPr>
        </a:p>
        <a:p>
          <a:r>
            <a:rPr lang="fr-FR" sz="1100">
              <a:solidFill>
                <a:sysClr val="windowText" lastClr="000000"/>
              </a:solidFill>
              <a:effectLst/>
              <a:latin typeface="+mn-lt"/>
              <a:ea typeface="+mn-ea"/>
              <a:cs typeface="+mn-cs"/>
            </a:rPr>
            <a:t>- A fin Avril 2023, la </a:t>
          </a:r>
          <a:r>
            <a:rPr lang="fr-FR" sz="1100" b="1">
              <a:solidFill>
                <a:sysClr val="windowText" lastClr="000000"/>
              </a:solidFill>
              <a:effectLst/>
              <a:latin typeface="+mn-lt"/>
              <a:ea typeface="+mn-ea"/>
              <a:cs typeface="+mn-cs"/>
            </a:rPr>
            <a:t>production de crédits </a:t>
          </a:r>
          <a:r>
            <a:rPr lang="fr-FR" sz="1100">
              <a:solidFill>
                <a:sysClr val="windowText" lastClr="000000"/>
              </a:solidFill>
              <a:effectLst/>
              <a:latin typeface="+mn-lt"/>
              <a:ea typeface="+mn-ea"/>
              <a:cs typeface="+mn-cs"/>
            </a:rPr>
            <a:t>est en baisse</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de 0,3</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relativement à l'année dernière. Comparativement au Budget, le taux d'atteinte régional est à 27,8% lorsque la cible est à 33,3</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Le taux d'équipement en crédits global connait également une légère hausse de 0,7 pt ). Point d'attention sur le Ghana et Guinée où les performances sont fortement en deça de celles de l'année dernière.</a:t>
          </a:r>
        </a:p>
        <a:p>
          <a:endParaRPr lang="fr-FR" sz="1100">
            <a:solidFill>
              <a:sysClr val="windowText" lastClr="000000"/>
            </a:solidFill>
            <a:effectLst/>
            <a:latin typeface="+mn-lt"/>
            <a:ea typeface="+mn-ea"/>
            <a:cs typeface="+mn-cs"/>
          </a:endParaRPr>
        </a:p>
        <a:p>
          <a:r>
            <a:rPr lang="fr-FR" sz="1100">
              <a:solidFill>
                <a:sysClr val="windowText" lastClr="000000"/>
              </a:solidFill>
              <a:effectLst/>
              <a:latin typeface="+mn-lt"/>
              <a:ea typeface="+mn-ea"/>
              <a:cs typeface="+mn-cs"/>
            </a:rPr>
            <a:t>- Les </a:t>
          </a:r>
          <a:r>
            <a:rPr lang="fr-FR" sz="1100" b="1">
              <a:solidFill>
                <a:sysClr val="windowText" lastClr="000000"/>
              </a:solidFill>
              <a:effectLst/>
              <a:latin typeface="+mn-lt"/>
              <a:ea typeface="+mn-ea"/>
              <a:cs typeface="+mn-cs"/>
            </a:rPr>
            <a:t>encours de crédits </a:t>
          </a:r>
          <a:r>
            <a:rPr lang="fr-FR" sz="1100">
              <a:solidFill>
                <a:sysClr val="windowText" lastClr="000000"/>
              </a:solidFill>
              <a:effectLst/>
              <a:latin typeface="+mn-lt"/>
              <a:ea typeface="+mn-ea"/>
              <a:cs typeface="+mn-cs"/>
            </a:rPr>
            <a:t>quant à eux ont légèrement en</a:t>
          </a:r>
          <a:r>
            <a:rPr lang="fr-FR" sz="1100" baseline="0">
              <a:solidFill>
                <a:sysClr val="windowText" lastClr="000000"/>
              </a:solidFill>
              <a:effectLst/>
              <a:latin typeface="+mn-lt"/>
              <a:ea typeface="+mn-ea"/>
              <a:cs typeface="+mn-cs"/>
            </a:rPr>
            <a:t> hausse</a:t>
          </a:r>
          <a:r>
            <a:rPr lang="fr-FR" sz="1100">
              <a:solidFill>
                <a:sysClr val="windowText" lastClr="000000"/>
              </a:solidFill>
              <a:effectLst/>
              <a:latin typeface="+mn-lt"/>
              <a:ea typeface="+mn-ea"/>
              <a:cs typeface="+mn-cs"/>
            </a:rPr>
            <a:t> de 1,2% relativement à la fin d'année dernière et en hausse  de 10,5</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relativement au même mois de l'année dernière.</a:t>
          </a:r>
        </a:p>
        <a:p>
          <a:endParaRPr lang="fr-FR" sz="1100">
            <a:solidFill>
              <a:sysClr val="windowText" lastClr="000000"/>
            </a:solidFill>
            <a:effectLst/>
            <a:latin typeface="+mn-lt"/>
            <a:ea typeface="+mn-ea"/>
            <a:cs typeface="+mn-cs"/>
          </a:endParaRPr>
        </a:p>
        <a:p>
          <a:r>
            <a:rPr lang="fr-FR" sz="1100">
              <a:solidFill>
                <a:sysClr val="windowText" lastClr="000000"/>
              </a:solidFill>
              <a:effectLst/>
              <a:latin typeface="+mn-lt"/>
              <a:ea typeface="+mn-ea"/>
              <a:cs typeface="+mn-cs"/>
            </a:rPr>
            <a:t>- Les </a:t>
          </a:r>
          <a:r>
            <a:rPr lang="fr-FR" sz="1100" b="1">
              <a:solidFill>
                <a:sysClr val="windowText" lastClr="000000"/>
              </a:solidFill>
              <a:effectLst/>
              <a:latin typeface="+mn-lt"/>
              <a:ea typeface="+mn-ea"/>
              <a:cs typeface="+mn-cs"/>
            </a:rPr>
            <a:t>encours de dépôts </a:t>
          </a:r>
          <a:r>
            <a:rPr lang="fr-FR" sz="1100">
              <a:solidFill>
                <a:sysClr val="windowText" lastClr="000000"/>
              </a:solidFill>
              <a:effectLst/>
              <a:latin typeface="+mn-lt"/>
              <a:ea typeface="+mn-ea"/>
              <a:cs typeface="+mn-cs"/>
            </a:rPr>
            <a:t>ont progressé de 3,7% depuis le début de l'année, et de 7,0% relativement à Avril 2022, impulsée par  la COTE D'IVOIRE (+8,8%), le GHANA (+21,4%) et le CONGO (+49,8%). </a:t>
          </a:r>
        </a:p>
        <a:p>
          <a:endParaRPr lang="fr-FR" sz="1100">
            <a:solidFill>
              <a:sysClr val="windowText" lastClr="000000"/>
            </a:solidFill>
            <a:effectLst/>
            <a:latin typeface="+mn-lt"/>
            <a:ea typeface="+mn-ea"/>
            <a:cs typeface="+mn-cs"/>
          </a:endParaRPr>
        </a:p>
        <a:p>
          <a:r>
            <a:rPr lang="fr-FR" sz="1100">
              <a:solidFill>
                <a:sysClr val="windowText" lastClr="000000"/>
              </a:solidFill>
              <a:effectLst/>
              <a:latin typeface="+mn-lt"/>
              <a:ea typeface="+mn-ea"/>
              <a:cs typeface="+mn-cs"/>
            </a:rPr>
            <a:t>- </a:t>
          </a:r>
          <a:r>
            <a:rPr lang="fr-FR" sz="1100" b="1">
              <a:solidFill>
                <a:sysClr val="windowText" lastClr="000000"/>
              </a:solidFill>
              <a:effectLst/>
              <a:latin typeface="+mn-lt"/>
              <a:ea typeface="+mn-ea"/>
              <a:cs typeface="+mn-cs"/>
            </a:rPr>
            <a:t>L'équipement en comptes de dépôt </a:t>
          </a:r>
          <a:r>
            <a:rPr lang="fr-FR" sz="1100">
              <a:solidFill>
                <a:sysClr val="windowText" lastClr="000000"/>
              </a:solidFill>
              <a:effectLst/>
              <a:latin typeface="+mn-lt"/>
              <a:ea typeface="+mn-ea"/>
              <a:cs typeface="+mn-cs"/>
            </a:rPr>
            <a:t>quant à progressé de 0,4 pts au</a:t>
          </a:r>
          <a:r>
            <a:rPr lang="fr-FR" sz="1100" baseline="0">
              <a:solidFill>
                <a:sysClr val="windowText" lastClr="000000"/>
              </a:solidFill>
              <a:effectLst/>
              <a:latin typeface="+mn-lt"/>
              <a:ea typeface="+mn-ea"/>
              <a:cs typeface="+mn-cs"/>
            </a:rPr>
            <a:t> MADAGASCAR</a:t>
          </a:r>
          <a:r>
            <a:rPr lang="fr-FR" sz="1100">
              <a:solidFill>
                <a:sysClr val="windowText" lastClr="000000"/>
              </a:solidFill>
              <a:effectLst/>
              <a:latin typeface="+mn-lt"/>
              <a:ea typeface="+mn-ea"/>
              <a:cs typeface="+mn-cs"/>
            </a:rPr>
            <a:t> , avec des croissances de 0,5 pts au CAMEROUN</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et  0,9</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pts au BURKINA</a:t>
          </a:r>
          <a:r>
            <a:rPr lang="fr-FR" sz="1100" baseline="0">
              <a:solidFill>
                <a:sysClr val="windowText" lastClr="000000"/>
              </a:solidFill>
              <a:effectLst/>
              <a:latin typeface="+mn-lt"/>
              <a:ea typeface="+mn-ea"/>
              <a:cs typeface="+mn-cs"/>
            </a:rPr>
            <a:t> FASO</a:t>
          </a:r>
          <a:r>
            <a:rPr lang="fr-FR" sz="1100">
              <a:solidFill>
                <a:sysClr val="windowText" lastClr="000000"/>
              </a:solidFill>
              <a:effectLst/>
              <a:latin typeface="+mn-lt"/>
              <a:ea typeface="+mn-ea"/>
              <a:cs typeface="+mn-cs"/>
            </a:rPr>
            <a:t>.</a:t>
          </a:r>
        </a:p>
        <a:p>
          <a:endParaRPr lang="fr-FR" sz="1100">
            <a:solidFill>
              <a:sysClr val="windowText" lastClr="000000"/>
            </a:solidFill>
            <a:effectLst/>
            <a:latin typeface="+mn-lt"/>
            <a:ea typeface="+mn-ea"/>
            <a:cs typeface="+mn-cs"/>
          </a:endParaRPr>
        </a:p>
        <a:p>
          <a:r>
            <a:rPr lang="fr-FR" sz="1100">
              <a:solidFill>
                <a:sysClr val="windowText" lastClr="000000"/>
              </a:solidFill>
              <a:effectLst/>
              <a:latin typeface="+mn-lt"/>
              <a:ea typeface="+mn-ea"/>
              <a:cs typeface="+mn-cs"/>
            </a:rPr>
            <a:t>- Sur la </a:t>
          </a:r>
          <a:r>
            <a:rPr lang="fr-FR" sz="1100" b="1">
              <a:solidFill>
                <a:sysClr val="windowText" lastClr="000000"/>
              </a:solidFill>
              <a:effectLst/>
              <a:latin typeface="+mn-lt"/>
              <a:ea typeface="+mn-ea"/>
              <a:cs typeface="+mn-cs"/>
            </a:rPr>
            <a:t>Banque au quotidien</a:t>
          </a:r>
          <a:r>
            <a:rPr lang="fr-FR" sz="1100">
              <a:solidFill>
                <a:sysClr val="windowText" lastClr="000000"/>
              </a:solidFill>
              <a:effectLst/>
              <a:latin typeface="+mn-lt"/>
              <a:ea typeface="+mn-ea"/>
              <a:cs typeface="+mn-cs"/>
            </a:rPr>
            <a:t>, la grande majorité des nouvelles ouvertures de comptes est réalisée via package avec la part des packages dans le stock de Comptes courants qui progresse de façon continue sur la zone. En termes d'équipement CAV, plus de 82% des clients sont équipés d'un CAV. Cette part est en légère hausse relativement à la fin de l'année, avec une forte progression sur la GUINEE (+1pt) et le BENIN (+0,6 pt).</a:t>
          </a:r>
        </a:p>
        <a:p>
          <a:endParaRPr lang="fr-FR" sz="1100">
            <a:solidFill>
              <a:sysClr val="windowText" lastClr="000000"/>
            </a:solidFill>
            <a:effectLst/>
            <a:latin typeface="+mn-lt"/>
            <a:ea typeface="+mn-ea"/>
            <a:cs typeface="+mn-cs"/>
          </a:endParaRPr>
        </a:p>
        <a:p>
          <a:r>
            <a:rPr lang="fr-FR" sz="1100">
              <a:solidFill>
                <a:sysClr val="windowText" lastClr="000000"/>
              </a:solidFill>
              <a:effectLst/>
              <a:latin typeface="+mn-lt"/>
              <a:ea typeface="+mn-ea"/>
              <a:cs typeface="+mn-cs"/>
            </a:rPr>
            <a:t>- En termes </a:t>
          </a:r>
          <a:r>
            <a:rPr lang="fr-FR" sz="1100" b="1">
              <a:solidFill>
                <a:sysClr val="windowText" lastClr="000000"/>
              </a:solidFill>
              <a:effectLst/>
              <a:latin typeface="+mn-lt"/>
              <a:ea typeface="+mn-ea"/>
              <a:cs typeface="+mn-cs"/>
            </a:rPr>
            <a:t>d'efficacité commerciale, </a:t>
          </a:r>
          <a:r>
            <a:rPr lang="fr-FR" sz="1100">
              <a:solidFill>
                <a:sysClr val="windowText" lastClr="000000"/>
              </a:solidFill>
              <a:effectLst/>
              <a:latin typeface="+mn-lt"/>
              <a:ea typeface="+mn-ea"/>
              <a:cs typeface="+mn-cs"/>
            </a:rPr>
            <a:t>la moyenne de ventes par conseiller de ce mois s'établit à 124 contre 120 le mois précédent. Sur le périmètre des PPO, elle est de 20  PPO en moyenne par conseiller contre 24 sur le mois de</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2023. En termes d'ouverture de CAV, elle se situe à 23 CAV en moyenne.</a:t>
          </a:r>
        </a:p>
        <a:p>
          <a:endParaRPr lang="fr-FR" sz="1100">
            <a:solidFill>
              <a:sysClr val="windowText" lastClr="000000"/>
            </a:solidFill>
            <a:effectLst/>
            <a:latin typeface="+mn-lt"/>
            <a:ea typeface="+mn-ea"/>
            <a:cs typeface="+mn-cs"/>
          </a:endParaRPr>
        </a:p>
        <a:p>
          <a:r>
            <a:rPr lang="fr-FR" sz="1100">
              <a:solidFill>
                <a:sysClr val="windowText" lastClr="000000"/>
              </a:solidFill>
              <a:effectLst/>
              <a:latin typeface="+mn-lt"/>
              <a:ea typeface="+mn-ea"/>
              <a:cs typeface="+mn-cs"/>
            </a:rPr>
            <a:t>- En termes de </a:t>
          </a:r>
          <a:r>
            <a:rPr lang="fr-FR" sz="1100" b="1">
              <a:solidFill>
                <a:sysClr val="windowText" lastClr="000000"/>
              </a:solidFill>
              <a:effectLst/>
              <a:latin typeface="+mn-lt"/>
              <a:ea typeface="+mn-ea"/>
              <a:cs typeface="+mn-cs"/>
            </a:rPr>
            <a:t>rentabilité</a:t>
          </a:r>
          <a:r>
            <a:rPr lang="fr-FR" sz="1100">
              <a:solidFill>
                <a:sysClr val="windowText" lastClr="000000"/>
              </a:solidFill>
              <a:effectLst/>
              <a:latin typeface="+mn-lt"/>
              <a:ea typeface="+mn-ea"/>
              <a:cs typeface="+mn-cs"/>
            </a:rPr>
            <a:t>, le PNB de la zone AFS se fixe à  56 MEuros (Hors GHANA ) et a progressé de 7,4</a:t>
          </a:r>
          <a:r>
            <a:rPr lang="fr-FR" sz="1100" baseline="0">
              <a:solidFill>
                <a:sysClr val="windowText" lastClr="000000"/>
              </a:solidFill>
              <a:effectLst/>
              <a:latin typeface="+mn-lt"/>
              <a:ea typeface="+mn-ea"/>
              <a:cs typeface="+mn-cs"/>
            </a:rPr>
            <a:t> </a:t>
          </a:r>
          <a:r>
            <a:rPr lang="fr-FR" sz="1100">
              <a:solidFill>
                <a:sysClr val="windowText" lastClr="000000"/>
              </a:solidFill>
              <a:effectLst/>
              <a:latin typeface="+mn-lt"/>
              <a:ea typeface="+mn-ea"/>
              <a:cs typeface="+mn-cs"/>
            </a:rPr>
            <a:t>% relativement à l'année dernière. Les  données sont encore en cours de fiabilisation pour le PNB, notamment au GHANA et en MAURITANIE.</a:t>
          </a:r>
        </a:p>
        <a:p>
          <a:endParaRPr lang="fr-FR" sz="1100">
            <a:solidFill>
              <a:sysClr val="windowText" lastClr="000000"/>
            </a:solidFill>
            <a:effectLst/>
            <a:latin typeface="+mn-lt"/>
            <a:ea typeface="+mn-ea"/>
            <a:cs typeface="+mn-cs"/>
          </a:endParaRPr>
        </a:p>
        <a:p>
          <a:pPr algn="just"/>
          <a:r>
            <a:rPr lang="fr-FR" sz="1100">
              <a:solidFill>
                <a:sysClr val="windowText" lastClr="000000"/>
              </a:solidFill>
              <a:effectLst/>
              <a:latin typeface="+mn-lt"/>
              <a:ea typeface="+mn-ea"/>
              <a:cs typeface="+mn-cs"/>
            </a:rPr>
            <a:t>- La </a:t>
          </a:r>
          <a:r>
            <a:rPr lang="fr-FR" sz="1100" b="1">
              <a:solidFill>
                <a:sysClr val="windowText" lastClr="000000"/>
              </a:solidFill>
              <a:effectLst/>
              <a:latin typeface="+mn-lt"/>
              <a:ea typeface="+mn-ea"/>
              <a:cs typeface="+mn-cs"/>
            </a:rPr>
            <a:t>rentabilité par segment </a:t>
          </a:r>
          <a:r>
            <a:rPr lang="fr-FR" sz="1100">
              <a:solidFill>
                <a:sysClr val="windowText" lastClr="000000"/>
              </a:solidFill>
              <a:effectLst/>
              <a:latin typeface="+mn-lt"/>
              <a:ea typeface="+mn-ea"/>
              <a:cs typeface="+mn-cs"/>
            </a:rPr>
            <a:t>indique que les BG/PAT concentrent 54% du PNB généré sur la zone AFS en Avril 2023 et cette part est en hausse de 1,2pt relativement à l'année dernière. </a:t>
          </a:r>
        </a:p>
        <a:p>
          <a:r>
            <a:rPr lang="fr-FR" sz="1100">
              <a:solidFill>
                <a:sysClr val="windowText" lastClr="000000"/>
              </a:solidFill>
              <a:effectLst/>
              <a:latin typeface="+mn-lt"/>
              <a:ea typeface="+mn-ea"/>
              <a:cs typeface="+mn-cs"/>
            </a:rPr>
            <a:t>- La </a:t>
          </a:r>
          <a:r>
            <a:rPr lang="fr-FR" sz="1100" b="1">
              <a:solidFill>
                <a:sysClr val="windowText" lastClr="000000"/>
              </a:solidFill>
              <a:effectLst/>
              <a:latin typeface="+mn-lt"/>
              <a:ea typeface="+mn-ea"/>
              <a:cs typeface="+mn-cs"/>
            </a:rPr>
            <a:t>rentabilité en cumul annuel par clients actifs</a:t>
          </a:r>
          <a:r>
            <a:rPr lang="fr-FR" sz="1100">
              <a:solidFill>
                <a:sysClr val="windowText" lastClr="000000"/>
              </a:solidFill>
              <a:effectLst/>
              <a:latin typeface="+mn-lt"/>
              <a:ea typeface="+mn-ea"/>
              <a:cs typeface="+mn-cs"/>
            </a:rPr>
            <a:t> enfin quant à elle est évaluée à environ 217 Euros par client et est en  progression de 3,6% .</a:t>
          </a:r>
        </a:p>
        <a:p>
          <a:r>
            <a:rPr lang="fr-FR" sz="1100">
              <a:solidFill>
                <a:sysClr val="windowText" lastClr="000000"/>
              </a:solidFill>
              <a:effectLst/>
              <a:latin typeface="+mn-lt"/>
              <a:ea typeface="+mn-ea"/>
              <a:cs typeface="+mn-cs"/>
            </a:rPr>
            <a:t> </a:t>
          </a:r>
        </a:p>
      </xdr:txBody>
    </xdr:sp>
    <xdr:clientData/>
  </xdr:twoCellAnchor>
  <xdr:twoCellAnchor editAs="oneCell">
    <xdr:from>
      <xdr:col>1</xdr:col>
      <xdr:colOff>85725</xdr:colOff>
      <xdr:row>77</xdr:row>
      <xdr:rowOff>104775</xdr:rowOff>
    </xdr:from>
    <xdr:to>
      <xdr:col>4</xdr:col>
      <xdr:colOff>432858</xdr:colOff>
      <xdr:row>80</xdr:row>
      <xdr:rowOff>188075</xdr:rowOff>
    </xdr:to>
    <xdr:pic>
      <xdr:nvPicPr>
        <xdr:cNvPr id="159" name="Logo SG">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447675" y="13811250"/>
          <a:ext cx="1471083" cy="292850"/>
        </a:xfrm>
        <a:prstGeom prst="rect">
          <a:avLst/>
        </a:prstGeom>
      </xdr:spPr>
    </xdr:pic>
    <xdr:clientData/>
  </xdr:twoCellAnchor>
  <xdr:oneCellAnchor>
    <xdr:from>
      <xdr:col>1</xdr:col>
      <xdr:colOff>219075</xdr:colOff>
      <xdr:row>174</xdr:row>
      <xdr:rowOff>133350</xdr:rowOff>
    </xdr:from>
    <xdr:ext cx="1442508" cy="311900"/>
    <xdr:pic>
      <xdr:nvPicPr>
        <xdr:cNvPr id="190" name="Logo SG">
          <a:extLst>
            <a:ext uri="{FF2B5EF4-FFF2-40B4-BE49-F238E27FC236}">
              <a16:creationId xmlns:a16="http://schemas.microsoft.com/office/drawing/2014/main" id="{00000000-0008-0000-0200-0000B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14306550"/>
          <a:ext cx="1442508" cy="311900"/>
        </a:xfrm>
        <a:prstGeom prst="rect">
          <a:avLst/>
        </a:prstGeom>
      </xdr:spPr>
    </xdr:pic>
    <xdr:clientData/>
  </xdr:oneCellAnchor>
  <xdr:twoCellAnchor>
    <xdr:from>
      <xdr:col>2</xdr:col>
      <xdr:colOff>19050</xdr:colOff>
      <xdr:row>143</xdr:row>
      <xdr:rowOff>95250</xdr:rowOff>
    </xdr:from>
    <xdr:to>
      <xdr:col>8</xdr:col>
      <xdr:colOff>502360</xdr:colOff>
      <xdr:row>157</xdr:row>
      <xdr:rowOff>132617</xdr:rowOff>
    </xdr:to>
    <xdr:graphicFrame macro="">
      <xdr:nvGraphicFramePr>
        <xdr:cNvPr id="201" name="Graphique 200">
          <a:extLst>
            <a:ext uri="{FF2B5EF4-FFF2-40B4-BE49-F238E27FC236}">
              <a16:creationId xmlns:a16="http://schemas.microsoft.com/office/drawing/2014/main" id="{00000000-0008-0000-0200-0000C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570940</xdr:colOff>
      <xdr:row>143</xdr:row>
      <xdr:rowOff>95250</xdr:rowOff>
    </xdr:from>
    <xdr:to>
      <xdr:col>14</xdr:col>
      <xdr:colOff>400610</xdr:colOff>
      <xdr:row>157</xdr:row>
      <xdr:rowOff>132617</xdr:rowOff>
    </xdr:to>
    <xdr:graphicFrame macro="">
      <xdr:nvGraphicFramePr>
        <xdr:cNvPr id="202" name="Graphique 201">
          <a:extLst>
            <a:ext uri="{FF2B5EF4-FFF2-40B4-BE49-F238E27FC236}">
              <a16:creationId xmlns:a16="http://schemas.microsoft.com/office/drawing/2014/main" id="{00000000-0008-0000-0200-0000C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20395</xdr:colOff>
      <xdr:row>158</xdr:row>
      <xdr:rowOff>130211</xdr:rowOff>
    </xdr:from>
    <xdr:to>
      <xdr:col>8</xdr:col>
      <xdr:colOff>503705</xdr:colOff>
      <xdr:row>173</xdr:row>
      <xdr:rowOff>186912</xdr:rowOff>
    </xdr:to>
    <xdr:graphicFrame macro="">
      <xdr:nvGraphicFramePr>
        <xdr:cNvPr id="203" name="Graphique 202">
          <a:extLst>
            <a:ext uri="{FF2B5EF4-FFF2-40B4-BE49-F238E27FC236}">
              <a16:creationId xmlns:a16="http://schemas.microsoft.com/office/drawing/2014/main" id="{00000000-0008-0000-0200-0000C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570940</xdr:colOff>
      <xdr:row>158</xdr:row>
      <xdr:rowOff>123936</xdr:rowOff>
    </xdr:from>
    <xdr:to>
      <xdr:col>14</xdr:col>
      <xdr:colOff>400610</xdr:colOff>
      <xdr:row>173</xdr:row>
      <xdr:rowOff>180637</xdr:rowOff>
    </xdr:to>
    <xdr:graphicFrame macro="">
      <xdr:nvGraphicFramePr>
        <xdr:cNvPr id="204" name="Graphique 203">
          <a:extLst>
            <a:ext uri="{FF2B5EF4-FFF2-40B4-BE49-F238E27FC236}">
              <a16:creationId xmlns:a16="http://schemas.microsoft.com/office/drawing/2014/main" id="{00000000-0008-0000-0200-0000C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19050</xdr:colOff>
      <xdr:row>141</xdr:row>
      <xdr:rowOff>85725</xdr:rowOff>
    </xdr:from>
    <xdr:to>
      <xdr:col>14</xdr:col>
      <xdr:colOff>295275</xdr:colOff>
      <xdr:row>142</xdr:row>
      <xdr:rowOff>104775</xdr:rowOff>
    </xdr:to>
    <xdr:sp macro="" textlink="">
      <xdr:nvSpPr>
        <xdr:cNvPr id="205" name="ZoneTexte 204">
          <a:extLst>
            <a:ext uri="{FF2B5EF4-FFF2-40B4-BE49-F238E27FC236}">
              <a16:creationId xmlns:a16="http://schemas.microsoft.com/office/drawing/2014/main" id="{00000000-0008-0000-0200-0000CD000000}"/>
            </a:ext>
          </a:extLst>
        </xdr:cNvPr>
        <xdr:cNvSpPr txBox="1"/>
      </xdr:nvSpPr>
      <xdr:spPr>
        <a:xfrm>
          <a:off x="704850" y="1538287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RECRUTEMENT CLIENTS - EVOLUTION STOCK CLIENTS 12/2023 - 12/2022</a:t>
          </a:r>
        </a:p>
      </xdr:txBody>
    </xdr:sp>
    <xdr:clientData/>
  </xdr:twoCellAnchor>
  <xdr:oneCellAnchor>
    <xdr:from>
      <xdr:col>1</xdr:col>
      <xdr:colOff>219075</xdr:colOff>
      <xdr:row>214</xdr:row>
      <xdr:rowOff>133350</xdr:rowOff>
    </xdr:from>
    <xdr:ext cx="1442508" cy="311900"/>
    <xdr:pic>
      <xdr:nvPicPr>
        <xdr:cNvPr id="206" name="Logo SG">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21717000"/>
          <a:ext cx="1442508" cy="311900"/>
        </a:xfrm>
        <a:prstGeom prst="rect">
          <a:avLst/>
        </a:prstGeom>
      </xdr:spPr>
    </xdr:pic>
    <xdr:clientData/>
  </xdr:oneCellAnchor>
  <xdr:twoCellAnchor>
    <xdr:from>
      <xdr:col>3</xdr:col>
      <xdr:colOff>19050</xdr:colOff>
      <xdr:row>181</xdr:row>
      <xdr:rowOff>85725</xdr:rowOff>
    </xdr:from>
    <xdr:to>
      <xdr:col>14</xdr:col>
      <xdr:colOff>295275</xdr:colOff>
      <xdr:row>182</xdr:row>
      <xdr:rowOff>104775</xdr:rowOff>
    </xdr:to>
    <xdr:sp macro="" textlink="">
      <xdr:nvSpPr>
        <xdr:cNvPr id="211" name="ZoneTexte 210">
          <a:extLst>
            <a:ext uri="{FF2B5EF4-FFF2-40B4-BE49-F238E27FC236}">
              <a16:creationId xmlns:a16="http://schemas.microsoft.com/office/drawing/2014/main" id="{00000000-0008-0000-0200-0000D3000000}"/>
            </a:ext>
          </a:extLst>
        </xdr:cNvPr>
        <xdr:cNvSpPr txBox="1"/>
      </xdr:nvSpPr>
      <xdr:spPr>
        <a:xfrm>
          <a:off x="704850" y="1538287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ACTIVITE CLIENTS - EVOLUTION DE LA PART DES CLIENTS ACTIFS</a:t>
          </a:r>
        </a:p>
      </xdr:txBody>
    </xdr:sp>
    <xdr:clientData/>
  </xdr:twoCellAnchor>
  <xdr:twoCellAnchor>
    <xdr:from>
      <xdr:col>2</xdr:col>
      <xdr:colOff>93345</xdr:colOff>
      <xdr:row>198</xdr:row>
      <xdr:rowOff>87037</xdr:rowOff>
    </xdr:from>
    <xdr:to>
      <xdr:col>8</xdr:col>
      <xdr:colOff>574750</xdr:colOff>
      <xdr:row>213</xdr:row>
      <xdr:rowOff>145643</xdr:rowOff>
    </xdr:to>
    <xdr:graphicFrame macro="">
      <xdr:nvGraphicFramePr>
        <xdr:cNvPr id="212" name="Graphique 211">
          <a:extLst>
            <a:ext uri="{FF2B5EF4-FFF2-40B4-BE49-F238E27FC236}">
              <a16:creationId xmlns:a16="http://schemas.microsoft.com/office/drawing/2014/main" id="{00000000-0008-0000-0200-0000D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699014</xdr:colOff>
      <xdr:row>198</xdr:row>
      <xdr:rowOff>87037</xdr:rowOff>
    </xdr:from>
    <xdr:to>
      <xdr:col>14</xdr:col>
      <xdr:colOff>528684</xdr:colOff>
      <xdr:row>213</xdr:row>
      <xdr:rowOff>145643</xdr:rowOff>
    </xdr:to>
    <xdr:graphicFrame macro="">
      <xdr:nvGraphicFramePr>
        <xdr:cNvPr id="213" name="Graphique 212">
          <a:extLst>
            <a:ext uri="{FF2B5EF4-FFF2-40B4-BE49-F238E27FC236}">
              <a16:creationId xmlns:a16="http://schemas.microsoft.com/office/drawing/2014/main" id="{00000000-0008-0000-0200-0000D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5353</xdr:colOff>
      <xdr:row>183</xdr:row>
      <xdr:rowOff>0</xdr:rowOff>
    </xdr:from>
    <xdr:to>
      <xdr:col>8</xdr:col>
      <xdr:colOff>593438</xdr:colOff>
      <xdr:row>197</xdr:row>
      <xdr:rowOff>87181</xdr:rowOff>
    </xdr:to>
    <xdr:graphicFrame macro="">
      <xdr:nvGraphicFramePr>
        <xdr:cNvPr id="214" name="Graphique 213">
          <a:extLst>
            <a:ext uri="{FF2B5EF4-FFF2-40B4-BE49-F238E27FC236}">
              <a16:creationId xmlns:a16="http://schemas.microsoft.com/office/drawing/2014/main" id="{00000000-0008-0000-0200-0000D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694842</xdr:colOff>
      <xdr:row>183</xdr:row>
      <xdr:rowOff>0</xdr:rowOff>
    </xdr:from>
    <xdr:to>
      <xdr:col>14</xdr:col>
      <xdr:colOff>524512</xdr:colOff>
      <xdr:row>197</xdr:row>
      <xdr:rowOff>87181</xdr:rowOff>
    </xdr:to>
    <xdr:graphicFrame macro="">
      <xdr:nvGraphicFramePr>
        <xdr:cNvPr id="215" name="Graphique 214">
          <a:extLst>
            <a:ext uri="{FF2B5EF4-FFF2-40B4-BE49-F238E27FC236}">
              <a16:creationId xmlns:a16="http://schemas.microsoft.com/office/drawing/2014/main" id="{00000000-0008-0000-0200-0000D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496574</xdr:colOff>
      <xdr:row>146</xdr:row>
      <xdr:rowOff>153810</xdr:rowOff>
    </xdr:from>
    <xdr:to>
      <xdr:col>8</xdr:col>
      <xdr:colOff>317280</xdr:colOff>
      <xdr:row>148</xdr:row>
      <xdr:rowOff>110269</xdr:rowOff>
    </xdr:to>
    <xdr:sp macro="" textlink="'Tableau détaillé'!$H$185">
      <xdr:nvSpPr>
        <xdr:cNvPr id="217" name="ZoneTexte 216">
          <a:extLst>
            <a:ext uri="{FF2B5EF4-FFF2-40B4-BE49-F238E27FC236}">
              <a16:creationId xmlns:a16="http://schemas.microsoft.com/office/drawing/2014/main" id="{00000000-0008-0000-0200-0000D9000000}"/>
            </a:ext>
          </a:extLst>
        </xdr:cNvPr>
        <xdr:cNvSpPr txBox="1"/>
      </xdr:nvSpPr>
      <xdr:spPr>
        <a:xfrm>
          <a:off x="4216927" y="23921486"/>
          <a:ext cx="582706" cy="337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DF5590-FD9E-4919-88C6-97F0E209E8AA}" type="TxLink">
            <a:rPr lang="en-US" sz="1100" b="1" i="0" u="none" strike="noStrike">
              <a:solidFill>
                <a:srgbClr val="C00000"/>
              </a:solidFill>
              <a:latin typeface="Arial Narrow"/>
            </a:rPr>
            <a:pPr algn="ctr"/>
            <a:t>1,5%</a:t>
          </a:fld>
          <a:endParaRPr lang="fr-FR" sz="1100">
            <a:solidFill>
              <a:srgbClr val="C00000"/>
            </a:solidFill>
          </a:endParaRPr>
        </a:p>
      </xdr:txBody>
    </xdr:sp>
    <xdr:clientData/>
  </xdr:twoCellAnchor>
  <xdr:oneCellAnchor>
    <xdr:from>
      <xdr:col>1</xdr:col>
      <xdr:colOff>219075</xdr:colOff>
      <xdr:row>611</xdr:row>
      <xdr:rowOff>133350</xdr:rowOff>
    </xdr:from>
    <xdr:ext cx="1442508" cy="311900"/>
    <xdr:pic>
      <xdr:nvPicPr>
        <xdr:cNvPr id="240" name="Logo SG">
          <a:extLst>
            <a:ext uri="{FF2B5EF4-FFF2-40B4-BE49-F238E27FC236}">
              <a16:creationId xmlns:a16="http://schemas.microsoft.com/office/drawing/2014/main" id="{00000000-0008-0000-0200-0000F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43948350"/>
          <a:ext cx="1442508" cy="311900"/>
        </a:xfrm>
        <a:prstGeom prst="rect">
          <a:avLst/>
        </a:prstGeom>
      </xdr:spPr>
    </xdr:pic>
    <xdr:clientData/>
  </xdr:oneCellAnchor>
  <xdr:twoCellAnchor>
    <xdr:from>
      <xdr:col>3</xdr:col>
      <xdr:colOff>19050</xdr:colOff>
      <xdr:row>578</xdr:row>
      <xdr:rowOff>85725</xdr:rowOff>
    </xdr:from>
    <xdr:to>
      <xdr:col>14</xdr:col>
      <xdr:colOff>295275</xdr:colOff>
      <xdr:row>579</xdr:row>
      <xdr:rowOff>104775</xdr:rowOff>
    </xdr:to>
    <xdr:sp macro="" textlink="">
      <xdr:nvSpPr>
        <xdr:cNvPr id="241" name="ZoneTexte 240">
          <a:extLst>
            <a:ext uri="{FF2B5EF4-FFF2-40B4-BE49-F238E27FC236}">
              <a16:creationId xmlns:a16="http://schemas.microsoft.com/office/drawing/2014/main" id="{00000000-0008-0000-0200-0000F1000000}"/>
            </a:ext>
          </a:extLst>
        </xdr:cNvPr>
        <xdr:cNvSpPr txBox="1"/>
      </xdr:nvSpPr>
      <xdr:spPr>
        <a:xfrm>
          <a:off x="704850" y="3761422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PRODUCTION DE</a:t>
          </a:r>
          <a:r>
            <a:rPr lang="fr-FR" sz="1300" b="1" baseline="0">
              <a:latin typeface="Arial" panose="020B0604020202020204" pitchFamily="34" charset="0"/>
              <a:cs typeface="Arial" panose="020B0604020202020204" pitchFamily="34" charset="0"/>
            </a:rPr>
            <a:t> CREDITS</a:t>
          </a:r>
          <a:endParaRPr lang="fr-FR" sz="1300" b="1">
            <a:latin typeface="Arial" panose="020B0604020202020204" pitchFamily="34" charset="0"/>
            <a:cs typeface="Arial" panose="020B0604020202020204" pitchFamily="34" charset="0"/>
          </a:endParaRPr>
        </a:p>
      </xdr:txBody>
    </xdr:sp>
    <xdr:clientData/>
  </xdr:twoCellAnchor>
  <xdr:twoCellAnchor>
    <xdr:from>
      <xdr:col>2</xdr:col>
      <xdr:colOff>95250</xdr:colOff>
      <xdr:row>579</xdr:row>
      <xdr:rowOff>152400</xdr:rowOff>
    </xdr:from>
    <xdr:to>
      <xdr:col>8</xdr:col>
      <xdr:colOff>600075</xdr:colOff>
      <xdr:row>594</xdr:row>
      <xdr:rowOff>50625</xdr:rowOff>
    </xdr:to>
    <xdr:graphicFrame macro="">
      <xdr:nvGraphicFramePr>
        <xdr:cNvPr id="246" name="Graphique 245">
          <a:extLst>
            <a:ext uri="{FF2B5EF4-FFF2-40B4-BE49-F238E27FC236}">
              <a16:creationId xmlns:a16="http://schemas.microsoft.com/office/drawing/2014/main" id="{00000000-0008-0000-02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661035</xdr:colOff>
      <xdr:row>579</xdr:row>
      <xdr:rowOff>160020</xdr:rowOff>
    </xdr:from>
    <xdr:to>
      <xdr:col>14</xdr:col>
      <xdr:colOff>508635</xdr:colOff>
      <xdr:row>594</xdr:row>
      <xdr:rowOff>58245</xdr:rowOff>
    </xdr:to>
    <xdr:graphicFrame macro="">
      <xdr:nvGraphicFramePr>
        <xdr:cNvPr id="247" name="Graphique 246">
          <a:extLst>
            <a:ext uri="{FF2B5EF4-FFF2-40B4-BE49-F238E27FC236}">
              <a16:creationId xmlns:a16="http://schemas.microsoft.com/office/drawing/2014/main" id="{00000000-0008-0000-02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93923</xdr:colOff>
      <xdr:row>595</xdr:row>
      <xdr:rowOff>2128</xdr:rowOff>
    </xdr:from>
    <xdr:to>
      <xdr:col>8</xdr:col>
      <xdr:colOff>598748</xdr:colOff>
      <xdr:row>610</xdr:row>
      <xdr:rowOff>62278</xdr:rowOff>
    </xdr:to>
    <xdr:graphicFrame macro="">
      <xdr:nvGraphicFramePr>
        <xdr:cNvPr id="248" name="Graphique 247">
          <a:extLst>
            <a:ext uri="{FF2B5EF4-FFF2-40B4-BE49-F238E27FC236}">
              <a16:creationId xmlns:a16="http://schemas.microsoft.com/office/drawing/2014/main" id="{00000000-0008-0000-0200-0000F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669233</xdr:colOff>
      <xdr:row>595</xdr:row>
      <xdr:rowOff>7347</xdr:rowOff>
    </xdr:from>
    <xdr:to>
      <xdr:col>14</xdr:col>
      <xdr:colOff>516833</xdr:colOff>
      <xdr:row>610</xdr:row>
      <xdr:rowOff>67497</xdr:rowOff>
    </xdr:to>
    <xdr:graphicFrame macro="">
      <xdr:nvGraphicFramePr>
        <xdr:cNvPr id="249" name="Graphique 248">
          <a:extLst>
            <a:ext uri="{FF2B5EF4-FFF2-40B4-BE49-F238E27FC236}">
              <a16:creationId xmlns:a16="http://schemas.microsoft.com/office/drawing/2014/main" id="{00000000-0008-0000-0200-0000F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62534</xdr:colOff>
      <xdr:row>583</xdr:row>
      <xdr:rowOff>186391</xdr:rowOff>
    </xdr:from>
    <xdr:to>
      <xdr:col>8</xdr:col>
      <xdr:colOff>666371</xdr:colOff>
      <xdr:row>585</xdr:row>
      <xdr:rowOff>105202</xdr:rowOff>
    </xdr:to>
    <xdr:sp macro="" textlink="'Tableau détaillé'!$H$5">
      <xdr:nvSpPr>
        <xdr:cNvPr id="251" name="ZoneTexte 250">
          <a:extLst>
            <a:ext uri="{FF2B5EF4-FFF2-40B4-BE49-F238E27FC236}">
              <a16:creationId xmlns:a16="http://schemas.microsoft.com/office/drawing/2014/main" id="{00000000-0008-0000-0200-0000FB000000}"/>
            </a:ext>
          </a:extLst>
        </xdr:cNvPr>
        <xdr:cNvSpPr txBox="1"/>
      </xdr:nvSpPr>
      <xdr:spPr>
        <a:xfrm>
          <a:off x="4553938" y="105386353"/>
          <a:ext cx="603837" cy="299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662F0E-B855-46FE-B7E9-D75761ACD355}" type="TxLink">
            <a:rPr lang="en-US" sz="1100" b="1" i="0" u="none" strike="noStrike">
              <a:solidFill>
                <a:srgbClr val="C00000"/>
              </a:solidFill>
              <a:latin typeface="Arial Narrow"/>
              <a:ea typeface="+mn-ea"/>
              <a:cs typeface="+mn-cs"/>
            </a:rPr>
            <a:pPr marL="0" indent="0" algn="ctr"/>
            <a:t>91,0%</a:t>
          </a:fld>
          <a:endParaRPr lang="fr-FR" sz="1100" b="1" i="0" u="none" strike="noStrike">
            <a:solidFill>
              <a:srgbClr val="C00000"/>
            </a:solidFill>
            <a:latin typeface="Arial Narrow"/>
            <a:ea typeface="+mn-ea"/>
            <a:cs typeface="+mn-cs"/>
          </a:endParaRPr>
        </a:p>
      </xdr:txBody>
    </xdr:sp>
    <xdr:clientData/>
  </xdr:twoCellAnchor>
  <xdr:oneCellAnchor>
    <xdr:from>
      <xdr:col>1</xdr:col>
      <xdr:colOff>219075</xdr:colOff>
      <xdr:row>651</xdr:row>
      <xdr:rowOff>133350</xdr:rowOff>
    </xdr:from>
    <xdr:ext cx="1442508" cy="311900"/>
    <xdr:pic>
      <xdr:nvPicPr>
        <xdr:cNvPr id="252" name="Logo SG">
          <a:extLst>
            <a:ext uri="{FF2B5EF4-FFF2-40B4-BE49-F238E27FC236}">
              <a16:creationId xmlns:a16="http://schemas.microsoft.com/office/drawing/2014/main" id="{00000000-0008-0000-0200-0000F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51358800"/>
          <a:ext cx="1442508" cy="311900"/>
        </a:xfrm>
        <a:prstGeom prst="rect">
          <a:avLst/>
        </a:prstGeom>
      </xdr:spPr>
    </xdr:pic>
    <xdr:clientData/>
  </xdr:oneCellAnchor>
  <xdr:twoCellAnchor>
    <xdr:from>
      <xdr:col>3</xdr:col>
      <xdr:colOff>19050</xdr:colOff>
      <xdr:row>618</xdr:row>
      <xdr:rowOff>85725</xdr:rowOff>
    </xdr:from>
    <xdr:to>
      <xdr:col>14</xdr:col>
      <xdr:colOff>295275</xdr:colOff>
      <xdr:row>619</xdr:row>
      <xdr:rowOff>104775</xdr:rowOff>
    </xdr:to>
    <xdr:sp macro="" textlink="">
      <xdr:nvSpPr>
        <xdr:cNvPr id="253" name="ZoneTexte 252">
          <a:extLst>
            <a:ext uri="{FF2B5EF4-FFF2-40B4-BE49-F238E27FC236}">
              <a16:creationId xmlns:a16="http://schemas.microsoft.com/office/drawing/2014/main" id="{00000000-0008-0000-0200-0000FD000000}"/>
            </a:ext>
          </a:extLst>
        </xdr:cNvPr>
        <xdr:cNvSpPr txBox="1"/>
      </xdr:nvSpPr>
      <xdr:spPr>
        <a:xfrm>
          <a:off x="704850" y="4502467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ENCOURS DE</a:t>
          </a:r>
          <a:r>
            <a:rPr lang="fr-FR" sz="1300" b="1" baseline="0">
              <a:latin typeface="Arial" panose="020B0604020202020204" pitchFamily="34" charset="0"/>
              <a:cs typeface="Arial" panose="020B0604020202020204" pitchFamily="34" charset="0"/>
            </a:rPr>
            <a:t> CREDITS</a:t>
          </a:r>
          <a:endParaRPr lang="fr-FR" sz="1300" b="1">
            <a:latin typeface="Arial" panose="020B0604020202020204" pitchFamily="34" charset="0"/>
            <a:cs typeface="Arial" panose="020B0604020202020204" pitchFamily="34" charset="0"/>
          </a:endParaRPr>
        </a:p>
      </xdr:txBody>
    </xdr:sp>
    <xdr:clientData/>
  </xdr:twoCellAnchor>
  <xdr:twoCellAnchor>
    <xdr:from>
      <xdr:col>3</xdr:col>
      <xdr:colOff>0</xdr:colOff>
      <xdr:row>620</xdr:row>
      <xdr:rowOff>0</xdr:rowOff>
    </xdr:from>
    <xdr:to>
      <xdr:col>8</xdr:col>
      <xdr:colOff>610800</xdr:colOff>
      <xdr:row>634</xdr:row>
      <xdr:rowOff>88725</xdr:rowOff>
    </xdr:to>
    <xdr:graphicFrame macro="">
      <xdr:nvGraphicFramePr>
        <xdr:cNvPr id="260" name="Graphique 259">
          <a:extLst>
            <a:ext uri="{FF2B5EF4-FFF2-40B4-BE49-F238E27FC236}">
              <a16:creationId xmlns:a16="http://schemas.microsoft.com/office/drawing/2014/main" id="{00000000-0008-0000-0200-000004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655320</xdr:colOff>
      <xdr:row>620</xdr:row>
      <xdr:rowOff>0</xdr:rowOff>
    </xdr:from>
    <xdr:to>
      <xdr:col>14</xdr:col>
      <xdr:colOff>504120</xdr:colOff>
      <xdr:row>634</xdr:row>
      <xdr:rowOff>88725</xdr:rowOff>
    </xdr:to>
    <xdr:graphicFrame macro="">
      <xdr:nvGraphicFramePr>
        <xdr:cNvPr id="261" name="Graphique 260">
          <a:extLst>
            <a:ext uri="{FF2B5EF4-FFF2-40B4-BE49-F238E27FC236}">
              <a16:creationId xmlns:a16="http://schemas.microsoft.com/office/drawing/2014/main" id="{00000000-0008-0000-0200-000005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0</xdr:colOff>
      <xdr:row>635</xdr:row>
      <xdr:rowOff>15240</xdr:rowOff>
    </xdr:from>
    <xdr:to>
      <xdr:col>8</xdr:col>
      <xdr:colOff>610800</xdr:colOff>
      <xdr:row>650</xdr:row>
      <xdr:rowOff>75390</xdr:rowOff>
    </xdr:to>
    <xdr:graphicFrame macro="">
      <xdr:nvGraphicFramePr>
        <xdr:cNvPr id="262" name="Graphique 261">
          <a:extLst>
            <a:ext uri="{FF2B5EF4-FFF2-40B4-BE49-F238E27FC236}">
              <a16:creationId xmlns:a16="http://schemas.microsoft.com/office/drawing/2014/main" id="{00000000-0008-0000-0200-000006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657496</xdr:colOff>
      <xdr:row>635</xdr:row>
      <xdr:rowOff>0</xdr:rowOff>
    </xdr:from>
    <xdr:to>
      <xdr:col>14</xdr:col>
      <xdr:colOff>506296</xdr:colOff>
      <xdr:row>650</xdr:row>
      <xdr:rowOff>60150</xdr:rowOff>
    </xdr:to>
    <xdr:graphicFrame macro="">
      <xdr:nvGraphicFramePr>
        <xdr:cNvPr id="263" name="Graphique 262">
          <a:extLst>
            <a:ext uri="{FF2B5EF4-FFF2-40B4-BE49-F238E27FC236}">
              <a16:creationId xmlns:a16="http://schemas.microsoft.com/office/drawing/2014/main" id="{00000000-0008-0000-0200-000007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731716</xdr:colOff>
      <xdr:row>627</xdr:row>
      <xdr:rowOff>180000</xdr:rowOff>
    </xdr:from>
    <xdr:to>
      <xdr:col>7</xdr:col>
      <xdr:colOff>518035</xdr:colOff>
      <xdr:row>629</xdr:row>
      <xdr:rowOff>136778</xdr:rowOff>
    </xdr:to>
    <xdr:sp macro="" textlink="'Tableau détaillé'!$H$20">
      <xdr:nvSpPr>
        <xdr:cNvPr id="265" name="ZoneTexte 264">
          <a:extLst>
            <a:ext uri="{FF2B5EF4-FFF2-40B4-BE49-F238E27FC236}">
              <a16:creationId xmlns:a16="http://schemas.microsoft.com/office/drawing/2014/main" id="{00000000-0008-0000-0200-000009010000}"/>
            </a:ext>
          </a:extLst>
        </xdr:cNvPr>
        <xdr:cNvSpPr txBox="1"/>
      </xdr:nvSpPr>
      <xdr:spPr>
        <a:xfrm>
          <a:off x="3794956" y="102600420"/>
          <a:ext cx="571179" cy="3225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17BAF-38DB-4C91-ADAA-40EEB2ECAB34}" type="TxLink">
            <a:rPr lang="en-US" sz="1100" b="1" i="0" u="none" strike="noStrike">
              <a:solidFill>
                <a:srgbClr val="C00000"/>
              </a:solidFill>
              <a:latin typeface="Arial Narrow"/>
            </a:rPr>
            <a:pPr algn="ctr"/>
            <a:t>7,8%</a:t>
          </a:fld>
          <a:endParaRPr lang="fr-FR" sz="1100">
            <a:solidFill>
              <a:srgbClr val="C00000"/>
            </a:solidFill>
          </a:endParaRPr>
        </a:p>
      </xdr:txBody>
    </xdr:sp>
    <xdr:clientData/>
  </xdr:twoCellAnchor>
  <xdr:oneCellAnchor>
    <xdr:from>
      <xdr:col>1</xdr:col>
      <xdr:colOff>219075</xdr:colOff>
      <xdr:row>834</xdr:row>
      <xdr:rowOff>133350</xdr:rowOff>
    </xdr:from>
    <xdr:ext cx="1442508" cy="311900"/>
    <xdr:pic>
      <xdr:nvPicPr>
        <xdr:cNvPr id="266" name="Logo SG">
          <a:extLst>
            <a:ext uri="{FF2B5EF4-FFF2-40B4-BE49-F238E27FC236}">
              <a16:creationId xmlns:a16="http://schemas.microsoft.com/office/drawing/2014/main" id="{00000000-0008-0000-0200-00000A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58769250"/>
          <a:ext cx="1442508" cy="311900"/>
        </a:xfrm>
        <a:prstGeom prst="rect">
          <a:avLst/>
        </a:prstGeom>
      </xdr:spPr>
    </xdr:pic>
    <xdr:clientData/>
  </xdr:oneCellAnchor>
  <xdr:twoCellAnchor>
    <xdr:from>
      <xdr:col>3</xdr:col>
      <xdr:colOff>19050</xdr:colOff>
      <xdr:row>801</xdr:row>
      <xdr:rowOff>85725</xdr:rowOff>
    </xdr:from>
    <xdr:to>
      <xdr:col>14</xdr:col>
      <xdr:colOff>295275</xdr:colOff>
      <xdr:row>802</xdr:row>
      <xdr:rowOff>104775</xdr:rowOff>
    </xdr:to>
    <xdr:sp macro="" textlink="">
      <xdr:nvSpPr>
        <xdr:cNvPr id="267" name="ZoneTexte 266">
          <a:extLst>
            <a:ext uri="{FF2B5EF4-FFF2-40B4-BE49-F238E27FC236}">
              <a16:creationId xmlns:a16="http://schemas.microsoft.com/office/drawing/2014/main" id="{00000000-0008-0000-0200-00000B010000}"/>
            </a:ext>
          </a:extLst>
        </xdr:cNvPr>
        <xdr:cNvSpPr txBox="1"/>
      </xdr:nvSpPr>
      <xdr:spPr>
        <a:xfrm>
          <a:off x="704850" y="5243512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COLLECTE DE</a:t>
          </a:r>
          <a:r>
            <a:rPr lang="fr-FR" sz="1300" b="1" baseline="0">
              <a:latin typeface="Arial" panose="020B0604020202020204" pitchFamily="34" charset="0"/>
              <a:cs typeface="Arial" panose="020B0604020202020204" pitchFamily="34" charset="0"/>
            </a:rPr>
            <a:t> DEPÔTS</a:t>
          </a:r>
          <a:endParaRPr lang="fr-FR" sz="1300" b="1">
            <a:latin typeface="Arial" panose="020B0604020202020204" pitchFamily="34" charset="0"/>
            <a:cs typeface="Arial" panose="020B0604020202020204" pitchFamily="34" charset="0"/>
          </a:endParaRPr>
        </a:p>
      </xdr:txBody>
    </xdr:sp>
    <xdr:clientData/>
  </xdr:twoCellAnchor>
  <xdr:twoCellAnchor>
    <xdr:from>
      <xdr:col>5</xdr:col>
      <xdr:colOff>557231</xdr:colOff>
      <xdr:row>637</xdr:row>
      <xdr:rowOff>104549</xdr:rowOff>
    </xdr:from>
    <xdr:to>
      <xdr:col>6</xdr:col>
      <xdr:colOff>399067</xdr:colOff>
      <xdr:row>639</xdr:row>
      <xdr:rowOff>61328</xdr:rowOff>
    </xdr:to>
    <xdr:sp macro="" textlink="'Tableau détaillé'!$I$20">
      <xdr:nvSpPr>
        <xdr:cNvPr id="275" name="ZoneTexte 274">
          <a:extLst>
            <a:ext uri="{FF2B5EF4-FFF2-40B4-BE49-F238E27FC236}">
              <a16:creationId xmlns:a16="http://schemas.microsoft.com/office/drawing/2014/main" id="{00000000-0008-0000-0200-000013010000}"/>
            </a:ext>
          </a:extLst>
        </xdr:cNvPr>
        <xdr:cNvSpPr txBox="1"/>
      </xdr:nvSpPr>
      <xdr:spPr>
        <a:xfrm>
          <a:off x="2835611" y="104353769"/>
          <a:ext cx="626696" cy="322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E69F99-9D23-48FA-B36C-3D631EB84F21}" type="TxLink">
            <a:rPr lang="en-US" sz="1100" b="1" i="0" u="none" strike="noStrike">
              <a:solidFill>
                <a:srgbClr val="C00000"/>
              </a:solidFill>
              <a:latin typeface="Arial Narrow"/>
            </a:rPr>
            <a:pPr algn="ctr"/>
            <a:t>7,8%</a:t>
          </a:fld>
          <a:endParaRPr lang="fr-FR" sz="1100">
            <a:solidFill>
              <a:srgbClr val="C00000"/>
            </a:solidFill>
          </a:endParaRPr>
        </a:p>
      </xdr:txBody>
    </xdr:sp>
    <xdr:clientData/>
  </xdr:twoCellAnchor>
  <xdr:twoCellAnchor>
    <xdr:from>
      <xdr:col>3</xdr:col>
      <xdr:colOff>0</xdr:colOff>
      <xdr:row>802</xdr:row>
      <xdr:rowOff>190499</xdr:rowOff>
    </xdr:from>
    <xdr:to>
      <xdr:col>8</xdr:col>
      <xdr:colOff>610800</xdr:colOff>
      <xdr:row>817</xdr:row>
      <xdr:rowOff>88724</xdr:rowOff>
    </xdr:to>
    <xdr:graphicFrame macro="">
      <xdr:nvGraphicFramePr>
        <xdr:cNvPr id="276" name="Graphique 275">
          <a:extLst>
            <a:ext uri="{FF2B5EF4-FFF2-40B4-BE49-F238E27FC236}">
              <a16:creationId xmlns:a16="http://schemas.microsoft.com/office/drawing/2014/main" id="{00000000-0008-0000-0200-000014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671223</xdr:colOff>
      <xdr:row>803</xdr:row>
      <xdr:rowOff>7619</xdr:rowOff>
    </xdr:from>
    <xdr:to>
      <xdr:col>14</xdr:col>
      <xdr:colOff>520023</xdr:colOff>
      <xdr:row>817</xdr:row>
      <xdr:rowOff>96344</xdr:rowOff>
    </xdr:to>
    <xdr:graphicFrame macro="">
      <xdr:nvGraphicFramePr>
        <xdr:cNvPr id="277" name="Graphique 276">
          <a:extLst>
            <a:ext uri="{FF2B5EF4-FFF2-40B4-BE49-F238E27FC236}">
              <a16:creationId xmlns:a16="http://schemas.microsoft.com/office/drawing/2014/main" id="{00000000-0008-0000-0200-000015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100421</xdr:colOff>
      <xdr:row>818</xdr:row>
      <xdr:rowOff>24219</xdr:rowOff>
    </xdr:from>
    <xdr:to>
      <xdr:col>8</xdr:col>
      <xdr:colOff>606446</xdr:colOff>
      <xdr:row>833</xdr:row>
      <xdr:rowOff>84369</xdr:rowOff>
    </xdr:to>
    <xdr:graphicFrame macro="">
      <xdr:nvGraphicFramePr>
        <xdr:cNvPr id="278" name="Graphique 277">
          <a:extLst>
            <a:ext uri="{FF2B5EF4-FFF2-40B4-BE49-F238E27FC236}">
              <a16:creationId xmlns:a16="http://schemas.microsoft.com/office/drawing/2014/main" id="{00000000-0008-0000-0200-000016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681717</xdr:colOff>
      <xdr:row>818</xdr:row>
      <xdr:rowOff>28029</xdr:rowOff>
    </xdr:from>
    <xdr:to>
      <xdr:col>14</xdr:col>
      <xdr:colOff>530517</xdr:colOff>
      <xdr:row>833</xdr:row>
      <xdr:rowOff>88179</xdr:rowOff>
    </xdr:to>
    <xdr:graphicFrame macro="">
      <xdr:nvGraphicFramePr>
        <xdr:cNvPr id="279" name="Graphique 278">
          <a:extLst>
            <a:ext uri="{FF2B5EF4-FFF2-40B4-BE49-F238E27FC236}">
              <a16:creationId xmlns:a16="http://schemas.microsoft.com/office/drawing/2014/main" id="{00000000-0008-0000-0200-000017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xdr:col>
      <xdr:colOff>221637</xdr:colOff>
      <xdr:row>805</xdr:row>
      <xdr:rowOff>186245</xdr:rowOff>
    </xdr:from>
    <xdr:to>
      <xdr:col>8</xdr:col>
      <xdr:colOff>31863</xdr:colOff>
      <xdr:row>807</xdr:row>
      <xdr:rowOff>142702</xdr:rowOff>
    </xdr:to>
    <xdr:sp macro="" textlink="'Tableau détaillé'!$H$52">
      <xdr:nvSpPr>
        <xdr:cNvPr id="281" name="ZoneTexte 280">
          <a:extLst>
            <a:ext uri="{FF2B5EF4-FFF2-40B4-BE49-F238E27FC236}">
              <a16:creationId xmlns:a16="http://schemas.microsoft.com/office/drawing/2014/main" id="{00000000-0008-0000-0200-000019010000}"/>
            </a:ext>
          </a:extLst>
        </xdr:cNvPr>
        <xdr:cNvSpPr txBox="1"/>
      </xdr:nvSpPr>
      <xdr:spPr>
        <a:xfrm>
          <a:off x="4082437" y="132240845"/>
          <a:ext cx="597626" cy="32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481C89-8379-4A3B-8D62-9B066DB29325}" type="TxLink">
            <a:rPr lang="en-US" sz="1100" b="1" i="0" u="none" strike="noStrike">
              <a:solidFill>
                <a:srgbClr val="C00000"/>
              </a:solidFill>
              <a:latin typeface="Arial Narrow"/>
            </a:rPr>
            <a:pPr algn="ctr"/>
            <a:t>5,0%</a:t>
          </a:fld>
          <a:endParaRPr lang="fr-FR" sz="1100">
            <a:solidFill>
              <a:srgbClr val="C00000"/>
            </a:solidFill>
          </a:endParaRPr>
        </a:p>
      </xdr:txBody>
    </xdr:sp>
    <xdr:clientData/>
  </xdr:twoCellAnchor>
  <xdr:twoCellAnchor>
    <xdr:from>
      <xdr:col>5</xdr:col>
      <xdr:colOff>368217</xdr:colOff>
      <xdr:row>821</xdr:row>
      <xdr:rowOff>94842</xdr:rowOff>
    </xdr:from>
    <xdr:to>
      <xdr:col>6</xdr:col>
      <xdr:colOff>177396</xdr:colOff>
      <xdr:row>823</xdr:row>
      <xdr:rowOff>39871</xdr:rowOff>
    </xdr:to>
    <xdr:sp macro="" textlink="'Tableau détaillé'!$I$52">
      <xdr:nvSpPr>
        <xdr:cNvPr id="283" name="ZoneTexte 282">
          <a:extLst>
            <a:ext uri="{FF2B5EF4-FFF2-40B4-BE49-F238E27FC236}">
              <a16:creationId xmlns:a16="http://schemas.microsoft.com/office/drawing/2014/main" id="{00000000-0008-0000-0200-00001B010000}"/>
            </a:ext>
          </a:extLst>
        </xdr:cNvPr>
        <xdr:cNvSpPr txBox="1"/>
      </xdr:nvSpPr>
      <xdr:spPr>
        <a:xfrm>
          <a:off x="2654217" y="135129709"/>
          <a:ext cx="596579" cy="317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735D97-0CBD-40C2-9852-77BCC66E3CEC}" type="TxLink">
            <a:rPr lang="en-US" sz="1100" b="1" i="0" u="none" strike="noStrike">
              <a:solidFill>
                <a:srgbClr val="C00000"/>
              </a:solidFill>
              <a:latin typeface="Arial Narrow"/>
            </a:rPr>
            <a:pPr algn="ctr"/>
            <a:t>5,0%</a:t>
          </a:fld>
          <a:endParaRPr lang="fr-FR" sz="1100">
            <a:solidFill>
              <a:srgbClr val="C00000"/>
            </a:solidFill>
          </a:endParaRPr>
        </a:p>
      </xdr:txBody>
    </xdr:sp>
    <xdr:clientData/>
  </xdr:twoCellAnchor>
  <xdr:oneCellAnchor>
    <xdr:from>
      <xdr:col>1</xdr:col>
      <xdr:colOff>219075</xdr:colOff>
      <xdr:row>914</xdr:row>
      <xdr:rowOff>133350</xdr:rowOff>
    </xdr:from>
    <xdr:ext cx="1442508" cy="311900"/>
    <xdr:pic>
      <xdr:nvPicPr>
        <xdr:cNvPr id="284" name="Logo SG">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58769250"/>
          <a:ext cx="1442508" cy="311900"/>
        </a:xfrm>
        <a:prstGeom prst="rect">
          <a:avLst/>
        </a:prstGeom>
      </xdr:spPr>
    </xdr:pic>
    <xdr:clientData/>
  </xdr:oneCellAnchor>
  <xdr:twoCellAnchor>
    <xdr:from>
      <xdr:col>3</xdr:col>
      <xdr:colOff>19050</xdr:colOff>
      <xdr:row>881</xdr:row>
      <xdr:rowOff>85725</xdr:rowOff>
    </xdr:from>
    <xdr:to>
      <xdr:col>14</xdr:col>
      <xdr:colOff>295275</xdr:colOff>
      <xdr:row>882</xdr:row>
      <xdr:rowOff>104775</xdr:rowOff>
    </xdr:to>
    <xdr:sp macro="" textlink="">
      <xdr:nvSpPr>
        <xdr:cNvPr id="285" name="ZoneTexte 284">
          <a:extLst>
            <a:ext uri="{FF2B5EF4-FFF2-40B4-BE49-F238E27FC236}">
              <a16:creationId xmlns:a16="http://schemas.microsoft.com/office/drawing/2014/main" id="{00000000-0008-0000-0200-00001D010000}"/>
            </a:ext>
          </a:extLst>
        </xdr:cNvPr>
        <xdr:cNvSpPr txBox="1"/>
      </xdr:nvSpPr>
      <xdr:spPr>
        <a:xfrm>
          <a:off x="704850" y="5243512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baseline="0">
              <a:latin typeface="Arial" panose="020B0604020202020204" pitchFamily="34" charset="0"/>
              <a:cs typeface="Arial" panose="020B0604020202020204" pitchFamily="34" charset="0"/>
            </a:rPr>
            <a:t>EQUIPEMENT CAV </a:t>
          </a:r>
          <a:endParaRPr lang="fr-FR" sz="1300" b="1">
            <a:latin typeface="Arial" panose="020B0604020202020204" pitchFamily="34" charset="0"/>
            <a:cs typeface="Arial" panose="020B0604020202020204" pitchFamily="34" charset="0"/>
          </a:endParaRPr>
        </a:p>
      </xdr:txBody>
    </xdr:sp>
    <xdr:clientData/>
  </xdr:twoCellAnchor>
  <xdr:twoCellAnchor>
    <xdr:from>
      <xdr:col>2</xdr:col>
      <xdr:colOff>76201</xdr:colOff>
      <xdr:row>882</xdr:row>
      <xdr:rowOff>158115</xdr:rowOff>
    </xdr:from>
    <xdr:to>
      <xdr:col>8</xdr:col>
      <xdr:colOff>560626</xdr:colOff>
      <xdr:row>897</xdr:row>
      <xdr:rowOff>31140</xdr:rowOff>
    </xdr:to>
    <xdr:graphicFrame macro="">
      <xdr:nvGraphicFramePr>
        <xdr:cNvPr id="300" name="Graphique 299">
          <a:extLst>
            <a:ext uri="{FF2B5EF4-FFF2-40B4-BE49-F238E27FC236}">
              <a16:creationId xmlns:a16="http://schemas.microsoft.com/office/drawing/2014/main" id="{00000000-0008-0000-0200-00002C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658570</xdr:colOff>
      <xdr:row>882</xdr:row>
      <xdr:rowOff>161925</xdr:rowOff>
    </xdr:from>
    <xdr:to>
      <xdr:col>14</xdr:col>
      <xdr:colOff>409570</xdr:colOff>
      <xdr:row>897</xdr:row>
      <xdr:rowOff>34950</xdr:rowOff>
    </xdr:to>
    <xdr:graphicFrame macro="">
      <xdr:nvGraphicFramePr>
        <xdr:cNvPr id="301" name="Graphique 300">
          <a:extLst>
            <a:ext uri="{FF2B5EF4-FFF2-40B4-BE49-F238E27FC236}">
              <a16:creationId xmlns:a16="http://schemas.microsoft.com/office/drawing/2014/main" id="{00000000-0008-0000-0200-00002D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oneCellAnchor>
    <xdr:from>
      <xdr:col>1</xdr:col>
      <xdr:colOff>219075</xdr:colOff>
      <xdr:row>994</xdr:row>
      <xdr:rowOff>133350</xdr:rowOff>
    </xdr:from>
    <xdr:ext cx="1442508" cy="311900"/>
    <xdr:pic>
      <xdr:nvPicPr>
        <xdr:cNvPr id="306" name="Logo SG">
          <a:extLst>
            <a:ext uri="{FF2B5EF4-FFF2-40B4-BE49-F238E27FC236}">
              <a16:creationId xmlns:a16="http://schemas.microsoft.com/office/drawing/2014/main" id="{00000000-0008-0000-0200-000032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73590150"/>
          <a:ext cx="1442508" cy="311900"/>
        </a:xfrm>
        <a:prstGeom prst="rect">
          <a:avLst/>
        </a:prstGeom>
      </xdr:spPr>
    </xdr:pic>
    <xdr:clientData/>
  </xdr:oneCellAnchor>
  <xdr:twoCellAnchor>
    <xdr:from>
      <xdr:col>3</xdr:col>
      <xdr:colOff>19050</xdr:colOff>
      <xdr:row>961</xdr:row>
      <xdr:rowOff>85725</xdr:rowOff>
    </xdr:from>
    <xdr:to>
      <xdr:col>14</xdr:col>
      <xdr:colOff>295275</xdr:colOff>
      <xdr:row>962</xdr:row>
      <xdr:rowOff>104775</xdr:rowOff>
    </xdr:to>
    <xdr:sp macro="" textlink="">
      <xdr:nvSpPr>
        <xdr:cNvPr id="307" name="ZoneTexte 306">
          <a:extLst>
            <a:ext uri="{FF2B5EF4-FFF2-40B4-BE49-F238E27FC236}">
              <a16:creationId xmlns:a16="http://schemas.microsoft.com/office/drawing/2014/main" id="{00000000-0008-0000-0200-000033010000}"/>
            </a:ext>
          </a:extLst>
        </xdr:cNvPr>
        <xdr:cNvSpPr txBox="1"/>
      </xdr:nvSpPr>
      <xdr:spPr>
        <a:xfrm>
          <a:off x="704850" y="6725602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baseline="0">
              <a:latin typeface="Arial" panose="020B0604020202020204" pitchFamily="34" charset="0"/>
              <a:cs typeface="Arial" panose="020B0604020202020204" pitchFamily="34" charset="0"/>
            </a:rPr>
            <a:t>EQUIPEMENT BANQUE A DISTANCE PARMIS LES CLIENTS CAV</a:t>
          </a:r>
          <a:endParaRPr lang="fr-FR" sz="1300" b="1">
            <a:latin typeface="Arial" panose="020B0604020202020204" pitchFamily="34" charset="0"/>
            <a:cs typeface="Arial" panose="020B0604020202020204" pitchFamily="34" charset="0"/>
          </a:endParaRPr>
        </a:p>
      </xdr:txBody>
    </xdr:sp>
    <xdr:clientData/>
  </xdr:twoCellAnchor>
  <xdr:twoCellAnchor>
    <xdr:from>
      <xdr:col>3</xdr:col>
      <xdr:colOff>0</xdr:colOff>
      <xdr:row>978</xdr:row>
      <xdr:rowOff>57150</xdr:rowOff>
    </xdr:from>
    <xdr:to>
      <xdr:col>8</xdr:col>
      <xdr:colOff>588085</xdr:colOff>
      <xdr:row>993</xdr:row>
      <xdr:rowOff>30900</xdr:rowOff>
    </xdr:to>
    <xdr:graphicFrame macro="">
      <xdr:nvGraphicFramePr>
        <xdr:cNvPr id="318" name="Graphique 317">
          <a:extLst>
            <a:ext uri="{FF2B5EF4-FFF2-40B4-BE49-F238E27FC236}">
              <a16:creationId xmlns:a16="http://schemas.microsoft.com/office/drawing/2014/main" id="{00000000-0008-0000-0200-00003E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656665</xdr:colOff>
      <xdr:row>978</xdr:row>
      <xdr:rowOff>57150</xdr:rowOff>
    </xdr:from>
    <xdr:to>
      <xdr:col>14</xdr:col>
      <xdr:colOff>486335</xdr:colOff>
      <xdr:row>993</xdr:row>
      <xdr:rowOff>30900</xdr:rowOff>
    </xdr:to>
    <xdr:graphicFrame macro="">
      <xdr:nvGraphicFramePr>
        <xdr:cNvPr id="319" name="Graphique 318">
          <a:extLst>
            <a:ext uri="{FF2B5EF4-FFF2-40B4-BE49-F238E27FC236}">
              <a16:creationId xmlns:a16="http://schemas.microsoft.com/office/drawing/2014/main" id="{00000000-0008-0000-0200-00003F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11</xdr:col>
      <xdr:colOff>413555</xdr:colOff>
      <xdr:row>984</xdr:row>
      <xdr:rowOff>61883</xdr:rowOff>
    </xdr:from>
    <xdr:to>
      <xdr:col>12</xdr:col>
      <xdr:colOff>256603</xdr:colOff>
      <xdr:row>986</xdr:row>
      <xdr:rowOff>9312</xdr:rowOff>
    </xdr:to>
    <xdr:sp macro="" textlink="'Tableau détaillé'!$H$132">
      <xdr:nvSpPr>
        <xdr:cNvPr id="321" name="ZoneTexte 38">
          <a:extLst>
            <a:ext uri="{FF2B5EF4-FFF2-40B4-BE49-F238E27FC236}">
              <a16:creationId xmlns:a16="http://schemas.microsoft.com/office/drawing/2014/main" id="{00000000-0008-0000-0200-000041010000}"/>
            </a:ext>
          </a:extLst>
        </xdr:cNvPr>
        <xdr:cNvSpPr txBox="1"/>
      </xdr:nvSpPr>
      <xdr:spPr>
        <a:xfrm>
          <a:off x="7423955" y="164679283"/>
          <a:ext cx="630448" cy="319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7F55BC77-093C-450A-BCFC-1AF65CFFFBA5}" type="TxLink">
            <a:rPr lang="en-US" sz="1100" b="1" i="0" u="none" strike="noStrike">
              <a:solidFill>
                <a:srgbClr val="C00000"/>
              </a:solidFill>
              <a:latin typeface="Arial Narrow"/>
            </a:rPr>
            <a:pPr algn="ctr"/>
            <a:t>-0,4 pts</a:t>
          </a:fld>
          <a:endParaRPr lang="fr-FR" sz="1100">
            <a:solidFill>
              <a:srgbClr val="C00000"/>
            </a:solidFill>
          </a:endParaRPr>
        </a:p>
      </xdr:txBody>
    </xdr:sp>
    <xdr:clientData/>
  </xdr:twoCellAnchor>
  <xdr:twoCellAnchor>
    <xdr:from>
      <xdr:col>7</xdr:col>
      <xdr:colOff>403198</xdr:colOff>
      <xdr:row>982</xdr:row>
      <xdr:rowOff>124873</xdr:rowOff>
    </xdr:from>
    <xdr:to>
      <xdr:col>8</xdr:col>
      <xdr:colOff>454575</xdr:colOff>
      <xdr:row>984</xdr:row>
      <xdr:rowOff>105005</xdr:rowOff>
    </xdr:to>
    <xdr:sp macro="" textlink="'Tableau détaillé'!$H$132">
      <xdr:nvSpPr>
        <xdr:cNvPr id="322" name="ZoneTexte 38">
          <a:extLst>
            <a:ext uri="{FF2B5EF4-FFF2-40B4-BE49-F238E27FC236}">
              <a16:creationId xmlns:a16="http://schemas.microsoft.com/office/drawing/2014/main" id="{00000000-0008-0000-0200-000042010000}"/>
            </a:ext>
          </a:extLst>
        </xdr:cNvPr>
        <xdr:cNvSpPr txBox="1"/>
      </xdr:nvSpPr>
      <xdr:spPr>
        <a:xfrm>
          <a:off x="4133823" y="167582311"/>
          <a:ext cx="813377" cy="361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7F55BC77-093C-450A-BCFC-1AF65CFFFBA5}" type="TxLink">
            <a:rPr lang="en-US" sz="1100" b="1" i="0" u="none" strike="noStrike">
              <a:solidFill>
                <a:srgbClr val="C00000"/>
              </a:solidFill>
              <a:latin typeface="Arial Narrow"/>
            </a:rPr>
            <a:pPr algn="ctr"/>
            <a:t>-0,4 pts</a:t>
          </a:fld>
          <a:endParaRPr lang="fr-FR" sz="1100">
            <a:solidFill>
              <a:srgbClr val="C00000"/>
            </a:solidFill>
          </a:endParaRPr>
        </a:p>
      </xdr:txBody>
    </xdr:sp>
    <xdr:clientData/>
  </xdr:twoCellAnchor>
  <xdr:oneCellAnchor>
    <xdr:from>
      <xdr:col>1</xdr:col>
      <xdr:colOff>219075</xdr:colOff>
      <xdr:row>1114</xdr:row>
      <xdr:rowOff>133350</xdr:rowOff>
    </xdr:from>
    <xdr:ext cx="1442508" cy="311900"/>
    <xdr:pic>
      <xdr:nvPicPr>
        <xdr:cNvPr id="328" name="Logo SG">
          <a:extLst>
            <a:ext uri="{FF2B5EF4-FFF2-40B4-BE49-F238E27FC236}">
              <a16:creationId xmlns:a16="http://schemas.microsoft.com/office/drawing/2014/main" id="{00000000-0008-0000-0200-000048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81000600"/>
          <a:ext cx="1442508" cy="311900"/>
        </a:xfrm>
        <a:prstGeom prst="rect">
          <a:avLst/>
        </a:prstGeom>
      </xdr:spPr>
    </xdr:pic>
    <xdr:clientData/>
  </xdr:oneCellAnchor>
  <xdr:twoCellAnchor>
    <xdr:from>
      <xdr:col>3</xdr:col>
      <xdr:colOff>19050</xdr:colOff>
      <xdr:row>1081</xdr:row>
      <xdr:rowOff>85725</xdr:rowOff>
    </xdr:from>
    <xdr:to>
      <xdr:col>14</xdr:col>
      <xdr:colOff>295275</xdr:colOff>
      <xdr:row>1082</xdr:row>
      <xdr:rowOff>104775</xdr:rowOff>
    </xdr:to>
    <xdr:sp macro="" textlink="">
      <xdr:nvSpPr>
        <xdr:cNvPr id="329" name="ZoneTexte 328">
          <a:extLst>
            <a:ext uri="{FF2B5EF4-FFF2-40B4-BE49-F238E27FC236}">
              <a16:creationId xmlns:a16="http://schemas.microsoft.com/office/drawing/2014/main" id="{00000000-0008-0000-0200-000049010000}"/>
            </a:ext>
          </a:extLst>
        </xdr:cNvPr>
        <xdr:cNvSpPr txBox="1"/>
      </xdr:nvSpPr>
      <xdr:spPr>
        <a:xfrm>
          <a:off x="704850" y="7466647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baseline="0">
              <a:latin typeface="Arial" panose="020B0604020202020204" pitchFamily="34" charset="0"/>
              <a:cs typeface="Arial" panose="020B0604020202020204" pitchFamily="34" charset="0"/>
            </a:rPr>
            <a:t>PNB YTD GLOBAL ET PAR CLIENTS ACTIFS</a:t>
          </a:r>
          <a:endParaRPr lang="fr-FR" sz="1300" b="1">
            <a:latin typeface="Arial" panose="020B0604020202020204" pitchFamily="34" charset="0"/>
            <a:cs typeface="Arial" panose="020B0604020202020204" pitchFamily="34" charset="0"/>
          </a:endParaRPr>
        </a:p>
      </xdr:txBody>
    </xdr:sp>
    <xdr:clientData/>
  </xdr:twoCellAnchor>
  <xdr:twoCellAnchor>
    <xdr:from>
      <xdr:col>2</xdr:col>
      <xdr:colOff>57150</xdr:colOff>
      <xdr:row>1097</xdr:row>
      <xdr:rowOff>137171</xdr:rowOff>
    </xdr:from>
    <xdr:to>
      <xdr:col>8</xdr:col>
      <xdr:colOff>561975</xdr:colOff>
      <xdr:row>1113</xdr:row>
      <xdr:rowOff>6821</xdr:rowOff>
    </xdr:to>
    <xdr:graphicFrame macro="">
      <xdr:nvGraphicFramePr>
        <xdr:cNvPr id="340" name="Graphique 339">
          <a:extLst>
            <a:ext uri="{FF2B5EF4-FFF2-40B4-BE49-F238E27FC236}">
              <a16:creationId xmlns:a16="http://schemas.microsoft.com/office/drawing/2014/main" id="{00000000-0008-0000-0200-000054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657860</xdr:colOff>
      <xdr:row>1097</xdr:row>
      <xdr:rowOff>174140</xdr:rowOff>
    </xdr:from>
    <xdr:to>
      <xdr:col>14</xdr:col>
      <xdr:colOff>505460</xdr:colOff>
      <xdr:row>1113</xdr:row>
      <xdr:rowOff>43790</xdr:rowOff>
    </xdr:to>
    <xdr:graphicFrame macro="">
      <xdr:nvGraphicFramePr>
        <xdr:cNvPr id="341" name="Graphique 340">
          <a:extLst>
            <a:ext uri="{FF2B5EF4-FFF2-40B4-BE49-F238E27FC236}">
              <a16:creationId xmlns:a16="http://schemas.microsoft.com/office/drawing/2014/main" id="{00000000-0008-0000-0200-000055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xdr:col>
      <xdr:colOff>57150</xdr:colOff>
      <xdr:row>1082</xdr:row>
      <xdr:rowOff>159023</xdr:rowOff>
    </xdr:from>
    <xdr:to>
      <xdr:col>8</xdr:col>
      <xdr:colOff>561975</xdr:colOff>
      <xdr:row>1097</xdr:row>
      <xdr:rowOff>57248</xdr:rowOff>
    </xdr:to>
    <xdr:graphicFrame macro="">
      <xdr:nvGraphicFramePr>
        <xdr:cNvPr id="342" name="Graphique 341">
          <a:extLst>
            <a:ext uri="{FF2B5EF4-FFF2-40B4-BE49-F238E27FC236}">
              <a16:creationId xmlns:a16="http://schemas.microsoft.com/office/drawing/2014/main" id="{00000000-0008-0000-0200-000056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632460</xdr:colOff>
      <xdr:row>1082</xdr:row>
      <xdr:rowOff>164242</xdr:rowOff>
    </xdr:from>
    <xdr:to>
      <xdr:col>14</xdr:col>
      <xdr:colOff>480060</xdr:colOff>
      <xdr:row>1097</xdr:row>
      <xdr:rowOff>62467</xdr:rowOff>
    </xdr:to>
    <xdr:graphicFrame macro="">
      <xdr:nvGraphicFramePr>
        <xdr:cNvPr id="343" name="Graphique 342">
          <a:extLst>
            <a:ext uri="{FF2B5EF4-FFF2-40B4-BE49-F238E27FC236}">
              <a16:creationId xmlns:a16="http://schemas.microsoft.com/office/drawing/2014/main" id="{00000000-0008-0000-0200-000057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oneCellAnchor>
    <xdr:from>
      <xdr:col>1</xdr:col>
      <xdr:colOff>219075</xdr:colOff>
      <xdr:row>691</xdr:row>
      <xdr:rowOff>133350</xdr:rowOff>
    </xdr:from>
    <xdr:ext cx="1442508" cy="311900"/>
    <xdr:pic>
      <xdr:nvPicPr>
        <xdr:cNvPr id="344" name="Logo SG">
          <a:extLst>
            <a:ext uri="{FF2B5EF4-FFF2-40B4-BE49-F238E27FC236}">
              <a16:creationId xmlns:a16="http://schemas.microsoft.com/office/drawing/2014/main" id="{00000000-0008-0000-0200-000058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58769250"/>
          <a:ext cx="1442508" cy="311900"/>
        </a:xfrm>
        <a:prstGeom prst="rect">
          <a:avLst/>
        </a:prstGeom>
      </xdr:spPr>
    </xdr:pic>
    <xdr:clientData/>
  </xdr:oneCellAnchor>
  <xdr:twoCellAnchor>
    <xdr:from>
      <xdr:col>3</xdr:col>
      <xdr:colOff>19050</xdr:colOff>
      <xdr:row>658</xdr:row>
      <xdr:rowOff>85725</xdr:rowOff>
    </xdr:from>
    <xdr:to>
      <xdr:col>14</xdr:col>
      <xdr:colOff>295275</xdr:colOff>
      <xdr:row>659</xdr:row>
      <xdr:rowOff>104775</xdr:rowOff>
    </xdr:to>
    <xdr:sp macro="" textlink="">
      <xdr:nvSpPr>
        <xdr:cNvPr id="345" name="ZoneTexte 344">
          <a:extLst>
            <a:ext uri="{FF2B5EF4-FFF2-40B4-BE49-F238E27FC236}">
              <a16:creationId xmlns:a16="http://schemas.microsoft.com/office/drawing/2014/main" id="{00000000-0008-0000-0200-000059010000}"/>
            </a:ext>
          </a:extLst>
        </xdr:cNvPr>
        <xdr:cNvSpPr txBox="1"/>
      </xdr:nvSpPr>
      <xdr:spPr>
        <a:xfrm>
          <a:off x="704850" y="5243512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EQUIPEMENTS EN</a:t>
          </a:r>
          <a:r>
            <a:rPr lang="fr-FR" sz="1300" b="1" baseline="0">
              <a:latin typeface="Arial" panose="020B0604020202020204" pitchFamily="34" charset="0"/>
              <a:cs typeface="Arial" panose="020B0604020202020204" pitchFamily="34" charset="0"/>
            </a:rPr>
            <a:t> CREDITS</a:t>
          </a:r>
          <a:endParaRPr lang="fr-FR" sz="1300" b="1">
            <a:latin typeface="Arial" panose="020B0604020202020204" pitchFamily="34" charset="0"/>
            <a:cs typeface="Arial" panose="020B0604020202020204" pitchFamily="34" charset="0"/>
          </a:endParaRPr>
        </a:p>
      </xdr:txBody>
    </xdr:sp>
    <xdr:clientData/>
  </xdr:twoCellAnchor>
  <xdr:twoCellAnchor>
    <xdr:from>
      <xdr:col>2</xdr:col>
      <xdr:colOff>28575</xdr:colOff>
      <xdr:row>675</xdr:row>
      <xdr:rowOff>9525</xdr:rowOff>
    </xdr:from>
    <xdr:to>
      <xdr:col>8</xdr:col>
      <xdr:colOff>511886</xdr:colOff>
      <xdr:row>689</xdr:row>
      <xdr:rowOff>78525</xdr:rowOff>
    </xdr:to>
    <xdr:graphicFrame macro="">
      <xdr:nvGraphicFramePr>
        <xdr:cNvPr id="354" name="Graphique 353">
          <a:extLst>
            <a:ext uri="{FF2B5EF4-FFF2-40B4-BE49-F238E27FC236}">
              <a16:creationId xmlns:a16="http://schemas.microsoft.com/office/drawing/2014/main" id="{00000000-0008-0000-0200-000062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8</xdr:col>
      <xdr:colOff>580465</xdr:colOff>
      <xdr:row>675</xdr:row>
      <xdr:rowOff>9525</xdr:rowOff>
    </xdr:from>
    <xdr:to>
      <xdr:col>14</xdr:col>
      <xdr:colOff>410135</xdr:colOff>
      <xdr:row>689</xdr:row>
      <xdr:rowOff>78525</xdr:rowOff>
    </xdr:to>
    <xdr:graphicFrame macro="">
      <xdr:nvGraphicFramePr>
        <xdr:cNvPr id="355" name="Graphique 354">
          <a:extLst>
            <a:ext uri="{FF2B5EF4-FFF2-40B4-BE49-F238E27FC236}">
              <a16:creationId xmlns:a16="http://schemas.microsoft.com/office/drawing/2014/main" id="{00000000-0008-0000-0200-000063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6</xdr:col>
      <xdr:colOff>537461</xdr:colOff>
      <xdr:row>682</xdr:row>
      <xdr:rowOff>931</xdr:rowOff>
    </xdr:from>
    <xdr:to>
      <xdr:col>7</xdr:col>
      <xdr:colOff>385061</xdr:colOff>
      <xdr:row>683</xdr:row>
      <xdr:rowOff>147889</xdr:rowOff>
    </xdr:to>
    <xdr:sp macro="" textlink="'Tableau détaillé'!$H$36">
      <xdr:nvSpPr>
        <xdr:cNvPr id="356" name="ZoneTexte 355">
          <a:extLst>
            <a:ext uri="{FF2B5EF4-FFF2-40B4-BE49-F238E27FC236}">
              <a16:creationId xmlns:a16="http://schemas.microsoft.com/office/drawing/2014/main" id="{00000000-0008-0000-0200-000064010000}"/>
            </a:ext>
          </a:extLst>
        </xdr:cNvPr>
        <xdr:cNvSpPr txBox="1"/>
      </xdr:nvSpPr>
      <xdr:spPr>
        <a:xfrm>
          <a:off x="3506086" y="123595744"/>
          <a:ext cx="609600" cy="337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ED8A2A-4B65-408D-884E-55ADCB36B595}" type="TxLink">
            <a:rPr lang="en-US" sz="1100" b="1" i="0" u="none" strike="noStrike">
              <a:solidFill>
                <a:srgbClr val="C00000"/>
              </a:solidFill>
              <a:latin typeface="Arial Narrow"/>
            </a:rPr>
            <a:pPr algn="ctr"/>
            <a:t>1,1 pts</a:t>
          </a:fld>
          <a:endParaRPr lang="fr-FR" sz="1100">
            <a:solidFill>
              <a:srgbClr val="C00000"/>
            </a:solidFill>
          </a:endParaRPr>
        </a:p>
      </xdr:txBody>
    </xdr:sp>
    <xdr:clientData/>
  </xdr:twoCellAnchor>
  <xdr:oneCellAnchor>
    <xdr:from>
      <xdr:col>1</xdr:col>
      <xdr:colOff>219075</xdr:colOff>
      <xdr:row>874</xdr:row>
      <xdr:rowOff>133350</xdr:rowOff>
    </xdr:from>
    <xdr:ext cx="1442508" cy="311900"/>
    <xdr:pic>
      <xdr:nvPicPr>
        <xdr:cNvPr id="358" name="Logo SG">
          <a:extLst>
            <a:ext uri="{FF2B5EF4-FFF2-40B4-BE49-F238E27FC236}">
              <a16:creationId xmlns:a16="http://schemas.microsoft.com/office/drawing/2014/main" id="{00000000-0008-0000-0200-000066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73590150"/>
          <a:ext cx="1442508" cy="311900"/>
        </a:xfrm>
        <a:prstGeom prst="rect">
          <a:avLst/>
        </a:prstGeom>
      </xdr:spPr>
    </xdr:pic>
    <xdr:clientData/>
  </xdr:oneCellAnchor>
  <xdr:twoCellAnchor>
    <xdr:from>
      <xdr:col>3</xdr:col>
      <xdr:colOff>19050</xdr:colOff>
      <xdr:row>841</xdr:row>
      <xdr:rowOff>85725</xdr:rowOff>
    </xdr:from>
    <xdr:to>
      <xdr:col>14</xdr:col>
      <xdr:colOff>295275</xdr:colOff>
      <xdr:row>842</xdr:row>
      <xdr:rowOff>104775</xdr:rowOff>
    </xdr:to>
    <xdr:sp macro="" textlink="">
      <xdr:nvSpPr>
        <xdr:cNvPr id="359" name="ZoneTexte 358">
          <a:extLst>
            <a:ext uri="{FF2B5EF4-FFF2-40B4-BE49-F238E27FC236}">
              <a16:creationId xmlns:a16="http://schemas.microsoft.com/office/drawing/2014/main" id="{00000000-0008-0000-0200-000067010000}"/>
            </a:ext>
          </a:extLst>
        </xdr:cNvPr>
        <xdr:cNvSpPr txBox="1"/>
      </xdr:nvSpPr>
      <xdr:spPr>
        <a:xfrm>
          <a:off x="704850" y="6725602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EQUIPEMENT EN EPARGNE ET PLACEMENT</a:t>
          </a:r>
        </a:p>
      </xdr:txBody>
    </xdr:sp>
    <xdr:clientData/>
  </xdr:twoCellAnchor>
  <xdr:twoCellAnchor>
    <xdr:from>
      <xdr:col>2</xdr:col>
      <xdr:colOff>28575</xdr:colOff>
      <xdr:row>858</xdr:row>
      <xdr:rowOff>0</xdr:rowOff>
    </xdr:from>
    <xdr:to>
      <xdr:col>8</xdr:col>
      <xdr:colOff>511886</xdr:colOff>
      <xdr:row>872</xdr:row>
      <xdr:rowOff>68999</xdr:rowOff>
    </xdr:to>
    <xdr:graphicFrame macro="">
      <xdr:nvGraphicFramePr>
        <xdr:cNvPr id="368" name="Graphique 367">
          <a:extLst>
            <a:ext uri="{FF2B5EF4-FFF2-40B4-BE49-F238E27FC236}">
              <a16:creationId xmlns:a16="http://schemas.microsoft.com/office/drawing/2014/main" id="{00000000-0008-0000-0200-000070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580465</xdr:colOff>
      <xdr:row>858</xdr:row>
      <xdr:rowOff>0</xdr:rowOff>
    </xdr:from>
    <xdr:to>
      <xdr:col>14</xdr:col>
      <xdr:colOff>410135</xdr:colOff>
      <xdr:row>872</xdr:row>
      <xdr:rowOff>68999</xdr:rowOff>
    </xdr:to>
    <xdr:graphicFrame macro="">
      <xdr:nvGraphicFramePr>
        <xdr:cNvPr id="369" name="Graphique 368">
          <a:extLst>
            <a:ext uri="{FF2B5EF4-FFF2-40B4-BE49-F238E27FC236}">
              <a16:creationId xmlns:a16="http://schemas.microsoft.com/office/drawing/2014/main" id="{00000000-0008-0000-0200-000071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xdr:col>
      <xdr:colOff>572637</xdr:colOff>
      <xdr:row>866</xdr:row>
      <xdr:rowOff>178727</xdr:rowOff>
    </xdr:from>
    <xdr:to>
      <xdr:col>8</xdr:col>
      <xdr:colOff>420237</xdr:colOff>
      <xdr:row>868</xdr:row>
      <xdr:rowOff>135185</xdr:rowOff>
    </xdr:to>
    <xdr:sp macro="" textlink="'Tableau détaillé'!$H$68">
      <xdr:nvSpPr>
        <xdr:cNvPr id="370" name="ZoneTexte 369">
          <a:extLst>
            <a:ext uri="{FF2B5EF4-FFF2-40B4-BE49-F238E27FC236}">
              <a16:creationId xmlns:a16="http://schemas.microsoft.com/office/drawing/2014/main" id="{00000000-0008-0000-0200-000072010000}"/>
            </a:ext>
          </a:extLst>
        </xdr:cNvPr>
        <xdr:cNvSpPr txBox="1"/>
      </xdr:nvSpPr>
      <xdr:spPr>
        <a:xfrm>
          <a:off x="4303262" y="153586790"/>
          <a:ext cx="609600" cy="337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1DA61B-9EFD-4E35-8913-287818E88A07}" type="TxLink">
            <a:rPr lang="en-US" sz="1100" b="1" i="0" u="none" strike="noStrike">
              <a:solidFill>
                <a:srgbClr val="C00000"/>
              </a:solidFill>
              <a:latin typeface="Arial Narrow"/>
            </a:rPr>
            <a:pPr algn="ctr"/>
            <a:t>0,5 pts</a:t>
          </a:fld>
          <a:endParaRPr lang="fr-FR" sz="1100">
            <a:solidFill>
              <a:srgbClr val="C00000"/>
            </a:solidFill>
          </a:endParaRPr>
        </a:p>
      </xdr:txBody>
    </xdr:sp>
    <xdr:clientData/>
  </xdr:twoCellAnchor>
  <xdr:oneCellAnchor>
    <xdr:from>
      <xdr:col>1</xdr:col>
      <xdr:colOff>219075</xdr:colOff>
      <xdr:row>1074</xdr:row>
      <xdr:rowOff>133350</xdr:rowOff>
    </xdr:from>
    <xdr:ext cx="1442508" cy="311900"/>
    <xdr:pic>
      <xdr:nvPicPr>
        <xdr:cNvPr id="372" name="Logo SG">
          <a:extLst>
            <a:ext uri="{FF2B5EF4-FFF2-40B4-BE49-F238E27FC236}">
              <a16:creationId xmlns:a16="http://schemas.microsoft.com/office/drawing/2014/main" id="{00000000-0008-0000-0200-000074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103231950"/>
          <a:ext cx="1442508" cy="311900"/>
        </a:xfrm>
        <a:prstGeom prst="rect">
          <a:avLst/>
        </a:prstGeom>
      </xdr:spPr>
    </xdr:pic>
    <xdr:clientData/>
  </xdr:oneCellAnchor>
  <xdr:twoCellAnchor>
    <xdr:from>
      <xdr:col>3</xdr:col>
      <xdr:colOff>19050</xdr:colOff>
      <xdr:row>1041</xdr:row>
      <xdr:rowOff>85725</xdr:rowOff>
    </xdr:from>
    <xdr:to>
      <xdr:col>14</xdr:col>
      <xdr:colOff>295275</xdr:colOff>
      <xdr:row>1042</xdr:row>
      <xdr:rowOff>104775</xdr:rowOff>
    </xdr:to>
    <xdr:sp macro="" textlink="">
      <xdr:nvSpPr>
        <xdr:cNvPr id="373" name="ZoneTexte 372">
          <a:extLst>
            <a:ext uri="{FF2B5EF4-FFF2-40B4-BE49-F238E27FC236}">
              <a16:creationId xmlns:a16="http://schemas.microsoft.com/office/drawing/2014/main" id="{00000000-0008-0000-0200-000075010000}"/>
            </a:ext>
          </a:extLst>
        </xdr:cNvPr>
        <xdr:cNvSpPr txBox="1"/>
      </xdr:nvSpPr>
      <xdr:spPr>
        <a:xfrm>
          <a:off x="704850" y="96897825"/>
          <a:ext cx="86582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baseline="0">
              <a:latin typeface="Arial" panose="020B0604020202020204" pitchFamily="34" charset="0"/>
              <a:cs typeface="Arial" panose="020B0604020202020204" pitchFamily="34" charset="0"/>
            </a:rPr>
            <a:t>PNB YTD GLOBAL PAR ENTITE</a:t>
          </a:r>
          <a:endParaRPr lang="fr-FR" sz="1300" b="1">
            <a:latin typeface="Arial" panose="020B0604020202020204" pitchFamily="34" charset="0"/>
            <a:cs typeface="Arial" panose="020B0604020202020204" pitchFamily="34" charset="0"/>
          </a:endParaRPr>
        </a:p>
      </xdr:txBody>
    </xdr:sp>
    <xdr:clientData/>
  </xdr:twoCellAnchor>
  <xdr:twoCellAnchor>
    <xdr:from>
      <xdr:col>9</xdr:col>
      <xdr:colOff>675542</xdr:colOff>
      <xdr:row>1073</xdr:row>
      <xdr:rowOff>132617</xdr:rowOff>
    </xdr:from>
    <xdr:to>
      <xdr:col>14</xdr:col>
      <xdr:colOff>685068</xdr:colOff>
      <xdr:row>1076</xdr:row>
      <xdr:rowOff>87923</xdr:rowOff>
    </xdr:to>
    <xdr:sp macro="" textlink="">
      <xdr:nvSpPr>
        <xdr:cNvPr id="374" name="ZoneTexte 373">
          <a:extLst>
            <a:ext uri="{FF2B5EF4-FFF2-40B4-BE49-F238E27FC236}">
              <a16:creationId xmlns:a16="http://schemas.microsoft.com/office/drawing/2014/main" id="{00000000-0008-0000-0200-000076010000}"/>
            </a:ext>
          </a:extLst>
        </xdr:cNvPr>
        <xdr:cNvSpPr txBox="1"/>
      </xdr:nvSpPr>
      <xdr:spPr>
        <a:xfrm>
          <a:off x="5928946" y="176997213"/>
          <a:ext cx="3892795" cy="5268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800" i="1"/>
            <a:t>Les données sur le PNB</a:t>
          </a:r>
          <a:r>
            <a:rPr lang="fr-FR" sz="800" i="1" baseline="0"/>
            <a:t> du GHANA présentent de gros écarts de fiabilité. </a:t>
          </a:r>
        </a:p>
        <a:p>
          <a:r>
            <a:rPr lang="fr-FR" sz="800" i="1" baseline="0"/>
            <a:t>Le PNB de la MAURITANIE est également en cours de fiabilisation.</a:t>
          </a:r>
        </a:p>
        <a:p>
          <a:r>
            <a:rPr lang="fr-FR" sz="800" i="1" baseline="0"/>
            <a:t>Les évolutions AFS, AFO  et AFCE sont donc déterminées hors SGGH.</a:t>
          </a:r>
          <a:endParaRPr lang="fr-FR" sz="800" i="1"/>
        </a:p>
      </xdr:txBody>
    </xdr:sp>
    <xdr:clientData/>
  </xdr:twoCellAnchor>
  <xdr:twoCellAnchor>
    <xdr:from>
      <xdr:col>2</xdr:col>
      <xdr:colOff>102870</xdr:colOff>
      <xdr:row>1042</xdr:row>
      <xdr:rowOff>171450</xdr:rowOff>
    </xdr:from>
    <xdr:to>
      <xdr:col>8</xdr:col>
      <xdr:colOff>548639</xdr:colOff>
      <xdr:row>1058</xdr:row>
      <xdr:rowOff>9525</xdr:rowOff>
    </xdr:to>
    <xdr:graphicFrame macro="">
      <xdr:nvGraphicFramePr>
        <xdr:cNvPr id="379" name="Graphique 378">
          <a:extLst>
            <a:ext uri="{FF2B5EF4-FFF2-40B4-BE49-F238E27FC236}">
              <a16:creationId xmlns:a16="http://schemas.microsoft.com/office/drawing/2014/main" id="{00000000-0008-0000-0200-00007B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3</xdr:col>
      <xdr:colOff>0</xdr:colOff>
      <xdr:row>1058</xdr:row>
      <xdr:rowOff>95250</xdr:rowOff>
    </xdr:from>
    <xdr:to>
      <xdr:col>8</xdr:col>
      <xdr:colOff>609600</xdr:colOff>
      <xdr:row>1074</xdr:row>
      <xdr:rowOff>50625</xdr:rowOff>
    </xdr:to>
    <xdr:graphicFrame macro="">
      <xdr:nvGraphicFramePr>
        <xdr:cNvPr id="117" name="Graphique 116">
          <a:extLst>
            <a:ext uri="{FF2B5EF4-FFF2-40B4-BE49-F238E27FC236}">
              <a16:creationId xmlns:a16="http://schemas.microsoft.com/office/drawing/2014/main" id="{00000000-0008-0000-0200-00007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oneCellAnchor>
    <xdr:from>
      <xdr:col>1</xdr:col>
      <xdr:colOff>236008</xdr:colOff>
      <xdr:row>254</xdr:row>
      <xdr:rowOff>116416</xdr:rowOff>
    </xdr:from>
    <xdr:ext cx="1442508" cy="311900"/>
    <xdr:pic>
      <xdr:nvPicPr>
        <xdr:cNvPr id="116" name="Logo SG">
          <a:extLst>
            <a:ext uri="{FF2B5EF4-FFF2-40B4-BE49-F238E27FC236}">
              <a16:creationId xmlns:a16="http://schemas.microsoft.com/office/drawing/2014/main" id="{00000000-0008-0000-0200-00007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600075" y="42949283"/>
          <a:ext cx="1442508" cy="311900"/>
        </a:xfrm>
        <a:prstGeom prst="rect">
          <a:avLst/>
        </a:prstGeom>
      </xdr:spPr>
    </xdr:pic>
    <xdr:clientData/>
  </xdr:oneCellAnchor>
  <xdr:twoCellAnchor>
    <xdr:from>
      <xdr:col>3</xdr:col>
      <xdr:colOff>19050</xdr:colOff>
      <xdr:row>222</xdr:row>
      <xdr:rowOff>85725</xdr:rowOff>
    </xdr:from>
    <xdr:to>
      <xdr:col>14</xdr:col>
      <xdr:colOff>295275</xdr:colOff>
      <xdr:row>223</xdr:row>
      <xdr:rowOff>104775</xdr:rowOff>
    </xdr:to>
    <xdr:sp macro="" textlink="">
      <xdr:nvSpPr>
        <xdr:cNvPr id="118" name="ZoneTexte 117">
          <a:extLst>
            <a:ext uri="{FF2B5EF4-FFF2-40B4-BE49-F238E27FC236}">
              <a16:creationId xmlns:a16="http://schemas.microsoft.com/office/drawing/2014/main" id="{00000000-0008-0000-0200-000076000000}"/>
            </a:ext>
          </a:extLst>
        </xdr:cNvPr>
        <xdr:cNvSpPr txBox="1"/>
      </xdr:nvSpPr>
      <xdr:spPr>
        <a:xfrm>
          <a:off x="704850" y="37614225"/>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NOMBRE DE NOUVEAUX CLIENTS ACQUIS SUR L'ANNEE</a:t>
          </a:r>
        </a:p>
      </xdr:txBody>
    </xdr:sp>
    <xdr:clientData/>
  </xdr:twoCellAnchor>
  <xdr:oneCellAnchor>
    <xdr:from>
      <xdr:col>1</xdr:col>
      <xdr:colOff>219075</xdr:colOff>
      <xdr:row>331</xdr:row>
      <xdr:rowOff>133350</xdr:rowOff>
    </xdr:from>
    <xdr:ext cx="1442508" cy="311900"/>
    <xdr:pic>
      <xdr:nvPicPr>
        <xdr:cNvPr id="123" name="Logo SG">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51358800"/>
          <a:ext cx="1442508" cy="311900"/>
        </a:xfrm>
        <a:prstGeom prst="rect">
          <a:avLst/>
        </a:prstGeom>
      </xdr:spPr>
    </xdr:pic>
    <xdr:clientData/>
  </xdr:oneCellAnchor>
  <xdr:twoCellAnchor>
    <xdr:from>
      <xdr:col>3</xdr:col>
      <xdr:colOff>19050</xdr:colOff>
      <xdr:row>298</xdr:row>
      <xdr:rowOff>85725</xdr:rowOff>
    </xdr:from>
    <xdr:to>
      <xdr:col>14</xdr:col>
      <xdr:colOff>295275</xdr:colOff>
      <xdr:row>299</xdr:row>
      <xdr:rowOff>104775</xdr:rowOff>
    </xdr:to>
    <xdr:sp macro="" textlink="">
      <xdr:nvSpPr>
        <xdr:cNvPr id="124" name="ZoneTexte 123">
          <a:extLst>
            <a:ext uri="{FF2B5EF4-FFF2-40B4-BE49-F238E27FC236}">
              <a16:creationId xmlns:a16="http://schemas.microsoft.com/office/drawing/2014/main" id="{00000000-0008-0000-0200-00007C000000}"/>
            </a:ext>
          </a:extLst>
        </xdr:cNvPr>
        <xdr:cNvSpPr txBox="1"/>
      </xdr:nvSpPr>
      <xdr:spPr>
        <a:xfrm>
          <a:off x="704850" y="45024675"/>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EQUIPEMENT MOYEN DES NOUVEAUX CLIENTS ACQUIS SUR L'ANNEE</a:t>
          </a:r>
        </a:p>
      </xdr:txBody>
    </xdr:sp>
    <xdr:clientData/>
  </xdr:twoCellAnchor>
  <xdr:oneCellAnchor>
    <xdr:from>
      <xdr:col>1</xdr:col>
      <xdr:colOff>219075</xdr:colOff>
      <xdr:row>1034</xdr:row>
      <xdr:rowOff>133350</xdr:rowOff>
    </xdr:from>
    <xdr:ext cx="1442508" cy="311900"/>
    <xdr:pic>
      <xdr:nvPicPr>
        <xdr:cNvPr id="126" name="Logo SG">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110642400"/>
          <a:ext cx="1442508" cy="311900"/>
        </a:xfrm>
        <a:prstGeom prst="rect">
          <a:avLst/>
        </a:prstGeom>
      </xdr:spPr>
    </xdr:pic>
    <xdr:clientData/>
  </xdr:oneCellAnchor>
  <xdr:twoCellAnchor>
    <xdr:from>
      <xdr:col>3</xdr:col>
      <xdr:colOff>19050</xdr:colOff>
      <xdr:row>1001</xdr:row>
      <xdr:rowOff>85725</xdr:rowOff>
    </xdr:from>
    <xdr:to>
      <xdr:col>14</xdr:col>
      <xdr:colOff>295275</xdr:colOff>
      <xdr:row>1002</xdr:row>
      <xdr:rowOff>104775</xdr:rowOff>
    </xdr:to>
    <xdr:sp macro="" textlink="">
      <xdr:nvSpPr>
        <xdr:cNvPr id="127" name="ZoneTexte 126">
          <a:extLst>
            <a:ext uri="{FF2B5EF4-FFF2-40B4-BE49-F238E27FC236}">
              <a16:creationId xmlns:a16="http://schemas.microsoft.com/office/drawing/2014/main" id="{00000000-0008-0000-0200-00007F000000}"/>
            </a:ext>
          </a:extLst>
        </xdr:cNvPr>
        <xdr:cNvSpPr txBox="1"/>
      </xdr:nvSpPr>
      <xdr:spPr>
        <a:xfrm>
          <a:off x="704850" y="104308275"/>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baseline="0">
              <a:latin typeface="Arial" panose="020B0604020202020204" pitchFamily="34" charset="0"/>
              <a:cs typeface="Arial" panose="020B0604020202020204" pitchFamily="34" charset="0"/>
            </a:rPr>
            <a:t>EQUIPEMENT CARTE PARMIS LES CLIENTS CAV *</a:t>
          </a:r>
        </a:p>
      </xdr:txBody>
    </xdr:sp>
    <xdr:clientData/>
  </xdr:twoCellAnchor>
  <xdr:twoCellAnchor>
    <xdr:from>
      <xdr:col>2</xdr:col>
      <xdr:colOff>95250</xdr:colOff>
      <xdr:row>1017</xdr:row>
      <xdr:rowOff>144033</xdr:rowOff>
    </xdr:from>
    <xdr:to>
      <xdr:col>8</xdr:col>
      <xdr:colOff>578560</xdr:colOff>
      <xdr:row>1032</xdr:row>
      <xdr:rowOff>22533</xdr:rowOff>
    </xdr:to>
    <xdr:graphicFrame macro="">
      <xdr:nvGraphicFramePr>
        <xdr:cNvPr id="133" name="Graphique 132">
          <a:extLst>
            <a:ext uri="{FF2B5EF4-FFF2-40B4-BE49-F238E27FC236}">
              <a16:creationId xmlns:a16="http://schemas.microsoft.com/office/drawing/2014/main" id="{00000000-0008-0000-0200-00008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637615</xdr:colOff>
      <xdr:row>1017</xdr:row>
      <xdr:rowOff>147843</xdr:rowOff>
    </xdr:from>
    <xdr:to>
      <xdr:col>14</xdr:col>
      <xdr:colOff>467285</xdr:colOff>
      <xdr:row>1032</xdr:row>
      <xdr:rowOff>26343</xdr:rowOff>
    </xdr:to>
    <xdr:graphicFrame macro="">
      <xdr:nvGraphicFramePr>
        <xdr:cNvPr id="134" name="Graphique 133">
          <a:extLst>
            <a:ext uri="{FF2B5EF4-FFF2-40B4-BE49-F238E27FC236}">
              <a16:creationId xmlns:a16="http://schemas.microsoft.com/office/drawing/2014/main" id="{00000000-0008-0000-0200-00008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11</xdr:col>
      <xdr:colOff>131255</xdr:colOff>
      <xdr:row>1021</xdr:row>
      <xdr:rowOff>139801</xdr:rowOff>
    </xdr:from>
    <xdr:to>
      <xdr:col>12</xdr:col>
      <xdr:colOff>300182</xdr:colOff>
      <xdr:row>1023</xdr:row>
      <xdr:rowOff>9892</xdr:rowOff>
    </xdr:to>
    <xdr:sp macro="" textlink="'Tableau détaillé'!$H$150">
      <xdr:nvSpPr>
        <xdr:cNvPr id="135" name="ZoneTexte 38">
          <a:extLst>
            <a:ext uri="{FF2B5EF4-FFF2-40B4-BE49-F238E27FC236}">
              <a16:creationId xmlns:a16="http://schemas.microsoft.com/office/drawing/2014/main" id="{00000000-0008-0000-0200-000087000000}"/>
            </a:ext>
          </a:extLst>
        </xdr:cNvPr>
        <xdr:cNvSpPr txBox="1"/>
      </xdr:nvSpPr>
      <xdr:spPr>
        <a:xfrm>
          <a:off x="7141655" y="171454334"/>
          <a:ext cx="956327" cy="242625"/>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0160E3DE-ABC4-4259-A7CA-47D5A96FF7DF}" type="TxLink">
            <a:rPr lang="en-US" sz="1100" b="1" i="0" u="none" strike="noStrike">
              <a:solidFill>
                <a:srgbClr val="C00000"/>
              </a:solidFill>
              <a:latin typeface="Arial Narrow"/>
            </a:rPr>
            <a:pPr algn="ctr"/>
            <a:t>8,8 pts</a:t>
          </a:fld>
          <a:endParaRPr lang="fr-FR" sz="1100">
            <a:solidFill>
              <a:srgbClr val="C00000"/>
            </a:solidFill>
          </a:endParaRPr>
        </a:p>
      </xdr:txBody>
    </xdr:sp>
    <xdr:clientData/>
  </xdr:twoCellAnchor>
  <xdr:twoCellAnchor>
    <xdr:from>
      <xdr:col>3</xdr:col>
      <xdr:colOff>726145</xdr:colOff>
      <xdr:row>1021</xdr:row>
      <xdr:rowOff>113637</xdr:rowOff>
    </xdr:from>
    <xdr:to>
      <xdr:col>4</xdr:col>
      <xdr:colOff>548436</xdr:colOff>
      <xdr:row>1023</xdr:row>
      <xdr:rowOff>73680</xdr:rowOff>
    </xdr:to>
    <xdr:sp macro="" textlink="'Tableau détaillé'!$H$150">
      <xdr:nvSpPr>
        <xdr:cNvPr id="136" name="ZoneTexte 38">
          <a:extLst>
            <a:ext uri="{FF2B5EF4-FFF2-40B4-BE49-F238E27FC236}">
              <a16:creationId xmlns:a16="http://schemas.microsoft.com/office/drawing/2014/main" id="{00000000-0008-0000-0200-000088000000}"/>
            </a:ext>
          </a:extLst>
        </xdr:cNvPr>
        <xdr:cNvSpPr txBox="1"/>
      </xdr:nvSpPr>
      <xdr:spPr>
        <a:xfrm>
          <a:off x="1437345" y="171428170"/>
          <a:ext cx="609691" cy="332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0160E3DE-ABC4-4259-A7CA-47D5A96FF7DF}" type="TxLink">
            <a:rPr lang="en-US" sz="1100" b="1" i="0" u="none" strike="noStrike">
              <a:solidFill>
                <a:srgbClr val="C00000"/>
              </a:solidFill>
              <a:latin typeface="Arial Narrow"/>
            </a:rPr>
            <a:pPr algn="ctr"/>
            <a:t>8,8 pts</a:t>
          </a:fld>
          <a:endParaRPr lang="fr-FR" sz="1100">
            <a:solidFill>
              <a:srgbClr val="C00000"/>
            </a:solidFill>
          </a:endParaRPr>
        </a:p>
      </xdr:txBody>
    </xdr:sp>
    <xdr:clientData/>
  </xdr:twoCellAnchor>
  <xdr:twoCellAnchor>
    <xdr:from>
      <xdr:col>9</xdr:col>
      <xdr:colOff>704850</xdr:colOff>
      <xdr:row>1032</xdr:row>
      <xdr:rowOff>15521</xdr:rowOff>
    </xdr:from>
    <xdr:to>
      <xdr:col>14</xdr:col>
      <xdr:colOff>714376</xdr:colOff>
      <xdr:row>1036</xdr:row>
      <xdr:rowOff>73270</xdr:rowOff>
    </xdr:to>
    <xdr:sp macro="" textlink="">
      <xdr:nvSpPr>
        <xdr:cNvPr id="137" name="ZoneTexte 136">
          <a:extLst>
            <a:ext uri="{FF2B5EF4-FFF2-40B4-BE49-F238E27FC236}">
              <a16:creationId xmlns:a16="http://schemas.microsoft.com/office/drawing/2014/main" id="{00000000-0008-0000-0200-000089000000}"/>
            </a:ext>
          </a:extLst>
        </xdr:cNvPr>
        <xdr:cNvSpPr txBox="1"/>
      </xdr:nvSpPr>
      <xdr:spPr>
        <a:xfrm>
          <a:off x="5958254" y="169428636"/>
          <a:ext cx="3892795" cy="72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800" i="1"/>
            <a:t>Les données sur le stock de cartes de la GUINEE, du SENEGAL et de la MAURITANIE présentent des incohérences (suite aux migrations DELTA et HPS)</a:t>
          </a:r>
          <a:r>
            <a:rPr lang="fr-FR" sz="800" i="1" baseline="0"/>
            <a:t> </a:t>
          </a:r>
          <a:r>
            <a:rPr lang="fr-FR" sz="800" i="1"/>
            <a:t>qui ont été corrigées manuellement.</a:t>
          </a:r>
          <a:r>
            <a:rPr lang="fr-FR" sz="800" i="1" baseline="0"/>
            <a:t> A cet effet les évolutions AFS et AFO intègrent à présent les données </a:t>
          </a:r>
        </a:p>
        <a:p>
          <a:r>
            <a:rPr lang="fr-FR" sz="800" i="1" baseline="0"/>
            <a:t>SGGN, SGSN et SGM</a:t>
          </a:r>
        </a:p>
      </xdr:txBody>
    </xdr:sp>
    <xdr:clientData/>
  </xdr:twoCellAnchor>
  <xdr:oneCellAnchor>
    <xdr:from>
      <xdr:col>1</xdr:col>
      <xdr:colOff>219075</xdr:colOff>
      <xdr:row>954</xdr:row>
      <xdr:rowOff>133350</xdr:rowOff>
    </xdr:from>
    <xdr:ext cx="1442508" cy="311900"/>
    <xdr:pic>
      <xdr:nvPicPr>
        <xdr:cNvPr id="143" name="Logo SG">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103231950"/>
          <a:ext cx="1442508" cy="311900"/>
        </a:xfrm>
        <a:prstGeom prst="rect">
          <a:avLst/>
        </a:prstGeom>
      </xdr:spPr>
    </xdr:pic>
    <xdr:clientData/>
  </xdr:oneCellAnchor>
  <xdr:twoCellAnchor>
    <xdr:from>
      <xdr:col>3</xdr:col>
      <xdr:colOff>19050</xdr:colOff>
      <xdr:row>921</xdr:row>
      <xdr:rowOff>85725</xdr:rowOff>
    </xdr:from>
    <xdr:to>
      <xdr:col>14</xdr:col>
      <xdr:colOff>295275</xdr:colOff>
      <xdr:row>922</xdr:row>
      <xdr:rowOff>104775</xdr:rowOff>
    </xdr:to>
    <xdr:sp macro="" textlink="">
      <xdr:nvSpPr>
        <xdr:cNvPr id="144" name="ZoneTexte 143">
          <a:extLst>
            <a:ext uri="{FF2B5EF4-FFF2-40B4-BE49-F238E27FC236}">
              <a16:creationId xmlns:a16="http://schemas.microsoft.com/office/drawing/2014/main" id="{00000000-0008-0000-0200-000090000000}"/>
            </a:ext>
          </a:extLst>
        </xdr:cNvPr>
        <xdr:cNvSpPr txBox="1"/>
      </xdr:nvSpPr>
      <xdr:spPr>
        <a:xfrm>
          <a:off x="704850" y="96897825"/>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baseline="0">
              <a:latin typeface="Arial" panose="020B0604020202020204" pitchFamily="34" charset="0"/>
              <a:cs typeface="Arial" panose="020B0604020202020204" pitchFamily="34" charset="0"/>
            </a:rPr>
            <a:t>EVOLUTION EQUIPEMENT CAV</a:t>
          </a:r>
          <a:endParaRPr lang="fr-FR" sz="1300" b="1">
            <a:latin typeface="Arial" panose="020B0604020202020204" pitchFamily="34" charset="0"/>
            <a:cs typeface="Arial" panose="020B0604020202020204" pitchFamily="34" charset="0"/>
          </a:endParaRPr>
        </a:p>
      </xdr:txBody>
    </xdr:sp>
    <xdr:clientData/>
  </xdr:twoCellAnchor>
  <xdr:twoCellAnchor>
    <xdr:from>
      <xdr:col>3</xdr:col>
      <xdr:colOff>1</xdr:colOff>
      <xdr:row>937</xdr:row>
      <xdr:rowOff>161925</xdr:rowOff>
    </xdr:from>
    <xdr:to>
      <xdr:col>8</xdr:col>
      <xdr:colOff>589201</xdr:colOff>
      <xdr:row>953</xdr:row>
      <xdr:rowOff>6375</xdr:rowOff>
    </xdr:to>
    <xdr:graphicFrame macro="">
      <xdr:nvGraphicFramePr>
        <xdr:cNvPr id="145" name="Graphique 144">
          <a:extLst>
            <a:ext uri="{FF2B5EF4-FFF2-40B4-BE49-F238E27FC236}">
              <a16:creationId xmlns:a16="http://schemas.microsoft.com/office/drawing/2014/main" id="{00000000-0008-0000-0200-00009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7</xdr:col>
      <xdr:colOff>260150</xdr:colOff>
      <xdr:row>943</xdr:row>
      <xdr:rowOff>128979</xdr:rowOff>
    </xdr:from>
    <xdr:to>
      <xdr:col>8</xdr:col>
      <xdr:colOff>107750</xdr:colOff>
      <xdr:row>944</xdr:row>
      <xdr:rowOff>186129</xdr:rowOff>
    </xdr:to>
    <xdr:sp macro="" textlink="'Tableau détaillé'!$H$102">
      <xdr:nvSpPr>
        <xdr:cNvPr id="146" name="ZoneTexte 38">
          <a:extLst>
            <a:ext uri="{FF2B5EF4-FFF2-40B4-BE49-F238E27FC236}">
              <a16:creationId xmlns:a16="http://schemas.microsoft.com/office/drawing/2014/main" id="{00000000-0008-0000-0200-000092000000}"/>
            </a:ext>
          </a:extLst>
        </xdr:cNvPr>
        <xdr:cNvSpPr txBox="1"/>
      </xdr:nvSpPr>
      <xdr:spPr>
        <a:xfrm>
          <a:off x="3990775" y="167776917"/>
          <a:ext cx="6096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6907064F-D0A9-411A-9772-E6CA1B125B2E}" type="TxLink">
            <a:rPr lang="en-US" sz="1000" b="1" i="0" u="none" strike="noStrike">
              <a:solidFill>
                <a:srgbClr val="C00000"/>
              </a:solidFill>
              <a:latin typeface="Arial Narrow"/>
            </a:rPr>
            <a:pPr algn="ctr"/>
            <a:t>0,5 pts</a:t>
          </a:fld>
          <a:endParaRPr lang="fr-FR" sz="1000">
            <a:solidFill>
              <a:srgbClr val="C00000"/>
            </a:solidFill>
          </a:endParaRPr>
        </a:p>
      </xdr:txBody>
    </xdr:sp>
    <xdr:clientData/>
  </xdr:twoCellAnchor>
  <xdr:twoCellAnchor>
    <xdr:from>
      <xdr:col>8</xdr:col>
      <xdr:colOff>694764</xdr:colOff>
      <xdr:row>937</xdr:row>
      <xdr:rowOff>161925</xdr:rowOff>
    </xdr:from>
    <xdr:to>
      <xdr:col>14</xdr:col>
      <xdr:colOff>445764</xdr:colOff>
      <xdr:row>953</xdr:row>
      <xdr:rowOff>6375</xdr:rowOff>
    </xdr:to>
    <xdr:graphicFrame macro="">
      <xdr:nvGraphicFramePr>
        <xdr:cNvPr id="147" name="Graphique 146">
          <a:extLst>
            <a:ext uri="{FF2B5EF4-FFF2-40B4-BE49-F238E27FC236}">
              <a16:creationId xmlns:a16="http://schemas.microsoft.com/office/drawing/2014/main" id="{00000000-0008-0000-0200-00009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12</xdr:col>
      <xdr:colOff>392724</xdr:colOff>
      <xdr:row>943</xdr:row>
      <xdr:rowOff>5284</xdr:rowOff>
    </xdr:from>
    <xdr:to>
      <xdr:col>13</xdr:col>
      <xdr:colOff>248265</xdr:colOff>
      <xdr:row>944</xdr:row>
      <xdr:rowOff>139754</xdr:rowOff>
    </xdr:to>
    <xdr:sp macro="" textlink="'Tableau détaillé'!$H$102">
      <xdr:nvSpPr>
        <xdr:cNvPr id="148" name="ZoneTexte 38">
          <a:extLst>
            <a:ext uri="{FF2B5EF4-FFF2-40B4-BE49-F238E27FC236}">
              <a16:creationId xmlns:a16="http://schemas.microsoft.com/office/drawing/2014/main" id="{00000000-0008-0000-0200-000094000000}"/>
            </a:ext>
          </a:extLst>
        </xdr:cNvPr>
        <xdr:cNvSpPr txBox="1"/>
      </xdr:nvSpPr>
      <xdr:spPr>
        <a:xfrm>
          <a:off x="7933349" y="160247534"/>
          <a:ext cx="696916" cy="324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6907064F-D0A9-411A-9772-E6CA1B125B2E}" type="TxLink">
            <a:rPr lang="en-US" sz="1000" b="1" i="0" u="none" strike="noStrike">
              <a:solidFill>
                <a:srgbClr val="C00000"/>
              </a:solidFill>
              <a:latin typeface="Arial Narrow"/>
            </a:rPr>
            <a:pPr algn="ctr"/>
            <a:t>0,5 pts</a:t>
          </a:fld>
          <a:endParaRPr lang="fr-FR" sz="1000">
            <a:solidFill>
              <a:srgbClr val="C00000"/>
            </a:solidFill>
          </a:endParaRPr>
        </a:p>
      </xdr:txBody>
    </xdr:sp>
    <xdr:clientData/>
  </xdr:twoCellAnchor>
  <xdr:twoCellAnchor>
    <xdr:from>
      <xdr:col>2</xdr:col>
      <xdr:colOff>64771</xdr:colOff>
      <xdr:row>897</xdr:row>
      <xdr:rowOff>140746</xdr:rowOff>
    </xdr:from>
    <xdr:to>
      <xdr:col>8</xdr:col>
      <xdr:colOff>549196</xdr:colOff>
      <xdr:row>912</xdr:row>
      <xdr:rowOff>80446</xdr:rowOff>
    </xdr:to>
    <xdr:graphicFrame macro="">
      <xdr:nvGraphicFramePr>
        <xdr:cNvPr id="151" name="Graphique 150">
          <a:extLst>
            <a:ext uri="{FF2B5EF4-FFF2-40B4-BE49-F238E27FC236}">
              <a16:creationId xmlns:a16="http://schemas.microsoft.com/office/drawing/2014/main" id="{00000000-0008-0000-0200-00009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656664</xdr:colOff>
      <xdr:row>897</xdr:row>
      <xdr:rowOff>154081</xdr:rowOff>
    </xdr:from>
    <xdr:to>
      <xdr:col>14</xdr:col>
      <xdr:colOff>407664</xdr:colOff>
      <xdr:row>912</xdr:row>
      <xdr:rowOff>93781</xdr:rowOff>
    </xdr:to>
    <xdr:graphicFrame macro="">
      <xdr:nvGraphicFramePr>
        <xdr:cNvPr id="152" name="Graphique 151">
          <a:extLst>
            <a:ext uri="{FF2B5EF4-FFF2-40B4-BE49-F238E27FC236}">
              <a16:creationId xmlns:a16="http://schemas.microsoft.com/office/drawing/2014/main" id="{00000000-0008-0000-0200-00009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oneCellAnchor>
    <xdr:from>
      <xdr:col>1</xdr:col>
      <xdr:colOff>219075</xdr:colOff>
      <xdr:row>371</xdr:row>
      <xdr:rowOff>133350</xdr:rowOff>
    </xdr:from>
    <xdr:ext cx="1442508" cy="311900"/>
    <xdr:pic>
      <xdr:nvPicPr>
        <xdr:cNvPr id="155" name="Logo SG">
          <a:extLst>
            <a:ext uri="{FF2B5EF4-FFF2-40B4-BE49-F238E27FC236}">
              <a16:creationId xmlns:a16="http://schemas.microsoft.com/office/drawing/2014/main" id="{00000000-0008-0000-0200-00009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58769250"/>
          <a:ext cx="1442508" cy="311900"/>
        </a:xfrm>
        <a:prstGeom prst="rect">
          <a:avLst/>
        </a:prstGeom>
      </xdr:spPr>
    </xdr:pic>
    <xdr:clientData/>
  </xdr:oneCellAnchor>
  <xdr:twoCellAnchor>
    <xdr:from>
      <xdr:col>3</xdr:col>
      <xdr:colOff>19050</xdr:colOff>
      <xdr:row>338</xdr:row>
      <xdr:rowOff>85725</xdr:rowOff>
    </xdr:from>
    <xdr:to>
      <xdr:col>14</xdr:col>
      <xdr:colOff>295275</xdr:colOff>
      <xdr:row>339</xdr:row>
      <xdr:rowOff>104775</xdr:rowOff>
    </xdr:to>
    <xdr:sp macro="" textlink="">
      <xdr:nvSpPr>
        <xdr:cNvPr id="156" name="ZoneTexte 155">
          <a:extLst>
            <a:ext uri="{FF2B5EF4-FFF2-40B4-BE49-F238E27FC236}">
              <a16:creationId xmlns:a16="http://schemas.microsoft.com/office/drawing/2014/main" id="{00000000-0008-0000-0200-00009C000000}"/>
            </a:ext>
          </a:extLst>
        </xdr:cNvPr>
        <xdr:cNvSpPr txBox="1"/>
      </xdr:nvSpPr>
      <xdr:spPr>
        <a:xfrm>
          <a:off x="704850" y="52435125"/>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TOUS PRODUITS VENDUS - NOMBRE</a:t>
          </a:r>
          <a:r>
            <a:rPr lang="fr-FR" sz="1300" b="1" baseline="0">
              <a:latin typeface="Arial" panose="020B0604020202020204" pitchFamily="34" charset="0"/>
              <a:cs typeface="Arial" panose="020B0604020202020204" pitchFamily="34" charset="0"/>
            </a:rPr>
            <a:t> MOYEN MENSUEL DE VENTES PAR GESTIONNAIRE</a:t>
          </a:r>
          <a:endParaRPr lang="fr-FR" sz="1300" b="1">
            <a:latin typeface="Arial" panose="020B0604020202020204" pitchFamily="34" charset="0"/>
            <a:cs typeface="Arial" panose="020B0604020202020204" pitchFamily="34" charset="0"/>
          </a:endParaRPr>
        </a:p>
      </xdr:txBody>
    </xdr:sp>
    <xdr:clientData/>
  </xdr:twoCellAnchor>
  <xdr:oneCellAnchor>
    <xdr:from>
      <xdr:col>1</xdr:col>
      <xdr:colOff>219075</xdr:colOff>
      <xdr:row>451</xdr:row>
      <xdr:rowOff>133350</xdr:rowOff>
    </xdr:from>
    <xdr:ext cx="1442508" cy="311900"/>
    <xdr:pic>
      <xdr:nvPicPr>
        <xdr:cNvPr id="162" name="Logo SG">
          <a:extLst>
            <a:ext uri="{FF2B5EF4-FFF2-40B4-BE49-F238E27FC236}">
              <a16:creationId xmlns:a16="http://schemas.microsoft.com/office/drawing/2014/main" id="{00000000-0008-0000-0200-0000A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66170175"/>
          <a:ext cx="1442508" cy="311900"/>
        </a:xfrm>
        <a:prstGeom prst="rect">
          <a:avLst/>
        </a:prstGeom>
      </xdr:spPr>
    </xdr:pic>
    <xdr:clientData/>
  </xdr:oneCellAnchor>
  <xdr:twoCellAnchor>
    <xdr:from>
      <xdr:col>3</xdr:col>
      <xdr:colOff>19050</xdr:colOff>
      <xdr:row>418</xdr:row>
      <xdr:rowOff>85725</xdr:rowOff>
    </xdr:from>
    <xdr:to>
      <xdr:col>14</xdr:col>
      <xdr:colOff>295275</xdr:colOff>
      <xdr:row>419</xdr:row>
      <xdr:rowOff>104775</xdr:rowOff>
    </xdr:to>
    <xdr:sp macro="" textlink="">
      <xdr:nvSpPr>
        <xdr:cNvPr id="163" name="ZoneTexte 162">
          <a:extLst>
            <a:ext uri="{FF2B5EF4-FFF2-40B4-BE49-F238E27FC236}">
              <a16:creationId xmlns:a16="http://schemas.microsoft.com/office/drawing/2014/main" id="{00000000-0008-0000-0200-0000A3000000}"/>
            </a:ext>
          </a:extLst>
        </xdr:cNvPr>
        <xdr:cNvSpPr txBox="1"/>
      </xdr:nvSpPr>
      <xdr:spPr>
        <a:xfrm>
          <a:off x="704850" y="59845575"/>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CREDITS CONSOMMATION - NOMBRE</a:t>
          </a:r>
          <a:r>
            <a:rPr lang="fr-FR" sz="1300" b="1" baseline="0">
              <a:latin typeface="Arial" panose="020B0604020202020204" pitchFamily="34" charset="0"/>
              <a:cs typeface="Arial" panose="020B0604020202020204" pitchFamily="34" charset="0"/>
            </a:rPr>
            <a:t> MOYEN MENSUEL DE VENTES PAR GESTIONNAIRE</a:t>
          </a:r>
          <a:endParaRPr lang="fr-FR" sz="1300" b="1">
            <a:latin typeface="Arial" panose="020B0604020202020204" pitchFamily="34" charset="0"/>
            <a:cs typeface="Arial" panose="020B0604020202020204" pitchFamily="34" charset="0"/>
          </a:endParaRPr>
        </a:p>
      </xdr:txBody>
    </xdr:sp>
    <xdr:clientData/>
  </xdr:twoCellAnchor>
  <xdr:twoCellAnchor>
    <xdr:from>
      <xdr:col>10</xdr:col>
      <xdr:colOff>79375</xdr:colOff>
      <xdr:row>450</xdr:row>
      <xdr:rowOff>47624</xdr:rowOff>
    </xdr:from>
    <xdr:to>
      <xdr:col>14</xdr:col>
      <xdr:colOff>533401</xdr:colOff>
      <xdr:row>453</xdr:row>
      <xdr:rowOff>19050</xdr:rowOff>
    </xdr:to>
    <xdr:grpSp>
      <xdr:nvGrpSpPr>
        <xdr:cNvPr id="166" name="Groupe 165">
          <a:extLst>
            <a:ext uri="{FF2B5EF4-FFF2-40B4-BE49-F238E27FC236}">
              <a16:creationId xmlns:a16="http://schemas.microsoft.com/office/drawing/2014/main" id="{00000000-0008-0000-0200-0000A6000000}"/>
            </a:ext>
          </a:extLst>
        </xdr:cNvPr>
        <xdr:cNvGrpSpPr/>
      </xdr:nvGrpSpPr>
      <xdr:grpSpPr>
        <a:xfrm>
          <a:off x="6312535" y="73473944"/>
          <a:ext cx="3677286" cy="520066"/>
          <a:chOff x="6334125" y="65893949"/>
          <a:chExt cx="3343276" cy="542926"/>
        </a:xfrm>
      </xdr:grpSpPr>
      <xdr:sp macro="" textlink="">
        <xdr:nvSpPr>
          <xdr:cNvPr id="167" name="ZoneTexte 166">
            <a:extLst>
              <a:ext uri="{FF2B5EF4-FFF2-40B4-BE49-F238E27FC236}">
                <a16:creationId xmlns:a16="http://schemas.microsoft.com/office/drawing/2014/main" id="{00000000-0008-0000-0200-0000A7000000}"/>
              </a:ext>
            </a:extLst>
          </xdr:cNvPr>
          <xdr:cNvSpPr txBox="1"/>
        </xdr:nvSpPr>
        <xdr:spPr>
          <a:xfrm>
            <a:off x="6334125" y="66036825"/>
            <a:ext cx="3343276"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900" i="1"/>
              <a:t>Niveau d'efficatité  commerciale moyenne</a:t>
            </a:r>
            <a:r>
              <a:rPr lang="fr-FR" sz="900" i="1" baseline="0"/>
              <a:t> mensuelle depuis le début de l'année</a:t>
            </a:r>
            <a:endParaRPr lang="fr-FR" sz="900" i="1"/>
          </a:p>
        </xdr:txBody>
      </xdr:sp>
      <xdr:cxnSp macro="">
        <xdr:nvCxnSpPr>
          <xdr:cNvPr id="168" name="Connecteur droit 167">
            <a:extLst>
              <a:ext uri="{FF2B5EF4-FFF2-40B4-BE49-F238E27FC236}">
                <a16:creationId xmlns:a16="http://schemas.microsoft.com/office/drawing/2014/main" id="{00000000-0008-0000-0200-0000A8000000}"/>
              </a:ext>
            </a:extLst>
          </xdr:cNvPr>
          <xdr:cNvCxnSpPr/>
        </xdr:nvCxnSpPr>
        <xdr:spPr>
          <a:xfrm>
            <a:off x="6438900" y="65970150"/>
            <a:ext cx="468000"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69" name="Rectangle 168">
            <a:extLst>
              <a:ext uri="{FF2B5EF4-FFF2-40B4-BE49-F238E27FC236}">
                <a16:creationId xmlns:a16="http://schemas.microsoft.com/office/drawing/2014/main" id="{00000000-0008-0000-0200-0000A9000000}"/>
              </a:ext>
            </a:extLst>
          </xdr:cNvPr>
          <xdr:cNvSpPr/>
        </xdr:nvSpPr>
        <xdr:spPr>
          <a:xfrm>
            <a:off x="6353175" y="65893949"/>
            <a:ext cx="3209925" cy="542925"/>
          </a:xfrm>
          <a:prstGeom prst="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2</xdr:col>
      <xdr:colOff>57150</xdr:colOff>
      <xdr:row>420</xdr:row>
      <xdr:rowOff>28575</xdr:rowOff>
    </xdr:from>
    <xdr:to>
      <xdr:col>8</xdr:col>
      <xdr:colOff>540460</xdr:colOff>
      <xdr:row>434</xdr:row>
      <xdr:rowOff>132901</xdr:rowOff>
    </xdr:to>
    <xdr:graphicFrame macro="">
      <xdr:nvGraphicFramePr>
        <xdr:cNvPr id="170" name="Graphique 169">
          <a:extLst>
            <a:ext uri="{FF2B5EF4-FFF2-40B4-BE49-F238E27FC236}">
              <a16:creationId xmlns:a16="http://schemas.microsoft.com/office/drawing/2014/main" id="{00000000-0008-0000-0200-0000A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xdr:col>
      <xdr:colOff>68356</xdr:colOff>
      <xdr:row>435</xdr:row>
      <xdr:rowOff>59391</xdr:rowOff>
    </xdr:from>
    <xdr:to>
      <xdr:col>8</xdr:col>
      <xdr:colOff>551666</xdr:colOff>
      <xdr:row>450</xdr:row>
      <xdr:rowOff>106567</xdr:rowOff>
    </xdr:to>
    <xdr:graphicFrame macro="">
      <xdr:nvGraphicFramePr>
        <xdr:cNvPr id="171" name="Graphique 170">
          <a:extLst>
            <a:ext uri="{FF2B5EF4-FFF2-40B4-BE49-F238E27FC236}">
              <a16:creationId xmlns:a16="http://schemas.microsoft.com/office/drawing/2014/main" id="{00000000-0008-0000-02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oneCellAnchor>
    <xdr:from>
      <xdr:col>1</xdr:col>
      <xdr:colOff>219075</xdr:colOff>
      <xdr:row>491</xdr:row>
      <xdr:rowOff>133350</xdr:rowOff>
    </xdr:from>
    <xdr:ext cx="1442508" cy="311900"/>
    <xdr:pic>
      <xdr:nvPicPr>
        <xdr:cNvPr id="172" name="Logo SG">
          <a:extLst>
            <a:ext uri="{FF2B5EF4-FFF2-40B4-BE49-F238E27FC236}">
              <a16:creationId xmlns:a16="http://schemas.microsoft.com/office/drawing/2014/main" id="{00000000-0008-0000-0200-0000A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73609200"/>
          <a:ext cx="1442508" cy="311900"/>
        </a:xfrm>
        <a:prstGeom prst="rect">
          <a:avLst/>
        </a:prstGeom>
      </xdr:spPr>
    </xdr:pic>
    <xdr:clientData/>
  </xdr:oneCellAnchor>
  <xdr:twoCellAnchor>
    <xdr:from>
      <xdr:col>3</xdr:col>
      <xdr:colOff>19050</xdr:colOff>
      <xdr:row>458</xdr:row>
      <xdr:rowOff>85725</xdr:rowOff>
    </xdr:from>
    <xdr:to>
      <xdr:col>14</xdr:col>
      <xdr:colOff>295275</xdr:colOff>
      <xdr:row>459</xdr:row>
      <xdr:rowOff>104775</xdr:rowOff>
    </xdr:to>
    <xdr:sp macro="" textlink="">
      <xdr:nvSpPr>
        <xdr:cNvPr id="173" name="ZoneTexte 172">
          <a:extLst>
            <a:ext uri="{FF2B5EF4-FFF2-40B4-BE49-F238E27FC236}">
              <a16:creationId xmlns:a16="http://schemas.microsoft.com/office/drawing/2014/main" id="{00000000-0008-0000-0200-0000AD000000}"/>
            </a:ext>
          </a:extLst>
        </xdr:cNvPr>
        <xdr:cNvSpPr txBox="1"/>
      </xdr:nvSpPr>
      <xdr:spPr>
        <a:xfrm>
          <a:off x="704850" y="67265550"/>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EPARGNE ET PLACEMENT - NOMBRE</a:t>
          </a:r>
          <a:r>
            <a:rPr lang="fr-FR" sz="1300" b="1" baseline="0">
              <a:latin typeface="Arial" panose="020B0604020202020204" pitchFamily="34" charset="0"/>
              <a:cs typeface="Arial" panose="020B0604020202020204" pitchFamily="34" charset="0"/>
            </a:rPr>
            <a:t> MOYEN MENSUEL DE VENTES PAR GESTIONNAIRE</a:t>
          </a:r>
          <a:endParaRPr lang="fr-FR" sz="1300" b="1">
            <a:latin typeface="Arial" panose="020B0604020202020204" pitchFamily="34" charset="0"/>
            <a:cs typeface="Arial" panose="020B0604020202020204" pitchFamily="34" charset="0"/>
          </a:endParaRPr>
        </a:p>
      </xdr:txBody>
    </xdr:sp>
    <xdr:clientData/>
  </xdr:twoCellAnchor>
  <xdr:twoCellAnchor>
    <xdr:from>
      <xdr:col>9</xdr:col>
      <xdr:colOff>746125</xdr:colOff>
      <xdr:row>490</xdr:row>
      <xdr:rowOff>47624</xdr:rowOff>
    </xdr:from>
    <xdr:to>
      <xdr:col>14</xdr:col>
      <xdr:colOff>533401</xdr:colOff>
      <xdr:row>493</xdr:row>
      <xdr:rowOff>19050</xdr:rowOff>
    </xdr:to>
    <xdr:grpSp>
      <xdr:nvGrpSpPr>
        <xdr:cNvPr id="179" name="Groupe 178">
          <a:extLst>
            <a:ext uri="{FF2B5EF4-FFF2-40B4-BE49-F238E27FC236}">
              <a16:creationId xmlns:a16="http://schemas.microsoft.com/office/drawing/2014/main" id="{00000000-0008-0000-0200-0000B3000000}"/>
            </a:ext>
          </a:extLst>
        </xdr:cNvPr>
        <xdr:cNvGrpSpPr/>
      </xdr:nvGrpSpPr>
      <xdr:grpSpPr>
        <a:xfrm>
          <a:off x="6194425" y="80629124"/>
          <a:ext cx="3795396" cy="520066"/>
          <a:chOff x="6334125" y="65893949"/>
          <a:chExt cx="3343276" cy="542926"/>
        </a:xfrm>
      </xdr:grpSpPr>
      <xdr:sp macro="" textlink="">
        <xdr:nvSpPr>
          <xdr:cNvPr id="180" name="ZoneTexte 179">
            <a:extLst>
              <a:ext uri="{FF2B5EF4-FFF2-40B4-BE49-F238E27FC236}">
                <a16:creationId xmlns:a16="http://schemas.microsoft.com/office/drawing/2014/main" id="{00000000-0008-0000-0200-0000B4000000}"/>
              </a:ext>
            </a:extLst>
          </xdr:cNvPr>
          <xdr:cNvSpPr txBox="1"/>
        </xdr:nvSpPr>
        <xdr:spPr>
          <a:xfrm>
            <a:off x="6334125" y="66036825"/>
            <a:ext cx="3343276"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900" i="1"/>
              <a:t>Niveau d'efficatité  commerciale moyenne</a:t>
            </a:r>
            <a:r>
              <a:rPr lang="fr-FR" sz="900" i="1" baseline="0"/>
              <a:t> mensuelle depuis le début de l'année</a:t>
            </a:r>
            <a:endParaRPr lang="fr-FR" sz="900" i="1"/>
          </a:p>
        </xdr:txBody>
      </xdr:sp>
      <xdr:cxnSp macro="">
        <xdr:nvCxnSpPr>
          <xdr:cNvPr id="181" name="Connecteur droit 180">
            <a:extLst>
              <a:ext uri="{FF2B5EF4-FFF2-40B4-BE49-F238E27FC236}">
                <a16:creationId xmlns:a16="http://schemas.microsoft.com/office/drawing/2014/main" id="{00000000-0008-0000-0200-0000B5000000}"/>
              </a:ext>
            </a:extLst>
          </xdr:cNvPr>
          <xdr:cNvCxnSpPr/>
        </xdr:nvCxnSpPr>
        <xdr:spPr>
          <a:xfrm>
            <a:off x="6438900" y="65970150"/>
            <a:ext cx="468000"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82" name="Rectangle 181">
            <a:extLst>
              <a:ext uri="{FF2B5EF4-FFF2-40B4-BE49-F238E27FC236}">
                <a16:creationId xmlns:a16="http://schemas.microsoft.com/office/drawing/2014/main" id="{00000000-0008-0000-0200-0000B6000000}"/>
              </a:ext>
            </a:extLst>
          </xdr:cNvPr>
          <xdr:cNvSpPr/>
        </xdr:nvSpPr>
        <xdr:spPr>
          <a:xfrm>
            <a:off x="6353175" y="65893949"/>
            <a:ext cx="3209925" cy="542925"/>
          </a:xfrm>
          <a:prstGeom prst="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2</xdr:col>
      <xdr:colOff>76200</xdr:colOff>
      <xdr:row>460</xdr:row>
      <xdr:rowOff>38100</xdr:rowOff>
    </xdr:from>
    <xdr:to>
      <xdr:col>8</xdr:col>
      <xdr:colOff>559510</xdr:colOff>
      <xdr:row>474</xdr:row>
      <xdr:rowOff>142426</xdr:rowOff>
    </xdr:to>
    <xdr:graphicFrame macro="">
      <xdr:nvGraphicFramePr>
        <xdr:cNvPr id="185" name="Graphique 184">
          <a:extLst>
            <a:ext uri="{FF2B5EF4-FFF2-40B4-BE49-F238E27FC236}">
              <a16:creationId xmlns:a16="http://schemas.microsoft.com/office/drawing/2014/main" id="{00000000-0008-0000-0200-0000B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xdr:col>
      <xdr:colOff>87406</xdr:colOff>
      <xdr:row>475</xdr:row>
      <xdr:rowOff>68916</xdr:rowOff>
    </xdr:from>
    <xdr:to>
      <xdr:col>8</xdr:col>
      <xdr:colOff>570716</xdr:colOff>
      <xdr:row>490</xdr:row>
      <xdr:rowOff>97042</xdr:rowOff>
    </xdr:to>
    <xdr:graphicFrame macro="">
      <xdr:nvGraphicFramePr>
        <xdr:cNvPr id="186" name="Graphique 185">
          <a:extLst>
            <a:ext uri="{FF2B5EF4-FFF2-40B4-BE49-F238E27FC236}">
              <a16:creationId xmlns:a16="http://schemas.microsoft.com/office/drawing/2014/main" id="{00000000-0008-0000-0200-0000B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oneCellAnchor>
    <xdr:from>
      <xdr:col>1</xdr:col>
      <xdr:colOff>219075</xdr:colOff>
      <xdr:row>531</xdr:row>
      <xdr:rowOff>133350</xdr:rowOff>
    </xdr:from>
    <xdr:ext cx="1442508" cy="311900"/>
    <xdr:pic>
      <xdr:nvPicPr>
        <xdr:cNvPr id="187" name="Logo SG">
          <a:extLst>
            <a:ext uri="{FF2B5EF4-FFF2-40B4-BE49-F238E27FC236}">
              <a16:creationId xmlns:a16="http://schemas.microsoft.com/office/drawing/2014/main" id="{00000000-0008-0000-0200-0000B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81029175"/>
          <a:ext cx="1442508" cy="311900"/>
        </a:xfrm>
        <a:prstGeom prst="rect">
          <a:avLst/>
        </a:prstGeom>
      </xdr:spPr>
    </xdr:pic>
    <xdr:clientData/>
  </xdr:oneCellAnchor>
  <xdr:twoCellAnchor>
    <xdr:from>
      <xdr:col>3</xdr:col>
      <xdr:colOff>19050</xdr:colOff>
      <xdr:row>498</xdr:row>
      <xdr:rowOff>85725</xdr:rowOff>
    </xdr:from>
    <xdr:to>
      <xdr:col>14</xdr:col>
      <xdr:colOff>295275</xdr:colOff>
      <xdr:row>499</xdr:row>
      <xdr:rowOff>104775</xdr:rowOff>
    </xdr:to>
    <xdr:sp macro="" textlink="">
      <xdr:nvSpPr>
        <xdr:cNvPr id="188" name="ZoneTexte 187">
          <a:extLst>
            <a:ext uri="{FF2B5EF4-FFF2-40B4-BE49-F238E27FC236}">
              <a16:creationId xmlns:a16="http://schemas.microsoft.com/office/drawing/2014/main" id="{00000000-0008-0000-0200-0000BC000000}"/>
            </a:ext>
          </a:extLst>
        </xdr:cNvPr>
        <xdr:cNvSpPr txBox="1"/>
      </xdr:nvSpPr>
      <xdr:spPr>
        <a:xfrm>
          <a:off x="704850" y="74685525"/>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CARTE - NOMBRE</a:t>
          </a:r>
          <a:r>
            <a:rPr lang="fr-FR" sz="1300" b="1" baseline="0">
              <a:latin typeface="Arial" panose="020B0604020202020204" pitchFamily="34" charset="0"/>
              <a:cs typeface="Arial" panose="020B0604020202020204" pitchFamily="34" charset="0"/>
            </a:rPr>
            <a:t> MOYEN MENSUEL DE VENTES PAR GESTIONNAIRE </a:t>
          </a:r>
          <a:endParaRPr lang="fr-FR" sz="1300" b="1">
            <a:latin typeface="Arial" panose="020B0604020202020204" pitchFamily="34" charset="0"/>
            <a:cs typeface="Arial" panose="020B0604020202020204" pitchFamily="34" charset="0"/>
          </a:endParaRPr>
        </a:p>
      </xdr:txBody>
    </xdr:sp>
    <xdr:clientData/>
  </xdr:twoCellAnchor>
  <xdr:twoCellAnchor>
    <xdr:from>
      <xdr:col>10</xdr:col>
      <xdr:colOff>314325</xdr:colOff>
      <xdr:row>530</xdr:row>
      <xdr:rowOff>47624</xdr:rowOff>
    </xdr:from>
    <xdr:to>
      <xdr:col>14</xdr:col>
      <xdr:colOff>533401</xdr:colOff>
      <xdr:row>533</xdr:row>
      <xdr:rowOff>19050</xdr:rowOff>
    </xdr:to>
    <xdr:grpSp>
      <xdr:nvGrpSpPr>
        <xdr:cNvPr id="189" name="Groupe 188">
          <a:extLst>
            <a:ext uri="{FF2B5EF4-FFF2-40B4-BE49-F238E27FC236}">
              <a16:creationId xmlns:a16="http://schemas.microsoft.com/office/drawing/2014/main" id="{00000000-0008-0000-0200-0000BD000000}"/>
            </a:ext>
          </a:extLst>
        </xdr:cNvPr>
        <xdr:cNvGrpSpPr/>
      </xdr:nvGrpSpPr>
      <xdr:grpSpPr>
        <a:xfrm>
          <a:off x="6547485" y="87784304"/>
          <a:ext cx="3442336" cy="520066"/>
          <a:chOff x="6334125" y="65893949"/>
          <a:chExt cx="3343276" cy="542926"/>
        </a:xfrm>
      </xdr:grpSpPr>
      <xdr:sp macro="" textlink="">
        <xdr:nvSpPr>
          <xdr:cNvPr id="191" name="ZoneTexte 190">
            <a:extLst>
              <a:ext uri="{FF2B5EF4-FFF2-40B4-BE49-F238E27FC236}">
                <a16:creationId xmlns:a16="http://schemas.microsoft.com/office/drawing/2014/main" id="{00000000-0008-0000-0200-0000BF000000}"/>
              </a:ext>
            </a:extLst>
          </xdr:cNvPr>
          <xdr:cNvSpPr txBox="1"/>
        </xdr:nvSpPr>
        <xdr:spPr>
          <a:xfrm>
            <a:off x="6334125" y="66036825"/>
            <a:ext cx="3343276"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900" i="1"/>
              <a:t>Niveau d'efficatité  commerciale moyenne</a:t>
            </a:r>
            <a:r>
              <a:rPr lang="fr-FR" sz="900" i="1" baseline="0"/>
              <a:t> mensuelle depuis le début de l'année</a:t>
            </a:r>
            <a:endParaRPr lang="fr-FR" sz="900" i="1"/>
          </a:p>
        </xdr:txBody>
      </xdr:sp>
      <xdr:cxnSp macro="">
        <xdr:nvCxnSpPr>
          <xdr:cNvPr id="192" name="Connecteur droit 191">
            <a:extLst>
              <a:ext uri="{FF2B5EF4-FFF2-40B4-BE49-F238E27FC236}">
                <a16:creationId xmlns:a16="http://schemas.microsoft.com/office/drawing/2014/main" id="{00000000-0008-0000-0200-0000C0000000}"/>
              </a:ext>
            </a:extLst>
          </xdr:cNvPr>
          <xdr:cNvCxnSpPr/>
        </xdr:nvCxnSpPr>
        <xdr:spPr>
          <a:xfrm>
            <a:off x="6438900" y="65970150"/>
            <a:ext cx="468000"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93" name="Rectangle 192">
            <a:extLst>
              <a:ext uri="{FF2B5EF4-FFF2-40B4-BE49-F238E27FC236}">
                <a16:creationId xmlns:a16="http://schemas.microsoft.com/office/drawing/2014/main" id="{00000000-0008-0000-0200-0000C1000000}"/>
              </a:ext>
            </a:extLst>
          </xdr:cNvPr>
          <xdr:cNvSpPr/>
        </xdr:nvSpPr>
        <xdr:spPr>
          <a:xfrm>
            <a:off x="6353175" y="65893949"/>
            <a:ext cx="3209925" cy="542925"/>
          </a:xfrm>
          <a:prstGeom prst="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3</xdr:col>
      <xdr:colOff>0</xdr:colOff>
      <xdr:row>500</xdr:row>
      <xdr:rowOff>0</xdr:rowOff>
    </xdr:from>
    <xdr:to>
      <xdr:col>8</xdr:col>
      <xdr:colOff>588085</xdr:colOff>
      <xdr:row>514</xdr:row>
      <xdr:rowOff>104326</xdr:rowOff>
    </xdr:to>
    <xdr:graphicFrame macro="">
      <xdr:nvGraphicFramePr>
        <xdr:cNvPr id="196" name="Graphique 195">
          <a:extLst>
            <a:ext uri="{FF2B5EF4-FFF2-40B4-BE49-F238E27FC236}">
              <a16:creationId xmlns:a16="http://schemas.microsoft.com/office/drawing/2014/main" id="{00000000-0008-0000-0200-0000C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xdr:col>
      <xdr:colOff>11206</xdr:colOff>
      <xdr:row>515</xdr:row>
      <xdr:rowOff>30816</xdr:rowOff>
    </xdr:from>
    <xdr:to>
      <xdr:col>8</xdr:col>
      <xdr:colOff>599291</xdr:colOff>
      <xdr:row>530</xdr:row>
      <xdr:rowOff>58942</xdr:rowOff>
    </xdr:to>
    <xdr:graphicFrame macro="">
      <xdr:nvGraphicFramePr>
        <xdr:cNvPr id="197" name="Graphique 196">
          <a:extLst>
            <a:ext uri="{FF2B5EF4-FFF2-40B4-BE49-F238E27FC236}">
              <a16:creationId xmlns:a16="http://schemas.microsoft.com/office/drawing/2014/main" id="{00000000-0008-0000-0200-0000C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oneCellAnchor>
    <xdr:from>
      <xdr:col>1</xdr:col>
      <xdr:colOff>219075</xdr:colOff>
      <xdr:row>571</xdr:row>
      <xdr:rowOff>133350</xdr:rowOff>
    </xdr:from>
    <xdr:ext cx="1442508" cy="311900"/>
    <xdr:pic>
      <xdr:nvPicPr>
        <xdr:cNvPr id="198" name="Logo SG">
          <a:extLst>
            <a:ext uri="{FF2B5EF4-FFF2-40B4-BE49-F238E27FC236}">
              <a16:creationId xmlns:a16="http://schemas.microsoft.com/office/drawing/2014/main" id="{00000000-0008-0000-0200-0000C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88449150"/>
          <a:ext cx="1442508" cy="311900"/>
        </a:xfrm>
        <a:prstGeom prst="rect">
          <a:avLst/>
        </a:prstGeom>
      </xdr:spPr>
    </xdr:pic>
    <xdr:clientData/>
  </xdr:oneCellAnchor>
  <xdr:twoCellAnchor>
    <xdr:from>
      <xdr:col>3</xdr:col>
      <xdr:colOff>19050</xdr:colOff>
      <xdr:row>538</xdr:row>
      <xdr:rowOff>85725</xdr:rowOff>
    </xdr:from>
    <xdr:to>
      <xdr:col>14</xdr:col>
      <xdr:colOff>295275</xdr:colOff>
      <xdr:row>539</xdr:row>
      <xdr:rowOff>104775</xdr:rowOff>
    </xdr:to>
    <xdr:sp macro="" textlink="">
      <xdr:nvSpPr>
        <xdr:cNvPr id="199" name="ZoneTexte 198">
          <a:extLst>
            <a:ext uri="{FF2B5EF4-FFF2-40B4-BE49-F238E27FC236}">
              <a16:creationId xmlns:a16="http://schemas.microsoft.com/office/drawing/2014/main" id="{00000000-0008-0000-0200-0000C7000000}"/>
            </a:ext>
          </a:extLst>
        </xdr:cNvPr>
        <xdr:cNvSpPr txBox="1"/>
      </xdr:nvSpPr>
      <xdr:spPr>
        <a:xfrm>
          <a:off x="704850" y="82105500"/>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BAD - NOMBRE</a:t>
          </a:r>
          <a:r>
            <a:rPr lang="fr-FR" sz="1300" b="1" baseline="0">
              <a:latin typeface="Arial" panose="020B0604020202020204" pitchFamily="34" charset="0"/>
              <a:cs typeface="Arial" panose="020B0604020202020204" pitchFamily="34" charset="0"/>
            </a:rPr>
            <a:t> MOYEN MENSUEL DE VENTES PAR GESTIONNAIRE</a:t>
          </a:r>
          <a:endParaRPr lang="fr-FR" sz="1300" b="1">
            <a:latin typeface="Arial" panose="020B0604020202020204" pitchFamily="34" charset="0"/>
            <a:cs typeface="Arial" panose="020B0604020202020204" pitchFamily="34" charset="0"/>
          </a:endParaRPr>
        </a:p>
      </xdr:txBody>
    </xdr:sp>
    <xdr:clientData/>
  </xdr:twoCellAnchor>
  <xdr:twoCellAnchor>
    <xdr:from>
      <xdr:col>10</xdr:col>
      <xdr:colOff>23813</xdr:colOff>
      <xdr:row>570</xdr:row>
      <xdr:rowOff>47624</xdr:rowOff>
    </xdr:from>
    <xdr:to>
      <xdr:col>14</xdr:col>
      <xdr:colOff>533401</xdr:colOff>
      <xdr:row>573</xdr:row>
      <xdr:rowOff>19050</xdr:rowOff>
    </xdr:to>
    <xdr:grpSp>
      <xdr:nvGrpSpPr>
        <xdr:cNvPr id="200" name="Groupe 199">
          <a:extLst>
            <a:ext uri="{FF2B5EF4-FFF2-40B4-BE49-F238E27FC236}">
              <a16:creationId xmlns:a16="http://schemas.microsoft.com/office/drawing/2014/main" id="{00000000-0008-0000-0200-0000C8000000}"/>
            </a:ext>
          </a:extLst>
        </xdr:cNvPr>
        <xdr:cNvGrpSpPr/>
      </xdr:nvGrpSpPr>
      <xdr:grpSpPr>
        <a:xfrm>
          <a:off x="6256973" y="94939484"/>
          <a:ext cx="3732848" cy="520066"/>
          <a:chOff x="6334125" y="65893949"/>
          <a:chExt cx="3343276" cy="542926"/>
        </a:xfrm>
      </xdr:grpSpPr>
      <xdr:sp macro="" textlink="">
        <xdr:nvSpPr>
          <xdr:cNvPr id="207" name="ZoneTexte 206">
            <a:extLst>
              <a:ext uri="{FF2B5EF4-FFF2-40B4-BE49-F238E27FC236}">
                <a16:creationId xmlns:a16="http://schemas.microsoft.com/office/drawing/2014/main" id="{00000000-0008-0000-0200-0000CF000000}"/>
              </a:ext>
            </a:extLst>
          </xdr:cNvPr>
          <xdr:cNvSpPr txBox="1"/>
        </xdr:nvSpPr>
        <xdr:spPr>
          <a:xfrm>
            <a:off x="6334125" y="66036825"/>
            <a:ext cx="3343276"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900" i="1"/>
              <a:t>Niveau d'efficatité  commerciale moyenne</a:t>
            </a:r>
            <a:r>
              <a:rPr lang="fr-FR" sz="900" i="1" baseline="0"/>
              <a:t> mensuelle depuis le début de l'année</a:t>
            </a:r>
            <a:endParaRPr lang="fr-FR" sz="900" i="1"/>
          </a:p>
        </xdr:txBody>
      </xdr:sp>
      <xdr:cxnSp macro="">
        <xdr:nvCxnSpPr>
          <xdr:cNvPr id="208" name="Connecteur droit 207">
            <a:extLst>
              <a:ext uri="{FF2B5EF4-FFF2-40B4-BE49-F238E27FC236}">
                <a16:creationId xmlns:a16="http://schemas.microsoft.com/office/drawing/2014/main" id="{00000000-0008-0000-0200-0000D0000000}"/>
              </a:ext>
            </a:extLst>
          </xdr:cNvPr>
          <xdr:cNvCxnSpPr/>
        </xdr:nvCxnSpPr>
        <xdr:spPr>
          <a:xfrm>
            <a:off x="6438900" y="65970150"/>
            <a:ext cx="468000"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209" name="Rectangle 208">
            <a:extLst>
              <a:ext uri="{FF2B5EF4-FFF2-40B4-BE49-F238E27FC236}">
                <a16:creationId xmlns:a16="http://schemas.microsoft.com/office/drawing/2014/main" id="{00000000-0008-0000-0200-0000D1000000}"/>
              </a:ext>
            </a:extLst>
          </xdr:cNvPr>
          <xdr:cNvSpPr/>
        </xdr:nvSpPr>
        <xdr:spPr>
          <a:xfrm>
            <a:off x="6353175" y="65893949"/>
            <a:ext cx="3209925" cy="542925"/>
          </a:xfrm>
          <a:prstGeom prst="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2</xdr:col>
      <xdr:colOff>47625</xdr:colOff>
      <xdr:row>540</xdr:row>
      <xdr:rowOff>38100</xdr:rowOff>
    </xdr:from>
    <xdr:to>
      <xdr:col>8</xdr:col>
      <xdr:colOff>530935</xdr:colOff>
      <xdr:row>554</xdr:row>
      <xdr:rowOff>142426</xdr:rowOff>
    </xdr:to>
    <xdr:graphicFrame macro="">
      <xdr:nvGraphicFramePr>
        <xdr:cNvPr id="221" name="Graphique 220">
          <a:extLst>
            <a:ext uri="{FF2B5EF4-FFF2-40B4-BE49-F238E27FC236}">
              <a16:creationId xmlns:a16="http://schemas.microsoft.com/office/drawing/2014/main" id="{00000000-0008-0000-02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2</xdr:col>
      <xdr:colOff>58831</xdr:colOff>
      <xdr:row>555</xdr:row>
      <xdr:rowOff>68916</xdr:rowOff>
    </xdr:from>
    <xdr:to>
      <xdr:col>8</xdr:col>
      <xdr:colOff>542141</xdr:colOff>
      <xdr:row>570</xdr:row>
      <xdr:rowOff>97042</xdr:rowOff>
    </xdr:to>
    <xdr:graphicFrame macro="">
      <xdr:nvGraphicFramePr>
        <xdr:cNvPr id="222" name="Graphique 221">
          <a:extLst>
            <a:ext uri="{FF2B5EF4-FFF2-40B4-BE49-F238E27FC236}">
              <a16:creationId xmlns:a16="http://schemas.microsoft.com/office/drawing/2014/main" id="{00000000-0008-0000-02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oneCellAnchor>
    <xdr:from>
      <xdr:col>1</xdr:col>
      <xdr:colOff>219075</xdr:colOff>
      <xdr:row>411</xdr:row>
      <xdr:rowOff>133350</xdr:rowOff>
    </xdr:from>
    <xdr:ext cx="1442508" cy="311900"/>
    <xdr:pic>
      <xdr:nvPicPr>
        <xdr:cNvPr id="223" name="Logo SG">
          <a:extLst>
            <a:ext uri="{FF2B5EF4-FFF2-40B4-BE49-F238E27FC236}">
              <a16:creationId xmlns:a16="http://schemas.microsoft.com/office/drawing/2014/main" id="{00000000-0008-0000-0200-0000D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1500" y="103489125"/>
          <a:ext cx="1442508" cy="311900"/>
        </a:xfrm>
        <a:prstGeom prst="rect">
          <a:avLst/>
        </a:prstGeom>
      </xdr:spPr>
    </xdr:pic>
    <xdr:clientData/>
  </xdr:oneCellAnchor>
  <xdr:twoCellAnchor>
    <xdr:from>
      <xdr:col>3</xdr:col>
      <xdr:colOff>19050</xdr:colOff>
      <xdr:row>378</xdr:row>
      <xdr:rowOff>85725</xdr:rowOff>
    </xdr:from>
    <xdr:to>
      <xdr:col>14</xdr:col>
      <xdr:colOff>295275</xdr:colOff>
      <xdr:row>379</xdr:row>
      <xdr:rowOff>104775</xdr:rowOff>
    </xdr:to>
    <xdr:sp macro="" textlink="">
      <xdr:nvSpPr>
        <xdr:cNvPr id="224" name="ZoneTexte 223">
          <a:extLst>
            <a:ext uri="{FF2B5EF4-FFF2-40B4-BE49-F238E27FC236}">
              <a16:creationId xmlns:a16="http://schemas.microsoft.com/office/drawing/2014/main" id="{00000000-0008-0000-0200-0000E0000000}"/>
            </a:ext>
          </a:extLst>
        </xdr:cNvPr>
        <xdr:cNvSpPr txBox="1"/>
      </xdr:nvSpPr>
      <xdr:spPr>
        <a:xfrm>
          <a:off x="704850" y="97145475"/>
          <a:ext cx="8734425" cy="238125"/>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CAV</a:t>
          </a:r>
          <a:r>
            <a:rPr lang="fr-FR" sz="1300" b="1" baseline="0">
              <a:latin typeface="Arial" panose="020B0604020202020204" pitchFamily="34" charset="0"/>
              <a:cs typeface="Arial" panose="020B0604020202020204" pitchFamily="34" charset="0"/>
            </a:rPr>
            <a:t> </a:t>
          </a:r>
          <a:r>
            <a:rPr lang="fr-FR" sz="1300" b="1">
              <a:latin typeface="Arial" panose="020B0604020202020204" pitchFamily="34" charset="0"/>
              <a:cs typeface="Arial" panose="020B0604020202020204" pitchFamily="34" charset="0"/>
            </a:rPr>
            <a:t>- NOMBRE</a:t>
          </a:r>
          <a:r>
            <a:rPr lang="fr-FR" sz="1300" b="1" baseline="0">
              <a:latin typeface="Arial" panose="020B0604020202020204" pitchFamily="34" charset="0"/>
              <a:cs typeface="Arial" panose="020B0604020202020204" pitchFamily="34" charset="0"/>
            </a:rPr>
            <a:t> MOYEN MENSUEL DE VENTES PAR GESTIONNAIRE</a:t>
          </a:r>
          <a:endParaRPr lang="fr-FR" sz="1300" b="1">
            <a:latin typeface="Arial" panose="020B0604020202020204" pitchFamily="34" charset="0"/>
            <a:cs typeface="Arial" panose="020B0604020202020204" pitchFamily="34" charset="0"/>
          </a:endParaRPr>
        </a:p>
      </xdr:txBody>
    </xdr:sp>
    <xdr:clientData/>
  </xdr:twoCellAnchor>
  <xdr:twoCellAnchor>
    <xdr:from>
      <xdr:col>10</xdr:col>
      <xdr:colOff>142875</xdr:colOff>
      <xdr:row>410</xdr:row>
      <xdr:rowOff>47624</xdr:rowOff>
    </xdr:from>
    <xdr:to>
      <xdr:col>14</xdr:col>
      <xdr:colOff>682625</xdr:colOff>
      <xdr:row>413</xdr:row>
      <xdr:rowOff>19050</xdr:rowOff>
    </xdr:to>
    <xdr:grpSp>
      <xdr:nvGrpSpPr>
        <xdr:cNvPr id="225" name="Groupe 224">
          <a:extLst>
            <a:ext uri="{FF2B5EF4-FFF2-40B4-BE49-F238E27FC236}">
              <a16:creationId xmlns:a16="http://schemas.microsoft.com/office/drawing/2014/main" id="{00000000-0008-0000-0200-0000E1000000}"/>
            </a:ext>
          </a:extLst>
        </xdr:cNvPr>
        <xdr:cNvGrpSpPr/>
      </xdr:nvGrpSpPr>
      <xdr:grpSpPr>
        <a:xfrm>
          <a:off x="6376035" y="66318764"/>
          <a:ext cx="3763010" cy="520066"/>
          <a:chOff x="6334125" y="65893949"/>
          <a:chExt cx="3343276" cy="542926"/>
        </a:xfrm>
      </xdr:grpSpPr>
      <xdr:sp macro="" textlink="">
        <xdr:nvSpPr>
          <xdr:cNvPr id="226" name="ZoneTexte 225">
            <a:extLst>
              <a:ext uri="{FF2B5EF4-FFF2-40B4-BE49-F238E27FC236}">
                <a16:creationId xmlns:a16="http://schemas.microsoft.com/office/drawing/2014/main" id="{00000000-0008-0000-0200-0000E2000000}"/>
              </a:ext>
            </a:extLst>
          </xdr:cNvPr>
          <xdr:cNvSpPr txBox="1"/>
        </xdr:nvSpPr>
        <xdr:spPr>
          <a:xfrm>
            <a:off x="6334125" y="66036825"/>
            <a:ext cx="3343276"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900" i="1"/>
              <a:t>Niveau d'efficatité  commerciale moyenne</a:t>
            </a:r>
            <a:r>
              <a:rPr lang="fr-FR" sz="900" i="1" baseline="0"/>
              <a:t> mensuelle depuis le début de l'année</a:t>
            </a:r>
            <a:endParaRPr lang="fr-FR" sz="900" i="1"/>
          </a:p>
        </xdr:txBody>
      </xdr:sp>
      <xdr:cxnSp macro="">
        <xdr:nvCxnSpPr>
          <xdr:cNvPr id="233" name="Connecteur droit 232">
            <a:extLst>
              <a:ext uri="{FF2B5EF4-FFF2-40B4-BE49-F238E27FC236}">
                <a16:creationId xmlns:a16="http://schemas.microsoft.com/office/drawing/2014/main" id="{00000000-0008-0000-0200-0000E9000000}"/>
              </a:ext>
            </a:extLst>
          </xdr:cNvPr>
          <xdr:cNvCxnSpPr/>
        </xdr:nvCxnSpPr>
        <xdr:spPr>
          <a:xfrm>
            <a:off x="6438900" y="65970150"/>
            <a:ext cx="468000"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234" name="Rectangle 233">
            <a:extLst>
              <a:ext uri="{FF2B5EF4-FFF2-40B4-BE49-F238E27FC236}">
                <a16:creationId xmlns:a16="http://schemas.microsoft.com/office/drawing/2014/main" id="{00000000-0008-0000-0200-0000EA000000}"/>
              </a:ext>
            </a:extLst>
          </xdr:cNvPr>
          <xdr:cNvSpPr/>
        </xdr:nvSpPr>
        <xdr:spPr>
          <a:xfrm>
            <a:off x="6353175" y="65893949"/>
            <a:ext cx="3209925" cy="542925"/>
          </a:xfrm>
          <a:prstGeom prst="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2</xdr:col>
      <xdr:colOff>38100</xdr:colOff>
      <xdr:row>380</xdr:row>
      <xdr:rowOff>19050</xdr:rowOff>
    </xdr:from>
    <xdr:to>
      <xdr:col>8</xdr:col>
      <xdr:colOff>521410</xdr:colOff>
      <xdr:row>394</xdr:row>
      <xdr:rowOff>123376</xdr:rowOff>
    </xdr:to>
    <xdr:graphicFrame macro="">
      <xdr:nvGraphicFramePr>
        <xdr:cNvPr id="243" name="Graphique 242">
          <a:extLst>
            <a:ext uri="{FF2B5EF4-FFF2-40B4-BE49-F238E27FC236}">
              <a16:creationId xmlns:a16="http://schemas.microsoft.com/office/drawing/2014/main" id="{00000000-0008-0000-02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2</xdr:col>
      <xdr:colOff>49306</xdr:colOff>
      <xdr:row>395</xdr:row>
      <xdr:rowOff>49866</xdr:rowOff>
    </xdr:from>
    <xdr:to>
      <xdr:col>8</xdr:col>
      <xdr:colOff>532616</xdr:colOff>
      <xdr:row>410</xdr:row>
      <xdr:rowOff>77992</xdr:rowOff>
    </xdr:to>
    <xdr:graphicFrame macro="">
      <xdr:nvGraphicFramePr>
        <xdr:cNvPr id="244" name="Graphique 243">
          <a:extLst>
            <a:ext uri="{FF2B5EF4-FFF2-40B4-BE49-F238E27FC236}">
              <a16:creationId xmlns:a16="http://schemas.microsoft.com/office/drawing/2014/main" id="{00000000-0008-0000-02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2</xdr:col>
      <xdr:colOff>0</xdr:colOff>
      <xdr:row>223</xdr:row>
      <xdr:rowOff>152400</xdr:rowOff>
    </xdr:from>
    <xdr:to>
      <xdr:col>8</xdr:col>
      <xdr:colOff>483310</xdr:colOff>
      <xdr:row>238</xdr:row>
      <xdr:rowOff>28126</xdr:rowOff>
    </xdr:to>
    <xdr:graphicFrame macro="">
      <xdr:nvGraphicFramePr>
        <xdr:cNvPr id="245" name="Graphique 244">
          <a:extLst>
            <a:ext uri="{FF2B5EF4-FFF2-40B4-BE49-F238E27FC236}">
              <a16:creationId xmlns:a16="http://schemas.microsoft.com/office/drawing/2014/main" id="{00000000-0008-0000-0200-0000F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647700</xdr:colOff>
      <xdr:row>223</xdr:row>
      <xdr:rowOff>149599</xdr:rowOff>
    </xdr:from>
    <xdr:to>
      <xdr:col>14</xdr:col>
      <xdr:colOff>397585</xdr:colOff>
      <xdr:row>238</xdr:row>
      <xdr:rowOff>28575</xdr:rowOff>
    </xdr:to>
    <xdr:graphicFrame macro="">
      <xdr:nvGraphicFramePr>
        <xdr:cNvPr id="254" name="Graphique 253">
          <a:extLst>
            <a:ext uri="{FF2B5EF4-FFF2-40B4-BE49-F238E27FC236}">
              <a16:creationId xmlns:a16="http://schemas.microsoft.com/office/drawing/2014/main" id="{00000000-0008-0000-0200-0000F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2</xdr:col>
      <xdr:colOff>1682</xdr:colOff>
      <xdr:row>238</xdr:row>
      <xdr:rowOff>104775</xdr:rowOff>
    </xdr:from>
    <xdr:to>
      <xdr:col>8</xdr:col>
      <xdr:colOff>484992</xdr:colOff>
      <xdr:row>253</xdr:row>
      <xdr:rowOff>47176</xdr:rowOff>
    </xdr:to>
    <xdr:graphicFrame macro="">
      <xdr:nvGraphicFramePr>
        <xdr:cNvPr id="255" name="Graphique 254">
          <a:extLst>
            <a:ext uri="{FF2B5EF4-FFF2-40B4-BE49-F238E27FC236}">
              <a16:creationId xmlns:a16="http://schemas.microsoft.com/office/drawing/2014/main" id="{00000000-0008-0000-0200-0000F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666750</xdr:colOff>
      <xdr:row>238</xdr:row>
      <xdr:rowOff>122705</xdr:rowOff>
    </xdr:from>
    <xdr:to>
      <xdr:col>14</xdr:col>
      <xdr:colOff>416635</xdr:colOff>
      <xdr:row>254</xdr:row>
      <xdr:rowOff>17481</xdr:rowOff>
    </xdr:to>
    <xdr:graphicFrame macro="">
      <xdr:nvGraphicFramePr>
        <xdr:cNvPr id="256" name="Graphique 255">
          <a:extLst>
            <a:ext uri="{FF2B5EF4-FFF2-40B4-BE49-F238E27FC236}">
              <a16:creationId xmlns:a16="http://schemas.microsoft.com/office/drawing/2014/main" id="{00000000-0008-0000-0200-000000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1</xdr:col>
      <xdr:colOff>217095</xdr:colOff>
      <xdr:row>300</xdr:row>
      <xdr:rowOff>159727</xdr:rowOff>
    </xdr:from>
    <xdr:to>
      <xdr:col>8</xdr:col>
      <xdr:colOff>473270</xdr:colOff>
      <xdr:row>315</xdr:row>
      <xdr:rowOff>36185</xdr:rowOff>
    </xdr:to>
    <xdr:graphicFrame macro="">
      <xdr:nvGraphicFramePr>
        <xdr:cNvPr id="259" name="Graphique 258">
          <a:extLst>
            <a:ext uri="{FF2B5EF4-FFF2-40B4-BE49-F238E27FC236}">
              <a16:creationId xmlns:a16="http://schemas.microsoft.com/office/drawing/2014/main" id="{00000000-0008-0000-0200-000003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616927</xdr:colOff>
      <xdr:row>300</xdr:row>
      <xdr:rowOff>175976</xdr:rowOff>
    </xdr:from>
    <xdr:to>
      <xdr:col>14</xdr:col>
      <xdr:colOff>366812</xdr:colOff>
      <xdr:row>315</xdr:row>
      <xdr:rowOff>100059</xdr:rowOff>
    </xdr:to>
    <xdr:graphicFrame macro="">
      <xdr:nvGraphicFramePr>
        <xdr:cNvPr id="268" name="Graphique 267">
          <a:extLst>
            <a:ext uri="{FF2B5EF4-FFF2-40B4-BE49-F238E27FC236}">
              <a16:creationId xmlns:a16="http://schemas.microsoft.com/office/drawing/2014/main" id="{00000000-0008-0000-0200-00000C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10</xdr:col>
      <xdr:colOff>274028</xdr:colOff>
      <xdr:row>316</xdr:row>
      <xdr:rowOff>57883</xdr:rowOff>
    </xdr:from>
    <xdr:to>
      <xdr:col>14</xdr:col>
      <xdr:colOff>378860</xdr:colOff>
      <xdr:row>319</xdr:row>
      <xdr:rowOff>29309</xdr:rowOff>
    </xdr:to>
    <xdr:grpSp>
      <xdr:nvGrpSpPr>
        <xdr:cNvPr id="269" name="Groupe 268">
          <a:extLst>
            <a:ext uri="{FF2B5EF4-FFF2-40B4-BE49-F238E27FC236}">
              <a16:creationId xmlns:a16="http://schemas.microsoft.com/office/drawing/2014/main" id="{00000000-0008-0000-0200-00000D010000}"/>
            </a:ext>
          </a:extLst>
        </xdr:cNvPr>
        <xdr:cNvGrpSpPr/>
      </xdr:nvGrpSpPr>
      <xdr:grpSpPr>
        <a:xfrm>
          <a:off x="6507188" y="49580263"/>
          <a:ext cx="3328092" cy="520066"/>
          <a:chOff x="6334125" y="65893949"/>
          <a:chExt cx="3228975" cy="542926"/>
        </a:xfrm>
      </xdr:grpSpPr>
      <xdr:sp macro="" textlink="">
        <xdr:nvSpPr>
          <xdr:cNvPr id="270" name="ZoneTexte 269">
            <a:extLst>
              <a:ext uri="{FF2B5EF4-FFF2-40B4-BE49-F238E27FC236}">
                <a16:creationId xmlns:a16="http://schemas.microsoft.com/office/drawing/2014/main" id="{00000000-0008-0000-0200-00000E010000}"/>
              </a:ext>
            </a:extLst>
          </xdr:cNvPr>
          <xdr:cNvSpPr txBox="1"/>
        </xdr:nvSpPr>
        <xdr:spPr>
          <a:xfrm>
            <a:off x="6334125" y="66036825"/>
            <a:ext cx="3027136" cy="400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900" i="1"/>
              <a:t>Equipement</a:t>
            </a:r>
            <a:r>
              <a:rPr lang="fr-FR" sz="900" i="1" baseline="0"/>
              <a:t> moyen sur l'ensemble du portefeuille à fin fevrier 2023</a:t>
            </a:r>
            <a:endParaRPr lang="fr-FR" sz="900" i="1"/>
          </a:p>
        </xdr:txBody>
      </xdr:sp>
      <xdr:cxnSp macro="">
        <xdr:nvCxnSpPr>
          <xdr:cNvPr id="271" name="Connecteur droit 270">
            <a:extLst>
              <a:ext uri="{FF2B5EF4-FFF2-40B4-BE49-F238E27FC236}">
                <a16:creationId xmlns:a16="http://schemas.microsoft.com/office/drawing/2014/main" id="{00000000-0008-0000-0200-00000F010000}"/>
              </a:ext>
            </a:extLst>
          </xdr:cNvPr>
          <xdr:cNvCxnSpPr/>
        </xdr:nvCxnSpPr>
        <xdr:spPr>
          <a:xfrm>
            <a:off x="6438900" y="65970150"/>
            <a:ext cx="468000" cy="0"/>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272" name="Rectangle 271">
            <a:extLst>
              <a:ext uri="{FF2B5EF4-FFF2-40B4-BE49-F238E27FC236}">
                <a16:creationId xmlns:a16="http://schemas.microsoft.com/office/drawing/2014/main" id="{00000000-0008-0000-0200-000010010000}"/>
              </a:ext>
            </a:extLst>
          </xdr:cNvPr>
          <xdr:cNvSpPr/>
        </xdr:nvSpPr>
        <xdr:spPr>
          <a:xfrm>
            <a:off x="6353175" y="65893949"/>
            <a:ext cx="3209925"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grpSp>
    <xdr:clientData/>
  </xdr:twoCellAnchor>
  <xdr:twoCellAnchor>
    <xdr:from>
      <xdr:col>2</xdr:col>
      <xdr:colOff>19050</xdr:colOff>
      <xdr:row>659</xdr:row>
      <xdr:rowOff>180975</xdr:rowOff>
    </xdr:from>
    <xdr:to>
      <xdr:col>8</xdr:col>
      <xdr:colOff>502360</xdr:colOff>
      <xdr:row>674</xdr:row>
      <xdr:rowOff>56701</xdr:rowOff>
    </xdr:to>
    <xdr:graphicFrame macro="">
      <xdr:nvGraphicFramePr>
        <xdr:cNvPr id="273" name="Graphique 272">
          <a:extLst>
            <a:ext uri="{FF2B5EF4-FFF2-40B4-BE49-F238E27FC236}">
              <a16:creationId xmlns:a16="http://schemas.microsoft.com/office/drawing/2014/main" id="{00000000-0008-0000-0200-000011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546534</xdr:colOff>
      <xdr:row>660</xdr:row>
      <xdr:rowOff>8405</xdr:rowOff>
    </xdr:from>
    <xdr:to>
      <xdr:col>14</xdr:col>
      <xdr:colOff>367241</xdr:colOff>
      <xdr:row>674</xdr:row>
      <xdr:rowOff>47625</xdr:rowOff>
    </xdr:to>
    <xdr:graphicFrame macro="">
      <xdr:nvGraphicFramePr>
        <xdr:cNvPr id="286" name="Graphique 285">
          <a:extLst>
            <a:ext uri="{FF2B5EF4-FFF2-40B4-BE49-F238E27FC236}">
              <a16:creationId xmlns:a16="http://schemas.microsoft.com/office/drawing/2014/main" id="{00000000-0008-0000-0200-00001E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2</xdr:col>
      <xdr:colOff>38100</xdr:colOff>
      <xdr:row>842</xdr:row>
      <xdr:rowOff>177613</xdr:rowOff>
    </xdr:from>
    <xdr:to>
      <xdr:col>8</xdr:col>
      <xdr:colOff>521410</xdr:colOff>
      <xdr:row>857</xdr:row>
      <xdr:rowOff>53339</xdr:rowOff>
    </xdr:to>
    <xdr:graphicFrame macro="">
      <xdr:nvGraphicFramePr>
        <xdr:cNvPr id="287" name="Graphique 286">
          <a:extLst>
            <a:ext uri="{FF2B5EF4-FFF2-40B4-BE49-F238E27FC236}">
              <a16:creationId xmlns:a16="http://schemas.microsoft.com/office/drawing/2014/main" id="{00000000-0008-0000-0200-00001F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614081</xdr:colOff>
      <xdr:row>842</xdr:row>
      <xdr:rowOff>161925</xdr:rowOff>
    </xdr:from>
    <xdr:to>
      <xdr:col>14</xdr:col>
      <xdr:colOff>409575</xdr:colOff>
      <xdr:row>857</xdr:row>
      <xdr:rowOff>54908</xdr:rowOff>
    </xdr:to>
    <xdr:graphicFrame macro="">
      <xdr:nvGraphicFramePr>
        <xdr:cNvPr id="288" name="Graphique 287">
          <a:extLst>
            <a:ext uri="{FF2B5EF4-FFF2-40B4-BE49-F238E27FC236}">
              <a16:creationId xmlns:a16="http://schemas.microsoft.com/office/drawing/2014/main" id="{00000000-0008-0000-0200-000020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2</xdr:col>
      <xdr:colOff>96931</xdr:colOff>
      <xdr:row>963</xdr:row>
      <xdr:rowOff>84043</xdr:rowOff>
    </xdr:from>
    <xdr:to>
      <xdr:col>8</xdr:col>
      <xdr:colOff>580241</xdr:colOff>
      <xdr:row>977</xdr:row>
      <xdr:rowOff>147357</xdr:rowOff>
    </xdr:to>
    <xdr:graphicFrame macro="">
      <xdr:nvGraphicFramePr>
        <xdr:cNvPr id="183" name="Graphique 182">
          <a:extLst>
            <a:ext uri="{FF2B5EF4-FFF2-40B4-BE49-F238E27FC236}">
              <a16:creationId xmlns:a16="http://schemas.microsoft.com/office/drawing/2014/main" id="{00000000-0008-0000-0200-0000B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633803</xdr:colOff>
      <xdr:row>963</xdr:row>
      <xdr:rowOff>104775</xdr:rowOff>
    </xdr:from>
    <xdr:to>
      <xdr:col>14</xdr:col>
      <xdr:colOff>443865</xdr:colOff>
      <xdr:row>977</xdr:row>
      <xdr:rowOff>150158</xdr:rowOff>
    </xdr:to>
    <xdr:graphicFrame macro="">
      <xdr:nvGraphicFramePr>
        <xdr:cNvPr id="184" name="Graphique 183">
          <a:extLst>
            <a:ext uri="{FF2B5EF4-FFF2-40B4-BE49-F238E27FC236}">
              <a16:creationId xmlns:a16="http://schemas.microsoft.com/office/drawing/2014/main" id="{00000000-0008-0000-0200-0000B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3</xdr:col>
      <xdr:colOff>0</xdr:colOff>
      <xdr:row>1003</xdr:row>
      <xdr:rowOff>26893</xdr:rowOff>
    </xdr:from>
    <xdr:to>
      <xdr:col>8</xdr:col>
      <xdr:colOff>588085</xdr:colOff>
      <xdr:row>1017</xdr:row>
      <xdr:rowOff>90207</xdr:rowOff>
    </xdr:to>
    <xdr:graphicFrame macro="">
      <xdr:nvGraphicFramePr>
        <xdr:cNvPr id="210" name="Graphique 209">
          <a:extLst>
            <a:ext uri="{FF2B5EF4-FFF2-40B4-BE49-F238E27FC236}">
              <a16:creationId xmlns:a16="http://schemas.microsoft.com/office/drawing/2014/main" id="{00000000-0008-0000-0200-0000D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654982</xdr:colOff>
      <xdr:row>1003</xdr:row>
      <xdr:rowOff>47624</xdr:rowOff>
    </xdr:from>
    <xdr:to>
      <xdr:col>14</xdr:col>
      <xdr:colOff>466725</xdr:colOff>
      <xdr:row>1017</xdr:row>
      <xdr:rowOff>83482</xdr:rowOff>
    </xdr:to>
    <xdr:graphicFrame macro="">
      <xdr:nvGraphicFramePr>
        <xdr:cNvPr id="218" name="Graphique 217">
          <a:extLst>
            <a:ext uri="{FF2B5EF4-FFF2-40B4-BE49-F238E27FC236}">
              <a16:creationId xmlns:a16="http://schemas.microsoft.com/office/drawing/2014/main" id="{00000000-0008-0000-02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3</xdr:col>
      <xdr:colOff>0</xdr:colOff>
      <xdr:row>923</xdr:row>
      <xdr:rowOff>17368</xdr:rowOff>
    </xdr:from>
    <xdr:to>
      <xdr:col>8</xdr:col>
      <xdr:colOff>588085</xdr:colOff>
      <xdr:row>937</xdr:row>
      <xdr:rowOff>80682</xdr:rowOff>
    </xdr:to>
    <xdr:graphicFrame macro="">
      <xdr:nvGraphicFramePr>
        <xdr:cNvPr id="219" name="Graphique 218">
          <a:extLst>
            <a:ext uri="{FF2B5EF4-FFF2-40B4-BE49-F238E27FC236}">
              <a16:creationId xmlns:a16="http://schemas.microsoft.com/office/drawing/2014/main" id="{00000000-0008-0000-02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702607</xdr:colOff>
      <xdr:row>923</xdr:row>
      <xdr:rowOff>38099</xdr:rowOff>
    </xdr:from>
    <xdr:to>
      <xdr:col>14</xdr:col>
      <xdr:colOff>452492</xdr:colOff>
      <xdr:row>937</xdr:row>
      <xdr:rowOff>73957</xdr:rowOff>
    </xdr:to>
    <xdr:graphicFrame macro="">
      <xdr:nvGraphicFramePr>
        <xdr:cNvPr id="220" name="Graphique 219">
          <a:extLst>
            <a:ext uri="{FF2B5EF4-FFF2-40B4-BE49-F238E27FC236}">
              <a16:creationId xmlns:a16="http://schemas.microsoft.com/office/drawing/2014/main" id="{00000000-0008-0000-0200-0000D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10</xdr:col>
      <xdr:colOff>266702</xdr:colOff>
      <xdr:row>138</xdr:row>
      <xdr:rowOff>9526</xdr:rowOff>
    </xdr:from>
    <xdr:to>
      <xdr:col>14</xdr:col>
      <xdr:colOff>542926</xdr:colOff>
      <xdr:row>141</xdr:row>
      <xdr:rowOff>19050</xdr:rowOff>
    </xdr:to>
    <xdr:sp macro="" textlink="">
      <xdr:nvSpPr>
        <xdr:cNvPr id="2" name="ZoneTexte 1">
          <a:extLst>
            <a:ext uri="{FF2B5EF4-FFF2-40B4-BE49-F238E27FC236}">
              <a16:creationId xmlns:a16="http://schemas.microsoft.com/office/drawing/2014/main" id="{00000000-0008-0000-0200-000002000000}"/>
            </a:ext>
          </a:extLst>
        </xdr:cNvPr>
        <xdr:cNvSpPr txBox="1"/>
      </xdr:nvSpPr>
      <xdr:spPr>
        <a:xfrm>
          <a:off x="6286502" y="14878051"/>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200025</xdr:colOff>
      <xdr:row>177</xdr:row>
      <xdr:rowOff>114300</xdr:rowOff>
    </xdr:from>
    <xdr:to>
      <xdr:col>14</xdr:col>
      <xdr:colOff>476249</xdr:colOff>
      <xdr:row>180</xdr:row>
      <xdr:rowOff>66674</xdr:rowOff>
    </xdr:to>
    <xdr:sp macro="" textlink="">
      <xdr:nvSpPr>
        <xdr:cNvPr id="194" name="ZoneTexte 193">
          <a:extLst>
            <a:ext uri="{FF2B5EF4-FFF2-40B4-BE49-F238E27FC236}">
              <a16:creationId xmlns:a16="http://schemas.microsoft.com/office/drawing/2014/main" id="{00000000-0008-0000-0200-0000C2000000}"/>
            </a:ext>
          </a:extLst>
        </xdr:cNvPr>
        <xdr:cNvSpPr txBox="1"/>
      </xdr:nvSpPr>
      <xdr:spPr>
        <a:xfrm>
          <a:off x="6219825" y="22269450"/>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219</xdr:row>
      <xdr:rowOff>0</xdr:rowOff>
    </xdr:from>
    <xdr:to>
      <xdr:col>14</xdr:col>
      <xdr:colOff>276224</xdr:colOff>
      <xdr:row>222</xdr:row>
      <xdr:rowOff>9524</xdr:rowOff>
    </xdr:to>
    <xdr:sp macro="" textlink="">
      <xdr:nvSpPr>
        <xdr:cNvPr id="227" name="ZoneTexte 226">
          <a:extLst>
            <a:ext uri="{FF2B5EF4-FFF2-40B4-BE49-F238E27FC236}">
              <a16:creationId xmlns:a16="http://schemas.microsoft.com/office/drawing/2014/main" id="{00000000-0008-0000-0200-0000E3000000}"/>
            </a:ext>
          </a:extLst>
        </xdr:cNvPr>
        <xdr:cNvSpPr txBox="1"/>
      </xdr:nvSpPr>
      <xdr:spPr>
        <a:xfrm>
          <a:off x="6019800" y="3709987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295</xdr:row>
      <xdr:rowOff>0</xdr:rowOff>
    </xdr:from>
    <xdr:to>
      <xdr:col>14</xdr:col>
      <xdr:colOff>276224</xdr:colOff>
      <xdr:row>298</xdr:row>
      <xdr:rowOff>9524</xdr:rowOff>
    </xdr:to>
    <xdr:sp macro="" textlink="">
      <xdr:nvSpPr>
        <xdr:cNvPr id="228" name="ZoneTexte 227">
          <a:extLst>
            <a:ext uri="{FF2B5EF4-FFF2-40B4-BE49-F238E27FC236}">
              <a16:creationId xmlns:a16="http://schemas.microsoft.com/office/drawing/2014/main" id="{00000000-0008-0000-0200-0000E4000000}"/>
            </a:ext>
          </a:extLst>
        </xdr:cNvPr>
        <xdr:cNvSpPr txBox="1"/>
      </xdr:nvSpPr>
      <xdr:spPr>
        <a:xfrm>
          <a:off x="6019800" y="4451032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335</xdr:row>
      <xdr:rowOff>0</xdr:rowOff>
    </xdr:from>
    <xdr:to>
      <xdr:col>14</xdr:col>
      <xdr:colOff>276224</xdr:colOff>
      <xdr:row>338</xdr:row>
      <xdr:rowOff>9524</xdr:rowOff>
    </xdr:to>
    <xdr:sp macro="" textlink="">
      <xdr:nvSpPr>
        <xdr:cNvPr id="229" name="ZoneTexte 228">
          <a:extLst>
            <a:ext uri="{FF2B5EF4-FFF2-40B4-BE49-F238E27FC236}">
              <a16:creationId xmlns:a16="http://schemas.microsoft.com/office/drawing/2014/main" id="{00000000-0008-0000-0200-0000E5000000}"/>
            </a:ext>
          </a:extLst>
        </xdr:cNvPr>
        <xdr:cNvSpPr txBox="1"/>
      </xdr:nvSpPr>
      <xdr:spPr>
        <a:xfrm>
          <a:off x="6019800" y="5192077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375</xdr:row>
      <xdr:rowOff>0</xdr:rowOff>
    </xdr:from>
    <xdr:to>
      <xdr:col>14</xdr:col>
      <xdr:colOff>276224</xdr:colOff>
      <xdr:row>378</xdr:row>
      <xdr:rowOff>9524</xdr:rowOff>
    </xdr:to>
    <xdr:sp macro="" textlink="">
      <xdr:nvSpPr>
        <xdr:cNvPr id="230" name="ZoneTexte 229">
          <a:extLst>
            <a:ext uri="{FF2B5EF4-FFF2-40B4-BE49-F238E27FC236}">
              <a16:creationId xmlns:a16="http://schemas.microsoft.com/office/drawing/2014/main" id="{00000000-0008-0000-0200-0000E6000000}"/>
            </a:ext>
          </a:extLst>
        </xdr:cNvPr>
        <xdr:cNvSpPr txBox="1"/>
      </xdr:nvSpPr>
      <xdr:spPr>
        <a:xfrm>
          <a:off x="6019800" y="59340750"/>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415</xdr:row>
      <xdr:rowOff>0</xdr:rowOff>
    </xdr:from>
    <xdr:to>
      <xdr:col>14</xdr:col>
      <xdr:colOff>276224</xdr:colOff>
      <xdr:row>418</xdr:row>
      <xdr:rowOff>9524</xdr:rowOff>
    </xdr:to>
    <xdr:sp macro="" textlink="">
      <xdr:nvSpPr>
        <xdr:cNvPr id="242" name="ZoneTexte 241">
          <a:extLst>
            <a:ext uri="{FF2B5EF4-FFF2-40B4-BE49-F238E27FC236}">
              <a16:creationId xmlns:a16="http://schemas.microsoft.com/office/drawing/2014/main" id="{00000000-0008-0000-0200-0000F2000000}"/>
            </a:ext>
          </a:extLst>
        </xdr:cNvPr>
        <xdr:cNvSpPr txBox="1"/>
      </xdr:nvSpPr>
      <xdr:spPr>
        <a:xfrm>
          <a:off x="6019800" y="6676072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455</xdr:row>
      <xdr:rowOff>0</xdr:rowOff>
    </xdr:from>
    <xdr:to>
      <xdr:col>14</xdr:col>
      <xdr:colOff>276224</xdr:colOff>
      <xdr:row>458</xdr:row>
      <xdr:rowOff>9524</xdr:rowOff>
    </xdr:to>
    <xdr:sp macro="" textlink="">
      <xdr:nvSpPr>
        <xdr:cNvPr id="289" name="ZoneTexte 288">
          <a:extLst>
            <a:ext uri="{FF2B5EF4-FFF2-40B4-BE49-F238E27FC236}">
              <a16:creationId xmlns:a16="http://schemas.microsoft.com/office/drawing/2014/main" id="{00000000-0008-0000-0200-000021010000}"/>
            </a:ext>
          </a:extLst>
        </xdr:cNvPr>
        <xdr:cNvSpPr txBox="1"/>
      </xdr:nvSpPr>
      <xdr:spPr>
        <a:xfrm>
          <a:off x="6019800" y="74180700"/>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495</xdr:row>
      <xdr:rowOff>0</xdr:rowOff>
    </xdr:from>
    <xdr:to>
      <xdr:col>14</xdr:col>
      <xdr:colOff>276224</xdr:colOff>
      <xdr:row>498</xdr:row>
      <xdr:rowOff>9524</xdr:rowOff>
    </xdr:to>
    <xdr:sp macro="" textlink="">
      <xdr:nvSpPr>
        <xdr:cNvPr id="290" name="ZoneTexte 289">
          <a:extLst>
            <a:ext uri="{FF2B5EF4-FFF2-40B4-BE49-F238E27FC236}">
              <a16:creationId xmlns:a16="http://schemas.microsoft.com/office/drawing/2014/main" id="{00000000-0008-0000-0200-000022010000}"/>
            </a:ext>
          </a:extLst>
        </xdr:cNvPr>
        <xdr:cNvSpPr txBox="1"/>
      </xdr:nvSpPr>
      <xdr:spPr>
        <a:xfrm>
          <a:off x="6019800" y="8160067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535</xdr:row>
      <xdr:rowOff>0</xdr:rowOff>
    </xdr:from>
    <xdr:to>
      <xdr:col>14</xdr:col>
      <xdr:colOff>276224</xdr:colOff>
      <xdr:row>538</xdr:row>
      <xdr:rowOff>9524</xdr:rowOff>
    </xdr:to>
    <xdr:sp macro="" textlink="">
      <xdr:nvSpPr>
        <xdr:cNvPr id="291" name="ZoneTexte 290">
          <a:extLst>
            <a:ext uri="{FF2B5EF4-FFF2-40B4-BE49-F238E27FC236}">
              <a16:creationId xmlns:a16="http://schemas.microsoft.com/office/drawing/2014/main" id="{00000000-0008-0000-0200-000023010000}"/>
            </a:ext>
          </a:extLst>
        </xdr:cNvPr>
        <xdr:cNvSpPr txBox="1"/>
      </xdr:nvSpPr>
      <xdr:spPr>
        <a:xfrm>
          <a:off x="6019800" y="89020650"/>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655</xdr:row>
      <xdr:rowOff>0</xdr:rowOff>
    </xdr:from>
    <xdr:to>
      <xdr:col>14</xdr:col>
      <xdr:colOff>276224</xdr:colOff>
      <xdr:row>658</xdr:row>
      <xdr:rowOff>9524</xdr:rowOff>
    </xdr:to>
    <xdr:sp macro="" textlink="">
      <xdr:nvSpPr>
        <xdr:cNvPr id="293" name="ZoneTexte 292">
          <a:extLst>
            <a:ext uri="{FF2B5EF4-FFF2-40B4-BE49-F238E27FC236}">
              <a16:creationId xmlns:a16="http://schemas.microsoft.com/office/drawing/2014/main" id="{00000000-0008-0000-0200-000025010000}"/>
            </a:ext>
          </a:extLst>
        </xdr:cNvPr>
        <xdr:cNvSpPr txBox="1"/>
      </xdr:nvSpPr>
      <xdr:spPr>
        <a:xfrm>
          <a:off x="6019800" y="11126152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838</xdr:row>
      <xdr:rowOff>0</xdr:rowOff>
    </xdr:from>
    <xdr:to>
      <xdr:col>14</xdr:col>
      <xdr:colOff>276224</xdr:colOff>
      <xdr:row>841</xdr:row>
      <xdr:rowOff>9524</xdr:rowOff>
    </xdr:to>
    <xdr:sp macro="" textlink="">
      <xdr:nvSpPr>
        <xdr:cNvPr id="294" name="ZoneTexte 293">
          <a:extLst>
            <a:ext uri="{FF2B5EF4-FFF2-40B4-BE49-F238E27FC236}">
              <a16:creationId xmlns:a16="http://schemas.microsoft.com/office/drawing/2014/main" id="{00000000-0008-0000-0200-000026010000}"/>
            </a:ext>
          </a:extLst>
        </xdr:cNvPr>
        <xdr:cNvSpPr txBox="1"/>
      </xdr:nvSpPr>
      <xdr:spPr>
        <a:xfrm>
          <a:off x="6019800" y="12608242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878</xdr:row>
      <xdr:rowOff>0</xdr:rowOff>
    </xdr:from>
    <xdr:to>
      <xdr:col>14</xdr:col>
      <xdr:colOff>276224</xdr:colOff>
      <xdr:row>881</xdr:row>
      <xdr:rowOff>9524</xdr:rowOff>
    </xdr:to>
    <xdr:sp macro="" textlink="">
      <xdr:nvSpPr>
        <xdr:cNvPr id="295" name="ZoneTexte 294">
          <a:extLst>
            <a:ext uri="{FF2B5EF4-FFF2-40B4-BE49-F238E27FC236}">
              <a16:creationId xmlns:a16="http://schemas.microsoft.com/office/drawing/2014/main" id="{00000000-0008-0000-0200-000027010000}"/>
            </a:ext>
          </a:extLst>
        </xdr:cNvPr>
        <xdr:cNvSpPr txBox="1"/>
      </xdr:nvSpPr>
      <xdr:spPr>
        <a:xfrm>
          <a:off x="6019800" y="13349287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918</xdr:row>
      <xdr:rowOff>0</xdr:rowOff>
    </xdr:from>
    <xdr:to>
      <xdr:col>14</xdr:col>
      <xdr:colOff>276224</xdr:colOff>
      <xdr:row>921</xdr:row>
      <xdr:rowOff>9524</xdr:rowOff>
    </xdr:to>
    <xdr:sp macro="" textlink="">
      <xdr:nvSpPr>
        <xdr:cNvPr id="296" name="ZoneTexte 295">
          <a:extLst>
            <a:ext uri="{FF2B5EF4-FFF2-40B4-BE49-F238E27FC236}">
              <a16:creationId xmlns:a16="http://schemas.microsoft.com/office/drawing/2014/main" id="{00000000-0008-0000-0200-000028010000}"/>
            </a:ext>
          </a:extLst>
        </xdr:cNvPr>
        <xdr:cNvSpPr txBox="1"/>
      </xdr:nvSpPr>
      <xdr:spPr>
        <a:xfrm>
          <a:off x="6019800" y="14090332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958</xdr:row>
      <xdr:rowOff>0</xdr:rowOff>
    </xdr:from>
    <xdr:to>
      <xdr:col>14</xdr:col>
      <xdr:colOff>276224</xdr:colOff>
      <xdr:row>961</xdr:row>
      <xdr:rowOff>9524</xdr:rowOff>
    </xdr:to>
    <xdr:sp macro="" textlink="">
      <xdr:nvSpPr>
        <xdr:cNvPr id="297" name="ZoneTexte 296">
          <a:extLst>
            <a:ext uri="{FF2B5EF4-FFF2-40B4-BE49-F238E27FC236}">
              <a16:creationId xmlns:a16="http://schemas.microsoft.com/office/drawing/2014/main" id="{00000000-0008-0000-0200-000029010000}"/>
            </a:ext>
          </a:extLst>
        </xdr:cNvPr>
        <xdr:cNvSpPr txBox="1"/>
      </xdr:nvSpPr>
      <xdr:spPr>
        <a:xfrm>
          <a:off x="6019800" y="14831377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10</xdr:col>
      <xdr:colOff>0</xdr:colOff>
      <xdr:row>998</xdr:row>
      <xdr:rowOff>0</xdr:rowOff>
    </xdr:from>
    <xdr:to>
      <xdr:col>14</xdr:col>
      <xdr:colOff>276224</xdr:colOff>
      <xdr:row>1001</xdr:row>
      <xdr:rowOff>9524</xdr:rowOff>
    </xdr:to>
    <xdr:sp macro="" textlink="">
      <xdr:nvSpPr>
        <xdr:cNvPr id="298" name="ZoneTexte 297">
          <a:extLst>
            <a:ext uri="{FF2B5EF4-FFF2-40B4-BE49-F238E27FC236}">
              <a16:creationId xmlns:a16="http://schemas.microsoft.com/office/drawing/2014/main" id="{00000000-0008-0000-0200-00002A010000}"/>
            </a:ext>
          </a:extLst>
        </xdr:cNvPr>
        <xdr:cNvSpPr txBox="1"/>
      </xdr:nvSpPr>
      <xdr:spPr>
        <a:xfrm>
          <a:off x="6019800" y="155724225"/>
          <a:ext cx="3400424" cy="4381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9</xdr:col>
      <xdr:colOff>704019</xdr:colOff>
      <xdr:row>1113</xdr:row>
      <xdr:rowOff>74541</xdr:rowOff>
    </xdr:from>
    <xdr:to>
      <xdr:col>14</xdr:col>
      <xdr:colOff>713545</xdr:colOff>
      <xdr:row>1116</xdr:row>
      <xdr:rowOff>151041</xdr:rowOff>
    </xdr:to>
    <xdr:sp macro="" textlink="">
      <xdr:nvSpPr>
        <xdr:cNvPr id="299" name="ZoneTexte 298">
          <a:extLst>
            <a:ext uri="{FF2B5EF4-FFF2-40B4-BE49-F238E27FC236}">
              <a16:creationId xmlns:a16="http://schemas.microsoft.com/office/drawing/2014/main" id="{00000000-0008-0000-0200-00002B010000}"/>
            </a:ext>
          </a:extLst>
        </xdr:cNvPr>
        <xdr:cNvSpPr txBox="1"/>
      </xdr:nvSpPr>
      <xdr:spPr>
        <a:xfrm>
          <a:off x="5971758" y="177140150"/>
          <a:ext cx="3894070" cy="648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800" i="1"/>
            <a:t>Les données sur le PNB</a:t>
          </a:r>
          <a:r>
            <a:rPr lang="fr-FR" sz="800" i="1" baseline="0"/>
            <a:t> du GHANA présentent de gros écarts de fiabilité. </a:t>
          </a:r>
        </a:p>
        <a:p>
          <a:r>
            <a:rPr lang="fr-FR" sz="800" i="1" baseline="0"/>
            <a:t>Le PNB de la MAURITANIE est également en cours de fiabilisation.</a:t>
          </a:r>
        </a:p>
        <a:p>
          <a:r>
            <a:rPr lang="fr-FR" sz="800" i="1" baseline="0"/>
            <a:t>Les évolutions AFS, AFO  et AFCE sont donc déterminées hors SGGH</a:t>
          </a:r>
          <a:endParaRPr lang="fr-FR" sz="800" i="1"/>
        </a:p>
      </xdr:txBody>
    </xdr:sp>
    <xdr:clientData/>
  </xdr:twoCellAnchor>
  <xdr:twoCellAnchor>
    <xdr:from>
      <xdr:col>13</xdr:col>
      <xdr:colOff>430696</xdr:colOff>
      <xdr:row>224</xdr:row>
      <xdr:rowOff>8282</xdr:rowOff>
    </xdr:from>
    <xdr:to>
      <xdr:col>14</xdr:col>
      <xdr:colOff>398554</xdr:colOff>
      <xdr:row>226</xdr:row>
      <xdr:rowOff>13586</xdr:rowOff>
    </xdr:to>
    <xdr:grpSp>
      <xdr:nvGrpSpPr>
        <xdr:cNvPr id="292" name="Groupe 291">
          <a:extLst>
            <a:ext uri="{FF2B5EF4-FFF2-40B4-BE49-F238E27FC236}">
              <a16:creationId xmlns:a16="http://schemas.microsoft.com/office/drawing/2014/main" id="{00000000-0008-0000-0200-000024010000}"/>
            </a:ext>
          </a:extLst>
        </xdr:cNvPr>
        <xdr:cNvGrpSpPr/>
      </xdr:nvGrpSpPr>
      <xdr:grpSpPr>
        <a:xfrm>
          <a:off x="9102256" y="32880962"/>
          <a:ext cx="752718" cy="439644"/>
          <a:chOff x="0" y="0"/>
          <a:chExt cx="756451" cy="442492"/>
        </a:xfrm>
      </xdr:grpSpPr>
      <xdr:grpSp>
        <xdr:nvGrpSpPr>
          <xdr:cNvPr id="302" name="Groupe 301">
            <a:extLst>
              <a:ext uri="{FF2B5EF4-FFF2-40B4-BE49-F238E27FC236}">
                <a16:creationId xmlns:a16="http://schemas.microsoft.com/office/drawing/2014/main" id="{00000000-0008-0000-0200-00002E010000}"/>
              </a:ext>
            </a:extLst>
          </xdr:cNvPr>
          <xdr:cNvGrpSpPr/>
        </xdr:nvGrpSpPr>
        <xdr:grpSpPr>
          <a:xfrm>
            <a:off x="108858" y="39913"/>
            <a:ext cx="545336" cy="373936"/>
            <a:chOff x="108858" y="39913"/>
            <a:chExt cx="545336" cy="373936"/>
          </a:xfrm>
        </xdr:grpSpPr>
        <xdr:grpSp>
          <xdr:nvGrpSpPr>
            <xdr:cNvPr id="308" name="Groupe 307">
              <a:extLst>
                <a:ext uri="{FF2B5EF4-FFF2-40B4-BE49-F238E27FC236}">
                  <a16:creationId xmlns:a16="http://schemas.microsoft.com/office/drawing/2014/main" id="{00000000-0008-0000-0200-000034010000}"/>
                </a:ext>
              </a:extLst>
            </xdr:cNvPr>
            <xdr:cNvGrpSpPr/>
          </xdr:nvGrpSpPr>
          <xdr:grpSpPr>
            <a:xfrm>
              <a:off x="108858" y="39913"/>
              <a:ext cx="542448" cy="181776"/>
              <a:chOff x="108858" y="39913"/>
              <a:chExt cx="591549" cy="391192"/>
            </a:xfrm>
          </xdr:grpSpPr>
          <xdr:sp macro="" textlink="">
            <xdr:nvSpPr>
              <xdr:cNvPr id="312" name="Rectangle 311">
                <a:extLst>
                  <a:ext uri="{FF2B5EF4-FFF2-40B4-BE49-F238E27FC236}">
                    <a16:creationId xmlns:a16="http://schemas.microsoft.com/office/drawing/2014/main" id="{00000000-0008-0000-0200-00003801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313" name="Rectangle 312">
                <a:extLst>
                  <a:ext uri="{FF2B5EF4-FFF2-40B4-BE49-F238E27FC236}">
                    <a16:creationId xmlns:a16="http://schemas.microsoft.com/office/drawing/2014/main" id="{00000000-0008-0000-0200-00003901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309" name="Groupe 308">
              <a:extLst>
                <a:ext uri="{FF2B5EF4-FFF2-40B4-BE49-F238E27FC236}">
                  <a16:creationId xmlns:a16="http://schemas.microsoft.com/office/drawing/2014/main" id="{00000000-0008-0000-0200-000035010000}"/>
                </a:ext>
              </a:extLst>
            </xdr:cNvPr>
            <xdr:cNvGrpSpPr/>
          </xdr:nvGrpSpPr>
          <xdr:grpSpPr>
            <a:xfrm>
              <a:off x="114195" y="235857"/>
              <a:ext cx="539999" cy="177992"/>
              <a:chOff x="114195" y="235857"/>
              <a:chExt cx="645095" cy="841867"/>
            </a:xfrm>
          </xdr:grpSpPr>
          <xdr:sp macro="" textlink="">
            <xdr:nvSpPr>
              <xdr:cNvPr id="310" name="Rectangle 309">
                <a:extLst>
                  <a:ext uri="{FF2B5EF4-FFF2-40B4-BE49-F238E27FC236}">
                    <a16:creationId xmlns:a16="http://schemas.microsoft.com/office/drawing/2014/main" id="{00000000-0008-0000-0200-00003601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311" name="Rectangle 310">
                <a:extLst>
                  <a:ext uri="{FF2B5EF4-FFF2-40B4-BE49-F238E27FC236}">
                    <a16:creationId xmlns:a16="http://schemas.microsoft.com/office/drawing/2014/main" id="{00000000-0008-0000-0200-00003701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303" name="Groupe 302">
            <a:extLst>
              <a:ext uri="{FF2B5EF4-FFF2-40B4-BE49-F238E27FC236}">
                <a16:creationId xmlns:a16="http://schemas.microsoft.com/office/drawing/2014/main" id="{00000000-0008-0000-0200-00002F010000}"/>
              </a:ext>
            </a:extLst>
          </xdr:cNvPr>
          <xdr:cNvGrpSpPr/>
        </xdr:nvGrpSpPr>
        <xdr:grpSpPr>
          <a:xfrm>
            <a:off x="0" y="0"/>
            <a:ext cx="756451" cy="442492"/>
            <a:chOff x="0" y="0"/>
            <a:chExt cx="756451" cy="442492"/>
          </a:xfrm>
        </xdr:grpSpPr>
        <xdr:sp macro="" textlink="">
          <xdr:nvSpPr>
            <xdr:cNvPr id="304" name="Rectangle 303">
              <a:extLst>
                <a:ext uri="{FF2B5EF4-FFF2-40B4-BE49-F238E27FC236}">
                  <a16:creationId xmlns:a16="http://schemas.microsoft.com/office/drawing/2014/main" id="{00000000-0008-0000-0200-00003001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12022</a:t>
              </a:r>
            </a:p>
          </xdr:txBody>
        </xdr:sp>
        <xdr:sp macro="" textlink="">
          <xdr:nvSpPr>
            <xdr:cNvPr id="305" name="Rectangle 304">
              <a:extLst>
                <a:ext uri="{FF2B5EF4-FFF2-40B4-BE49-F238E27FC236}">
                  <a16:creationId xmlns:a16="http://schemas.microsoft.com/office/drawing/2014/main" id="{00000000-0008-0000-0200-00003101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562528</xdr:colOff>
      <xdr:row>238</xdr:row>
      <xdr:rowOff>101117</xdr:rowOff>
    </xdr:from>
    <xdr:to>
      <xdr:col>8</xdr:col>
      <xdr:colOff>530386</xdr:colOff>
      <xdr:row>240</xdr:row>
      <xdr:rowOff>172682</xdr:rowOff>
    </xdr:to>
    <xdr:grpSp>
      <xdr:nvGrpSpPr>
        <xdr:cNvPr id="314" name="Groupe 313">
          <a:extLst>
            <a:ext uri="{FF2B5EF4-FFF2-40B4-BE49-F238E27FC236}">
              <a16:creationId xmlns:a16="http://schemas.microsoft.com/office/drawing/2014/main" id="{00000000-0008-0000-0200-00003A010000}"/>
            </a:ext>
          </a:extLst>
        </xdr:cNvPr>
        <xdr:cNvGrpSpPr/>
      </xdr:nvGrpSpPr>
      <xdr:grpSpPr>
        <a:xfrm>
          <a:off x="4410628" y="35602697"/>
          <a:ext cx="752718" cy="437325"/>
          <a:chOff x="0" y="0"/>
          <a:chExt cx="756451" cy="442492"/>
        </a:xfrm>
      </xdr:grpSpPr>
      <xdr:grpSp>
        <xdr:nvGrpSpPr>
          <xdr:cNvPr id="315" name="Groupe 314">
            <a:extLst>
              <a:ext uri="{FF2B5EF4-FFF2-40B4-BE49-F238E27FC236}">
                <a16:creationId xmlns:a16="http://schemas.microsoft.com/office/drawing/2014/main" id="{00000000-0008-0000-0200-00003B010000}"/>
              </a:ext>
            </a:extLst>
          </xdr:cNvPr>
          <xdr:cNvGrpSpPr/>
        </xdr:nvGrpSpPr>
        <xdr:grpSpPr>
          <a:xfrm>
            <a:off x="108858" y="39913"/>
            <a:ext cx="545336" cy="373936"/>
            <a:chOff x="108858" y="39913"/>
            <a:chExt cx="545336" cy="373936"/>
          </a:xfrm>
        </xdr:grpSpPr>
        <xdr:grpSp>
          <xdr:nvGrpSpPr>
            <xdr:cNvPr id="323" name="Groupe 322">
              <a:extLst>
                <a:ext uri="{FF2B5EF4-FFF2-40B4-BE49-F238E27FC236}">
                  <a16:creationId xmlns:a16="http://schemas.microsoft.com/office/drawing/2014/main" id="{00000000-0008-0000-0200-000043010000}"/>
                </a:ext>
              </a:extLst>
            </xdr:cNvPr>
            <xdr:cNvGrpSpPr/>
          </xdr:nvGrpSpPr>
          <xdr:grpSpPr>
            <a:xfrm>
              <a:off x="108858" y="39913"/>
              <a:ext cx="542448" cy="181776"/>
              <a:chOff x="108858" y="39913"/>
              <a:chExt cx="591549" cy="391192"/>
            </a:xfrm>
          </xdr:grpSpPr>
          <xdr:sp macro="" textlink="">
            <xdr:nvSpPr>
              <xdr:cNvPr id="327" name="Rectangle 326">
                <a:extLst>
                  <a:ext uri="{FF2B5EF4-FFF2-40B4-BE49-F238E27FC236}">
                    <a16:creationId xmlns:a16="http://schemas.microsoft.com/office/drawing/2014/main" id="{00000000-0008-0000-0200-00004701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330" name="Rectangle 329">
                <a:extLst>
                  <a:ext uri="{FF2B5EF4-FFF2-40B4-BE49-F238E27FC236}">
                    <a16:creationId xmlns:a16="http://schemas.microsoft.com/office/drawing/2014/main" id="{00000000-0008-0000-0200-00004A01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324" name="Groupe 323">
              <a:extLst>
                <a:ext uri="{FF2B5EF4-FFF2-40B4-BE49-F238E27FC236}">
                  <a16:creationId xmlns:a16="http://schemas.microsoft.com/office/drawing/2014/main" id="{00000000-0008-0000-0200-000044010000}"/>
                </a:ext>
              </a:extLst>
            </xdr:cNvPr>
            <xdr:cNvGrpSpPr/>
          </xdr:nvGrpSpPr>
          <xdr:grpSpPr>
            <a:xfrm>
              <a:off x="114195" y="235857"/>
              <a:ext cx="539999" cy="177992"/>
              <a:chOff x="114195" y="235857"/>
              <a:chExt cx="645095" cy="841867"/>
            </a:xfrm>
          </xdr:grpSpPr>
          <xdr:sp macro="" textlink="">
            <xdr:nvSpPr>
              <xdr:cNvPr id="325" name="Rectangle 324">
                <a:extLst>
                  <a:ext uri="{FF2B5EF4-FFF2-40B4-BE49-F238E27FC236}">
                    <a16:creationId xmlns:a16="http://schemas.microsoft.com/office/drawing/2014/main" id="{00000000-0008-0000-0200-00004501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326" name="Rectangle 325">
                <a:extLst>
                  <a:ext uri="{FF2B5EF4-FFF2-40B4-BE49-F238E27FC236}">
                    <a16:creationId xmlns:a16="http://schemas.microsoft.com/office/drawing/2014/main" id="{00000000-0008-0000-0200-00004601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316" name="Groupe 315">
            <a:extLst>
              <a:ext uri="{FF2B5EF4-FFF2-40B4-BE49-F238E27FC236}">
                <a16:creationId xmlns:a16="http://schemas.microsoft.com/office/drawing/2014/main" id="{00000000-0008-0000-0200-00003C010000}"/>
              </a:ext>
            </a:extLst>
          </xdr:cNvPr>
          <xdr:cNvGrpSpPr/>
        </xdr:nvGrpSpPr>
        <xdr:grpSpPr>
          <a:xfrm>
            <a:off x="0" y="0"/>
            <a:ext cx="756451" cy="442492"/>
            <a:chOff x="0" y="0"/>
            <a:chExt cx="756451" cy="442492"/>
          </a:xfrm>
        </xdr:grpSpPr>
        <xdr:sp macro="" textlink="">
          <xdr:nvSpPr>
            <xdr:cNvPr id="317" name="Rectangle 316">
              <a:extLst>
                <a:ext uri="{FF2B5EF4-FFF2-40B4-BE49-F238E27FC236}">
                  <a16:creationId xmlns:a16="http://schemas.microsoft.com/office/drawing/2014/main" id="{00000000-0008-0000-0200-00003D01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320" name="Rectangle 319">
              <a:extLst>
                <a:ext uri="{FF2B5EF4-FFF2-40B4-BE49-F238E27FC236}">
                  <a16:creationId xmlns:a16="http://schemas.microsoft.com/office/drawing/2014/main" id="{00000000-0008-0000-0200-00004001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13</xdr:col>
      <xdr:colOff>496957</xdr:colOff>
      <xdr:row>238</xdr:row>
      <xdr:rowOff>157370</xdr:rowOff>
    </xdr:from>
    <xdr:to>
      <xdr:col>14</xdr:col>
      <xdr:colOff>464815</xdr:colOff>
      <xdr:row>241</xdr:row>
      <xdr:rowOff>38435</xdr:rowOff>
    </xdr:to>
    <xdr:grpSp>
      <xdr:nvGrpSpPr>
        <xdr:cNvPr id="331" name="Groupe 330">
          <a:extLst>
            <a:ext uri="{FF2B5EF4-FFF2-40B4-BE49-F238E27FC236}">
              <a16:creationId xmlns:a16="http://schemas.microsoft.com/office/drawing/2014/main" id="{00000000-0008-0000-0200-00004B010000}"/>
            </a:ext>
          </a:extLst>
        </xdr:cNvPr>
        <xdr:cNvGrpSpPr/>
      </xdr:nvGrpSpPr>
      <xdr:grpSpPr>
        <a:xfrm>
          <a:off x="9168517" y="35658950"/>
          <a:ext cx="752718" cy="429705"/>
          <a:chOff x="0" y="0"/>
          <a:chExt cx="756451" cy="442492"/>
        </a:xfrm>
      </xdr:grpSpPr>
      <xdr:grpSp>
        <xdr:nvGrpSpPr>
          <xdr:cNvPr id="332" name="Groupe 331">
            <a:extLst>
              <a:ext uri="{FF2B5EF4-FFF2-40B4-BE49-F238E27FC236}">
                <a16:creationId xmlns:a16="http://schemas.microsoft.com/office/drawing/2014/main" id="{00000000-0008-0000-0200-00004C010000}"/>
              </a:ext>
            </a:extLst>
          </xdr:cNvPr>
          <xdr:cNvGrpSpPr/>
        </xdr:nvGrpSpPr>
        <xdr:grpSpPr>
          <a:xfrm>
            <a:off x="108858" y="39913"/>
            <a:ext cx="545336" cy="373936"/>
            <a:chOff x="108858" y="39913"/>
            <a:chExt cx="545336" cy="373936"/>
          </a:xfrm>
        </xdr:grpSpPr>
        <xdr:grpSp>
          <xdr:nvGrpSpPr>
            <xdr:cNvPr id="336" name="Groupe 335">
              <a:extLst>
                <a:ext uri="{FF2B5EF4-FFF2-40B4-BE49-F238E27FC236}">
                  <a16:creationId xmlns:a16="http://schemas.microsoft.com/office/drawing/2014/main" id="{00000000-0008-0000-0200-000050010000}"/>
                </a:ext>
              </a:extLst>
            </xdr:cNvPr>
            <xdr:cNvGrpSpPr/>
          </xdr:nvGrpSpPr>
          <xdr:grpSpPr>
            <a:xfrm>
              <a:off x="108858" y="39913"/>
              <a:ext cx="542448" cy="181776"/>
              <a:chOff x="108858" y="39913"/>
              <a:chExt cx="591549" cy="391192"/>
            </a:xfrm>
          </xdr:grpSpPr>
          <xdr:sp macro="" textlink="">
            <xdr:nvSpPr>
              <xdr:cNvPr id="346" name="Rectangle 345">
                <a:extLst>
                  <a:ext uri="{FF2B5EF4-FFF2-40B4-BE49-F238E27FC236}">
                    <a16:creationId xmlns:a16="http://schemas.microsoft.com/office/drawing/2014/main" id="{00000000-0008-0000-0200-00005A01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347" name="Rectangle 346">
                <a:extLst>
                  <a:ext uri="{FF2B5EF4-FFF2-40B4-BE49-F238E27FC236}">
                    <a16:creationId xmlns:a16="http://schemas.microsoft.com/office/drawing/2014/main" id="{00000000-0008-0000-0200-00005B01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337" name="Groupe 336">
              <a:extLst>
                <a:ext uri="{FF2B5EF4-FFF2-40B4-BE49-F238E27FC236}">
                  <a16:creationId xmlns:a16="http://schemas.microsoft.com/office/drawing/2014/main" id="{00000000-0008-0000-0200-000051010000}"/>
                </a:ext>
              </a:extLst>
            </xdr:cNvPr>
            <xdr:cNvGrpSpPr/>
          </xdr:nvGrpSpPr>
          <xdr:grpSpPr>
            <a:xfrm>
              <a:off x="114195" y="235857"/>
              <a:ext cx="539999" cy="177992"/>
              <a:chOff x="114195" y="235857"/>
              <a:chExt cx="645095" cy="841867"/>
            </a:xfrm>
          </xdr:grpSpPr>
          <xdr:sp macro="" textlink="">
            <xdr:nvSpPr>
              <xdr:cNvPr id="338" name="Rectangle 337">
                <a:extLst>
                  <a:ext uri="{FF2B5EF4-FFF2-40B4-BE49-F238E27FC236}">
                    <a16:creationId xmlns:a16="http://schemas.microsoft.com/office/drawing/2014/main" id="{00000000-0008-0000-0200-00005201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339" name="Rectangle 338">
                <a:extLst>
                  <a:ext uri="{FF2B5EF4-FFF2-40B4-BE49-F238E27FC236}">
                    <a16:creationId xmlns:a16="http://schemas.microsoft.com/office/drawing/2014/main" id="{00000000-0008-0000-0200-00005301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333" name="Groupe 332">
            <a:extLst>
              <a:ext uri="{FF2B5EF4-FFF2-40B4-BE49-F238E27FC236}">
                <a16:creationId xmlns:a16="http://schemas.microsoft.com/office/drawing/2014/main" id="{00000000-0008-0000-0200-00004D010000}"/>
              </a:ext>
            </a:extLst>
          </xdr:cNvPr>
          <xdr:cNvGrpSpPr/>
        </xdr:nvGrpSpPr>
        <xdr:grpSpPr>
          <a:xfrm>
            <a:off x="0" y="0"/>
            <a:ext cx="756451" cy="442492"/>
            <a:chOff x="0" y="0"/>
            <a:chExt cx="756451" cy="442492"/>
          </a:xfrm>
        </xdr:grpSpPr>
        <xdr:sp macro="" textlink="">
          <xdr:nvSpPr>
            <xdr:cNvPr id="334" name="Rectangle 333">
              <a:extLst>
                <a:ext uri="{FF2B5EF4-FFF2-40B4-BE49-F238E27FC236}">
                  <a16:creationId xmlns:a16="http://schemas.microsoft.com/office/drawing/2014/main" id="{00000000-0008-0000-0200-00004E01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335" name="Rectangle 334">
              <a:extLst>
                <a:ext uri="{FF2B5EF4-FFF2-40B4-BE49-F238E27FC236}">
                  <a16:creationId xmlns:a16="http://schemas.microsoft.com/office/drawing/2014/main" id="{00000000-0008-0000-0200-00004F01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13</xdr:col>
      <xdr:colOff>425599</xdr:colOff>
      <xdr:row>300</xdr:row>
      <xdr:rowOff>206109</xdr:rowOff>
    </xdr:from>
    <xdr:to>
      <xdr:col>14</xdr:col>
      <xdr:colOff>393457</xdr:colOff>
      <xdr:row>303</xdr:row>
      <xdr:rowOff>21231</xdr:rowOff>
    </xdr:to>
    <xdr:grpSp>
      <xdr:nvGrpSpPr>
        <xdr:cNvPr id="384" name="Groupe 383">
          <a:extLst>
            <a:ext uri="{FF2B5EF4-FFF2-40B4-BE49-F238E27FC236}">
              <a16:creationId xmlns:a16="http://schemas.microsoft.com/office/drawing/2014/main" id="{00000000-0008-0000-0200-000080010000}"/>
            </a:ext>
          </a:extLst>
        </xdr:cNvPr>
        <xdr:cNvGrpSpPr/>
      </xdr:nvGrpSpPr>
      <xdr:grpSpPr>
        <a:xfrm>
          <a:off x="9097159" y="46733829"/>
          <a:ext cx="752718" cy="432342"/>
          <a:chOff x="0" y="0"/>
          <a:chExt cx="756451" cy="442492"/>
        </a:xfrm>
      </xdr:grpSpPr>
      <xdr:grpSp>
        <xdr:nvGrpSpPr>
          <xdr:cNvPr id="385" name="Groupe 384">
            <a:extLst>
              <a:ext uri="{FF2B5EF4-FFF2-40B4-BE49-F238E27FC236}">
                <a16:creationId xmlns:a16="http://schemas.microsoft.com/office/drawing/2014/main" id="{00000000-0008-0000-0200-000081010000}"/>
              </a:ext>
            </a:extLst>
          </xdr:cNvPr>
          <xdr:cNvGrpSpPr/>
        </xdr:nvGrpSpPr>
        <xdr:grpSpPr>
          <a:xfrm>
            <a:off x="108858" y="39913"/>
            <a:ext cx="545336" cy="373936"/>
            <a:chOff x="108858" y="39913"/>
            <a:chExt cx="545336" cy="373936"/>
          </a:xfrm>
        </xdr:grpSpPr>
        <xdr:grpSp>
          <xdr:nvGrpSpPr>
            <xdr:cNvPr id="389" name="Groupe 388">
              <a:extLst>
                <a:ext uri="{FF2B5EF4-FFF2-40B4-BE49-F238E27FC236}">
                  <a16:creationId xmlns:a16="http://schemas.microsoft.com/office/drawing/2014/main" id="{00000000-0008-0000-0200-000085010000}"/>
                </a:ext>
              </a:extLst>
            </xdr:cNvPr>
            <xdr:cNvGrpSpPr/>
          </xdr:nvGrpSpPr>
          <xdr:grpSpPr>
            <a:xfrm>
              <a:off x="108858" y="39913"/>
              <a:ext cx="542448" cy="181776"/>
              <a:chOff x="108858" y="39913"/>
              <a:chExt cx="591549" cy="391192"/>
            </a:xfrm>
          </xdr:grpSpPr>
          <xdr:sp macro="" textlink="">
            <xdr:nvSpPr>
              <xdr:cNvPr id="393" name="Rectangle 392">
                <a:extLst>
                  <a:ext uri="{FF2B5EF4-FFF2-40B4-BE49-F238E27FC236}">
                    <a16:creationId xmlns:a16="http://schemas.microsoft.com/office/drawing/2014/main" id="{00000000-0008-0000-0200-00008901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394" name="Rectangle 393">
                <a:extLst>
                  <a:ext uri="{FF2B5EF4-FFF2-40B4-BE49-F238E27FC236}">
                    <a16:creationId xmlns:a16="http://schemas.microsoft.com/office/drawing/2014/main" id="{00000000-0008-0000-0200-00008A01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390" name="Groupe 389">
              <a:extLst>
                <a:ext uri="{FF2B5EF4-FFF2-40B4-BE49-F238E27FC236}">
                  <a16:creationId xmlns:a16="http://schemas.microsoft.com/office/drawing/2014/main" id="{00000000-0008-0000-0200-000086010000}"/>
                </a:ext>
              </a:extLst>
            </xdr:cNvPr>
            <xdr:cNvGrpSpPr/>
          </xdr:nvGrpSpPr>
          <xdr:grpSpPr>
            <a:xfrm>
              <a:off x="114195" y="235857"/>
              <a:ext cx="539999" cy="177992"/>
              <a:chOff x="114195" y="235857"/>
              <a:chExt cx="645095" cy="841867"/>
            </a:xfrm>
          </xdr:grpSpPr>
          <xdr:sp macro="" textlink="">
            <xdr:nvSpPr>
              <xdr:cNvPr id="391" name="Rectangle 390">
                <a:extLst>
                  <a:ext uri="{FF2B5EF4-FFF2-40B4-BE49-F238E27FC236}">
                    <a16:creationId xmlns:a16="http://schemas.microsoft.com/office/drawing/2014/main" id="{00000000-0008-0000-0200-00008701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392" name="Rectangle 391">
                <a:extLst>
                  <a:ext uri="{FF2B5EF4-FFF2-40B4-BE49-F238E27FC236}">
                    <a16:creationId xmlns:a16="http://schemas.microsoft.com/office/drawing/2014/main" id="{00000000-0008-0000-0200-00008801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386" name="Groupe 385">
            <a:extLst>
              <a:ext uri="{FF2B5EF4-FFF2-40B4-BE49-F238E27FC236}">
                <a16:creationId xmlns:a16="http://schemas.microsoft.com/office/drawing/2014/main" id="{00000000-0008-0000-0200-000082010000}"/>
              </a:ext>
            </a:extLst>
          </xdr:cNvPr>
          <xdr:cNvGrpSpPr/>
        </xdr:nvGrpSpPr>
        <xdr:grpSpPr>
          <a:xfrm>
            <a:off x="0" y="0"/>
            <a:ext cx="756451" cy="442492"/>
            <a:chOff x="0" y="0"/>
            <a:chExt cx="756451" cy="442492"/>
          </a:xfrm>
        </xdr:grpSpPr>
        <xdr:sp macro="" textlink="">
          <xdr:nvSpPr>
            <xdr:cNvPr id="387" name="Rectangle 386">
              <a:extLst>
                <a:ext uri="{FF2B5EF4-FFF2-40B4-BE49-F238E27FC236}">
                  <a16:creationId xmlns:a16="http://schemas.microsoft.com/office/drawing/2014/main" id="{00000000-0008-0000-0200-00008301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388" name="Rectangle 387">
              <a:extLst>
                <a:ext uri="{FF2B5EF4-FFF2-40B4-BE49-F238E27FC236}">
                  <a16:creationId xmlns:a16="http://schemas.microsoft.com/office/drawing/2014/main" id="{00000000-0008-0000-0200-00008401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516708</xdr:colOff>
      <xdr:row>300</xdr:row>
      <xdr:rowOff>189544</xdr:rowOff>
    </xdr:from>
    <xdr:to>
      <xdr:col>8</xdr:col>
      <xdr:colOff>484566</xdr:colOff>
      <xdr:row>303</xdr:row>
      <xdr:rowOff>4666</xdr:rowOff>
    </xdr:to>
    <xdr:grpSp>
      <xdr:nvGrpSpPr>
        <xdr:cNvPr id="395" name="Groupe 394">
          <a:extLst>
            <a:ext uri="{FF2B5EF4-FFF2-40B4-BE49-F238E27FC236}">
              <a16:creationId xmlns:a16="http://schemas.microsoft.com/office/drawing/2014/main" id="{00000000-0008-0000-0200-00008B010000}"/>
            </a:ext>
          </a:extLst>
        </xdr:cNvPr>
        <xdr:cNvGrpSpPr/>
      </xdr:nvGrpSpPr>
      <xdr:grpSpPr>
        <a:xfrm>
          <a:off x="4364808" y="46717264"/>
          <a:ext cx="752718" cy="432342"/>
          <a:chOff x="0" y="0"/>
          <a:chExt cx="756451" cy="442492"/>
        </a:xfrm>
      </xdr:grpSpPr>
      <xdr:grpSp>
        <xdr:nvGrpSpPr>
          <xdr:cNvPr id="396" name="Groupe 395">
            <a:extLst>
              <a:ext uri="{FF2B5EF4-FFF2-40B4-BE49-F238E27FC236}">
                <a16:creationId xmlns:a16="http://schemas.microsoft.com/office/drawing/2014/main" id="{00000000-0008-0000-0200-00008C010000}"/>
              </a:ext>
            </a:extLst>
          </xdr:cNvPr>
          <xdr:cNvGrpSpPr/>
        </xdr:nvGrpSpPr>
        <xdr:grpSpPr>
          <a:xfrm>
            <a:off x="108858" y="39913"/>
            <a:ext cx="545336" cy="373936"/>
            <a:chOff x="108858" y="39913"/>
            <a:chExt cx="545336" cy="373936"/>
          </a:xfrm>
        </xdr:grpSpPr>
        <xdr:grpSp>
          <xdr:nvGrpSpPr>
            <xdr:cNvPr id="400" name="Groupe 399">
              <a:extLst>
                <a:ext uri="{FF2B5EF4-FFF2-40B4-BE49-F238E27FC236}">
                  <a16:creationId xmlns:a16="http://schemas.microsoft.com/office/drawing/2014/main" id="{00000000-0008-0000-0200-000090010000}"/>
                </a:ext>
              </a:extLst>
            </xdr:cNvPr>
            <xdr:cNvGrpSpPr/>
          </xdr:nvGrpSpPr>
          <xdr:grpSpPr>
            <a:xfrm>
              <a:off x="108858" y="39913"/>
              <a:ext cx="542448" cy="181776"/>
              <a:chOff x="108858" y="39913"/>
              <a:chExt cx="591549" cy="391192"/>
            </a:xfrm>
          </xdr:grpSpPr>
          <xdr:sp macro="" textlink="">
            <xdr:nvSpPr>
              <xdr:cNvPr id="404" name="Rectangle 403">
                <a:extLst>
                  <a:ext uri="{FF2B5EF4-FFF2-40B4-BE49-F238E27FC236}">
                    <a16:creationId xmlns:a16="http://schemas.microsoft.com/office/drawing/2014/main" id="{00000000-0008-0000-0200-00009401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405" name="Rectangle 404">
                <a:extLst>
                  <a:ext uri="{FF2B5EF4-FFF2-40B4-BE49-F238E27FC236}">
                    <a16:creationId xmlns:a16="http://schemas.microsoft.com/office/drawing/2014/main" id="{00000000-0008-0000-0200-00009501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401" name="Groupe 400">
              <a:extLst>
                <a:ext uri="{FF2B5EF4-FFF2-40B4-BE49-F238E27FC236}">
                  <a16:creationId xmlns:a16="http://schemas.microsoft.com/office/drawing/2014/main" id="{00000000-0008-0000-0200-000091010000}"/>
                </a:ext>
              </a:extLst>
            </xdr:cNvPr>
            <xdr:cNvGrpSpPr/>
          </xdr:nvGrpSpPr>
          <xdr:grpSpPr>
            <a:xfrm>
              <a:off x="114195" y="235857"/>
              <a:ext cx="539999" cy="177992"/>
              <a:chOff x="114195" y="235857"/>
              <a:chExt cx="645095" cy="841867"/>
            </a:xfrm>
          </xdr:grpSpPr>
          <xdr:sp macro="" textlink="">
            <xdr:nvSpPr>
              <xdr:cNvPr id="402" name="Rectangle 401">
                <a:extLst>
                  <a:ext uri="{FF2B5EF4-FFF2-40B4-BE49-F238E27FC236}">
                    <a16:creationId xmlns:a16="http://schemas.microsoft.com/office/drawing/2014/main" id="{00000000-0008-0000-0200-00009201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403" name="Rectangle 402">
                <a:extLst>
                  <a:ext uri="{FF2B5EF4-FFF2-40B4-BE49-F238E27FC236}">
                    <a16:creationId xmlns:a16="http://schemas.microsoft.com/office/drawing/2014/main" id="{00000000-0008-0000-0200-00009301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397" name="Groupe 396">
            <a:extLst>
              <a:ext uri="{FF2B5EF4-FFF2-40B4-BE49-F238E27FC236}">
                <a16:creationId xmlns:a16="http://schemas.microsoft.com/office/drawing/2014/main" id="{00000000-0008-0000-0200-00008D010000}"/>
              </a:ext>
            </a:extLst>
          </xdr:cNvPr>
          <xdr:cNvGrpSpPr/>
        </xdr:nvGrpSpPr>
        <xdr:grpSpPr>
          <a:xfrm>
            <a:off x="0" y="0"/>
            <a:ext cx="756451" cy="442492"/>
            <a:chOff x="0" y="0"/>
            <a:chExt cx="756451" cy="442492"/>
          </a:xfrm>
        </xdr:grpSpPr>
        <xdr:sp macro="" textlink="">
          <xdr:nvSpPr>
            <xdr:cNvPr id="398" name="Rectangle 397">
              <a:extLst>
                <a:ext uri="{FF2B5EF4-FFF2-40B4-BE49-F238E27FC236}">
                  <a16:creationId xmlns:a16="http://schemas.microsoft.com/office/drawing/2014/main" id="{00000000-0008-0000-0200-00008E01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399" name="Rectangle 398">
              <a:extLst>
                <a:ext uri="{FF2B5EF4-FFF2-40B4-BE49-F238E27FC236}">
                  <a16:creationId xmlns:a16="http://schemas.microsoft.com/office/drawing/2014/main" id="{00000000-0008-0000-0200-00008F01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13</xdr:col>
      <xdr:colOff>447261</xdr:colOff>
      <xdr:row>660</xdr:row>
      <xdr:rowOff>33130</xdr:rowOff>
    </xdr:from>
    <xdr:to>
      <xdr:col>14</xdr:col>
      <xdr:colOff>415119</xdr:colOff>
      <xdr:row>662</xdr:row>
      <xdr:rowOff>38435</xdr:rowOff>
    </xdr:to>
    <xdr:grpSp>
      <xdr:nvGrpSpPr>
        <xdr:cNvPr id="527" name="Groupe 526">
          <a:extLst>
            <a:ext uri="{FF2B5EF4-FFF2-40B4-BE49-F238E27FC236}">
              <a16:creationId xmlns:a16="http://schemas.microsoft.com/office/drawing/2014/main" id="{00000000-0008-0000-0200-00000F020000}"/>
            </a:ext>
          </a:extLst>
        </xdr:cNvPr>
        <xdr:cNvGrpSpPr/>
      </xdr:nvGrpSpPr>
      <xdr:grpSpPr>
        <a:xfrm>
          <a:off x="9118821" y="110904130"/>
          <a:ext cx="752718" cy="439645"/>
          <a:chOff x="0" y="0"/>
          <a:chExt cx="756451" cy="442492"/>
        </a:xfrm>
      </xdr:grpSpPr>
      <xdr:grpSp>
        <xdr:nvGrpSpPr>
          <xdr:cNvPr id="528" name="Groupe 527">
            <a:extLst>
              <a:ext uri="{FF2B5EF4-FFF2-40B4-BE49-F238E27FC236}">
                <a16:creationId xmlns:a16="http://schemas.microsoft.com/office/drawing/2014/main" id="{00000000-0008-0000-0200-000010020000}"/>
              </a:ext>
            </a:extLst>
          </xdr:cNvPr>
          <xdr:cNvGrpSpPr/>
        </xdr:nvGrpSpPr>
        <xdr:grpSpPr>
          <a:xfrm>
            <a:off x="108858" y="39913"/>
            <a:ext cx="545336" cy="373936"/>
            <a:chOff x="108858" y="39913"/>
            <a:chExt cx="545336" cy="373936"/>
          </a:xfrm>
        </xdr:grpSpPr>
        <xdr:grpSp>
          <xdr:nvGrpSpPr>
            <xdr:cNvPr id="532" name="Groupe 531">
              <a:extLst>
                <a:ext uri="{FF2B5EF4-FFF2-40B4-BE49-F238E27FC236}">
                  <a16:creationId xmlns:a16="http://schemas.microsoft.com/office/drawing/2014/main" id="{00000000-0008-0000-0200-000014020000}"/>
                </a:ext>
              </a:extLst>
            </xdr:cNvPr>
            <xdr:cNvGrpSpPr/>
          </xdr:nvGrpSpPr>
          <xdr:grpSpPr>
            <a:xfrm>
              <a:off x="108858" y="39913"/>
              <a:ext cx="542448" cy="181776"/>
              <a:chOff x="108858" y="39913"/>
              <a:chExt cx="591549" cy="391192"/>
            </a:xfrm>
          </xdr:grpSpPr>
          <xdr:sp macro="" textlink="">
            <xdr:nvSpPr>
              <xdr:cNvPr id="536" name="Rectangle 535">
                <a:extLst>
                  <a:ext uri="{FF2B5EF4-FFF2-40B4-BE49-F238E27FC236}">
                    <a16:creationId xmlns:a16="http://schemas.microsoft.com/office/drawing/2014/main" id="{00000000-0008-0000-0200-000018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37" name="Rectangle 536">
                <a:extLst>
                  <a:ext uri="{FF2B5EF4-FFF2-40B4-BE49-F238E27FC236}">
                    <a16:creationId xmlns:a16="http://schemas.microsoft.com/office/drawing/2014/main" id="{00000000-0008-0000-0200-000019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533" name="Groupe 532">
              <a:extLst>
                <a:ext uri="{FF2B5EF4-FFF2-40B4-BE49-F238E27FC236}">
                  <a16:creationId xmlns:a16="http://schemas.microsoft.com/office/drawing/2014/main" id="{00000000-0008-0000-0200-000015020000}"/>
                </a:ext>
              </a:extLst>
            </xdr:cNvPr>
            <xdr:cNvGrpSpPr/>
          </xdr:nvGrpSpPr>
          <xdr:grpSpPr>
            <a:xfrm>
              <a:off x="114195" y="235857"/>
              <a:ext cx="539999" cy="177992"/>
              <a:chOff x="114195" y="235857"/>
              <a:chExt cx="645095" cy="841867"/>
            </a:xfrm>
          </xdr:grpSpPr>
          <xdr:sp macro="" textlink="">
            <xdr:nvSpPr>
              <xdr:cNvPr id="534" name="Rectangle 533">
                <a:extLst>
                  <a:ext uri="{FF2B5EF4-FFF2-40B4-BE49-F238E27FC236}">
                    <a16:creationId xmlns:a16="http://schemas.microsoft.com/office/drawing/2014/main" id="{00000000-0008-0000-0200-000016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35" name="Rectangle 534">
                <a:extLst>
                  <a:ext uri="{FF2B5EF4-FFF2-40B4-BE49-F238E27FC236}">
                    <a16:creationId xmlns:a16="http://schemas.microsoft.com/office/drawing/2014/main" id="{00000000-0008-0000-0200-000017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529" name="Groupe 528">
            <a:extLst>
              <a:ext uri="{FF2B5EF4-FFF2-40B4-BE49-F238E27FC236}">
                <a16:creationId xmlns:a16="http://schemas.microsoft.com/office/drawing/2014/main" id="{00000000-0008-0000-0200-000011020000}"/>
              </a:ext>
            </a:extLst>
          </xdr:cNvPr>
          <xdr:cNvGrpSpPr/>
        </xdr:nvGrpSpPr>
        <xdr:grpSpPr>
          <a:xfrm>
            <a:off x="0" y="0"/>
            <a:ext cx="756451" cy="442492"/>
            <a:chOff x="0" y="0"/>
            <a:chExt cx="756451" cy="442492"/>
          </a:xfrm>
        </xdr:grpSpPr>
        <xdr:sp macro="" textlink="">
          <xdr:nvSpPr>
            <xdr:cNvPr id="530" name="Rectangle 529">
              <a:extLst>
                <a:ext uri="{FF2B5EF4-FFF2-40B4-BE49-F238E27FC236}">
                  <a16:creationId xmlns:a16="http://schemas.microsoft.com/office/drawing/2014/main" id="{00000000-0008-0000-0200-000012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531" name="Rectangle 530">
              <a:extLst>
                <a:ext uri="{FF2B5EF4-FFF2-40B4-BE49-F238E27FC236}">
                  <a16:creationId xmlns:a16="http://schemas.microsoft.com/office/drawing/2014/main" id="{00000000-0008-0000-0200-000013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563218</xdr:colOff>
      <xdr:row>843</xdr:row>
      <xdr:rowOff>0</xdr:rowOff>
    </xdr:from>
    <xdr:to>
      <xdr:col>8</xdr:col>
      <xdr:colOff>531076</xdr:colOff>
      <xdr:row>845</xdr:row>
      <xdr:rowOff>5304</xdr:rowOff>
    </xdr:to>
    <xdr:grpSp>
      <xdr:nvGrpSpPr>
        <xdr:cNvPr id="538" name="Groupe 537">
          <a:extLst>
            <a:ext uri="{FF2B5EF4-FFF2-40B4-BE49-F238E27FC236}">
              <a16:creationId xmlns:a16="http://schemas.microsoft.com/office/drawing/2014/main" id="{00000000-0008-0000-0200-00001A020000}"/>
            </a:ext>
          </a:extLst>
        </xdr:cNvPr>
        <xdr:cNvGrpSpPr/>
      </xdr:nvGrpSpPr>
      <xdr:grpSpPr>
        <a:xfrm>
          <a:off x="4411318" y="145473420"/>
          <a:ext cx="752718" cy="439644"/>
          <a:chOff x="0" y="0"/>
          <a:chExt cx="756451" cy="442492"/>
        </a:xfrm>
      </xdr:grpSpPr>
      <xdr:grpSp>
        <xdr:nvGrpSpPr>
          <xdr:cNvPr id="539" name="Groupe 538">
            <a:extLst>
              <a:ext uri="{FF2B5EF4-FFF2-40B4-BE49-F238E27FC236}">
                <a16:creationId xmlns:a16="http://schemas.microsoft.com/office/drawing/2014/main" id="{00000000-0008-0000-0200-00001B020000}"/>
              </a:ext>
            </a:extLst>
          </xdr:cNvPr>
          <xdr:cNvGrpSpPr/>
        </xdr:nvGrpSpPr>
        <xdr:grpSpPr>
          <a:xfrm>
            <a:off x="108858" y="39913"/>
            <a:ext cx="545336" cy="373936"/>
            <a:chOff x="108858" y="39913"/>
            <a:chExt cx="545336" cy="373936"/>
          </a:xfrm>
        </xdr:grpSpPr>
        <xdr:grpSp>
          <xdr:nvGrpSpPr>
            <xdr:cNvPr id="543" name="Groupe 542">
              <a:extLst>
                <a:ext uri="{FF2B5EF4-FFF2-40B4-BE49-F238E27FC236}">
                  <a16:creationId xmlns:a16="http://schemas.microsoft.com/office/drawing/2014/main" id="{00000000-0008-0000-0200-00001F020000}"/>
                </a:ext>
              </a:extLst>
            </xdr:cNvPr>
            <xdr:cNvGrpSpPr/>
          </xdr:nvGrpSpPr>
          <xdr:grpSpPr>
            <a:xfrm>
              <a:off x="108858" y="39913"/>
              <a:ext cx="542448" cy="181776"/>
              <a:chOff x="108858" y="39913"/>
              <a:chExt cx="591549" cy="391192"/>
            </a:xfrm>
          </xdr:grpSpPr>
          <xdr:sp macro="" textlink="">
            <xdr:nvSpPr>
              <xdr:cNvPr id="547" name="Rectangle 546">
                <a:extLst>
                  <a:ext uri="{FF2B5EF4-FFF2-40B4-BE49-F238E27FC236}">
                    <a16:creationId xmlns:a16="http://schemas.microsoft.com/office/drawing/2014/main" id="{00000000-0008-0000-0200-000023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48" name="Rectangle 547">
                <a:extLst>
                  <a:ext uri="{FF2B5EF4-FFF2-40B4-BE49-F238E27FC236}">
                    <a16:creationId xmlns:a16="http://schemas.microsoft.com/office/drawing/2014/main" id="{00000000-0008-0000-0200-000024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544" name="Groupe 543">
              <a:extLst>
                <a:ext uri="{FF2B5EF4-FFF2-40B4-BE49-F238E27FC236}">
                  <a16:creationId xmlns:a16="http://schemas.microsoft.com/office/drawing/2014/main" id="{00000000-0008-0000-0200-000020020000}"/>
                </a:ext>
              </a:extLst>
            </xdr:cNvPr>
            <xdr:cNvGrpSpPr/>
          </xdr:nvGrpSpPr>
          <xdr:grpSpPr>
            <a:xfrm>
              <a:off x="114195" y="235857"/>
              <a:ext cx="539999" cy="177992"/>
              <a:chOff x="114195" y="235857"/>
              <a:chExt cx="645095" cy="841867"/>
            </a:xfrm>
          </xdr:grpSpPr>
          <xdr:sp macro="" textlink="">
            <xdr:nvSpPr>
              <xdr:cNvPr id="545" name="Rectangle 544">
                <a:extLst>
                  <a:ext uri="{FF2B5EF4-FFF2-40B4-BE49-F238E27FC236}">
                    <a16:creationId xmlns:a16="http://schemas.microsoft.com/office/drawing/2014/main" id="{00000000-0008-0000-0200-000021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46" name="Rectangle 545">
                <a:extLst>
                  <a:ext uri="{FF2B5EF4-FFF2-40B4-BE49-F238E27FC236}">
                    <a16:creationId xmlns:a16="http://schemas.microsoft.com/office/drawing/2014/main" id="{00000000-0008-0000-0200-000022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540" name="Groupe 539">
            <a:extLst>
              <a:ext uri="{FF2B5EF4-FFF2-40B4-BE49-F238E27FC236}">
                <a16:creationId xmlns:a16="http://schemas.microsoft.com/office/drawing/2014/main" id="{00000000-0008-0000-0200-00001C020000}"/>
              </a:ext>
            </a:extLst>
          </xdr:cNvPr>
          <xdr:cNvGrpSpPr/>
        </xdr:nvGrpSpPr>
        <xdr:grpSpPr>
          <a:xfrm>
            <a:off x="0" y="0"/>
            <a:ext cx="756451" cy="442492"/>
            <a:chOff x="0" y="0"/>
            <a:chExt cx="756451" cy="442492"/>
          </a:xfrm>
        </xdr:grpSpPr>
        <xdr:sp macro="" textlink="">
          <xdr:nvSpPr>
            <xdr:cNvPr id="541" name="Rectangle 540">
              <a:extLst>
                <a:ext uri="{FF2B5EF4-FFF2-40B4-BE49-F238E27FC236}">
                  <a16:creationId xmlns:a16="http://schemas.microsoft.com/office/drawing/2014/main" id="{00000000-0008-0000-0200-00001D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542" name="Rectangle 541">
              <a:extLst>
                <a:ext uri="{FF2B5EF4-FFF2-40B4-BE49-F238E27FC236}">
                  <a16:creationId xmlns:a16="http://schemas.microsoft.com/office/drawing/2014/main" id="{00000000-0008-0000-0200-00001E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13</xdr:col>
      <xdr:colOff>422413</xdr:colOff>
      <xdr:row>843</xdr:row>
      <xdr:rowOff>49696</xdr:rowOff>
    </xdr:from>
    <xdr:to>
      <xdr:col>14</xdr:col>
      <xdr:colOff>390271</xdr:colOff>
      <xdr:row>845</xdr:row>
      <xdr:rowOff>55000</xdr:rowOff>
    </xdr:to>
    <xdr:grpSp>
      <xdr:nvGrpSpPr>
        <xdr:cNvPr id="549" name="Groupe 548">
          <a:extLst>
            <a:ext uri="{FF2B5EF4-FFF2-40B4-BE49-F238E27FC236}">
              <a16:creationId xmlns:a16="http://schemas.microsoft.com/office/drawing/2014/main" id="{00000000-0008-0000-0200-000025020000}"/>
            </a:ext>
          </a:extLst>
        </xdr:cNvPr>
        <xdr:cNvGrpSpPr/>
      </xdr:nvGrpSpPr>
      <xdr:grpSpPr>
        <a:xfrm>
          <a:off x="9093973" y="145523116"/>
          <a:ext cx="752718" cy="439644"/>
          <a:chOff x="0" y="0"/>
          <a:chExt cx="756451" cy="442492"/>
        </a:xfrm>
      </xdr:grpSpPr>
      <xdr:grpSp>
        <xdr:nvGrpSpPr>
          <xdr:cNvPr id="550" name="Groupe 549">
            <a:extLst>
              <a:ext uri="{FF2B5EF4-FFF2-40B4-BE49-F238E27FC236}">
                <a16:creationId xmlns:a16="http://schemas.microsoft.com/office/drawing/2014/main" id="{00000000-0008-0000-0200-000026020000}"/>
              </a:ext>
            </a:extLst>
          </xdr:cNvPr>
          <xdr:cNvGrpSpPr/>
        </xdr:nvGrpSpPr>
        <xdr:grpSpPr>
          <a:xfrm>
            <a:off x="108858" y="39913"/>
            <a:ext cx="545336" cy="373936"/>
            <a:chOff x="108858" y="39913"/>
            <a:chExt cx="545336" cy="373936"/>
          </a:xfrm>
        </xdr:grpSpPr>
        <xdr:grpSp>
          <xdr:nvGrpSpPr>
            <xdr:cNvPr id="554" name="Groupe 553">
              <a:extLst>
                <a:ext uri="{FF2B5EF4-FFF2-40B4-BE49-F238E27FC236}">
                  <a16:creationId xmlns:a16="http://schemas.microsoft.com/office/drawing/2014/main" id="{00000000-0008-0000-0200-00002A020000}"/>
                </a:ext>
              </a:extLst>
            </xdr:cNvPr>
            <xdr:cNvGrpSpPr/>
          </xdr:nvGrpSpPr>
          <xdr:grpSpPr>
            <a:xfrm>
              <a:off x="108858" y="39913"/>
              <a:ext cx="542448" cy="181776"/>
              <a:chOff x="108858" y="39913"/>
              <a:chExt cx="591549" cy="391192"/>
            </a:xfrm>
          </xdr:grpSpPr>
          <xdr:sp macro="" textlink="">
            <xdr:nvSpPr>
              <xdr:cNvPr id="558" name="Rectangle 557">
                <a:extLst>
                  <a:ext uri="{FF2B5EF4-FFF2-40B4-BE49-F238E27FC236}">
                    <a16:creationId xmlns:a16="http://schemas.microsoft.com/office/drawing/2014/main" id="{00000000-0008-0000-0200-00002E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59" name="Rectangle 558">
                <a:extLst>
                  <a:ext uri="{FF2B5EF4-FFF2-40B4-BE49-F238E27FC236}">
                    <a16:creationId xmlns:a16="http://schemas.microsoft.com/office/drawing/2014/main" id="{00000000-0008-0000-0200-00002F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555" name="Groupe 554">
              <a:extLst>
                <a:ext uri="{FF2B5EF4-FFF2-40B4-BE49-F238E27FC236}">
                  <a16:creationId xmlns:a16="http://schemas.microsoft.com/office/drawing/2014/main" id="{00000000-0008-0000-0200-00002B020000}"/>
                </a:ext>
              </a:extLst>
            </xdr:cNvPr>
            <xdr:cNvGrpSpPr/>
          </xdr:nvGrpSpPr>
          <xdr:grpSpPr>
            <a:xfrm>
              <a:off x="114195" y="235857"/>
              <a:ext cx="539999" cy="177992"/>
              <a:chOff x="114195" y="235857"/>
              <a:chExt cx="645095" cy="841867"/>
            </a:xfrm>
          </xdr:grpSpPr>
          <xdr:sp macro="" textlink="">
            <xdr:nvSpPr>
              <xdr:cNvPr id="556" name="Rectangle 555">
                <a:extLst>
                  <a:ext uri="{FF2B5EF4-FFF2-40B4-BE49-F238E27FC236}">
                    <a16:creationId xmlns:a16="http://schemas.microsoft.com/office/drawing/2014/main" id="{00000000-0008-0000-0200-00002C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57" name="Rectangle 556">
                <a:extLst>
                  <a:ext uri="{FF2B5EF4-FFF2-40B4-BE49-F238E27FC236}">
                    <a16:creationId xmlns:a16="http://schemas.microsoft.com/office/drawing/2014/main" id="{00000000-0008-0000-0200-00002D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551" name="Groupe 550">
            <a:extLst>
              <a:ext uri="{FF2B5EF4-FFF2-40B4-BE49-F238E27FC236}">
                <a16:creationId xmlns:a16="http://schemas.microsoft.com/office/drawing/2014/main" id="{00000000-0008-0000-0200-000027020000}"/>
              </a:ext>
            </a:extLst>
          </xdr:cNvPr>
          <xdr:cNvGrpSpPr/>
        </xdr:nvGrpSpPr>
        <xdr:grpSpPr>
          <a:xfrm>
            <a:off x="0" y="0"/>
            <a:ext cx="756451" cy="442492"/>
            <a:chOff x="0" y="0"/>
            <a:chExt cx="756451" cy="442492"/>
          </a:xfrm>
        </xdr:grpSpPr>
        <xdr:sp macro="" textlink="">
          <xdr:nvSpPr>
            <xdr:cNvPr id="552" name="Rectangle 551">
              <a:extLst>
                <a:ext uri="{FF2B5EF4-FFF2-40B4-BE49-F238E27FC236}">
                  <a16:creationId xmlns:a16="http://schemas.microsoft.com/office/drawing/2014/main" id="{00000000-0008-0000-0200-000028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553" name="Rectangle 552">
              <a:extLst>
                <a:ext uri="{FF2B5EF4-FFF2-40B4-BE49-F238E27FC236}">
                  <a16:creationId xmlns:a16="http://schemas.microsoft.com/office/drawing/2014/main" id="{00000000-0008-0000-0200-000029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629478</xdr:colOff>
      <xdr:row>923</xdr:row>
      <xdr:rowOff>49696</xdr:rowOff>
    </xdr:from>
    <xdr:to>
      <xdr:col>8</xdr:col>
      <xdr:colOff>597336</xdr:colOff>
      <xdr:row>925</xdr:row>
      <xdr:rowOff>55000</xdr:rowOff>
    </xdr:to>
    <xdr:grpSp>
      <xdr:nvGrpSpPr>
        <xdr:cNvPr id="560" name="Groupe 559">
          <a:extLst>
            <a:ext uri="{FF2B5EF4-FFF2-40B4-BE49-F238E27FC236}">
              <a16:creationId xmlns:a16="http://schemas.microsoft.com/office/drawing/2014/main" id="{00000000-0008-0000-0200-000030020000}"/>
            </a:ext>
          </a:extLst>
        </xdr:cNvPr>
        <xdr:cNvGrpSpPr/>
      </xdr:nvGrpSpPr>
      <xdr:grpSpPr>
        <a:xfrm>
          <a:off x="4477578" y="159818236"/>
          <a:ext cx="752718" cy="439644"/>
          <a:chOff x="0" y="0"/>
          <a:chExt cx="756451" cy="442492"/>
        </a:xfrm>
      </xdr:grpSpPr>
      <xdr:grpSp>
        <xdr:nvGrpSpPr>
          <xdr:cNvPr id="561" name="Groupe 560">
            <a:extLst>
              <a:ext uri="{FF2B5EF4-FFF2-40B4-BE49-F238E27FC236}">
                <a16:creationId xmlns:a16="http://schemas.microsoft.com/office/drawing/2014/main" id="{00000000-0008-0000-0200-000031020000}"/>
              </a:ext>
            </a:extLst>
          </xdr:cNvPr>
          <xdr:cNvGrpSpPr/>
        </xdr:nvGrpSpPr>
        <xdr:grpSpPr>
          <a:xfrm>
            <a:off x="108858" y="39913"/>
            <a:ext cx="545336" cy="373936"/>
            <a:chOff x="108858" y="39913"/>
            <a:chExt cx="545336" cy="373936"/>
          </a:xfrm>
        </xdr:grpSpPr>
        <xdr:grpSp>
          <xdr:nvGrpSpPr>
            <xdr:cNvPr id="565" name="Groupe 564">
              <a:extLst>
                <a:ext uri="{FF2B5EF4-FFF2-40B4-BE49-F238E27FC236}">
                  <a16:creationId xmlns:a16="http://schemas.microsoft.com/office/drawing/2014/main" id="{00000000-0008-0000-0200-000035020000}"/>
                </a:ext>
              </a:extLst>
            </xdr:cNvPr>
            <xdr:cNvGrpSpPr/>
          </xdr:nvGrpSpPr>
          <xdr:grpSpPr>
            <a:xfrm>
              <a:off x="108858" y="39913"/>
              <a:ext cx="542448" cy="181776"/>
              <a:chOff x="108858" y="39913"/>
              <a:chExt cx="591549" cy="391192"/>
            </a:xfrm>
          </xdr:grpSpPr>
          <xdr:sp macro="" textlink="">
            <xdr:nvSpPr>
              <xdr:cNvPr id="569" name="Rectangle 568">
                <a:extLst>
                  <a:ext uri="{FF2B5EF4-FFF2-40B4-BE49-F238E27FC236}">
                    <a16:creationId xmlns:a16="http://schemas.microsoft.com/office/drawing/2014/main" id="{00000000-0008-0000-0200-000039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70" name="Rectangle 569">
                <a:extLst>
                  <a:ext uri="{FF2B5EF4-FFF2-40B4-BE49-F238E27FC236}">
                    <a16:creationId xmlns:a16="http://schemas.microsoft.com/office/drawing/2014/main" id="{00000000-0008-0000-0200-00003A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566" name="Groupe 565">
              <a:extLst>
                <a:ext uri="{FF2B5EF4-FFF2-40B4-BE49-F238E27FC236}">
                  <a16:creationId xmlns:a16="http://schemas.microsoft.com/office/drawing/2014/main" id="{00000000-0008-0000-0200-000036020000}"/>
                </a:ext>
              </a:extLst>
            </xdr:cNvPr>
            <xdr:cNvGrpSpPr/>
          </xdr:nvGrpSpPr>
          <xdr:grpSpPr>
            <a:xfrm>
              <a:off x="114195" y="235857"/>
              <a:ext cx="539999" cy="177992"/>
              <a:chOff x="114195" y="235857"/>
              <a:chExt cx="645095" cy="841867"/>
            </a:xfrm>
          </xdr:grpSpPr>
          <xdr:sp macro="" textlink="">
            <xdr:nvSpPr>
              <xdr:cNvPr id="567" name="Rectangle 566">
                <a:extLst>
                  <a:ext uri="{FF2B5EF4-FFF2-40B4-BE49-F238E27FC236}">
                    <a16:creationId xmlns:a16="http://schemas.microsoft.com/office/drawing/2014/main" id="{00000000-0008-0000-0200-000037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68" name="Rectangle 567">
                <a:extLst>
                  <a:ext uri="{FF2B5EF4-FFF2-40B4-BE49-F238E27FC236}">
                    <a16:creationId xmlns:a16="http://schemas.microsoft.com/office/drawing/2014/main" id="{00000000-0008-0000-0200-000038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562" name="Groupe 561">
            <a:extLst>
              <a:ext uri="{FF2B5EF4-FFF2-40B4-BE49-F238E27FC236}">
                <a16:creationId xmlns:a16="http://schemas.microsoft.com/office/drawing/2014/main" id="{00000000-0008-0000-0200-000032020000}"/>
              </a:ext>
            </a:extLst>
          </xdr:cNvPr>
          <xdr:cNvGrpSpPr/>
        </xdr:nvGrpSpPr>
        <xdr:grpSpPr>
          <a:xfrm>
            <a:off x="0" y="0"/>
            <a:ext cx="756451" cy="442492"/>
            <a:chOff x="0" y="0"/>
            <a:chExt cx="756451" cy="442492"/>
          </a:xfrm>
        </xdr:grpSpPr>
        <xdr:sp macro="" textlink="">
          <xdr:nvSpPr>
            <xdr:cNvPr id="563" name="Rectangle 562">
              <a:extLst>
                <a:ext uri="{FF2B5EF4-FFF2-40B4-BE49-F238E27FC236}">
                  <a16:creationId xmlns:a16="http://schemas.microsoft.com/office/drawing/2014/main" id="{00000000-0008-0000-0200-000033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564" name="Rectangle 563">
              <a:extLst>
                <a:ext uri="{FF2B5EF4-FFF2-40B4-BE49-F238E27FC236}">
                  <a16:creationId xmlns:a16="http://schemas.microsoft.com/office/drawing/2014/main" id="{00000000-0008-0000-0200-000034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13</xdr:col>
      <xdr:colOff>472109</xdr:colOff>
      <xdr:row>923</xdr:row>
      <xdr:rowOff>115956</xdr:rowOff>
    </xdr:from>
    <xdr:to>
      <xdr:col>14</xdr:col>
      <xdr:colOff>439967</xdr:colOff>
      <xdr:row>925</xdr:row>
      <xdr:rowOff>121261</xdr:rowOff>
    </xdr:to>
    <xdr:grpSp>
      <xdr:nvGrpSpPr>
        <xdr:cNvPr id="571" name="Groupe 570">
          <a:extLst>
            <a:ext uri="{FF2B5EF4-FFF2-40B4-BE49-F238E27FC236}">
              <a16:creationId xmlns:a16="http://schemas.microsoft.com/office/drawing/2014/main" id="{00000000-0008-0000-0200-00003B020000}"/>
            </a:ext>
          </a:extLst>
        </xdr:cNvPr>
        <xdr:cNvGrpSpPr/>
      </xdr:nvGrpSpPr>
      <xdr:grpSpPr>
        <a:xfrm>
          <a:off x="9143669" y="159884496"/>
          <a:ext cx="752718" cy="439645"/>
          <a:chOff x="0" y="-1"/>
          <a:chExt cx="756451" cy="442493"/>
        </a:xfrm>
      </xdr:grpSpPr>
      <xdr:grpSp>
        <xdr:nvGrpSpPr>
          <xdr:cNvPr id="572" name="Groupe 571">
            <a:extLst>
              <a:ext uri="{FF2B5EF4-FFF2-40B4-BE49-F238E27FC236}">
                <a16:creationId xmlns:a16="http://schemas.microsoft.com/office/drawing/2014/main" id="{00000000-0008-0000-0200-00003C020000}"/>
              </a:ext>
            </a:extLst>
          </xdr:cNvPr>
          <xdr:cNvGrpSpPr/>
        </xdr:nvGrpSpPr>
        <xdr:grpSpPr>
          <a:xfrm>
            <a:off x="108858" y="39913"/>
            <a:ext cx="545336" cy="373936"/>
            <a:chOff x="108858" y="39913"/>
            <a:chExt cx="545336" cy="373936"/>
          </a:xfrm>
        </xdr:grpSpPr>
        <xdr:grpSp>
          <xdr:nvGrpSpPr>
            <xdr:cNvPr id="576" name="Groupe 575">
              <a:extLst>
                <a:ext uri="{FF2B5EF4-FFF2-40B4-BE49-F238E27FC236}">
                  <a16:creationId xmlns:a16="http://schemas.microsoft.com/office/drawing/2014/main" id="{00000000-0008-0000-0200-000040020000}"/>
                </a:ext>
              </a:extLst>
            </xdr:cNvPr>
            <xdr:cNvGrpSpPr/>
          </xdr:nvGrpSpPr>
          <xdr:grpSpPr>
            <a:xfrm>
              <a:off x="108858" y="39913"/>
              <a:ext cx="542448" cy="181776"/>
              <a:chOff x="108858" y="39913"/>
              <a:chExt cx="591549" cy="391192"/>
            </a:xfrm>
          </xdr:grpSpPr>
          <xdr:sp macro="" textlink="">
            <xdr:nvSpPr>
              <xdr:cNvPr id="580" name="Rectangle 579">
                <a:extLst>
                  <a:ext uri="{FF2B5EF4-FFF2-40B4-BE49-F238E27FC236}">
                    <a16:creationId xmlns:a16="http://schemas.microsoft.com/office/drawing/2014/main" id="{00000000-0008-0000-0200-000044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81" name="Rectangle 580">
                <a:extLst>
                  <a:ext uri="{FF2B5EF4-FFF2-40B4-BE49-F238E27FC236}">
                    <a16:creationId xmlns:a16="http://schemas.microsoft.com/office/drawing/2014/main" id="{00000000-0008-0000-0200-000045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577" name="Groupe 576">
              <a:extLst>
                <a:ext uri="{FF2B5EF4-FFF2-40B4-BE49-F238E27FC236}">
                  <a16:creationId xmlns:a16="http://schemas.microsoft.com/office/drawing/2014/main" id="{00000000-0008-0000-0200-000041020000}"/>
                </a:ext>
              </a:extLst>
            </xdr:cNvPr>
            <xdr:cNvGrpSpPr/>
          </xdr:nvGrpSpPr>
          <xdr:grpSpPr>
            <a:xfrm>
              <a:off x="114195" y="235857"/>
              <a:ext cx="539999" cy="177992"/>
              <a:chOff x="114195" y="235857"/>
              <a:chExt cx="645095" cy="841867"/>
            </a:xfrm>
          </xdr:grpSpPr>
          <xdr:sp macro="" textlink="">
            <xdr:nvSpPr>
              <xdr:cNvPr id="578" name="Rectangle 577">
                <a:extLst>
                  <a:ext uri="{FF2B5EF4-FFF2-40B4-BE49-F238E27FC236}">
                    <a16:creationId xmlns:a16="http://schemas.microsoft.com/office/drawing/2014/main" id="{00000000-0008-0000-0200-000042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79" name="Rectangle 578">
                <a:extLst>
                  <a:ext uri="{FF2B5EF4-FFF2-40B4-BE49-F238E27FC236}">
                    <a16:creationId xmlns:a16="http://schemas.microsoft.com/office/drawing/2014/main" id="{00000000-0008-0000-0200-000043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573" name="Groupe 572">
            <a:extLst>
              <a:ext uri="{FF2B5EF4-FFF2-40B4-BE49-F238E27FC236}">
                <a16:creationId xmlns:a16="http://schemas.microsoft.com/office/drawing/2014/main" id="{00000000-0008-0000-0200-00003D020000}"/>
              </a:ext>
            </a:extLst>
          </xdr:cNvPr>
          <xdr:cNvGrpSpPr/>
        </xdr:nvGrpSpPr>
        <xdr:grpSpPr>
          <a:xfrm>
            <a:off x="0" y="-1"/>
            <a:ext cx="756451" cy="442493"/>
            <a:chOff x="0" y="-1"/>
            <a:chExt cx="756451" cy="442493"/>
          </a:xfrm>
        </xdr:grpSpPr>
        <xdr:sp macro="" textlink="">
          <xdr:nvSpPr>
            <xdr:cNvPr id="574" name="Rectangle 573">
              <a:extLst>
                <a:ext uri="{FF2B5EF4-FFF2-40B4-BE49-F238E27FC236}">
                  <a16:creationId xmlns:a16="http://schemas.microsoft.com/office/drawing/2014/main" id="{00000000-0008-0000-0200-00003E020000}"/>
                </a:ext>
              </a:extLst>
            </xdr:cNvPr>
            <xdr:cNvSpPr/>
          </xdr:nvSpPr>
          <xdr:spPr>
            <a:xfrm>
              <a:off x="0" y="-1"/>
              <a:ext cx="751113"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575" name="Rectangle 574">
              <a:extLst>
                <a:ext uri="{FF2B5EF4-FFF2-40B4-BE49-F238E27FC236}">
                  <a16:creationId xmlns:a16="http://schemas.microsoft.com/office/drawing/2014/main" id="{00000000-0008-0000-0200-00003F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13</xdr:col>
      <xdr:colOff>447261</xdr:colOff>
      <xdr:row>963</xdr:row>
      <xdr:rowOff>173935</xdr:rowOff>
    </xdr:from>
    <xdr:to>
      <xdr:col>14</xdr:col>
      <xdr:colOff>415119</xdr:colOff>
      <xdr:row>965</xdr:row>
      <xdr:rowOff>179239</xdr:rowOff>
    </xdr:to>
    <xdr:grpSp>
      <xdr:nvGrpSpPr>
        <xdr:cNvPr id="582" name="Groupe 581">
          <a:extLst>
            <a:ext uri="{FF2B5EF4-FFF2-40B4-BE49-F238E27FC236}">
              <a16:creationId xmlns:a16="http://schemas.microsoft.com/office/drawing/2014/main" id="{00000000-0008-0000-0200-000046020000}"/>
            </a:ext>
          </a:extLst>
        </xdr:cNvPr>
        <xdr:cNvGrpSpPr/>
      </xdr:nvGrpSpPr>
      <xdr:grpSpPr>
        <a:xfrm>
          <a:off x="9118821" y="167090035"/>
          <a:ext cx="752718" cy="439644"/>
          <a:chOff x="0" y="0"/>
          <a:chExt cx="756451" cy="442492"/>
        </a:xfrm>
      </xdr:grpSpPr>
      <xdr:grpSp>
        <xdr:nvGrpSpPr>
          <xdr:cNvPr id="583" name="Groupe 582">
            <a:extLst>
              <a:ext uri="{FF2B5EF4-FFF2-40B4-BE49-F238E27FC236}">
                <a16:creationId xmlns:a16="http://schemas.microsoft.com/office/drawing/2014/main" id="{00000000-0008-0000-0200-000047020000}"/>
              </a:ext>
            </a:extLst>
          </xdr:cNvPr>
          <xdr:cNvGrpSpPr/>
        </xdr:nvGrpSpPr>
        <xdr:grpSpPr>
          <a:xfrm>
            <a:off x="108858" y="39913"/>
            <a:ext cx="545336" cy="373936"/>
            <a:chOff x="108858" y="39913"/>
            <a:chExt cx="545336" cy="373936"/>
          </a:xfrm>
        </xdr:grpSpPr>
        <xdr:grpSp>
          <xdr:nvGrpSpPr>
            <xdr:cNvPr id="587" name="Groupe 586">
              <a:extLst>
                <a:ext uri="{FF2B5EF4-FFF2-40B4-BE49-F238E27FC236}">
                  <a16:creationId xmlns:a16="http://schemas.microsoft.com/office/drawing/2014/main" id="{00000000-0008-0000-0200-00004B020000}"/>
                </a:ext>
              </a:extLst>
            </xdr:cNvPr>
            <xdr:cNvGrpSpPr/>
          </xdr:nvGrpSpPr>
          <xdr:grpSpPr>
            <a:xfrm>
              <a:off x="108858" y="39913"/>
              <a:ext cx="542448" cy="181776"/>
              <a:chOff x="108858" y="39913"/>
              <a:chExt cx="591549" cy="391192"/>
            </a:xfrm>
          </xdr:grpSpPr>
          <xdr:sp macro="" textlink="">
            <xdr:nvSpPr>
              <xdr:cNvPr id="591" name="Rectangle 590">
                <a:extLst>
                  <a:ext uri="{FF2B5EF4-FFF2-40B4-BE49-F238E27FC236}">
                    <a16:creationId xmlns:a16="http://schemas.microsoft.com/office/drawing/2014/main" id="{00000000-0008-0000-0200-00004F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92" name="Rectangle 591">
                <a:extLst>
                  <a:ext uri="{FF2B5EF4-FFF2-40B4-BE49-F238E27FC236}">
                    <a16:creationId xmlns:a16="http://schemas.microsoft.com/office/drawing/2014/main" id="{00000000-0008-0000-0200-000050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588" name="Groupe 587">
              <a:extLst>
                <a:ext uri="{FF2B5EF4-FFF2-40B4-BE49-F238E27FC236}">
                  <a16:creationId xmlns:a16="http://schemas.microsoft.com/office/drawing/2014/main" id="{00000000-0008-0000-0200-00004C020000}"/>
                </a:ext>
              </a:extLst>
            </xdr:cNvPr>
            <xdr:cNvGrpSpPr/>
          </xdr:nvGrpSpPr>
          <xdr:grpSpPr>
            <a:xfrm>
              <a:off x="114195" y="235857"/>
              <a:ext cx="539999" cy="177992"/>
              <a:chOff x="114195" y="235857"/>
              <a:chExt cx="645095" cy="841867"/>
            </a:xfrm>
          </xdr:grpSpPr>
          <xdr:sp macro="" textlink="">
            <xdr:nvSpPr>
              <xdr:cNvPr id="589" name="Rectangle 588">
                <a:extLst>
                  <a:ext uri="{FF2B5EF4-FFF2-40B4-BE49-F238E27FC236}">
                    <a16:creationId xmlns:a16="http://schemas.microsoft.com/office/drawing/2014/main" id="{00000000-0008-0000-0200-00004D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590" name="Rectangle 589">
                <a:extLst>
                  <a:ext uri="{FF2B5EF4-FFF2-40B4-BE49-F238E27FC236}">
                    <a16:creationId xmlns:a16="http://schemas.microsoft.com/office/drawing/2014/main" id="{00000000-0008-0000-0200-00004E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584" name="Groupe 583">
            <a:extLst>
              <a:ext uri="{FF2B5EF4-FFF2-40B4-BE49-F238E27FC236}">
                <a16:creationId xmlns:a16="http://schemas.microsoft.com/office/drawing/2014/main" id="{00000000-0008-0000-0200-000048020000}"/>
              </a:ext>
            </a:extLst>
          </xdr:cNvPr>
          <xdr:cNvGrpSpPr/>
        </xdr:nvGrpSpPr>
        <xdr:grpSpPr>
          <a:xfrm>
            <a:off x="0" y="0"/>
            <a:ext cx="756451" cy="442492"/>
            <a:chOff x="0" y="0"/>
            <a:chExt cx="756451" cy="442492"/>
          </a:xfrm>
        </xdr:grpSpPr>
        <xdr:sp macro="" textlink="">
          <xdr:nvSpPr>
            <xdr:cNvPr id="585" name="Rectangle 584">
              <a:extLst>
                <a:ext uri="{FF2B5EF4-FFF2-40B4-BE49-F238E27FC236}">
                  <a16:creationId xmlns:a16="http://schemas.microsoft.com/office/drawing/2014/main" id="{00000000-0008-0000-0200-000049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586" name="Rectangle 585">
              <a:extLst>
                <a:ext uri="{FF2B5EF4-FFF2-40B4-BE49-F238E27FC236}">
                  <a16:creationId xmlns:a16="http://schemas.microsoft.com/office/drawing/2014/main" id="{00000000-0008-0000-0200-00004A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670892</xdr:colOff>
      <xdr:row>963</xdr:row>
      <xdr:rowOff>107674</xdr:rowOff>
    </xdr:from>
    <xdr:to>
      <xdr:col>8</xdr:col>
      <xdr:colOff>638750</xdr:colOff>
      <xdr:row>965</xdr:row>
      <xdr:rowOff>112978</xdr:rowOff>
    </xdr:to>
    <xdr:grpSp>
      <xdr:nvGrpSpPr>
        <xdr:cNvPr id="593" name="Groupe 592">
          <a:extLst>
            <a:ext uri="{FF2B5EF4-FFF2-40B4-BE49-F238E27FC236}">
              <a16:creationId xmlns:a16="http://schemas.microsoft.com/office/drawing/2014/main" id="{00000000-0008-0000-0200-000051020000}"/>
            </a:ext>
          </a:extLst>
        </xdr:cNvPr>
        <xdr:cNvGrpSpPr/>
      </xdr:nvGrpSpPr>
      <xdr:grpSpPr>
        <a:xfrm>
          <a:off x="4518992" y="167023774"/>
          <a:ext cx="752718" cy="439644"/>
          <a:chOff x="0" y="0"/>
          <a:chExt cx="756451" cy="442492"/>
        </a:xfrm>
      </xdr:grpSpPr>
      <xdr:grpSp>
        <xdr:nvGrpSpPr>
          <xdr:cNvPr id="594" name="Groupe 593">
            <a:extLst>
              <a:ext uri="{FF2B5EF4-FFF2-40B4-BE49-F238E27FC236}">
                <a16:creationId xmlns:a16="http://schemas.microsoft.com/office/drawing/2014/main" id="{00000000-0008-0000-0200-000052020000}"/>
              </a:ext>
            </a:extLst>
          </xdr:cNvPr>
          <xdr:cNvGrpSpPr/>
        </xdr:nvGrpSpPr>
        <xdr:grpSpPr>
          <a:xfrm>
            <a:off x="108858" y="39913"/>
            <a:ext cx="545336" cy="373936"/>
            <a:chOff x="108858" y="39913"/>
            <a:chExt cx="545336" cy="373936"/>
          </a:xfrm>
        </xdr:grpSpPr>
        <xdr:grpSp>
          <xdr:nvGrpSpPr>
            <xdr:cNvPr id="598" name="Groupe 597">
              <a:extLst>
                <a:ext uri="{FF2B5EF4-FFF2-40B4-BE49-F238E27FC236}">
                  <a16:creationId xmlns:a16="http://schemas.microsoft.com/office/drawing/2014/main" id="{00000000-0008-0000-0200-000056020000}"/>
                </a:ext>
              </a:extLst>
            </xdr:cNvPr>
            <xdr:cNvGrpSpPr/>
          </xdr:nvGrpSpPr>
          <xdr:grpSpPr>
            <a:xfrm>
              <a:off x="108858" y="39913"/>
              <a:ext cx="542448" cy="181776"/>
              <a:chOff x="108858" y="39913"/>
              <a:chExt cx="591549" cy="391192"/>
            </a:xfrm>
          </xdr:grpSpPr>
          <xdr:sp macro="" textlink="">
            <xdr:nvSpPr>
              <xdr:cNvPr id="602" name="Rectangle 601">
                <a:extLst>
                  <a:ext uri="{FF2B5EF4-FFF2-40B4-BE49-F238E27FC236}">
                    <a16:creationId xmlns:a16="http://schemas.microsoft.com/office/drawing/2014/main" id="{00000000-0008-0000-0200-00005A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03" name="Rectangle 602">
                <a:extLst>
                  <a:ext uri="{FF2B5EF4-FFF2-40B4-BE49-F238E27FC236}">
                    <a16:creationId xmlns:a16="http://schemas.microsoft.com/office/drawing/2014/main" id="{00000000-0008-0000-0200-00005B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599" name="Groupe 598">
              <a:extLst>
                <a:ext uri="{FF2B5EF4-FFF2-40B4-BE49-F238E27FC236}">
                  <a16:creationId xmlns:a16="http://schemas.microsoft.com/office/drawing/2014/main" id="{00000000-0008-0000-0200-000057020000}"/>
                </a:ext>
              </a:extLst>
            </xdr:cNvPr>
            <xdr:cNvGrpSpPr/>
          </xdr:nvGrpSpPr>
          <xdr:grpSpPr>
            <a:xfrm>
              <a:off x="114195" y="235857"/>
              <a:ext cx="539999" cy="177992"/>
              <a:chOff x="114195" y="235857"/>
              <a:chExt cx="645095" cy="841867"/>
            </a:xfrm>
          </xdr:grpSpPr>
          <xdr:sp macro="" textlink="">
            <xdr:nvSpPr>
              <xdr:cNvPr id="600" name="Rectangle 599">
                <a:extLst>
                  <a:ext uri="{FF2B5EF4-FFF2-40B4-BE49-F238E27FC236}">
                    <a16:creationId xmlns:a16="http://schemas.microsoft.com/office/drawing/2014/main" id="{00000000-0008-0000-0200-000058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01" name="Rectangle 600">
                <a:extLst>
                  <a:ext uri="{FF2B5EF4-FFF2-40B4-BE49-F238E27FC236}">
                    <a16:creationId xmlns:a16="http://schemas.microsoft.com/office/drawing/2014/main" id="{00000000-0008-0000-0200-000059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595" name="Groupe 594">
            <a:extLst>
              <a:ext uri="{FF2B5EF4-FFF2-40B4-BE49-F238E27FC236}">
                <a16:creationId xmlns:a16="http://schemas.microsoft.com/office/drawing/2014/main" id="{00000000-0008-0000-0200-000053020000}"/>
              </a:ext>
            </a:extLst>
          </xdr:cNvPr>
          <xdr:cNvGrpSpPr/>
        </xdr:nvGrpSpPr>
        <xdr:grpSpPr>
          <a:xfrm>
            <a:off x="0" y="0"/>
            <a:ext cx="756451" cy="442492"/>
            <a:chOff x="0" y="0"/>
            <a:chExt cx="756451" cy="442492"/>
          </a:xfrm>
        </xdr:grpSpPr>
        <xdr:sp macro="" textlink="">
          <xdr:nvSpPr>
            <xdr:cNvPr id="596" name="Rectangle 595">
              <a:extLst>
                <a:ext uri="{FF2B5EF4-FFF2-40B4-BE49-F238E27FC236}">
                  <a16:creationId xmlns:a16="http://schemas.microsoft.com/office/drawing/2014/main" id="{00000000-0008-0000-0200-000054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597" name="Rectangle 596">
              <a:extLst>
                <a:ext uri="{FF2B5EF4-FFF2-40B4-BE49-F238E27FC236}">
                  <a16:creationId xmlns:a16="http://schemas.microsoft.com/office/drawing/2014/main" id="{00000000-0008-0000-0200-000055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13</xdr:col>
      <xdr:colOff>513522</xdr:colOff>
      <xdr:row>1003</xdr:row>
      <xdr:rowOff>91109</xdr:rowOff>
    </xdr:from>
    <xdr:to>
      <xdr:col>14</xdr:col>
      <xdr:colOff>481380</xdr:colOff>
      <xdr:row>1005</xdr:row>
      <xdr:rowOff>96413</xdr:rowOff>
    </xdr:to>
    <xdr:grpSp>
      <xdr:nvGrpSpPr>
        <xdr:cNvPr id="604" name="Groupe 603">
          <a:extLst>
            <a:ext uri="{FF2B5EF4-FFF2-40B4-BE49-F238E27FC236}">
              <a16:creationId xmlns:a16="http://schemas.microsoft.com/office/drawing/2014/main" id="{00000000-0008-0000-0200-00005C020000}"/>
            </a:ext>
          </a:extLst>
        </xdr:cNvPr>
        <xdr:cNvGrpSpPr/>
      </xdr:nvGrpSpPr>
      <xdr:grpSpPr>
        <a:xfrm>
          <a:off x="9185082" y="174154769"/>
          <a:ext cx="752718" cy="439644"/>
          <a:chOff x="0" y="0"/>
          <a:chExt cx="756451" cy="442492"/>
        </a:xfrm>
      </xdr:grpSpPr>
      <xdr:grpSp>
        <xdr:nvGrpSpPr>
          <xdr:cNvPr id="605" name="Groupe 604">
            <a:extLst>
              <a:ext uri="{FF2B5EF4-FFF2-40B4-BE49-F238E27FC236}">
                <a16:creationId xmlns:a16="http://schemas.microsoft.com/office/drawing/2014/main" id="{00000000-0008-0000-0200-00005D020000}"/>
              </a:ext>
            </a:extLst>
          </xdr:cNvPr>
          <xdr:cNvGrpSpPr/>
        </xdr:nvGrpSpPr>
        <xdr:grpSpPr>
          <a:xfrm>
            <a:off x="108858" y="39913"/>
            <a:ext cx="545336" cy="373936"/>
            <a:chOff x="108858" y="39913"/>
            <a:chExt cx="545336" cy="373936"/>
          </a:xfrm>
        </xdr:grpSpPr>
        <xdr:grpSp>
          <xdr:nvGrpSpPr>
            <xdr:cNvPr id="609" name="Groupe 608">
              <a:extLst>
                <a:ext uri="{FF2B5EF4-FFF2-40B4-BE49-F238E27FC236}">
                  <a16:creationId xmlns:a16="http://schemas.microsoft.com/office/drawing/2014/main" id="{00000000-0008-0000-0200-000061020000}"/>
                </a:ext>
              </a:extLst>
            </xdr:cNvPr>
            <xdr:cNvGrpSpPr/>
          </xdr:nvGrpSpPr>
          <xdr:grpSpPr>
            <a:xfrm>
              <a:off x="108858" y="39913"/>
              <a:ext cx="542448" cy="181776"/>
              <a:chOff x="108858" y="39913"/>
              <a:chExt cx="591549" cy="391192"/>
            </a:xfrm>
          </xdr:grpSpPr>
          <xdr:sp macro="" textlink="">
            <xdr:nvSpPr>
              <xdr:cNvPr id="613" name="Rectangle 612">
                <a:extLst>
                  <a:ext uri="{FF2B5EF4-FFF2-40B4-BE49-F238E27FC236}">
                    <a16:creationId xmlns:a16="http://schemas.microsoft.com/office/drawing/2014/main" id="{00000000-0008-0000-0200-000065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14" name="Rectangle 613">
                <a:extLst>
                  <a:ext uri="{FF2B5EF4-FFF2-40B4-BE49-F238E27FC236}">
                    <a16:creationId xmlns:a16="http://schemas.microsoft.com/office/drawing/2014/main" id="{00000000-0008-0000-0200-000066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610" name="Groupe 609">
              <a:extLst>
                <a:ext uri="{FF2B5EF4-FFF2-40B4-BE49-F238E27FC236}">
                  <a16:creationId xmlns:a16="http://schemas.microsoft.com/office/drawing/2014/main" id="{00000000-0008-0000-0200-000062020000}"/>
                </a:ext>
              </a:extLst>
            </xdr:cNvPr>
            <xdr:cNvGrpSpPr/>
          </xdr:nvGrpSpPr>
          <xdr:grpSpPr>
            <a:xfrm>
              <a:off x="114195" y="235857"/>
              <a:ext cx="539999" cy="177992"/>
              <a:chOff x="114195" y="235857"/>
              <a:chExt cx="645095" cy="841867"/>
            </a:xfrm>
          </xdr:grpSpPr>
          <xdr:sp macro="" textlink="">
            <xdr:nvSpPr>
              <xdr:cNvPr id="611" name="Rectangle 610">
                <a:extLst>
                  <a:ext uri="{FF2B5EF4-FFF2-40B4-BE49-F238E27FC236}">
                    <a16:creationId xmlns:a16="http://schemas.microsoft.com/office/drawing/2014/main" id="{00000000-0008-0000-0200-000063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12" name="Rectangle 611">
                <a:extLst>
                  <a:ext uri="{FF2B5EF4-FFF2-40B4-BE49-F238E27FC236}">
                    <a16:creationId xmlns:a16="http://schemas.microsoft.com/office/drawing/2014/main" id="{00000000-0008-0000-0200-000064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606" name="Groupe 605">
            <a:extLst>
              <a:ext uri="{FF2B5EF4-FFF2-40B4-BE49-F238E27FC236}">
                <a16:creationId xmlns:a16="http://schemas.microsoft.com/office/drawing/2014/main" id="{00000000-0008-0000-0200-00005E020000}"/>
              </a:ext>
            </a:extLst>
          </xdr:cNvPr>
          <xdr:cNvGrpSpPr/>
        </xdr:nvGrpSpPr>
        <xdr:grpSpPr>
          <a:xfrm>
            <a:off x="0" y="0"/>
            <a:ext cx="756451" cy="442492"/>
            <a:chOff x="0" y="0"/>
            <a:chExt cx="756451" cy="442492"/>
          </a:xfrm>
        </xdr:grpSpPr>
        <xdr:sp macro="" textlink="">
          <xdr:nvSpPr>
            <xdr:cNvPr id="607" name="Rectangle 606">
              <a:extLst>
                <a:ext uri="{FF2B5EF4-FFF2-40B4-BE49-F238E27FC236}">
                  <a16:creationId xmlns:a16="http://schemas.microsoft.com/office/drawing/2014/main" id="{00000000-0008-0000-0200-00005F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608" name="Rectangle 607">
              <a:extLst>
                <a:ext uri="{FF2B5EF4-FFF2-40B4-BE49-F238E27FC236}">
                  <a16:creationId xmlns:a16="http://schemas.microsoft.com/office/drawing/2014/main" id="{00000000-0008-0000-0200-000060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654327</xdr:colOff>
      <xdr:row>1003</xdr:row>
      <xdr:rowOff>33131</xdr:rowOff>
    </xdr:from>
    <xdr:to>
      <xdr:col>8</xdr:col>
      <xdr:colOff>622185</xdr:colOff>
      <xdr:row>1005</xdr:row>
      <xdr:rowOff>38435</xdr:rowOff>
    </xdr:to>
    <xdr:grpSp>
      <xdr:nvGrpSpPr>
        <xdr:cNvPr id="615" name="Groupe 614">
          <a:extLst>
            <a:ext uri="{FF2B5EF4-FFF2-40B4-BE49-F238E27FC236}">
              <a16:creationId xmlns:a16="http://schemas.microsoft.com/office/drawing/2014/main" id="{00000000-0008-0000-0200-000067020000}"/>
            </a:ext>
          </a:extLst>
        </xdr:cNvPr>
        <xdr:cNvGrpSpPr/>
      </xdr:nvGrpSpPr>
      <xdr:grpSpPr>
        <a:xfrm>
          <a:off x="4502427" y="174096791"/>
          <a:ext cx="752718" cy="439644"/>
          <a:chOff x="0" y="0"/>
          <a:chExt cx="756451" cy="442492"/>
        </a:xfrm>
      </xdr:grpSpPr>
      <xdr:grpSp>
        <xdr:nvGrpSpPr>
          <xdr:cNvPr id="616" name="Groupe 615">
            <a:extLst>
              <a:ext uri="{FF2B5EF4-FFF2-40B4-BE49-F238E27FC236}">
                <a16:creationId xmlns:a16="http://schemas.microsoft.com/office/drawing/2014/main" id="{00000000-0008-0000-0200-000068020000}"/>
              </a:ext>
            </a:extLst>
          </xdr:cNvPr>
          <xdr:cNvGrpSpPr/>
        </xdr:nvGrpSpPr>
        <xdr:grpSpPr>
          <a:xfrm>
            <a:off x="108858" y="39913"/>
            <a:ext cx="545336" cy="373936"/>
            <a:chOff x="108858" y="39913"/>
            <a:chExt cx="545336" cy="373936"/>
          </a:xfrm>
        </xdr:grpSpPr>
        <xdr:grpSp>
          <xdr:nvGrpSpPr>
            <xdr:cNvPr id="620" name="Groupe 619">
              <a:extLst>
                <a:ext uri="{FF2B5EF4-FFF2-40B4-BE49-F238E27FC236}">
                  <a16:creationId xmlns:a16="http://schemas.microsoft.com/office/drawing/2014/main" id="{00000000-0008-0000-0200-00006C020000}"/>
                </a:ext>
              </a:extLst>
            </xdr:cNvPr>
            <xdr:cNvGrpSpPr/>
          </xdr:nvGrpSpPr>
          <xdr:grpSpPr>
            <a:xfrm>
              <a:off x="108858" y="39913"/>
              <a:ext cx="542448" cy="181776"/>
              <a:chOff x="108858" y="39913"/>
              <a:chExt cx="591549" cy="391192"/>
            </a:xfrm>
          </xdr:grpSpPr>
          <xdr:sp macro="" textlink="">
            <xdr:nvSpPr>
              <xdr:cNvPr id="624" name="Rectangle 623">
                <a:extLst>
                  <a:ext uri="{FF2B5EF4-FFF2-40B4-BE49-F238E27FC236}">
                    <a16:creationId xmlns:a16="http://schemas.microsoft.com/office/drawing/2014/main" id="{00000000-0008-0000-0200-000070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25" name="Rectangle 624">
                <a:extLst>
                  <a:ext uri="{FF2B5EF4-FFF2-40B4-BE49-F238E27FC236}">
                    <a16:creationId xmlns:a16="http://schemas.microsoft.com/office/drawing/2014/main" id="{00000000-0008-0000-0200-000071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621" name="Groupe 620">
              <a:extLst>
                <a:ext uri="{FF2B5EF4-FFF2-40B4-BE49-F238E27FC236}">
                  <a16:creationId xmlns:a16="http://schemas.microsoft.com/office/drawing/2014/main" id="{00000000-0008-0000-0200-00006D020000}"/>
                </a:ext>
              </a:extLst>
            </xdr:cNvPr>
            <xdr:cNvGrpSpPr/>
          </xdr:nvGrpSpPr>
          <xdr:grpSpPr>
            <a:xfrm>
              <a:off x="114195" y="235857"/>
              <a:ext cx="539999" cy="177992"/>
              <a:chOff x="114195" y="235857"/>
              <a:chExt cx="645095" cy="841867"/>
            </a:xfrm>
          </xdr:grpSpPr>
          <xdr:sp macro="" textlink="">
            <xdr:nvSpPr>
              <xdr:cNvPr id="622" name="Rectangle 621">
                <a:extLst>
                  <a:ext uri="{FF2B5EF4-FFF2-40B4-BE49-F238E27FC236}">
                    <a16:creationId xmlns:a16="http://schemas.microsoft.com/office/drawing/2014/main" id="{00000000-0008-0000-0200-00006E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23" name="Rectangle 622">
                <a:extLst>
                  <a:ext uri="{FF2B5EF4-FFF2-40B4-BE49-F238E27FC236}">
                    <a16:creationId xmlns:a16="http://schemas.microsoft.com/office/drawing/2014/main" id="{00000000-0008-0000-0200-00006F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617" name="Groupe 616">
            <a:extLst>
              <a:ext uri="{FF2B5EF4-FFF2-40B4-BE49-F238E27FC236}">
                <a16:creationId xmlns:a16="http://schemas.microsoft.com/office/drawing/2014/main" id="{00000000-0008-0000-0200-000069020000}"/>
              </a:ext>
            </a:extLst>
          </xdr:cNvPr>
          <xdr:cNvGrpSpPr/>
        </xdr:nvGrpSpPr>
        <xdr:grpSpPr>
          <a:xfrm>
            <a:off x="0" y="0"/>
            <a:ext cx="756451" cy="442492"/>
            <a:chOff x="0" y="0"/>
            <a:chExt cx="756451" cy="442492"/>
          </a:xfrm>
        </xdr:grpSpPr>
        <xdr:sp macro="" textlink="">
          <xdr:nvSpPr>
            <xdr:cNvPr id="618" name="Rectangle 617">
              <a:extLst>
                <a:ext uri="{FF2B5EF4-FFF2-40B4-BE49-F238E27FC236}">
                  <a16:creationId xmlns:a16="http://schemas.microsoft.com/office/drawing/2014/main" id="{00000000-0008-0000-0200-00006A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619" name="Rectangle 618">
              <a:extLst>
                <a:ext uri="{FF2B5EF4-FFF2-40B4-BE49-F238E27FC236}">
                  <a16:creationId xmlns:a16="http://schemas.microsoft.com/office/drawing/2014/main" id="{00000000-0008-0000-0200-00006B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oneCellAnchor>
    <xdr:from>
      <xdr:col>1</xdr:col>
      <xdr:colOff>134408</xdr:colOff>
      <xdr:row>132</xdr:row>
      <xdr:rowOff>133350</xdr:rowOff>
    </xdr:from>
    <xdr:ext cx="1442508" cy="311900"/>
    <xdr:pic>
      <xdr:nvPicPr>
        <xdr:cNvPr id="626" name="Logo SG">
          <a:extLst>
            <a:ext uri="{FF2B5EF4-FFF2-40B4-BE49-F238E27FC236}">
              <a16:creationId xmlns:a16="http://schemas.microsoft.com/office/drawing/2014/main" id="{00000000-0008-0000-0200-00007202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498475" y="24246417"/>
          <a:ext cx="1442508" cy="311900"/>
        </a:xfrm>
        <a:prstGeom prst="rect">
          <a:avLst/>
        </a:prstGeom>
      </xdr:spPr>
    </xdr:pic>
    <xdr:clientData/>
  </xdr:oneCellAnchor>
  <xdr:twoCellAnchor>
    <xdr:from>
      <xdr:col>3</xdr:col>
      <xdr:colOff>19050</xdr:colOff>
      <xdr:row>83</xdr:row>
      <xdr:rowOff>85725</xdr:rowOff>
    </xdr:from>
    <xdr:to>
      <xdr:col>14</xdr:col>
      <xdr:colOff>295275</xdr:colOff>
      <xdr:row>84</xdr:row>
      <xdr:rowOff>104775</xdr:rowOff>
    </xdr:to>
    <xdr:sp macro="" textlink="">
      <xdr:nvSpPr>
        <xdr:cNvPr id="631" name="ZoneTexte 630">
          <a:extLst>
            <a:ext uri="{FF2B5EF4-FFF2-40B4-BE49-F238E27FC236}">
              <a16:creationId xmlns:a16="http://schemas.microsoft.com/office/drawing/2014/main" id="{00000000-0008-0000-0200-000077020000}"/>
            </a:ext>
          </a:extLst>
        </xdr:cNvPr>
        <xdr:cNvSpPr txBox="1"/>
      </xdr:nvSpPr>
      <xdr:spPr>
        <a:xfrm>
          <a:off x="714789" y="23011986"/>
          <a:ext cx="8732769" cy="234398"/>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RECRUTEMENT CLIENTS - EVOLUTION STOCK CLIENTS 12/2023 - 12/2022</a:t>
          </a:r>
        </a:p>
      </xdr:txBody>
    </xdr:sp>
    <xdr:clientData/>
  </xdr:twoCellAnchor>
  <xdr:twoCellAnchor>
    <xdr:from>
      <xdr:col>10</xdr:col>
      <xdr:colOff>266702</xdr:colOff>
      <xdr:row>80</xdr:row>
      <xdr:rowOff>9526</xdr:rowOff>
    </xdr:from>
    <xdr:to>
      <xdr:col>14</xdr:col>
      <xdr:colOff>542926</xdr:colOff>
      <xdr:row>83</xdr:row>
      <xdr:rowOff>19050</xdr:rowOff>
    </xdr:to>
    <xdr:sp macro="" textlink="">
      <xdr:nvSpPr>
        <xdr:cNvPr id="634" name="ZoneTexte 633">
          <a:extLst>
            <a:ext uri="{FF2B5EF4-FFF2-40B4-BE49-F238E27FC236}">
              <a16:creationId xmlns:a16="http://schemas.microsoft.com/office/drawing/2014/main" id="{00000000-0008-0000-0200-00007A020000}"/>
            </a:ext>
          </a:extLst>
        </xdr:cNvPr>
        <xdr:cNvSpPr txBox="1"/>
      </xdr:nvSpPr>
      <xdr:spPr>
        <a:xfrm>
          <a:off x="6296441" y="22505091"/>
          <a:ext cx="3398768" cy="44022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3</xdr:col>
      <xdr:colOff>0</xdr:colOff>
      <xdr:row>85</xdr:row>
      <xdr:rowOff>6275</xdr:rowOff>
    </xdr:from>
    <xdr:to>
      <xdr:col>8</xdr:col>
      <xdr:colOff>590984</xdr:colOff>
      <xdr:row>99</xdr:row>
      <xdr:rowOff>96106</xdr:rowOff>
    </xdr:to>
    <xdr:graphicFrame macro="">
      <xdr:nvGraphicFramePr>
        <xdr:cNvPr id="635" name="Graphique 634">
          <a:extLst>
            <a:ext uri="{FF2B5EF4-FFF2-40B4-BE49-F238E27FC236}">
              <a16:creationId xmlns:a16="http://schemas.microsoft.com/office/drawing/2014/main" id="{00000000-0008-0000-0200-00007B02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658219</xdr:colOff>
      <xdr:row>85</xdr:row>
      <xdr:rowOff>0</xdr:rowOff>
    </xdr:from>
    <xdr:to>
      <xdr:col>14</xdr:col>
      <xdr:colOff>487889</xdr:colOff>
      <xdr:row>99</xdr:row>
      <xdr:rowOff>89831</xdr:rowOff>
    </xdr:to>
    <xdr:graphicFrame macro="">
      <xdr:nvGraphicFramePr>
        <xdr:cNvPr id="636" name="Graphique 635">
          <a:extLst>
            <a:ext uri="{FF2B5EF4-FFF2-40B4-BE49-F238E27FC236}">
              <a16:creationId xmlns:a16="http://schemas.microsoft.com/office/drawing/2014/main" id="{00000000-0008-0000-0200-00007C02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3</xdr:col>
      <xdr:colOff>0</xdr:colOff>
      <xdr:row>100</xdr:row>
      <xdr:rowOff>85690</xdr:rowOff>
    </xdr:from>
    <xdr:to>
      <xdr:col>8</xdr:col>
      <xdr:colOff>590984</xdr:colOff>
      <xdr:row>115</xdr:row>
      <xdr:rowOff>142391</xdr:rowOff>
    </xdr:to>
    <xdr:graphicFrame macro="">
      <xdr:nvGraphicFramePr>
        <xdr:cNvPr id="637" name="Graphique 636">
          <a:extLst>
            <a:ext uri="{FF2B5EF4-FFF2-40B4-BE49-F238E27FC236}">
              <a16:creationId xmlns:a16="http://schemas.microsoft.com/office/drawing/2014/main" id="{00000000-0008-0000-0200-00007D02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8</xdr:col>
      <xdr:colOff>724894</xdr:colOff>
      <xdr:row>100</xdr:row>
      <xdr:rowOff>88940</xdr:rowOff>
    </xdr:from>
    <xdr:to>
      <xdr:col>14</xdr:col>
      <xdr:colOff>554564</xdr:colOff>
      <xdr:row>115</xdr:row>
      <xdr:rowOff>145641</xdr:rowOff>
    </xdr:to>
    <xdr:graphicFrame macro="">
      <xdr:nvGraphicFramePr>
        <xdr:cNvPr id="638" name="Graphique 637">
          <a:extLst>
            <a:ext uri="{FF2B5EF4-FFF2-40B4-BE49-F238E27FC236}">
              <a16:creationId xmlns:a16="http://schemas.microsoft.com/office/drawing/2014/main" id="{00000000-0008-0000-0200-00007E02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2</xdr:col>
      <xdr:colOff>0</xdr:colOff>
      <xdr:row>340</xdr:row>
      <xdr:rowOff>5773</xdr:rowOff>
    </xdr:from>
    <xdr:to>
      <xdr:col>8</xdr:col>
      <xdr:colOff>483310</xdr:colOff>
      <xdr:row>354</xdr:row>
      <xdr:rowOff>99332</xdr:rowOff>
    </xdr:to>
    <xdr:graphicFrame macro="">
      <xdr:nvGraphicFramePr>
        <xdr:cNvPr id="639" name="Graphique 638">
          <a:extLst>
            <a:ext uri="{FF2B5EF4-FFF2-40B4-BE49-F238E27FC236}">
              <a16:creationId xmlns:a16="http://schemas.microsoft.com/office/drawing/2014/main" id="{00000000-0008-0000-0200-00007F02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8</xdr:col>
      <xdr:colOff>598296</xdr:colOff>
      <xdr:row>340</xdr:row>
      <xdr:rowOff>16567</xdr:rowOff>
    </xdr:from>
    <xdr:to>
      <xdr:col>14</xdr:col>
      <xdr:colOff>352736</xdr:colOff>
      <xdr:row>354</xdr:row>
      <xdr:rowOff>91110</xdr:rowOff>
    </xdr:to>
    <xdr:graphicFrame macro="">
      <xdr:nvGraphicFramePr>
        <xdr:cNvPr id="640" name="Graphique 639">
          <a:extLst>
            <a:ext uri="{FF2B5EF4-FFF2-40B4-BE49-F238E27FC236}">
              <a16:creationId xmlns:a16="http://schemas.microsoft.com/office/drawing/2014/main" id="{00000000-0008-0000-0200-00008002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2</xdr:col>
      <xdr:colOff>11208</xdr:colOff>
      <xdr:row>354</xdr:row>
      <xdr:rowOff>177271</xdr:rowOff>
    </xdr:from>
    <xdr:to>
      <xdr:col>8</xdr:col>
      <xdr:colOff>480391</xdr:colOff>
      <xdr:row>370</xdr:row>
      <xdr:rowOff>22351</xdr:rowOff>
    </xdr:to>
    <xdr:graphicFrame macro="">
      <xdr:nvGraphicFramePr>
        <xdr:cNvPr id="641" name="Graphique 640">
          <a:extLst>
            <a:ext uri="{FF2B5EF4-FFF2-40B4-BE49-F238E27FC236}">
              <a16:creationId xmlns:a16="http://schemas.microsoft.com/office/drawing/2014/main" id="{00000000-0008-0000-0200-00008102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605624</xdr:colOff>
      <xdr:row>354</xdr:row>
      <xdr:rowOff>168051</xdr:rowOff>
    </xdr:from>
    <xdr:to>
      <xdr:col>14</xdr:col>
      <xdr:colOff>360064</xdr:colOff>
      <xdr:row>370</xdr:row>
      <xdr:rowOff>59099</xdr:rowOff>
    </xdr:to>
    <xdr:graphicFrame macro="">
      <xdr:nvGraphicFramePr>
        <xdr:cNvPr id="642" name="Graphique 641">
          <a:extLst>
            <a:ext uri="{FF2B5EF4-FFF2-40B4-BE49-F238E27FC236}">
              <a16:creationId xmlns:a16="http://schemas.microsoft.com/office/drawing/2014/main" id="{00000000-0008-0000-0200-00008202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612915</xdr:colOff>
      <xdr:row>351</xdr:row>
      <xdr:rowOff>124240</xdr:rowOff>
    </xdr:from>
    <xdr:to>
      <xdr:col>11</xdr:col>
      <xdr:colOff>381002</xdr:colOff>
      <xdr:row>354</xdr:row>
      <xdr:rowOff>157368</xdr:rowOff>
    </xdr:to>
    <xdr:grpSp>
      <xdr:nvGrpSpPr>
        <xdr:cNvPr id="643" name="Groupe 642">
          <a:extLst>
            <a:ext uri="{FF2B5EF4-FFF2-40B4-BE49-F238E27FC236}">
              <a16:creationId xmlns:a16="http://schemas.microsoft.com/office/drawing/2014/main" id="{00000000-0008-0000-0200-000083020000}"/>
            </a:ext>
          </a:extLst>
        </xdr:cNvPr>
        <xdr:cNvGrpSpPr/>
      </xdr:nvGrpSpPr>
      <xdr:grpSpPr>
        <a:xfrm>
          <a:off x="5245875" y="55856920"/>
          <a:ext cx="2153147" cy="581768"/>
          <a:chOff x="6253240" y="65893949"/>
          <a:chExt cx="3343276" cy="678657"/>
        </a:xfrm>
        <a:noFill/>
      </xdr:grpSpPr>
      <xdr:sp macro="" textlink="">
        <xdr:nvSpPr>
          <xdr:cNvPr id="644" name="ZoneTexte 643">
            <a:extLst>
              <a:ext uri="{FF2B5EF4-FFF2-40B4-BE49-F238E27FC236}">
                <a16:creationId xmlns:a16="http://schemas.microsoft.com/office/drawing/2014/main" id="{00000000-0008-0000-0200-000084020000}"/>
              </a:ext>
            </a:extLst>
          </xdr:cNvPr>
          <xdr:cNvSpPr txBox="1"/>
        </xdr:nvSpPr>
        <xdr:spPr>
          <a:xfrm>
            <a:off x="6253240" y="66172556"/>
            <a:ext cx="3343276" cy="4000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700" i="1"/>
              <a:t>Niveau d'efficacité  commerciale moyenne</a:t>
            </a:r>
            <a:r>
              <a:rPr lang="fr-FR" sz="700" i="1" baseline="0"/>
              <a:t> mensuelle depuis le début de l'année</a:t>
            </a:r>
            <a:endParaRPr lang="fr-FR" sz="700" i="1"/>
          </a:p>
        </xdr:txBody>
      </xdr:sp>
      <xdr:cxnSp macro="">
        <xdr:nvCxnSpPr>
          <xdr:cNvPr id="645" name="Connecteur droit 644">
            <a:extLst>
              <a:ext uri="{FF2B5EF4-FFF2-40B4-BE49-F238E27FC236}">
                <a16:creationId xmlns:a16="http://schemas.microsoft.com/office/drawing/2014/main" id="{00000000-0008-0000-0200-000085020000}"/>
              </a:ext>
            </a:extLst>
          </xdr:cNvPr>
          <xdr:cNvCxnSpPr/>
        </xdr:nvCxnSpPr>
        <xdr:spPr>
          <a:xfrm>
            <a:off x="6411938" y="66160173"/>
            <a:ext cx="468000" cy="0"/>
          </a:xfrm>
          <a:prstGeom prst="line">
            <a:avLst/>
          </a:prstGeom>
          <a:grpFill/>
          <a:ln w="28575">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646" name="Rectangle 645">
            <a:extLst>
              <a:ext uri="{FF2B5EF4-FFF2-40B4-BE49-F238E27FC236}">
                <a16:creationId xmlns:a16="http://schemas.microsoft.com/office/drawing/2014/main" id="{00000000-0008-0000-0200-000086020000}"/>
              </a:ext>
            </a:extLst>
          </xdr:cNvPr>
          <xdr:cNvSpPr/>
        </xdr:nvSpPr>
        <xdr:spPr>
          <a:xfrm>
            <a:off x="6353175" y="65893949"/>
            <a:ext cx="3209925" cy="5429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000"/>
          </a:p>
        </xdr:txBody>
      </xdr:sp>
    </xdr:grpSp>
    <xdr:clientData/>
  </xdr:twoCellAnchor>
  <xdr:twoCellAnchor>
    <xdr:from>
      <xdr:col>9</xdr:col>
      <xdr:colOff>479118</xdr:colOff>
      <xdr:row>370</xdr:row>
      <xdr:rowOff>174891</xdr:rowOff>
    </xdr:from>
    <xdr:to>
      <xdr:col>12</xdr:col>
      <xdr:colOff>247205</xdr:colOff>
      <xdr:row>372</xdr:row>
      <xdr:rowOff>145901</xdr:rowOff>
    </xdr:to>
    <xdr:grpSp>
      <xdr:nvGrpSpPr>
        <xdr:cNvPr id="647" name="Groupe 646">
          <a:extLst>
            <a:ext uri="{FF2B5EF4-FFF2-40B4-BE49-F238E27FC236}">
              <a16:creationId xmlns:a16="http://schemas.microsoft.com/office/drawing/2014/main" id="{00000000-0008-0000-0200-000087020000}"/>
            </a:ext>
          </a:extLst>
        </xdr:cNvPr>
        <xdr:cNvGrpSpPr/>
      </xdr:nvGrpSpPr>
      <xdr:grpSpPr>
        <a:xfrm>
          <a:off x="5927418" y="59290851"/>
          <a:ext cx="2122667" cy="336770"/>
          <a:chOff x="6253240" y="65893949"/>
          <a:chExt cx="3343276" cy="678657"/>
        </a:xfrm>
        <a:noFill/>
      </xdr:grpSpPr>
      <xdr:sp macro="" textlink="">
        <xdr:nvSpPr>
          <xdr:cNvPr id="648" name="ZoneTexte 647">
            <a:extLst>
              <a:ext uri="{FF2B5EF4-FFF2-40B4-BE49-F238E27FC236}">
                <a16:creationId xmlns:a16="http://schemas.microsoft.com/office/drawing/2014/main" id="{00000000-0008-0000-0200-000088020000}"/>
              </a:ext>
            </a:extLst>
          </xdr:cNvPr>
          <xdr:cNvSpPr txBox="1"/>
        </xdr:nvSpPr>
        <xdr:spPr>
          <a:xfrm>
            <a:off x="6253240" y="66172556"/>
            <a:ext cx="3343276" cy="4000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700" i="1"/>
              <a:t>Niveau d'efficacité  commerciale globale du mois</a:t>
            </a:r>
          </a:p>
        </xdr:txBody>
      </xdr:sp>
      <xdr:cxnSp macro="">
        <xdr:nvCxnSpPr>
          <xdr:cNvPr id="649" name="Connecteur droit 648">
            <a:extLst>
              <a:ext uri="{FF2B5EF4-FFF2-40B4-BE49-F238E27FC236}">
                <a16:creationId xmlns:a16="http://schemas.microsoft.com/office/drawing/2014/main" id="{00000000-0008-0000-0200-000089020000}"/>
              </a:ext>
            </a:extLst>
          </xdr:cNvPr>
          <xdr:cNvCxnSpPr/>
        </xdr:nvCxnSpPr>
        <xdr:spPr>
          <a:xfrm>
            <a:off x="6411938" y="66160173"/>
            <a:ext cx="468000" cy="0"/>
          </a:xfrm>
          <a:prstGeom prst="line">
            <a:avLst/>
          </a:prstGeom>
          <a:grpFill/>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sp macro="" textlink="">
        <xdr:nvSpPr>
          <xdr:cNvPr id="650" name="Rectangle 649">
            <a:extLst>
              <a:ext uri="{FF2B5EF4-FFF2-40B4-BE49-F238E27FC236}">
                <a16:creationId xmlns:a16="http://schemas.microsoft.com/office/drawing/2014/main" id="{00000000-0008-0000-0200-00008A020000}"/>
              </a:ext>
            </a:extLst>
          </xdr:cNvPr>
          <xdr:cNvSpPr/>
        </xdr:nvSpPr>
        <xdr:spPr>
          <a:xfrm>
            <a:off x="6353175" y="65893949"/>
            <a:ext cx="3209925" cy="54292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000"/>
          </a:p>
        </xdr:txBody>
      </xdr:sp>
    </xdr:grpSp>
    <xdr:clientData/>
  </xdr:twoCellAnchor>
  <xdr:twoCellAnchor>
    <xdr:from>
      <xdr:col>7</xdr:col>
      <xdr:colOff>563218</xdr:colOff>
      <xdr:row>355</xdr:row>
      <xdr:rowOff>0</xdr:rowOff>
    </xdr:from>
    <xdr:to>
      <xdr:col>8</xdr:col>
      <xdr:colOff>531076</xdr:colOff>
      <xdr:row>357</xdr:row>
      <xdr:rowOff>71966</xdr:rowOff>
    </xdr:to>
    <xdr:grpSp>
      <xdr:nvGrpSpPr>
        <xdr:cNvPr id="627" name="Groupe 626">
          <a:extLst>
            <a:ext uri="{FF2B5EF4-FFF2-40B4-BE49-F238E27FC236}">
              <a16:creationId xmlns:a16="http://schemas.microsoft.com/office/drawing/2014/main" id="{00000000-0008-0000-0200-000073020000}"/>
            </a:ext>
          </a:extLst>
        </xdr:cNvPr>
        <xdr:cNvGrpSpPr/>
      </xdr:nvGrpSpPr>
      <xdr:grpSpPr>
        <a:xfrm>
          <a:off x="4411318" y="56464200"/>
          <a:ext cx="752718" cy="437726"/>
          <a:chOff x="0" y="0"/>
          <a:chExt cx="756451" cy="442492"/>
        </a:xfrm>
      </xdr:grpSpPr>
      <xdr:grpSp>
        <xdr:nvGrpSpPr>
          <xdr:cNvPr id="628" name="Groupe 627">
            <a:extLst>
              <a:ext uri="{FF2B5EF4-FFF2-40B4-BE49-F238E27FC236}">
                <a16:creationId xmlns:a16="http://schemas.microsoft.com/office/drawing/2014/main" id="{00000000-0008-0000-0200-000074020000}"/>
              </a:ext>
            </a:extLst>
          </xdr:cNvPr>
          <xdr:cNvGrpSpPr/>
        </xdr:nvGrpSpPr>
        <xdr:grpSpPr>
          <a:xfrm>
            <a:off x="108858" y="39913"/>
            <a:ext cx="545336" cy="373936"/>
            <a:chOff x="108858" y="39913"/>
            <a:chExt cx="545336" cy="373936"/>
          </a:xfrm>
        </xdr:grpSpPr>
        <xdr:grpSp>
          <xdr:nvGrpSpPr>
            <xdr:cNvPr id="633" name="Groupe 632">
              <a:extLst>
                <a:ext uri="{FF2B5EF4-FFF2-40B4-BE49-F238E27FC236}">
                  <a16:creationId xmlns:a16="http://schemas.microsoft.com/office/drawing/2014/main" id="{00000000-0008-0000-0200-000079020000}"/>
                </a:ext>
              </a:extLst>
            </xdr:cNvPr>
            <xdr:cNvGrpSpPr/>
          </xdr:nvGrpSpPr>
          <xdr:grpSpPr>
            <a:xfrm>
              <a:off x="108858" y="39913"/>
              <a:ext cx="542448" cy="181776"/>
              <a:chOff x="108858" y="39913"/>
              <a:chExt cx="591549" cy="391192"/>
            </a:xfrm>
          </xdr:grpSpPr>
          <xdr:sp macro="" textlink="">
            <xdr:nvSpPr>
              <xdr:cNvPr id="654" name="Rectangle 653">
                <a:extLst>
                  <a:ext uri="{FF2B5EF4-FFF2-40B4-BE49-F238E27FC236}">
                    <a16:creationId xmlns:a16="http://schemas.microsoft.com/office/drawing/2014/main" id="{00000000-0008-0000-0200-00008E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55" name="Rectangle 654">
                <a:extLst>
                  <a:ext uri="{FF2B5EF4-FFF2-40B4-BE49-F238E27FC236}">
                    <a16:creationId xmlns:a16="http://schemas.microsoft.com/office/drawing/2014/main" id="{00000000-0008-0000-0200-00008F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651" name="Groupe 650">
              <a:extLst>
                <a:ext uri="{FF2B5EF4-FFF2-40B4-BE49-F238E27FC236}">
                  <a16:creationId xmlns:a16="http://schemas.microsoft.com/office/drawing/2014/main" id="{00000000-0008-0000-0200-00008B020000}"/>
                </a:ext>
              </a:extLst>
            </xdr:cNvPr>
            <xdr:cNvGrpSpPr/>
          </xdr:nvGrpSpPr>
          <xdr:grpSpPr>
            <a:xfrm>
              <a:off x="114195" y="235857"/>
              <a:ext cx="539999" cy="177992"/>
              <a:chOff x="114195" y="235857"/>
              <a:chExt cx="645095" cy="841867"/>
            </a:xfrm>
          </xdr:grpSpPr>
          <xdr:sp macro="" textlink="">
            <xdr:nvSpPr>
              <xdr:cNvPr id="652" name="Rectangle 651">
                <a:extLst>
                  <a:ext uri="{FF2B5EF4-FFF2-40B4-BE49-F238E27FC236}">
                    <a16:creationId xmlns:a16="http://schemas.microsoft.com/office/drawing/2014/main" id="{00000000-0008-0000-0200-00008C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53" name="Rectangle 652">
                <a:extLst>
                  <a:ext uri="{FF2B5EF4-FFF2-40B4-BE49-F238E27FC236}">
                    <a16:creationId xmlns:a16="http://schemas.microsoft.com/office/drawing/2014/main" id="{00000000-0008-0000-0200-00008D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629" name="Groupe 628">
            <a:extLst>
              <a:ext uri="{FF2B5EF4-FFF2-40B4-BE49-F238E27FC236}">
                <a16:creationId xmlns:a16="http://schemas.microsoft.com/office/drawing/2014/main" id="{00000000-0008-0000-0200-000075020000}"/>
              </a:ext>
            </a:extLst>
          </xdr:cNvPr>
          <xdr:cNvGrpSpPr/>
        </xdr:nvGrpSpPr>
        <xdr:grpSpPr>
          <a:xfrm>
            <a:off x="0" y="0"/>
            <a:ext cx="756451" cy="442492"/>
            <a:chOff x="0" y="0"/>
            <a:chExt cx="756451" cy="442492"/>
          </a:xfrm>
        </xdr:grpSpPr>
        <xdr:sp macro="" textlink="">
          <xdr:nvSpPr>
            <xdr:cNvPr id="630" name="Rectangle 629">
              <a:extLst>
                <a:ext uri="{FF2B5EF4-FFF2-40B4-BE49-F238E27FC236}">
                  <a16:creationId xmlns:a16="http://schemas.microsoft.com/office/drawing/2014/main" id="{00000000-0008-0000-0200-000076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632" name="Rectangle 631">
              <a:extLst>
                <a:ext uri="{FF2B5EF4-FFF2-40B4-BE49-F238E27FC236}">
                  <a16:creationId xmlns:a16="http://schemas.microsoft.com/office/drawing/2014/main" id="{00000000-0008-0000-0200-000078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571501</xdr:colOff>
      <xdr:row>380</xdr:row>
      <xdr:rowOff>57979</xdr:rowOff>
    </xdr:from>
    <xdr:to>
      <xdr:col>8</xdr:col>
      <xdr:colOff>539359</xdr:colOff>
      <xdr:row>382</xdr:row>
      <xdr:rowOff>63684</xdr:rowOff>
    </xdr:to>
    <xdr:grpSp>
      <xdr:nvGrpSpPr>
        <xdr:cNvPr id="656" name="Groupe 655">
          <a:extLst>
            <a:ext uri="{FF2B5EF4-FFF2-40B4-BE49-F238E27FC236}">
              <a16:creationId xmlns:a16="http://schemas.microsoft.com/office/drawing/2014/main" id="{00000000-0008-0000-0200-000090020000}"/>
            </a:ext>
          </a:extLst>
        </xdr:cNvPr>
        <xdr:cNvGrpSpPr/>
      </xdr:nvGrpSpPr>
      <xdr:grpSpPr>
        <a:xfrm>
          <a:off x="4419601" y="60857959"/>
          <a:ext cx="752718" cy="440045"/>
          <a:chOff x="0" y="0"/>
          <a:chExt cx="756451" cy="442492"/>
        </a:xfrm>
      </xdr:grpSpPr>
      <xdr:grpSp>
        <xdr:nvGrpSpPr>
          <xdr:cNvPr id="657" name="Groupe 656">
            <a:extLst>
              <a:ext uri="{FF2B5EF4-FFF2-40B4-BE49-F238E27FC236}">
                <a16:creationId xmlns:a16="http://schemas.microsoft.com/office/drawing/2014/main" id="{00000000-0008-0000-0200-000091020000}"/>
              </a:ext>
            </a:extLst>
          </xdr:cNvPr>
          <xdr:cNvGrpSpPr/>
        </xdr:nvGrpSpPr>
        <xdr:grpSpPr>
          <a:xfrm>
            <a:off x="108858" y="39913"/>
            <a:ext cx="545336" cy="373936"/>
            <a:chOff x="108858" y="39913"/>
            <a:chExt cx="545336" cy="373936"/>
          </a:xfrm>
        </xdr:grpSpPr>
        <xdr:grpSp>
          <xdr:nvGrpSpPr>
            <xdr:cNvPr id="661" name="Groupe 660">
              <a:extLst>
                <a:ext uri="{FF2B5EF4-FFF2-40B4-BE49-F238E27FC236}">
                  <a16:creationId xmlns:a16="http://schemas.microsoft.com/office/drawing/2014/main" id="{00000000-0008-0000-0200-000095020000}"/>
                </a:ext>
              </a:extLst>
            </xdr:cNvPr>
            <xdr:cNvGrpSpPr/>
          </xdr:nvGrpSpPr>
          <xdr:grpSpPr>
            <a:xfrm>
              <a:off x="108858" y="39913"/>
              <a:ext cx="542448" cy="181776"/>
              <a:chOff x="108858" y="39913"/>
              <a:chExt cx="591549" cy="391192"/>
            </a:xfrm>
          </xdr:grpSpPr>
          <xdr:sp macro="" textlink="">
            <xdr:nvSpPr>
              <xdr:cNvPr id="665" name="Rectangle 664">
                <a:extLst>
                  <a:ext uri="{FF2B5EF4-FFF2-40B4-BE49-F238E27FC236}">
                    <a16:creationId xmlns:a16="http://schemas.microsoft.com/office/drawing/2014/main" id="{00000000-0008-0000-0200-000099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66" name="Rectangle 665">
                <a:extLst>
                  <a:ext uri="{FF2B5EF4-FFF2-40B4-BE49-F238E27FC236}">
                    <a16:creationId xmlns:a16="http://schemas.microsoft.com/office/drawing/2014/main" id="{00000000-0008-0000-0200-00009A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662" name="Groupe 661">
              <a:extLst>
                <a:ext uri="{FF2B5EF4-FFF2-40B4-BE49-F238E27FC236}">
                  <a16:creationId xmlns:a16="http://schemas.microsoft.com/office/drawing/2014/main" id="{00000000-0008-0000-0200-000096020000}"/>
                </a:ext>
              </a:extLst>
            </xdr:cNvPr>
            <xdr:cNvGrpSpPr/>
          </xdr:nvGrpSpPr>
          <xdr:grpSpPr>
            <a:xfrm>
              <a:off x="114195" y="235857"/>
              <a:ext cx="539999" cy="177992"/>
              <a:chOff x="114195" y="235857"/>
              <a:chExt cx="645095" cy="841867"/>
            </a:xfrm>
          </xdr:grpSpPr>
          <xdr:sp macro="" textlink="">
            <xdr:nvSpPr>
              <xdr:cNvPr id="663" name="Rectangle 662">
                <a:extLst>
                  <a:ext uri="{FF2B5EF4-FFF2-40B4-BE49-F238E27FC236}">
                    <a16:creationId xmlns:a16="http://schemas.microsoft.com/office/drawing/2014/main" id="{00000000-0008-0000-0200-000097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64" name="Rectangle 663">
                <a:extLst>
                  <a:ext uri="{FF2B5EF4-FFF2-40B4-BE49-F238E27FC236}">
                    <a16:creationId xmlns:a16="http://schemas.microsoft.com/office/drawing/2014/main" id="{00000000-0008-0000-0200-000098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658" name="Groupe 657">
            <a:extLst>
              <a:ext uri="{FF2B5EF4-FFF2-40B4-BE49-F238E27FC236}">
                <a16:creationId xmlns:a16="http://schemas.microsoft.com/office/drawing/2014/main" id="{00000000-0008-0000-0200-000092020000}"/>
              </a:ext>
            </a:extLst>
          </xdr:cNvPr>
          <xdr:cNvGrpSpPr/>
        </xdr:nvGrpSpPr>
        <xdr:grpSpPr>
          <a:xfrm>
            <a:off x="0" y="0"/>
            <a:ext cx="756451" cy="442492"/>
            <a:chOff x="0" y="0"/>
            <a:chExt cx="756451" cy="442492"/>
          </a:xfrm>
        </xdr:grpSpPr>
        <xdr:sp macro="" textlink="">
          <xdr:nvSpPr>
            <xdr:cNvPr id="659" name="Rectangle 658">
              <a:extLst>
                <a:ext uri="{FF2B5EF4-FFF2-40B4-BE49-F238E27FC236}">
                  <a16:creationId xmlns:a16="http://schemas.microsoft.com/office/drawing/2014/main" id="{00000000-0008-0000-0200-000093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660" name="Rectangle 659">
              <a:extLst>
                <a:ext uri="{FF2B5EF4-FFF2-40B4-BE49-F238E27FC236}">
                  <a16:creationId xmlns:a16="http://schemas.microsoft.com/office/drawing/2014/main" id="{00000000-0008-0000-0200-000094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579783</xdr:colOff>
      <xdr:row>395</xdr:row>
      <xdr:rowOff>82826</xdr:rowOff>
    </xdr:from>
    <xdr:to>
      <xdr:col>8</xdr:col>
      <xdr:colOff>547641</xdr:colOff>
      <xdr:row>397</xdr:row>
      <xdr:rowOff>154792</xdr:rowOff>
    </xdr:to>
    <xdr:grpSp>
      <xdr:nvGrpSpPr>
        <xdr:cNvPr id="667" name="Groupe 666">
          <a:extLst>
            <a:ext uri="{FF2B5EF4-FFF2-40B4-BE49-F238E27FC236}">
              <a16:creationId xmlns:a16="http://schemas.microsoft.com/office/drawing/2014/main" id="{00000000-0008-0000-0200-00009B020000}"/>
            </a:ext>
          </a:extLst>
        </xdr:cNvPr>
        <xdr:cNvGrpSpPr/>
      </xdr:nvGrpSpPr>
      <xdr:grpSpPr>
        <a:xfrm>
          <a:off x="4427883" y="63679346"/>
          <a:ext cx="752718" cy="437726"/>
          <a:chOff x="0" y="0"/>
          <a:chExt cx="756451" cy="442492"/>
        </a:xfrm>
      </xdr:grpSpPr>
      <xdr:grpSp>
        <xdr:nvGrpSpPr>
          <xdr:cNvPr id="668" name="Groupe 667">
            <a:extLst>
              <a:ext uri="{FF2B5EF4-FFF2-40B4-BE49-F238E27FC236}">
                <a16:creationId xmlns:a16="http://schemas.microsoft.com/office/drawing/2014/main" id="{00000000-0008-0000-0200-00009C020000}"/>
              </a:ext>
            </a:extLst>
          </xdr:cNvPr>
          <xdr:cNvGrpSpPr/>
        </xdr:nvGrpSpPr>
        <xdr:grpSpPr>
          <a:xfrm>
            <a:off x="108858" y="39913"/>
            <a:ext cx="545336" cy="373936"/>
            <a:chOff x="108858" y="39913"/>
            <a:chExt cx="545336" cy="373936"/>
          </a:xfrm>
        </xdr:grpSpPr>
        <xdr:grpSp>
          <xdr:nvGrpSpPr>
            <xdr:cNvPr id="672" name="Groupe 671">
              <a:extLst>
                <a:ext uri="{FF2B5EF4-FFF2-40B4-BE49-F238E27FC236}">
                  <a16:creationId xmlns:a16="http://schemas.microsoft.com/office/drawing/2014/main" id="{00000000-0008-0000-0200-0000A0020000}"/>
                </a:ext>
              </a:extLst>
            </xdr:cNvPr>
            <xdr:cNvGrpSpPr/>
          </xdr:nvGrpSpPr>
          <xdr:grpSpPr>
            <a:xfrm>
              <a:off x="108858" y="39913"/>
              <a:ext cx="542448" cy="181776"/>
              <a:chOff x="108858" y="39913"/>
              <a:chExt cx="591549" cy="391192"/>
            </a:xfrm>
          </xdr:grpSpPr>
          <xdr:sp macro="" textlink="">
            <xdr:nvSpPr>
              <xdr:cNvPr id="676" name="Rectangle 675">
                <a:extLst>
                  <a:ext uri="{FF2B5EF4-FFF2-40B4-BE49-F238E27FC236}">
                    <a16:creationId xmlns:a16="http://schemas.microsoft.com/office/drawing/2014/main" id="{00000000-0008-0000-0200-0000A4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77" name="Rectangle 676">
                <a:extLst>
                  <a:ext uri="{FF2B5EF4-FFF2-40B4-BE49-F238E27FC236}">
                    <a16:creationId xmlns:a16="http://schemas.microsoft.com/office/drawing/2014/main" id="{00000000-0008-0000-0200-0000A5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673" name="Groupe 672">
              <a:extLst>
                <a:ext uri="{FF2B5EF4-FFF2-40B4-BE49-F238E27FC236}">
                  <a16:creationId xmlns:a16="http://schemas.microsoft.com/office/drawing/2014/main" id="{00000000-0008-0000-0200-0000A1020000}"/>
                </a:ext>
              </a:extLst>
            </xdr:cNvPr>
            <xdr:cNvGrpSpPr/>
          </xdr:nvGrpSpPr>
          <xdr:grpSpPr>
            <a:xfrm>
              <a:off x="114195" y="235857"/>
              <a:ext cx="539999" cy="177992"/>
              <a:chOff x="114195" y="235857"/>
              <a:chExt cx="645095" cy="841867"/>
            </a:xfrm>
          </xdr:grpSpPr>
          <xdr:sp macro="" textlink="">
            <xdr:nvSpPr>
              <xdr:cNvPr id="674" name="Rectangle 673">
                <a:extLst>
                  <a:ext uri="{FF2B5EF4-FFF2-40B4-BE49-F238E27FC236}">
                    <a16:creationId xmlns:a16="http://schemas.microsoft.com/office/drawing/2014/main" id="{00000000-0008-0000-0200-0000A2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75" name="Rectangle 674">
                <a:extLst>
                  <a:ext uri="{FF2B5EF4-FFF2-40B4-BE49-F238E27FC236}">
                    <a16:creationId xmlns:a16="http://schemas.microsoft.com/office/drawing/2014/main" id="{00000000-0008-0000-0200-0000A3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669" name="Groupe 668">
            <a:extLst>
              <a:ext uri="{FF2B5EF4-FFF2-40B4-BE49-F238E27FC236}">
                <a16:creationId xmlns:a16="http://schemas.microsoft.com/office/drawing/2014/main" id="{00000000-0008-0000-0200-00009D020000}"/>
              </a:ext>
            </a:extLst>
          </xdr:cNvPr>
          <xdr:cNvGrpSpPr/>
        </xdr:nvGrpSpPr>
        <xdr:grpSpPr>
          <a:xfrm>
            <a:off x="0" y="0"/>
            <a:ext cx="756451" cy="442492"/>
            <a:chOff x="0" y="0"/>
            <a:chExt cx="756451" cy="442492"/>
          </a:xfrm>
        </xdr:grpSpPr>
        <xdr:sp macro="" textlink="">
          <xdr:nvSpPr>
            <xdr:cNvPr id="670" name="Rectangle 669">
              <a:extLst>
                <a:ext uri="{FF2B5EF4-FFF2-40B4-BE49-F238E27FC236}">
                  <a16:creationId xmlns:a16="http://schemas.microsoft.com/office/drawing/2014/main" id="{00000000-0008-0000-0200-00009E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671" name="Rectangle 670">
              <a:extLst>
                <a:ext uri="{FF2B5EF4-FFF2-40B4-BE49-F238E27FC236}">
                  <a16:creationId xmlns:a16="http://schemas.microsoft.com/office/drawing/2014/main" id="{00000000-0008-0000-0200-00009F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604631</xdr:colOff>
      <xdr:row>420</xdr:row>
      <xdr:rowOff>74544</xdr:rowOff>
    </xdr:from>
    <xdr:to>
      <xdr:col>8</xdr:col>
      <xdr:colOff>572489</xdr:colOff>
      <xdr:row>422</xdr:row>
      <xdr:rowOff>80249</xdr:rowOff>
    </xdr:to>
    <xdr:grpSp>
      <xdr:nvGrpSpPr>
        <xdr:cNvPr id="678" name="Groupe 677">
          <a:extLst>
            <a:ext uri="{FF2B5EF4-FFF2-40B4-BE49-F238E27FC236}">
              <a16:creationId xmlns:a16="http://schemas.microsoft.com/office/drawing/2014/main" id="{00000000-0008-0000-0200-0000A6020000}"/>
            </a:ext>
          </a:extLst>
        </xdr:cNvPr>
        <xdr:cNvGrpSpPr/>
      </xdr:nvGrpSpPr>
      <xdr:grpSpPr>
        <a:xfrm>
          <a:off x="4452731" y="68029704"/>
          <a:ext cx="752718" cy="440045"/>
          <a:chOff x="0" y="0"/>
          <a:chExt cx="756451" cy="442492"/>
        </a:xfrm>
      </xdr:grpSpPr>
      <xdr:grpSp>
        <xdr:nvGrpSpPr>
          <xdr:cNvPr id="679" name="Groupe 678">
            <a:extLst>
              <a:ext uri="{FF2B5EF4-FFF2-40B4-BE49-F238E27FC236}">
                <a16:creationId xmlns:a16="http://schemas.microsoft.com/office/drawing/2014/main" id="{00000000-0008-0000-0200-0000A7020000}"/>
              </a:ext>
            </a:extLst>
          </xdr:cNvPr>
          <xdr:cNvGrpSpPr/>
        </xdr:nvGrpSpPr>
        <xdr:grpSpPr>
          <a:xfrm>
            <a:off x="108858" y="39913"/>
            <a:ext cx="545336" cy="373936"/>
            <a:chOff x="108858" y="39913"/>
            <a:chExt cx="545336" cy="373936"/>
          </a:xfrm>
        </xdr:grpSpPr>
        <xdr:grpSp>
          <xdr:nvGrpSpPr>
            <xdr:cNvPr id="683" name="Groupe 682">
              <a:extLst>
                <a:ext uri="{FF2B5EF4-FFF2-40B4-BE49-F238E27FC236}">
                  <a16:creationId xmlns:a16="http://schemas.microsoft.com/office/drawing/2014/main" id="{00000000-0008-0000-0200-0000AB020000}"/>
                </a:ext>
              </a:extLst>
            </xdr:cNvPr>
            <xdr:cNvGrpSpPr/>
          </xdr:nvGrpSpPr>
          <xdr:grpSpPr>
            <a:xfrm>
              <a:off x="108858" y="39913"/>
              <a:ext cx="542448" cy="181776"/>
              <a:chOff x="108858" y="39913"/>
              <a:chExt cx="591549" cy="391192"/>
            </a:xfrm>
          </xdr:grpSpPr>
          <xdr:sp macro="" textlink="">
            <xdr:nvSpPr>
              <xdr:cNvPr id="687" name="Rectangle 686">
                <a:extLst>
                  <a:ext uri="{FF2B5EF4-FFF2-40B4-BE49-F238E27FC236}">
                    <a16:creationId xmlns:a16="http://schemas.microsoft.com/office/drawing/2014/main" id="{00000000-0008-0000-0200-0000AF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88" name="Rectangle 687">
                <a:extLst>
                  <a:ext uri="{FF2B5EF4-FFF2-40B4-BE49-F238E27FC236}">
                    <a16:creationId xmlns:a16="http://schemas.microsoft.com/office/drawing/2014/main" id="{00000000-0008-0000-0200-0000B0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684" name="Groupe 683">
              <a:extLst>
                <a:ext uri="{FF2B5EF4-FFF2-40B4-BE49-F238E27FC236}">
                  <a16:creationId xmlns:a16="http://schemas.microsoft.com/office/drawing/2014/main" id="{00000000-0008-0000-0200-0000AC020000}"/>
                </a:ext>
              </a:extLst>
            </xdr:cNvPr>
            <xdr:cNvGrpSpPr/>
          </xdr:nvGrpSpPr>
          <xdr:grpSpPr>
            <a:xfrm>
              <a:off x="114195" y="235857"/>
              <a:ext cx="539999" cy="177992"/>
              <a:chOff x="114195" y="235857"/>
              <a:chExt cx="645095" cy="841867"/>
            </a:xfrm>
          </xdr:grpSpPr>
          <xdr:sp macro="" textlink="">
            <xdr:nvSpPr>
              <xdr:cNvPr id="685" name="Rectangle 684">
                <a:extLst>
                  <a:ext uri="{FF2B5EF4-FFF2-40B4-BE49-F238E27FC236}">
                    <a16:creationId xmlns:a16="http://schemas.microsoft.com/office/drawing/2014/main" id="{00000000-0008-0000-0200-0000AD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86" name="Rectangle 685">
                <a:extLst>
                  <a:ext uri="{FF2B5EF4-FFF2-40B4-BE49-F238E27FC236}">
                    <a16:creationId xmlns:a16="http://schemas.microsoft.com/office/drawing/2014/main" id="{00000000-0008-0000-0200-0000AE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680" name="Groupe 679">
            <a:extLst>
              <a:ext uri="{FF2B5EF4-FFF2-40B4-BE49-F238E27FC236}">
                <a16:creationId xmlns:a16="http://schemas.microsoft.com/office/drawing/2014/main" id="{00000000-0008-0000-0200-0000A8020000}"/>
              </a:ext>
            </a:extLst>
          </xdr:cNvPr>
          <xdr:cNvGrpSpPr/>
        </xdr:nvGrpSpPr>
        <xdr:grpSpPr>
          <a:xfrm>
            <a:off x="0" y="0"/>
            <a:ext cx="756451" cy="442492"/>
            <a:chOff x="0" y="0"/>
            <a:chExt cx="756451" cy="442492"/>
          </a:xfrm>
        </xdr:grpSpPr>
        <xdr:sp macro="" textlink="">
          <xdr:nvSpPr>
            <xdr:cNvPr id="681" name="Rectangle 680">
              <a:extLst>
                <a:ext uri="{FF2B5EF4-FFF2-40B4-BE49-F238E27FC236}">
                  <a16:creationId xmlns:a16="http://schemas.microsoft.com/office/drawing/2014/main" id="{00000000-0008-0000-0200-0000A9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012023</a:t>
              </a:r>
            </a:p>
          </xdr:txBody>
        </xdr:sp>
        <xdr:sp macro="" textlink="">
          <xdr:nvSpPr>
            <xdr:cNvPr id="682" name="Rectangle 681">
              <a:extLst>
                <a:ext uri="{FF2B5EF4-FFF2-40B4-BE49-F238E27FC236}">
                  <a16:creationId xmlns:a16="http://schemas.microsoft.com/office/drawing/2014/main" id="{00000000-0008-0000-0200-0000AA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629479</xdr:colOff>
      <xdr:row>435</xdr:row>
      <xdr:rowOff>74543</xdr:rowOff>
    </xdr:from>
    <xdr:to>
      <xdr:col>8</xdr:col>
      <xdr:colOff>597337</xdr:colOff>
      <xdr:row>437</xdr:row>
      <xdr:rowOff>146509</xdr:rowOff>
    </xdr:to>
    <xdr:grpSp>
      <xdr:nvGrpSpPr>
        <xdr:cNvPr id="689" name="Groupe 688">
          <a:extLst>
            <a:ext uri="{FF2B5EF4-FFF2-40B4-BE49-F238E27FC236}">
              <a16:creationId xmlns:a16="http://schemas.microsoft.com/office/drawing/2014/main" id="{00000000-0008-0000-0200-0000B1020000}"/>
            </a:ext>
          </a:extLst>
        </xdr:cNvPr>
        <xdr:cNvGrpSpPr/>
      </xdr:nvGrpSpPr>
      <xdr:grpSpPr>
        <a:xfrm>
          <a:off x="4477579" y="70826243"/>
          <a:ext cx="752718" cy="437726"/>
          <a:chOff x="0" y="0"/>
          <a:chExt cx="756451" cy="442492"/>
        </a:xfrm>
      </xdr:grpSpPr>
      <xdr:grpSp>
        <xdr:nvGrpSpPr>
          <xdr:cNvPr id="690" name="Groupe 689">
            <a:extLst>
              <a:ext uri="{FF2B5EF4-FFF2-40B4-BE49-F238E27FC236}">
                <a16:creationId xmlns:a16="http://schemas.microsoft.com/office/drawing/2014/main" id="{00000000-0008-0000-0200-0000B2020000}"/>
              </a:ext>
            </a:extLst>
          </xdr:cNvPr>
          <xdr:cNvGrpSpPr/>
        </xdr:nvGrpSpPr>
        <xdr:grpSpPr>
          <a:xfrm>
            <a:off x="108858" y="39913"/>
            <a:ext cx="545336" cy="373936"/>
            <a:chOff x="108858" y="39913"/>
            <a:chExt cx="545336" cy="373936"/>
          </a:xfrm>
        </xdr:grpSpPr>
        <xdr:grpSp>
          <xdr:nvGrpSpPr>
            <xdr:cNvPr id="694" name="Groupe 693">
              <a:extLst>
                <a:ext uri="{FF2B5EF4-FFF2-40B4-BE49-F238E27FC236}">
                  <a16:creationId xmlns:a16="http://schemas.microsoft.com/office/drawing/2014/main" id="{00000000-0008-0000-0200-0000B6020000}"/>
                </a:ext>
              </a:extLst>
            </xdr:cNvPr>
            <xdr:cNvGrpSpPr/>
          </xdr:nvGrpSpPr>
          <xdr:grpSpPr>
            <a:xfrm>
              <a:off x="108858" y="39913"/>
              <a:ext cx="542448" cy="181776"/>
              <a:chOff x="108858" y="39913"/>
              <a:chExt cx="591549" cy="391192"/>
            </a:xfrm>
          </xdr:grpSpPr>
          <xdr:sp macro="" textlink="">
            <xdr:nvSpPr>
              <xdr:cNvPr id="698" name="Rectangle 697">
                <a:extLst>
                  <a:ext uri="{FF2B5EF4-FFF2-40B4-BE49-F238E27FC236}">
                    <a16:creationId xmlns:a16="http://schemas.microsoft.com/office/drawing/2014/main" id="{00000000-0008-0000-0200-0000BA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99" name="Rectangle 698">
                <a:extLst>
                  <a:ext uri="{FF2B5EF4-FFF2-40B4-BE49-F238E27FC236}">
                    <a16:creationId xmlns:a16="http://schemas.microsoft.com/office/drawing/2014/main" id="{00000000-0008-0000-0200-0000BB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695" name="Groupe 694">
              <a:extLst>
                <a:ext uri="{FF2B5EF4-FFF2-40B4-BE49-F238E27FC236}">
                  <a16:creationId xmlns:a16="http://schemas.microsoft.com/office/drawing/2014/main" id="{00000000-0008-0000-0200-0000B7020000}"/>
                </a:ext>
              </a:extLst>
            </xdr:cNvPr>
            <xdr:cNvGrpSpPr/>
          </xdr:nvGrpSpPr>
          <xdr:grpSpPr>
            <a:xfrm>
              <a:off x="114195" y="235857"/>
              <a:ext cx="539999" cy="177992"/>
              <a:chOff x="114195" y="235857"/>
              <a:chExt cx="645095" cy="841867"/>
            </a:xfrm>
          </xdr:grpSpPr>
          <xdr:sp macro="" textlink="">
            <xdr:nvSpPr>
              <xdr:cNvPr id="696" name="Rectangle 695">
                <a:extLst>
                  <a:ext uri="{FF2B5EF4-FFF2-40B4-BE49-F238E27FC236}">
                    <a16:creationId xmlns:a16="http://schemas.microsoft.com/office/drawing/2014/main" id="{00000000-0008-0000-0200-0000B8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697" name="Rectangle 696">
                <a:extLst>
                  <a:ext uri="{FF2B5EF4-FFF2-40B4-BE49-F238E27FC236}">
                    <a16:creationId xmlns:a16="http://schemas.microsoft.com/office/drawing/2014/main" id="{00000000-0008-0000-0200-0000B9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691" name="Groupe 690">
            <a:extLst>
              <a:ext uri="{FF2B5EF4-FFF2-40B4-BE49-F238E27FC236}">
                <a16:creationId xmlns:a16="http://schemas.microsoft.com/office/drawing/2014/main" id="{00000000-0008-0000-0200-0000B3020000}"/>
              </a:ext>
            </a:extLst>
          </xdr:cNvPr>
          <xdr:cNvGrpSpPr/>
        </xdr:nvGrpSpPr>
        <xdr:grpSpPr>
          <a:xfrm>
            <a:off x="0" y="0"/>
            <a:ext cx="756451" cy="442492"/>
            <a:chOff x="0" y="0"/>
            <a:chExt cx="756451" cy="442492"/>
          </a:xfrm>
        </xdr:grpSpPr>
        <xdr:sp macro="" textlink="">
          <xdr:nvSpPr>
            <xdr:cNvPr id="692" name="Rectangle 691">
              <a:extLst>
                <a:ext uri="{FF2B5EF4-FFF2-40B4-BE49-F238E27FC236}">
                  <a16:creationId xmlns:a16="http://schemas.microsoft.com/office/drawing/2014/main" id="{00000000-0008-0000-0200-0000B4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012023</a:t>
              </a:r>
            </a:p>
          </xdr:txBody>
        </xdr:sp>
        <xdr:sp macro="" textlink="">
          <xdr:nvSpPr>
            <xdr:cNvPr id="693" name="Rectangle 692">
              <a:extLst>
                <a:ext uri="{FF2B5EF4-FFF2-40B4-BE49-F238E27FC236}">
                  <a16:creationId xmlns:a16="http://schemas.microsoft.com/office/drawing/2014/main" id="{00000000-0008-0000-0200-0000B5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637761</xdr:colOff>
      <xdr:row>460</xdr:row>
      <xdr:rowOff>49696</xdr:rowOff>
    </xdr:from>
    <xdr:to>
      <xdr:col>8</xdr:col>
      <xdr:colOff>605619</xdr:colOff>
      <xdr:row>462</xdr:row>
      <xdr:rowOff>55401</xdr:rowOff>
    </xdr:to>
    <xdr:grpSp>
      <xdr:nvGrpSpPr>
        <xdr:cNvPr id="700" name="Groupe 699">
          <a:extLst>
            <a:ext uri="{FF2B5EF4-FFF2-40B4-BE49-F238E27FC236}">
              <a16:creationId xmlns:a16="http://schemas.microsoft.com/office/drawing/2014/main" id="{00000000-0008-0000-0200-0000BC020000}"/>
            </a:ext>
          </a:extLst>
        </xdr:cNvPr>
        <xdr:cNvGrpSpPr/>
      </xdr:nvGrpSpPr>
      <xdr:grpSpPr>
        <a:xfrm>
          <a:off x="4485861" y="75160036"/>
          <a:ext cx="752718" cy="440045"/>
          <a:chOff x="0" y="0"/>
          <a:chExt cx="756451" cy="442492"/>
        </a:xfrm>
      </xdr:grpSpPr>
      <xdr:grpSp>
        <xdr:nvGrpSpPr>
          <xdr:cNvPr id="701" name="Groupe 700">
            <a:extLst>
              <a:ext uri="{FF2B5EF4-FFF2-40B4-BE49-F238E27FC236}">
                <a16:creationId xmlns:a16="http://schemas.microsoft.com/office/drawing/2014/main" id="{00000000-0008-0000-0200-0000BD020000}"/>
              </a:ext>
            </a:extLst>
          </xdr:cNvPr>
          <xdr:cNvGrpSpPr/>
        </xdr:nvGrpSpPr>
        <xdr:grpSpPr>
          <a:xfrm>
            <a:off x="108858" y="39913"/>
            <a:ext cx="545336" cy="373936"/>
            <a:chOff x="108858" y="39913"/>
            <a:chExt cx="545336" cy="373936"/>
          </a:xfrm>
        </xdr:grpSpPr>
        <xdr:grpSp>
          <xdr:nvGrpSpPr>
            <xdr:cNvPr id="705" name="Groupe 704">
              <a:extLst>
                <a:ext uri="{FF2B5EF4-FFF2-40B4-BE49-F238E27FC236}">
                  <a16:creationId xmlns:a16="http://schemas.microsoft.com/office/drawing/2014/main" id="{00000000-0008-0000-0200-0000C1020000}"/>
                </a:ext>
              </a:extLst>
            </xdr:cNvPr>
            <xdr:cNvGrpSpPr/>
          </xdr:nvGrpSpPr>
          <xdr:grpSpPr>
            <a:xfrm>
              <a:off x="108858" y="39913"/>
              <a:ext cx="542448" cy="181776"/>
              <a:chOff x="108858" y="39913"/>
              <a:chExt cx="591549" cy="391192"/>
            </a:xfrm>
          </xdr:grpSpPr>
          <xdr:sp macro="" textlink="">
            <xdr:nvSpPr>
              <xdr:cNvPr id="709" name="Rectangle 708">
                <a:extLst>
                  <a:ext uri="{FF2B5EF4-FFF2-40B4-BE49-F238E27FC236}">
                    <a16:creationId xmlns:a16="http://schemas.microsoft.com/office/drawing/2014/main" id="{00000000-0008-0000-0200-0000C5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10" name="Rectangle 709">
                <a:extLst>
                  <a:ext uri="{FF2B5EF4-FFF2-40B4-BE49-F238E27FC236}">
                    <a16:creationId xmlns:a16="http://schemas.microsoft.com/office/drawing/2014/main" id="{00000000-0008-0000-0200-0000C6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706" name="Groupe 705">
              <a:extLst>
                <a:ext uri="{FF2B5EF4-FFF2-40B4-BE49-F238E27FC236}">
                  <a16:creationId xmlns:a16="http://schemas.microsoft.com/office/drawing/2014/main" id="{00000000-0008-0000-0200-0000C2020000}"/>
                </a:ext>
              </a:extLst>
            </xdr:cNvPr>
            <xdr:cNvGrpSpPr/>
          </xdr:nvGrpSpPr>
          <xdr:grpSpPr>
            <a:xfrm>
              <a:off x="114195" y="235857"/>
              <a:ext cx="539999" cy="177992"/>
              <a:chOff x="114195" y="235857"/>
              <a:chExt cx="645095" cy="841867"/>
            </a:xfrm>
          </xdr:grpSpPr>
          <xdr:sp macro="" textlink="">
            <xdr:nvSpPr>
              <xdr:cNvPr id="707" name="Rectangle 706">
                <a:extLst>
                  <a:ext uri="{FF2B5EF4-FFF2-40B4-BE49-F238E27FC236}">
                    <a16:creationId xmlns:a16="http://schemas.microsoft.com/office/drawing/2014/main" id="{00000000-0008-0000-0200-0000C3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08" name="Rectangle 707">
                <a:extLst>
                  <a:ext uri="{FF2B5EF4-FFF2-40B4-BE49-F238E27FC236}">
                    <a16:creationId xmlns:a16="http://schemas.microsoft.com/office/drawing/2014/main" id="{00000000-0008-0000-0200-0000C4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702" name="Groupe 701">
            <a:extLst>
              <a:ext uri="{FF2B5EF4-FFF2-40B4-BE49-F238E27FC236}">
                <a16:creationId xmlns:a16="http://schemas.microsoft.com/office/drawing/2014/main" id="{00000000-0008-0000-0200-0000BE020000}"/>
              </a:ext>
            </a:extLst>
          </xdr:cNvPr>
          <xdr:cNvGrpSpPr/>
        </xdr:nvGrpSpPr>
        <xdr:grpSpPr>
          <a:xfrm>
            <a:off x="0" y="0"/>
            <a:ext cx="756451" cy="442492"/>
            <a:chOff x="0" y="0"/>
            <a:chExt cx="756451" cy="442492"/>
          </a:xfrm>
        </xdr:grpSpPr>
        <xdr:sp macro="" textlink="">
          <xdr:nvSpPr>
            <xdr:cNvPr id="703" name="Rectangle 702">
              <a:extLst>
                <a:ext uri="{FF2B5EF4-FFF2-40B4-BE49-F238E27FC236}">
                  <a16:creationId xmlns:a16="http://schemas.microsoft.com/office/drawing/2014/main" id="{00000000-0008-0000-0200-0000BF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012023</a:t>
              </a:r>
            </a:p>
          </xdr:txBody>
        </xdr:sp>
        <xdr:sp macro="" textlink="">
          <xdr:nvSpPr>
            <xdr:cNvPr id="704" name="Rectangle 703">
              <a:extLst>
                <a:ext uri="{FF2B5EF4-FFF2-40B4-BE49-F238E27FC236}">
                  <a16:creationId xmlns:a16="http://schemas.microsoft.com/office/drawing/2014/main" id="{00000000-0008-0000-0200-0000C0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637762</xdr:colOff>
      <xdr:row>475</xdr:row>
      <xdr:rowOff>132522</xdr:rowOff>
    </xdr:from>
    <xdr:to>
      <xdr:col>8</xdr:col>
      <xdr:colOff>605620</xdr:colOff>
      <xdr:row>478</xdr:row>
      <xdr:rowOff>13988</xdr:rowOff>
    </xdr:to>
    <xdr:grpSp>
      <xdr:nvGrpSpPr>
        <xdr:cNvPr id="711" name="Groupe 710">
          <a:extLst>
            <a:ext uri="{FF2B5EF4-FFF2-40B4-BE49-F238E27FC236}">
              <a16:creationId xmlns:a16="http://schemas.microsoft.com/office/drawing/2014/main" id="{00000000-0008-0000-0200-0000C7020000}"/>
            </a:ext>
          </a:extLst>
        </xdr:cNvPr>
        <xdr:cNvGrpSpPr/>
      </xdr:nvGrpSpPr>
      <xdr:grpSpPr>
        <a:xfrm>
          <a:off x="4485862" y="78039402"/>
          <a:ext cx="752718" cy="430106"/>
          <a:chOff x="0" y="0"/>
          <a:chExt cx="756451" cy="442492"/>
        </a:xfrm>
      </xdr:grpSpPr>
      <xdr:grpSp>
        <xdr:nvGrpSpPr>
          <xdr:cNvPr id="712" name="Groupe 711">
            <a:extLst>
              <a:ext uri="{FF2B5EF4-FFF2-40B4-BE49-F238E27FC236}">
                <a16:creationId xmlns:a16="http://schemas.microsoft.com/office/drawing/2014/main" id="{00000000-0008-0000-0200-0000C8020000}"/>
              </a:ext>
            </a:extLst>
          </xdr:cNvPr>
          <xdr:cNvGrpSpPr/>
        </xdr:nvGrpSpPr>
        <xdr:grpSpPr>
          <a:xfrm>
            <a:off x="108858" y="39913"/>
            <a:ext cx="545336" cy="373936"/>
            <a:chOff x="108858" y="39913"/>
            <a:chExt cx="545336" cy="373936"/>
          </a:xfrm>
        </xdr:grpSpPr>
        <xdr:grpSp>
          <xdr:nvGrpSpPr>
            <xdr:cNvPr id="716" name="Groupe 715">
              <a:extLst>
                <a:ext uri="{FF2B5EF4-FFF2-40B4-BE49-F238E27FC236}">
                  <a16:creationId xmlns:a16="http://schemas.microsoft.com/office/drawing/2014/main" id="{00000000-0008-0000-0200-0000CC020000}"/>
                </a:ext>
              </a:extLst>
            </xdr:cNvPr>
            <xdr:cNvGrpSpPr/>
          </xdr:nvGrpSpPr>
          <xdr:grpSpPr>
            <a:xfrm>
              <a:off x="108858" y="39913"/>
              <a:ext cx="542448" cy="181776"/>
              <a:chOff x="108858" y="39913"/>
              <a:chExt cx="591549" cy="391192"/>
            </a:xfrm>
          </xdr:grpSpPr>
          <xdr:sp macro="" textlink="">
            <xdr:nvSpPr>
              <xdr:cNvPr id="720" name="Rectangle 719">
                <a:extLst>
                  <a:ext uri="{FF2B5EF4-FFF2-40B4-BE49-F238E27FC236}">
                    <a16:creationId xmlns:a16="http://schemas.microsoft.com/office/drawing/2014/main" id="{00000000-0008-0000-0200-0000D0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21" name="Rectangle 720">
                <a:extLst>
                  <a:ext uri="{FF2B5EF4-FFF2-40B4-BE49-F238E27FC236}">
                    <a16:creationId xmlns:a16="http://schemas.microsoft.com/office/drawing/2014/main" id="{00000000-0008-0000-0200-0000D1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717" name="Groupe 716">
              <a:extLst>
                <a:ext uri="{FF2B5EF4-FFF2-40B4-BE49-F238E27FC236}">
                  <a16:creationId xmlns:a16="http://schemas.microsoft.com/office/drawing/2014/main" id="{00000000-0008-0000-0200-0000CD020000}"/>
                </a:ext>
              </a:extLst>
            </xdr:cNvPr>
            <xdr:cNvGrpSpPr/>
          </xdr:nvGrpSpPr>
          <xdr:grpSpPr>
            <a:xfrm>
              <a:off x="114195" y="235857"/>
              <a:ext cx="539999" cy="177992"/>
              <a:chOff x="114195" y="235857"/>
              <a:chExt cx="645095" cy="841867"/>
            </a:xfrm>
          </xdr:grpSpPr>
          <xdr:sp macro="" textlink="">
            <xdr:nvSpPr>
              <xdr:cNvPr id="718" name="Rectangle 717">
                <a:extLst>
                  <a:ext uri="{FF2B5EF4-FFF2-40B4-BE49-F238E27FC236}">
                    <a16:creationId xmlns:a16="http://schemas.microsoft.com/office/drawing/2014/main" id="{00000000-0008-0000-0200-0000CE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19" name="Rectangle 718">
                <a:extLst>
                  <a:ext uri="{FF2B5EF4-FFF2-40B4-BE49-F238E27FC236}">
                    <a16:creationId xmlns:a16="http://schemas.microsoft.com/office/drawing/2014/main" id="{00000000-0008-0000-0200-0000CF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713" name="Groupe 712">
            <a:extLst>
              <a:ext uri="{FF2B5EF4-FFF2-40B4-BE49-F238E27FC236}">
                <a16:creationId xmlns:a16="http://schemas.microsoft.com/office/drawing/2014/main" id="{00000000-0008-0000-0200-0000C9020000}"/>
              </a:ext>
            </a:extLst>
          </xdr:cNvPr>
          <xdr:cNvGrpSpPr/>
        </xdr:nvGrpSpPr>
        <xdr:grpSpPr>
          <a:xfrm>
            <a:off x="0" y="0"/>
            <a:ext cx="756451" cy="442492"/>
            <a:chOff x="0" y="0"/>
            <a:chExt cx="756451" cy="442492"/>
          </a:xfrm>
        </xdr:grpSpPr>
        <xdr:sp macro="" textlink="">
          <xdr:nvSpPr>
            <xdr:cNvPr id="714" name="Rectangle 713">
              <a:extLst>
                <a:ext uri="{FF2B5EF4-FFF2-40B4-BE49-F238E27FC236}">
                  <a16:creationId xmlns:a16="http://schemas.microsoft.com/office/drawing/2014/main" id="{00000000-0008-0000-0200-0000CA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012023</a:t>
              </a:r>
            </a:p>
          </xdr:txBody>
        </xdr:sp>
        <xdr:sp macro="" textlink="">
          <xdr:nvSpPr>
            <xdr:cNvPr id="715" name="Rectangle 714">
              <a:extLst>
                <a:ext uri="{FF2B5EF4-FFF2-40B4-BE49-F238E27FC236}">
                  <a16:creationId xmlns:a16="http://schemas.microsoft.com/office/drawing/2014/main" id="{00000000-0008-0000-0200-0000CB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679175</xdr:colOff>
      <xdr:row>500</xdr:row>
      <xdr:rowOff>8283</xdr:rowOff>
    </xdr:from>
    <xdr:to>
      <xdr:col>8</xdr:col>
      <xdr:colOff>647033</xdr:colOff>
      <xdr:row>502</xdr:row>
      <xdr:rowOff>13989</xdr:rowOff>
    </xdr:to>
    <xdr:grpSp>
      <xdr:nvGrpSpPr>
        <xdr:cNvPr id="722" name="Groupe 721">
          <a:extLst>
            <a:ext uri="{FF2B5EF4-FFF2-40B4-BE49-F238E27FC236}">
              <a16:creationId xmlns:a16="http://schemas.microsoft.com/office/drawing/2014/main" id="{00000000-0008-0000-0200-0000D2020000}"/>
            </a:ext>
          </a:extLst>
        </xdr:cNvPr>
        <xdr:cNvGrpSpPr/>
      </xdr:nvGrpSpPr>
      <xdr:grpSpPr>
        <a:xfrm>
          <a:off x="4527275" y="82273803"/>
          <a:ext cx="752718" cy="440046"/>
          <a:chOff x="0" y="0"/>
          <a:chExt cx="756451" cy="442492"/>
        </a:xfrm>
      </xdr:grpSpPr>
      <xdr:grpSp>
        <xdr:nvGrpSpPr>
          <xdr:cNvPr id="723" name="Groupe 722">
            <a:extLst>
              <a:ext uri="{FF2B5EF4-FFF2-40B4-BE49-F238E27FC236}">
                <a16:creationId xmlns:a16="http://schemas.microsoft.com/office/drawing/2014/main" id="{00000000-0008-0000-0200-0000D3020000}"/>
              </a:ext>
            </a:extLst>
          </xdr:cNvPr>
          <xdr:cNvGrpSpPr/>
        </xdr:nvGrpSpPr>
        <xdr:grpSpPr>
          <a:xfrm>
            <a:off x="108858" y="39913"/>
            <a:ext cx="545336" cy="373936"/>
            <a:chOff x="108858" y="39913"/>
            <a:chExt cx="545336" cy="373936"/>
          </a:xfrm>
        </xdr:grpSpPr>
        <xdr:grpSp>
          <xdr:nvGrpSpPr>
            <xdr:cNvPr id="727" name="Groupe 726">
              <a:extLst>
                <a:ext uri="{FF2B5EF4-FFF2-40B4-BE49-F238E27FC236}">
                  <a16:creationId xmlns:a16="http://schemas.microsoft.com/office/drawing/2014/main" id="{00000000-0008-0000-0200-0000D7020000}"/>
                </a:ext>
              </a:extLst>
            </xdr:cNvPr>
            <xdr:cNvGrpSpPr/>
          </xdr:nvGrpSpPr>
          <xdr:grpSpPr>
            <a:xfrm>
              <a:off x="108858" y="39913"/>
              <a:ext cx="542448" cy="181776"/>
              <a:chOff x="108858" y="39913"/>
              <a:chExt cx="591549" cy="391192"/>
            </a:xfrm>
          </xdr:grpSpPr>
          <xdr:sp macro="" textlink="">
            <xdr:nvSpPr>
              <xdr:cNvPr id="731" name="Rectangle 730">
                <a:extLst>
                  <a:ext uri="{FF2B5EF4-FFF2-40B4-BE49-F238E27FC236}">
                    <a16:creationId xmlns:a16="http://schemas.microsoft.com/office/drawing/2014/main" id="{00000000-0008-0000-0200-0000DB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32" name="Rectangle 731">
                <a:extLst>
                  <a:ext uri="{FF2B5EF4-FFF2-40B4-BE49-F238E27FC236}">
                    <a16:creationId xmlns:a16="http://schemas.microsoft.com/office/drawing/2014/main" id="{00000000-0008-0000-0200-0000DC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728" name="Groupe 727">
              <a:extLst>
                <a:ext uri="{FF2B5EF4-FFF2-40B4-BE49-F238E27FC236}">
                  <a16:creationId xmlns:a16="http://schemas.microsoft.com/office/drawing/2014/main" id="{00000000-0008-0000-0200-0000D8020000}"/>
                </a:ext>
              </a:extLst>
            </xdr:cNvPr>
            <xdr:cNvGrpSpPr/>
          </xdr:nvGrpSpPr>
          <xdr:grpSpPr>
            <a:xfrm>
              <a:off x="114195" y="235857"/>
              <a:ext cx="539999" cy="177992"/>
              <a:chOff x="114195" y="235857"/>
              <a:chExt cx="645095" cy="841867"/>
            </a:xfrm>
          </xdr:grpSpPr>
          <xdr:sp macro="" textlink="">
            <xdr:nvSpPr>
              <xdr:cNvPr id="729" name="Rectangle 728">
                <a:extLst>
                  <a:ext uri="{FF2B5EF4-FFF2-40B4-BE49-F238E27FC236}">
                    <a16:creationId xmlns:a16="http://schemas.microsoft.com/office/drawing/2014/main" id="{00000000-0008-0000-0200-0000D9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30" name="Rectangle 729">
                <a:extLst>
                  <a:ext uri="{FF2B5EF4-FFF2-40B4-BE49-F238E27FC236}">
                    <a16:creationId xmlns:a16="http://schemas.microsoft.com/office/drawing/2014/main" id="{00000000-0008-0000-0200-0000DA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724" name="Groupe 723">
            <a:extLst>
              <a:ext uri="{FF2B5EF4-FFF2-40B4-BE49-F238E27FC236}">
                <a16:creationId xmlns:a16="http://schemas.microsoft.com/office/drawing/2014/main" id="{00000000-0008-0000-0200-0000D4020000}"/>
              </a:ext>
            </a:extLst>
          </xdr:cNvPr>
          <xdr:cNvGrpSpPr/>
        </xdr:nvGrpSpPr>
        <xdr:grpSpPr>
          <a:xfrm>
            <a:off x="0" y="0"/>
            <a:ext cx="756451" cy="442492"/>
            <a:chOff x="0" y="0"/>
            <a:chExt cx="756451" cy="442492"/>
          </a:xfrm>
        </xdr:grpSpPr>
        <xdr:sp macro="" textlink="">
          <xdr:nvSpPr>
            <xdr:cNvPr id="725" name="Rectangle 724">
              <a:extLst>
                <a:ext uri="{FF2B5EF4-FFF2-40B4-BE49-F238E27FC236}">
                  <a16:creationId xmlns:a16="http://schemas.microsoft.com/office/drawing/2014/main" id="{00000000-0008-0000-0200-0000D5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012023</a:t>
              </a:r>
            </a:p>
          </xdr:txBody>
        </xdr:sp>
        <xdr:sp macro="" textlink="">
          <xdr:nvSpPr>
            <xdr:cNvPr id="726" name="Rectangle 725">
              <a:extLst>
                <a:ext uri="{FF2B5EF4-FFF2-40B4-BE49-F238E27FC236}">
                  <a16:creationId xmlns:a16="http://schemas.microsoft.com/office/drawing/2014/main" id="{00000000-0008-0000-0200-0000D6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654327</xdr:colOff>
      <xdr:row>515</xdr:row>
      <xdr:rowOff>66261</xdr:rowOff>
    </xdr:from>
    <xdr:to>
      <xdr:col>8</xdr:col>
      <xdr:colOff>622185</xdr:colOff>
      <xdr:row>517</xdr:row>
      <xdr:rowOff>138227</xdr:rowOff>
    </xdr:to>
    <xdr:grpSp>
      <xdr:nvGrpSpPr>
        <xdr:cNvPr id="733" name="Groupe 732">
          <a:extLst>
            <a:ext uri="{FF2B5EF4-FFF2-40B4-BE49-F238E27FC236}">
              <a16:creationId xmlns:a16="http://schemas.microsoft.com/office/drawing/2014/main" id="{00000000-0008-0000-0200-0000DD020000}"/>
            </a:ext>
          </a:extLst>
        </xdr:cNvPr>
        <xdr:cNvGrpSpPr/>
      </xdr:nvGrpSpPr>
      <xdr:grpSpPr>
        <a:xfrm>
          <a:off x="4502427" y="85128321"/>
          <a:ext cx="752718" cy="437726"/>
          <a:chOff x="0" y="0"/>
          <a:chExt cx="756451" cy="442492"/>
        </a:xfrm>
      </xdr:grpSpPr>
      <xdr:grpSp>
        <xdr:nvGrpSpPr>
          <xdr:cNvPr id="734" name="Groupe 733">
            <a:extLst>
              <a:ext uri="{FF2B5EF4-FFF2-40B4-BE49-F238E27FC236}">
                <a16:creationId xmlns:a16="http://schemas.microsoft.com/office/drawing/2014/main" id="{00000000-0008-0000-0200-0000DE020000}"/>
              </a:ext>
            </a:extLst>
          </xdr:cNvPr>
          <xdr:cNvGrpSpPr/>
        </xdr:nvGrpSpPr>
        <xdr:grpSpPr>
          <a:xfrm>
            <a:off x="108858" y="39913"/>
            <a:ext cx="545336" cy="373936"/>
            <a:chOff x="108858" y="39913"/>
            <a:chExt cx="545336" cy="373936"/>
          </a:xfrm>
        </xdr:grpSpPr>
        <xdr:grpSp>
          <xdr:nvGrpSpPr>
            <xdr:cNvPr id="738" name="Groupe 737">
              <a:extLst>
                <a:ext uri="{FF2B5EF4-FFF2-40B4-BE49-F238E27FC236}">
                  <a16:creationId xmlns:a16="http://schemas.microsoft.com/office/drawing/2014/main" id="{00000000-0008-0000-0200-0000E2020000}"/>
                </a:ext>
              </a:extLst>
            </xdr:cNvPr>
            <xdr:cNvGrpSpPr/>
          </xdr:nvGrpSpPr>
          <xdr:grpSpPr>
            <a:xfrm>
              <a:off x="108858" y="39913"/>
              <a:ext cx="542448" cy="181776"/>
              <a:chOff x="108858" y="39913"/>
              <a:chExt cx="591549" cy="391192"/>
            </a:xfrm>
          </xdr:grpSpPr>
          <xdr:sp macro="" textlink="">
            <xdr:nvSpPr>
              <xdr:cNvPr id="742" name="Rectangle 741">
                <a:extLst>
                  <a:ext uri="{FF2B5EF4-FFF2-40B4-BE49-F238E27FC236}">
                    <a16:creationId xmlns:a16="http://schemas.microsoft.com/office/drawing/2014/main" id="{00000000-0008-0000-0200-0000E6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43" name="Rectangle 742">
                <a:extLst>
                  <a:ext uri="{FF2B5EF4-FFF2-40B4-BE49-F238E27FC236}">
                    <a16:creationId xmlns:a16="http://schemas.microsoft.com/office/drawing/2014/main" id="{00000000-0008-0000-0200-0000E7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739" name="Groupe 738">
              <a:extLst>
                <a:ext uri="{FF2B5EF4-FFF2-40B4-BE49-F238E27FC236}">
                  <a16:creationId xmlns:a16="http://schemas.microsoft.com/office/drawing/2014/main" id="{00000000-0008-0000-0200-0000E3020000}"/>
                </a:ext>
              </a:extLst>
            </xdr:cNvPr>
            <xdr:cNvGrpSpPr/>
          </xdr:nvGrpSpPr>
          <xdr:grpSpPr>
            <a:xfrm>
              <a:off x="114195" y="235857"/>
              <a:ext cx="539999" cy="177992"/>
              <a:chOff x="114195" y="235857"/>
              <a:chExt cx="645095" cy="841867"/>
            </a:xfrm>
          </xdr:grpSpPr>
          <xdr:sp macro="" textlink="">
            <xdr:nvSpPr>
              <xdr:cNvPr id="740" name="Rectangle 739">
                <a:extLst>
                  <a:ext uri="{FF2B5EF4-FFF2-40B4-BE49-F238E27FC236}">
                    <a16:creationId xmlns:a16="http://schemas.microsoft.com/office/drawing/2014/main" id="{00000000-0008-0000-0200-0000E4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41" name="Rectangle 740">
                <a:extLst>
                  <a:ext uri="{FF2B5EF4-FFF2-40B4-BE49-F238E27FC236}">
                    <a16:creationId xmlns:a16="http://schemas.microsoft.com/office/drawing/2014/main" id="{00000000-0008-0000-0200-0000E5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735" name="Groupe 734">
            <a:extLst>
              <a:ext uri="{FF2B5EF4-FFF2-40B4-BE49-F238E27FC236}">
                <a16:creationId xmlns:a16="http://schemas.microsoft.com/office/drawing/2014/main" id="{00000000-0008-0000-0200-0000DF020000}"/>
              </a:ext>
            </a:extLst>
          </xdr:cNvPr>
          <xdr:cNvGrpSpPr/>
        </xdr:nvGrpSpPr>
        <xdr:grpSpPr>
          <a:xfrm>
            <a:off x="0" y="0"/>
            <a:ext cx="756451" cy="442492"/>
            <a:chOff x="0" y="0"/>
            <a:chExt cx="756451" cy="442492"/>
          </a:xfrm>
        </xdr:grpSpPr>
        <xdr:sp macro="" textlink="">
          <xdr:nvSpPr>
            <xdr:cNvPr id="736" name="Rectangle 735">
              <a:extLst>
                <a:ext uri="{FF2B5EF4-FFF2-40B4-BE49-F238E27FC236}">
                  <a16:creationId xmlns:a16="http://schemas.microsoft.com/office/drawing/2014/main" id="{00000000-0008-0000-0200-0000E0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012023</a:t>
              </a:r>
            </a:p>
          </xdr:txBody>
        </xdr:sp>
        <xdr:sp macro="" textlink="">
          <xdr:nvSpPr>
            <xdr:cNvPr id="737" name="Rectangle 736">
              <a:extLst>
                <a:ext uri="{FF2B5EF4-FFF2-40B4-BE49-F238E27FC236}">
                  <a16:creationId xmlns:a16="http://schemas.microsoft.com/office/drawing/2014/main" id="{00000000-0008-0000-0200-0000E1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579783</xdr:colOff>
      <xdr:row>540</xdr:row>
      <xdr:rowOff>107674</xdr:rowOff>
    </xdr:from>
    <xdr:to>
      <xdr:col>8</xdr:col>
      <xdr:colOff>547641</xdr:colOff>
      <xdr:row>542</xdr:row>
      <xdr:rowOff>113379</xdr:rowOff>
    </xdr:to>
    <xdr:grpSp>
      <xdr:nvGrpSpPr>
        <xdr:cNvPr id="744" name="Groupe 743">
          <a:extLst>
            <a:ext uri="{FF2B5EF4-FFF2-40B4-BE49-F238E27FC236}">
              <a16:creationId xmlns:a16="http://schemas.microsoft.com/office/drawing/2014/main" id="{00000000-0008-0000-0200-0000E8020000}"/>
            </a:ext>
          </a:extLst>
        </xdr:cNvPr>
        <xdr:cNvGrpSpPr/>
      </xdr:nvGrpSpPr>
      <xdr:grpSpPr>
        <a:xfrm>
          <a:off x="4427883" y="89528374"/>
          <a:ext cx="752718" cy="440045"/>
          <a:chOff x="0" y="0"/>
          <a:chExt cx="756451" cy="442492"/>
        </a:xfrm>
      </xdr:grpSpPr>
      <xdr:grpSp>
        <xdr:nvGrpSpPr>
          <xdr:cNvPr id="745" name="Groupe 744">
            <a:extLst>
              <a:ext uri="{FF2B5EF4-FFF2-40B4-BE49-F238E27FC236}">
                <a16:creationId xmlns:a16="http://schemas.microsoft.com/office/drawing/2014/main" id="{00000000-0008-0000-0200-0000E9020000}"/>
              </a:ext>
            </a:extLst>
          </xdr:cNvPr>
          <xdr:cNvGrpSpPr/>
        </xdr:nvGrpSpPr>
        <xdr:grpSpPr>
          <a:xfrm>
            <a:off x="108858" y="39913"/>
            <a:ext cx="545336" cy="373936"/>
            <a:chOff x="108858" y="39913"/>
            <a:chExt cx="545336" cy="373936"/>
          </a:xfrm>
        </xdr:grpSpPr>
        <xdr:grpSp>
          <xdr:nvGrpSpPr>
            <xdr:cNvPr id="749" name="Groupe 748">
              <a:extLst>
                <a:ext uri="{FF2B5EF4-FFF2-40B4-BE49-F238E27FC236}">
                  <a16:creationId xmlns:a16="http://schemas.microsoft.com/office/drawing/2014/main" id="{00000000-0008-0000-0200-0000ED020000}"/>
                </a:ext>
              </a:extLst>
            </xdr:cNvPr>
            <xdr:cNvGrpSpPr/>
          </xdr:nvGrpSpPr>
          <xdr:grpSpPr>
            <a:xfrm>
              <a:off x="108858" y="39913"/>
              <a:ext cx="542448" cy="181776"/>
              <a:chOff x="108858" y="39913"/>
              <a:chExt cx="591549" cy="391192"/>
            </a:xfrm>
          </xdr:grpSpPr>
          <xdr:sp macro="" textlink="">
            <xdr:nvSpPr>
              <xdr:cNvPr id="753" name="Rectangle 752">
                <a:extLst>
                  <a:ext uri="{FF2B5EF4-FFF2-40B4-BE49-F238E27FC236}">
                    <a16:creationId xmlns:a16="http://schemas.microsoft.com/office/drawing/2014/main" id="{00000000-0008-0000-0200-0000F1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54" name="Rectangle 753">
                <a:extLst>
                  <a:ext uri="{FF2B5EF4-FFF2-40B4-BE49-F238E27FC236}">
                    <a16:creationId xmlns:a16="http://schemas.microsoft.com/office/drawing/2014/main" id="{00000000-0008-0000-0200-0000F2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750" name="Groupe 749">
              <a:extLst>
                <a:ext uri="{FF2B5EF4-FFF2-40B4-BE49-F238E27FC236}">
                  <a16:creationId xmlns:a16="http://schemas.microsoft.com/office/drawing/2014/main" id="{00000000-0008-0000-0200-0000EE020000}"/>
                </a:ext>
              </a:extLst>
            </xdr:cNvPr>
            <xdr:cNvGrpSpPr/>
          </xdr:nvGrpSpPr>
          <xdr:grpSpPr>
            <a:xfrm>
              <a:off x="114195" y="235857"/>
              <a:ext cx="539999" cy="177992"/>
              <a:chOff x="114195" y="235857"/>
              <a:chExt cx="645095" cy="841867"/>
            </a:xfrm>
          </xdr:grpSpPr>
          <xdr:sp macro="" textlink="">
            <xdr:nvSpPr>
              <xdr:cNvPr id="751" name="Rectangle 750">
                <a:extLst>
                  <a:ext uri="{FF2B5EF4-FFF2-40B4-BE49-F238E27FC236}">
                    <a16:creationId xmlns:a16="http://schemas.microsoft.com/office/drawing/2014/main" id="{00000000-0008-0000-0200-0000EF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52" name="Rectangle 751">
                <a:extLst>
                  <a:ext uri="{FF2B5EF4-FFF2-40B4-BE49-F238E27FC236}">
                    <a16:creationId xmlns:a16="http://schemas.microsoft.com/office/drawing/2014/main" id="{00000000-0008-0000-0200-0000F0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746" name="Groupe 745">
            <a:extLst>
              <a:ext uri="{FF2B5EF4-FFF2-40B4-BE49-F238E27FC236}">
                <a16:creationId xmlns:a16="http://schemas.microsoft.com/office/drawing/2014/main" id="{00000000-0008-0000-0200-0000EA020000}"/>
              </a:ext>
            </a:extLst>
          </xdr:cNvPr>
          <xdr:cNvGrpSpPr/>
        </xdr:nvGrpSpPr>
        <xdr:grpSpPr>
          <a:xfrm>
            <a:off x="0" y="0"/>
            <a:ext cx="756451" cy="442492"/>
            <a:chOff x="0" y="0"/>
            <a:chExt cx="756451" cy="442492"/>
          </a:xfrm>
        </xdr:grpSpPr>
        <xdr:sp macro="" textlink="">
          <xdr:nvSpPr>
            <xdr:cNvPr id="747" name="Rectangle 746">
              <a:extLst>
                <a:ext uri="{FF2B5EF4-FFF2-40B4-BE49-F238E27FC236}">
                  <a16:creationId xmlns:a16="http://schemas.microsoft.com/office/drawing/2014/main" id="{00000000-0008-0000-0200-0000EB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012023</a:t>
              </a:r>
            </a:p>
          </xdr:txBody>
        </xdr:sp>
        <xdr:sp macro="" textlink="">
          <xdr:nvSpPr>
            <xdr:cNvPr id="748" name="Rectangle 747">
              <a:extLst>
                <a:ext uri="{FF2B5EF4-FFF2-40B4-BE49-F238E27FC236}">
                  <a16:creationId xmlns:a16="http://schemas.microsoft.com/office/drawing/2014/main" id="{00000000-0008-0000-0200-0000EC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7</xdr:col>
      <xdr:colOff>588066</xdr:colOff>
      <xdr:row>555</xdr:row>
      <xdr:rowOff>99392</xdr:rowOff>
    </xdr:from>
    <xdr:to>
      <xdr:col>8</xdr:col>
      <xdr:colOff>555924</xdr:colOff>
      <xdr:row>557</xdr:row>
      <xdr:rowOff>171358</xdr:rowOff>
    </xdr:to>
    <xdr:grpSp>
      <xdr:nvGrpSpPr>
        <xdr:cNvPr id="755" name="Groupe 754">
          <a:extLst>
            <a:ext uri="{FF2B5EF4-FFF2-40B4-BE49-F238E27FC236}">
              <a16:creationId xmlns:a16="http://schemas.microsoft.com/office/drawing/2014/main" id="{00000000-0008-0000-0200-0000F3020000}"/>
            </a:ext>
          </a:extLst>
        </xdr:cNvPr>
        <xdr:cNvGrpSpPr/>
      </xdr:nvGrpSpPr>
      <xdr:grpSpPr>
        <a:xfrm>
          <a:off x="4436166" y="92316632"/>
          <a:ext cx="752718" cy="437726"/>
          <a:chOff x="0" y="0"/>
          <a:chExt cx="756451" cy="442492"/>
        </a:xfrm>
      </xdr:grpSpPr>
      <xdr:grpSp>
        <xdr:nvGrpSpPr>
          <xdr:cNvPr id="756" name="Groupe 755">
            <a:extLst>
              <a:ext uri="{FF2B5EF4-FFF2-40B4-BE49-F238E27FC236}">
                <a16:creationId xmlns:a16="http://schemas.microsoft.com/office/drawing/2014/main" id="{00000000-0008-0000-0200-0000F4020000}"/>
              </a:ext>
            </a:extLst>
          </xdr:cNvPr>
          <xdr:cNvGrpSpPr/>
        </xdr:nvGrpSpPr>
        <xdr:grpSpPr>
          <a:xfrm>
            <a:off x="108858" y="39913"/>
            <a:ext cx="545336" cy="373936"/>
            <a:chOff x="108858" y="39913"/>
            <a:chExt cx="545336" cy="373936"/>
          </a:xfrm>
        </xdr:grpSpPr>
        <xdr:grpSp>
          <xdr:nvGrpSpPr>
            <xdr:cNvPr id="760" name="Groupe 759">
              <a:extLst>
                <a:ext uri="{FF2B5EF4-FFF2-40B4-BE49-F238E27FC236}">
                  <a16:creationId xmlns:a16="http://schemas.microsoft.com/office/drawing/2014/main" id="{00000000-0008-0000-0200-0000F8020000}"/>
                </a:ext>
              </a:extLst>
            </xdr:cNvPr>
            <xdr:cNvGrpSpPr/>
          </xdr:nvGrpSpPr>
          <xdr:grpSpPr>
            <a:xfrm>
              <a:off x="108858" y="39913"/>
              <a:ext cx="542448" cy="181776"/>
              <a:chOff x="108858" y="39913"/>
              <a:chExt cx="591549" cy="391192"/>
            </a:xfrm>
          </xdr:grpSpPr>
          <xdr:sp macro="" textlink="">
            <xdr:nvSpPr>
              <xdr:cNvPr id="764" name="Rectangle 763">
                <a:extLst>
                  <a:ext uri="{FF2B5EF4-FFF2-40B4-BE49-F238E27FC236}">
                    <a16:creationId xmlns:a16="http://schemas.microsoft.com/office/drawing/2014/main" id="{00000000-0008-0000-0200-0000FC020000}"/>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65" name="Rectangle 764">
                <a:extLst>
                  <a:ext uri="{FF2B5EF4-FFF2-40B4-BE49-F238E27FC236}">
                    <a16:creationId xmlns:a16="http://schemas.microsoft.com/office/drawing/2014/main" id="{00000000-0008-0000-0200-0000FD020000}"/>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761" name="Groupe 760">
              <a:extLst>
                <a:ext uri="{FF2B5EF4-FFF2-40B4-BE49-F238E27FC236}">
                  <a16:creationId xmlns:a16="http://schemas.microsoft.com/office/drawing/2014/main" id="{00000000-0008-0000-0200-0000F9020000}"/>
                </a:ext>
              </a:extLst>
            </xdr:cNvPr>
            <xdr:cNvGrpSpPr/>
          </xdr:nvGrpSpPr>
          <xdr:grpSpPr>
            <a:xfrm>
              <a:off x="114195" y="235857"/>
              <a:ext cx="539999" cy="177992"/>
              <a:chOff x="114195" y="235857"/>
              <a:chExt cx="645095" cy="841867"/>
            </a:xfrm>
          </xdr:grpSpPr>
          <xdr:sp macro="" textlink="">
            <xdr:nvSpPr>
              <xdr:cNvPr id="762" name="Rectangle 761">
                <a:extLst>
                  <a:ext uri="{FF2B5EF4-FFF2-40B4-BE49-F238E27FC236}">
                    <a16:creationId xmlns:a16="http://schemas.microsoft.com/office/drawing/2014/main" id="{00000000-0008-0000-0200-0000FA020000}"/>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763" name="Rectangle 762">
                <a:extLst>
                  <a:ext uri="{FF2B5EF4-FFF2-40B4-BE49-F238E27FC236}">
                    <a16:creationId xmlns:a16="http://schemas.microsoft.com/office/drawing/2014/main" id="{00000000-0008-0000-0200-0000FB020000}"/>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757" name="Groupe 756">
            <a:extLst>
              <a:ext uri="{FF2B5EF4-FFF2-40B4-BE49-F238E27FC236}">
                <a16:creationId xmlns:a16="http://schemas.microsoft.com/office/drawing/2014/main" id="{00000000-0008-0000-0200-0000F5020000}"/>
              </a:ext>
            </a:extLst>
          </xdr:cNvPr>
          <xdr:cNvGrpSpPr/>
        </xdr:nvGrpSpPr>
        <xdr:grpSpPr>
          <a:xfrm>
            <a:off x="0" y="0"/>
            <a:ext cx="756451" cy="442492"/>
            <a:chOff x="0" y="0"/>
            <a:chExt cx="756451" cy="442492"/>
          </a:xfrm>
        </xdr:grpSpPr>
        <xdr:sp macro="" textlink="">
          <xdr:nvSpPr>
            <xdr:cNvPr id="758" name="Rectangle 757">
              <a:extLst>
                <a:ext uri="{FF2B5EF4-FFF2-40B4-BE49-F238E27FC236}">
                  <a16:creationId xmlns:a16="http://schemas.microsoft.com/office/drawing/2014/main" id="{00000000-0008-0000-0200-0000F6020000}"/>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012023</a:t>
              </a:r>
            </a:p>
          </xdr:txBody>
        </xdr:sp>
        <xdr:sp macro="" textlink="">
          <xdr:nvSpPr>
            <xdr:cNvPr id="759" name="Rectangle 758">
              <a:extLst>
                <a:ext uri="{FF2B5EF4-FFF2-40B4-BE49-F238E27FC236}">
                  <a16:creationId xmlns:a16="http://schemas.microsoft.com/office/drawing/2014/main" id="{00000000-0008-0000-0200-0000F7020000}"/>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oneCellAnchor>
    <xdr:from>
      <xdr:col>1</xdr:col>
      <xdr:colOff>219075</xdr:colOff>
      <xdr:row>754</xdr:row>
      <xdr:rowOff>133350</xdr:rowOff>
    </xdr:from>
    <xdr:ext cx="1442508" cy="311900"/>
    <xdr:pic>
      <xdr:nvPicPr>
        <xdr:cNvPr id="482" name="Logo SG">
          <a:extLst>
            <a:ext uri="{FF2B5EF4-FFF2-40B4-BE49-F238E27FC236}">
              <a16:creationId xmlns:a16="http://schemas.microsoft.com/office/drawing/2014/main" id="{00000000-0008-0000-0200-0000E2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68325" y="125347413"/>
          <a:ext cx="1442508" cy="311900"/>
        </a:xfrm>
        <a:prstGeom prst="rect">
          <a:avLst/>
        </a:prstGeom>
      </xdr:spPr>
    </xdr:pic>
    <xdr:clientData/>
  </xdr:oneCellAnchor>
  <xdr:twoCellAnchor>
    <xdr:from>
      <xdr:col>3</xdr:col>
      <xdr:colOff>19050</xdr:colOff>
      <xdr:row>721</xdr:row>
      <xdr:rowOff>85725</xdr:rowOff>
    </xdr:from>
    <xdr:to>
      <xdr:col>14</xdr:col>
      <xdr:colOff>295275</xdr:colOff>
      <xdr:row>722</xdr:row>
      <xdr:rowOff>104775</xdr:rowOff>
    </xdr:to>
    <xdr:sp macro="" textlink="">
      <xdr:nvSpPr>
        <xdr:cNvPr id="483" name="ZoneTexte 482">
          <a:extLst>
            <a:ext uri="{FF2B5EF4-FFF2-40B4-BE49-F238E27FC236}">
              <a16:creationId xmlns:a16="http://schemas.microsoft.com/office/drawing/2014/main" id="{00000000-0008-0000-0200-0000E3010000}"/>
            </a:ext>
          </a:extLst>
        </xdr:cNvPr>
        <xdr:cNvSpPr txBox="1"/>
      </xdr:nvSpPr>
      <xdr:spPr>
        <a:xfrm>
          <a:off x="701675" y="119013288"/>
          <a:ext cx="8737600" cy="241300"/>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PART</a:t>
          </a:r>
          <a:r>
            <a:rPr lang="fr-FR" sz="1300" b="1" baseline="0">
              <a:latin typeface="Arial" panose="020B0604020202020204" pitchFamily="34" charset="0"/>
              <a:cs typeface="Arial" panose="020B0604020202020204" pitchFamily="34" charset="0"/>
            </a:rPr>
            <a:t> DES RENOUVELLEMENTS DANS LES CREDITS</a:t>
          </a:r>
          <a:endParaRPr lang="fr-FR" sz="1300" b="1">
            <a:latin typeface="Arial" panose="020B0604020202020204" pitchFamily="34" charset="0"/>
            <a:cs typeface="Arial" panose="020B0604020202020204" pitchFamily="34" charset="0"/>
          </a:endParaRPr>
        </a:p>
      </xdr:txBody>
    </xdr:sp>
    <xdr:clientData/>
  </xdr:twoCellAnchor>
  <xdr:twoCellAnchor>
    <xdr:from>
      <xdr:col>10</xdr:col>
      <xdr:colOff>0</xdr:colOff>
      <xdr:row>718</xdr:row>
      <xdr:rowOff>0</xdr:rowOff>
    </xdr:from>
    <xdr:to>
      <xdr:col>14</xdr:col>
      <xdr:colOff>276224</xdr:colOff>
      <xdr:row>721</xdr:row>
      <xdr:rowOff>9524</xdr:rowOff>
    </xdr:to>
    <xdr:sp macro="" textlink="">
      <xdr:nvSpPr>
        <xdr:cNvPr id="490" name="ZoneTexte 489">
          <a:extLst>
            <a:ext uri="{FF2B5EF4-FFF2-40B4-BE49-F238E27FC236}">
              <a16:creationId xmlns:a16="http://schemas.microsoft.com/office/drawing/2014/main" id="{00000000-0008-0000-0200-0000EA010000}"/>
            </a:ext>
          </a:extLst>
        </xdr:cNvPr>
        <xdr:cNvSpPr txBox="1"/>
      </xdr:nvSpPr>
      <xdr:spPr>
        <a:xfrm>
          <a:off x="6016625" y="118506875"/>
          <a:ext cx="3403599" cy="43021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2</xdr:col>
      <xdr:colOff>0</xdr:colOff>
      <xdr:row>723</xdr:row>
      <xdr:rowOff>0</xdr:rowOff>
    </xdr:from>
    <xdr:to>
      <xdr:col>8</xdr:col>
      <xdr:colOff>483310</xdr:colOff>
      <xdr:row>737</xdr:row>
      <xdr:rowOff>69401</xdr:rowOff>
    </xdr:to>
    <xdr:graphicFrame macro="">
      <xdr:nvGraphicFramePr>
        <xdr:cNvPr id="502" name="Graphique 501">
          <a:extLst>
            <a:ext uri="{FF2B5EF4-FFF2-40B4-BE49-F238E27FC236}">
              <a16:creationId xmlns:a16="http://schemas.microsoft.com/office/drawing/2014/main" id="{00000000-0008-0000-0200-0000F6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665068</xdr:colOff>
      <xdr:row>723</xdr:row>
      <xdr:rowOff>17930</xdr:rowOff>
    </xdr:from>
    <xdr:to>
      <xdr:col>14</xdr:col>
      <xdr:colOff>414953</xdr:colOff>
      <xdr:row>737</xdr:row>
      <xdr:rowOff>71438</xdr:rowOff>
    </xdr:to>
    <xdr:graphicFrame macro="">
      <xdr:nvGraphicFramePr>
        <xdr:cNvPr id="503" name="Graphique 502">
          <a:extLst>
            <a:ext uri="{FF2B5EF4-FFF2-40B4-BE49-F238E27FC236}">
              <a16:creationId xmlns:a16="http://schemas.microsoft.com/office/drawing/2014/main" id="{00000000-0008-0000-0200-0000F7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oneCellAnchor>
    <xdr:from>
      <xdr:col>1</xdr:col>
      <xdr:colOff>219075</xdr:colOff>
      <xdr:row>794</xdr:row>
      <xdr:rowOff>133350</xdr:rowOff>
    </xdr:from>
    <xdr:ext cx="1442508" cy="311900"/>
    <xdr:pic>
      <xdr:nvPicPr>
        <xdr:cNvPr id="489" name="Logo SG">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a:ext>
          </a:extLst>
        </a:blip>
        <a:stretch>
          <a:fillRect/>
        </a:stretch>
      </xdr:blipFill>
      <xdr:spPr>
        <a:xfrm>
          <a:off x="574098" y="132929168"/>
          <a:ext cx="1442508" cy="311900"/>
        </a:xfrm>
        <a:prstGeom prst="rect">
          <a:avLst/>
        </a:prstGeom>
      </xdr:spPr>
    </xdr:pic>
    <xdr:clientData/>
  </xdr:oneCellAnchor>
  <xdr:twoCellAnchor>
    <xdr:from>
      <xdr:col>3</xdr:col>
      <xdr:colOff>19050</xdr:colOff>
      <xdr:row>761</xdr:row>
      <xdr:rowOff>85725</xdr:rowOff>
    </xdr:from>
    <xdr:to>
      <xdr:col>14</xdr:col>
      <xdr:colOff>295275</xdr:colOff>
      <xdr:row>762</xdr:row>
      <xdr:rowOff>104775</xdr:rowOff>
    </xdr:to>
    <xdr:sp macro="" textlink="">
      <xdr:nvSpPr>
        <xdr:cNvPr id="491" name="ZoneTexte 490">
          <a:extLst>
            <a:ext uri="{FF2B5EF4-FFF2-40B4-BE49-F238E27FC236}">
              <a16:creationId xmlns:a16="http://schemas.microsoft.com/office/drawing/2014/main" id="{00000000-0008-0000-0200-0000EB010000}"/>
            </a:ext>
          </a:extLst>
        </xdr:cNvPr>
        <xdr:cNvSpPr txBox="1"/>
      </xdr:nvSpPr>
      <xdr:spPr>
        <a:xfrm>
          <a:off x="703118" y="126595043"/>
          <a:ext cx="8736157" cy="235527"/>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300" b="1">
              <a:latin typeface="Arial" panose="020B0604020202020204" pitchFamily="34" charset="0"/>
              <a:cs typeface="Arial" panose="020B0604020202020204" pitchFamily="34" charset="0"/>
            </a:rPr>
            <a:t>PART</a:t>
          </a:r>
          <a:r>
            <a:rPr lang="fr-FR" sz="1300" b="1" baseline="0">
              <a:latin typeface="Arial" panose="020B0604020202020204" pitchFamily="34" charset="0"/>
              <a:cs typeface="Arial" panose="020B0604020202020204" pitchFamily="34" charset="0"/>
            </a:rPr>
            <a:t> DES RENOUVELLEMENTS DANS LES CREDITS</a:t>
          </a:r>
          <a:endParaRPr lang="fr-FR" sz="1300" b="1">
            <a:latin typeface="Arial" panose="020B0604020202020204" pitchFamily="34" charset="0"/>
            <a:cs typeface="Arial" panose="020B0604020202020204" pitchFamily="34" charset="0"/>
          </a:endParaRPr>
        </a:p>
      </xdr:txBody>
    </xdr:sp>
    <xdr:clientData/>
  </xdr:twoCellAnchor>
  <xdr:twoCellAnchor>
    <xdr:from>
      <xdr:col>10</xdr:col>
      <xdr:colOff>0</xdr:colOff>
      <xdr:row>758</xdr:row>
      <xdr:rowOff>0</xdr:rowOff>
    </xdr:from>
    <xdr:to>
      <xdr:col>14</xdr:col>
      <xdr:colOff>276224</xdr:colOff>
      <xdr:row>761</xdr:row>
      <xdr:rowOff>9524</xdr:rowOff>
    </xdr:to>
    <xdr:sp macro="" textlink="">
      <xdr:nvSpPr>
        <xdr:cNvPr id="492" name="ZoneTexte 491">
          <a:extLst>
            <a:ext uri="{FF2B5EF4-FFF2-40B4-BE49-F238E27FC236}">
              <a16:creationId xmlns:a16="http://schemas.microsoft.com/office/drawing/2014/main" id="{00000000-0008-0000-0200-0000EC010000}"/>
            </a:ext>
          </a:extLst>
        </xdr:cNvPr>
        <xdr:cNvSpPr txBox="1"/>
      </xdr:nvSpPr>
      <xdr:spPr>
        <a:xfrm>
          <a:off x="6018068" y="126076364"/>
          <a:ext cx="3402156" cy="44247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000" b="1" i="1"/>
            <a:t>En couleur foncé</a:t>
          </a:r>
          <a:r>
            <a:rPr lang="fr-FR" sz="1000" b="1" i="1" baseline="0"/>
            <a:t> : indicateurs du mois courant</a:t>
          </a:r>
        </a:p>
        <a:p>
          <a:r>
            <a:rPr lang="fr-FR" sz="1000" i="1" baseline="0"/>
            <a:t>En couleur clair : indicateurs du mois/année précédent</a:t>
          </a:r>
          <a:endParaRPr lang="fr-FR" sz="1000" i="1"/>
        </a:p>
      </xdr:txBody>
    </xdr:sp>
    <xdr:clientData/>
  </xdr:twoCellAnchor>
  <xdr:twoCellAnchor>
    <xdr:from>
      <xdr:col>2</xdr:col>
      <xdr:colOff>24534</xdr:colOff>
      <xdr:row>763</xdr:row>
      <xdr:rowOff>63312</xdr:rowOff>
    </xdr:from>
    <xdr:to>
      <xdr:col>8</xdr:col>
      <xdr:colOff>507844</xdr:colOff>
      <xdr:row>777</xdr:row>
      <xdr:rowOff>126940</xdr:rowOff>
    </xdr:to>
    <xdr:graphicFrame macro="">
      <xdr:nvGraphicFramePr>
        <xdr:cNvPr id="495" name="Graphique 494">
          <a:extLst>
            <a:ext uri="{FF2B5EF4-FFF2-40B4-BE49-F238E27FC236}">
              <a16:creationId xmlns:a16="http://schemas.microsoft.com/office/drawing/2014/main" id="{00000000-0008-0000-0200-0000EF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657385</xdr:colOff>
      <xdr:row>763</xdr:row>
      <xdr:rowOff>55563</xdr:rowOff>
    </xdr:from>
    <xdr:to>
      <xdr:col>14</xdr:col>
      <xdr:colOff>407270</xdr:colOff>
      <xdr:row>777</xdr:row>
      <xdr:rowOff>166816</xdr:rowOff>
    </xdr:to>
    <xdr:graphicFrame macro="">
      <xdr:nvGraphicFramePr>
        <xdr:cNvPr id="496" name="Graphique 495">
          <a:extLst>
            <a:ext uri="{FF2B5EF4-FFF2-40B4-BE49-F238E27FC236}">
              <a16:creationId xmlns:a16="http://schemas.microsoft.com/office/drawing/2014/main" id="{00000000-0008-0000-0200-0000F0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2</xdr:col>
      <xdr:colOff>0</xdr:colOff>
      <xdr:row>738</xdr:row>
      <xdr:rowOff>77022</xdr:rowOff>
    </xdr:from>
    <xdr:to>
      <xdr:col>8</xdr:col>
      <xdr:colOff>483310</xdr:colOff>
      <xdr:row>753</xdr:row>
      <xdr:rowOff>114673</xdr:rowOff>
    </xdr:to>
    <xdr:graphicFrame macro="">
      <xdr:nvGraphicFramePr>
        <xdr:cNvPr id="497" name="Graphique 496">
          <a:extLst>
            <a:ext uri="{FF2B5EF4-FFF2-40B4-BE49-F238E27FC236}">
              <a16:creationId xmlns:a16="http://schemas.microsoft.com/office/drawing/2014/main" id="{00000000-0008-0000-0200-0000F1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632851</xdr:colOff>
      <xdr:row>738</xdr:row>
      <xdr:rowOff>69273</xdr:rowOff>
    </xdr:from>
    <xdr:to>
      <xdr:col>14</xdr:col>
      <xdr:colOff>382736</xdr:colOff>
      <xdr:row>753</xdr:row>
      <xdr:rowOff>154549</xdr:rowOff>
    </xdr:to>
    <xdr:graphicFrame macro="">
      <xdr:nvGraphicFramePr>
        <xdr:cNvPr id="498" name="Graphique 497">
          <a:extLst>
            <a:ext uri="{FF2B5EF4-FFF2-40B4-BE49-F238E27FC236}">
              <a16:creationId xmlns:a16="http://schemas.microsoft.com/office/drawing/2014/main" id="{00000000-0008-0000-0200-0000F20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3</xdr:col>
      <xdr:colOff>0</xdr:colOff>
      <xdr:row>263</xdr:row>
      <xdr:rowOff>0</xdr:rowOff>
    </xdr:from>
    <xdr:to>
      <xdr:col>14</xdr:col>
      <xdr:colOff>276225</xdr:colOff>
      <xdr:row>264</xdr:row>
      <xdr:rowOff>52917</xdr:rowOff>
    </xdr:to>
    <xdr:sp macro="" textlink="">
      <xdr:nvSpPr>
        <xdr:cNvPr id="4" name="ZoneTexte 3">
          <a:extLst>
            <a:ext uri="{FF2B5EF4-FFF2-40B4-BE49-F238E27FC236}">
              <a16:creationId xmlns:a16="http://schemas.microsoft.com/office/drawing/2014/main" id="{7E7649E9-5816-42F1-B4CB-A8F814F449F6}"/>
            </a:ext>
          </a:extLst>
        </xdr:cNvPr>
        <xdr:cNvSpPr txBox="1"/>
      </xdr:nvSpPr>
      <xdr:spPr>
        <a:xfrm>
          <a:off x="711200" y="44551600"/>
          <a:ext cx="9022292" cy="230717"/>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fr-FR" sz="1300" b="1">
            <a:latin typeface="Arial" panose="020B0604020202020204" pitchFamily="34" charset="0"/>
            <a:cs typeface="Arial" panose="020B0604020202020204" pitchFamily="34" charset="0"/>
          </a:endParaRPr>
        </a:p>
      </xdr:txBody>
    </xdr:sp>
    <xdr:clientData/>
  </xdr:twoCellAnchor>
  <xdr:twoCellAnchor>
    <xdr:from>
      <xdr:col>1</xdr:col>
      <xdr:colOff>228600</xdr:colOff>
      <xdr:row>696</xdr:row>
      <xdr:rowOff>93133</xdr:rowOff>
    </xdr:from>
    <xdr:to>
      <xdr:col>14</xdr:col>
      <xdr:colOff>635000</xdr:colOff>
      <xdr:row>697</xdr:row>
      <xdr:rowOff>129117</xdr:rowOff>
    </xdr:to>
    <xdr:sp macro="" textlink="">
      <xdr:nvSpPr>
        <xdr:cNvPr id="20" name="ZoneTexte 19">
          <a:extLst>
            <a:ext uri="{FF2B5EF4-FFF2-40B4-BE49-F238E27FC236}">
              <a16:creationId xmlns:a16="http://schemas.microsoft.com/office/drawing/2014/main" id="{29237E5F-55AD-42BD-AB5B-80D31EAF9A09}"/>
            </a:ext>
          </a:extLst>
        </xdr:cNvPr>
        <xdr:cNvSpPr txBox="1"/>
      </xdr:nvSpPr>
      <xdr:spPr>
        <a:xfrm>
          <a:off x="592667" y="123359333"/>
          <a:ext cx="9499600" cy="281517"/>
        </a:xfrm>
        <a:prstGeom prst="rect">
          <a:avLst/>
        </a:prstGeom>
        <a:solidFill>
          <a:schemeClr val="accent4">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400" b="1">
              <a:solidFill>
                <a:schemeClr val="dk1"/>
              </a:solidFill>
              <a:effectLst/>
              <a:latin typeface="Arial" panose="020B0604020202020204" pitchFamily="34" charset="0"/>
              <a:ea typeface="+mn-ea"/>
              <a:cs typeface="Arial" panose="020B0604020202020204" pitchFamily="34" charset="0"/>
            </a:rPr>
            <a:t>EQUIPEMENT (PPO) PARMI LES CLIENTS ACTIFS DETENTEURS DE COMPTES COURANT</a:t>
          </a:r>
          <a:endParaRPr lang="fr-FR" sz="1400" b="1">
            <a:latin typeface="Arial" panose="020B0604020202020204" pitchFamily="34" charset="0"/>
            <a:cs typeface="Arial" panose="020B0604020202020204" pitchFamily="34" charset="0"/>
          </a:endParaRPr>
        </a:p>
      </xdr:txBody>
    </xdr:sp>
    <xdr:clientData/>
  </xdr:twoCellAnchor>
  <xdr:twoCellAnchor>
    <xdr:from>
      <xdr:col>2</xdr:col>
      <xdr:colOff>8468</xdr:colOff>
      <xdr:row>697</xdr:row>
      <xdr:rowOff>177801</xdr:rowOff>
    </xdr:from>
    <xdr:to>
      <xdr:col>8</xdr:col>
      <xdr:colOff>685801</xdr:colOff>
      <xdr:row>708</xdr:row>
      <xdr:rowOff>16933</xdr:rowOff>
    </xdr:to>
    <xdr:graphicFrame macro="">
      <xdr:nvGraphicFramePr>
        <xdr:cNvPr id="21" name="Graphique 20">
          <a:extLst>
            <a:ext uri="{FF2B5EF4-FFF2-40B4-BE49-F238E27FC236}">
              <a16:creationId xmlns:a16="http://schemas.microsoft.com/office/drawing/2014/main" id="{F8205245-E8B3-4CC3-B126-D18A4C432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9</xdr:col>
      <xdr:colOff>364066</xdr:colOff>
      <xdr:row>697</xdr:row>
      <xdr:rowOff>186267</xdr:rowOff>
    </xdr:from>
    <xdr:to>
      <xdr:col>14</xdr:col>
      <xdr:colOff>533398</xdr:colOff>
      <xdr:row>708</xdr:row>
      <xdr:rowOff>16933</xdr:rowOff>
    </xdr:to>
    <xdr:graphicFrame macro="">
      <xdr:nvGraphicFramePr>
        <xdr:cNvPr id="22" name="Graphique 21">
          <a:extLst>
            <a:ext uri="{FF2B5EF4-FFF2-40B4-BE49-F238E27FC236}">
              <a16:creationId xmlns:a16="http://schemas.microsoft.com/office/drawing/2014/main" id="{5BE00186-2837-486E-A958-E565D436E0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499533</xdr:colOff>
      <xdr:row>697</xdr:row>
      <xdr:rowOff>160868</xdr:rowOff>
    </xdr:from>
    <xdr:to>
      <xdr:col>9</xdr:col>
      <xdr:colOff>463452</xdr:colOff>
      <xdr:row>699</xdr:row>
      <xdr:rowOff>112339</xdr:rowOff>
    </xdr:to>
    <xdr:grpSp>
      <xdr:nvGrpSpPr>
        <xdr:cNvPr id="34" name="Groupe 33">
          <a:extLst>
            <a:ext uri="{FF2B5EF4-FFF2-40B4-BE49-F238E27FC236}">
              <a16:creationId xmlns:a16="http://schemas.microsoft.com/office/drawing/2014/main" id="{A5C13569-3422-290A-73FD-13952007DCC8}"/>
            </a:ext>
          </a:extLst>
        </xdr:cNvPr>
        <xdr:cNvGrpSpPr/>
      </xdr:nvGrpSpPr>
      <xdr:grpSpPr>
        <a:xfrm>
          <a:off x="5132493" y="117996548"/>
          <a:ext cx="779259" cy="439151"/>
          <a:chOff x="0" y="0"/>
          <a:chExt cx="756451" cy="442492"/>
        </a:xfrm>
      </xdr:grpSpPr>
      <xdr:grpSp>
        <xdr:nvGrpSpPr>
          <xdr:cNvPr id="35" name="Groupe 34">
            <a:extLst>
              <a:ext uri="{FF2B5EF4-FFF2-40B4-BE49-F238E27FC236}">
                <a16:creationId xmlns:a16="http://schemas.microsoft.com/office/drawing/2014/main" id="{068438AC-4751-AB9F-C27B-C25363C2E8CF}"/>
              </a:ext>
            </a:extLst>
          </xdr:cNvPr>
          <xdr:cNvGrpSpPr/>
        </xdr:nvGrpSpPr>
        <xdr:grpSpPr>
          <a:xfrm>
            <a:off x="108858" y="39913"/>
            <a:ext cx="545336" cy="373936"/>
            <a:chOff x="108858" y="39913"/>
            <a:chExt cx="545336" cy="373936"/>
          </a:xfrm>
        </xdr:grpSpPr>
        <xdr:grpSp>
          <xdr:nvGrpSpPr>
            <xdr:cNvPr id="39" name="Groupe 38">
              <a:extLst>
                <a:ext uri="{FF2B5EF4-FFF2-40B4-BE49-F238E27FC236}">
                  <a16:creationId xmlns:a16="http://schemas.microsoft.com/office/drawing/2014/main" id="{66F90E1E-56A2-CBDE-3209-B3181815C720}"/>
                </a:ext>
              </a:extLst>
            </xdr:cNvPr>
            <xdr:cNvGrpSpPr/>
          </xdr:nvGrpSpPr>
          <xdr:grpSpPr>
            <a:xfrm>
              <a:off x="108858" y="39913"/>
              <a:ext cx="542448" cy="181776"/>
              <a:chOff x="108858" y="39913"/>
              <a:chExt cx="591549" cy="391192"/>
            </a:xfrm>
          </xdr:grpSpPr>
          <xdr:sp macro="" textlink="">
            <xdr:nvSpPr>
              <xdr:cNvPr id="43" name="Rectangle 42">
                <a:extLst>
                  <a:ext uri="{FF2B5EF4-FFF2-40B4-BE49-F238E27FC236}">
                    <a16:creationId xmlns:a16="http://schemas.microsoft.com/office/drawing/2014/main" id="{B6F11D99-7E4C-9D19-FC3F-A36E713D1A19}"/>
                  </a:ext>
                </a:extLst>
              </xdr:cNvPr>
              <xdr:cNvSpPr/>
            </xdr:nvSpPr>
            <xdr:spPr>
              <a:xfrm>
                <a:off x="108858" y="43735"/>
                <a:ext cx="314069" cy="38737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44" name="Rectangle 43">
                <a:extLst>
                  <a:ext uri="{FF2B5EF4-FFF2-40B4-BE49-F238E27FC236}">
                    <a16:creationId xmlns:a16="http://schemas.microsoft.com/office/drawing/2014/main" id="{A4CFB8EF-A553-0946-AFC7-B97C4DF3A151}"/>
                  </a:ext>
                </a:extLst>
              </xdr:cNvPr>
              <xdr:cNvSpPr/>
            </xdr:nvSpPr>
            <xdr:spPr>
              <a:xfrm>
                <a:off x="386338" y="39913"/>
                <a:ext cx="314069" cy="387370"/>
              </a:xfrm>
              <a:prstGeom prst="rect">
                <a:avLst/>
              </a:prstGeom>
              <a:solidFill>
                <a:srgbClr val="FFA7A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nvGrpSpPr>
            <xdr:cNvPr id="40" name="Groupe 39">
              <a:extLst>
                <a:ext uri="{FF2B5EF4-FFF2-40B4-BE49-F238E27FC236}">
                  <a16:creationId xmlns:a16="http://schemas.microsoft.com/office/drawing/2014/main" id="{20CEE32D-C8A0-78A9-1E87-CFA7F8CCF378}"/>
                </a:ext>
              </a:extLst>
            </xdr:cNvPr>
            <xdr:cNvGrpSpPr/>
          </xdr:nvGrpSpPr>
          <xdr:grpSpPr>
            <a:xfrm>
              <a:off x="114195" y="235857"/>
              <a:ext cx="539999" cy="177992"/>
              <a:chOff x="114195" y="235857"/>
              <a:chExt cx="645095" cy="841867"/>
            </a:xfrm>
          </xdr:grpSpPr>
          <xdr:sp macro="" textlink="">
            <xdr:nvSpPr>
              <xdr:cNvPr id="41" name="Rectangle 40">
                <a:extLst>
                  <a:ext uri="{FF2B5EF4-FFF2-40B4-BE49-F238E27FC236}">
                    <a16:creationId xmlns:a16="http://schemas.microsoft.com/office/drawing/2014/main" id="{B97677BB-14D9-2852-11DE-7ECAB67764CC}"/>
                  </a:ext>
                </a:extLst>
              </xdr:cNvPr>
              <xdr:cNvSpPr/>
            </xdr:nvSpPr>
            <xdr:spPr>
              <a:xfrm>
                <a:off x="114195" y="244082"/>
                <a:ext cx="342498" cy="833642"/>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sp macro="" textlink="">
            <xdr:nvSpPr>
              <xdr:cNvPr id="42" name="Rectangle 41">
                <a:extLst>
                  <a:ext uri="{FF2B5EF4-FFF2-40B4-BE49-F238E27FC236}">
                    <a16:creationId xmlns:a16="http://schemas.microsoft.com/office/drawing/2014/main" id="{E1BB101C-4514-AC01-40FE-B7F1D1874C1E}"/>
                  </a:ext>
                </a:extLst>
              </xdr:cNvPr>
              <xdr:cNvSpPr/>
            </xdr:nvSpPr>
            <xdr:spPr>
              <a:xfrm>
                <a:off x="416792" y="235857"/>
                <a:ext cx="342498" cy="833642"/>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fr-FR"/>
              </a:p>
            </xdr:txBody>
          </xdr:sp>
        </xdr:grpSp>
      </xdr:grpSp>
      <xdr:grpSp>
        <xdr:nvGrpSpPr>
          <xdr:cNvPr id="36" name="Groupe 35">
            <a:extLst>
              <a:ext uri="{FF2B5EF4-FFF2-40B4-BE49-F238E27FC236}">
                <a16:creationId xmlns:a16="http://schemas.microsoft.com/office/drawing/2014/main" id="{8CEED397-C081-AFDB-DC95-BDCAA9747758}"/>
              </a:ext>
            </a:extLst>
          </xdr:cNvPr>
          <xdr:cNvGrpSpPr/>
        </xdr:nvGrpSpPr>
        <xdr:grpSpPr>
          <a:xfrm>
            <a:off x="0" y="0"/>
            <a:ext cx="756451" cy="442492"/>
            <a:chOff x="0" y="0"/>
            <a:chExt cx="756451" cy="442492"/>
          </a:xfrm>
        </xdr:grpSpPr>
        <xdr:sp macro="" textlink="">
          <xdr:nvSpPr>
            <xdr:cNvPr id="37" name="Rectangle 36">
              <a:extLst>
                <a:ext uri="{FF2B5EF4-FFF2-40B4-BE49-F238E27FC236}">
                  <a16:creationId xmlns:a16="http://schemas.microsoft.com/office/drawing/2014/main" id="{3146A722-132F-85A3-9B20-64AE8B7AC51D}"/>
                </a:ext>
              </a:extLst>
            </xdr:cNvPr>
            <xdr:cNvSpPr/>
          </xdr:nvSpPr>
          <xdr:spPr>
            <a:xfrm>
              <a:off x="0" y="0"/>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ysClr val="windowText" lastClr="000000"/>
                  </a:solidFill>
                </a:rPr>
                <a:t>122022</a:t>
              </a:r>
            </a:p>
          </xdr:txBody>
        </xdr:sp>
        <xdr:sp macro="" textlink="">
          <xdr:nvSpPr>
            <xdr:cNvPr id="38" name="Rectangle 37">
              <a:extLst>
                <a:ext uri="{FF2B5EF4-FFF2-40B4-BE49-F238E27FC236}">
                  <a16:creationId xmlns:a16="http://schemas.microsoft.com/office/drawing/2014/main" id="{24FCBD15-AF13-62DE-5B1C-9D6B80D68A7C}"/>
                </a:ext>
              </a:extLst>
            </xdr:cNvPr>
            <xdr:cNvSpPr/>
          </xdr:nvSpPr>
          <xdr:spPr>
            <a:xfrm>
              <a:off x="5337" y="203007"/>
              <a:ext cx="751114" cy="2394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fr-FR">
                  <a:solidFill>
                    <a:schemeClr val="bg1"/>
                  </a:solidFill>
                </a:rPr>
                <a:t>122023</a:t>
              </a:r>
            </a:p>
          </xdr:txBody>
        </xdr:sp>
      </xdr:grpSp>
    </xdr:grpSp>
    <xdr:clientData/>
  </xdr:twoCellAnchor>
  <xdr:twoCellAnchor>
    <xdr:from>
      <xdr:col>3</xdr:col>
      <xdr:colOff>647700</xdr:colOff>
      <xdr:row>708</xdr:row>
      <xdr:rowOff>236220</xdr:rowOff>
    </xdr:from>
    <xdr:to>
      <xdr:col>14</xdr:col>
      <xdr:colOff>198120</xdr:colOff>
      <xdr:row>716</xdr:row>
      <xdr:rowOff>312420</xdr:rowOff>
    </xdr:to>
    <xdr:graphicFrame macro="">
      <xdr:nvGraphicFramePr>
        <xdr:cNvPr id="23" name="Graphique 22">
          <a:extLst>
            <a:ext uri="{FF2B5EF4-FFF2-40B4-BE49-F238E27FC236}">
              <a16:creationId xmlns:a16="http://schemas.microsoft.com/office/drawing/2014/main" id="{29DDB2DB-CF8B-4862-B918-CD256EBA0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4</xdr:col>
      <xdr:colOff>518160</xdr:colOff>
      <xdr:row>116</xdr:row>
      <xdr:rowOff>99060</xdr:rowOff>
    </xdr:from>
    <xdr:to>
      <xdr:col>13</xdr:col>
      <xdr:colOff>502920</xdr:colOff>
      <xdr:row>132</xdr:row>
      <xdr:rowOff>121920</xdr:rowOff>
    </xdr:to>
    <xdr:graphicFrame macro="">
      <xdr:nvGraphicFramePr>
        <xdr:cNvPr id="5" name="Graphique 4">
          <a:extLst>
            <a:ext uri="{FF2B5EF4-FFF2-40B4-BE49-F238E27FC236}">
              <a16:creationId xmlns:a16="http://schemas.microsoft.com/office/drawing/2014/main" id="{40722AAB-4F0E-4435-92DA-41694372B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D71D0349-D675-4D37-B812-0DDAC4005DC7}"/>
            </a:ext>
          </a:extLst>
        </cdr:cNvPr>
        <cdr:cNvGrpSpPr/>
      </cdr:nvGrpSpPr>
      <cdr:grpSpPr>
        <a:xfrm xmlns:a="http://schemas.openxmlformats.org/drawingml/2006/main">
          <a:off x="3567869" y="21472"/>
          <a:ext cx="748650" cy="436618"/>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2B1DD645-9875-453D-A5B8-2F2B21D363D2}"/>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17F05B0F-E3B3-4C7D-B352-CBD5BCC01CA9}"/>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6D2E14F9-CE30-474D-83A1-72CC546EDE0D}"/>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DBE74127-49ED-4436-BC76-D9F90FBEF4AA}"/>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4.xml><?xml version="1.0" encoding="utf-8"?>
<c:userShapes xmlns:c="http://schemas.openxmlformats.org/drawingml/2006/chart">
  <cdr:relSizeAnchor xmlns:cdr="http://schemas.openxmlformats.org/drawingml/2006/chartDrawing">
    <cdr:from>
      <cdr:x>0.7945</cdr:x>
      <cdr:y>0.01745</cdr:y>
    </cdr:from>
    <cdr:to>
      <cdr:x>0.96202</cdr:x>
      <cdr:y>0.21128</cdr:y>
    </cdr:to>
    <cdr:grpSp>
      <cdr:nvGrpSpPr>
        <cdr:cNvPr id="16" name="Groupe 15">
          <a:extLst xmlns:a="http://schemas.openxmlformats.org/drawingml/2006/main">
            <a:ext uri="{FF2B5EF4-FFF2-40B4-BE49-F238E27FC236}">
              <a16:creationId xmlns:a16="http://schemas.microsoft.com/office/drawing/2014/main" id="{55DB8A59-F270-441D-9BF9-B0C06DC362ED}"/>
            </a:ext>
          </a:extLst>
        </cdr:cNvPr>
        <cdr:cNvGrpSpPr/>
      </cdr:nvGrpSpPr>
      <cdr:grpSpPr>
        <a:xfrm xmlns:a="http://schemas.openxmlformats.org/drawingml/2006/main">
          <a:off x="3696912" y="47263"/>
          <a:ext cx="779492" cy="524981"/>
          <a:chOff x="3626840" y="47779"/>
          <a:chExt cx="764757" cy="530555"/>
        </a:xfrm>
      </cdr:grpSpPr>
      <cdr:grpSp>
        <cdr:nvGrpSpPr>
          <cdr:cNvPr id="7" name="Groupe 6">
            <a:extLst xmlns:a="http://schemas.openxmlformats.org/drawingml/2006/main">
              <a:ext uri="{FF2B5EF4-FFF2-40B4-BE49-F238E27FC236}">
                <a16:creationId xmlns:a16="http://schemas.microsoft.com/office/drawing/2014/main" id="{DBD84A71-0454-44A5-9BBC-80037F00B684}"/>
              </a:ext>
            </a:extLst>
          </cdr:cNvPr>
          <cdr:cNvGrpSpPr/>
        </cdr:nvGrpSpPr>
        <cdr:grpSpPr>
          <a:xfrm xmlns:a="http://schemas.openxmlformats.org/drawingml/2006/main">
            <a:off x="3737384" y="76199"/>
            <a:ext cx="537557" cy="196581"/>
            <a:chOff x="108858" y="39913"/>
            <a:chExt cx="645095" cy="841867"/>
          </a:xfrm>
        </cdr:grpSpPr>
        <cdr:sp macro="" textlink="">
          <cdr:nvSpPr>
            <cdr:cNvPr id="11" name="Rectangle 10"/>
            <cdr:cNvSpPr/>
          </cdr:nvSpPr>
          <cdr:spPr>
            <a:xfrm xmlns:a="http://schemas.openxmlformats.org/drawingml/2006/main">
              <a:off x="108858" y="48138"/>
              <a:ext cx="342498" cy="833642"/>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2" name="Rectangle 11"/>
            <cdr:cNvSpPr/>
          </cdr:nvSpPr>
          <cdr:spPr>
            <a:xfrm xmlns:a="http://schemas.openxmlformats.org/drawingml/2006/main">
              <a:off x="411455" y="39913"/>
              <a:ext cx="342498" cy="833642"/>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5" name="Rectangle 4"/>
          <cdr:cNvSpPr/>
        </cdr:nvSpPr>
        <cdr:spPr>
          <a:xfrm xmlns:a="http://schemas.openxmlformats.org/drawingml/2006/main">
            <a:off x="3626840" y="47779"/>
            <a:ext cx="748514" cy="25068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ysClr val="windowText" lastClr="000000"/>
                </a:solidFill>
              </a:rPr>
              <a:t>122022</a:t>
            </a:r>
          </a:p>
        </cdr:txBody>
      </cdr:sp>
      <cdr:grpSp>
        <cdr:nvGrpSpPr>
          <cdr:cNvPr id="15" name="Groupe 14">
            <a:extLst xmlns:a="http://schemas.openxmlformats.org/drawingml/2006/main">
              <a:ext uri="{FF2B5EF4-FFF2-40B4-BE49-F238E27FC236}">
                <a16:creationId xmlns:a16="http://schemas.microsoft.com/office/drawing/2014/main" id="{75F27AA1-79DC-4DDD-B547-A8BF6AED4F35}"/>
              </a:ext>
            </a:extLst>
          </cdr:cNvPr>
          <cdr:cNvGrpSpPr/>
        </cdr:nvGrpSpPr>
        <cdr:grpSpPr>
          <a:xfrm xmlns:a="http://schemas.openxmlformats.org/drawingml/2006/main">
            <a:off x="3643083" y="279404"/>
            <a:ext cx="748514" cy="298930"/>
            <a:chOff x="3643083" y="203204"/>
            <a:chExt cx="748514" cy="298930"/>
          </a:xfrm>
        </cdr:grpSpPr>
        <cdr:grpSp>
          <cdr:nvGrpSpPr>
            <cdr:cNvPr id="8" name="Groupe 7">
              <a:extLst xmlns:a="http://schemas.openxmlformats.org/drawingml/2006/main">
                <a:ext uri="{FF2B5EF4-FFF2-40B4-BE49-F238E27FC236}">
                  <a16:creationId xmlns:a16="http://schemas.microsoft.com/office/drawing/2014/main" id="{56022DD6-C08D-489A-A900-5329D78E8D88}"/>
                </a:ext>
              </a:extLst>
            </cdr:cNvPr>
            <cdr:cNvGrpSpPr/>
          </cdr:nvGrpSpPr>
          <cdr:grpSpPr>
            <a:xfrm xmlns:a="http://schemas.openxmlformats.org/drawingml/2006/main">
              <a:off x="3720461" y="238698"/>
              <a:ext cx="566793" cy="189092"/>
              <a:chOff x="114195" y="274760"/>
              <a:chExt cx="817763" cy="4101633"/>
            </a:xfrm>
          </cdr:grpSpPr>
          <cdr:sp macro="" textlink="">
            <cdr:nvSpPr>
              <cdr:cNvPr id="9" name="Rectangle 8"/>
              <cdr:cNvSpPr/>
            </cdr:nvSpPr>
            <cdr:spPr>
              <a:xfrm xmlns:a="http://schemas.openxmlformats.org/drawingml/2006/main">
                <a:off x="114195" y="274760"/>
                <a:ext cx="409156" cy="3904417"/>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522802" y="471976"/>
                <a:ext cx="409156" cy="3904417"/>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6" name="Rectangle 5"/>
            <cdr:cNvSpPr/>
          </cdr:nvSpPr>
          <cdr:spPr>
            <a:xfrm xmlns:a="http://schemas.openxmlformats.org/drawingml/2006/main">
              <a:off x="3643083" y="203204"/>
              <a:ext cx="748514" cy="29893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5.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DADD1607-CCB8-4FBC-B27C-570ABD2F9DA0}"/>
            </a:ext>
          </a:extLst>
        </cdr:cNvPr>
        <cdr:cNvGrpSpPr/>
      </cdr:nvGrpSpPr>
      <cdr:grpSpPr>
        <a:xfrm xmlns:a="http://schemas.openxmlformats.org/drawingml/2006/main">
          <a:off x="3566363" y="21547"/>
          <a:ext cx="748334" cy="438158"/>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EADB9F32-EBF0-46C2-A57E-743B55E51406}"/>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B3DF01A4-F947-4F75-BF8C-8BF5A3680BE1}"/>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28CFA818-3329-408E-8715-F69347D367A3}"/>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E98532A1-49FF-4A7F-9F4D-AD136548293C}"/>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032020</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122019</a:t>
              </a:r>
            </a:p>
          </cdr:txBody>
        </cdr:sp>
      </cdr:grpSp>
    </cdr:grpSp>
  </cdr:relSizeAnchor>
  <cdr:relSizeAnchor xmlns:cdr="http://schemas.openxmlformats.org/drawingml/2006/chartDrawing">
    <cdr:from>
      <cdr:x>0.79035</cdr:x>
      <cdr:y>0.00795</cdr:y>
    </cdr:from>
    <cdr:to>
      <cdr:x>0.95619</cdr:x>
      <cdr:y>0.16961</cdr:y>
    </cdr:to>
    <cdr:grpSp>
      <cdr:nvGrpSpPr>
        <cdr:cNvPr id="2" name="Groupe 12">
          <a:extLst xmlns:a="http://schemas.openxmlformats.org/drawingml/2006/main">
            <a:ext uri="{FF2B5EF4-FFF2-40B4-BE49-F238E27FC236}">
              <a16:creationId xmlns:a16="http://schemas.microsoft.com/office/drawing/2014/main" id="{F6EE36F8-657E-4D68-B44A-99F3FFAC7B8A}"/>
            </a:ext>
          </a:extLst>
        </cdr:cNvPr>
        <cdr:cNvGrpSpPr/>
      </cdr:nvGrpSpPr>
      <cdr:grpSpPr>
        <a:xfrm xmlns:a="http://schemas.openxmlformats.org/drawingml/2006/main">
          <a:off x="3566363" y="21547"/>
          <a:ext cx="748334" cy="438158"/>
          <a:chOff x="3605092" y="97972"/>
          <a:chExt cx="756451" cy="442492"/>
        </a:xfrm>
      </cdr:grpSpPr>
      <cdr:grpSp>
        <cdr:nvGrpSpPr>
          <cdr:cNvPr id="14" name="Groupe 11">
            <a:extLst xmlns:a="http://schemas.openxmlformats.org/drawingml/2006/main">
              <a:ext uri="{FF2B5EF4-FFF2-40B4-BE49-F238E27FC236}">
                <a16:creationId xmlns:a16="http://schemas.microsoft.com/office/drawing/2014/main" id="{48D80213-F6D9-43D0-BE7E-5EFE7F5B83D5}"/>
              </a:ext>
            </a:extLst>
          </cdr:cNvPr>
          <cdr:cNvGrpSpPr/>
        </cdr:nvGrpSpPr>
        <cdr:grpSpPr>
          <a:xfrm xmlns:a="http://schemas.openxmlformats.org/drawingml/2006/main">
            <a:off x="3713950" y="137885"/>
            <a:ext cx="545337" cy="373936"/>
            <a:chOff x="3713950" y="137885"/>
            <a:chExt cx="545337" cy="373936"/>
          </a:xfrm>
        </cdr:grpSpPr>
        <cdr:grpSp>
          <cdr:nvGrpSpPr>
            <cdr:cNvPr id="15" name="Groupe 5">
              <a:extLst xmlns:a="http://schemas.openxmlformats.org/drawingml/2006/main">
                <a:ext uri="{FF2B5EF4-FFF2-40B4-BE49-F238E27FC236}">
                  <a16:creationId xmlns:a16="http://schemas.microsoft.com/office/drawing/2014/main" id="{17B527DA-37BC-42C2-AD2E-1832E9B6CB8D}"/>
                </a:ext>
              </a:extLst>
            </cdr:cNvPr>
            <cdr:cNvGrpSpPr/>
          </cdr:nvGrpSpPr>
          <cdr:grpSpPr>
            <a:xfrm xmlns:a="http://schemas.openxmlformats.org/drawingml/2006/main">
              <a:off x="3713950" y="137885"/>
              <a:ext cx="542448" cy="181776"/>
              <a:chOff x="2908405" y="475343"/>
              <a:chExt cx="591549" cy="391192"/>
            </a:xfrm>
          </cdr:grpSpPr>
          <cdr:sp macro="" textlink="">
            <cdr:nvSpPr>
              <cdr:cNvPr id="16"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17"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18" name="Groupe 7">
              <a:extLst xmlns:a="http://schemas.openxmlformats.org/drawingml/2006/main">
                <a:ext uri="{FF2B5EF4-FFF2-40B4-BE49-F238E27FC236}">
                  <a16:creationId xmlns:a16="http://schemas.microsoft.com/office/drawing/2014/main" id="{00867343-8D91-4A2E-9A6A-9B5493598AEC}"/>
                </a:ext>
              </a:extLst>
            </cdr:cNvPr>
            <cdr:cNvGrpSpPr/>
          </cdr:nvGrpSpPr>
          <cdr:grpSpPr>
            <a:xfrm xmlns:a="http://schemas.openxmlformats.org/drawingml/2006/main">
              <a:off x="3719287" y="333829"/>
              <a:ext cx="540000" cy="177992"/>
              <a:chOff x="0" y="0"/>
              <a:chExt cx="645095" cy="841867"/>
            </a:xfrm>
          </cdr:grpSpPr>
          <cdr:sp macro="" textlink="">
            <cdr:nvSpPr>
              <cdr:cNvPr id="1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2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21" name="Groupe 10">
            <a:extLst xmlns:a="http://schemas.openxmlformats.org/drawingml/2006/main">
              <a:ext uri="{FF2B5EF4-FFF2-40B4-BE49-F238E27FC236}">
                <a16:creationId xmlns:a16="http://schemas.microsoft.com/office/drawing/2014/main" id="{92E01987-7092-4454-96E3-83E6A458608B}"/>
              </a:ext>
            </a:extLst>
          </cdr:cNvPr>
          <cdr:cNvGrpSpPr/>
        </cdr:nvGrpSpPr>
        <cdr:grpSpPr>
          <a:xfrm xmlns:a="http://schemas.openxmlformats.org/drawingml/2006/main">
            <a:off x="3605092" y="97972"/>
            <a:ext cx="756451" cy="442492"/>
            <a:chOff x="3637749" y="98165"/>
            <a:chExt cx="756451" cy="442492"/>
          </a:xfrm>
        </cdr:grpSpPr>
        <cdr:sp macro="" textlink="">
          <cdr:nvSpPr>
            <cdr:cNvPr id="22"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23"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6.xml><?xml version="1.0" encoding="utf-8"?>
<c:userShapes xmlns:c="http://schemas.openxmlformats.org/drawingml/2006/chart">
  <cdr:relSizeAnchor xmlns:cdr="http://schemas.openxmlformats.org/drawingml/2006/chartDrawing">
    <cdr:from>
      <cdr:x>0.83248</cdr:x>
      <cdr:y>0.01407</cdr:y>
    </cdr:from>
    <cdr:to>
      <cdr:x>1</cdr:x>
      <cdr:y>0.2079</cdr:y>
    </cdr:to>
    <cdr:grpSp>
      <cdr:nvGrpSpPr>
        <cdr:cNvPr id="16" name="Groupe 15">
          <a:extLst xmlns:a="http://schemas.openxmlformats.org/drawingml/2006/main">
            <a:ext uri="{FF2B5EF4-FFF2-40B4-BE49-F238E27FC236}">
              <a16:creationId xmlns:a16="http://schemas.microsoft.com/office/drawing/2014/main" id="{4097E913-322D-48EE-A52C-6E15007F1B8F}"/>
            </a:ext>
          </a:extLst>
        </cdr:cNvPr>
        <cdr:cNvGrpSpPr/>
      </cdr:nvGrpSpPr>
      <cdr:grpSpPr>
        <a:xfrm xmlns:a="http://schemas.openxmlformats.org/drawingml/2006/main">
          <a:off x="3873638" y="38135"/>
          <a:ext cx="779492" cy="525350"/>
          <a:chOff x="3626840" y="47779"/>
          <a:chExt cx="764757" cy="530555"/>
        </a:xfrm>
      </cdr:grpSpPr>
      <cdr:grpSp>
        <cdr:nvGrpSpPr>
          <cdr:cNvPr id="7" name="Groupe 6">
            <a:extLst xmlns:a="http://schemas.openxmlformats.org/drawingml/2006/main">
              <a:ext uri="{FF2B5EF4-FFF2-40B4-BE49-F238E27FC236}">
                <a16:creationId xmlns:a16="http://schemas.microsoft.com/office/drawing/2014/main" id="{CB43D951-C558-4E1A-A47D-AA03815D0325}"/>
              </a:ext>
            </a:extLst>
          </cdr:cNvPr>
          <cdr:cNvGrpSpPr/>
        </cdr:nvGrpSpPr>
        <cdr:grpSpPr>
          <a:xfrm xmlns:a="http://schemas.openxmlformats.org/drawingml/2006/main">
            <a:off x="3737384" y="76199"/>
            <a:ext cx="537557" cy="196581"/>
            <a:chOff x="108858" y="39913"/>
            <a:chExt cx="645095" cy="841867"/>
          </a:xfrm>
        </cdr:grpSpPr>
        <cdr:sp macro="" textlink="">
          <cdr:nvSpPr>
            <cdr:cNvPr id="11" name="Rectangle 10"/>
            <cdr:cNvSpPr/>
          </cdr:nvSpPr>
          <cdr:spPr>
            <a:xfrm xmlns:a="http://schemas.openxmlformats.org/drawingml/2006/main">
              <a:off x="108858" y="48138"/>
              <a:ext cx="342498" cy="833642"/>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2" name="Rectangle 11"/>
            <cdr:cNvSpPr/>
          </cdr:nvSpPr>
          <cdr:spPr>
            <a:xfrm xmlns:a="http://schemas.openxmlformats.org/drawingml/2006/main">
              <a:off x="411455" y="39913"/>
              <a:ext cx="342498" cy="833642"/>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5" name="Rectangle 4"/>
          <cdr:cNvSpPr/>
        </cdr:nvSpPr>
        <cdr:spPr>
          <a:xfrm xmlns:a="http://schemas.openxmlformats.org/drawingml/2006/main">
            <a:off x="3626840" y="47779"/>
            <a:ext cx="748514" cy="25068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ysClr val="windowText" lastClr="000000"/>
                </a:solidFill>
              </a:rPr>
              <a:t>122022</a:t>
            </a:r>
          </a:p>
        </cdr:txBody>
      </cdr:sp>
      <cdr:grpSp>
        <cdr:nvGrpSpPr>
          <cdr:cNvPr id="15" name="Groupe 14">
            <a:extLst xmlns:a="http://schemas.openxmlformats.org/drawingml/2006/main">
              <a:ext uri="{FF2B5EF4-FFF2-40B4-BE49-F238E27FC236}">
                <a16:creationId xmlns:a16="http://schemas.microsoft.com/office/drawing/2014/main" id="{A7A78130-C681-49BA-A2AE-1D0B51B6D5F8}"/>
              </a:ext>
            </a:extLst>
          </cdr:cNvPr>
          <cdr:cNvGrpSpPr/>
        </cdr:nvGrpSpPr>
        <cdr:grpSpPr>
          <a:xfrm xmlns:a="http://schemas.openxmlformats.org/drawingml/2006/main">
            <a:off x="3643083" y="279404"/>
            <a:ext cx="748514" cy="298930"/>
            <a:chOff x="3643083" y="203204"/>
            <a:chExt cx="748514" cy="298930"/>
          </a:xfrm>
        </cdr:grpSpPr>
        <cdr:grpSp>
          <cdr:nvGrpSpPr>
            <cdr:cNvPr id="8" name="Groupe 7">
              <a:extLst xmlns:a="http://schemas.openxmlformats.org/drawingml/2006/main">
                <a:ext uri="{FF2B5EF4-FFF2-40B4-BE49-F238E27FC236}">
                  <a16:creationId xmlns:a16="http://schemas.microsoft.com/office/drawing/2014/main" id="{26827DFD-65DB-44C0-91C0-FA4057BB7724}"/>
                </a:ext>
              </a:extLst>
            </cdr:cNvPr>
            <cdr:cNvGrpSpPr/>
          </cdr:nvGrpSpPr>
          <cdr:grpSpPr>
            <a:xfrm xmlns:a="http://schemas.openxmlformats.org/drawingml/2006/main">
              <a:off x="3720461" y="238698"/>
              <a:ext cx="566793" cy="189092"/>
              <a:chOff x="114195" y="274760"/>
              <a:chExt cx="817763" cy="4101633"/>
            </a:xfrm>
          </cdr:grpSpPr>
          <cdr:sp macro="" textlink="">
            <cdr:nvSpPr>
              <cdr:cNvPr id="9" name="Rectangle 8"/>
              <cdr:cNvSpPr/>
            </cdr:nvSpPr>
            <cdr:spPr>
              <a:xfrm xmlns:a="http://schemas.openxmlformats.org/drawingml/2006/main">
                <a:off x="114195" y="274760"/>
                <a:ext cx="409156" cy="3904417"/>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522802" y="471976"/>
                <a:ext cx="409156" cy="3904417"/>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6" name="Rectangle 5"/>
            <cdr:cNvSpPr/>
          </cdr:nvSpPr>
          <cdr:spPr>
            <a:xfrm xmlns:a="http://schemas.openxmlformats.org/drawingml/2006/main">
              <a:off x="3643083" y="203204"/>
              <a:ext cx="748514" cy="29893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7.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A0613599-C73A-4C2D-B57C-3D24179025B8}"/>
            </a:ext>
          </a:extLst>
        </cdr:cNvPr>
        <cdr:cNvGrpSpPr/>
      </cdr:nvGrpSpPr>
      <cdr:grpSpPr>
        <a:xfrm xmlns:a="http://schemas.openxmlformats.org/drawingml/2006/main">
          <a:off x="3566363" y="21593"/>
          <a:ext cx="748334" cy="439081"/>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4E333044-93D2-4063-B252-8228F3B467CC}"/>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A5EE1651-39F0-488B-9E44-F64DE5DB8A1A}"/>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3E468583-D09A-43E0-A7C2-DB278253B97A}"/>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1CA7F760-BCEF-4AEB-B989-F376653CA037}"/>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032020</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122019</a:t>
              </a:r>
            </a:p>
          </cdr:txBody>
        </cdr:sp>
      </cdr:grpSp>
    </cdr:grpSp>
  </cdr:relSizeAnchor>
  <cdr:relSizeAnchor xmlns:cdr="http://schemas.openxmlformats.org/drawingml/2006/chartDrawing">
    <cdr:from>
      <cdr:x>0.79396</cdr:x>
      <cdr:y>0.0164</cdr:y>
    </cdr:from>
    <cdr:to>
      <cdr:x>0.9598</cdr:x>
      <cdr:y>0.17806</cdr:y>
    </cdr:to>
    <cdr:grpSp>
      <cdr:nvGrpSpPr>
        <cdr:cNvPr id="2" name="Groupe 12">
          <a:extLst xmlns:a="http://schemas.openxmlformats.org/drawingml/2006/main">
            <a:ext uri="{FF2B5EF4-FFF2-40B4-BE49-F238E27FC236}">
              <a16:creationId xmlns:a16="http://schemas.microsoft.com/office/drawing/2014/main" id="{3E249836-FE37-4C1C-A883-93A9B1CF5CC4}"/>
            </a:ext>
          </a:extLst>
        </cdr:cNvPr>
        <cdr:cNvGrpSpPr/>
      </cdr:nvGrpSpPr>
      <cdr:grpSpPr>
        <a:xfrm xmlns:a="http://schemas.openxmlformats.org/drawingml/2006/main">
          <a:off x="3582653" y="44544"/>
          <a:ext cx="748334" cy="439081"/>
          <a:chOff x="3605092" y="97972"/>
          <a:chExt cx="756451" cy="442492"/>
        </a:xfrm>
      </cdr:grpSpPr>
      <cdr:grpSp>
        <cdr:nvGrpSpPr>
          <cdr:cNvPr id="14" name="Groupe 11">
            <a:extLst xmlns:a="http://schemas.openxmlformats.org/drawingml/2006/main">
              <a:ext uri="{FF2B5EF4-FFF2-40B4-BE49-F238E27FC236}">
                <a16:creationId xmlns:a16="http://schemas.microsoft.com/office/drawing/2014/main" id="{4F22B13B-B2CD-4FCF-A8DD-D3CC1E816EC9}"/>
              </a:ext>
            </a:extLst>
          </cdr:cNvPr>
          <cdr:cNvGrpSpPr/>
        </cdr:nvGrpSpPr>
        <cdr:grpSpPr>
          <a:xfrm xmlns:a="http://schemas.openxmlformats.org/drawingml/2006/main">
            <a:off x="3713950" y="137885"/>
            <a:ext cx="545337" cy="373936"/>
            <a:chOff x="3713950" y="137885"/>
            <a:chExt cx="545337" cy="373936"/>
          </a:xfrm>
        </cdr:grpSpPr>
        <cdr:grpSp>
          <cdr:nvGrpSpPr>
            <cdr:cNvPr id="15" name="Groupe 5">
              <a:extLst xmlns:a="http://schemas.openxmlformats.org/drawingml/2006/main">
                <a:ext uri="{FF2B5EF4-FFF2-40B4-BE49-F238E27FC236}">
                  <a16:creationId xmlns:a16="http://schemas.microsoft.com/office/drawing/2014/main" id="{C4CFE9ED-3D82-40F9-825A-156EA0076507}"/>
                </a:ext>
              </a:extLst>
            </cdr:cNvPr>
            <cdr:cNvGrpSpPr/>
          </cdr:nvGrpSpPr>
          <cdr:grpSpPr>
            <a:xfrm xmlns:a="http://schemas.openxmlformats.org/drawingml/2006/main">
              <a:off x="3713950" y="137885"/>
              <a:ext cx="542448" cy="181776"/>
              <a:chOff x="2908405" y="475343"/>
              <a:chExt cx="591549" cy="391192"/>
            </a:xfrm>
          </cdr:grpSpPr>
          <cdr:sp macro="" textlink="">
            <cdr:nvSpPr>
              <cdr:cNvPr id="16"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17"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18" name="Groupe 7">
              <a:extLst xmlns:a="http://schemas.openxmlformats.org/drawingml/2006/main">
                <a:ext uri="{FF2B5EF4-FFF2-40B4-BE49-F238E27FC236}">
                  <a16:creationId xmlns:a16="http://schemas.microsoft.com/office/drawing/2014/main" id="{48E58625-F054-408F-A7DA-879392966E9B}"/>
                </a:ext>
              </a:extLst>
            </cdr:cNvPr>
            <cdr:cNvGrpSpPr/>
          </cdr:nvGrpSpPr>
          <cdr:grpSpPr>
            <a:xfrm xmlns:a="http://schemas.openxmlformats.org/drawingml/2006/main">
              <a:off x="3719287" y="333829"/>
              <a:ext cx="540000" cy="177992"/>
              <a:chOff x="0" y="0"/>
              <a:chExt cx="645095" cy="841867"/>
            </a:xfrm>
          </cdr:grpSpPr>
          <cdr:sp macro="" textlink="">
            <cdr:nvSpPr>
              <cdr:cNvPr id="1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2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21" name="Groupe 10">
            <a:extLst xmlns:a="http://schemas.openxmlformats.org/drawingml/2006/main">
              <a:ext uri="{FF2B5EF4-FFF2-40B4-BE49-F238E27FC236}">
                <a16:creationId xmlns:a16="http://schemas.microsoft.com/office/drawing/2014/main" id="{CF3FE83D-6A8D-482B-9AB2-8529F1630F29}"/>
              </a:ext>
            </a:extLst>
          </cdr:cNvPr>
          <cdr:cNvGrpSpPr/>
        </cdr:nvGrpSpPr>
        <cdr:grpSpPr>
          <a:xfrm xmlns:a="http://schemas.openxmlformats.org/drawingml/2006/main">
            <a:off x="3605092" y="97972"/>
            <a:ext cx="756451" cy="442492"/>
            <a:chOff x="3637749" y="98165"/>
            <a:chExt cx="756451" cy="442492"/>
          </a:xfrm>
        </cdr:grpSpPr>
        <cdr:sp macro="" textlink="">
          <cdr:nvSpPr>
            <cdr:cNvPr id="22"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23"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8.xml><?xml version="1.0" encoding="utf-8"?>
<c:userShapes xmlns:c="http://schemas.openxmlformats.org/drawingml/2006/chart">
  <cdr:relSizeAnchor xmlns:cdr="http://schemas.openxmlformats.org/drawingml/2006/chartDrawing">
    <cdr:from>
      <cdr:x>0.7945</cdr:x>
      <cdr:y>0.01745</cdr:y>
    </cdr:from>
    <cdr:to>
      <cdr:x>0.96202</cdr:x>
      <cdr:y>0.21128</cdr:y>
    </cdr:to>
    <cdr:grpSp>
      <cdr:nvGrpSpPr>
        <cdr:cNvPr id="16" name="Groupe 15">
          <a:extLst xmlns:a="http://schemas.openxmlformats.org/drawingml/2006/main">
            <a:ext uri="{FF2B5EF4-FFF2-40B4-BE49-F238E27FC236}">
              <a16:creationId xmlns:a16="http://schemas.microsoft.com/office/drawing/2014/main" id="{B6E4597A-4C2E-4622-B351-DF587E8ED287}"/>
            </a:ext>
          </a:extLst>
        </cdr:cNvPr>
        <cdr:cNvGrpSpPr/>
      </cdr:nvGrpSpPr>
      <cdr:grpSpPr>
        <a:xfrm xmlns:a="http://schemas.openxmlformats.org/drawingml/2006/main">
          <a:off x="3696912" y="47396"/>
          <a:ext cx="779492" cy="526458"/>
          <a:chOff x="3626840" y="47779"/>
          <a:chExt cx="764757" cy="530555"/>
        </a:xfrm>
      </cdr:grpSpPr>
      <cdr:grpSp>
        <cdr:nvGrpSpPr>
          <cdr:cNvPr id="7" name="Groupe 6">
            <a:extLst xmlns:a="http://schemas.openxmlformats.org/drawingml/2006/main">
              <a:ext uri="{FF2B5EF4-FFF2-40B4-BE49-F238E27FC236}">
                <a16:creationId xmlns:a16="http://schemas.microsoft.com/office/drawing/2014/main" id="{9951E78B-7EEE-4584-AC1E-A025124C54D2}"/>
              </a:ext>
            </a:extLst>
          </cdr:cNvPr>
          <cdr:cNvGrpSpPr/>
        </cdr:nvGrpSpPr>
        <cdr:grpSpPr>
          <a:xfrm xmlns:a="http://schemas.openxmlformats.org/drawingml/2006/main">
            <a:off x="3737384" y="76199"/>
            <a:ext cx="537557" cy="196581"/>
            <a:chOff x="108858" y="39913"/>
            <a:chExt cx="645095" cy="841867"/>
          </a:xfrm>
        </cdr:grpSpPr>
        <cdr:sp macro="" textlink="">
          <cdr:nvSpPr>
            <cdr:cNvPr id="11" name="Rectangle 10"/>
            <cdr:cNvSpPr/>
          </cdr:nvSpPr>
          <cdr:spPr>
            <a:xfrm xmlns:a="http://schemas.openxmlformats.org/drawingml/2006/main">
              <a:off x="108858" y="48138"/>
              <a:ext cx="342498" cy="833642"/>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2" name="Rectangle 11"/>
            <cdr:cNvSpPr/>
          </cdr:nvSpPr>
          <cdr:spPr>
            <a:xfrm xmlns:a="http://schemas.openxmlformats.org/drawingml/2006/main">
              <a:off x="411455" y="39913"/>
              <a:ext cx="342498" cy="833642"/>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5" name="Rectangle 4"/>
          <cdr:cNvSpPr/>
        </cdr:nvSpPr>
        <cdr:spPr>
          <a:xfrm xmlns:a="http://schemas.openxmlformats.org/drawingml/2006/main">
            <a:off x="3626840" y="47779"/>
            <a:ext cx="748514" cy="25068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ysClr val="windowText" lastClr="000000"/>
                </a:solidFill>
              </a:rPr>
              <a:t>122022</a:t>
            </a:r>
          </a:p>
        </cdr:txBody>
      </cdr:sp>
      <cdr:grpSp>
        <cdr:nvGrpSpPr>
          <cdr:cNvPr id="15" name="Groupe 14">
            <a:extLst xmlns:a="http://schemas.openxmlformats.org/drawingml/2006/main">
              <a:ext uri="{FF2B5EF4-FFF2-40B4-BE49-F238E27FC236}">
                <a16:creationId xmlns:a16="http://schemas.microsoft.com/office/drawing/2014/main" id="{2E3F67CC-A46C-4A15-B32D-E18F8284D299}"/>
              </a:ext>
            </a:extLst>
          </cdr:cNvPr>
          <cdr:cNvGrpSpPr/>
        </cdr:nvGrpSpPr>
        <cdr:grpSpPr>
          <a:xfrm xmlns:a="http://schemas.openxmlformats.org/drawingml/2006/main">
            <a:off x="3643083" y="279404"/>
            <a:ext cx="748514" cy="298930"/>
            <a:chOff x="3643083" y="203204"/>
            <a:chExt cx="748514" cy="298930"/>
          </a:xfrm>
        </cdr:grpSpPr>
        <cdr:grpSp>
          <cdr:nvGrpSpPr>
            <cdr:cNvPr id="8" name="Groupe 7">
              <a:extLst xmlns:a="http://schemas.openxmlformats.org/drawingml/2006/main">
                <a:ext uri="{FF2B5EF4-FFF2-40B4-BE49-F238E27FC236}">
                  <a16:creationId xmlns:a16="http://schemas.microsoft.com/office/drawing/2014/main" id="{EC929844-0DEC-46A8-8BB2-5B984B0E9B42}"/>
                </a:ext>
              </a:extLst>
            </cdr:cNvPr>
            <cdr:cNvGrpSpPr/>
          </cdr:nvGrpSpPr>
          <cdr:grpSpPr>
            <a:xfrm xmlns:a="http://schemas.openxmlformats.org/drawingml/2006/main">
              <a:off x="3720461" y="238698"/>
              <a:ext cx="566793" cy="189092"/>
              <a:chOff x="114195" y="274760"/>
              <a:chExt cx="817763" cy="4101633"/>
            </a:xfrm>
          </cdr:grpSpPr>
          <cdr:sp macro="" textlink="">
            <cdr:nvSpPr>
              <cdr:cNvPr id="9" name="Rectangle 8"/>
              <cdr:cNvSpPr/>
            </cdr:nvSpPr>
            <cdr:spPr>
              <a:xfrm xmlns:a="http://schemas.openxmlformats.org/drawingml/2006/main">
                <a:off x="114195" y="274760"/>
                <a:ext cx="409156" cy="3904417"/>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522802" y="471976"/>
                <a:ext cx="409156" cy="3904417"/>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6" name="Rectangle 5"/>
            <cdr:cNvSpPr/>
          </cdr:nvSpPr>
          <cdr:spPr>
            <a:xfrm xmlns:a="http://schemas.openxmlformats.org/drawingml/2006/main">
              <a:off x="3643083" y="203204"/>
              <a:ext cx="748514" cy="29893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9.xml><?xml version="1.0" encoding="utf-8"?>
<c:userShapes xmlns:c="http://schemas.openxmlformats.org/drawingml/2006/chart">
  <cdr:relSizeAnchor xmlns:cdr="http://schemas.openxmlformats.org/drawingml/2006/chartDrawing">
    <cdr:from>
      <cdr:x>0.50462</cdr:x>
      <cdr:y>0.18673</cdr:y>
    </cdr:from>
    <cdr:to>
      <cdr:x>0.63721</cdr:x>
      <cdr:y>0.31281</cdr:y>
    </cdr:to>
    <cdr:sp macro="" textlink="'Tableau détaillé'!$M$5">
      <cdr:nvSpPr>
        <cdr:cNvPr id="2" name="ZoneTexte 32"/>
        <cdr:cNvSpPr txBox="1"/>
      </cdr:nvSpPr>
      <cdr:spPr>
        <a:xfrm xmlns:a="http://schemas.openxmlformats.org/drawingml/2006/main">
          <a:off x="2288879" y="506396"/>
          <a:ext cx="601402" cy="34191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003F9D2C-993C-4BFB-BEC7-6897F003EE44}" type="TxLink">
            <a:rPr lang="en-US" sz="1100" b="1" i="0" u="none" strike="noStrike">
              <a:solidFill>
                <a:srgbClr val="C00000"/>
              </a:solidFill>
              <a:latin typeface="Arial Narrow"/>
              <a:ea typeface="+mn-ea"/>
              <a:cs typeface="+mn-cs"/>
            </a:rPr>
            <a:pPr marL="0" indent="0" algn="ctr"/>
            <a:t>-1,1%</a:t>
          </a:fld>
          <a:endParaRPr lang="fr-FR" sz="1100" b="1" i="0" u="none" strike="noStrike">
            <a:solidFill>
              <a:srgbClr val="C00000"/>
            </a:solidFill>
            <a:latin typeface="Arial Narrow"/>
            <a:ea typeface="+mn-ea"/>
            <a:cs typeface="+mn-cs"/>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0.73019</cdr:x>
      <cdr:y>0.34504</cdr:y>
    </cdr:from>
    <cdr:to>
      <cdr:x>0.8773</cdr:x>
      <cdr:y>0.43719</cdr:y>
    </cdr:to>
    <cdr:sp macro="" textlink="'Tableau détaillé'!$H$85">
      <cdr:nvSpPr>
        <cdr:cNvPr id="2" name="ZoneTexte 37"/>
        <cdr:cNvSpPr txBox="1"/>
      </cdr:nvSpPr>
      <cdr:spPr>
        <a:xfrm xmlns:a="http://schemas.openxmlformats.org/drawingml/2006/main">
          <a:off x="3211637" y="966053"/>
          <a:ext cx="647039" cy="258001"/>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5D4E4C4F-7A7B-4122-8035-70FE41D181AF}" type="TxLink">
            <a:rPr lang="en-US" sz="1000" b="1" i="0" u="none" strike="noStrike">
              <a:solidFill>
                <a:srgbClr val="C00000"/>
              </a:solidFill>
              <a:latin typeface="Arial Narrow"/>
            </a:rPr>
            <a:pPr algn="ctr"/>
            <a:t>1,8%</a:t>
          </a:fld>
          <a:endParaRPr lang="fr-FR" sz="1000">
            <a:solidFill>
              <a:srgbClr val="C00000"/>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0.15882</cdr:x>
      <cdr:y>0.17834</cdr:y>
    </cdr:from>
    <cdr:to>
      <cdr:x>0.33415</cdr:x>
      <cdr:y>0.30442</cdr:y>
    </cdr:to>
    <cdr:sp macro="" textlink="'Tableau détaillé'!$I$349">
      <cdr:nvSpPr>
        <cdr:cNvPr id="2" name="ZoneTexte 32"/>
        <cdr:cNvSpPr txBox="1"/>
      </cdr:nvSpPr>
      <cdr:spPr>
        <a:xfrm xmlns:a="http://schemas.openxmlformats.org/drawingml/2006/main">
          <a:off x="722934" y="491636"/>
          <a:ext cx="798083" cy="34757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B724D311-6ABB-44DC-8E1D-4BBFB27B656E}" type="TxLink">
            <a:rPr lang="en-US" sz="1100" b="1" i="0" u="none" strike="noStrike">
              <a:solidFill>
                <a:srgbClr val="C00000"/>
              </a:solidFill>
              <a:latin typeface="Arial Narrow"/>
              <a:ea typeface="+mn-ea"/>
              <a:cs typeface="+mn-cs"/>
            </a:rPr>
            <a:pPr marL="0" indent="0" algn="ctr"/>
            <a:t>-24,6%</a:t>
          </a:fld>
          <a:endParaRPr lang="fr-FR" sz="1100" b="1" i="0" u="none" strike="noStrike">
            <a:solidFill>
              <a:srgbClr val="C00000"/>
            </a:solidFill>
            <a:latin typeface="Arial Narrow"/>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0.71535</cdr:x>
      <cdr:y>0.27085</cdr:y>
    </cdr:from>
    <cdr:to>
      <cdr:x>0.84794</cdr:x>
      <cdr:y>0.37231</cdr:y>
    </cdr:to>
    <cdr:sp macro="" textlink="'Tableau détaillé'!$I$349">
      <cdr:nvSpPr>
        <cdr:cNvPr id="2" name="ZoneTexte 32"/>
        <cdr:cNvSpPr txBox="1"/>
      </cdr:nvSpPr>
      <cdr:spPr>
        <a:xfrm xmlns:a="http://schemas.openxmlformats.org/drawingml/2006/main">
          <a:off x="3331134" y="746680"/>
          <a:ext cx="617428" cy="27970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E1529EE0-1E90-466D-8B83-3D9635ADD849}" type="TxLink">
            <a:rPr lang="en-US" sz="1100" b="1" i="0" u="none" strike="noStrike">
              <a:solidFill>
                <a:srgbClr val="C00000"/>
              </a:solidFill>
              <a:latin typeface="Arial Narrow"/>
              <a:ea typeface="+mn-ea"/>
              <a:cs typeface="+mn-cs"/>
            </a:rPr>
            <a:pPr marL="0" indent="0" algn="ctr"/>
            <a:t>-24,6%</a:t>
          </a:fld>
          <a:endParaRPr lang="fr-FR" sz="1100" b="1" i="0" u="none" strike="noStrike">
            <a:solidFill>
              <a:srgbClr val="C00000"/>
            </a:solidFill>
            <a:latin typeface="Arial Narrow"/>
            <a:ea typeface="+mn-ea"/>
            <a:cs typeface="+mn-cs"/>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0.2036</cdr:x>
      <cdr:y>0.20718</cdr:y>
    </cdr:from>
    <cdr:to>
      <cdr:x>0.37893</cdr:x>
      <cdr:y>0.33326</cdr:y>
    </cdr:to>
    <cdr:sp macro="" textlink="'Tableau détaillé'!$I$333">
      <cdr:nvSpPr>
        <cdr:cNvPr id="2" name="ZoneTexte 32"/>
        <cdr:cNvSpPr txBox="1"/>
      </cdr:nvSpPr>
      <cdr:spPr>
        <a:xfrm xmlns:a="http://schemas.openxmlformats.org/drawingml/2006/main">
          <a:off x="926770" y="571819"/>
          <a:ext cx="798083" cy="34797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A97D18C6-1739-4BEB-B496-EBF1010DA367}" type="TxLink">
            <a:rPr lang="en-US" sz="1100" b="1" i="0" u="none" strike="noStrike">
              <a:solidFill>
                <a:srgbClr val="C00000"/>
              </a:solidFill>
              <a:latin typeface="Arial Narrow"/>
              <a:ea typeface="+mn-ea"/>
              <a:cs typeface="+mn-cs"/>
            </a:rPr>
            <a:pPr marL="0" indent="0" algn="ctr"/>
            <a:t>-21,8%</a:t>
          </a:fld>
          <a:endParaRPr lang="fr-FR" sz="1100" b="1" i="0" u="none" strike="noStrike">
            <a:solidFill>
              <a:srgbClr val="C00000"/>
            </a:solidFill>
            <a:latin typeface="Arial Narrow"/>
            <a:ea typeface="+mn-ea"/>
            <a:cs typeface="+mn-cs"/>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0.41906</cdr:x>
      <cdr:y>0.1845</cdr:y>
    </cdr:from>
    <cdr:to>
      <cdr:x>0.55165</cdr:x>
      <cdr:y>0.28596</cdr:y>
    </cdr:to>
    <cdr:sp macro="" textlink="'Tableau détaillé'!$I$333">
      <cdr:nvSpPr>
        <cdr:cNvPr id="2" name="ZoneTexte 32"/>
        <cdr:cNvSpPr txBox="1"/>
      </cdr:nvSpPr>
      <cdr:spPr>
        <a:xfrm xmlns:a="http://schemas.openxmlformats.org/drawingml/2006/main">
          <a:off x="1951402" y="509221"/>
          <a:ext cx="617427" cy="2800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209B896D-627E-4D63-BF5A-FB05AFEA2BDD}" type="TxLink">
            <a:rPr lang="en-US" sz="1100" b="1" i="0" u="none" strike="noStrike">
              <a:solidFill>
                <a:srgbClr val="C00000"/>
              </a:solidFill>
              <a:latin typeface="Arial Narrow"/>
              <a:ea typeface="+mn-ea"/>
              <a:cs typeface="+mn-cs"/>
            </a:rPr>
            <a:pPr marL="0" indent="0" algn="ctr"/>
            <a:t>-21,8%</a:t>
          </a:fld>
          <a:endParaRPr lang="fr-FR" sz="1100" b="1" i="0" u="none" strike="noStrike">
            <a:solidFill>
              <a:srgbClr val="C00000"/>
            </a:solidFill>
            <a:latin typeface="Arial Narrow"/>
            <a:ea typeface="+mn-ea"/>
            <a:cs typeface="+mn-cs"/>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0.57731</cdr:x>
      <cdr:y>0.34095</cdr:y>
    </cdr:from>
    <cdr:to>
      <cdr:x>0.75264</cdr:x>
      <cdr:y>0.46703</cdr:y>
    </cdr:to>
    <cdr:sp macro="" textlink="'Tableau détaillé'!$G$317">
      <cdr:nvSpPr>
        <cdr:cNvPr id="2" name="ZoneTexte 32"/>
        <cdr:cNvSpPr txBox="1"/>
      </cdr:nvSpPr>
      <cdr:spPr>
        <a:xfrm xmlns:a="http://schemas.openxmlformats.org/drawingml/2006/main">
          <a:off x="2551488" y="1016507"/>
          <a:ext cx="774888" cy="37589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1ACFC0F6-94C2-4E3D-A5E6-1EF943933AB1}" type="TxLink">
            <a:rPr lang="en-US" sz="1100" b="1" i="0" u="none" strike="noStrike">
              <a:solidFill>
                <a:srgbClr val="C00000"/>
              </a:solidFill>
              <a:latin typeface="Arial Narrow"/>
              <a:ea typeface="+mn-ea"/>
              <a:cs typeface="+mn-cs"/>
            </a:rPr>
            <a:pPr marL="0" indent="0" algn="ctr"/>
            <a:t>38%</a:t>
          </a:fld>
          <a:endParaRPr lang="fr-FR" sz="1100" b="1" i="0" u="none" strike="noStrike">
            <a:solidFill>
              <a:srgbClr val="C00000"/>
            </a:solidFill>
            <a:latin typeface="Arial Narrow"/>
            <a:ea typeface="+mn-ea"/>
            <a:cs typeface="+mn-cs"/>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0.68673</cdr:x>
      <cdr:y>0.29742</cdr:y>
    </cdr:from>
    <cdr:to>
      <cdr:x>0.8739</cdr:x>
      <cdr:y>0.41733</cdr:y>
    </cdr:to>
    <cdr:sp macro="" textlink="'Tableau détaillé'!$H$117">
      <cdr:nvSpPr>
        <cdr:cNvPr id="2" name="ZoneTexte 38"/>
        <cdr:cNvSpPr txBox="1"/>
      </cdr:nvSpPr>
      <cdr:spPr>
        <a:xfrm xmlns:a="http://schemas.openxmlformats.org/drawingml/2006/main">
          <a:off x="3019976" y="831944"/>
          <a:ext cx="823101" cy="33541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2FB2562E-AF67-4BE4-8F53-22A5AA8B53B6}" type="TxLink">
            <a:rPr lang="en-US" sz="1000" b="1" i="0" u="none" strike="noStrike">
              <a:solidFill>
                <a:srgbClr val="C00000"/>
              </a:solidFill>
              <a:latin typeface="Arial Narrow"/>
            </a:rPr>
            <a:pPr algn="ctr"/>
            <a:t>2,1 pts</a:t>
          </a:fld>
          <a:endParaRPr lang="fr-FR" sz="1000">
            <a:solidFill>
              <a:srgbClr val="C00000"/>
            </a:solidFill>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FD03776E-110B-4D75-B79C-0CB0DDAB6B97}"/>
            </a:ext>
          </a:extLst>
        </cdr:cNvPr>
        <cdr:cNvGrpSpPr/>
      </cdr:nvGrpSpPr>
      <cdr:grpSpPr>
        <a:xfrm xmlns:a="http://schemas.openxmlformats.org/drawingml/2006/main">
          <a:off x="3567869" y="21366"/>
          <a:ext cx="748650" cy="434462"/>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2318D056-F38B-43FB-9A5B-5394084480D9}"/>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7C305BC0-01B5-4385-A8C8-408E0F2EB12B}"/>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1869601C-8CF2-4A23-9BEB-12BB8E88BBB9}"/>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BE9DDC1D-11FA-4465-A06F-2A2E29C4F8EE}"/>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092020</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092021</a:t>
              </a:r>
            </a:p>
          </cdr:txBody>
        </cdr:sp>
      </cdr:grpSp>
    </cdr:grpSp>
  </cdr:relSizeAnchor>
  <cdr:relSizeAnchor xmlns:cdr="http://schemas.openxmlformats.org/drawingml/2006/chartDrawing">
    <cdr:from>
      <cdr:x>0.79035</cdr:x>
      <cdr:y>0.00795</cdr:y>
    </cdr:from>
    <cdr:to>
      <cdr:x>0.95619</cdr:x>
      <cdr:y>0.16961</cdr:y>
    </cdr:to>
    <cdr:grpSp>
      <cdr:nvGrpSpPr>
        <cdr:cNvPr id="2" name="Groupe 12">
          <a:extLst xmlns:a="http://schemas.openxmlformats.org/drawingml/2006/main">
            <a:ext uri="{FF2B5EF4-FFF2-40B4-BE49-F238E27FC236}">
              <a16:creationId xmlns:a16="http://schemas.microsoft.com/office/drawing/2014/main" id="{B3D0E260-2806-466E-9F7F-E4585EFEB76C}"/>
            </a:ext>
          </a:extLst>
        </cdr:cNvPr>
        <cdr:cNvGrpSpPr/>
      </cdr:nvGrpSpPr>
      <cdr:grpSpPr>
        <a:xfrm xmlns:a="http://schemas.openxmlformats.org/drawingml/2006/main">
          <a:off x="3567869" y="21366"/>
          <a:ext cx="748650" cy="434462"/>
          <a:chOff x="3605092" y="97972"/>
          <a:chExt cx="756451" cy="442492"/>
        </a:xfrm>
      </cdr:grpSpPr>
      <cdr:grpSp>
        <cdr:nvGrpSpPr>
          <cdr:cNvPr id="14" name="Groupe 11">
            <a:extLst xmlns:a="http://schemas.openxmlformats.org/drawingml/2006/main">
              <a:ext uri="{FF2B5EF4-FFF2-40B4-BE49-F238E27FC236}">
                <a16:creationId xmlns:a16="http://schemas.microsoft.com/office/drawing/2014/main" id="{E440D28E-FEBE-4BE9-A840-0974252A7009}"/>
              </a:ext>
            </a:extLst>
          </cdr:cNvPr>
          <cdr:cNvGrpSpPr/>
        </cdr:nvGrpSpPr>
        <cdr:grpSpPr>
          <a:xfrm xmlns:a="http://schemas.openxmlformats.org/drawingml/2006/main">
            <a:off x="3713950" y="137885"/>
            <a:ext cx="545337" cy="373936"/>
            <a:chOff x="3713950" y="137885"/>
            <a:chExt cx="545337" cy="373936"/>
          </a:xfrm>
        </cdr:grpSpPr>
        <cdr:grpSp>
          <cdr:nvGrpSpPr>
            <cdr:cNvPr id="15" name="Groupe 5">
              <a:extLst xmlns:a="http://schemas.openxmlformats.org/drawingml/2006/main">
                <a:ext uri="{FF2B5EF4-FFF2-40B4-BE49-F238E27FC236}">
                  <a16:creationId xmlns:a16="http://schemas.microsoft.com/office/drawing/2014/main" id="{6F15BCAE-A1DE-4ACA-B4F1-A0D3231710D2}"/>
                </a:ext>
              </a:extLst>
            </cdr:cNvPr>
            <cdr:cNvGrpSpPr/>
          </cdr:nvGrpSpPr>
          <cdr:grpSpPr>
            <a:xfrm xmlns:a="http://schemas.openxmlformats.org/drawingml/2006/main">
              <a:off x="3713950" y="137885"/>
              <a:ext cx="542448" cy="181776"/>
              <a:chOff x="2908405" y="475343"/>
              <a:chExt cx="591549" cy="391192"/>
            </a:xfrm>
          </cdr:grpSpPr>
          <cdr:sp macro="" textlink="">
            <cdr:nvSpPr>
              <cdr:cNvPr id="16"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17"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18" name="Groupe 7">
              <a:extLst xmlns:a="http://schemas.openxmlformats.org/drawingml/2006/main">
                <a:ext uri="{FF2B5EF4-FFF2-40B4-BE49-F238E27FC236}">
                  <a16:creationId xmlns:a16="http://schemas.microsoft.com/office/drawing/2014/main" id="{9DC986CD-D21B-40DB-9921-F6E9CC076233}"/>
                </a:ext>
              </a:extLst>
            </cdr:cNvPr>
            <cdr:cNvGrpSpPr/>
          </cdr:nvGrpSpPr>
          <cdr:grpSpPr>
            <a:xfrm xmlns:a="http://schemas.openxmlformats.org/drawingml/2006/main">
              <a:off x="3719287" y="333829"/>
              <a:ext cx="540000" cy="177992"/>
              <a:chOff x="0" y="0"/>
              <a:chExt cx="645095" cy="841867"/>
            </a:xfrm>
          </cdr:grpSpPr>
          <cdr:sp macro="" textlink="">
            <cdr:nvSpPr>
              <cdr:cNvPr id="1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2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21" name="Groupe 10">
            <a:extLst xmlns:a="http://schemas.openxmlformats.org/drawingml/2006/main">
              <a:ext uri="{FF2B5EF4-FFF2-40B4-BE49-F238E27FC236}">
                <a16:creationId xmlns:a16="http://schemas.microsoft.com/office/drawing/2014/main" id="{A86EADC9-0071-4C62-8E73-35C5667FDA0B}"/>
              </a:ext>
            </a:extLst>
          </cdr:cNvPr>
          <cdr:cNvGrpSpPr/>
        </cdr:nvGrpSpPr>
        <cdr:grpSpPr>
          <a:xfrm xmlns:a="http://schemas.openxmlformats.org/drawingml/2006/main">
            <a:off x="3605092" y="97972"/>
            <a:ext cx="756451" cy="442492"/>
            <a:chOff x="3637749" y="98165"/>
            <a:chExt cx="756451" cy="442492"/>
          </a:xfrm>
        </cdr:grpSpPr>
        <cdr:sp macro="" textlink="">
          <cdr:nvSpPr>
            <cdr:cNvPr id="22"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23"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18.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29BE2065-8314-4A1D-BA34-6D1790450573}"/>
            </a:ext>
          </a:extLst>
        </cdr:cNvPr>
        <cdr:cNvGrpSpPr/>
      </cdr:nvGrpSpPr>
      <cdr:grpSpPr>
        <a:xfrm xmlns:a="http://schemas.openxmlformats.org/drawingml/2006/main">
          <a:off x="3567869" y="21366"/>
          <a:ext cx="748650" cy="434462"/>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4F8D4F41-6CF4-4028-B6C8-7E1D1348170A}"/>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3CB73CF3-849B-4506-AA57-125B3773587A}"/>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F3E44B87-1326-45CB-87BC-3A634D867D08}"/>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CAAD5D21-2F7C-4CC0-A70E-E6CFEE9581EA}"/>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092020</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092021</a:t>
              </a:r>
            </a:p>
          </cdr:txBody>
        </cdr:sp>
      </cdr:grpSp>
    </cdr:grpSp>
  </cdr:relSizeAnchor>
  <cdr:relSizeAnchor xmlns:cdr="http://schemas.openxmlformats.org/drawingml/2006/chartDrawing">
    <cdr:from>
      <cdr:x>0.79035</cdr:x>
      <cdr:y>0.00795</cdr:y>
    </cdr:from>
    <cdr:to>
      <cdr:x>0.95619</cdr:x>
      <cdr:y>0.16961</cdr:y>
    </cdr:to>
    <cdr:grpSp>
      <cdr:nvGrpSpPr>
        <cdr:cNvPr id="2" name="Groupe 12">
          <a:extLst xmlns:a="http://schemas.openxmlformats.org/drawingml/2006/main">
            <a:ext uri="{FF2B5EF4-FFF2-40B4-BE49-F238E27FC236}">
              <a16:creationId xmlns:a16="http://schemas.microsoft.com/office/drawing/2014/main" id="{70D7B403-2ACA-4801-B094-A48CEBF4DFBA}"/>
            </a:ext>
          </a:extLst>
        </cdr:cNvPr>
        <cdr:cNvGrpSpPr/>
      </cdr:nvGrpSpPr>
      <cdr:grpSpPr>
        <a:xfrm xmlns:a="http://schemas.openxmlformats.org/drawingml/2006/main">
          <a:off x="3567869" y="21366"/>
          <a:ext cx="748650" cy="434462"/>
          <a:chOff x="3605092" y="97972"/>
          <a:chExt cx="756451" cy="442492"/>
        </a:xfrm>
      </cdr:grpSpPr>
      <cdr:grpSp>
        <cdr:nvGrpSpPr>
          <cdr:cNvPr id="14" name="Groupe 11">
            <a:extLst xmlns:a="http://schemas.openxmlformats.org/drawingml/2006/main">
              <a:ext uri="{FF2B5EF4-FFF2-40B4-BE49-F238E27FC236}">
                <a16:creationId xmlns:a16="http://schemas.microsoft.com/office/drawing/2014/main" id="{BF1F9A95-BC36-4560-AB80-7096CE652082}"/>
              </a:ext>
            </a:extLst>
          </cdr:cNvPr>
          <cdr:cNvGrpSpPr/>
        </cdr:nvGrpSpPr>
        <cdr:grpSpPr>
          <a:xfrm xmlns:a="http://schemas.openxmlformats.org/drawingml/2006/main">
            <a:off x="3713950" y="137885"/>
            <a:ext cx="545337" cy="373936"/>
            <a:chOff x="3713950" y="137885"/>
            <a:chExt cx="545337" cy="373936"/>
          </a:xfrm>
        </cdr:grpSpPr>
        <cdr:grpSp>
          <cdr:nvGrpSpPr>
            <cdr:cNvPr id="15" name="Groupe 5">
              <a:extLst xmlns:a="http://schemas.openxmlformats.org/drawingml/2006/main">
                <a:ext uri="{FF2B5EF4-FFF2-40B4-BE49-F238E27FC236}">
                  <a16:creationId xmlns:a16="http://schemas.microsoft.com/office/drawing/2014/main" id="{6B9FB740-10A3-4F2F-88A7-35AB0CF88D77}"/>
                </a:ext>
              </a:extLst>
            </cdr:cNvPr>
            <cdr:cNvGrpSpPr/>
          </cdr:nvGrpSpPr>
          <cdr:grpSpPr>
            <a:xfrm xmlns:a="http://schemas.openxmlformats.org/drawingml/2006/main">
              <a:off x="3713950" y="137885"/>
              <a:ext cx="542448" cy="181776"/>
              <a:chOff x="2908405" y="475343"/>
              <a:chExt cx="591549" cy="391192"/>
            </a:xfrm>
          </cdr:grpSpPr>
          <cdr:sp macro="" textlink="">
            <cdr:nvSpPr>
              <cdr:cNvPr id="16"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17"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18" name="Groupe 7">
              <a:extLst xmlns:a="http://schemas.openxmlformats.org/drawingml/2006/main">
                <a:ext uri="{FF2B5EF4-FFF2-40B4-BE49-F238E27FC236}">
                  <a16:creationId xmlns:a16="http://schemas.microsoft.com/office/drawing/2014/main" id="{14931D31-532A-4FFE-8571-F38794D44E39}"/>
                </a:ext>
              </a:extLst>
            </cdr:cNvPr>
            <cdr:cNvGrpSpPr/>
          </cdr:nvGrpSpPr>
          <cdr:grpSpPr>
            <a:xfrm xmlns:a="http://schemas.openxmlformats.org/drawingml/2006/main">
              <a:off x="3719287" y="333829"/>
              <a:ext cx="540000" cy="177992"/>
              <a:chOff x="0" y="0"/>
              <a:chExt cx="645095" cy="841867"/>
            </a:xfrm>
          </cdr:grpSpPr>
          <cdr:sp macro="" textlink="">
            <cdr:nvSpPr>
              <cdr:cNvPr id="1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2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21" name="Groupe 10">
            <a:extLst xmlns:a="http://schemas.openxmlformats.org/drawingml/2006/main">
              <a:ext uri="{FF2B5EF4-FFF2-40B4-BE49-F238E27FC236}">
                <a16:creationId xmlns:a16="http://schemas.microsoft.com/office/drawing/2014/main" id="{CDAA9B0D-32A5-4C0C-BE67-78C03F8D3A3C}"/>
              </a:ext>
            </a:extLst>
          </cdr:cNvPr>
          <cdr:cNvGrpSpPr/>
        </cdr:nvGrpSpPr>
        <cdr:grpSpPr>
          <a:xfrm xmlns:a="http://schemas.openxmlformats.org/drawingml/2006/main">
            <a:off x="3605092" y="97972"/>
            <a:ext cx="756451" cy="442492"/>
            <a:chOff x="3637749" y="98165"/>
            <a:chExt cx="756451" cy="442492"/>
          </a:xfrm>
        </cdr:grpSpPr>
        <cdr:sp macro="" textlink="">
          <cdr:nvSpPr>
            <cdr:cNvPr id="22"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092020</a:t>
              </a:r>
            </a:p>
          </cdr:txBody>
        </cdr:sp>
        <cdr:sp macro="" textlink="">
          <cdr:nvSpPr>
            <cdr:cNvPr id="23"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092021</a:t>
              </a:r>
            </a:p>
          </cdr:txBody>
        </cdr:sp>
      </cdr:grpSp>
    </cdr:grpSp>
  </cdr:relSizeAnchor>
  <cdr:relSizeAnchor xmlns:cdr="http://schemas.openxmlformats.org/drawingml/2006/chartDrawing">
    <cdr:from>
      <cdr:x>0.79035</cdr:x>
      <cdr:y>0.00795</cdr:y>
    </cdr:from>
    <cdr:to>
      <cdr:x>0.95619</cdr:x>
      <cdr:y>0.16961</cdr:y>
    </cdr:to>
    <cdr:grpSp>
      <cdr:nvGrpSpPr>
        <cdr:cNvPr id="24" name="Groupe 12">
          <a:extLst xmlns:a="http://schemas.openxmlformats.org/drawingml/2006/main">
            <a:ext uri="{FF2B5EF4-FFF2-40B4-BE49-F238E27FC236}">
              <a16:creationId xmlns:a16="http://schemas.microsoft.com/office/drawing/2014/main" id="{D01C0CC2-097E-4BF3-9E66-4DB9D8998F3E}"/>
            </a:ext>
          </a:extLst>
        </cdr:cNvPr>
        <cdr:cNvGrpSpPr/>
      </cdr:nvGrpSpPr>
      <cdr:grpSpPr>
        <a:xfrm xmlns:a="http://schemas.openxmlformats.org/drawingml/2006/main">
          <a:off x="3567869" y="21366"/>
          <a:ext cx="748650" cy="434462"/>
          <a:chOff x="3605092" y="97972"/>
          <a:chExt cx="756451" cy="442492"/>
        </a:xfrm>
      </cdr:grpSpPr>
      <cdr:grpSp>
        <cdr:nvGrpSpPr>
          <cdr:cNvPr id="25" name="Groupe 11">
            <a:extLst xmlns:a="http://schemas.openxmlformats.org/drawingml/2006/main">
              <a:ext uri="{FF2B5EF4-FFF2-40B4-BE49-F238E27FC236}">
                <a16:creationId xmlns:a16="http://schemas.microsoft.com/office/drawing/2014/main" id="{E80FA751-6E6E-4A33-9BFB-0F0DC3F4EF55}"/>
              </a:ext>
            </a:extLst>
          </cdr:cNvPr>
          <cdr:cNvGrpSpPr/>
        </cdr:nvGrpSpPr>
        <cdr:grpSpPr>
          <a:xfrm xmlns:a="http://schemas.openxmlformats.org/drawingml/2006/main">
            <a:off x="3713950" y="137885"/>
            <a:ext cx="545337" cy="373936"/>
            <a:chOff x="3713950" y="137885"/>
            <a:chExt cx="545337" cy="373936"/>
          </a:xfrm>
        </cdr:grpSpPr>
        <cdr:grpSp>
          <cdr:nvGrpSpPr>
            <cdr:cNvPr id="26" name="Groupe 5">
              <a:extLst xmlns:a="http://schemas.openxmlformats.org/drawingml/2006/main">
                <a:ext uri="{FF2B5EF4-FFF2-40B4-BE49-F238E27FC236}">
                  <a16:creationId xmlns:a16="http://schemas.microsoft.com/office/drawing/2014/main" id="{B6ADDF1B-56FF-49A6-9CE8-8BFCCC768A33}"/>
                </a:ext>
              </a:extLst>
            </cdr:cNvPr>
            <cdr:cNvGrpSpPr/>
          </cdr:nvGrpSpPr>
          <cdr:grpSpPr>
            <a:xfrm xmlns:a="http://schemas.openxmlformats.org/drawingml/2006/main">
              <a:off x="3713950" y="137885"/>
              <a:ext cx="542448" cy="181776"/>
              <a:chOff x="2908405" y="475343"/>
              <a:chExt cx="591549" cy="391192"/>
            </a:xfrm>
          </cdr:grpSpPr>
          <cdr:sp macro="" textlink="">
            <cdr:nvSpPr>
              <cdr:cNvPr id="27"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28"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29" name="Groupe 7">
              <a:extLst xmlns:a="http://schemas.openxmlformats.org/drawingml/2006/main">
                <a:ext uri="{FF2B5EF4-FFF2-40B4-BE49-F238E27FC236}">
                  <a16:creationId xmlns:a16="http://schemas.microsoft.com/office/drawing/2014/main" id="{4DDFBEFB-1D81-47BC-B0FB-33147B04AF43}"/>
                </a:ext>
              </a:extLst>
            </cdr:cNvPr>
            <cdr:cNvGrpSpPr/>
          </cdr:nvGrpSpPr>
          <cdr:grpSpPr>
            <a:xfrm xmlns:a="http://schemas.openxmlformats.org/drawingml/2006/main">
              <a:off x="3719287" y="333829"/>
              <a:ext cx="540000" cy="177992"/>
              <a:chOff x="0" y="0"/>
              <a:chExt cx="645095" cy="841867"/>
            </a:xfrm>
          </cdr:grpSpPr>
          <cdr:sp macro="" textlink="">
            <cdr:nvSpPr>
              <cdr:cNvPr id="30"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31"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32" name="Groupe 10">
            <a:extLst xmlns:a="http://schemas.openxmlformats.org/drawingml/2006/main">
              <a:ext uri="{FF2B5EF4-FFF2-40B4-BE49-F238E27FC236}">
                <a16:creationId xmlns:a16="http://schemas.microsoft.com/office/drawing/2014/main" id="{65AA6559-C98D-495A-9030-393717E263A0}"/>
              </a:ext>
            </a:extLst>
          </cdr:cNvPr>
          <cdr:cNvGrpSpPr/>
        </cdr:nvGrpSpPr>
        <cdr:grpSpPr>
          <a:xfrm xmlns:a="http://schemas.openxmlformats.org/drawingml/2006/main">
            <a:off x="3605092" y="97972"/>
            <a:ext cx="756451" cy="442492"/>
            <a:chOff x="3637749" y="98165"/>
            <a:chExt cx="756451" cy="442492"/>
          </a:xfrm>
        </cdr:grpSpPr>
        <cdr:sp macro="" textlink="">
          <cdr:nvSpPr>
            <cdr:cNvPr id="3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092020</a:t>
              </a:r>
            </a:p>
          </cdr:txBody>
        </cdr:sp>
        <cdr:sp macro="" textlink="">
          <cdr:nvSpPr>
            <cdr:cNvPr id="34"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092021</a:t>
              </a:r>
            </a:p>
          </cdr:txBody>
        </cdr:sp>
      </cdr:grpSp>
    </cdr:grpSp>
  </cdr:relSizeAnchor>
  <cdr:relSizeAnchor xmlns:cdr="http://schemas.openxmlformats.org/drawingml/2006/chartDrawing">
    <cdr:from>
      <cdr:x>0.79035</cdr:x>
      <cdr:y>0.00795</cdr:y>
    </cdr:from>
    <cdr:to>
      <cdr:x>0.95619</cdr:x>
      <cdr:y>0.16961</cdr:y>
    </cdr:to>
    <cdr:grpSp>
      <cdr:nvGrpSpPr>
        <cdr:cNvPr id="35" name="Groupe 12">
          <a:extLst xmlns:a="http://schemas.openxmlformats.org/drawingml/2006/main">
            <a:ext uri="{FF2B5EF4-FFF2-40B4-BE49-F238E27FC236}">
              <a16:creationId xmlns:a16="http://schemas.microsoft.com/office/drawing/2014/main" id="{1EE61BEC-D65B-47DE-9B4D-758457F1E23B}"/>
            </a:ext>
          </a:extLst>
        </cdr:cNvPr>
        <cdr:cNvGrpSpPr/>
      </cdr:nvGrpSpPr>
      <cdr:grpSpPr>
        <a:xfrm xmlns:a="http://schemas.openxmlformats.org/drawingml/2006/main">
          <a:off x="3567869" y="21366"/>
          <a:ext cx="748650" cy="434462"/>
          <a:chOff x="3605092" y="97972"/>
          <a:chExt cx="756451" cy="442492"/>
        </a:xfrm>
      </cdr:grpSpPr>
      <cdr:grpSp>
        <cdr:nvGrpSpPr>
          <cdr:cNvPr id="36" name="Groupe 11">
            <a:extLst xmlns:a="http://schemas.openxmlformats.org/drawingml/2006/main">
              <a:ext uri="{FF2B5EF4-FFF2-40B4-BE49-F238E27FC236}">
                <a16:creationId xmlns:a16="http://schemas.microsoft.com/office/drawing/2014/main" id="{EB1566D5-502F-4E94-B5D1-2CCF6CA4B844}"/>
              </a:ext>
            </a:extLst>
          </cdr:cNvPr>
          <cdr:cNvGrpSpPr/>
        </cdr:nvGrpSpPr>
        <cdr:grpSpPr>
          <a:xfrm xmlns:a="http://schemas.openxmlformats.org/drawingml/2006/main">
            <a:off x="3713950" y="137885"/>
            <a:ext cx="545337" cy="373936"/>
            <a:chOff x="3713950" y="137885"/>
            <a:chExt cx="545337" cy="373936"/>
          </a:xfrm>
        </cdr:grpSpPr>
        <cdr:grpSp>
          <cdr:nvGrpSpPr>
            <cdr:cNvPr id="37" name="Groupe 5">
              <a:extLst xmlns:a="http://schemas.openxmlformats.org/drawingml/2006/main">
                <a:ext uri="{FF2B5EF4-FFF2-40B4-BE49-F238E27FC236}">
                  <a16:creationId xmlns:a16="http://schemas.microsoft.com/office/drawing/2014/main" id="{289E5E64-33CD-40EA-BB1D-EE37C874BD8D}"/>
                </a:ext>
              </a:extLst>
            </cdr:cNvPr>
            <cdr:cNvGrpSpPr/>
          </cdr:nvGrpSpPr>
          <cdr:grpSpPr>
            <a:xfrm xmlns:a="http://schemas.openxmlformats.org/drawingml/2006/main">
              <a:off x="3713950" y="137885"/>
              <a:ext cx="542448" cy="181776"/>
              <a:chOff x="2908405" y="475343"/>
              <a:chExt cx="591549" cy="391192"/>
            </a:xfrm>
          </cdr:grpSpPr>
          <cdr:sp macro="" textlink="">
            <cdr:nvSpPr>
              <cdr:cNvPr id="38"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39"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40" name="Groupe 7">
              <a:extLst xmlns:a="http://schemas.openxmlformats.org/drawingml/2006/main">
                <a:ext uri="{FF2B5EF4-FFF2-40B4-BE49-F238E27FC236}">
                  <a16:creationId xmlns:a16="http://schemas.microsoft.com/office/drawing/2014/main" id="{8E058A14-D7A8-4F9E-8395-A928B99D6882}"/>
                </a:ext>
              </a:extLst>
            </cdr:cNvPr>
            <cdr:cNvGrpSpPr/>
          </cdr:nvGrpSpPr>
          <cdr:grpSpPr>
            <a:xfrm xmlns:a="http://schemas.openxmlformats.org/drawingml/2006/main">
              <a:off x="3719287" y="333829"/>
              <a:ext cx="540000" cy="177992"/>
              <a:chOff x="0" y="0"/>
              <a:chExt cx="645095" cy="841867"/>
            </a:xfrm>
          </cdr:grpSpPr>
          <cdr:sp macro="" textlink="">
            <cdr:nvSpPr>
              <cdr:cNvPr id="41"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42"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43" name="Groupe 10">
            <a:extLst xmlns:a="http://schemas.openxmlformats.org/drawingml/2006/main">
              <a:ext uri="{FF2B5EF4-FFF2-40B4-BE49-F238E27FC236}">
                <a16:creationId xmlns:a16="http://schemas.microsoft.com/office/drawing/2014/main" id="{0B81FD4D-B6A3-4EED-AEDA-9F9BC2ADA751}"/>
              </a:ext>
            </a:extLst>
          </cdr:cNvPr>
          <cdr:cNvGrpSpPr/>
        </cdr:nvGrpSpPr>
        <cdr:grpSpPr>
          <a:xfrm xmlns:a="http://schemas.openxmlformats.org/drawingml/2006/main">
            <a:off x="3605092" y="97972"/>
            <a:ext cx="756451" cy="442492"/>
            <a:chOff x="3637749" y="98165"/>
            <a:chExt cx="756451" cy="442492"/>
          </a:xfrm>
        </cdr:grpSpPr>
        <cdr:sp macro="" textlink="">
          <cdr:nvSpPr>
            <cdr:cNvPr id="44"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45"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19.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9455FDE6-23F6-4CBA-927B-46EFBD0ADE7A}"/>
            </a:ext>
          </a:extLst>
        </cdr:cNvPr>
        <cdr:cNvGrpSpPr/>
      </cdr:nvGrpSpPr>
      <cdr:grpSpPr>
        <a:xfrm xmlns:a="http://schemas.openxmlformats.org/drawingml/2006/main">
          <a:off x="3568655" y="21614"/>
          <a:ext cx="748814" cy="439510"/>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AD9068B2-BEEB-4176-A53C-F284376D62E6}"/>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D98CDE8F-23B9-4AF0-9791-BDDBC955955F}"/>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3FE670F3-D746-49D2-86F9-AF82AF9C2E0A}"/>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1F7DF7F3-6BA2-4EE3-8437-15BBAC6EB9E1}"/>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20.xml><?xml version="1.0" encoding="utf-8"?>
<c:userShapes xmlns:c="http://schemas.openxmlformats.org/drawingml/2006/chart">
  <cdr:relSizeAnchor xmlns:cdr="http://schemas.openxmlformats.org/drawingml/2006/chartDrawing">
    <cdr:from>
      <cdr:x>0.7945</cdr:x>
      <cdr:y>0.01745</cdr:y>
    </cdr:from>
    <cdr:to>
      <cdr:x>0.96202</cdr:x>
      <cdr:y>0.21128</cdr:y>
    </cdr:to>
    <cdr:grpSp>
      <cdr:nvGrpSpPr>
        <cdr:cNvPr id="16" name="Groupe 15">
          <a:extLst xmlns:a="http://schemas.openxmlformats.org/drawingml/2006/main">
            <a:ext uri="{FF2B5EF4-FFF2-40B4-BE49-F238E27FC236}">
              <a16:creationId xmlns:a16="http://schemas.microsoft.com/office/drawing/2014/main" id="{AA93E4BA-3C12-45E5-A4CD-C0AE700DC690}"/>
            </a:ext>
          </a:extLst>
        </cdr:cNvPr>
        <cdr:cNvGrpSpPr/>
      </cdr:nvGrpSpPr>
      <cdr:grpSpPr>
        <a:xfrm xmlns:a="http://schemas.openxmlformats.org/drawingml/2006/main">
          <a:off x="3696912" y="47442"/>
          <a:ext cx="779492" cy="526971"/>
          <a:chOff x="3626840" y="47779"/>
          <a:chExt cx="764757" cy="530555"/>
        </a:xfrm>
      </cdr:grpSpPr>
      <cdr:grpSp>
        <cdr:nvGrpSpPr>
          <cdr:cNvPr id="7" name="Groupe 6">
            <a:extLst xmlns:a="http://schemas.openxmlformats.org/drawingml/2006/main">
              <a:ext uri="{FF2B5EF4-FFF2-40B4-BE49-F238E27FC236}">
                <a16:creationId xmlns:a16="http://schemas.microsoft.com/office/drawing/2014/main" id="{087752D3-B3EB-4B5B-AEA9-A11DF02B5DF7}"/>
              </a:ext>
            </a:extLst>
          </cdr:cNvPr>
          <cdr:cNvGrpSpPr/>
        </cdr:nvGrpSpPr>
        <cdr:grpSpPr>
          <a:xfrm xmlns:a="http://schemas.openxmlformats.org/drawingml/2006/main">
            <a:off x="3737384" y="76199"/>
            <a:ext cx="537557" cy="196581"/>
            <a:chOff x="108858" y="39913"/>
            <a:chExt cx="645095" cy="841867"/>
          </a:xfrm>
        </cdr:grpSpPr>
        <cdr:sp macro="" textlink="">
          <cdr:nvSpPr>
            <cdr:cNvPr id="11" name="Rectangle 10"/>
            <cdr:cNvSpPr/>
          </cdr:nvSpPr>
          <cdr:spPr>
            <a:xfrm xmlns:a="http://schemas.openxmlformats.org/drawingml/2006/main">
              <a:off x="108858" y="48138"/>
              <a:ext cx="342498" cy="833642"/>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2" name="Rectangle 11"/>
            <cdr:cNvSpPr/>
          </cdr:nvSpPr>
          <cdr:spPr>
            <a:xfrm xmlns:a="http://schemas.openxmlformats.org/drawingml/2006/main">
              <a:off x="411455" y="39913"/>
              <a:ext cx="342498" cy="833642"/>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5" name="Rectangle 4"/>
          <cdr:cNvSpPr/>
        </cdr:nvSpPr>
        <cdr:spPr>
          <a:xfrm xmlns:a="http://schemas.openxmlformats.org/drawingml/2006/main">
            <a:off x="3626840" y="47779"/>
            <a:ext cx="748514" cy="25068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ysClr val="windowText" lastClr="000000"/>
                </a:solidFill>
              </a:rPr>
              <a:t>122022</a:t>
            </a:r>
          </a:p>
        </cdr:txBody>
      </cdr:sp>
      <cdr:grpSp>
        <cdr:nvGrpSpPr>
          <cdr:cNvPr id="15" name="Groupe 14">
            <a:extLst xmlns:a="http://schemas.openxmlformats.org/drawingml/2006/main">
              <a:ext uri="{FF2B5EF4-FFF2-40B4-BE49-F238E27FC236}">
                <a16:creationId xmlns:a16="http://schemas.microsoft.com/office/drawing/2014/main" id="{4FF43BF1-06E1-4A43-9188-30851900DC1D}"/>
              </a:ext>
            </a:extLst>
          </cdr:cNvPr>
          <cdr:cNvGrpSpPr/>
        </cdr:nvGrpSpPr>
        <cdr:grpSpPr>
          <a:xfrm xmlns:a="http://schemas.openxmlformats.org/drawingml/2006/main">
            <a:off x="3643083" y="279404"/>
            <a:ext cx="748514" cy="298930"/>
            <a:chOff x="3643083" y="203204"/>
            <a:chExt cx="748514" cy="298930"/>
          </a:xfrm>
        </cdr:grpSpPr>
        <cdr:grpSp>
          <cdr:nvGrpSpPr>
            <cdr:cNvPr id="8" name="Groupe 7">
              <a:extLst xmlns:a="http://schemas.openxmlformats.org/drawingml/2006/main">
                <a:ext uri="{FF2B5EF4-FFF2-40B4-BE49-F238E27FC236}">
                  <a16:creationId xmlns:a16="http://schemas.microsoft.com/office/drawing/2014/main" id="{DE8260FF-D2C9-467C-8E3F-A988B5059673}"/>
                </a:ext>
              </a:extLst>
            </cdr:cNvPr>
            <cdr:cNvGrpSpPr/>
          </cdr:nvGrpSpPr>
          <cdr:grpSpPr>
            <a:xfrm xmlns:a="http://schemas.openxmlformats.org/drawingml/2006/main">
              <a:off x="3720461" y="238698"/>
              <a:ext cx="566793" cy="189092"/>
              <a:chOff x="114195" y="274760"/>
              <a:chExt cx="817763" cy="4101633"/>
            </a:xfrm>
          </cdr:grpSpPr>
          <cdr:sp macro="" textlink="">
            <cdr:nvSpPr>
              <cdr:cNvPr id="9" name="Rectangle 8"/>
              <cdr:cNvSpPr/>
            </cdr:nvSpPr>
            <cdr:spPr>
              <a:xfrm xmlns:a="http://schemas.openxmlformats.org/drawingml/2006/main">
                <a:off x="114195" y="274760"/>
                <a:ext cx="409156" cy="3904417"/>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522802" y="471976"/>
                <a:ext cx="409156" cy="3904417"/>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6" name="Rectangle 5"/>
            <cdr:cNvSpPr/>
          </cdr:nvSpPr>
          <cdr:spPr>
            <a:xfrm xmlns:a="http://schemas.openxmlformats.org/drawingml/2006/main">
              <a:off x="3643083" y="203204"/>
              <a:ext cx="748514" cy="29893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100">
                  <a:solidFill>
                    <a:schemeClr val="lt1"/>
                  </a:solidFill>
                  <a:effectLst/>
                  <a:latin typeface="+mn-lt"/>
                  <a:ea typeface="+mn-ea"/>
                  <a:cs typeface="+mn-cs"/>
                </a:rPr>
                <a:t>122023</a:t>
              </a:r>
              <a:endParaRPr lang="fr-FR">
                <a:effectLst/>
              </a:endParaRPr>
            </a:p>
          </cdr:txBody>
        </cdr:sp>
      </cdr:grpSp>
    </cdr:grpSp>
  </cdr:relSizeAnchor>
</c:userShapes>
</file>

<file path=xl/drawings/drawing21.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91FF0995-740F-4A63-A760-8478C26A32F4}"/>
            </a:ext>
          </a:extLst>
        </cdr:cNvPr>
        <cdr:cNvGrpSpPr/>
      </cdr:nvGrpSpPr>
      <cdr:grpSpPr>
        <a:xfrm xmlns:a="http://schemas.openxmlformats.org/drawingml/2006/main">
          <a:off x="3568655" y="21532"/>
          <a:ext cx="748814" cy="437850"/>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9097B3CF-58B4-4481-B1EE-CD75ACDFD57A}"/>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1C9D2248-E988-4A62-BB98-2AD575ADDD10}"/>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15F3958C-FCA8-4B53-A952-A46426E4AE88}"/>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5DE5403B-C0FC-4B4A-A1EE-134306DFD167}"/>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100">
                  <a:solidFill>
                    <a:schemeClr val="lt1"/>
                  </a:solidFill>
                  <a:effectLst/>
                  <a:latin typeface="+mn-lt"/>
                  <a:ea typeface="+mn-ea"/>
                  <a:cs typeface="+mn-cs"/>
                </a:rPr>
                <a:t>122023</a:t>
              </a:r>
              <a:endParaRPr lang="fr-FR">
                <a:effectLst/>
              </a:endParaRPr>
            </a:p>
          </cdr:txBody>
        </cdr:sp>
      </cdr:grpSp>
    </cdr:grpSp>
  </cdr:relSizeAnchor>
</c:userShapes>
</file>

<file path=xl/drawings/drawing22.xml><?xml version="1.0" encoding="utf-8"?>
<c:userShapes xmlns:c="http://schemas.openxmlformats.org/drawingml/2006/chart">
  <cdr:relSizeAnchor xmlns:cdr="http://schemas.openxmlformats.org/drawingml/2006/chartDrawing">
    <cdr:from>
      <cdr:x>0.7945</cdr:x>
      <cdr:y>0.01745</cdr:y>
    </cdr:from>
    <cdr:to>
      <cdr:x>0.96202</cdr:x>
      <cdr:y>0.21128</cdr:y>
    </cdr:to>
    <cdr:grpSp>
      <cdr:nvGrpSpPr>
        <cdr:cNvPr id="16" name="Groupe 15">
          <a:extLst xmlns:a="http://schemas.openxmlformats.org/drawingml/2006/main">
            <a:ext uri="{FF2B5EF4-FFF2-40B4-BE49-F238E27FC236}">
              <a16:creationId xmlns:a16="http://schemas.microsoft.com/office/drawing/2014/main" id="{62646992-8AB3-4AD4-AE35-2C009F8824EC}"/>
            </a:ext>
          </a:extLst>
        </cdr:cNvPr>
        <cdr:cNvGrpSpPr/>
      </cdr:nvGrpSpPr>
      <cdr:grpSpPr>
        <a:xfrm xmlns:a="http://schemas.openxmlformats.org/drawingml/2006/main">
          <a:off x="3696912" y="47263"/>
          <a:ext cx="779492" cy="524981"/>
          <a:chOff x="3626840" y="47779"/>
          <a:chExt cx="764757" cy="530555"/>
        </a:xfrm>
      </cdr:grpSpPr>
      <cdr:grpSp>
        <cdr:nvGrpSpPr>
          <cdr:cNvPr id="7" name="Groupe 6">
            <a:extLst xmlns:a="http://schemas.openxmlformats.org/drawingml/2006/main">
              <a:ext uri="{FF2B5EF4-FFF2-40B4-BE49-F238E27FC236}">
                <a16:creationId xmlns:a16="http://schemas.microsoft.com/office/drawing/2014/main" id="{A663538D-CAD7-4C62-86E2-255DE7042E3B}"/>
              </a:ext>
            </a:extLst>
          </cdr:cNvPr>
          <cdr:cNvGrpSpPr/>
        </cdr:nvGrpSpPr>
        <cdr:grpSpPr>
          <a:xfrm xmlns:a="http://schemas.openxmlformats.org/drawingml/2006/main">
            <a:off x="3737384" y="76199"/>
            <a:ext cx="537557" cy="196581"/>
            <a:chOff x="108858" y="39913"/>
            <a:chExt cx="645095" cy="841867"/>
          </a:xfrm>
        </cdr:grpSpPr>
        <cdr:sp macro="" textlink="">
          <cdr:nvSpPr>
            <cdr:cNvPr id="11" name="Rectangle 10"/>
            <cdr:cNvSpPr/>
          </cdr:nvSpPr>
          <cdr:spPr>
            <a:xfrm xmlns:a="http://schemas.openxmlformats.org/drawingml/2006/main">
              <a:off x="108858" y="48138"/>
              <a:ext cx="342498" cy="833642"/>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2" name="Rectangle 11"/>
            <cdr:cNvSpPr/>
          </cdr:nvSpPr>
          <cdr:spPr>
            <a:xfrm xmlns:a="http://schemas.openxmlformats.org/drawingml/2006/main">
              <a:off x="411455" y="39913"/>
              <a:ext cx="342498" cy="833642"/>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5" name="Rectangle 4"/>
          <cdr:cNvSpPr/>
        </cdr:nvSpPr>
        <cdr:spPr>
          <a:xfrm xmlns:a="http://schemas.openxmlformats.org/drawingml/2006/main">
            <a:off x="3626840" y="47779"/>
            <a:ext cx="748514" cy="25068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ysClr val="windowText" lastClr="000000"/>
                </a:solidFill>
              </a:rPr>
              <a:t>122022</a:t>
            </a:r>
          </a:p>
        </cdr:txBody>
      </cdr:sp>
      <cdr:grpSp>
        <cdr:nvGrpSpPr>
          <cdr:cNvPr id="15" name="Groupe 14">
            <a:extLst xmlns:a="http://schemas.openxmlformats.org/drawingml/2006/main">
              <a:ext uri="{FF2B5EF4-FFF2-40B4-BE49-F238E27FC236}">
                <a16:creationId xmlns:a16="http://schemas.microsoft.com/office/drawing/2014/main" id="{EF2C0DDE-DFD2-4B90-9626-F3D1B59AE643}"/>
              </a:ext>
            </a:extLst>
          </cdr:cNvPr>
          <cdr:cNvGrpSpPr/>
        </cdr:nvGrpSpPr>
        <cdr:grpSpPr>
          <a:xfrm xmlns:a="http://schemas.openxmlformats.org/drawingml/2006/main">
            <a:off x="3643083" y="279404"/>
            <a:ext cx="748514" cy="298930"/>
            <a:chOff x="3643083" y="203204"/>
            <a:chExt cx="748514" cy="298930"/>
          </a:xfrm>
        </cdr:grpSpPr>
        <cdr:grpSp>
          <cdr:nvGrpSpPr>
            <cdr:cNvPr id="8" name="Groupe 7">
              <a:extLst xmlns:a="http://schemas.openxmlformats.org/drawingml/2006/main">
                <a:ext uri="{FF2B5EF4-FFF2-40B4-BE49-F238E27FC236}">
                  <a16:creationId xmlns:a16="http://schemas.microsoft.com/office/drawing/2014/main" id="{8551475E-8173-4A58-8709-020671A09D84}"/>
                </a:ext>
              </a:extLst>
            </cdr:cNvPr>
            <cdr:cNvGrpSpPr/>
          </cdr:nvGrpSpPr>
          <cdr:grpSpPr>
            <a:xfrm xmlns:a="http://schemas.openxmlformats.org/drawingml/2006/main">
              <a:off x="3720461" y="238698"/>
              <a:ext cx="566793" cy="189092"/>
              <a:chOff x="114195" y="274760"/>
              <a:chExt cx="817763" cy="4101633"/>
            </a:xfrm>
          </cdr:grpSpPr>
          <cdr:sp macro="" textlink="">
            <cdr:nvSpPr>
              <cdr:cNvPr id="9" name="Rectangle 8"/>
              <cdr:cNvSpPr/>
            </cdr:nvSpPr>
            <cdr:spPr>
              <a:xfrm xmlns:a="http://schemas.openxmlformats.org/drawingml/2006/main">
                <a:off x="114195" y="274760"/>
                <a:ext cx="409156" cy="3904417"/>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522802" y="471976"/>
                <a:ext cx="409156" cy="3904417"/>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6" name="Rectangle 5"/>
            <cdr:cNvSpPr/>
          </cdr:nvSpPr>
          <cdr:spPr>
            <a:xfrm xmlns:a="http://schemas.openxmlformats.org/drawingml/2006/main">
              <a:off x="3643083" y="203204"/>
              <a:ext cx="748514" cy="29893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100">
                  <a:solidFill>
                    <a:schemeClr val="lt1"/>
                  </a:solidFill>
                  <a:effectLst/>
                  <a:latin typeface="+mn-lt"/>
                  <a:ea typeface="+mn-ea"/>
                  <a:cs typeface="+mn-cs"/>
                </a:rPr>
                <a:t>122023</a:t>
              </a:r>
              <a:endParaRPr lang="fr-FR">
                <a:effectLst/>
              </a:endParaRPr>
            </a:p>
          </cdr:txBody>
        </cdr:sp>
      </cdr:grpSp>
    </cdr:grpSp>
  </cdr:relSizeAnchor>
</c:userShapes>
</file>

<file path=xl/drawings/drawing23.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5F420669-50C7-42C2-925F-FA6BFCE5DB13}"/>
            </a:ext>
          </a:extLst>
        </cdr:cNvPr>
        <cdr:cNvGrpSpPr/>
      </cdr:nvGrpSpPr>
      <cdr:grpSpPr>
        <a:xfrm xmlns:a="http://schemas.openxmlformats.org/drawingml/2006/main">
          <a:off x="3567869" y="21462"/>
          <a:ext cx="748650" cy="436417"/>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E76A8ED0-6045-4E3E-B3FC-00E9367210E1}"/>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C60E092C-A8FD-4A38-A330-0BB220A78244}"/>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89BEE43F-E267-4E71-BCA7-B8BC2F4EDB9A}"/>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F6DA9C87-7A64-47CB-8E5F-17B091D51EDD}"/>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24.xml><?xml version="1.0" encoding="utf-8"?>
<c:userShapes xmlns:c="http://schemas.openxmlformats.org/drawingml/2006/chart">
  <cdr:relSizeAnchor xmlns:cdr="http://schemas.openxmlformats.org/drawingml/2006/chartDrawing">
    <cdr:from>
      <cdr:x>0.83416</cdr:x>
      <cdr:y>0.01929</cdr:y>
    </cdr:from>
    <cdr:to>
      <cdr:x>1</cdr:x>
      <cdr:y>0.18095</cdr:y>
    </cdr:to>
    <cdr:grpSp>
      <cdr:nvGrpSpPr>
        <cdr:cNvPr id="13" name="Groupe 12">
          <a:extLst xmlns:a="http://schemas.openxmlformats.org/drawingml/2006/main">
            <a:ext uri="{FF2B5EF4-FFF2-40B4-BE49-F238E27FC236}">
              <a16:creationId xmlns:a16="http://schemas.microsoft.com/office/drawing/2014/main" id="{6D7B45D0-A508-45A9-8127-7E3B8EA29BB1}"/>
            </a:ext>
          </a:extLst>
        </cdr:cNvPr>
        <cdr:cNvGrpSpPr/>
      </cdr:nvGrpSpPr>
      <cdr:grpSpPr>
        <a:xfrm xmlns:a="http://schemas.openxmlformats.org/drawingml/2006/main">
          <a:off x="3765640" y="52050"/>
          <a:ext cx="748650" cy="436208"/>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D1760478-376A-4F2B-8B22-574826F5AB49}"/>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DAD2629B-3D8E-4E42-A7F1-656B90F0997E}"/>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11C6B3B1-CDE8-41D9-B172-2B446311D583}"/>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8A09812B-6401-4AFE-9FDA-E86E0EA33653}"/>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25.xml><?xml version="1.0" encoding="utf-8"?>
<c:userShapes xmlns:c="http://schemas.openxmlformats.org/drawingml/2006/chart">
  <cdr:relSizeAnchor xmlns:cdr="http://schemas.openxmlformats.org/drawingml/2006/chartDrawing">
    <cdr:from>
      <cdr:x>0.83416</cdr:x>
      <cdr:y>0.00795</cdr:y>
    </cdr:from>
    <cdr:to>
      <cdr:x>1</cdr:x>
      <cdr:y>0.16961</cdr:y>
    </cdr:to>
    <cdr:grpSp>
      <cdr:nvGrpSpPr>
        <cdr:cNvPr id="35" name="Groupe 12">
          <a:extLst xmlns:a="http://schemas.openxmlformats.org/drawingml/2006/main">
            <a:ext uri="{FF2B5EF4-FFF2-40B4-BE49-F238E27FC236}">
              <a16:creationId xmlns:a16="http://schemas.microsoft.com/office/drawing/2014/main" id="{E50550B3-FF8D-4009-8F36-9DED74661A4E}"/>
            </a:ext>
          </a:extLst>
        </cdr:cNvPr>
        <cdr:cNvGrpSpPr/>
      </cdr:nvGrpSpPr>
      <cdr:grpSpPr>
        <a:xfrm xmlns:a="http://schemas.openxmlformats.org/drawingml/2006/main">
          <a:off x="3814901" y="21325"/>
          <a:ext cx="758444" cy="433638"/>
          <a:chOff x="3605092" y="97972"/>
          <a:chExt cx="756451" cy="442492"/>
        </a:xfrm>
      </cdr:grpSpPr>
      <cdr:grpSp>
        <cdr:nvGrpSpPr>
          <cdr:cNvPr id="36" name="Groupe 11">
            <a:extLst xmlns:a="http://schemas.openxmlformats.org/drawingml/2006/main">
              <a:ext uri="{FF2B5EF4-FFF2-40B4-BE49-F238E27FC236}">
                <a16:creationId xmlns:a16="http://schemas.microsoft.com/office/drawing/2014/main" id="{C5085E1A-CF72-46D3-A31F-F7A2A6429F46}"/>
              </a:ext>
            </a:extLst>
          </cdr:cNvPr>
          <cdr:cNvGrpSpPr/>
        </cdr:nvGrpSpPr>
        <cdr:grpSpPr>
          <a:xfrm xmlns:a="http://schemas.openxmlformats.org/drawingml/2006/main">
            <a:off x="3713950" y="137885"/>
            <a:ext cx="545337" cy="373937"/>
            <a:chOff x="3713950" y="137885"/>
            <a:chExt cx="545337" cy="373936"/>
          </a:xfrm>
        </cdr:grpSpPr>
        <cdr:grpSp>
          <cdr:nvGrpSpPr>
            <cdr:cNvPr id="37" name="Groupe 5">
              <a:extLst xmlns:a="http://schemas.openxmlformats.org/drawingml/2006/main">
                <a:ext uri="{FF2B5EF4-FFF2-40B4-BE49-F238E27FC236}">
                  <a16:creationId xmlns:a16="http://schemas.microsoft.com/office/drawing/2014/main" id="{90433562-983D-4A83-AAE4-8539250604C2}"/>
                </a:ext>
              </a:extLst>
            </cdr:cNvPr>
            <cdr:cNvGrpSpPr/>
          </cdr:nvGrpSpPr>
          <cdr:grpSpPr>
            <a:xfrm xmlns:a="http://schemas.openxmlformats.org/drawingml/2006/main">
              <a:off x="3713950" y="137885"/>
              <a:ext cx="542448" cy="181776"/>
              <a:chOff x="2908405" y="475343"/>
              <a:chExt cx="591549" cy="391192"/>
            </a:xfrm>
          </cdr:grpSpPr>
          <cdr:sp macro="" textlink="">
            <cdr:nvSpPr>
              <cdr:cNvPr id="38"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39"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40" name="Groupe 7">
              <a:extLst xmlns:a="http://schemas.openxmlformats.org/drawingml/2006/main">
                <a:ext uri="{FF2B5EF4-FFF2-40B4-BE49-F238E27FC236}">
                  <a16:creationId xmlns:a16="http://schemas.microsoft.com/office/drawing/2014/main" id="{9A7C3D18-B339-43DB-B1AA-CC54A13DD90C}"/>
                </a:ext>
              </a:extLst>
            </cdr:cNvPr>
            <cdr:cNvGrpSpPr/>
          </cdr:nvGrpSpPr>
          <cdr:grpSpPr>
            <a:xfrm xmlns:a="http://schemas.openxmlformats.org/drawingml/2006/main">
              <a:off x="3719287" y="333828"/>
              <a:ext cx="540000" cy="177993"/>
              <a:chOff x="0" y="0"/>
              <a:chExt cx="645095" cy="841867"/>
            </a:xfrm>
          </cdr:grpSpPr>
          <cdr:sp macro="" textlink="">
            <cdr:nvSpPr>
              <cdr:cNvPr id="41"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42"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43" name="Groupe 10">
            <a:extLst xmlns:a="http://schemas.openxmlformats.org/drawingml/2006/main">
              <a:ext uri="{FF2B5EF4-FFF2-40B4-BE49-F238E27FC236}">
                <a16:creationId xmlns:a16="http://schemas.microsoft.com/office/drawing/2014/main" id="{6243834C-D7B3-4E40-B518-B84A98ABE2BC}"/>
              </a:ext>
            </a:extLst>
          </cdr:cNvPr>
          <cdr:cNvGrpSpPr/>
        </cdr:nvGrpSpPr>
        <cdr:grpSpPr>
          <a:xfrm xmlns:a="http://schemas.openxmlformats.org/drawingml/2006/main">
            <a:off x="3605092" y="97972"/>
            <a:ext cx="756451" cy="442492"/>
            <a:chOff x="3637749" y="98165"/>
            <a:chExt cx="756451" cy="442492"/>
          </a:xfrm>
        </cdr:grpSpPr>
        <cdr:sp macro="" textlink="">
          <cdr:nvSpPr>
            <cdr:cNvPr id="44"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45"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26.xml><?xml version="1.0" encoding="utf-8"?>
<c:userShapes xmlns:c="http://schemas.openxmlformats.org/drawingml/2006/chart">
  <cdr:relSizeAnchor xmlns:cdr="http://schemas.openxmlformats.org/drawingml/2006/chartDrawing">
    <cdr:from>
      <cdr:x>0.83416</cdr:x>
      <cdr:y>0.01595</cdr:y>
    </cdr:from>
    <cdr:to>
      <cdr:x>1</cdr:x>
      <cdr:y>0.17761</cdr:y>
    </cdr:to>
    <cdr:grpSp>
      <cdr:nvGrpSpPr>
        <cdr:cNvPr id="13" name="Groupe 12">
          <a:extLst xmlns:a="http://schemas.openxmlformats.org/drawingml/2006/main">
            <a:ext uri="{FF2B5EF4-FFF2-40B4-BE49-F238E27FC236}">
              <a16:creationId xmlns:a16="http://schemas.microsoft.com/office/drawing/2014/main" id="{63E1265E-5942-42D6-A9CB-72C5B705B71C}"/>
            </a:ext>
          </a:extLst>
        </cdr:cNvPr>
        <cdr:cNvGrpSpPr/>
      </cdr:nvGrpSpPr>
      <cdr:grpSpPr>
        <a:xfrm xmlns:a="http://schemas.openxmlformats.org/drawingml/2006/main">
          <a:off x="3765640" y="42946"/>
          <a:ext cx="748650" cy="435274"/>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9E813D64-CD69-4296-A291-3B622688CB2C}"/>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62ADD027-EF20-475B-9375-D0308CA7824F}"/>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D05FF404-5FFF-4870-B88F-5F27BDE59A2C}"/>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E5F4629D-3095-4961-8610-C58A74876296}"/>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27.xml><?xml version="1.0" encoding="utf-8"?>
<c:userShapes xmlns:c="http://schemas.openxmlformats.org/drawingml/2006/chart">
  <cdr:relSizeAnchor xmlns:cdr="http://schemas.openxmlformats.org/drawingml/2006/chartDrawing">
    <cdr:from>
      <cdr:x>0.82854</cdr:x>
      <cdr:y>0.03156</cdr:y>
    </cdr:from>
    <cdr:to>
      <cdr:x>0.99438</cdr:x>
      <cdr:y>0.19322</cdr:y>
    </cdr:to>
    <cdr:grpSp>
      <cdr:nvGrpSpPr>
        <cdr:cNvPr id="35" name="Groupe 12">
          <a:extLst xmlns:a="http://schemas.openxmlformats.org/drawingml/2006/main">
            <a:ext uri="{FF2B5EF4-FFF2-40B4-BE49-F238E27FC236}">
              <a16:creationId xmlns:a16="http://schemas.microsoft.com/office/drawing/2014/main" id="{50619A77-1C75-4B1F-B80D-FE8969C99574}"/>
            </a:ext>
          </a:extLst>
        </cdr:cNvPr>
        <cdr:cNvGrpSpPr/>
      </cdr:nvGrpSpPr>
      <cdr:grpSpPr>
        <a:xfrm xmlns:a="http://schemas.openxmlformats.org/drawingml/2006/main">
          <a:off x="3789199" y="86479"/>
          <a:ext cx="758444" cy="442973"/>
          <a:chOff x="3605092" y="97972"/>
          <a:chExt cx="756451" cy="442492"/>
        </a:xfrm>
      </cdr:grpSpPr>
      <cdr:grpSp>
        <cdr:nvGrpSpPr>
          <cdr:cNvPr id="36" name="Groupe 11">
            <a:extLst xmlns:a="http://schemas.openxmlformats.org/drawingml/2006/main">
              <a:ext uri="{FF2B5EF4-FFF2-40B4-BE49-F238E27FC236}">
                <a16:creationId xmlns:a16="http://schemas.microsoft.com/office/drawing/2014/main" id="{31A1A6C1-73D9-4175-A6F2-D1D6534F4617}"/>
              </a:ext>
            </a:extLst>
          </cdr:cNvPr>
          <cdr:cNvGrpSpPr/>
        </cdr:nvGrpSpPr>
        <cdr:grpSpPr>
          <a:xfrm xmlns:a="http://schemas.openxmlformats.org/drawingml/2006/main">
            <a:off x="3713950" y="137885"/>
            <a:ext cx="545337" cy="373936"/>
            <a:chOff x="3713950" y="137885"/>
            <a:chExt cx="545337" cy="373936"/>
          </a:xfrm>
        </cdr:grpSpPr>
        <cdr:grpSp>
          <cdr:nvGrpSpPr>
            <cdr:cNvPr id="37" name="Groupe 5">
              <a:extLst xmlns:a="http://schemas.openxmlformats.org/drawingml/2006/main">
                <a:ext uri="{FF2B5EF4-FFF2-40B4-BE49-F238E27FC236}">
                  <a16:creationId xmlns:a16="http://schemas.microsoft.com/office/drawing/2014/main" id="{28D341F7-CCFB-4CCA-BF02-EF594727A2F9}"/>
                </a:ext>
              </a:extLst>
            </cdr:cNvPr>
            <cdr:cNvGrpSpPr/>
          </cdr:nvGrpSpPr>
          <cdr:grpSpPr>
            <a:xfrm xmlns:a="http://schemas.openxmlformats.org/drawingml/2006/main">
              <a:off x="3713950" y="137885"/>
              <a:ext cx="542448" cy="181776"/>
              <a:chOff x="2908405" y="475343"/>
              <a:chExt cx="591549" cy="391192"/>
            </a:xfrm>
          </cdr:grpSpPr>
          <cdr:sp macro="" textlink="">
            <cdr:nvSpPr>
              <cdr:cNvPr id="38"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39"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40" name="Groupe 7">
              <a:extLst xmlns:a="http://schemas.openxmlformats.org/drawingml/2006/main">
                <a:ext uri="{FF2B5EF4-FFF2-40B4-BE49-F238E27FC236}">
                  <a16:creationId xmlns:a16="http://schemas.microsoft.com/office/drawing/2014/main" id="{91553B98-E929-49EE-88CD-21CF4F827BC6}"/>
                </a:ext>
              </a:extLst>
            </cdr:cNvPr>
            <cdr:cNvGrpSpPr/>
          </cdr:nvGrpSpPr>
          <cdr:grpSpPr>
            <a:xfrm xmlns:a="http://schemas.openxmlformats.org/drawingml/2006/main">
              <a:off x="3719287" y="333829"/>
              <a:ext cx="540000" cy="177992"/>
              <a:chOff x="0" y="0"/>
              <a:chExt cx="645095" cy="841867"/>
            </a:xfrm>
          </cdr:grpSpPr>
          <cdr:sp macro="" textlink="">
            <cdr:nvSpPr>
              <cdr:cNvPr id="41"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42"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43" name="Groupe 10">
            <a:extLst xmlns:a="http://schemas.openxmlformats.org/drawingml/2006/main">
              <a:ext uri="{FF2B5EF4-FFF2-40B4-BE49-F238E27FC236}">
                <a16:creationId xmlns:a16="http://schemas.microsoft.com/office/drawing/2014/main" id="{A6C86736-EAB5-4A6D-802B-07AD2D3CDF16}"/>
              </a:ext>
            </a:extLst>
          </cdr:cNvPr>
          <cdr:cNvGrpSpPr/>
        </cdr:nvGrpSpPr>
        <cdr:grpSpPr>
          <a:xfrm xmlns:a="http://schemas.openxmlformats.org/drawingml/2006/main">
            <a:off x="3605092" y="97972"/>
            <a:ext cx="756451" cy="442492"/>
            <a:chOff x="3637749" y="98165"/>
            <a:chExt cx="756451" cy="442492"/>
          </a:xfrm>
        </cdr:grpSpPr>
        <cdr:sp macro="" textlink="">
          <cdr:nvSpPr>
            <cdr:cNvPr id="44"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45"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28.xml><?xml version="1.0" encoding="utf-8"?>
<c:userShapes xmlns:c="http://schemas.openxmlformats.org/drawingml/2006/chart">
  <cdr:relSizeAnchor xmlns:cdr="http://schemas.openxmlformats.org/drawingml/2006/chartDrawing">
    <cdr:from>
      <cdr:x>0.83416</cdr:x>
      <cdr:y>0.01595</cdr:y>
    </cdr:from>
    <cdr:to>
      <cdr:x>1</cdr:x>
      <cdr:y>0.17761</cdr:y>
    </cdr:to>
    <cdr:grpSp>
      <cdr:nvGrpSpPr>
        <cdr:cNvPr id="13" name="Groupe 12">
          <a:extLst xmlns:a="http://schemas.openxmlformats.org/drawingml/2006/main">
            <a:ext uri="{FF2B5EF4-FFF2-40B4-BE49-F238E27FC236}">
              <a16:creationId xmlns:a16="http://schemas.microsoft.com/office/drawing/2014/main" id="{6AD69504-CE4E-4536-BDA6-EBE86F017E97}"/>
            </a:ext>
          </a:extLst>
        </cdr:cNvPr>
        <cdr:cNvGrpSpPr/>
      </cdr:nvGrpSpPr>
      <cdr:grpSpPr>
        <a:xfrm xmlns:a="http://schemas.openxmlformats.org/drawingml/2006/main">
          <a:off x="3765640" y="42896"/>
          <a:ext cx="748650" cy="434770"/>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026BB585-6119-46FF-A08D-4773B824BE5D}"/>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F8D51B8B-396B-4489-AFF7-A0CB509E6CE7}"/>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2471A9CA-9598-4795-8270-29C3CAB73FB3}"/>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A64F744E-68A5-4FD7-BADD-3A980947362A}"/>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29.xml><?xml version="1.0" encoding="utf-8"?>
<c:userShapes xmlns:c="http://schemas.openxmlformats.org/drawingml/2006/chart">
  <cdr:relSizeAnchor xmlns:cdr="http://schemas.openxmlformats.org/drawingml/2006/chartDrawing">
    <cdr:from>
      <cdr:x>0.82854</cdr:x>
      <cdr:y>0.03156</cdr:y>
    </cdr:from>
    <cdr:to>
      <cdr:x>0.99438</cdr:x>
      <cdr:y>0.19322</cdr:y>
    </cdr:to>
    <cdr:grpSp>
      <cdr:nvGrpSpPr>
        <cdr:cNvPr id="35" name="Groupe 12">
          <a:extLst xmlns:a="http://schemas.openxmlformats.org/drawingml/2006/main">
            <a:ext uri="{FF2B5EF4-FFF2-40B4-BE49-F238E27FC236}">
              <a16:creationId xmlns:a16="http://schemas.microsoft.com/office/drawing/2014/main" id="{E1A55C28-23A5-487A-B341-9443BB39C52A}"/>
            </a:ext>
          </a:extLst>
        </cdr:cNvPr>
        <cdr:cNvGrpSpPr/>
      </cdr:nvGrpSpPr>
      <cdr:grpSpPr>
        <a:xfrm xmlns:a="http://schemas.openxmlformats.org/drawingml/2006/main">
          <a:off x="3789199" y="86381"/>
          <a:ext cx="758444" cy="442469"/>
          <a:chOff x="3605092" y="97972"/>
          <a:chExt cx="756451" cy="442492"/>
        </a:xfrm>
      </cdr:grpSpPr>
      <cdr:grpSp>
        <cdr:nvGrpSpPr>
          <cdr:cNvPr id="36" name="Groupe 11">
            <a:extLst xmlns:a="http://schemas.openxmlformats.org/drawingml/2006/main">
              <a:ext uri="{FF2B5EF4-FFF2-40B4-BE49-F238E27FC236}">
                <a16:creationId xmlns:a16="http://schemas.microsoft.com/office/drawing/2014/main" id="{DEB8BAD3-138D-47A6-AFCE-1E4BD9833FF5}"/>
              </a:ext>
            </a:extLst>
          </cdr:cNvPr>
          <cdr:cNvGrpSpPr/>
        </cdr:nvGrpSpPr>
        <cdr:grpSpPr>
          <a:xfrm xmlns:a="http://schemas.openxmlformats.org/drawingml/2006/main">
            <a:off x="3713950" y="137885"/>
            <a:ext cx="545337" cy="373936"/>
            <a:chOff x="3713950" y="137885"/>
            <a:chExt cx="545337" cy="373936"/>
          </a:xfrm>
        </cdr:grpSpPr>
        <cdr:grpSp>
          <cdr:nvGrpSpPr>
            <cdr:cNvPr id="37" name="Groupe 5">
              <a:extLst xmlns:a="http://schemas.openxmlformats.org/drawingml/2006/main">
                <a:ext uri="{FF2B5EF4-FFF2-40B4-BE49-F238E27FC236}">
                  <a16:creationId xmlns:a16="http://schemas.microsoft.com/office/drawing/2014/main" id="{01E31FDA-4D76-4200-BBAC-7F5111FC94A5}"/>
                </a:ext>
              </a:extLst>
            </cdr:cNvPr>
            <cdr:cNvGrpSpPr/>
          </cdr:nvGrpSpPr>
          <cdr:grpSpPr>
            <a:xfrm xmlns:a="http://schemas.openxmlformats.org/drawingml/2006/main">
              <a:off x="3713950" y="137885"/>
              <a:ext cx="542448" cy="181776"/>
              <a:chOff x="2908405" y="475343"/>
              <a:chExt cx="591549" cy="391192"/>
            </a:xfrm>
          </cdr:grpSpPr>
          <cdr:sp macro="" textlink="">
            <cdr:nvSpPr>
              <cdr:cNvPr id="38"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39"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40" name="Groupe 7">
              <a:extLst xmlns:a="http://schemas.openxmlformats.org/drawingml/2006/main">
                <a:ext uri="{FF2B5EF4-FFF2-40B4-BE49-F238E27FC236}">
                  <a16:creationId xmlns:a16="http://schemas.microsoft.com/office/drawing/2014/main" id="{9CB813EF-9257-4EC9-B43C-894743981A83}"/>
                </a:ext>
              </a:extLst>
            </cdr:cNvPr>
            <cdr:cNvGrpSpPr/>
          </cdr:nvGrpSpPr>
          <cdr:grpSpPr>
            <a:xfrm xmlns:a="http://schemas.openxmlformats.org/drawingml/2006/main">
              <a:off x="3719287" y="333829"/>
              <a:ext cx="540000" cy="177992"/>
              <a:chOff x="0" y="0"/>
              <a:chExt cx="645095" cy="841867"/>
            </a:xfrm>
          </cdr:grpSpPr>
          <cdr:sp macro="" textlink="">
            <cdr:nvSpPr>
              <cdr:cNvPr id="41"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42"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43" name="Groupe 10">
            <a:extLst xmlns:a="http://schemas.openxmlformats.org/drawingml/2006/main">
              <a:ext uri="{FF2B5EF4-FFF2-40B4-BE49-F238E27FC236}">
                <a16:creationId xmlns:a16="http://schemas.microsoft.com/office/drawing/2014/main" id="{15B10DBB-C148-4243-AABF-277AE010B831}"/>
              </a:ext>
            </a:extLst>
          </cdr:cNvPr>
          <cdr:cNvGrpSpPr/>
        </cdr:nvGrpSpPr>
        <cdr:grpSpPr>
          <a:xfrm xmlns:a="http://schemas.openxmlformats.org/drawingml/2006/main">
            <a:off x="3605092" y="97972"/>
            <a:ext cx="756451" cy="442492"/>
            <a:chOff x="3637749" y="98165"/>
            <a:chExt cx="756451" cy="442492"/>
          </a:xfrm>
        </cdr:grpSpPr>
        <cdr:sp macro="" textlink="">
          <cdr:nvSpPr>
            <cdr:cNvPr id="44"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122022</a:t>
              </a:r>
            </a:p>
          </cdr:txBody>
        </cdr:sp>
        <cdr:sp macro="" textlink="">
          <cdr:nvSpPr>
            <cdr:cNvPr id="45"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122023</a:t>
              </a:r>
            </a:p>
          </cdr:txBody>
        </cdr:sp>
      </cdr:grpSp>
    </cdr:grpSp>
  </cdr:relSizeAnchor>
</c:userShapes>
</file>

<file path=xl/drawings/drawing30.xml><?xml version="1.0" encoding="utf-8"?>
<xdr:wsDr xmlns:xdr="http://schemas.openxmlformats.org/drawingml/2006/spreadsheetDrawing" xmlns:a="http://schemas.openxmlformats.org/drawingml/2006/main">
  <xdr:twoCellAnchor>
    <xdr:from>
      <xdr:col>22</xdr:col>
      <xdr:colOff>268942</xdr:colOff>
      <xdr:row>379</xdr:row>
      <xdr:rowOff>125506</xdr:rowOff>
    </xdr:from>
    <xdr:to>
      <xdr:col>28</xdr:col>
      <xdr:colOff>53789</xdr:colOff>
      <xdr:row>395</xdr:row>
      <xdr:rowOff>161366</xdr:rowOff>
    </xdr:to>
    <xdr:graphicFrame macro="">
      <xdr:nvGraphicFramePr>
        <xdr:cNvPr id="24" name="Graphique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233082</xdr:colOff>
      <xdr:row>379</xdr:row>
      <xdr:rowOff>125505</xdr:rowOff>
    </xdr:from>
    <xdr:to>
      <xdr:col>34</xdr:col>
      <xdr:colOff>17930</xdr:colOff>
      <xdr:row>395</xdr:row>
      <xdr:rowOff>161365</xdr:rowOff>
    </xdr:to>
    <xdr:graphicFrame macro="">
      <xdr:nvGraphicFramePr>
        <xdr:cNvPr id="25" name="Graphique 24">
          <a:extLst>
            <a:ext uri="{FF2B5EF4-FFF2-40B4-BE49-F238E27FC236}">
              <a16:creationId xmlns:a16="http://schemas.microsoft.com/office/drawing/2014/main" id="{00000000-0008-0000-04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268942</xdr:colOff>
      <xdr:row>415</xdr:row>
      <xdr:rowOff>125506</xdr:rowOff>
    </xdr:from>
    <xdr:to>
      <xdr:col>28</xdr:col>
      <xdr:colOff>53789</xdr:colOff>
      <xdr:row>431</xdr:row>
      <xdr:rowOff>161366</xdr:rowOff>
    </xdr:to>
    <xdr:graphicFrame macro="">
      <xdr:nvGraphicFramePr>
        <xdr:cNvPr id="31" name="Graphique 30">
          <a:extLst>
            <a:ext uri="{FF2B5EF4-FFF2-40B4-BE49-F238E27FC236}">
              <a16:creationId xmlns:a16="http://schemas.microsoft.com/office/drawing/2014/main" id="{00000000-0008-0000-0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233082</xdr:colOff>
      <xdr:row>415</xdr:row>
      <xdr:rowOff>125505</xdr:rowOff>
    </xdr:from>
    <xdr:to>
      <xdr:col>34</xdr:col>
      <xdr:colOff>17930</xdr:colOff>
      <xdr:row>431</xdr:row>
      <xdr:rowOff>161365</xdr:rowOff>
    </xdr:to>
    <xdr:graphicFrame macro="">
      <xdr:nvGraphicFramePr>
        <xdr:cNvPr id="32" name="Graphique 31">
          <a:extLst>
            <a:ext uri="{FF2B5EF4-FFF2-40B4-BE49-F238E27FC236}">
              <a16:creationId xmlns:a16="http://schemas.microsoft.com/office/drawing/2014/main" id="{00000000-0008-0000-04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268942</xdr:colOff>
      <xdr:row>469</xdr:row>
      <xdr:rowOff>125506</xdr:rowOff>
    </xdr:from>
    <xdr:to>
      <xdr:col>28</xdr:col>
      <xdr:colOff>53789</xdr:colOff>
      <xdr:row>485</xdr:row>
      <xdr:rowOff>161366</xdr:rowOff>
    </xdr:to>
    <xdr:graphicFrame macro="">
      <xdr:nvGraphicFramePr>
        <xdr:cNvPr id="38" name="Graphique 37">
          <a:extLst>
            <a:ext uri="{FF2B5EF4-FFF2-40B4-BE49-F238E27FC236}">
              <a16:creationId xmlns:a16="http://schemas.microsoft.com/office/drawing/2014/main" id="{00000000-0008-0000-04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233082</xdr:colOff>
      <xdr:row>469</xdr:row>
      <xdr:rowOff>125505</xdr:rowOff>
    </xdr:from>
    <xdr:to>
      <xdr:col>34</xdr:col>
      <xdr:colOff>17930</xdr:colOff>
      <xdr:row>485</xdr:row>
      <xdr:rowOff>161365</xdr:rowOff>
    </xdr:to>
    <xdr:graphicFrame macro="">
      <xdr:nvGraphicFramePr>
        <xdr:cNvPr id="39" name="Graphique 38">
          <a:extLst>
            <a:ext uri="{FF2B5EF4-FFF2-40B4-BE49-F238E27FC236}">
              <a16:creationId xmlns:a16="http://schemas.microsoft.com/office/drawing/2014/main" id="{00000000-0008-0000-04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268942</xdr:colOff>
      <xdr:row>505</xdr:row>
      <xdr:rowOff>125506</xdr:rowOff>
    </xdr:from>
    <xdr:to>
      <xdr:col>28</xdr:col>
      <xdr:colOff>53789</xdr:colOff>
      <xdr:row>521</xdr:row>
      <xdr:rowOff>161366</xdr:rowOff>
    </xdr:to>
    <xdr:graphicFrame macro="">
      <xdr:nvGraphicFramePr>
        <xdr:cNvPr id="40" name="Graphique 39">
          <a:extLst>
            <a:ext uri="{FF2B5EF4-FFF2-40B4-BE49-F238E27FC236}">
              <a16:creationId xmlns:a16="http://schemas.microsoft.com/office/drawing/2014/main" id="{00000000-0008-0000-04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233082</xdr:colOff>
      <xdr:row>505</xdr:row>
      <xdr:rowOff>125505</xdr:rowOff>
    </xdr:from>
    <xdr:to>
      <xdr:col>34</xdr:col>
      <xdr:colOff>17930</xdr:colOff>
      <xdr:row>521</xdr:row>
      <xdr:rowOff>161365</xdr:rowOff>
    </xdr:to>
    <xdr:graphicFrame macro="">
      <xdr:nvGraphicFramePr>
        <xdr:cNvPr id="41" name="Graphique 40">
          <a:extLst>
            <a:ext uri="{FF2B5EF4-FFF2-40B4-BE49-F238E27FC236}">
              <a16:creationId xmlns:a16="http://schemas.microsoft.com/office/drawing/2014/main" id="{00000000-0008-0000-04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632460</xdr:colOff>
      <xdr:row>5</xdr:row>
      <xdr:rowOff>83820</xdr:rowOff>
    </xdr:from>
    <xdr:to>
      <xdr:col>16</xdr:col>
      <xdr:colOff>190500</xdr:colOff>
      <xdr:row>18</xdr:row>
      <xdr:rowOff>83820</xdr:rowOff>
    </xdr:to>
    <xdr:graphicFrame macro="">
      <xdr:nvGraphicFramePr>
        <xdr:cNvPr id="4" name="Graphique 3">
          <a:extLst>
            <a:ext uri="{FF2B5EF4-FFF2-40B4-BE49-F238E27FC236}">
              <a16:creationId xmlns:a16="http://schemas.microsoft.com/office/drawing/2014/main" id="{06EFC8B8-2F1C-357D-10CF-D9A8C955A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548640</xdr:colOff>
      <xdr:row>8</xdr:row>
      <xdr:rowOff>148590</xdr:rowOff>
    </xdr:from>
    <xdr:to>
      <xdr:col>5</xdr:col>
      <xdr:colOff>220980</xdr:colOff>
      <xdr:row>27</xdr:row>
      <xdr:rowOff>22860</xdr:rowOff>
    </xdr:to>
    <xdr:graphicFrame macro="">
      <xdr:nvGraphicFramePr>
        <xdr:cNvPr id="8" name="Graphique 7">
          <a:extLst>
            <a:ext uri="{FF2B5EF4-FFF2-40B4-BE49-F238E27FC236}">
              <a16:creationId xmlns:a16="http://schemas.microsoft.com/office/drawing/2014/main" id="{8EDBC383-9D23-C920-4C78-16D236041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5</xdr:col>
      <xdr:colOff>0</xdr:colOff>
      <xdr:row>0</xdr:row>
      <xdr:rowOff>66676</xdr:rowOff>
    </xdr:from>
    <xdr:to>
      <xdr:col>9</xdr:col>
      <xdr:colOff>19050</xdr:colOff>
      <xdr:row>10</xdr:row>
      <xdr:rowOff>161926</xdr:rowOff>
    </xdr:to>
    <xdr:graphicFrame macro="">
      <xdr:nvGraphicFramePr>
        <xdr:cNvPr id="2" name="Graphique 1">
          <a:extLst>
            <a:ext uri="{FF2B5EF4-FFF2-40B4-BE49-F238E27FC236}">
              <a16:creationId xmlns:a16="http://schemas.microsoft.com/office/drawing/2014/main" id="{512DFED7-88ED-6928-DF5F-5FBA4B685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9524</xdr:colOff>
      <xdr:row>11</xdr:row>
      <xdr:rowOff>47625</xdr:rowOff>
    </xdr:from>
    <xdr:to>
      <xdr:col>9</xdr:col>
      <xdr:colOff>9525</xdr:colOff>
      <xdr:row>22</xdr:row>
      <xdr:rowOff>9525</xdr:rowOff>
    </xdr:to>
    <xdr:graphicFrame macro="">
      <xdr:nvGraphicFramePr>
        <xdr:cNvPr id="3" name="Graphique 2">
          <a:extLst>
            <a:ext uri="{FF2B5EF4-FFF2-40B4-BE49-F238E27FC236}">
              <a16:creationId xmlns:a16="http://schemas.microsoft.com/office/drawing/2014/main" id="{1CEE2E0B-8601-79CB-5E93-8AC99EC397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752475</xdr:colOff>
      <xdr:row>22</xdr:row>
      <xdr:rowOff>95250</xdr:rowOff>
    </xdr:from>
    <xdr:to>
      <xdr:col>9</xdr:col>
      <xdr:colOff>19050</xdr:colOff>
      <xdr:row>33</xdr:row>
      <xdr:rowOff>180975</xdr:rowOff>
    </xdr:to>
    <xdr:graphicFrame macro="">
      <xdr:nvGraphicFramePr>
        <xdr:cNvPr id="4" name="Graphique 3">
          <a:extLst>
            <a:ext uri="{FF2B5EF4-FFF2-40B4-BE49-F238E27FC236}">
              <a16:creationId xmlns:a16="http://schemas.microsoft.com/office/drawing/2014/main" id="{72B05BCA-EA97-F74A-48F0-0FA66AED4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9525</xdr:colOff>
      <xdr:row>34</xdr:row>
      <xdr:rowOff>47625</xdr:rowOff>
    </xdr:from>
    <xdr:to>
      <xdr:col>9</xdr:col>
      <xdr:colOff>28575</xdr:colOff>
      <xdr:row>44</xdr:row>
      <xdr:rowOff>114300</xdr:rowOff>
    </xdr:to>
    <xdr:graphicFrame macro="">
      <xdr:nvGraphicFramePr>
        <xdr:cNvPr id="5" name="Graphique 4">
          <a:extLst>
            <a:ext uri="{FF2B5EF4-FFF2-40B4-BE49-F238E27FC236}">
              <a16:creationId xmlns:a16="http://schemas.microsoft.com/office/drawing/2014/main" id="{CA440AAB-62BD-19FD-3541-F14332D64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44</xdr:row>
      <xdr:rowOff>171450</xdr:rowOff>
    </xdr:from>
    <xdr:to>
      <xdr:col>9</xdr:col>
      <xdr:colOff>47625</xdr:colOff>
      <xdr:row>55</xdr:row>
      <xdr:rowOff>66675</xdr:rowOff>
    </xdr:to>
    <xdr:graphicFrame macro="">
      <xdr:nvGraphicFramePr>
        <xdr:cNvPr id="6" name="Graphique 5">
          <a:extLst>
            <a:ext uri="{FF2B5EF4-FFF2-40B4-BE49-F238E27FC236}">
              <a16:creationId xmlns:a16="http://schemas.microsoft.com/office/drawing/2014/main" id="{2B86B529-25D3-AC5A-724B-B8FF66B54B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190500</xdr:colOff>
      <xdr:row>56</xdr:row>
      <xdr:rowOff>180975</xdr:rowOff>
    </xdr:from>
    <xdr:to>
      <xdr:col>9</xdr:col>
      <xdr:colOff>180975</xdr:colOff>
      <xdr:row>66</xdr:row>
      <xdr:rowOff>171450</xdr:rowOff>
    </xdr:to>
    <xdr:graphicFrame macro="">
      <xdr:nvGraphicFramePr>
        <xdr:cNvPr id="7" name="Graphique 6">
          <a:extLst>
            <a:ext uri="{FF2B5EF4-FFF2-40B4-BE49-F238E27FC236}">
              <a16:creationId xmlns:a16="http://schemas.microsoft.com/office/drawing/2014/main" id="{60684138-7CD0-6270-55EA-8CC2D892A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171449</xdr:colOff>
      <xdr:row>69</xdr:row>
      <xdr:rowOff>152400</xdr:rowOff>
    </xdr:from>
    <xdr:to>
      <xdr:col>9</xdr:col>
      <xdr:colOff>142874</xdr:colOff>
      <xdr:row>79</xdr:row>
      <xdr:rowOff>142875</xdr:rowOff>
    </xdr:to>
    <xdr:graphicFrame macro="">
      <xdr:nvGraphicFramePr>
        <xdr:cNvPr id="8" name="Graphique 7">
          <a:extLst>
            <a:ext uri="{FF2B5EF4-FFF2-40B4-BE49-F238E27FC236}">
              <a16:creationId xmlns:a16="http://schemas.microsoft.com/office/drawing/2014/main" id="{83106373-39F5-409F-89DE-759D2A3B7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8</xdr:col>
      <xdr:colOff>129540</xdr:colOff>
      <xdr:row>2</xdr:row>
      <xdr:rowOff>87630</xdr:rowOff>
    </xdr:from>
    <xdr:to>
      <xdr:col>16</xdr:col>
      <xdr:colOff>579120</xdr:colOff>
      <xdr:row>17</xdr:row>
      <xdr:rowOff>60960</xdr:rowOff>
    </xdr:to>
    <xdr:graphicFrame macro="">
      <xdr:nvGraphicFramePr>
        <xdr:cNvPr id="2" name="Graphique 1">
          <a:extLst>
            <a:ext uri="{FF2B5EF4-FFF2-40B4-BE49-F238E27FC236}">
              <a16:creationId xmlns:a16="http://schemas.microsoft.com/office/drawing/2014/main" id="{5C3239B9-DB9F-40EB-B129-FD852F4B3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8</xdr:col>
      <xdr:colOff>236220</xdr:colOff>
      <xdr:row>0</xdr:row>
      <xdr:rowOff>129540</xdr:rowOff>
    </xdr:from>
    <xdr:to>
      <xdr:col>17</xdr:col>
      <xdr:colOff>68580</xdr:colOff>
      <xdr:row>19</xdr:row>
      <xdr:rowOff>114300</xdr:rowOff>
    </xdr:to>
    <xdr:graphicFrame macro="">
      <xdr:nvGraphicFramePr>
        <xdr:cNvPr id="3" name="Graphique 2">
          <a:extLst>
            <a:ext uri="{FF2B5EF4-FFF2-40B4-BE49-F238E27FC236}">
              <a16:creationId xmlns:a16="http://schemas.microsoft.com/office/drawing/2014/main" id="{4DE3BE4F-8BFB-424C-AD85-DAB4EFE70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137160</xdr:colOff>
      <xdr:row>7</xdr:row>
      <xdr:rowOff>91440</xdr:rowOff>
    </xdr:from>
    <xdr:to>
      <xdr:col>6</xdr:col>
      <xdr:colOff>746760</xdr:colOff>
      <xdr:row>22</xdr:row>
      <xdr:rowOff>6663</xdr:rowOff>
    </xdr:to>
    <xdr:graphicFrame macro="">
      <xdr:nvGraphicFramePr>
        <xdr:cNvPr id="6" name="Graphique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xdr:colOff>
      <xdr:row>7</xdr:row>
      <xdr:rowOff>99060</xdr:rowOff>
    </xdr:from>
    <xdr:to>
      <xdr:col>12</xdr:col>
      <xdr:colOff>655320</xdr:colOff>
      <xdr:row>22</xdr:row>
      <xdr:rowOff>14283</xdr:rowOff>
    </xdr:to>
    <xdr:graphicFrame macro="">
      <xdr:nvGraphicFramePr>
        <xdr:cNvPr id="7" name="Graphique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135815</xdr:colOff>
      <xdr:row>22</xdr:row>
      <xdr:rowOff>95026</xdr:rowOff>
    </xdr:from>
    <xdr:to>
      <xdr:col>6</xdr:col>
      <xdr:colOff>745415</xdr:colOff>
      <xdr:row>37</xdr:row>
      <xdr:rowOff>18826</xdr:rowOff>
    </xdr:to>
    <xdr:graphicFrame macro="">
      <xdr:nvGraphicFramePr>
        <xdr:cNvPr id="8" name="Graphique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29135</xdr:colOff>
      <xdr:row>22</xdr:row>
      <xdr:rowOff>95026</xdr:rowOff>
    </xdr:from>
    <xdr:to>
      <xdr:col>12</xdr:col>
      <xdr:colOff>638735</xdr:colOff>
      <xdr:row>37</xdr:row>
      <xdr:rowOff>18826</xdr:rowOff>
    </xdr:to>
    <xdr:graphicFrame macro="">
      <xdr:nvGraphicFramePr>
        <xdr:cNvPr id="9" name="Graphique 8">
          <a:extLst>
            <a:ext uri="{FF2B5EF4-FFF2-40B4-BE49-F238E27FC236}">
              <a16:creationId xmlns:a16="http://schemas.microsoft.com/office/drawing/2014/main" id="{00000000-0008-0000-0D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129540</xdr:colOff>
      <xdr:row>81</xdr:row>
      <xdr:rowOff>144780</xdr:rowOff>
    </xdr:from>
    <xdr:to>
      <xdr:col>6</xdr:col>
      <xdr:colOff>755043</xdr:colOff>
      <xdr:row>96</xdr:row>
      <xdr:rowOff>35118</xdr:rowOff>
    </xdr:to>
    <xdr:graphicFrame macro="">
      <xdr:nvGraphicFramePr>
        <xdr:cNvPr id="10" name="Graphique 9">
          <a:extLst>
            <a:ext uri="{FF2B5EF4-FFF2-40B4-BE49-F238E27FC236}">
              <a16:creationId xmlns:a16="http://schemas.microsoft.com/office/drawing/2014/main" id="{00000000-0008-0000-0D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38763</xdr:colOff>
      <xdr:row>81</xdr:row>
      <xdr:rowOff>152400</xdr:rowOff>
    </xdr:from>
    <xdr:to>
      <xdr:col>12</xdr:col>
      <xdr:colOff>661615</xdr:colOff>
      <xdr:row>96</xdr:row>
      <xdr:rowOff>42738</xdr:rowOff>
    </xdr:to>
    <xdr:graphicFrame macro="">
      <xdr:nvGraphicFramePr>
        <xdr:cNvPr id="11" name="Graphique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152400</xdr:colOff>
      <xdr:row>119</xdr:row>
      <xdr:rowOff>83820</xdr:rowOff>
    </xdr:from>
    <xdr:to>
      <xdr:col>6</xdr:col>
      <xdr:colOff>740485</xdr:colOff>
      <xdr:row>134</xdr:row>
      <xdr:rowOff>41686</xdr:rowOff>
    </xdr:to>
    <xdr:graphicFrame macro="">
      <xdr:nvGraphicFramePr>
        <xdr:cNvPr id="14" name="Graphique 13">
          <a:extLst>
            <a:ext uri="{FF2B5EF4-FFF2-40B4-BE49-F238E27FC236}">
              <a16:creationId xmlns:a16="http://schemas.microsoft.com/office/drawing/2014/main" id="{00000000-0008-0000-0D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39445</xdr:colOff>
      <xdr:row>119</xdr:row>
      <xdr:rowOff>68580</xdr:rowOff>
    </xdr:from>
    <xdr:to>
      <xdr:col>12</xdr:col>
      <xdr:colOff>631115</xdr:colOff>
      <xdr:row>134</xdr:row>
      <xdr:rowOff>30032</xdr:rowOff>
    </xdr:to>
    <xdr:graphicFrame macro="">
      <xdr:nvGraphicFramePr>
        <xdr:cNvPr id="15" name="Graphique 14">
          <a:extLst>
            <a:ext uri="{FF2B5EF4-FFF2-40B4-BE49-F238E27FC236}">
              <a16:creationId xmlns:a16="http://schemas.microsoft.com/office/drawing/2014/main" id="{00000000-0008-0000-0D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160020</xdr:colOff>
      <xdr:row>134</xdr:row>
      <xdr:rowOff>133126</xdr:rowOff>
    </xdr:from>
    <xdr:to>
      <xdr:col>6</xdr:col>
      <xdr:colOff>748105</xdr:colOff>
      <xdr:row>149</xdr:row>
      <xdr:rowOff>80683</xdr:rowOff>
    </xdr:to>
    <xdr:graphicFrame macro="">
      <xdr:nvGraphicFramePr>
        <xdr:cNvPr id="16" name="Graphique 15">
          <a:extLst>
            <a:ext uri="{FF2B5EF4-FFF2-40B4-BE49-F238E27FC236}">
              <a16:creationId xmlns:a16="http://schemas.microsoft.com/office/drawing/2014/main" id="{00000000-0008-0000-0D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47065</xdr:colOff>
      <xdr:row>134</xdr:row>
      <xdr:rowOff>117886</xdr:rowOff>
    </xdr:from>
    <xdr:to>
      <xdr:col>12</xdr:col>
      <xdr:colOff>638735</xdr:colOff>
      <xdr:row>149</xdr:row>
      <xdr:rowOff>65443</xdr:rowOff>
    </xdr:to>
    <xdr:graphicFrame macro="">
      <xdr:nvGraphicFramePr>
        <xdr:cNvPr id="17" name="Graphique 16">
          <a:extLst>
            <a:ext uri="{FF2B5EF4-FFF2-40B4-BE49-F238E27FC236}">
              <a16:creationId xmlns:a16="http://schemas.microsoft.com/office/drawing/2014/main" id="{00000000-0008-0000-0D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160020</xdr:colOff>
      <xdr:row>153</xdr:row>
      <xdr:rowOff>106680</xdr:rowOff>
    </xdr:from>
    <xdr:to>
      <xdr:col>6</xdr:col>
      <xdr:colOff>748105</xdr:colOff>
      <xdr:row>168</xdr:row>
      <xdr:rowOff>68131</xdr:rowOff>
    </xdr:to>
    <xdr:graphicFrame macro="">
      <xdr:nvGraphicFramePr>
        <xdr:cNvPr id="18" name="Graphique 17">
          <a:extLst>
            <a:ext uri="{FF2B5EF4-FFF2-40B4-BE49-F238E27FC236}">
              <a16:creationId xmlns:a16="http://schemas.microsoft.com/office/drawing/2014/main" id="{00000000-0008-0000-0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54685</xdr:colOff>
      <xdr:row>153</xdr:row>
      <xdr:rowOff>106680</xdr:rowOff>
    </xdr:from>
    <xdr:to>
      <xdr:col>12</xdr:col>
      <xdr:colOff>646355</xdr:colOff>
      <xdr:row>168</xdr:row>
      <xdr:rowOff>68131</xdr:rowOff>
    </xdr:to>
    <xdr:graphicFrame macro="">
      <xdr:nvGraphicFramePr>
        <xdr:cNvPr id="19" name="Graphique 18">
          <a:extLst>
            <a:ext uri="{FF2B5EF4-FFF2-40B4-BE49-F238E27FC236}">
              <a16:creationId xmlns:a16="http://schemas.microsoft.com/office/drawing/2014/main" id="{00000000-0008-0000-0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160020</xdr:colOff>
      <xdr:row>7</xdr:row>
      <xdr:rowOff>68580</xdr:rowOff>
    </xdr:from>
    <xdr:to>
      <xdr:col>19</xdr:col>
      <xdr:colOff>748105</xdr:colOff>
      <xdr:row>21</xdr:row>
      <xdr:rowOff>163097</xdr:rowOff>
    </xdr:to>
    <xdr:graphicFrame macro="">
      <xdr:nvGraphicFramePr>
        <xdr:cNvPr id="20" name="Graphique 19">
          <a:extLst>
            <a:ext uri="{FF2B5EF4-FFF2-40B4-BE49-F238E27FC236}">
              <a16:creationId xmlns:a16="http://schemas.microsoft.com/office/drawing/2014/main" id="{00000000-0008-0000-0D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54685</xdr:colOff>
      <xdr:row>7</xdr:row>
      <xdr:rowOff>68580</xdr:rowOff>
    </xdr:from>
    <xdr:to>
      <xdr:col>25</xdr:col>
      <xdr:colOff>646355</xdr:colOff>
      <xdr:row>21</xdr:row>
      <xdr:rowOff>163097</xdr:rowOff>
    </xdr:to>
    <xdr:graphicFrame macro="">
      <xdr:nvGraphicFramePr>
        <xdr:cNvPr id="21" name="Graphique 20">
          <a:extLst>
            <a:ext uri="{FF2B5EF4-FFF2-40B4-BE49-F238E27FC236}">
              <a16:creationId xmlns:a16="http://schemas.microsoft.com/office/drawing/2014/main" id="{00000000-0008-0000-0D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161365</xdr:colOff>
      <xdr:row>22</xdr:row>
      <xdr:rowOff>103541</xdr:rowOff>
    </xdr:from>
    <xdr:to>
      <xdr:col>19</xdr:col>
      <xdr:colOff>749450</xdr:colOff>
      <xdr:row>37</xdr:row>
      <xdr:rowOff>64992</xdr:rowOff>
    </xdr:to>
    <xdr:graphicFrame macro="">
      <xdr:nvGraphicFramePr>
        <xdr:cNvPr id="22" name="Graphique 21">
          <a:extLst>
            <a:ext uri="{FF2B5EF4-FFF2-40B4-BE49-F238E27FC236}">
              <a16:creationId xmlns:a16="http://schemas.microsoft.com/office/drawing/2014/main" id="{00000000-0008-0000-0D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54685</xdr:colOff>
      <xdr:row>22</xdr:row>
      <xdr:rowOff>97266</xdr:rowOff>
    </xdr:from>
    <xdr:to>
      <xdr:col>25</xdr:col>
      <xdr:colOff>646355</xdr:colOff>
      <xdr:row>37</xdr:row>
      <xdr:rowOff>58717</xdr:rowOff>
    </xdr:to>
    <xdr:graphicFrame macro="">
      <xdr:nvGraphicFramePr>
        <xdr:cNvPr id="23" name="Graphique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160020</xdr:colOff>
      <xdr:row>172</xdr:row>
      <xdr:rowOff>114300</xdr:rowOff>
    </xdr:from>
    <xdr:to>
      <xdr:col>6</xdr:col>
      <xdr:colOff>748105</xdr:colOff>
      <xdr:row>187</xdr:row>
      <xdr:rowOff>75751</xdr:rowOff>
    </xdr:to>
    <xdr:graphicFrame macro="">
      <xdr:nvGraphicFramePr>
        <xdr:cNvPr id="26" name="Graphique 25">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54685</xdr:colOff>
      <xdr:row>172</xdr:row>
      <xdr:rowOff>99060</xdr:rowOff>
    </xdr:from>
    <xdr:to>
      <xdr:col>12</xdr:col>
      <xdr:colOff>646355</xdr:colOff>
      <xdr:row>187</xdr:row>
      <xdr:rowOff>60511</xdr:rowOff>
    </xdr:to>
    <xdr:graphicFrame macro="">
      <xdr:nvGraphicFramePr>
        <xdr:cNvPr id="27" name="Graphique 26">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xdr:col>
      <xdr:colOff>189414</xdr:colOff>
      <xdr:row>1</xdr:row>
      <xdr:rowOff>40633</xdr:rowOff>
    </xdr:from>
    <xdr:to>
      <xdr:col>3</xdr:col>
      <xdr:colOff>709750</xdr:colOff>
      <xdr:row>1</xdr:row>
      <xdr:rowOff>526868</xdr:rowOff>
    </xdr:to>
    <xdr:pic>
      <xdr:nvPicPr>
        <xdr:cNvPr id="31" name="Picture 2" descr="group">
          <a:extLst>
            <a:ext uri="{FF2B5EF4-FFF2-40B4-BE49-F238E27FC236}">
              <a16:creationId xmlns:a16="http://schemas.microsoft.com/office/drawing/2014/main" id="{00000000-0008-0000-0D00-00001F000000}"/>
            </a:ext>
          </a:extLst>
        </xdr:cNvPr>
        <xdr:cNvPicPr>
          <a:picLocks noChangeAspect="1" noChangeArrowheads="1"/>
        </xdr:cNvPicPr>
      </xdr:nvPicPr>
      <xdr:blipFill rotWithShape="1">
        <a:blip xmlns:r="http://schemas.openxmlformats.org/officeDocument/2006/relationships" r:embed="rId19" cstate="print"/>
        <a:srcRect t="36151" r="57112" b="24146"/>
        <a:stretch/>
      </xdr:blipFill>
      <xdr:spPr bwMode="gray">
        <a:xfrm>
          <a:off x="302625" y="223513"/>
          <a:ext cx="2105296" cy="486235"/>
        </a:xfrm>
        <a:prstGeom prst="rect">
          <a:avLst/>
        </a:prstGeom>
        <a:noFill/>
        <a:ln w="9525">
          <a:noFill/>
          <a:miter lim="800000"/>
          <a:headEnd/>
          <a:tailEnd/>
        </a:ln>
      </xdr:spPr>
    </xdr:pic>
    <xdr:clientData/>
  </xdr:twoCellAnchor>
  <xdr:twoCellAnchor>
    <xdr:from>
      <xdr:col>10</xdr:col>
      <xdr:colOff>444255</xdr:colOff>
      <xdr:row>10</xdr:row>
      <xdr:rowOff>11208</xdr:rowOff>
    </xdr:from>
    <xdr:to>
      <xdr:col>11</xdr:col>
      <xdr:colOff>292624</xdr:colOff>
      <xdr:row>11</xdr:row>
      <xdr:rowOff>49892</xdr:rowOff>
    </xdr:to>
    <xdr:sp macro="" textlink="'Tableau détaillé'!$V$4">
      <xdr:nvSpPr>
        <xdr:cNvPr id="32" name="ZoneTexte 31">
          <a:extLst>
            <a:ext uri="{FF2B5EF4-FFF2-40B4-BE49-F238E27FC236}">
              <a16:creationId xmlns:a16="http://schemas.microsoft.com/office/drawing/2014/main" id="{00000000-0008-0000-0D00-000020000000}"/>
            </a:ext>
          </a:extLst>
        </xdr:cNvPr>
        <xdr:cNvSpPr txBox="1"/>
      </xdr:nvSpPr>
      <xdr:spPr>
        <a:xfrm>
          <a:off x="7414314" y="2084296"/>
          <a:ext cx="610369" cy="2291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7FCF26-C90A-41AF-8178-6278FBD19703}" type="TxLink">
            <a:rPr lang="en-US" sz="1100" b="1" i="0" u="none" strike="noStrike">
              <a:solidFill>
                <a:srgbClr val="C00000"/>
              </a:solidFill>
              <a:latin typeface="Arial Narrow"/>
              <a:ea typeface="+mn-ea"/>
              <a:cs typeface="+mn-cs"/>
            </a:rPr>
            <a:pPr marL="0" indent="0" algn="ctr"/>
            <a:t>100,0%</a:t>
          </a:fld>
          <a:endParaRPr lang="fr-FR" sz="1100" b="1" i="0" u="none" strike="noStrike">
            <a:solidFill>
              <a:srgbClr val="C00000"/>
            </a:solidFill>
            <a:latin typeface="Arial Narrow"/>
            <a:ea typeface="+mn-ea"/>
            <a:cs typeface="+mn-cs"/>
          </a:endParaRPr>
        </a:p>
      </xdr:txBody>
    </xdr:sp>
    <xdr:clientData/>
  </xdr:twoCellAnchor>
  <xdr:twoCellAnchor>
    <xdr:from>
      <xdr:col>6</xdr:col>
      <xdr:colOff>128884</xdr:colOff>
      <xdr:row>11</xdr:row>
      <xdr:rowOff>76200</xdr:rowOff>
    </xdr:from>
    <xdr:to>
      <xdr:col>6</xdr:col>
      <xdr:colOff>732721</xdr:colOff>
      <xdr:row>12</xdr:row>
      <xdr:rowOff>187194</xdr:rowOff>
    </xdr:to>
    <xdr:sp macro="" textlink="'Tableau détaillé'!$V$4">
      <xdr:nvSpPr>
        <xdr:cNvPr id="33" name="ZoneTexte 32">
          <a:extLst>
            <a:ext uri="{FF2B5EF4-FFF2-40B4-BE49-F238E27FC236}">
              <a16:creationId xmlns:a16="http://schemas.microsoft.com/office/drawing/2014/main" id="{00000000-0008-0000-0D00-000021000000}"/>
            </a:ext>
          </a:extLst>
        </xdr:cNvPr>
        <xdr:cNvSpPr txBox="1"/>
      </xdr:nvSpPr>
      <xdr:spPr>
        <a:xfrm>
          <a:off x="4053184" y="2352675"/>
          <a:ext cx="603837" cy="3014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C59131-4DD6-4254-9C1D-6F8AF7F1DC96}" type="TxLink">
            <a:rPr lang="en-US" sz="1100" b="1" i="0" u="none" strike="noStrike">
              <a:solidFill>
                <a:srgbClr val="C00000"/>
              </a:solidFill>
              <a:latin typeface="Arial Narrow"/>
              <a:ea typeface="+mn-ea"/>
              <a:cs typeface="+mn-cs"/>
            </a:rPr>
            <a:pPr marL="0" indent="0" algn="ctr"/>
            <a:t>100,0%</a:t>
          </a:fld>
          <a:endParaRPr lang="fr-FR" sz="1100" b="1" i="0" u="none" strike="noStrike">
            <a:solidFill>
              <a:srgbClr val="C00000"/>
            </a:solidFill>
            <a:latin typeface="Arial Narrow"/>
            <a:ea typeface="+mn-ea"/>
            <a:cs typeface="+mn-cs"/>
          </a:endParaRPr>
        </a:p>
      </xdr:txBody>
    </xdr:sp>
    <xdr:clientData/>
  </xdr:twoCellAnchor>
  <xdr:twoCellAnchor>
    <xdr:from>
      <xdr:col>10</xdr:col>
      <xdr:colOff>364991</xdr:colOff>
      <xdr:row>25</xdr:row>
      <xdr:rowOff>154000</xdr:rowOff>
    </xdr:from>
    <xdr:to>
      <xdr:col>11</xdr:col>
      <xdr:colOff>182111</xdr:colOff>
      <xdr:row>27</xdr:row>
      <xdr:rowOff>43160</xdr:rowOff>
    </xdr:to>
    <xdr:sp macro="" textlink="'Tableau détaillé'!$H$20">
      <xdr:nvSpPr>
        <xdr:cNvPr id="34" name="ZoneTexte 33">
          <a:extLst>
            <a:ext uri="{FF2B5EF4-FFF2-40B4-BE49-F238E27FC236}">
              <a16:creationId xmlns:a16="http://schemas.microsoft.com/office/drawing/2014/main" id="{00000000-0008-0000-0D00-000022000000}"/>
            </a:ext>
          </a:extLst>
        </xdr:cNvPr>
        <xdr:cNvSpPr txBox="1"/>
      </xdr:nvSpPr>
      <xdr:spPr>
        <a:xfrm>
          <a:off x="7335050" y="5084588"/>
          <a:ext cx="579120" cy="270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17BAF-38DB-4C91-ADAA-40EEB2ECAB34}" type="TxLink">
            <a:rPr lang="en-US" sz="1100" b="1" i="0" u="none" strike="noStrike">
              <a:solidFill>
                <a:srgbClr val="C00000"/>
              </a:solidFill>
              <a:latin typeface="Arial Narrow"/>
            </a:rPr>
            <a:pPr algn="ctr"/>
            <a:t>7,8%</a:t>
          </a:fld>
          <a:endParaRPr lang="fr-FR" sz="1100">
            <a:solidFill>
              <a:srgbClr val="C00000"/>
            </a:solidFill>
          </a:endParaRPr>
        </a:p>
      </xdr:txBody>
    </xdr:sp>
    <xdr:clientData/>
  </xdr:twoCellAnchor>
  <xdr:twoCellAnchor>
    <xdr:from>
      <xdr:col>5</xdr:col>
      <xdr:colOff>236285</xdr:colOff>
      <xdr:row>26</xdr:row>
      <xdr:rowOff>69091</xdr:rowOff>
    </xdr:from>
    <xdr:to>
      <xdr:col>6</xdr:col>
      <xdr:colOff>45464</xdr:colOff>
      <xdr:row>28</xdr:row>
      <xdr:rowOff>25869</xdr:rowOff>
    </xdr:to>
    <xdr:sp macro="" textlink="'Tableau détaillé'!$H$20">
      <xdr:nvSpPr>
        <xdr:cNvPr id="35" name="ZoneTexte 34">
          <a:extLst>
            <a:ext uri="{FF2B5EF4-FFF2-40B4-BE49-F238E27FC236}">
              <a16:creationId xmlns:a16="http://schemas.microsoft.com/office/drawing/2014/main" id="{00000000-0008-0000-0D00-000023000000}"/>
            </a:ext>
          </a:extLst>
        </xdr:cNvPr>
        <xdr:cNvSpPr txBox="1"/>
      </xdr:nvSpPr>
      <xdr:spPr>
        <a:xfrm>
          <a:off x="3396344" y="5190179"/>
          <a:ext cx="571179" cy="337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517BAF-38DB-4C91-ADAA-40EEB2ECAB34}" type="TxLink">
            <a:rPr lang="en-US" sz="1100" b="1" i="0" u="none" strike="noStrike">
              <a:solidFill>
                <a:srgbClr val="C00000"/>
              </a:solidFill>
              <a:latin typeface="Arial Narrow"/>
            </a:rPr>
            <a:pPr algn="ctr"/>
            <a:t>7,8%</a:t>
          </a:fld>
          <a:endParaRPr lang="fr-FR" sz="1100">
            <a:solidFill>
              <a:srgbClr val="C00000"/>
            </a:solidFill>
          </a:endParaRPr>
        </a:p>
      </xdr:txBody>
    </xdr:sp>
    <xdr:clientData/>
  </xdr:twoCellAnchor>
  <xdr:twoCellAnchor>
    <xdr:from>
      <xdr:col>11</xdr:col>
      <xdr:colOff>193877</xdr:colOff>
      <xdr:row>84</xdr:row>
      <xdr:rowOff>144797</xdr:rowOff>
    </xdr:from>
    <xdr:to>
      <xdr:col>12</xdr:col>
      <xdr:colOff>41477</xdr:colOff>
      <xdr:row>86</xdr:row>
      <xdr:rowOff>101255</xdr:rowOff>
    </xdr:to>
    <xdr:sp macro="" textlink="'Tableau détaillé'!$H$52">
      <xdr:nvSpPr>
        <xdr:cNvPr id="36" name="ZoneTexte 35">
          <a:extLst>
            <a:ext uri="{FF2B5EF4-FFF2-40B4-BE49-F238E27FC236}">
              <a16:creationId xmlns:a16="http://schemas.microsoft.com/office/drawing/2014/main" id="{00000000-0008-0000-0D00-000024000000}"/>
            </a:ext>
          </a:extLst>
        </xdr:cNvPr>
        <xdr:cNvSpPr txBox="1"/>
      </xdr:nvSpPr>
      <xdr:spPr>
        <a:xfrm>
          <a:off x="7925936" y="16202826"/>
          <a:ext cx="609600" cy="337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481C89-8379-4A3B-8D62-9B066DB29325}" type="TxLink">
            <a:rPr lang="en-US" sz="1100" b="1" i="0" u="none" strike="noStrike">
              <a:solidFill>
                <a:srgbClr val="C00000"/>
              </a:solidFill>
              <a:latin typeface="Arial Narrow"/>
            </a:rPr>
            <a:pPr algn="ctr"/>
            <a:t>5,0%</a:t>
          </a:fld>
          <a:endParaRPr lang="fr-FR" sz="1100">
            <a:solidFill>
              <a:srgbClr val="C00000"/>
            </a:solidFill>
          </a:endParaRPr>
        </a:p>
      </xdr:txBody>
    </xdr:sp>
    <xdr:clientData/>
  </xdr:twoCellAnchor>
  <xdr:twoCellAnchor>
    <xdr:from>
      <xdr:col>5</xdr:col>
      <xdr:colOff>702055</xdr:colOff>
      <xdr:row>86</xdr:row>
      <xdr:rowOff>48264</xdr:rowOff>
    </xdr:from>
    <xdr:to>
      <xdr:col>6</xdr:col>
      <xdr:colOff>514821</xdr:colOff>
      <xdr:row>88</xdr:row>
      <xdr:rowOff>4720</xdr:rowOff>
    </xdr:to>
    <xdr:sp macro="" textlink="'Tableau détaillé'!$H$52">
      <xdr:nvSpPr>
        <xdr:cNvPr id="37" name="ZoneTexte 36">
          <a:extLst>
            <a:ext uri="{FF2B5EF4-FFF2-40B4-BE49-F238E27FC236}">
              <a16:creationId xmlns:a16="http://schemas.microsoft.com/office/drawing/2014/main" id="{00000000-0008-0000-0D00-000025000000}"/>
            </a:ext>
          </a:extLst>
        </xdr:cNvPr>
        <xdr:cNvSpPr txBox="1"/>
      </xdr:nvSpPr>
      <xdr:spPr>
        <a:xfrm>
          <a:off x="3862114" y="16487293"/>
          <a:ext cx="574766" cy="337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481C89-8379-4A3B-8D62-9B066DB29325}" type="TxLink">
            <a:rPr lang="en-US" sz="1100" b="1" i="0" u="none" strike="noStrike">
              <a:solidFill>
                <a:srgbClr val="C00000"/>
              </a:solidFill>
              <a:latin typeface="Arial Narrow"/>
            </a:rPr>
            <a:pPr algn="ctr"/>
            <a:t>5,0%</a:t>
          </a:fld>
          <a:endParaRPr lang="fr-FR" sz="1100">
            <a:solidFill>
              <a:srgbClr val="C00000"/>
            </a:solidFill>
          </a:endParaRPr>
        </a:p>
      </xdr:txBody>
    </xdr:sp>
    <xdr:clientData/>
  </xdr:twoCellAnchor>
  <xdr:twoCellAnchor>
    <xdr:from>
      <xdr:col>11</xdr:col>
      <xdr:colOff>59728</xdr:colOff>
      <xdr:row>123</xdr:row>
      <xdr:rowOff>115003</xdr:rowOff>
    </xdr:from>
    <xdr:to>
      <xdr:col>11</xdr:col>
      <xdr:colOff>636671</xdr:colOff>
      <xdr:row>125</xdr:row>
      <xdr:rowOff>71459</xdr:rowOff>
    </xdr:to>
    <xdr:sp macro="" textlink="'Tableau détaillé'!$H$85">
      <xdr:nvSpPr>
        <xdr:cNvPr id="38" name="ZoneTexte 37">
          <a:extLst>
            <a:ext uri="{FF2B5EF4-FFF2-40B4-BE49-F238E27FC236}">
              <a16:creationId xmlns:a16="http://schemas.microsoft.com/office/drawing/2014/main" id="{00000000-0008-0000-0D00-000026000000}"/>
            </a:ext>
          </a:extLst>
        </xdr:cNvPr>
        <xdr:cNvSpPr txBox="1"/>
      </xdr:nvSpPr>
      <xdr:spPr>
        <a:xfrm>
          <a:off x="7791787" y="23277562"/>
          <a:ext cx="576943" cy="337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770904-1C38-4396-9483-00826ABE9CF5}" type="TxLink">
            <a:rPr lang="en-US" sz="1100" b="1" i="0" u="none" strike="noStrike">
              <a:solidFill>
                <a:srgbClr val="C00000"/>
              </a:solidFill>
              <a:latin typeface="Arial Narrow"/>
            </a:rPr>
            <a:pPr algn="ctr"/>
            <a:t>1,8%</a:t>
          </a:fld>
          <a:endParaRPr lang="fr-FR" sz="1100">
            <a:solidFill>
              <a:srgbClr val="C00000"/>
            </a:solidFill>
          </a:endParaRPr>
        </a:p>
      </xdr:txBody>
    </xdr:sp>
    <xdr:clientData/>
  </xdr:twoCellAnchor>
  <xdr:twoCellAnchor>
    <xdr:from>
      <xdr:col>8</xdr:col>
      <xdr:colOff>418921</xdr:colOff>
      <xdr:row>138</xdr:row>
      <xdr:rowOff>164069</xdr:rowOff>
    </xdr:from>
    <xdr:to>
      <xdr:col>9</xdr:col>
      <xdr:colOff>233864</xdr:colOff>
      <xdr:row>140</xdr:row>
      <xdr:rowOff>112906</xdr:rowOff>
    </xdr:to>
    <xdr:sp macro="" textlink="'Tableau détaillé'!$H$117">
      <xdr:nvSpPr>
        <xdr:cNvPr id="39" name="ZoneTexte 38">
          <a:extLst>
            <a:ext uri="{FF2B5EF4-FFF2-40B4-BE49-F238E27FC236}">
              <a16:creationId xmlns:a16="http://schemas.microsoft.com/office/drawing/2014/main" id="{00000000-0008-0000-0D00-000027000000}"/>
            </a:ext>
          </a:extLst>
        </xdr:cNvPr>
        <xdr:cNvSpPr txBox="1"/>
      </xdr:nvSpPr>
      <xdr:spPr>
        <a:xfrm>
          <a:off x="5867221" y="26224469"/>
          <a:ext cx="576943" cy="3298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8A6E14-281C-493B-9DF5-AFEEA384A376}" type="TxLink">
            <a:rPr lang="en-US" sz="1100" b="1" i="0" u="none" strike="noStrike">
              <a:solidFill>
                <a:srgbClr val="C00000"/>
              </a:solidFill>
              <a:latin typeface="Arial Narrow"/>
            </a:rPr>
            <a:pPr algn="ctr"/>
            <a:t>2,1 pts</a:t>
          </a:fld>
          <a:endParaRPr lang="fr-FR" sz="1100">
            <a:solidFill>
              <a:srgbClr val="C00000"/>
            </a:solidFill>
          </a:endParaRPr>
        </a:p>
      </xdr:txBody>
    </xdr:sp>
    <xdr:clientData/>
  </xdr:twoCellAnchor>
  <xdr:twoCellAnchor>
    <xdr:from>
      <xdr:col>8</xdr:col>
      <xdr:colOff>491858</xdr:colOff>
      <xdr:row>160</xdr:row>
      <xdr:rowOff>90958</xdr:rowOff>
    </xdr:from>
    <xdr:to>
      <xdr:col>9</xdr:col>
      <xdr:colOff>331518</xdr:colOff>
      <xdr:row>162</xdr:row>
      <xdr:rowOff>38387</xdr:rowOff>
    </xdr:to>
    <xdr:sp macro="" textlink="'Tableau détaillé'!$H$132">
      <xdr:nvSpPr>
        <xdr:cNvPr id="40" name="ZoneTexte 38">
          <a:extLst>
            <a:ext uri="{FF2B5EF4-FFF2-40B4-BE49-F238E27FC236}">
              <a16:creationId xmlns:a16="http://schemas.microsoft.com/office/drawing/2014/main" id="{00000000-0008-0000-0D00-000028000000}"/>
            </a:ext>
          </a:extLst>
        </xdr:cNvPr>
        <xdr:cNvSpPr txBox="1"/>
      </xdr:nvSpPr>
      <xdr:spPr>
        <a:xfrm>
          <a:off x="5940158" y="30275683"/>
          <a:ext cx="601660" cy="328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7F55BC77-093C-450A-BCFC-1AF65CFFFBA5}" type="TxLink">
            <a:rPr lang="en-US" sz="1100" b="1" i="0" u="none" strike="noStrike">
              <a:solidFill>
                <a:srgbClr val="C00000"/>
              </a:solidFill>
              <a:latin typeface="Arial Narrow"/>
            </a:rPr>
            <a:pPr algn="ctr"/>
            <a:t>-0,4 pts</a:t>
          </a:fld>
          <a:endParaRPr lang="fr-FR" sz="1100">
            <a:solidFill>
              <a:srgbClr val="C00000"/>
            </a:solidFill>
          </a:endParaRPr>
        </a:p>
      </xdr:txBody>
    </xdr:sp>
    <xdr:clientData/>
  </xdr:twoCellAnchor>
  <xdr:twoCellAnchor>
    <xdr:from>
      <xdr:col>6</xdr:col>
      <xdr:colOff>219616</xdr:colOff>
      <xdr:row>160</xdr:row>
      <xdr:rowOff>36677</xdr:rowOff>
    </xdr:from>
    <xdr:to>
      <xdr:col>7</xdr:col>
      <xdr:colOff>40323</xdr:colOff>
      <xdr:row>162</xdr:row>
      <xdr:rowOff>16809</xdr:rowOff>
    </xdr:to>
    <xdr:sp macro="" textlink="'Tableau détaillé'!$H$132">
      <xdr:nvSpPr>
        <xdr:cNvPr id="41" name="ZoneTexte 38">
          <a:extLst>
            <a:ext uri="{FF2B5EF4-FFF2-40B4-BE49-F238E27FC236}">
              <a16:creationId xmlns:a16="http://schemas.microsoft.com/office/drawing/2014/main" id="{00000000-0008-0000-0D00-000029000000}"/>
            </a:ext>
          </a:extLst>
        </xdr:cNvPr>
        <xdr:cNvSpPr txBox="1"/>
      </xdr:nvSpPr>
      <xdr:spPr>
        <a:xfrm>
          <a:off x="4143916" y="30221402"/>
          <a:ext cx="582707" cy="361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7F55BC77-093C-450A-BCFC-1AF65CFFFBA5}" type="TxLink">
            <a:rPr lang="en-US" sz="1100" b="1" i="0" u="none" strike="noStrike">
              <a:solidFill>
                <a:srgbClr val="C00000"/>
              </a:solidFill>
              <a:latin typeface="Arial Narrow"/>
            </a:rPr>
            <a:pPr algn="ctr"/>
            <a:t>-0,4 pts</a:t>
          </a:fld>
          <a:endParaRPr lang="fr-FR" sz="1100">
            <a:solidFill>
              <a:srgbClr val="C00000"/>
            </a:solidFill>
          </a:endParaRPr>
        </a:p>
      </xdr:txBody>
    </xdr:sp>
    <xdr:clientData/>
  </xdr:twoCellAnchor>
  <xdr:twoCellAnchor>
    <xdr:from>
      <xdr:col>8</xdr:col>
      <xdr:colOff>375574</xdr:colOff>
      <xdr:row>178</xdr:row>
      <xdr:rowOff>189300</xdr:rowOff>
    </xdr:from>
    <xdr:to>
      <xdr:col>9</xdr:col>
      <xdr:colOff>190517</xdr:colOff>
      <xdr:row>180</xdr:row>
      <xdr:rowOff>59392</xdr:rowOff>
    </xdr:to>
    <xdr:sp macro="" textlink="'Tableau détaillé'!$H$150">
      <xdr:nvSpPr>
        <xdr:cNvPr id="42" name="ZoneTexte 38">
          <a:extLst>
            <a:ext uri="{FF2B5EF4-FFF2-40B4-BE49-F238E27FC236}">
              <a16:creationId xmlns:a16="http://schemas.microsoft.com/office/drawing/2014/main" id="{00000000-0008-0000-0D00-00002A000000}"/>
            </a:ext>
          </a:extLst>
        </xdr:cNvPr>
        <xdr:cNvSpPr txBox="1"/>
      </xdr:nvSpPr>
      <xdr:spPr>
        <a:xfrm>
          <a:off x="5823874" y="33726825"/>
          <a:ext cx="576943" cy="25109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0160E3DE-ABC4-4259-A7CA-47D5A96FF7DF}" type="TxLink">
            <a:rPr lang="en-US" sz="1100" b="1" i="0" u="none" strike="noStrike">
              <a:solidFill>
                <a:srgbClr val="C00000"/>
              </a:solidFill>
              <a:latin typeface="Arial Narrow"/>
            </a:rPr>
            <a:pPr algn="ctr"/>
            <a:t>8,8 pts</a:t>
          </a:fld>
          <a:endParaRPr lang="fr-FR" sz="1100">
            <a:solidFill>
              <a:srgbClr val="C00000"/>
            </a:solidFill>
          </a:endParaRPr>
        </a:p>
      </xdr:txBody>
    </xdr:sp>
    <xdr:clientData/>
  </xdr:twoCellAnchor>
  <xdr:twoCellAnchor>
    <xdr:from>
      <xdr:col>24</xdr:col>
      <xdr:colOff>133378</xdr:colOff>
      <xdr:row>9</xdr:row>
      <xdr:rowOff>170483</xdr:rowOff>
    </xdr:from>
    <xdr:to>
      <xdr:col>24</xdr:col>
      <xdr:colOff>710320</xdr:colOff>
      <xdr:row>11</xdr:row>
      <xdr:rowOff>122304</xdr:rowOff>
    </xdr:to>
    <xdr:sp macro="" textlink="'Tableau détaillé'!$H$185">
      <xdr:nvSpPr>
        <xdr:cNvPr id="43" name="ZoneTexte 42">
          <a:extLst>
            <a:ext uri="{FF2B5EF4-FFF2-40B4-BE49-F238E27FC236}">
              <a16:creationId xmlns:a16="http://schemas.microsoft.com/office/drawing/2014/main" id="{00000000-0008-0000-0D00-00002B000000}"/>
            </a:ext>
          </a:extLst>
        </xdr:cNvPr>
        <xdr:cNvSpPr txBox="1"/>
      </xdr:nvSpPr>
      <xdr:spPr>
        <a:xfrm>
          <a:off x="17424054" y="2053071"/>
          <a:ext cx="576942" cy="332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DF5590-FD9E-4919-88C6-97F0E209E8AA}" type="TxLink">
            <a:rPr lang="en-US" sz="1100" b="1" i="0" u="none" strike="noStrike">
              <a:solidFill>
                <a:srgbClr val="C00000"/>
              </a:solidFill>
              <a:latin typeface="Arial Narrow"/>
            </a:rPr>
            <a:pPr algn="ctr"/>
            <a:t>1,5%</a:t>
          </a:fld>
          <a:endParaRPr lang="fr-FR" sz="1100">
            <a:solidFill>
              <a:srgbClr val="C00000"/>
            </a:solidFill>
          </a:endParaRPr>
        </a:p>
      </xdr:txBody>
    </xdr:sp>
    <xdr:clientData/>
  </xdr:twoCellAnchor>
  <xdr:twoCellAnchor>
    <xdr:from>
      <xdr:col>18</xdr:col>
      <xdr:colOff>694503</xdr:colOff>
      <xdr:row>9</xdr:row>
      <xdr:rowOff>87628</xdr:rowOff>
    </xdr:from>
    <xdr:to>
      <xdr:col>19</xdr:col>
      <xdr:colOff>515209</xdr:colOff>
      <xdr:row>11</xdr:row>
      <xdr:rowOff>44087</xdr:rowOff>
    </xdr:to>
    <xdr:sp macro="" textlink="'Tableau détaillé'!$H$185">
      <xdr:nvSpPr>
        <xdr:cNvPr id="44" name="ZoneTexte 43">
          <a:extLst>
            <a:ext uri="{FF2B5EF4-FFF2-40B4-BE49-F238E27FC236}">
              <a16:creationId xmlns:a16="http://schemas.microsoft.com/office/drawing/2014/main" id="{00000000-0008-0000-0D00-00002C000000}"/>
            </a:ext>
          </a:extLst>
        </xdr:cNvPr>
        <xdr:cNvSpPr txBox="1"/>
      </xdr:nvSpPr>
      <xdr:spPr>
        <a:xfrm>
          <a:off x="13419903" y="1983103"/>
          <a:ext cx="582706" cy="3374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DF5590-FD9E-4919-88C6-97F0E209E8AA}" type="TxLink">
            <a:rPr lang="en-US" sz="1100" b="1" i="0" u="none" strike="noStrike">
              <a:solidFill>
                <a:srgbClr val="C00000"/>
              </a:solidFill>
              <a:latin typeface="Arial Narrow"/>
            </a:rPr>
            <a:pPr algn="ctr"/>
            <a:t>1,5%</a:t>
          </a:fld>
          <a:endParaRPr lang="fr-FR" sz="1100">
            <a:solidFill>
              <a:srgbClr val="C00000"/>
            </a:solidFill>
          </a:endParaRPr>
        </a:p>
      </xdr:txBody>
    </xdr:sp>
    <xdr:clientData/>
  </xdr:twoCellAnchor>
  <xdr:twoCellAnchor>
    <xdr:from>
      <xdr:col>23</xdr:col>
      <xdr:colOff>97976</xdr:colOff>
      <xdr:row>0</xdr:row>
      <xdr:rowOff>97971</xdr:rowOff>
    </xdr:from>
    <xdr:to>
      <xdr:col>30</xdr:col>
      <xdr:colOff>718458</xdr:colOff>
      <xdr:row>2</xdr:row>
      <xdr:rowOff>152399</xdr:rowOff>
    </xdr:to>
    <xdr:grpSp>
      <xdr:nvGrpSpPr>
        <xdr:cNvPr id="93" name="Groupe 92">
          <a:extLst>
            <a:ext uri="{FF2B5EF4-FFF2-40B4-BE49-F238E27FC236}">
              <a16:creationId xmlns:a16="http://schemas.microsoft.com/office/drawing/2014/main" id="{00000000-0008-0000-0D00-00005D000000}"/>
            </a:ext>
          </a:extLst>
        </xdr:cNvPr>
        <xdr:cNvGrpSpPr/>
      </xdr:nvGrpSpPr>
      <xdr:grpSpPr>
        <a:xfrm>
          <a:off x="17128676" y="97971"/>
          <a:ext cx="6114502" cy="793568"/>
          <a:chOff x="15838714" y="97971"/>
          <a:chExt cx="3047999" cy="794657"/>
        </a:xfrm>
      </xdr:grpSpPr>
      <xdr:sp macro="" textlink="">
        <xdr:nvSpPr>
          <xdr:cNvPr id="48" name="Rectangle 47">
            <a:extLst>
              <a:ext uri="{FF2B5EF4-FFF2-40B4-BE49-F238E27FC236}">
                <a16:creationId xmlns:a16="http://schemas.microsoft.com/office/drawing/2014/main" id="{00000000-0008-0000-0D00-000030000000}"/>
              </a:ext>
            </a:extLst>
          </xdr:cNvPr>
          <xdr:cNvSpPr/>
        </xdr:nvSpPr>
        <xdr:spPr>
          <a:xfrm>
            <a:off x="15838714" y="174173"/>
            <a:ext cx="1404256" cy="1440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00000000-0008-0000-0D00-000031000000}"/>
              </a:ext>
            </a:extLst>
          </xdr:cNvPr>
          <xdr:cNvSpPr/>
        </xdr:nvSpPr>
        <xdr:spPr>
          <a:xfrm>
            <a:off x="15838714" y="435430"/>
            <a:ext cx="1404256" cy="144000"/>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1" name="Connecteur droit 50">
            <a:extLst>
              <a:ext uri="{FF2B5EF4-FFF2-40B4-BE49-F238E27FC236}">
                <a16:creationId xmlns:a16="http://schemas.microsoft.com/office/drawing/2014/main" id="{00000000-0008-0000-0D00-000033000000}"/>
              </a:ext>
            </a:extLst>
          </xdr:cNvPr>
          <xdr:cNvCxnSpPr/>
        </xdr:nvCxnSpPr>
        <xdr:spPr>
          <a:xfrm>
            <a:off x="15838714" y="718458"/>
            <a:ext cx="1415142" cy="0"/>
          </a:xfrm>
          <a:prstGeom prst="line">
            <a:avLst/>
          </a:prstGeom>
          <a:ln w="28575">
            <a:solidFill>
              <a:srgbClr val="C00000"/>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ZoneTexte 51">
            <a:extLst>
              <a:ext uri="{FF2B5EF4-FFF2-40B4-BE49-F238E27FC236}">
                <a16:creationId xmlns:a16="http://schemas.microsoft.com/office/drawing/2014/main" id="{00000000-0008-0000-0D00-000034000000}"/>
              </a:ext>
            </a:extLst>
          </xdr:cNvPr>
          <xdr:cNvSpPr txBox="1"/>
        </xdr:nvSpPr>
        <xdr:spPr>
          <a:xfrm>
            <a:off x="17264741" y="97971"/>
            <a:ext cx="1621972" cy="79465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a:t>Filiales AFO</a:t>
            </a:r>
          </a:p>
          <a:p>
            <a:endParaRPr lang="fr-FR" sz="500"/>
          </a:p>
          <a:p>
            <a:r>
              <a:rPr lang="fr-FR" sz="1100" b="1">
                <a:solidFill>
                  <a:srgbClr val="FF0000"/>
                </a:solidFill>
              </a:rPr>
              <a:t>Filiales</a:t>
            </a:r>
            <a:r>
              <a:rPr lang="fr-FR" sz="1100" b="1" baseline="0">
                <a:solidFill>
                  <a:srgbClr val="FF0000"/>
                </a:solidFill>
              </a:rPr>
              <a:t> AFCE</a:t>
            </a:r>
          </a:p>
          <a:p>
            <a:endParaRPr lang="fr-FR" sz="400" baseline="0"/>
          </a:p>
          <a:p>
            <a:r>
              <a:rPr lang="fr-FR" sz="1100" b="1" baseline="0">
                <a:solidFill>
                  <a:srgbClr val="C00000"/>
                </a:solidFill>
              </a:rPr>
              <a:t>Moyenne AFS (Sauf Graphique production Crédit)</a:t>
            </a:r>
            <a:endParaRPr lang="fr-FR" sz="1100" b="1">
              <a:solidFill>
                <a:srgbClr val="C00000"/>
              </a:solidFill>
            </a:endParaRPr>
          </a:p>
        </xdr:txBody>
      </xdr:sp>
    </xdr:grpSp>
    <xdr:clientData/>
  </xdr:twoCellAnchor>
  <xdr:twoCellAnchor>
    <xdr:from>
      <xdr:col>1</xdr:col>
      <xdr:colOff>163286</xdr:colOff>
      <xdr:row>100</xdr:row>
      <xdr:rowOff>178525</xdr:rowOff>
    </xdr:from>
    <xdr:to>
      <xdr:col>6</xdr:col>
      <xdr:colOff>762000</xdr:colOff>
      <xdr:row>115</xdr:row>
      <xdr:rowOff>58782</xdr:rowOff>
    </xdr:to>
    <xdr:graphicFrame macro="">
      <xdr:nvGraphicFramePr>
        <xdr:cNvPr id="61" name="Graphique 60">
          <a:extLst>
            <a:ext uri="{FF2B5EF4-FFF2-40B4-BE49-F238E27FC236}">
              <a16:creationId xmlns:a16="http://schemas.microsoft.com/office/drawing/2014/main" id="{00000000-0008-0000-0D00-00003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58783</xdr:colOff>
      <xdr:row>100</xdr:row>
      <xdr:rowOff>163285</xdr:rowOff>
    </xdr:from>
    <xdr:to>
      <xdr:col>12</xdr:col>
      <xdr:colOff>657498</xdr:colOff>
      <xdr:row>115</xdr:row>
      <xdr:rowOff>43542</xdr:rowOff>
    </xdr:to>
    <xdr:graphicFrame macro="">
      <xdr:nvGraphicFramePr>
        <xdr:cNvPr id="62" name="Graphique 61">
          <a:extLst>
            <a:ext uri="{FF2B5EF4-FFF2-40B4-BE49-F238E27FC236}">
              <a16:creationId xmlns:a16="http://schemas.microsoft.com/office/drawing/2014/main" id="{00000000-0008-0000-0D00-00003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163286</xdr:colOff>
      <xdr:row>58</xdr:row>
      <xdr:rowOff>167640</xdr:rowOff>
    </xdr:from>
    <xdr:to>
      <xdr:col>6</xdr:col>
      <xdr:colOff>762000</xdr:colOff>
      <xdr:row>75</xdr:row>
      <xdr:rowOff>37012</xdr:rowOff>
    </xdr:to>
    <xdr:graphicFrame macro="">
      <xdr:nvGraphicFramePr>
        <xdr:cNvPr id="71" name="Graphique 70">
          <a:extLst>
            <a:ext uri="{FF2B5EF4-FFF2-40B4-BE49-F238E27FC236}">
              <a16:creationId xmlns:a16="http://schemas.microsoft.com/office/drawing/2014/main" id="{00000000-0008-0000-0D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58783</xdr:colOff>
      <xdr:row>58</xdr:row>
      <xdr:rowOff>152400</xdr:rowOff>
    </xdr:from>
    <xdr:to>
      <xdr:col>12</xdr:col>
      <xdr:colOff>657498</xdr:colOff>
      <xdr:row>75</xdr:row>
      <xdr:rowOff>21772</xdr:rowOff>
    </xdr:to>
    <xdr:graphicFrame macro="">
      <xdr:nvGraphicFramePr>
        <xdr:cNvPr id="72" name="Graphique 71">
          <a:extLst>
            <a:ext uri="{FF2B5EF4-FFF2-40B4-BE49-F238E27FC236}">
              <a16:creationId xmlns:a16="http://schemas.microsoft.com/office/drawing/2014/main" id="{00000000-0008-0000-0D00-00004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598713</xdr:colOff>
      <xdr:row>64</xdr:row>
      <xdr:rowOff>123424</xdr:rowOff>
    </xdr:from>
    <xdr:to>
      <xdr:col>9</xdr:col>
      <xdr:colOff>394446</xdr:colOff>
      <xdr:row>65</xdr:row>
      <xdr:rowOff>169207</xdr:rowOff>
    </xdr:to>
    <xdr:sp macro="" textlink="'Tableau détaillé'!$I$20">
      <xdr:nvSpPr>
        <xdr:cNvPr id="73" name="ZoneTexte 72">
          <a:extLst>
            <a:ext uri="{FF2B5EF4-FFF2-40B4-BE49-F238E27FC236}">
              <a16:creationId xmlns:a16="http://schemas.microsoft.com/office/drawing/2014/main" id="{00000000-0008-0000-0D00-000049000000}"/>
            </a:ext>
          </a:extLst>
        </xdr:cNvPr>
        <xdr:cNvSpPr txBox="1"/>
      </xdr:nvSpPr>
      <xdr:spPr>
        <a:xfrm>
          <a:off x="6047013" y="12544024"/>
          <a:ext cx="557733" cy="23628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E69F99-9D23-48FA-B36C-3D631EB84F21}" type="TxLink">
            <a:rPr lang="en-US" sz="1100" b="1" i="0" u="none" strike="noStrike">
              <a:solidFill>
                <a:srgbClr val="C00000"/>
              </a:solidFill>
              <a:latin typeface="Arial Narrow"/>
            </a:rPr>
            <a:pPr algn="ctr"/>
            <a:t>7,8%</a:t>
          </a:fld>
          <a:endParaRPr lang="fr-FR" sz="1100">
            <a:solidFill>
              <a:srgbClr val="C00000"/>
            </a:solidFill>
          </a:endParaRPr>
        </a:p>
      </xdr:txBody>
    </xdr:sp>
    <xdr:clientData/>
  </xdr:twoCellAnchor>
  <xdr:twoCellAnchor>
    <xdr:from>
      <xdr:col>6</xdr:col>
      <xdr:colOff>240303</xdr:colOff>
      <xdr:row>66</xdr:row>
      <xdr:rowOff>102854</xdr:rowOff>
    </xdr:from>
    <xdr:to>
      <xdr:col>7</xdr:col>
      <xdr:colOff>82139</xdr:colOff>
      <xdr:row>68</xdr:row>
      <xdr:rowOff>59633</xdr:rowOff>
    </xdr:to>
    <xdr:sp macro="" textlink="'Tableau détaillé'!$I$20">
      <xdr:nvSpPr>
        <xdr:cNvPr id="74" name="ZoneTexte 73">
          <a:extLst>
            <a:ext uri="{FF2B5EF4-FFF2-40B4-BE49-F238E27FC236}">
              <a16:creationId xmlns:a16="http://schemas.microsoft.com/office/drawing/2014/main" id="{00000000-0008-0000-0D00-00004A000000}"/>
            </a:ext>
          </a:extLst>
        </xdr:cNvPr>
        <xdr:cNvSpPr txBox="1"/>
      </xdr:nvSpPr>
      <xdr:spPr>
        <a:xfrm>
          <a:off x="4164603" y="12904454"/>
          <a:ext cx="603836" cy="337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E69F99-9D23-48FA-B36C-3D631EB84F21}" type="TxLink">
            <a:rPr lang="en-US" sz="1100" b="1" i="0" u="none" strike="noStrike">
              <a:solidFill>
                <a:srgbClr val="C00000"/>
              </a:solidFill>
              <a:latin typeface="Arial Narrow"/>
            </a:rPr>
            <a:pPr algn="ctr"/>
            <a:t>7,8%</a:t>
          </a:fld>
          <a:endParaRPr lang="fr-FR" sz="1100">
            <a:solidFill>
              <a:srgbClr val="C00000"/>
            </a:solidFill>
          </a:endParaRPr>
        </a:p>
      </xdr:txBody>
    </xdr:sp>
    <xdr:clientData/>
  </xdr:twoCellAnchor>
  <xdr:twoCellAnchor>
    <xdr:from>
      <xdr:col>11</xdr:col>
      <xdr:colOff>116925</xdr:colOff>
      <xdr:row>102</xdr:row>
      <xdr:rowOff>142683</xdr:rowOff>
    </xdr:from>
    <xdr:to>
      <xdr:col>11</xdr:col>
      <xdr:colOff>726525</xdr:colOff>
      <xdr:row>104</xdr:row>
      <xdr:rowOff>99141</xdr:rowOff>
    </xdr:to>
    <xdr:sp macro="" textlink="'Tableau détaillé'!$I$52">
      <xdr:nvSpPr>
        <xdr:cNvPr id="75" name="ZoneTexte 74">
          <a:extLst>
            <a:ext uri="{FF2B5EF4-FFF2-40B4-BE49-F238E27FC236}">
              <a16:creationId xmlns:a16="http://schemas.microsoft.com/office/drawing/2014/main" id="{00000000-0008-0000-0D00-00004B000000}"/>
            </a:ext>
          </a:extLst>
        </xdr:cNvPr>
        <xdr:cNvSpPr txBox="1"/>
      </xdr:nvSpPr>
      <xdr:spPr>
        <a:xfrm>
          <a:off x="7851225" y="19554633"/>
          <a:ext cx="609600" cy="318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735D97-0CBD-40C2-9852-77BCC66E3CEC}" type="TxLink">
            <a:rPr lang="en-US" sz="1100" b="1" i="0" u="none" strike="noStrike">
              <a:solidFill>
                <a:srgbClr val="C00000"/>
              </a:solidFill>
              <a:latin typeface="Arial Narrow"/>
            </a:rPr>
            <a:pPr algn="ctr"/>
            <a:t>5,0%</a:t>
          </a:fld>
          <a:endParaRPr lang="fr-FR" sz="1100">
            <a:solidFill>
              <a:srgbClr val="C00000"/>
            </a:solidFill>
          </a:endParaRPr>
        </a:p>
      </xdr:txBody>
    </xdr:sp>
    <xdr:clientData/>
  </xdr:twoCellAnchor>
  <xdr:twoCellAnchor>
    <xdr:from>
      <xdr:col>6</xdr:col>
      <xdr:colOff>17450</xdr:colOff>
      <xdr:row>105</xdr:row>
      <xdr:rowOff>115500</xdr:rowOff>
    </xdr:from>
    <xdr:to>
      <xdr:col>6</xdr:col>
      <xdr:colOff>588629</xdr:colOff>
      <xdr:row>107</xdr:row>
      <xdr:rowOff>71959</xdr:rowOff>
    </xdr:to>
    <xdr:sp macro="" textlink="'Tableau détaillé'!$I$52">
      <xdr:nvSpPr>
        <xdr:cNvPr id="76" name="ZoneTexte 75">
          <a:extLst>
            <a:ext uri="{FF2B5EF4-FFF2-40B4-BE49-F238E27FC236}">
              <a16:creationId xmlns:a16="http://schemas.microsoft.com/office/drawing/2014/main" id="{00000000-0008-0000-0D00-00004C000000}"/>
            </a:ext>
          </a:extLst>
        </xdr:cNvPr>
        <xdr:cNvSpPr txBox="1"/>
      </xdr:nvSpPr>
      <xdr:spPr>
        <a:xfrm>
          <a:off x="3941750" y="20070375"/>
          <a:ext cx="571179" cy="31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735D97-0CBD-40C2-9852-77BCC66E3CEC}" type="TxLink">
            <a:rPr lang="en-US" sz="1100" b="1" i="0" u="none" strike="noStrike">
              <a:solidFill>
                <a:srgbClr val="C00000"/>
              </a:solidFill>
              <a:latin typeface="Arial Narrow"/>
            </a:rPr>
            <a:pPr algn="ctr"/>
            <a:t>5,0%</a:t>
          </a:fld>
          <a:endParaRPr lang="fr-FR" sz="1100">
            <a:solidFill>
              <a:srgbClr val="C00000"/>
            </a:solidFill>
          </a:endParaRPr>
        </a:p>
      </xdr:txBody>
    </xdr:sp>
    <xdr:clientData/>
  </xdr:twoCellAnchor>
  <xdr:twoCellAnchor>
    <xdr:from>
      <xdr:col>14</xdr:col>
      <xdr:colOff>136161</xdr:colOff>
      <xdr:row>60</xdr:row>
      <xdr:rowOff>118334</xdr:rowOff>
    </xdr:from>
    <xdr:to>
      <xdr:col>19</xdr:col>
      <xdr:colOff>724246</xdr:colOff>
      <xdr:row>75</xdr:row>
      <xdr:rowOff>72165</xdr:rowOff>
    </xdr:to>
    <xdr:graphicFrame macro="">
      <xdr:nvGraphicFramePr>
        <xdr:cNvPr id="77" name="Graphique 76">
          <a:extLst>
            <a:ext uri="{FF2B5EF4-FFF2-40B4-BE49-F238E27FC236}">
              <a16:creationId xmlns:a16="http://schemas.microsoft.com/office/drawing/2014/main" id="{00000000-0008-0000-0D00-00004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63650</xdr:colOff>
      <xdr:row>60</xdr:row>
      <xdr:rowOff>118334</xdr:rowOff>
    </xdr:from>
    <xdr:to>
      <xdr:col>25</xdr:col>
      <xdr:colOff>655320</xdr:colOff>
      <xdr:row>75</xdr:row>
      <xdr:rowOff>72165</xdr:rowOff>
    </xdr:to>
    <xdr:graphicFrame macro="">
      <xdr:nvGraphicFramePr>
        <xdr:cNvPr id="78" name="Graphique 77">
          <a:extLst>
            <a:ext uri="{FF2B5EF4-FFF2-40B4-BE49-F238E27FC236}">
              <a16:creationId xmlns:a16="http://schemas.microsoft.com/office/drawing/2014/main" id="{00000000-0008-0000-0D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152400</xdr:colOff>
      <xdr:row>81</xdr:row>
      <xdr:rowOff>76200</xdr:rowOff>
    </xdr:from>
    <xdr:to>
      <xdr:col>25</xdr:col>
      <xdr:colOff>641873</xdr:colOff>
      <xdr:row>97</xdr:row>
      <xdr:rowOff>153514</xdr:rowOff>
    </xdr:to>
    <xdr:graphicFrame macro="">
      <xdr:nvGraphicFramePr>
        <xdr:cNvPr id="84" name="Graphique 83">
          <a:extLst>
            <a:ext uri="{FF2B5EF4-FFF2-40B4-BE49-F238E27FC236}">
              <a16:creationId xmlns:a16="http://schemas.microsoft.com/office/drawing/2014/main" id="{00000000-0008-0000-0D00-00005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181792</xdr:colOff>
      <xdr:row>98</xdr:row>
      <xdr:rowOff>76201</xdr:rowOff>
    </xdr:from>
    <xdr:to>
      <xdr:col>19</xdr:col>
      <xdr:colOff>737604</xdr:colOff>
      <xdr:row>115</xdr:row>
      <xdr:rowOff>66430</xdr:rowOff>
    </xdr:to>
    <xdr:graphicFrame macro="">
      <xdr:nvGraphicFramePr>
        <xdr:cNvPr id="85" name="Graphique 84">
          <a:extLst>
            <a:ext uri="{FF2B5EF4-FFF2-40B4-BE49-F238E27FC236}">
              <a16:creationId xmlns:a16="http://schemas.microsoft.com/office/drawing/2014/main" id="{00000000-0008-0000-0D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20</xdr:col>
      <xdr:colOff>72165</xdr:colOff>
      <xdr:row>98</xdr:row>
      <xdr:rowOff>63409</xdr:rowOff>
    </xdr:from>
    <xdr:to>
      <xdr:col>25</xdr:col>
      <xdr:colOff>627977</xdr:colOff>
      <xdr:row>115</xdr:row>
      <xdr:rowOff>53638</xdr:rowOff>
    </xdr:to>
    <xdr:graphicFrame macro="">
      <xdr:nvGraphicFramePr>
        <xdr:cNvPr id="86" name="Graphique 85">
          <a:extLst>
            <a:ext uri="{FF2B5EF4-FFF2-40B4-BE49-F238E27FC236}">
              <a16:creationId xmlns:a16="http://schemas.microsoft.com/office/drawing/2014/main" id="{00000000-0008-0000-0D00-00005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130627</xdr:colOff>
      <xdr:row>134</xdr:row>
      <xdr:rowOff>102315</xdr:rowOff>
    </xdr:from>
    <xdr:to>
      <xdr:col>19</xdr:col>
      <xdr:colOff>712970</xdr:colOff>
      <xdr:row>149</xdr:row>
      <xdr:rowOff>65315</xdr:rowOff>
    </xdr:to>
    <xdr:graphicFrame macro="">
      <xdr:nvGraphicFramePr>
        <xdr:cNvPr id="87" name="Graphique 86">
          <a:extLst>
            <a:ext uri="{FF2B5EF4-FFF2-40B4-BE49-F238E27FC236}">
              <a16:creationId xmlns:a16="http://schemas.microsoft.com/office/drawing/2014/main" id="{00000000-0008-0000-0D00-00005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20</xdr:col>
      <xdr:colOff>97606</xdr:colOff>
      <xdr:row>134</xdr:row>
      <xdr:rowOff>97973</xdr:rowOff>
    </xdr:from>
    <xdr:to>
      <xdr:col>25</xdr:col>
      <xdr:colOff>679951</xdr:colOff>
      <xdr:row>149</xdr:row>
      <xdr:rowOff>65316</xdr:rowOff>
    </xdr:to>
    <xdr:graphicFrame macro="">
      <xdr:nvGraphicFramePr>
        <xdr:cNvPr id="88" name="Graphique 87">
          <a:extLst>
            <a:ext uri="{FF2B5EF4-FFF2-40B4-BE49-F238E27FC236}">
              <a16:creationId xmlns:a16="http://schemas.microsoft.com/office/drawing/2014/main" id="{00000000-0008-0000-0D00-00005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14</xdr:col>
      <xdr:colOff>144714</xdr:colOff>
      <xdr:row>119</xdr:row>
      <xdr:rowOff>87086</xdr:rowOff>
    </xdr:from>
    <xdr:to>
      <xdr:col>25</xdr:col>
      <xdr:colOff>685074</xdr:colOff>
      <xdr:row>134</xdr:row>
      <xdr:rowOff>32658</xdr:rowOff>
    </xdr:to>
    <xdr:graphicFrame macro="">
      <xdr:nvGraphicFramePr>
        <xdr:cNvPr id="89" name="Graphique 88">
          <a:extLst>
            <a:ext uri="{FF2B5EF4-FFF2-40B4-BE49-F238E27FC236}">
              <a16:creationId xmlns:a16="http://schemas.microsoft.com/office/drawing/2014/main" id="{00000000-0008-0000-0D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14</xdr:col>
      <xdr:colOff>150478</xdr:colOff>
      <xdr:row>153</xdr:row>
      <xdr:rowOff>87086</xdr:rowOff>
    </xdr:from>
    <xdr:to>
      <xdr:col>25</xdr:col>
      <xdr:colOff>690838</xdr:colOff>
      <xdr:row>169</xdr:row>
      <xdr:rowOff>114983</xdr:rowOff>
    </xdr:to>
    <xdr:graphicFrame macro="">
      <xdr:nvGraphicFramePr>
        <xdr:cNvPr id="90" name="Graphique 89">
          <a:extLst>
            <a:ext uri="{FF2B5EF4-FFF2-40B4-BE49-F238E27FC236}">
              <a16:creationId xmlns:a16="http://schemas.microsoft.com/office/drawing/2014/main" id="{00000000-0008-0000-0D00-00005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14</xdr:col>
      <xdr:colOff>141515</xdr:colOff>
      <xdr:row>170</xdr:row>
      <xdr:rowOff>32658</xdr:rowOff>
    </xdr:from>
    <xdr:to>
      <xdr:col>19</xdr:col>
      <xdr:colOff>723858</xdr:colOff>
      <xdr:row>187</xdr:row>
      <xdr:rowOff>55879</xdr:rowOff>
    </xdr:to>
    <xdr:graphicFrame macro="">
      <xdr:nvGraphicFramePr>
        <xdr:cNvPr id="91" name="Graphique 90">
          <a:extLst>
            <a:ext uri="{FF2B5EF4-FFF2-40B4-BE49-F238E27FC236}">
              <a16:creationId xmlns:a16="http://schemas.microsoft.com/office/drawing/2014/main" id="{00000000-0008-0000-0D00-00005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20</xdr:col>
      <xdr:colOff>108494</xdr:colOff>
      <xdr:row>170</xdr:row>
      <xdr:rowOff>32657</xdr:rowOff>
    </xdr:from>
    <xdr:to>
      <xdr:col>25</xdr:col>
      <xdr:colOff>690839</xdr:colOff>
      <xdr:row>187</xdr:row>
      <xdr:rowOff>55878</xdr:rowOff>
    </xdr:to>
    <xdr:graphicFrame macro="">
      <xdr:nvGraphicFramePr>
        <xdr:cNvPr id="92" name="Graphique 91">
          <a:extLst>
            <a:ext uri="{FF2B5EF4-FFF2-40B4-BE49-F238E27FC236}">
              <a16:creationId xmlns:a16="http://schemas.microsoft.com/office/drawing/2014/main" id="{00000000-0008-0000-0D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6</xdr:col>
      <xdr:colOff>17577</xdr:colOff>
      <xdr:row>180</xdr:row>
      <xdr:rowOff>161702</xdr:rowOff>
    </xdr:from>
    <xdr:to>
      <xdr:col>6</xdr:col>
      <xdr:colOff>601868</xdr:colOff>
      <xdr:row>182</xdr:row>
      <xdr:rowOff>121746</xdr:rowOff>
    </xdr:to>
    <xdr:sp macro="" textlink="'Tableau détaillé'!$H$150">
      <xdr:nvSpPr>
        <xdr:cNvPr id="63" name="ZoneTexte 38">
          <a:extLst>
            <a:ext uri="{FF2B5EF4-FFF2-40B4-BE49-F238E27FC236}">
              <a16:creationId xmlns:a16="http://schemas.microsoft.com/office/drawing/2014/main" id="{00000000-0008-0000-0D00-00003F000000}"/>
            </a:ext>
          </a:extLst>
        </xdr:cNvPr>
        <xdr:cNvSpPr txBox="1"/>
      </xdr:nvSpPr>
      <xdr:spPr>
        <a:xfrm>
          <a:off x="3939636" y="34037084"/>
          <a:ext cx="584291" cy="341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0160E3DE-ABC4-4259-A7CA-47D5A96FF7DF}" type="TxLink">
            <a:rPr lang="en-US" sz="1100" b="1" i="0" u="none" strike="noStrike">
              <a:solidFill>
                <a:srgbClr val="C00000"/>
              </a:solidFill>
              <a:latin typeface="Arial Narrow"/>
            </a:rPr>
            <a:pPr algn="ctr"/>
            <a:t>8,8 pts</a:t>
          </a:fld>
          <a:endParaRPr lang="fr-FR" sz="1100">
            <a:solidFill>
              <a:srgbClr val="C00000"/>
            </a:solidFill>
          </a:endParaRPr>
        </a:p>
      </xdr:txBody>
    </xdr:sp>
    <xdr:clientData/>
  </xdr:twoCellAnchor>
  <xdr:twoCellAnchor>
    <xdr:from>
      <xdr:col>5</xdr:col>
      <xdr:colOff>195943</xdr:colOff>
      <xdr:row>194</xdr:row>
      <xdr:rowOff>21772</xdr:rowOff>
    </xdr:from>
    <xdr:to>
      <xdr:col>22</xdr:col>
      <xdr:colOff>566057</xdr:colOff>
      <xdr:row>215</xdr:row>
      <xdr:rowOff>108858</xdr:rowOff>
    </xdr:to>
    <xdr:graphicFrame macro="">
      <xdr:nvGraphicFramePr>
        <xdr:cNvPr id="64" name="Graphique 63">
          <a:extLst>
            <a:ext uri="{FF2B5EF4-FFF2-40B4-BE49-F238E27FC236}">
              <a16:creationId xmlns:a16="http://schemas.microsoft.com/office/drawing/2014/main" id="{00000000-0008-0000-0D00-00004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5</xdr:col>
      <xdr:colOff>195943</xdr:colOff>
      <xdr:row>216</xdr:row>
      <xdr:rowOff>32574</xdr:rowOff>
    </xdr:from>
    <xdr:to>
      <xdr:col>15</xdr:col>
      <xdr:colOff>235528</xdr:colOff>
      <xdr:row>237</xdr:row>
      <xdr:rowOff>163285</xdr:rowOff>
    </xdr:to>
    <xdr:graphicFrame macro="">
      <xdr:nvGraphicFramePr>
        <xdr:cNvPr id="65" name="Graphique 64">
          <a:extLst>
            <a:ext uri="{FF2B5EF4-FFF2-40B4-BE49-F238E27FC236}">
              <a16:creationId xmlns:a16="http://schemas.microsoft.com/office/drawing/2014/main" id="{00000000-0008-0000-0D00-00004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15</xdr:col>
      <xdr:colOff>387928</xdr:colOff>
      <xdr:row>216</xdr:row>
      <xdr:rowOff>43542</xdr:rowOff>
    </xdr:from>
    <xdr:to>
      <xdr:col>22</xdr:col>
      <xdr:colOff>576943</xdr:colOff>
      <xdr:row>237</xdr:row>
      <xdr:rowOff>163286</xdr:rowOff>
    </xdr:to>
    <xdr:graphicFrame macro="">
      <xdr:nvGraphicFramePr>
        <xdr:cNvPr id="66" name="Graphique 65">
          <a:extLst>
            <a:ext uri="{FF2B5EF4-FFF2-40B4-BE49-F238E27FC236}">
              <a16:creationId xmlns:a16="http://schemas.microsoft.com/office/drawing/2014/main" id="{00000000-0008-0000-0D00-00004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5</xdr:col>
      <xdr:colOff>130628</xdr:colOff>
      <xdr:row>242</xdr:row>
      <xdr:rowOff>141514</xdr:rowOff>
    </xdr:from>
    <xdr:to>
      <xdr:col>22</xdr:col>
      <xdr:colOff>598714</xdr:colOff>
      <xdr:row>263</xdr:row>
      <xdr:rowOff>163285</xdr:rowOff>
    </xdr:to>
    <xdr:graphicFrame macro="">
      <xdr:nvGraphicFramePr>
        <xdr:cNvPr id="67" name="Graphique 66">
          <a:extLst>
            <a:ext uri="{FF2B5EF4-FFF2-40B4-BE49-F238E27FC236}">
              <a16:creationId xmlns:a16="http://schemas.microsoft.com/office/drawing/2014/main" id="{00000000-0008-0000-0D00-00004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5</xdr:col>
      <xdr:colOff>138248</xdr:colOff>
      <xdr:row>264</xdr:row>
      <xdr:rowOff>87086</xdr:rowOff>
    </xdr:from>
    <xdr:to>
      <xdr:col>15</xdr:col>
      <xdr:colOff>76200</xdr:colOff>
      <xdr:row>286</xdr:row>
      <xdr:rowOff>87086</xdr:rowOff>
    </xdr:to>
    <xdr:graphicFrame macro="">
      <xdr:nvGraphicFramePr>
        <xdr:cNvPr id="68" name="Graphique 67">
          <a:extLst>
            <a:ext uri="{FF2B5EF4-FFF2-40B4-BE49-F238E27FC236}">
              <a16:creationId xmlns:a16="http://schemas.microsoft.com/office/drawing/2014/main" id="{00000000-0008-0000-0D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15</xdr:col>
      <xdr:colOff>255044</xdr:colOff>
      <xdr:row>264</xdr:row>
      <xdr:rowOff>87086</xdr:rowOff>
    </xdr:from>
    <xdr:to>
      <xdr:col>22</xdr:col>
      <xdr:colOff>598715</xdr:colOff>
      <xdr:row>286</xdr:row>
      <xdr:rowOff>65314</xdr:rowOff>
    </xdr:to>
    <xdr:graphicFrame macro="">
      <xdr:nvGraphicFramePr>
        <xdr:cNvPr id="69" name="Graphique 68">
          <a:extLst>
            <a:ext uri="{FF2B5EF4-FFF2-40B4-BE49-F238E27FC236}">
              <a16:creationId xmlns:a16="http://schemas.microsoft.com/office/drawing/2014/main" id="{00000000-0008-0000-0D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5</xdr:col>
      <xdr:colOff>174172</xdr:colOff>
      <xdr:row>290</xdr:row>
      <xdr:rowOff>130628</xdr:rowOff>
    </xdr:from>
    <xdr:to>
      <xdr:col>22</xdr:col>
      <xdr:colOff>631372</xdr:colOff>
      <xdr:row>312</xdr:row>
      <xdr:rowOff>174171</xdr:rowOff>
    </xdr:to>
    <xdr:graphicFrame macro="">
      <xdr:nvGraphicFramePr>
        <xdr:cNvPr id="70" name="Graphique 69">
          <a:extLst>
            <a:ext uri="{FF2B5EF4-FFF2-40B4-BE49-F238E27FC236}">
              <a16:creationId xmlns:a16="http://schemas.microsoft.com/office/drawing/2014/main" id="{00000000-0008-0000-0D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5</xdr:col>
      <xdr:colOff>149135</xdr:colOff>
      <xdr:row>313</xdr:row>
      <xdr:rowOff>76201</xdr:rowOff>
    </xdr:from>
    <xdr:to>
      <xdr:col>14</xdr:col>
      <xdr:colOff>707573</xdr:colOff>
      <xdr:row>334</xdr:row>
      <xdr:rowOff>54431</xdr:rowOff>
    </xdr:to>
    <xdr:graphicFrame macro="">
      <xdr:nvGraphicFramePr>
        <xdr:cNvPr id="81" name="Graphique 80">
          <a:extLst>
            <a:ext uri="{FF2B5EF4-FFF2-40B4-BE49-F238E27FC236}">
              <a16:creationId xmlns:a16="http://schemas.microsoft.com/office/drawing/2014/main" id="{00000000-0008-0000-0D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14</xdr:col>
      <xdr:colOff>777559</xdr:colOff>
      <xdr:row>313</xdr:row>
      <xdr:rowOff>81915</xdr:rowOff>
    </xdr:from>
    <xdr:to>
      <xdr:col>22</xdr:col>
      <xdr:colOff>642257</xdr:colOff>
      <xdr:row>334</xdr:row>
      <xdr:rowOff>44823</xdr:rowOff>
    </xdr:to>
    <xdr:graphicFrame macro="">
      <xdr:nvGraphicFramePr>
        <xdr:cNvPr id="82" name="Graphique 81">
          <a:extLst>
            <a:ext uri="{FF2B5EF4-FFF2-40B4-BE49-F238E27FC236}">
              <a16:creationId xmlns:a16="http://schemas.microsoft.com/office/drawing/2014/main" id="{00000000-0008-0000-0D00-00005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xdr:col>
      <xdr:colOff>145358</xdr:colOff>
      <xdr:row>41</xdr:row>
      <xdr:rowOff>103093</xdr:rowOff>
    </xdr:from>
    <xdr:to>
      <xdr:col>6</xdr:col>
      <xdr:colOff>754958</xdr:colOff>
      <xdr:row>58</xdr:row>
      <xdr:rowOff>16491</xdr:rowOff>
    </xdr:to>
    <xdr:graphicFrame macro="">
      <xdr:nvGraphicFramePr>
        <xdr:cNvPr id="80" name="Graphique 79">
          <a:extLst>
            <a:ext uri="{FF2B5EF4-FFF2-40B4-BE49-F238E27FC236}">
              <a16:creationId xmlns:a16="http://schemas.microsoft.com/office/drawing/2014/main" id="{00000000-0008-0000-0D00-00005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7</xdr:col>
      <xdr:colOff>53918</xdr:colOff>
      <xdr:row>41</xdr:row>
      <xdr:rowOff>127362</xdr:rowOff>
    </xdr:from>
    <xdr:to>
      <xdr:col>12</xdr:col>
      <xdr:colOff>663518</xdr:colOff>
      <xdr:row>58</xdr:row>
      <xdr:rowOff>21771</xdr:rowOff>
    </xdr:to>
    <xdr:graphicFrame macro="">
      <xdr:nvGraphicFramePr>
        <xdr:cNvPr id="83" name="Graphique 82">
          <a:extLst>
            <a:ext uri="{FF2B5EF4-FFF2-40B4-BE49-F238E27FC236}">
              <a16:creationId xmlns:a16="http://schemas.microsoft.com/office/drawing/2014/main" id="{00000000-0008-0000-0D00-00005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14</xdr:col>
      <xdr:colOff>141514</xdr:colOff>
      <xdr:row>41</xdr:row>
      <xdr:rowOff>97972</xdr:rowOff>
    </xdr:from>
    <xdr:to>
      <xdr:col>19</xdr:col>
      <xdr:colOff>729599</xdr:colOff>
      <xdr:row>56</xdr:row>
      <xdr:rowOff>51803</xdr:rowOff>
    </xdr:to>
    <xdr:graphicFrame macro="">
      <xdr:nvGraphicFramePr>
        <xdr:cNvPr id="94" name="Graphique 93">
          <a:extLst>
            <a:ext uri="{FF2B5EF4-FFF2-40B4-BE49-F238E27FC236}">
              <a16:creationId xmlns:a16="http://schemas.microsoft.com/office/drawing/2014/main" id="{00000000-0008-0000-0D00-00005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20</xdr:col>
      <xdr:colOff>69003</xdr:colOff>
      <xdr:row>41</xdr:row>
      <xdr:rowOff>97972</xdr:rowOff>
    </xdr:from>
    <xdr:to>
      <xdr:col>25</xdr:col>
      <xdr:colOff>660673</xdr:colOff>
      <xdr:row>56</xdr:row>
      <xdr:rowOff>51803</xdr:rowOff>
    </xdr:to>
    <xdr:graphicFrame macro="">
      <xdr:nvGraphicFramePr>
        <xdr:cNvPr id="95" name="Graphique 94">
          <a:extLst>
            <a:ext uri="{FF2B5EF4-FFF2-40B4-BE49-F238E27FC236}">
              <a16:creationId xmlns:a16="http://schemas.microsoft.com/office/drawing/2014/main" id="{00000000-0008-0000-0D00-00005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0.80908</cdr:x>
      <cdr:y>0.18361</cdr:y>
    </cdr:from>
    <cdr:to>
      <cdr:x>0.9214</cdr:x>
      <cdr:y>0.27576</cdr:y>
    </cdr:to>
    <cdr:sp macro="" textlink="'Tableau détaillé'!$H$85">
      <cdr:nvSpPr>
        <cdr:cNvPr id="2" name="ZoneTexte 37"/>
        <cdr:cNvSpPr txBox="1"/>
      </cdr:nvSpPr>
      <cdr:spPr>
        <a:xfrm xmlns:a="http://schemas.openxmlformats.org/drawingml/2006/main">
          <a:off x="3558421" y="518673"/>
          <a:ext cx="493993" cy="26031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5D4E4C4F-7A7B-4122-8035-70FE41D181AF}" type="TxLink">
            <a:rPr lang="en-US" sz="1100" b="1" i="0" u="none" strike="noStrike">
              <a:solidFill>
                <a:srgbClr val="C00000"/>
              </a:solidFill>
              <a:latin typeface="Arial Narrow"/>
            </a:rPr>
            <a:pPr algn="ctr"/>
            <a:t>1,8%</a:t>
          </a:fld>
          <a:endParaRPr lang="fr-FR" sz="1100">
            <a:solidFill>
              <a:srgbClr val="C00000"/>
            </a:solidFill>
          </a:endParaRPr>
        </a:p>
      </cdr:txBody>
    </cdr:sp>
  </cdr:relSizeAnchor>
</c:userShapes>
</file>

<file path=xl/drawings/drawing37.xml><?xml version="1.0" encoding="utf-8"?>
<c:userShapes xmlns:c="http://schemas.openxmlformats.org/drawingml/2006/chart">
  <cdr:relSizeAnchor xmlns:cdr="http://schemas.openxmlformats.org/drawingml/2006/chartDrawing">
    <cdr:from>
      <cdr:x>0.36441</cdr:x>
      <cdr:y>0.40874</cdr:y>
    </cdr:from>
    <cdr:to>
      <cdr:x>0.49806</cdr:x>
      <cdr:y>0.52865</cdr:y>
    </cdr:to>
    <cdr:sp macro="" textlink="'Tableau détaillé'!$H$117">
      <cdr:nvSpPr>
        <cdr:cNvPr id="2" name="ZoneTexte 38"/>
        <cdr:cNvSpPr txBox="1"/>
      </cdr:nvSpPr>
      <cdr:spPr>
        <a:xfrm xmlns:a="http://schemas.openxmlformats.org/drawingml/2006/main">
          <a:off x="1602722" y="1146531"/>
          <a:ext cx="587804" cy="33635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2FB2562E-AF67-4BE4-8F53-22A5AA8B53B6}" type="TxLink">
            <a:rPr lang="en-US" sz="1100" b="1" i="0" u="none" strike="noStrike">
              <a:solidFill>
                <a:srgbClr val="C00000"/>
              </a:solidFill>
              <a:latin typeface="Arial Narrow"/>
            </a:rPr>
            <a:pPr algn="ctr"/>
            <a:t>2,1 pts</a:t>
          </a:fld>
          <a:endParaRPr lang="fr-FR" sz="1100">
            <a:solidFill>
              <a:srgbClr val="C00000"/>
            </a:solidFill>
          </a:endParaRPr>
        </a:p>
      </cdr:txBody>
    </cdr:sp>
  </cdr:relSizeAnchor>
</c:userShapes>
</file>

<file path=xl/drawings/drawing38.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73FD0F30-A902-48C4-9D8F-82341775C549}"/>
            </a:ext>
          </a:extLst>
        </cdr:cNvPr>
        <cdr:cNvGrpSpPr/>
      </cdr:nvGrpSpPr>
      <cdr:grpSpPr>
        <a:xfrm xmlns:a="http://schemas.openxmlformats.org/drawingml/2006/main">
          <a:off x="3476026" y="22411"/>
          <a:ext cx="729379" cy="455711"/>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D37EBC22-11F0-4B1C-B69B-E65EEFACA7A7}"/>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6DCF3A9C-FA4E-43C1-BEEC-8574F15837DD}"/>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8DCE45BF-EF03-4CAC-847B-86E5ED62F793}"/>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0318F4C3-11CA-49C1-85E3-0DC0E029ED8B}"/>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072021</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122020</a:t>
              </a:r>
            </a:p>
          </cdr:txBody>
        </cdr:sp>
      </cdr:grpSp>
    </cdr:grpSp>
  </cdr:relSizeAnchor>
</c:userShapes>
</file>

<file path=xl/drawings/drawing39.xml><?xml version="1.0" encoding="utf-8"?>
<c:userShapes xmlns:c="http://schemas.openxmlformats.org/drawingml/2006/chart">
  <cdr:relSizeAnchor xmlns:cdr="http://schemas.openxmlformats.org/drawingml/2006/chartDrawing">
    <cdr:from>
      <cdr:x>0.7945</cdr:x>
      <cdr:y>0.01745</cdr:y>
    </cdr:from>
    <cdr:to>
      <cdr:x>0.96202</cdr:x>
      <cdr:y>0.21128</cdr:y>
    </cdr:to>
    <cdr:grpSp>
      <cdr:nvGrpSpPr>
        <cdr:cNvPr id="16" name="Groupe 15">
          <a:extLst xmlns:a="http://schemas.openxmlformats.org/drawingml/2006/main">
            <a:ext uri="{FF2B5EF4-FFF2-40B4-BE49-F238E27FC236}">
              <a16:creationId xmlns:a16="http://schemas.microsoft.com/office/drawing/2014/main" id="{7614C9FE-D055-4ED5-BB5F-DA3CCEFE87C9}"/>
            </a:ext>
          </a:extLst>
        </cdr:cNvPr>
        <cdr:cNvGrpSpPr/>
      </cdr:nvGrpSpPr>
      <cdr:grpSpPr>
        <a:xfrm xmlns:a="http://schemas.openxmlformats.org/drawingml/2006/main">
          <a:off x="3497127" y="49191"/>
          <a:ext cx="737368" cy="546397"/>
          <a:chOff x="3626840" y="47779"/>
          <a:chExt cx="764757" cy="530555"/>
        </a:xfrm>
      </cdr:grpSpPr>
      <cdr:grpSp>
        <cdr:nvGrpSpPr>
          <cdr:cNvPr id="7" name="Groupe 6">
            <a:extLst xmlns:a="http://schemas.openxmlformats.org/drawingml/2006/main">
              <a:ext uri="{FF2B5EF4-FFF2-40B4-BE49-F238E27FC236}">
                <a16:creationId xmlns:a16="http://schemas.microsoft.com/office/drawing/2014/main" id="{2C5087EB-D891-42B4-A541-7882D07065EF}"/>
              </a:ext>
            </a:extLst>
          </cdr:cNvPr>
          <cdr:cNvGrpSpPr/>
        </cdr:nvGrpSpPr>
        <cdr:grpSpPr>
          <a:xfrm xmlns:a="http://schemas.openxmlformats.org/drawingml/2006/main">
            <a:off x="3737384" y="76199"/>
            <a:ext cx="537557" cy="196581"/>
            <a:chOff x="108858" y="39913"/>
            <a:chExt cx="645095" cy="841867"/>
          </a:xfrm>
        </cdr:grpSpPr>
        <cdr:sp macro="" textlink="">
          <cdr:nvSpPr>
            <cdr:cNvPr id="11" name="Rectangle 10"/>
            <cdr:cNvSpPr/>
          </cdr:nvSpPr>
          <cdr:spPr>
            <a:xfrm xmlns:a="http://schemas.openxmlformats.org/drawingml/2006/main">
              <a:off x="108858" y="48138"/>
              <a:ext cx="342498" cy="833642"/>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2" name="Rectangle 11"/>
            <cdr:cNvSpPr/>
          </cdr:nvSpPr>
          <cdr:spPr>
            <a:xfrm xmlns:a="http://schemas.openxmlformats.org/drawingml/2006/main">
              <a:off x="411455" y="39913"/>
              <a:ext cx="342498" cy="833642"/>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5" name="Rectangle 4"/>
          <cdr:cNvSpPr/>
        </cdr:nvSpPr>
        <cdr:spPr>
          <a:xfrm xmlns:a="http://schemas.openxmlformats.org/drawingml/2006/main">
            <a:off x="3626840" y="47779"/>
            <a:ext cx="748514" cy="25068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ysClr val="windowText" lastClr="000000"/>
                </a:solidFill>
              </a:rPr>
              <a:t>072021</a:t>
            </a:r>
          </a:p>
        </cdr:txBody>
      </cdr:sp>
      <cdr:grpSp>
        <cdr:nvGrpSpPr>
          <cdr:cNvPr id="15" name="Groupe 14">
            <a:extLst xmlns:a="http://schemas.openxmlformats.org/drawingml/2006/main">
              <a:ext uri="{FF2B5EF4-FFF2-40B4-BE49-F238E27FC236}">
                <a16:creationId xmlns:a16="http://schemas.microsoft.com/office/drawing/2014/main" id="{D147E256-C780-45D9-AD9A-2D71000A2A5D}"/>
              </a:ext>
            </a:extLst>
          </cdr:cNvPr>
          <cdr:cNvGrpSpPr/>
        </cdr:nvGrpSpPr>
        <cdr:grpSpPr>
          <a:xfrm xmlns:a="http://schemas.openxmlformats.org/drawingml/2006/main">
            <a:off x="3643083" y="279404"/>
            <a:ext cx="748514" cy="298930"/>
            <a:chOff x="3643083" y="203204"/>
            <a:chExt cx="748514" cy="298930"/>
          </a:xfrm>
        </cdr:grpSpPr>
        <cdr:grpSp>
          <cdr:nvGrpSpPr>
            <cdr:cNvPr id="8" name="Groupe 7">
              <a:extLst xmlns:a="http://schemas.openxmlformats.org/drawingml/2006/main">
                <a:ext uri="{FF2B5EF4-FFF2-40B4-BE49-F238E27FC236}">
                  <a16:creationId xmlns:a16="http://schemas.microsoft.com/office/drawing/2014/main" id="{0F3EA4DF-6C1E-4834-A511-1D4567360C08}"/>
                </a:ext>
              </a:extLst>
            </cdr:cNvPr>
            <cdr:cNvGrpSpPr/>
          </cdr:nvGrpSpPr>
          <cdr:grpSpPr>
            <a:xfrm xmlns:a="http://schemas.openxmlformats.org/drawingml/2006/main">
              <a:off x="3720461" y="238698"/>
              <a:ext cx="566793" cy="189092"/>
              <a:chOff x="114195" y="274760"/>
              <a:chExt cx="817763" cy="4101633"/>
            </a:xfrm>
          </cdr:grpSpPr>
          <cdr:sp macro="" textlink="">
            <cdr:nvSpPr>
              <cdr:cNvPr id="9" name="Rectangle 8"/>
              <cdr:cNvSpPr/>
            </cdr:nvSpPr>
            <cdr:spPr>
              <a:xfrm xmlns:a="http://schemas.openxmlformats.org/drawingml/2006/main">
                <a:off x="114195" y="274760"/>
                <a:ext cx="409156" cy="3904417"/>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522802" y="471976"/>
                <a:ext cx="409156" cy="3904417"/>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6" name="Rectangle 5"/>
            <cdr:cNvSpPr/>
          </cdr:nvSpPr>
          <cdr:spPr>
            <a:xfrm xmlns:a="http://schemas.openxmlformats.org/drawingml/2006/main">
              <a:off x="3643083" y="203204"/>
              <a:ext cx="748514" cy="29893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122020</a:t>
              </a:r>
            </a:p>
          </cdr:txBody>
        </cdr:sp>
      </cdr:grpSp>
    </cdr:grpSp>
  </cdr:relSizeAnchor>
</c:userShapes>
</file>

<file path=xl/drawings/drawing40.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9B0DD95F-59DF-4D9A-A6AD-4D07CFF1DA5A}"/>
            </a:ext>
          </a:extLst>
        </cdr:cNvPr>
        <cdr:cNvGrpSpPr/>
      </cdr:nvGrpSpPr>
      <cdr:grpSpPr>
        <a:xfrm xmlns:a="http://schemas.openxmlformats.org/drawingml/2006/main">
          <a:off x="3476026" y="22426"/>
          <a:ext cx="729379" cy="456019"/>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E1868642-614F-44C5-AD14-1668EB237E05}"/>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C54B4D8F-9704-42D7-852F-F4598413CB37}"/>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A77754E5-0B0A-46CD-BE33-7770C1111A37}"/>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9EB04E4D-E25A-407C-9E1F-C5660C2636FE}"/>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032020</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122019</a:t>
              </a:r>
            </a:p>
          </cdr:txBody>
        </cdr:sp>
      </cdr:grpSp>
    </cdr:grpSp>
  </cdr:relSizeAnchor>
  <cdr:relSizeAnchor xmlns:cdr="http://schemas.openxmlformats.org/drawingml/2006/chartDrawing">
    <cdr:from>
      <cdr:x>0.79035</cdr:x>
      <cdr:y>0.00795</cdr:y>
    </cdr:from>
    <cdr:to>
      <cdr:x>0.95619</cdr:x>
      <cdr:y>0.16961</cdr:y>
    </cdr:to>
    <cdr:grpSp>
      <cdr:nvGrpSpPr>
        <cdr:cNvPr id="2" name="Groupe 12">
          <a:extLst xmlns:a="http://schemas.openxmlformats.org/drawingml/2006/main">
            <a:ext uri="{FF2B5EF4-FFF2-40B4-BE49-F238E27FC236}">
              <a16:creationId xmlns:a16="http://schemas.microsoft.com/office/drawing/2014/main" id="{0C819ADA-089C-4E3A-9DB7-9CFF9D6957DC}"/>
            </a:ext>
          </a:extLst>
        </cdr:cNvPr>
        <cdr:cNvGrpSpPr/>
      </cdr:nvGrpSpPr>
      <cdr:grpSpPr>
        <a:xfrm xmlns:a="http://schemas.openxmlformats.org/drawingml/2006/main">
          <a:off x="3476026" y="22426"/>
          <a:ext cx="729379" cy="456019"/>
          <a:chOff x="3605092" y="97972"/>
          <a:chExt cx="756451" cy="442492"/>
        </a:xfrm>
      </cdr:grpSpPr>
      <cdr:grpSp>
        <cdr:nvGrpSpPr>
          <cdr:cNvPr id="14" name="Groupe 11">
            <a:extLst xmlns:a="http://schemas.openxmlformats.org/drawingml/2006/main">
              <a:ext uri="{FF2B5EF4-FFF2-40B4-BE49-F238E27FC236}">
                <a16:creationId xmlns:a16="http://schemas.microsoft.com/office/drawing/2014/main" id="{85FC9119-38E0-4E35-9A44-2E9DE212FC22}"/>
              </a:ext>
            </a:extLst>
          </cdr:cNvPr>
          <cdr:cNvGrpSpPr/>
        </cdr:nvGrpSpPr>
        <cdr:grpSpPr>
          <a:xfrm xmlns:a="http://schemas.openxmlformats.org/drawingml/2006/main">
            <a:off x="3713950" y="137885"/>
            <a:ext cx="545337" cy="373936"/>
            <a:chOff x="3713950" y="137885"/>
            <a:chExt cx="545337" cy="373936"/>
          </a:xfrm>
        </cdr:grpSpPr>
        <cdr:grpSp>
          <cdr:nvGrpSpPr>
            <cdr:cNvPr id="15" name="Groupe 5">
              <a:extLst xmlns:a="http://schemas.openxmlformats.org/drawingml/2006/main">
                <a:ext uri="{FF2B5EF4-FFF2-40B4-BE49-F238E27FC236}">
                  <a16:creationId xmlns:a16="http://schemas.microsoft.com/office/drawing/2014/main" id="{2262D655-ADCD-4656-A205-1C6EC070008F}"/>
                </a:ext>
              </a:extLst>
            </cdr:cNvPr>
            <cdr:cNvGrpSpPr/>
          </cdr:nvGrpSpPr>
          <cdr:grpSpPr>
            <a:xfrm xmlns:a="http://schemas.openxmlformats.org/drawingml/2006/main">
              <a:off x="3713950" y="137885"/>
              <a:ext cx="542448" cy="181776"/>
              <a:chOff x="2908405" y="475343"/>
              <a:chExt cx="591549" cy="391192"/>
            </a:xfrm>
          </cdr:grpSpPr>
          <cdr:sp macro="" textlink="">
            <cdr:nvSpPr>
              <cdr:cNvPr id="16"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17"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18" name="Groupe 7">
              <a:extLst xmlns:a="http://schemas.openxmlformats.org/drawingml/2006/main">
                <a:ext uri="{FF2B5EF4-FFF2-40B4-BE49-F238E27FC236}">
                  <a16:creationId xmlns:a16="http://schemas.microsoft.com/office/drawing/2014/main" id="{647C9529-0B71-4960-969E-B6968E94F367}"/>
                </a:ext>
              </a:extLst>
            </cdr:cNvPr>
            <cdr:cNvGrpSpPr/>
          </cdr:nvGrpSpPr>
          <cdr:grpSpPr>
            <a:xfrm xmlns:a="http://schemas.openxmlformats.org/drawingml/2006/main">
              <a:off x="3719287" y="333829"/>
              <a:ext cx="540000" cy="177992"/>
              <a:chOff x="0" y="0"/>
              <a:chExt cx="645095" cy="841867"/>
            </a:xfrm>
          </cdr:grpSpPr>
          <cdr:sp macro="" textlink="">
            <cdr:nvSpPr>
              <cdr:cNvPr id="1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2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21" name="Groupe 10">
            <a:extLst xmlns:a="http://schemas.openxmlformats.org/drawingml/2006/main">
              <a:ext uri="{FF2B5EF4-FFF2-40B4-BE49-F238E27FC236}">
                <a16:creationId xmlns:a16="http://schemas.microsoft.com/office/drawing/2014/main" id="{AB5A192A-0569-4107-81FF-EF056BAA83C3}"/>
              </a:ext>
            </a:extLst>
          </cdr:cNvPr>
          <cdr:cNvGrpSpPr/>
        </cdr:nvGrpSpPr>
        <cdr:grpSpPr>
          <a:xfrm xmlns:a="http://schemas.openxmlformats.org/drawingml/2006/main">
            <a:off x="3605092" y="97972"/>
            <a:ext cx="756451" cy="442492"/>
            <a:chOff x="3637749" y="98165"/>
            <a:chExt cx="756451" cy="442492"/>
          </a:xfrm>
        </cdr:grpSpPr>
        <cdr:sp macro="" textlink="">
          <cdr:nvSpPr>
            <cdr:cNvPr id="22"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072021</a:t>
              </a:r>
            </a:p>
          </cdr:txBody>
        </cdr:sp>
        <cdr:sp macro="" textlink="">
          <cdr:nvSpPr>
            <cdr:cNvPr id="23"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122020</a:t>
              </a:r>
            </a:p>
          </cdr:txBody>
        </cdr:sp>
      </cdr:grpSp>
    </cdr:grpSp>
  </cdr:relSizeAnchor>
</c:userShapes>
</file>

<file path=xl/drawings/drawing41.xml><?xml version="1.0" encoding="utf-8"?>
<c:userShapes xmlns:c="http://schemas.openxmlformats.org/drawingml/2006/chart">
  <cdr:relSizeAnchor xmlns:cdr="http://schemas.openxmlformats.org/drawingml/2006/chartDrawing">
    <cdr:from>
      <cdr:x>0.7945</cdr:x>
      <cdr:y>0.01745</cdr:y>
    </cdr:from>
    <cdr:to>
      <cdr:x>0.96202</cdr:x>
      <cdr:y>0.21128</cdr:y>
    </cdr:to>
    <cdr:grpSp>
      <cdr:nvGrpSpPr>
        <cdr:cNvPr id="16" name="Groupe 15">
          <a:extLst xmlns:a="http://schemas.openxmlformats.org/drawingml/2006/main">
            <a:ext uri="{FF2B5EF4-FFF2-40B4-BE49-F238E27FC236}">
              <a16:creationId xmlns:a16="http://schemas.microsoft.com/office/drawing/2014/main" id="{B1D2065F-006A-49FD-B207-6F7C8E481054}"/>
            </a:ext>
          </a:extLst>
        </cdr:cNvPr>
        <cdr:cNvGrpSpPr/>
      </cdr:nvGrpSpPr>
      <cdr:grpSpPr>
        <a:xfrm xmlns:a="http://schemas.openxmlformats.org/drawingml/2006/main">
          <a:off x="3497127" y="49224"/>
          <a:ext cx="737368" cy="546766"/>
          <a:chOff x="3626840" y="47779"/>
          <a:chExt cx="764757" cy="530555"/>
        </a:xfrm>
      </cdr:grpSpPr>
      <cdr:grpSp>
        <cdr:nvGrpSpPr>
          <cdr:cNvPr id="7" name="Groupe 6">
            <a:extLst xmlns:a="http://schemas.openxmlformats.org/drawingml/2006/main">
              <a:ext uri="{FF2B5EF4-FFF2-40B4-BE49-F238E27FC236}">
                <a16:creationId xmlns:a16="http://schemas.microsoft.com/office/drawing/2014/main" id="{64C9AE66-A597-4FB3-BF61-752D674CD60A}"/>
              </a:ext>
            </a:extLst>
          </cdr:cNvPr>
          <cdr:cNvGrpSpPr/>
        </cdr:nvGrpSpPr>
        <cdr:grpSpPr>
          <a:xfrm xmlns:a="http://schemas.openxmlformats.org/drawingml/2006/main">
            <a:off x="3737384" y="76199"/>
            <a:ext cx="537557" cy="196581"/>
            <a:chOff x="108858" y="39913"/>
            <a:chExt cx="645095" cy="841867"/>
          </a:xfrm>
        </cdr:grpSpPr>
        <cdr:sp macro="" textlink="">
          <cdr:nvSpPr>
            <cdr:cNvPr id="11" name="Rectangle 10"/>
            <cdr:cNvSpPr/>
          </cdr:nvSpPr>
          <cdr:spPr>
            <a:xfrm xmlns:a="http://schemas.openxmlformats.org/drawingml/2006/main">
              <a:off x="108858" y="48138"/>
              <a:ext cx="342498" cy="833642"/>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2" name="Rectangle 11"/>
            <cdr:cNvSpPr/>
          </cdr:nvSpPr>
          <cdr:spPr>
            <a:xfrm xmlns:a="http://schemas.openxmlformats.org/drawingml/2006/main">
              <a:off x="411455" y="39913"/>
              <a:ext cx="342498" cy="833642"/>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5" name="Rectangle 4"/>
          <cdr:cNvSpPr/>
        </cdr:nvSpPr>
        <cdr:spPr>
          <a:xfrm xmlns:a="http://schemas.openxmlformats.org/drawingml/2006/main">
            <a:off x="3626840" y="47779"/>
            <a:ext cx="748514" cy="25068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ysClr val="windowText" lastClr="000000"/>
                </a:solidFill>
              </a:rPr>
              <a:t>072021</a:t>
            </a:r>
          </a:p>
        </cdr:txBody>
      </cdr:sp>
      <cdr:grpSp>
        <cdr:nvGrpSpPr>
          <cdr:cNvPr id="15" name="Groupe 14">
            <a:extLst xmlns:a="http://schemas.openxmlformats.org/drawingml/2006/main">
              <a:ext uri="{FF2B5EF4-FFF2-40B4-BE49-F238E27FC236}">
                <a16:creationId xmlns:a16="http://schemas.microsoft.com/office/drawing/2014/main" id="{1FF8BA53-5DAC-4610-9031-250948E96FFD}"/>
              </a:ext>
            </a:extLst>
          </cdr:cNvPr>
          <cdr:cNvGrpSpPr/>
        </cdr:nvGrpSpPr>
        <cdr:grpSpPr>
          <a:xfrm xmlns:a="http://schemas.openxmlformats.org/drawingml/2006/main">
            <a:off x="3643083" y="279404"/>
            <a:ext cx="748514" cy="298930"/>
            <a:chOff x="3643083" y="203204"/>
            <a:chExt cx="748514" cy="298930"/>
          </a:xfrm>
        </cdr:grpSpPr>
        <cdr:grpSp>
          <cdr:nvGrpSpPr>
            <cdr:cNvPr id="8" name="Groupe 7">
              <a:extLst xmlns:a="http://schemas.openxmlformats.org/drawingml/2006/main">
                <a:ext uri="{FF2B5EF4-FFF2-40B4-BE49-F238E27FC236}">
                  <a16:creationId xmlns:a16="http://schemas.microsoft.com/office/drawing/2014/main" id="{F4AED845-B21D-4FFA-ADCB-19FBC9C570E7}"/>
                </a:ext>
              </a:extLst>
            </cdr:cNvPr>
            <cdr:cNvGrpSpPr/>
          </cdr:nvGrpSpPr>
          <cdr:grpSpPr>
            <a:xfrm xmlns:a="http://schemas.openxmlformats.org/drawingml/2006/main">
              <a:off x="3720461" y="238698"/>
              <a:ext cx="566793" cy="189092"/>
              <a:chOff x="114195" y="274760"/>
              <a:chExt cx="817763" cy="4101633"/>
            </a:xfrm>
          </cdr:grpSpPr>
          <cdr:sp macro="" textlink="">
            <cdr:nvSpPr>
              <cdr:cNvPr id="9" name="Rectangle 8"/>
              <cdr:cNvSpPr/>
            </cdr:nvSpPr>
            <cdr:spPr>
              <a:xfrm xmlns:a="http://schemas.openxmlformats.org/drawingml/2006/main">
                <a:off x="114195" y="274760"/>
                <a:ext cx="409156" cy="3904417"/>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522802" y="471976"/>
                <a:ext cx="409156" cy="3904417"/>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6" name="Rectangle 5"/>
            <cdr:cNvSpPr/>
          </cdr:nvSpPr>
          <cdr:spPr>
            <a:xfrm xmlns:a="http://schemas.openxmlformats.org/drawingml/2006/main">
              <a:off x="3643083" y="203204"/>
              <a:ext cx="748514" cy="29893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122020</a:t>
              </a:r>
            </a:p>
          </cdr:txBody>
        </cdr:sp>
      </cdr:grpSp>
    </cdr:grpSp>
  </cdr:relSizeAnchor>
</c:userShapes>
</file>

<file path=xl/drawings/drawing42.xml><?xml version="1.0" encoding="utf-8"?>
<c:userShapes xmlns:c="http://schemas.openxmlformats.org/drawingml/2006/chart">
  <cdr:relSizeAnchor xmlns:cdr="http://schemas.openxmlformats.org/drawingml/2006/chartDrawing">
    <cdr:from>
      <cdr:x>0.8186</cdr:x>
      <cdr:y>0.33671</cdr:y>
    </cdr:from>
    <cdr:to>
      <cdr:x>0.95119</cdr:x>
      <cdr:y>0.46279</cdr:y>
    </cdr:to>
    <cdr:sp macro="" textlink="'Tableau détaillé'!$M$5">
      <cdr:nvSpPr>
        <cdr:cNvPr id="2" name="ZoneTexte 32"/>
        <cdr:cNvSpPr txBox="1"/>
      </cdr:nvSpPr>
      <cdr:spPr>
        <a:xfrm xmlns:a="http://schemas.openxmlformats.org/drawingml/2006/main">
          <a:off x="3617903" y="1070895"/>
          <a:ext cx="585995" cy="40099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003F9D2C-993C-4BFB-BEC7-6897F003EE44}" type="TxLink">
            <a:rPr lang="en-US" sz="1100" b="1" i="0" u="none" strike="noStrike">
              <a:solidFill>
                <a:srgbClr val="C00000"/>
              </a:solidFill>
              <a:latin typeface="Arial Narrow"/>
              <a:ea typeface="+mn-ea"/>
              <a:cs typeface="+mn-cs"/>
            </a:rPr>
            <a:pPr marL="0" indent="0" algn="ctr"/>
            <a:t>-1,1%</a:t>
          </a:fld>
          <a:endParaRPr lang="fr-FR" sz="1100" b="1" i="0" u="none" strike="noStrike">
            <a:solidFill>
              <a:srgbClr val="C00000"/>
            </a:solidFill>
            <a:latin typeface="Arial Narrow"/>
            <a:ea typeface="+mn-ea"/>
            <a:cs typeface="+mn-cs"/>
          </a:endParaRPr>
        </a:p>
      </cdr:txBody>
    </cdr:sp>
  </cdr:relSizeAnchor>
</c:userShapes>
</file>

<file path=xl/drawings/drawing43.xml><?xml version="1.0" encoding="utf-8"?>
<c:userShapes xmlns:c="http://schemas.openxmlformats.org/drawingml/2006/chart">
  <cdr:relSizeAnchor xmlns:cdr="http://schemas.openxmlformats.org/drawingml/2006/chartDrawing">
    <cdr:from>
      <cdr:x>0.56808</cdr:x>
      <cdr:y>0.26267</cdr:y>
    </cdr:from>
    <cdr:to>
      <cdr:x>0.70067</cdr:x>
      <cdr:y>0.36413</cdr:y>
    </cdr:to>
    <cdr:sp macro="" textlink="'Tableau détaillé'!$L$5">
      <cdr:nvSpPr>
        <cdr:cNvPr id="2" name="ZoneTexte 32"/>
        <cdr:cNvSpPr txBox="1"/>
      </cdr:nvSpPr>
      <cdr:spPr>
        <a:xfrm xmlns:a="http://schemas.openxmlformats.org/drawingml/2006/main">
          <a:off x="2510682" y="831760"/>
          <a:ext cx="585995" cy="32127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fld id="{EBF213AB-7B49-4FD3-852D-71107C9D8B65}" type="TxLink">
            <a:rPr lang="en-US" sz="1100" b="1" i="0" u="none" strike="noStrike">
              <a:solidFill>
                <a:srgbClr val="C00000"/>
              </a:solidFill>
              <a:latin typeface="Arial Narrow"/>
              <a:ea typeface="+mn-ea"/>
              <a:cs typeface="+mn-cs"/>
            </a:rPr>
            <a:pPr marL="0" indent="0" algn="ctr"/>
            <a:t>-1,1%</a:t>
          </a:fld>
          <a:endParaRPr lang="fr-FR" sz="1100" b="1" i="0" u="none" strike="noStrike">
            <a:solidFill>
              <a:srgbClr val="C00000"/>
            </a:solidFill>
            <a:latin typeface="Arial Narrow"/>
            <a:ea typeface="+mn-ea"/>
            <a:cs typeface="+mn-cs"/>
          </a:endParaRPr>
        </a:p>
      </cdr:txBody>
    </cdr:sp>
  </cdr:relSizeAnchor>
</c:userShapes>
</file>

<file path=xl/drawings/drawing44.xml><?xml version="1.0" encoding="utf-8"?>
<c:userShapes xmlns:c="http://schemas.openxmlformats.org/drawingml/2006/chart">
  <cdr:relSizeAnchor xmlns:cdr="http://schemas.openxmlformats.org/drawingml/2006/chartDrawing">
    <cdr:from>
      <cdr:x>0.79035</cdr:x>
      <cdr:y>0.00795</cdr:y>
    </cdr:from>
    <cdr:to>
      <cdr:x>0.95619</cdr:x>
      <cdr:y>0.16961</cdr:y>
    </cdr:to>
    <cdr:grpSp>
      <cdr:nvGrpSpPr>
        <cdr:cNvPr id="13" name="Groupe 12">
          <a:extLst xmlns:a="http://schemas.openxmlformats.org/drawingml/2006/main">
            <a:ext uri="{FF2B5EF4-FFF2-40B4-BE49-F238E27FC236}">
              <a16:creationId xmlns:a16="http://schemas.microsoft.com/office/drawing/2014/main" id="{6F19AC72-8AC1-4310-8077-166D01BB53EC}"/>
            </a:ext>
          </a:extLst>
        </cdr:cNvPr>
        <cdr:cNvGrpSpPr/>
      </cdr:nvGrpSpPr>
      <cdr:grpSpPr>
        <a:xfrm xmlns:a="http://schemas.openxmlformats.org/drawingml/2006/main">
          <a:off x="3476026" y="22426"/>
          <a:ext cx="729379" cy="456019"/>
          <a:chOff x="3605092" y="97972"/>
          <a:chExt cx="756451" cy="442492"/>
        </a:xfrm>
      </cdr:grpSpPr>
      <cdr:grpSp>
        <cdr:nvGrpSpPr>
          <cdr:cNvPr id="12" name="Groupe 11">
            <a:extLst xmlns:a="http://schemas.openxmlformats.org/drawingml/2006/main">
              <a:ext uri="{FF2B5EF4-FFF2-40B4-BE49-F238E27FC236}">
                <a16:creationId xmlns:a16="http://schemas.microsoft.com/office/drawing/2014/main" id="{DA88F9F9-A3B2-482D-BCCA-A0C6ECB70FA3}"/>
              </a:ext>
            </a:extLst>
          </cdr:cNvPr>
          <cdr:cNvGrpSpPr/>
        </cdr:nvGrpSpPr>
        <cdr:grpSpPr>
          <a:xfrm xmlns:a="http://schemas.openxmlformats.org/drawingml/2006/main">
            <a:off x="3713950" y="137885"/>
            <a:ext cx="545337" cy="373936"/>
            <a:chOff x="3713950" y="137885"/>
            <a:chExt cx="545337" cy="373936"/>
          </a:xfrm>
        </cdr:grpSpPr>
        <cdr:grpSp>
          <cdr:nvGrpSpPr>
            <cdr:cNvPr id="6" name="Groupe 5">
              <a:extLst xmlns:a="http://schemas.openxmlformats.org/drawingml/2006/main">
                <a:ext uri="{FF2B5EF4-FFF2-40B4-BE49-F238E27FC236}">
                  <a16:creationId xmlns:a16="http://schemas.microsoft.com/office/drawing/2014/main" id="{9788E18E-DF6F-4D8F-8842-2F70BC353E8F}"/>
                </a:ext>
              </a:extLst>
            </cdr:cNvPr>
            <cdr:cNvGrpSpPr/>
          </cdr:nvGrpSpPr>
          <cdr:grpSpPr>
            <a:xfrm xmlns:a="http://schemas.openxmlformats.org/drawingml/2006/main">
              <a:off x="3713950" y="137885"/>
              <a:ext cx="542448" cy="181776"/>
              <a:chOff x="2908405" y="475343"/>
              <a:chExt cx="591549" cy="391192"/>
            </a:xfrm>
          </cdr:grpSpPr>
          <cdr:sp macro="" textlink="">
            <cdr:nvSpPr>
              <cdr:cNvPr id="4"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5"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8" name="Groupe 7">
              <a:extLst xmlns:a="http://schemas.openxmlformats.org/drawingml/2006/main">
                <a:ext uri="{FF2B5EF4-FFF2-40B4-BE49-F238E27FC236}">
                  <a16:creationId xmlns:a16="http://schemas.microsoft.com/office/drawing/2014/main" id="{3049B588-7F74-404E-8615-53EBDCE64B9F}"/>
                </a:ext>
              </a:extLst>
            </cdr:cNvPr>
            <cdr:cNvGrpSpPr/>
          </cdr:nvGrpSpPr>
          <cdr:grpSpPr>
            <a:xfrm xmlns:a="http://schemas.openxmlformats.org/drawingml/2006/main">
              <a:off x="3719287" y="333829"/>
              <a:ext cx="540000" cy="177992"/>
              <a:chOff x="0" y="0"/>
              <a:chExt cx="645095" cy="841867"/>
            </a:xfrm>
          </cdr:grpSpPr>
          <cdr:sp macro="" textlink="">
            <cdr:nvSpPr>
              <cdr:cNvPr id="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11" name="Groupe 10">
            <a:extLst xmlns:a="http://schemas.openxmlformats.org/drawingml/2006/main">
              <a:ext uri="{FF2B5EF4-FFF2-40B4-BE49-F238E27FC236}">
                <a16:creationId xmlns:a16="http://schemas.microsoft.com/office/drawing/2014/main" id="{29453CDB-2BC3-43F1-A1A0-65B4773276DE}"/>
              </a:ext>
            </a:extLst>
          </cdr:cNvPr>
          <cdr:cNvGrpSpPr/>
        </cdr:nvGrpSpPr>
        <cdr:grpSpPr>
          <a:xfrm xmlns:a="http://schemas.openxmlformats.org/drawingml/2006/main">
            <a:off x="3605092" y="97972"/>
            <a:ext cx="756451" cy="442492"/>
            <a:chOff x="3637749" y="98165"/>
            <a:chExt cx="756451" cy="442492"/>
          </a:xfrm>
        </cdr:grpSpPr>
        <cdr:sp macro="" textlink="">
          <cdr:nvSpPr>
            <cdr:cNvPr id="3"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032020</a:t>
              </a:r>
            </a:p>
          </cdr:txBody>
        </cdr:sp>
        <cdr:sp macro="" textlink="">
          <cdr:nvSpPr>
            <cdr:cNvPr id="7"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122019</a:t>
              </a:r>
            </a:p>
          </cdr:txBody>
        </cdr:sp>
      </cdr:grpSp>
    </cdr:grpSp>
  </cdr:relSizeAnchor>
  <cdr:relSizeAnchor xmlns:cdr="http://schemas.openxmlformats.org/drawingml/2006/chartDrawing">
    <cdr:from>
      <cdr:x>0.79035</cdr:x>
      <cdr:y>0.00795</cdr:y>
    </cdr:from>
    <cdr:to>
      <cdr:x>0.95619</cdr:x>
      <cdr:y>0.16961</cdr:y>
    </cdr:to>
    <cdr:grpSp>
      <cdr:nvGrpSpPr>
        <cdr:cNvPr id="2" name="Groupe 12">
          <a:extLst xmlns:a="http://schemas.openxmlformats.org/drawingml/2006/main">
            <a:ext uri="{FF2B5EF4-FFF2-40B4-BE49-F238E27FC236}">
              <a16:creationId xmlns:a16="http://schemas.microsoft.com/office/drawing/2014/main" id="{F45651E4-2991-4958-82A4-AF9B93CAD4B9}"/>
            </a:ext>
          </a:extLst>
        </cdr:cNvPr>
        <cdr:cNvGrpSpPr/>
      </cdr:nvGrpSpPr>
      <cdr:grpSpPr>
        <a:xfrm xmlns:a="http://schemas.openxmlformats.org/drawingml/2006/main">
          <a:off x="3476026" y="22426"/>
          <a:ext cx="729379" cy="456019"/>
          <a:chOff x="3605092" y="97972"/>
          <a:chExt cx="756451" cy="442492"/>
        </a:xfrm>
      </cdr:grpSpPr>
      <cdr:grpSp>
        <cdr:nvGrpSpPr>
          <cdr:cNvPr id="14" name="Groupe 11">
            <a:extLst xmlns:a="http://schemas.openxmlformats.org/drawingml/2006/main">
              <a:ext uri="{FF2B5EF4-FFF2-40B4-BE49-F238E27FC236}">
                <a16:creationId xmlns:a16="http://schemas.microsoft.com/office/drawing/2014/main" id="{DECF76C6-DF65-4846-8DEE-FA925F3F4D63}"/>
              </a:ext>
            </a:extLst>
          </cdr:cNvPr>
          <cdr:cNvGrpSpPr/>
        </cdr:nvGrpSpPr>
        <cdr:grpSpPr>
          <a:xfrm xmlns:a="http://schemas.openxmlformats.org/drawingml/2006/main">
            <a:off x="3713950" y="137885"/>
            <a:ext cx="545337" cy="373936"/>
            <a:chOff x="3713950" y="137885"/>
            <a:chExt cx="545337" cy="373936"/>
          </a:xfrm>
        </cdr:grpSpPr>
        <cdr:grpSp>
          <cdr:nvGrpSpPr>
            <cdr:cNvPr id="15" name="Groupe 5">
              <a:extLst xmlns:a="http://schemas.openxmlformats.org/drawingml/2006/main">
                <a:ext uri="{FF2B5EF4-FFF2-40B4-BE49-F238E27FC236}">
                  <a16:creationId xmlns:a16="http://schemas.microsoft.com/office/drawing/2014/main" id="{EDD24482-50EF-4587-8756-3DC3ED7CB7AA}"/>
                </a:ext>
              </a:extLst>
            </cdr:cNvPr>
            <cdr:cNvGrpSpPr/>
          </cdr:nvGrpSpPr>
          <cdr:grpSpPr>
            <a:xfrm xmlns:a="http://schemas.openxmlformats.org/drawingml/2006/main">
              <a:off x="3713950" y="137885"/>
              <a:ext cx="542448" cy="181776"/>
              <a:chOff x="2908405" y="475343"/>
              <a:chExt cx="591549" cy="391192"/>
            </a:xfrm>
          </cdr:grpSpPr>
          <cdr:sp macro="" textlink="">
            <cdr:nvSpPr>
              <cdr:cNvPr id="16" name="Rectangle 3"/>
              <cdr:cNvSpPr/>
            </cdr:nvSpPr>
            <cdr:spPr>
              <a:xfrm xmlns:a="http://schemas.openxmlformats.org/drawingml/2006/main">
                <a:off x="2908405" y="479165"/>
                <a:ext cx="314069" cy="387370"/>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fr-FR"/>
              </a:p>
            </cdr:txBody>
          </cdr:sp>
          <cdr:sp macro="" textlink="">
            <cdr:nvSpPr>
              <cdr:cNvPr id="17" name="Rectangle 4"/>
              <cdr:cNvSpPr/>
            </cdr:nvSpPr>
            <cdr:spPr>
              <a:xfrm xmlns:a="http://schemas.openxmlformats.org/drawingml/2006/main">
                <a:off x="3185885" y="475343"/>
                <a:ext cx="314069" cy="387370"/>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nvGrpSpPr>
            <cdr:cNvPr id="18" name="Groupe 7">
              <a:extLst xmlns:a="http://schemas.openxmlformats.org/drawingml/2006/main">
                <a:ext uri="{FF2B5EF4-FFF2-40B4-BE49-F238E27FC236}">
                  <a16:creationId xmlns:a16="http://schemas.microsoft.com/office/drawing/2014/main" id="{62538560-6A75-4AE7-9B09-931A71F956A8}"/>
                </a:ext>
              </a:extLst>
            </cdr:cNvPr>
            <cdr:cNvGrpSpPr/>
          </cdr:nvGrpSpPr>
          <cdr:grpSpPr>
            <a:xfrm xmlns:a="http://schemas.openxmlformats.org/drawingml/2006/main">
              <a:off x="3719287" y="333829"/>
              <a:ext cx="540000" cy="177992"/>
              <a:chOff x="0" y="0"/>
              <a:chExt cx="645095" cy="841867"/>
            </a:xfrm>
          </cdr:grpSpPr>
          <cdr:sp macro="" textlink="">
            <cdr:nvSpPr>
              <cdr:cNvPr id="19" name="Rectangle 8"/>
              <cdr:cNvSpPr/>
            </cdr:nvSpPr>
            <cdr:spPr>
              <a:xfrm xmlns:a="http://schemas.openxmlformats.org/drawingml/2006/main">
                <a:off x="0" y="8225"/>
                <a:ext cx="342498" cy="833642"/>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20" name="Rectangle 9"/>
              <cdr:cNvSpPr/>
            </cdr:nvSpPr>
            <cdr:spPr>
              <a:xfrm xmlns:a="http://schemas.openxmlformats.org/drawingml/2006/main">
                <a:off x="302597" y="0"/>
                <a:ext cx="342498" cy="833642"/>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grpSp>
      <cdr:grpSp>
        <cdr:nvGrpSpPr>
          <cdr:cNvPr id="21" name="Groupe 10">
            <a:extLst xmlns:a="http://schemas.openxmlformats.org/drawingml/2006/main">
              <a:ext uri="{FF2B5EF4-FFF2-40B4-BE49-F238E27FC236}">
                <a16:creationId xmlns:a16="http://schemas.microsoft.com/office/drawing/2014/main" id="{55344AC9-391A-4EF8-A060-254CDA9BF502}"/>
              </a:ext>
            </a:extLst>
          </cdr:cNvPr>
          <cdr:cNvGrpSpPr/>
        </cdr:nvGrpSpPr>
        <cdr:grpSpPr>
          <a:xfrm xmlns:a="http://schemas.openxmlformats.org/drawingml/2006/main">
            <a:off x="3605092" y="97972"/>
            <a:ext cx="756451" cy="442492"/>
            <a:chOff x="3637749" y="98165"/>
            <a:chExt cx="756451" cy="442492"/>
          </a:xfrm>
        </cdr:grpSpPr>
        <cdr:sp macro="" textlink="">
          <cdr:nvSpPr>
            <cdr:cNvPr id="22" name="Rectangle 2"/>
            <cdr:cNvSpPr/>
          </cdr:nvSpPr>
          <cdr:spPr>
            <a:xfrm xmlns:a="http://schemas.openxmlformats.org/drawingml/2006/main">
              <a:off x="3637749" y="98165"/>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fr-FR">
                  <a:solidFill>
                    <a:sysClr val="windowText" lastClr="000000"/>
                  </a:solidFill>
                </a:rPr>
                <a:t>072021</a:t>
              </a:r>
            </a:p>
          </cdr:txBody>
        </cdr:sp>
        <cdr:sp macro="" textlink="">
          <cdr:nvSpPr>
            <cdr:cNvPr id="23" name="Rectangle 6"/>
            <cdr:cNvSpPr/>
          </cdr:nvSpPr>
          <cdr:spPr>
            <a:xfrm xmlns:a="http://schemas.openxmlformats.org/drawingml/2006/main">
              <a:off x="3643086" y="301172"/>
              <a:ext cx="751114" cy="23948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072020</a:t>
              </a:r>
            </a:p>
          </cdr:txBody>
        </cdr:sp>
      </cdr:grpSp>
    </cdr:grpSp>
  </cdr:relSizeAnchor>
</c:userShapes>
</file>

<file path=xl/drawings/drawing45.xml><?xml version="1.0" encoding="utf-8"?>
<c:userShapes xmlns:c="http://schemas.openxmlformats.org/drawingml/2006/chart">
  <cdr:relSizeAnchor xmlns:cdr="http://schemas.openxmlformats.org/drawingml/2006/chartDrawing">
    <cdr:from>
      <cdr:x>0.7945</cdr:x>
      <cdr:y>0.01745</cdr:y>
    </cdr:from>
    <cdr:to>
      <cdr:x>0.96202</cdr:x>
      <cdr:y>0.21128</cdr:y>
    </cdr:to>
    <cdr:grpSp>
      <cdr:nvGrpSpPr>
        <cdr:cNvPr id="16" name="Groupe 15">
          <a:extLst xmlns:a="http://schemas.openxmlformats.org/drawingml/2006/main">
            <a:ext uri="{FF2B5EF4-FFF2-40B4-BE49-F238E27FC236}">
              <a16:creationId xmlns:a16="http://schemas.microsoft.com/office/drawing/2014/main" id="{A961CB0A-A744-4861-9C0A-521DF1659608}"/>
            </a:ext>
          </a:extLst>
        </cdr:cNvPr>
        <cdr:cNvGrpSpPr/>
      </cdr:nvGrpSpPr>
      <cdr:grpSpPr>
        <a:xfrm xmlns:a="http://schemas.openxmlformats.org/drawingml/2006/main">
          <a:off x="3497127" y="49224"/>
          <a:ext cx="737368" cy="546766"/>
          <a:chOff x="3626840" y="47779"/>
          <a:chExt cx="764757" cy="530555"/>
        </a:xfrm>
      </cdr:grpSpPr>
      <cdr:grpSp>
        <cdr:nvGrpSpPr>
          <cdr:cNvPr id="7" name="Groupe 6">
            <a:extLst xmlns:a="http://schemas.openxmlformats.org/drawingml/2006/main">
              <a:ext uri="{FF2B5EF4-FFF2-40B4-BE49-F238E27FC236}">
                <a16:creationId xmlns:a16="http://schemas.microsoft.com/office/drawing/2014/main" id="{5252A737-3042-477D-8BB7-5F4D383D8F23}"/>
              </a:ext>
            </a:extLst>
          </cdr:cNvPr>
          <cdr:cNvGrpSpPr/>
        </cdr:nvGrpSpPr>
        <cdr:grpSpPr>
          <a:xfrm xmlns:a="http://schemas.openxmlformats.org/drawingml/2006/main">
            <a:off x="3737384" y="76199"/>
            <a:ext cx="537557" cy="196581"/>
            <a:chOff x="108858" y="39913"/>
            <a:chExt cx="645095" cy="841867"/>
          </a:xfrm>
        </cdr:grpSpPr>
        <cdr:sp macro="" textlink="">
          <cdr:nvSpPr>
            <cdr:cNvPr id="11" name="Rectangle 10"/>
            <cdr:cNvSpPr/>
          </cdr:nvSpPr>
          <cdr:spPr>
            <a:xfrm xmlns:a="http://schemas.openxmlformats.org/drawingml/2006/main">
              <a:off x="108858" y="48138"/>
              <a:ext cx="342498" cy="833642"/>
            </a:xfrm>
            <a:prstGeom xmlns:a="http://schemas.openxmlformats.org/drawingml/2006/main" prst="rect">
              <a:avLst/>
            </a:prstGeom>
            <a:solidFill xmlns:a="http://schemas.openxmlformats.org/drawingml/2006/main">
              <a:schemeClr val="bg2">
                <a:lumMod val="9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2" name="Rectangle 11"/>
            <cdr:cNvSpPr/>
          </cdr:nvSpPr>
          <cdr:spPr>
            <a:xfrm xmlns:a="http://schemas.openxmlformats.org/drawingml/2006/main">
              <a:off x="411455" y="39913"/>
              <a:ext cx="342498" cy="833642"/>
            </a:xfrm>
            <a:prstGeom xmlns:a="http://schemas.openxmlformats.org/drawingml/2006/main" prst="rect">
              <a:avLst/>
            </a:prstGeom>
            <a:solidFill xmlns:a="http://schemas.openxmlformats.org/drawingml/2006/main">
              <a:srgbClr val="FFA7A7"/>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5" name="Rectangle 4"/>
          <cdr:cNvSpPr/>
        </cdr:nvSpPr>
        <cdr:spPr>
          <a:xfrm xmlns:a="http://schemas.openxmlformats.org/drawingml/2006/main">
            <a:off x="3626840" y="47779"/>
            <a:ext cx="748514" cy="250684"/>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ysClr val="windowText" lastClr="000000"/>
                </a:solidFill>
              </a:rPr>
              <a:t>072021</a:t>
            </a:r>
          </a:p>
        </cdr:txBody>
      </cdr:sp>
      <cdr:grpSp>
        <cdr:nvGrpSpPr>
          <cdr:cNvPr id="15" name="Groupe 14">
            <a:extLst xmlns:a="http://schemas.openxmlformats.org/drawingml/2006/main">
              <a:ext uri="{FF2B5EF4-FFF2-40B4-BE49-F238E27FC236}">
                <a16:creationId xmlns:a16="http://schemas.microsoft.com/office/drawing/2014/main" id="{4A705B31-6727-4BB2-83AF-460943BFEE4A}"/>
              </a:ext>
            </a:extLst>
          </cdr:cNvPr>
          <cdr:cNvGrpSpPr/>
        </cdr:nvGrpSpPr>
        <cdr:grpSpPr>
          <a:xfrm xmlns:a="http://schemas.openxmlformats.org/drawingml/2006/main">
            <a:off x="3643083" y="279404"/>
            <a:ext cx="748514" cy="298930"/>
            <a:chOff x="3643083" y="203204"/>
            <a:chExt cx="748514" cy="298930"/>
          </a:xfrm>
        </cdr:grpSpPr>
        <cdr:grpSp>
          <cdr:nvGrpSpPr>
            <cdr:cNvPr id="8" name="Groupe 7">
              <a:extLst xmlns:a="http://schemas.openxmlformats.org/drawingml/2006/main">
                <a:ext uri="{FF2B5EF4-FFF2-40B4-BE49-F238E27FC236}">
                  <a16:creationId xmlns:a16="http://schemas.microsoft.com/office/drawing/2014/main" id="{F195774D-9916-4C47-A7B6-45CE020E5CF5}"/>
                </a:ext>
              </a:extLst>
            </cdr:cNvPr>
            <cdr:cNvGrpSpPr/>
          </cdr:nvGrpSpPr>
          <cdr:grpSpPr>
            <a:xfrm xmlns:a="http://schemas.openxmlformats.org/drawingml/2006/main">
              <a:off x="3720461" y="238698"/>
              <a:ext cx="566793" cy="189092"/>
              <a:chOff x="114195" y="274760"/>
              <a:chExt cx="817763" cy="4101633"/>
            </a:xfrm>
          </cdr:grpSpPr>
          <cdr:sp macro="" textlink="">
            <cdr:nvSpPr>
              <cdr:cNvPr id="9" name="Rectangle 8"/>
              <cdr:cNvSpPr/>
            </cdr:nvSpPr>
            <cdr:spPr>
              <a:xfrm xmlns:a="http://schemas.openxmlformats.org/drawingml/2006/main">
                <a:off x="114195" y="274760"/>
                <a:ext cx="409156" cy="3904417"/>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sp macro="" textlink="">
            <cdr:nvSpPr>
              <cdr:cNvPr id="10" name="Rectangle 9"/>
              <cdr:cNvSpPr/>
            </cdr:nvSpPr>
            <cdr:spPr>
              <a:xfrm xmlns:a="http://schemas.openxmlformats.org/drawingml/2006/main">
                <a:off x="522802" y="471976"/>
                <a:ext cx="409156" cy="3904417"/>
              </a:xfrm>
              <a:prstGeom xmlns:a="http://schemas.openxmlformats.org/drawingml/2006/main" prst="rect">
                <a:avLst/>
              </a:prstGeom>
              <a:solidFill xmlns:a="http://schemas.openxmlformats.org/drawingml/2006/main">
                <a:srgbClr val="FF0000"/>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fr-FR"/>
              </a:p>
            </cdr:txBody>
          </cdr:sp>
        </cdr:grpSp>
        <cdr:sp macro="" textlink="">
          <cdr:nvSpPr>
            <cdr:cNvPr id="6" name="Rectangle 5"/>
            <cdr:cNvSpPr/>
          </cdr:nvSpPr>
          <cdr:spPr>
            <a:xfrm xmlns:a="http://schemas.openxmlformats.org/drawingml/2006/main">
              <a:off x="3643083" y="203204"/>
              <a:ext cx="748514" cy="29893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a:solidFill>
                    <a:schemeClr val="bg1"/>
                  </a:solidFill>
                </a:rPr>
                <a:t>072020</a:t>
              </a:r>
            </a:p>
          </cdr:txBody>
        </cdr:sp>
      </cdr:grpSp>
    </cdr:grp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5228/Desktop/Costrat/new/Costrat/COSTRAT/Renouvell&#233;_MTT_LC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ap"/>
      <sheetName val="Feuil1"/>
      <sheetName val="Toute_Prod"/>
      <sheetName val="Feuil2"/>
      <sheetName val="Nouveau_PPO"/>
    </sheetNames>
    <sheetDataSet>
      <sheetData sheetId="0"/>
      <sheetData sheetId="1"/>
      <sheetData sheetId="2">
        <row r="7">
          <cell r="H7" t="str">
            <v>Étiquettes de lignes</v>
          </cell>
          <cell r="I7" t="str">
            <v>Somme de nombre</v>
          </cell>
        </row>
        <row r="8">
          <cell r="G8" t="str">
            <v>BEN</v>
          </cell>
          <cell r="H8" t="str">
            <v>BEN</v>
          </cell>
          <cell r="I8">
            <v>101</v>
          </cell>
        </row>
        <row r="9">
          <cell r="G9" t="str">
            <v>BFA</v>
          </cell>
          <cell r="H9" t="str">
            <v>BFA</v>
          </cell>
          <cell r="I9">
            <v>1037</v>
          </cell>
        </row>
        <row r="10">
          <cell r="G10" t="str">
            <v>CIV</v>
          </cell>
          <cell r="H10" t="str">
            <v>CIV</v>
          </cell>
          <cell r="I10">
            <v>1863</v>
          </cell>
        </row>
        <row r="11">
          <cell r="G11" t="str">
            <v>CMR</v>
          </cell>
          <cell r="H11" t="str">
            <v>CMR</v>
          </cell>
          <cell r="I11">
            <v>1669</v>
          </cell>
        </row>
        <row r="12">
          <cell r="G12" t="str">
            <v>COG</v>
          </cell>
          <cell r="H12" t="str">
            <v>COG</v>
          </cell>
          <cell r="I12">
            <v>113</v>
          </cell>
        </row>
        <row r="13">
          <cell r="G13" t="str">
            <v>GHA</v>
          </cell>
          <cell r="H13" t="str">
            <v>GHA</v>
          </cell>
          <cell r="I13">
            <v>752</v>
          </cell>
        </row>
        <row r="14">
          <cell r="G14" t="str">
            <v>GIN</v>
          </cell>
          <cell r="H14" t="str">
            <v>GIN</v>
          </cell>
          <cell r="I14">
            <v>582</v>
          </cell>
        </row>
        <row r="15">
          <cell r="G15" t="str">
            <v>MDG</v>
          </cell>
          <cell r="H15" t="str">
            <v>MDG</v>
          </cell>
          <cell r="I15">
            <v>5652</v>
          </cell>
        </row>
        <row r="16">
          <cell r="G16" t="str">
            <v>MRT</v>
          </cell>
          <cell r="H16" t="str">
            <v>MRT</v>
          </cell>
          <cell r="I16">
            <v>287</v>
          </cell>
        </row>
        <row r="17">
          <cell r="G17" t="str">
            <v>SEN</v>
          </cell>
          <cell r="H17" t="str">
            <v>SEN</v>
          </cell>
          <cell r="I17">
            <v>1341</v>
          </cell>
        </row>
        <row r="18">
          <cell r="G18" t="str">
            <v>TCD</v>
          </cell>
          <cell r="H18" t="str">
            <v>TCD</v>
          </cell>
          <cell r="I18">
            <v>800</v>
          </cell>
        </row>
        <row r="19">
          <cell r="H19" t="str">
            <v>Total général</v>
          </cell>
          <cell r="I19">
            <v>14197</v>
          </cell>
        </row>
      </sheetData>
      <sheetData sheetId="3"/>
      <sheetData sheetId="4">
        <row r="7">
          <cell r="H7" t="str">
            <v>Étiquettes de lignes</v>
          </cell>
          <cell r="I7" t="str">
            <v>Somme de nombre</v>
          </cell>
        </row>
        <row r="8">
          <cell r="G8" t="str">
            <v>BEN</v>
          </cell>
          <cell r="H8" t="str">
            <v>BEN</v>
          </cell>
          <cell r="I8">
            <v>35</v>
          </cell>
        </row>
        <row r="9">
          <cell r="G9" t="str">
            <v>BFA</v>
          </cell>
          <cell r="H9" t="str">
            <v>BFA</v>
          </cell>
          <cell r="I9">
            <v>288</v>
          </cell>
        </row>
        <row r="10">
          <cell r="G10" t="str">
            <v>CIV</v>
          </cell>
          <cell r="H10" t="str">
            <v>CIV</v>
          </cell>
          <cell r="I10">
            <v>1167</v>
          </cell>
        </row>
        <row r="11">
          <cell r="G11" t="str">
            <v>CMR</v>
          </cell>
          <cell r="H11" t="str">
            <v>CMR</v>
          </cell>
          <cell r="I11">
            <v>765</v>
          </cell>
        </row>
        <row r="12">
          <cell r="G12" t="str">
            <v>COG</v>
          </cell>
          <cell r="H12" t="str">
            <v>COG</v>
          </cell>
          <cell r="I12">
            <v>57</v>
          </cell>
        </row>
        <row r="13">
          <cell r="G13" t="str">
            <v>GHA</v>
          </cell>
          <cell r="H13" t="str">
            <v>GHA</v>
          </cell>
          <cell r="I13">
            <v>463</v>
          </cell>
        </row>
        <row r="14">
          <cell r="G14" t="str">
            <v>GIN</v>
          </cell>
          <cell r="H14" t="str">
            <v>GIN</v>
          </cell>
          <cell r="I14">
            <v>229</v>
          </cell>
        </row>
        <row r="15">
          <cell r="G15" t="str">
            <v>MDG</v>
          </cell>
          <cell r="H15" t="str">
            <v>MDG</v>
          </cell>
          <cell r="I15">
            <v>1051</v>
          </cell>
        </row>
        <row r="16">
          <cell r="G16" t="str">
            <v>MRT</v>
          </cell>
          <cell r="H16" t="str">
            <v>MRT</v>
          </cell>
          <cell r="I16">
            <v>98</v>
          </cell>
        </row>
        <row r="17">
          <cell r="G17" t="str">
            <v>SEN</v>
          </cell>
          <cell r="H17" t="str">
            <v>SEN</v>
          </cell>
          <cell r="I17">
            <v>564</v>
          </cell>
        </row>
        <row r="18">
          <cell r="G18" t="str">
            <v>TCD</v>
          </cell>
          <cell r="H18" t="str">
            <v>TCD</v>
          </cell>
          <cell r="I18">
            <v>346</v>
          </cell>
        </row>
        <row r="19">
          <cell r="H19" t="str">
            <v>Total général</v>
          </cell>
          <cell r="I19">
            <v>5063</v>
          </cell>
        </row>
      </sheetData>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Users/5228/Desktop/Costrat/new/Costrat/COSTRAT/Renouvell&#233;_MTT_LC_.xlsx" TargetMode="External"/><Relationship Id="rId1" Type="http://schemas.openxmlformats.org/officeDocument/2006/relationships/pivotCacheRecords" Target="pivotCacheRecords5.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Users/5228/Desktop/Costrat/new/Costrat/COSTRAT/Renouvell&#233;_MTT_LC_.xlsx" TargetMode="External"/><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OUASSI Jean-Christophe DR AFO" refreshedDate="45085.448687731485" backgroundQuery="1" createdVersion="8" refreshedVersion="8" minRefreshableVersion="3" recordCount="0" supportSubquery="1" supportAdvancedDrill="1" xr:uid="{F7BBD3BB-DCEE-4C5F-B120-0132C2C7C070}">
  <cacheSource type="external" connectionId="1"/>
  <cacheFields count="3">
    <cacheField name="[Plage].[Annee].[Annee]" caption="Annee" numFmtId="0" hierarchy="1" level="1">
      <sharedItems containsSemiMixedTypes="0" containsString="0" containsNumber="1" containsInteger="1" minValue="2022" maxValue="2023" count="2">
        <n v="2022"/>
        <n v="2023"/>
      </sharedItems>
      <extLst>
        <ext xmlns:x15="http://schemas.microsoft.com/office/spreadsheetml/2010/11/main" uri="{4F2E5C28-24EA-4eb8-9CBF-B6C8F9C3D259}">
          <x15:cachedUniqueNames>
            <x15:cachedUniqueName index="0" name="[Plage].[Annee].&amp;[2022]"/>
            <x15:cachedUniqueName index="1" name="[Plage].[Annee].&amp;[2023]"/>
          </x15:cachedUniqueNames>
        </ext>
      </extLst>
    </cacheField>
    <cacheField name="[Plage].[Region].[Region]" caption="Region" numFmtId="0" hierarchy="5" level="1">
      <sharedItems count="2">
        <s v="DR Afrique Centrale et de l'Est"/>
        <s v="DR Afrique de l'Ouest"/>
      </sharedItems>
    </cacheField>
    <cacheField name="[Measures].[Somme de ClientCntIn]" caption="Somme de ClientCntIn" numFmtId="0" hierarchy="9" level="32767"/>
  </cacheFields>
  <cacheHierarchies count="10">
    <cacheHierarchy uniqueName="[Plage].[Entite]" caption="Entite" attribute="1" defaultMemberUniqueName="[Plage].[Entite].[All]" allUniqueName="[Plage].[Entite].[All]" dimensionUniqueName="[Plage]" displayFolder="" count="0" memberValueDatatype="130" unbalanced="0"/>
    <cacheHierarchy uniqueName="[Plage].[Annee]" caption="Annee" attribute="1" defaultMemberUniqueName="[Plage].[Annee].[All]" allUniqueName="[Plage].[Annee].[All]" dimensionUniqueName="[Plage]" displayFolder="" count="2" memberValueDatatype="20" unbalanced="0">
      <fieldsUsage count="2">
        <fieldUsage x="-1"/>
        <fieldUsage x="0"/>
      </fieldsUsage>
    </cacheHierarchy>
    <cacheHierarchy uniqueName="[Plage].[Marche]" caption="Marche" attribute="1" defaultMemberUniqueName="[Plage].[Marche].[All]" allUniqueName="[Plage].[Marche].[All]" dimensionUniqueName="[Plage]" displayFolder="" count="0" memberValueDatatype="130" unbalanced="0"/>
    <cacheHierarchy uniqueName="[Plage].[Segment]" caption="Segment" attribute="1" defaultMemberUniqueName="[Plage].[Segment].[All]" allUniqueName="[Plage].[Segment].[All]" dimensionUniqueName="[Plage]" displayFolder="" count="0" memberValueDatatype="130" unbalanced="0"/>
    <cacheHierarchy uniqueName="[Plage].[ClientCntIn]" caption="ClientCntIn" attribute="1" defaultMemberUniqueName="[Plage].[ClientCntIn].[All]" allUniqueName="[Plage].[ClientCntIn].[All]" dimensionUniqueName="[Plage]" displayFolder="" count="0" memberValueDatatype="20" unbalanced="0"/>
    <cacheHierarchy uniqueName="[Plage].[Region]" caption="Region" attribute="1" defaultMemberUniqueName="[Plage].[Region].[All]" allUniqueName="[Plage].[Region].[All]" dimensionUniqueName="[Plage]" displayFolder="" count="2" memberValueDatatype="130" unbalanced="0">
      <fieldsUsage count="2">
        <fieldUsage x="-1"/>
        <fieldUsage x="1"/>
      </fieldsUsage>
    </cacheHierarchy>
    <cacheHierarchy uniqueName="[Plage].[Filiale]" caption="Filiale" attribute="1" defaultMemberUniqueName="[Plage].[Filiale].[All]" allUniqueName="[Plage].[Filiale].[All]" dimensionUniqueName="[Plage]" displayFolder="" count="0" memberValueDatatype="130" unbalanced="0"/>
    <cacheHierarchy uniqueName="[Measures].[__XL_Count Plage]" caption="__XL_Count Plage" measure="1" displayFolder="" measureGroup="Plage" count="0" hidden="1"/>
    <cacheHierarchy uniqueName="[Measures].[__No measures defined]" caption="__No measures defined" measure="1" displayFolder="" count="0" hidden="1"/>
    <cacheHierarchy uniqueName="[Measures].[Somme de ClientCntIn]" caption="Somme de ClientCntIn" measure="1" displayFolder="" measureGroup="Plage" count="0" oneField="1" hidden="1">
      <fieldsUsage count="1">
        <fieldUsage x="2"/>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Plage" uniqueName="[Plage]" caption="Plage"/>
  </dimensions>
  <measureGroups count="1">
    <measureGroup name="Plage" caption="Pla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UASSI Jean-Christophe DR AFO" refreshedDate="45268.648190624997" createdVersion="6" refreshedVersion="8" minRefreshableVersion="3" recordCount="751" xr:uid="{00000000-000A-0000-FFFF-FFFF43000000}">
  <cacheSource type="worksheet">
    <worksheetSource ref="A1:D1048576" sheet="Stock_renew"/>
  </cacheSource>
  <cacheFields count="4">
    <cacheField name="Entity" numFmtId="0">
      <sharedItems containsBlank="1" count="12">
        <s v="BEN"/>
        <s v="BFA"/>
        <s v="CIV"/>
        <s v="GHA"/>
        <s v="GIN"/>
        <s v="MRT"/>
        <s v="SEN"/>
        <s v="CMR"/>
        <s v="COG"/>
        <s v="MDG"/>
        <s v="TCD"/>
        <m/>
      </sharedItems>
    </cacheField>
    <cacheField name="Date_valid" numFmtId="0">
      <sharedItems containsNonDate="0" containsDate="1" containsString="0" containsBlank="1" minDate="2021-05-31T00:00:00" maxDate="2023-12-01T00:00:00" count="30">
        <d v="2022-05-31T00:00:00"/>
        <d v="2021-05-31T00:00:00"/>
        <d v="2022-06-30T00:00:00"/>
        <d v="2021-06-30T00:00:00"/>
        <d v="2022-07-31T00:00:00"/>
        <d v="2021-07-31T00:00:00"/>
        <d v="2022-08-31T00:00:00"/>
        <d v="2021-08-31T00:00:00"/>
        <d v="2021-09-30T00:00:00"/>
        <d v="2022-09-30T00:00:00"/>
        <d v="2022-10-31T00:00:00"/>
        <d v="2021-10-31T00:00:00"/>
        <d v="2022-11-30T00:00:00"/>
        <d v="2021-11-30T00:00:00"/>
        <d v="2023-01-31T00:00:00"/>
        <d v="2022-01-31T00:00:00"/>
        <d v="2023-02-28T00:00:00"/>
        <d v="2022-02-28T00:00:00"/>
        <d v="2022-03-31T00:00:00"/>
        <d v="2023-03-31T00:00:00"/>
        <d v="2022-04-30T00:00:00"/>
        <d v="2023-04-30T00:00:00"/>
        <d v="2023-05-31T00:00:00"/>
        <d v="2023-06-30T00:00:00"/>
        <d v="2023-07-31T00:00:00"/>
        <d v="2023-08-31T00:00:00"/>
        <d v="2023-09-30T00:00:00"/>
        <d v="2023-10-31T00:00:00"/>
        <d v="2023-11-30T00:00:00"/>
        <m/>
      </sharedItems>
    </cacheField>
    <cacheField name="Renew" numFmtId="0">
      <sharedItems containsBlank="1" count="3">
        <s v="N"/>
        <s v="O"/>
        <m/>
      </sharedItems>
    </cacheField>
    <cacheField name="Nb_contrats" numFmtId="166">
      <sharedItems containsString="0" containsBlank="1" containsNumber="1" containsInteger="1" minValue="352" maxValue="10261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UASSI Jean-Christophe DR AFO" refreshedDate="45301.612965740744" createdVersion="5" refreshedVersion="8" minRefreshableVersion="3" recordCount="2416" xr:uid="{00000000-000A-0000-FFFF-FFFF44000000}">
  <cacheSource type="worksheet">
    <worksheetSource ref="A1:E1048576" sheet="Gestionnaires_"/>
  </cacheSource>
  <cacheFields count="5">
    <cacheField name="Date_Valid" numFmtId="0">
      <sharedItems containsDate="1" containsBlank="1" containsMixedTypes="1" minDate="2020-09-30T00:00:00" maxDate="2023-12-01T00:00:00" count="42">
        <d v="2020-09-30T00:00:00"/>
        <d v="2020-12-31T00:00:00"/>
        <d v="2021-09-30T00:00:00"/>
        <d v="2021-10-31T00:00:00"/>
        <d v="2020-10-31T00:00:00"/>
        <d v="2021-11-30T00:00:00"/>
        <d v="2020-11-30T00:00:00"/>
        <d v="2021-12-31T00:00:00"/>
        <d v="2022-01-31T00:00:00"/>
        <d v="2021-01-31T00:00:00"/>
        <d v="2022-02-28T00:00:00"/>
        <d v="2021-02-28T00:00:00"/>
        <d v="2021-03-31T00:00:00"/>
        <d v="2022-03-31T00:00:00"/>
        <d v="2022-04-30T00:00:00"/>
        <d v="2021-04-30T00:00:00"/>
        <d v="2021-05-31T00:00:00"/>
        <d v="2022-05-31T00:00:00"/>
        <d v="2022-06-30T00:00:00"/>
        <d v="2021-06-30T00:00:00"/>
        <d v="2021-07-31T00:00:00"/>
        <d v="2022-07-31T00:00:00"/>
        <d v="2022-08-31T00:00:00"/>
        <d v="2021-08-31T00:00:00"/>
        <d v="2022-09-30T00:00:00"/>
        <d v="2022-10-31T00:00:00"/>
        <d v="2022-11-30T00:00:00"/>
        <d v="2022-12-31T00:00:00"/>
        <d v="2023-01-31T00:00:00"/>
        <d v="2023-02-28T00:00:00"/>
        <d v="2023-03-31T00:00:00"/>
        <d v="2023-04-30T00:00:00"/>
        <d v="2023-05-31T00:00:00"/>
        <d v="2023-06-30T00:00:00"/>
        <d v="2023-07-31T00:00:00"/>
        <d v="2023-08-31T00:00:00"/>
        <d v="2023-09-30T00:00:00"/>
        <d v="2023-10-31T00:00:00"/>
        <d v="2023-11-30T00:00:00"/>
        <s v="31.12.2022"/>
        <s v="31.12.2023"/>
        <m/>
      </sharedItems>
    </cacheField>
    <cacheField name="entity_code" numFmtId="0">
      <sharedItems containsBlank="1" count="2">
        <s v="TCD"/>
        <m/>
      </sharedItems>
    </cacheField>
    <cacheField name="Officer_Id" numFmtId="0">
      <sharedItems containsString="0" containsBlank="1" containsNumber="1" containsInteger="1" minValue="0" maxValue="774" count="79">
        <n v="213"/>
        <n v="248"/>
        <n v="278"/>
        <n v="338"/>
        <n v="359"/>
        <n v="383"/>
        <n v="387"/>
        <n v="449"/>
        <n v="453"/>
        <n v="478"/>
        <n v="493"/>
        <n v="510"/>
        <n v="521"/>
        <n v="522"/>
        <n v="524"/>
        <n v="525"/>
        <n v="530"/>
        <n v="540"/>
        <n v="548"/>
        <n v="558"/>
        <n v="574"/>
        <n v="576"/>
        <n v="578"/>
        <n v="582"/>
        <n v="585"/>
        <n v="587"/>
        <n v="597"/>
        <n v="608"/>
        <n v="610"/>
        <n v="626"/>
        <n v="628"/>
        <n v="640"/>
        <n v="648"/>
        <n v="659"/>
        <n v="674"/>
        <n v="678"/>
        <n v="691"/>
        <n v="710"/>
        <n v="719"/>
        <n v="722"/>
        <n v="732"/>
        <n v="739"/>
        <n v="379"/>
        <n v="447"/>
        <n v="639"/>
        <n v="198"/>
        <n v="346"/>
        <n v="469"/>
        <n v="476"/>
        <n v="485"/>
        <n v="501"/>
        <n v="502"/>
        <n v="630"/>
        <n v="740"/>
        <n v="760"/>
        <n v="705"/>
        <n v="0"/>
        <n v="279"/>
        <n v="712"/>
        <n v="601"/>
        <n v="370"/>
        <n v="758"/>
        <n v="616"/>
        <n v="594"/>
        <n v="742"/>
        <n v="727"/>
        <n v="556"/>
        <n v="650"/>
        <n v="555"/>
        <n v="458"/>
        <n v="664"/>
        <n v="708"/>
        <n v="527"/>
        <n v="746"/>
        <n v="774"/>
        <n v="586"/>
        <n v="267"/>
        <n v="581"/>
        <m/>
      </sharedItems>
    </cacheField>
    <cacheField name="Count(Distinct(Party_Id))" numFmtId="0">
      <sharedItems containsBlank="1" containsMixedTypes="1" containsNumber="1" containsInteger="1" minValue="1" maxValue="5197"/>
    </cacheField>
    <cacheField name="Top 100 clients" numFmtId="0">
      <sharedItems containsBlank="1" count="3">
        <s v="O"/>
        <s v="N"/>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UASSI Jean-Christophe DR AFO" refreshedDate="45301.614492361114" createdVersion="5" refreshedVersion="8" minRefreshableVersion="3" recordCount="9060" xr:uid="{00000000-000A-0000-FFFF-FFFF46000000}">
  <cacheSource type="worksheet">
    <worksheetSource ref="S1:W1048576" sheet="Gestionnaires_"/>
  </cacheSource>
  <cacheFields count="5">
    <cacheField name="Date_Valid" numFmtId="0">
      <sharedItems containsDate="1" containsBlank="1" containsMixedTypes="1" minDate="2020-09-30T00:00:00" maxDate="2023-12-01T00:00:00" count="42">
        <d v="2020-09-30T00:00:00"/>
        <d v="2020-12-31T00:00:00"/>
        <d v="2021-09-30T00:00:00"/>
        <d v="2021-10-31T00:00:00"/>
        <d v="2020-10-31T00:00:00"/>
        <d v="2020-11-30T00:00:00"/>
        <d v="2021-11-30T00:00:00"/>
        <d v="2021-12-31T00:00:00"/>
        <d v="2021-01-31T00:00:00"/>
        <d v="2022-01-31T00:00:00"/>
        <d v="2022-02-28T00:00:00"/>
        <d v="2021-02-28T00:00:00"/>
        <d v="2021-03-31T00:00:00"/>
        <d v="2022-03-31T00:00:00"/>
        <d v="2021-04-30T00:00:00"/>
        <d v="2022-04-30T00:00:00"/>
        <d v="2021-05-31T00:00:00"/>
        <d v="2022-05-31T00:00:00"/>
        <d v="2021-06-30T00:00:00"/>
        <d v="2022-06-30T00:00:00"/>
        <d v="2021-07-31T00:00:00"/>
        <d v="2022-07-31T00:00:00"/>
        <d v="2021-08-31T00:00:00"/>
        <d v="2022-08-31T00:00:00"/>
        <d v="2022-09-30T00:00:00"/>
        <d v="2022-10-31T00:00:00"/>
        <d v="2022-11-30T00:00:00"/>
        <d v="2023-01-31T00:00:00"/>
        <d v="2022-12-31T00:00:00"/>
        <d v="2023-02-28T00:00:00"/>
        <d v="2023-03-31T00:00:00"/>
        <d v="2023-04-30T00:00:00"/>
        <d v="2023-05-31T00:00:00"/>
        <d v="2023-06-30T00:00:00"/>
        <d v="2023-07-31T00:00:00"/>
        <d v="2023-08-31T00:00:00"/>
        <d v="2023-09-30T00:00:00"/>
        <d v="2023-10-31T00:00:00"/>
        <d v="2023-11-30T00:00:00"/>
        <s v="31.12.2022"/>
        <s v="31.12.2023"/>
        <m/>
      </sharedItems>
    </cacheField>
    <cacheField name="entity_code" numFmtId="0">
      <sharedItems containsBlank="1" count="2">
        <s v="CMR"/>
        <m/>
      </sharedItems>
    </cacheField>
    <cacheField name="Officer_Id" numFmtId="0">
      <sharedItems containsString="0" containsBlank="1" containsNumber="1" containsInteger="1" minValue="0" maxValue="999" count="303">
        <n v="0"/>
        <n v="11"/>
        <n v="13"/>
        <n v="35"/>
        <n v="40"/>
        <n v="41"/>
        <n v="42"/>
        <n v="43"/>
        <n v="44"/>
        <n v="46"/>
        <n v="48"/>
        <n v="52"/>
        <n v="56"/>
        <n v="58"/>
        <n v="59"/>
        <n v="64"/>
        <n v="66"/>
        <n v="68"/>
        <n v="69"/>
        <n v="70"/>
        <n v="72"/>
        <n v="76"/>
        <n v="77"/>
        <n v="78"/>
        <n v="79"/>
        <n v="81"/>
        <n v="82"/>
        <n v="83"/>
        <n v="84"/>
        <n v="87"/>
        <n v="89"/>
        <n v="92"/>
        <n v="93"/>
        <n v="94"/>
        <n v="97"/>
        <n v="98"/>
        <n v="100"/>
        <n v="101"/>
        <n v="103"/>
        <n v="111"/>
        <n v="116"/>
        <n v="120"/>
        <n v="123"/>
        <n v="124"/>
        <n v="132"/>
        <n v="136"/>
        <n v="139"/>
        <n v="140"/>
        <n v="141"/>
        <n v="149"/>
        <n v="150"/>
        <n v="153"/>
        <n v="155"/>
        <n v="158"/>
        <n v="159"/>
        <n v="161"/>
        <n v="162"/>
        <n v="164"/>
        <n v="169"/>
        <n v="171"/>
        <n v="176"/>
        <n v="182"/>
        <n v="183"/>
        <n v="188"/>
        <n v="191"/>
        <n v="193"/>
        <n v="194"/>
        <n v="195"/>
        <n v="200"/>
        <n v="203"/>
        <n v="204"/>
        <n v="212"/>
        <n v="213"/>
        <n v="215"/>
        <n v="216"/>
        <n v="218"/>
        <n v="222"/>
        <n v="231"/>
        <n v="232"/>
        <n v="233"/>
        <n v="237"/>
        <n v="238"/>
        <n v="239"/>
        <n v="240"/>
        <n v="241"/>
        <n v="243"/>
        <n v="245"/>
        <n v="247"/>
        <n v="249"/>
        <n v="251"/>
        <n v="252"/>
        <n v="253"/>
        <n v="254"/>
        <n v="255"/>
        <n v="256"/>
        <n v="257"/>
        <n v="262"/>
        <n v="264"/>
        <n v="265"/>
        <n v="266"/>
        <n v="267"/>
        <n v="269"/>
        <n v="271"/>
        <n v="275"/>
        <n v="279"/>
        <n v="290"/>
        <n v="291"/>
        <n v="292"/>
        <n v="293"/>
        <n v="294"/>
        <n v="295"/>
        <n v="296"/>
        <n v="299"/>
        <n v="303"/>
        <n v="304"/>
        <n v="305"/>
        <n v="308"/>
        <n v="311"/>
        <n v="342"/>
        <n v="367"/>
        <n v="528"/>
        <n v="621"/>
        <n v="636"/>
        <n v="641"/>
        <n v="645"/>
        <n v="650"/>
        <n v="651"/>
        <n v="652"/>
        <n v="653"/>
        <n v="654"/>
        <n v="656"/>
        <n v="658"/>
        <n v="660"/>
        <n v="662"/>
        <n v="663"/>
        <n v="664"/>
        <n v="665"/>
        <n v="666"/>
        <n v="668"/>
        <n v="669"/>
        <n v="670"/>
        <n v="671"/>
        <n v="672"/>
        <n v="674"/>
        <n v="678"/>
        <n v="679"/>
        <n v="680"/>
        <n v="681"/>
        <n v="684"/>
        <n v="686"/>
        <n v="687"/>
        <n v="688"/>
        <n v="691"/>
        <n v="696"/>
        <n v="697"/>
        <n v="999"/>
        <n v="1"/>
        <n v="53"/>
        <n v="61"/>
        <n v="63"/>
        <n v="102"/>
        <n v="113"/>
        <n v="173"/>
        <n v="190"/>
        <n v="220"/>
        <n v="276"/>
        <n v="309"/>
        <n v="312"/>
        <n v="315"/>
        <n v="667"/>
        <n v="698"/>
        <n v="699"/>
        <n v="700"/>
        <n v="60"/>
        <n v="110"/>
        <n v="130"/>
        <n v="202"/>
        <n v="230"/>
        <n v="236"/>
        <n v="246"/>
        <n v="250"/>
        <n v="297"/>
        <n v="306"/>
        <n v="317"/>
        <n v="318"/>
        <n v="319"/>
        <n v="320"/>
        <n v="321"/>
        <n v="322"/>
        <n v="323"/>
        <n v="324"/>
        <n v="325"/>
        <n v="326"/>
        <n v="328"/>
        <n v="622"/>
        <n v="676"/>
        <n v="694"/>
        <n v="701"/>
        <n v="703"/>
        <n v="704"/>
        <n v="131"/>
        <n v="152"/>
        <n v="114"/>
        <n v="27"/>
        <n v="39"/>
        <n v="73"/>
        <n v="145"/>
        <n v="523"/>
        <n v="626"/>
        <n v="272"/>
        <n v="259"/>
        <n v="148"/>
        <n v="133"/>
        <n v="91"/>
        <n v="105"/>
        <n v="14"/>
        <n v="75"/>
        <n v="181"/>
        <n v="108"/>
        <n v="47"/>
        <n v="329"/>
        <n v="157"/>
        <n v="706"/>
        <n v="86"/>
        <n v="21"/>
        <n v="129"/>
        <n v="707"/>
        <n v="96"/>
        <n v="229"/>
        <n v="710"/>
        <n v="248"/>
        <n v="327"/>
        <n v="709"/>
        <n v="283"/>
        <n v="718"/>
        <n v="316"/>
        <n v="716"/>
        <n v="675"/>
        <n v="722"/>
        <n v="720"/>
        <n v="723"/>
        <n v="648"/>
        <n v="729"/>
        <n v="725"/>
        <n v="726"/>
        <n v="732"/>
        <n v="724"/>
        <n v="728"/>
        <n v="727"/>
        <n v="738"/>
        <n v="739"/>
        <n v="740"/>
        <n v="735"/>
        <n v="736"/>
        <n v="750"/>
        <n v="109"/>
        <n v="737"/>
        <n v="748"/>
        <n v="741"/>
        <n v="71"/>
        <n v="344"/>
        <n v="779"/>
        <n v="143"/>
        <n v="769"/>
        <n v="119"/>
        <n v="227"/>
        <n v="661"/>
        <n v="134"/>
        <n v="798"/>
        <n v="693"/>
        <n v="801"/>
        <n v="799"/>
        <n v="792"/>
        <n v="797"/>
        <n v="791"/>
        <n v="802"/>
        <n v="804"/>
        <n v="790"/>
        <n v="793"/>
        <n v="803"/>
        <n v="805"/>
        <n v="806"/>
        <n v="809"/>
        <n v="812"/>
        <n v="524"/>
        <n v="814"/>
        <n v="160"/>
        <n v="817"/>
        <n v="702"/>
        <n v="819"/>
        <n v="824"/>
        <n v="822"/>
        <n v="826"/>
        <n v="818"/>
        <n v="2"/>
        <n v="823"/>
        <n v="832"/>
        <n v="829"/>
        <n v="828"/>
        <n v="235"/>
        <n v="846"/>
        <n v="853"/>
        <m/>
      </sharedItems>
    </cacheField>
    <cacheField name="Count(Distinct(Party_Id))" numFmtId="0">
      <sharedItems containsString="0" containsBlank="1" containsNumber="1" containsInteger="1" minValue="1" maxValue="15394"/>
    </cacheField>
    <cacheField name="Top 100 clients" numFmtId="0">
      <sharedItems containsBlank="1" count="3">
        <s v="O"/>
        <s v="N"/>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UASSI Jean-Christophe DR AFO" refreshedDate="45310.522051041669" createdVersion="5" refreshedVersion="8" minRefreshableVersion="3" recordCount="1497" xr:uid="{00000000-000A-0000-FFFF-FFFF45000000}">
  <cacheSource type="worksheet">
    <worksheetSource ref="B1:J1048576" sheet="PNB"/>
  </cacheSource>
  <cacheFields count="9">
    <cacheField name="Entity" numFmtId="0">
      <sharedItems containsBlank="1" count="12">
        <s v="BEN"/>
        <s v="BFA"/>
        <s v="CIV"/>
        <s v="CMR"/>
        <s v="COG"/>
        <s v="GHA"/>
        <s v="GIN"/>
        <s v="MDG"/>
        <s v="MRT"/>
        <s v="SEN"/>
        <s v="TCD"/>
        <m/>
      </sharedItems>
    </cacheField>
    <cacheField name="Date_Valid" numFmtId="0">
      <sharedItems containsDate="1" containsBlank="1" containsMixedTypes="1" minDate="2020-09-30T00:00:00" maxDate="2023-06-01T00:00:00" count="39">
        <d v="2020-11-30T00:00:00"/>
        <d v="2021-11-30T00:00:00"/>
        <d v="2020-12-31T00:00:00"/>
        <d v="2021-12-31T00:00:00"/>
        <d v="2021-01-31T00:00:00"/>
        <d v="2022-01-31T00:00:00"/>
        <d v="2021-02-28T00:00:00"/>
        <d v="2022-02-28T00:00:00"/>
        <d v="2021-03-31T00:00:00"/>
        <d v="2022-03-31T00:00:00"/>
        <d v="2021-04-30T00:00:00"/>
        <d v="2022-04-30T00:00:00"/>
        <d v="2021-05-31T00:00:00"/>
        <d v="2022-05-31T00:00:00"/>
        <s v="30.6.2021"/>
        <s v="30.6.2022"/>
        <s v="31.7.2021"/>
        <s v="31.7.2022"/>
        <s v="31.8.2021"/>
        <s v="31.8.2022"/>
        <s v="30.9.2021"/>
        <s v="30.9.2022"/>
        <s v="30.11.2021"/>
        <s v="30.11.2022"/>
        <d v="2023-01-31T00:00:00"/>
        <d v="2023-02-28T00:00:00"/>
        <d v="2023-03-31T00:00:00"/>
        <d v="2023-04-30T00:00:00"/>
        <d v="2023-05-31T00:00:00"/>
        <s v="30.6.2023"/>
        <s v="31.7.2023"/>
        <s v="31.8.2023"/>
        <s v="30.9.2023"/>
        <s v="30.11.2023"/>
        <m/>
        <d v="2020-09-30T00:00:00" u="1"/>
        <d v="2021-09-30T00:00:00" u="1"/>
        <d v="2020-10-31T00:00:00" u="1"/>
        <d v="2021-10-31T00:00:00" u="1"/>
      </sharedItems>
    </cacheField>
    <cacheField name="Segments" numFmtId="0">
      <sharedItems containsBlank="1" count="9">
        <s v="BONNE GAMME"/>
        <s v="GRAND PUBLIC"/>
        <s v="NON SEGMENTE"/>
        <s v="PATRIMONIAUX"/>
        <m/>
        <s v="PETITES ASSOCIATIONS" u="1"/>
        <s v="AUTRES ClIPRO" u="1"/>
        <s v="PROFESSIONNELS PERS MORALES" u="1"/>
        <s v="PROFESSIONNELS PERS PHYSIQUES" u="1"/>
      </sharedItems>
    </cacheField>
    <cacheField name="Marge intérêt en LC" numFmtId="0">
      <sharedItems containsString="0" containsBlank="1" containsNumber="1" minValue="-602641752.34650004" maxValue="69055020189.917206"/>
    </cacheField>
    <cacheField name="Commission en LC" numFmtId="0">
      <sharedItems containsString="0" containsBlank="1" containsNumber="1" minValue="-56919282297.468002" maxValue="64165569219.087997"/>
    </cacheField>
    <cacheField name="PNB en LC" numFmtId="0">
      <sharedItems containsString="0" containsBlank="1" containsNumber="1" minValue="-52669820224.961304" maxValue="143852911049.72601"/>
    </cacheField>
    <cacheField name="Marge intérêt en EUR" numFmtId="0">
      <sharedItems containsString="0" containsBlank="1" containsNumber="1" minValue="-995692.63660930004" maxValue="39830740.052351102"/>
    </cacheField>
    <cacheField name="Commission en EUR" numFmtId="0">
      <sharedItems containsString="0" containsBlank="1" containsNumber="1" minValue="-86772886.481077299" maxValue="22796676.204385299"/>
    </cacheField>
    <cacheField name="PNB en EUR" numFmtId="0">
      <sharedItems containsString="0" containsBlank="1" containsNumber="1" minValue="-80294623.313664302" maxValue="56333167.47496949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UASSI Jean-Christophe DR AFO" refreshedDate="45310.528859375001" createdVersion="7" refreshedVersion="8" minRefreshableVersion="3" recordCount="916" xr:uid="{77F40213-B35A-49FC-BC16-5FED6AD5E519}">
  <cacheSource type="worksheet">
    <worksheetSource ref="A1:E1048576" sheet="Toute_PRod" r:id="rId2"/>
  </cacheSource>
  <cacheFields count="7">
    <cacheField name="entity" numFmtId="0">
      <sharedItems containsBlank="1" count="12">
        <s v="BEN"/>
        <s v="BFA"/>
        <s v="CIV"/>
        <s v="CMR"/>
        <s v="COG"/>
        <s v="GHA"/>
        <s v="GIN"/>
        <s v="MDG"/>
        <s v="MRT"/>
        <s v="SEN"/>
        <s v="TCD"/>
        <m/>
      </sharedItems>
    </cacheField>
    <cacheField name="Date_Valid" numFmtId="14">
      <sharedItems containsNonDate="0" containsDate="1" containsString="0" containsBlank="1" minDate="2022-01-31T00:00:00" maxDate="2024-01-01T00:00:00" count="25">
        <d v="2022-12-31T00:00:00"/>
        <d v="2023-01-31T00:00:00"/>
        <d v="2022-01-31T00:00:00"/>
        <d v="2022-02-28T00:00:00"/>
        <d v="2022-03-31T00:00:00"/>
        <d v="2022-04-30T00:00:00"/>
        <d v="2022-05-31T00:00:00"/>
        <d v="2022-06-30T00:00:00"/>
        <d v="2022-07-31T00:00:00"/>
        <d v="2022-08-31T00:00:00"/>
        <d v="2022-09-30T00:00:00"/>
        <d v="2022-10-31T00:00:00"/>
        <d v="2022-11-30T00:00:00"/>
        <d v="2023-02-28T00:00:00"/>
        <d v="2023-03-31T00:00:00"/>
        <d v="2023-04-30T00:00:00"/>
        <d v="2023-05-31T00:00:00"/>
        <d v="2023-06-30T00:00:00"/>
        <d v="2023-07-31T00:00:00"/>
        <d v="2023-08-31T00:00:00"/>
        <d v="2023-09-30T00:00:00"/>
        <d v="2023-10-31T00:00:00"/>
        <d v="2023-11-30T00:00:00"/>
        <d v="2023-12-31T00:00:00"/>
        <m/>
      </sharedItems>
      <fieldGroup par="6" base="1">
        <rangePr groupBy="months" startDate="2022-01-31T00:00:00" endDate="2024-01-01T00:00:00"/>
        <groupItems count="14">
          <s v="(vide)"/>
          <s v="janv"/>
          <s v="févr"/>
          <s v="mars"/>
          <s v="avr"/>
          <s v="mai"/>
          <s v="juin"/>
          <s v="juil"/>
          <s v="août"/>
          <s v="sept"/>
          <s v="oct"/>
          <s v="nov"/>
          <s v="déc"/>
          <s v="&gt;01/01/2024"/>
        </groupItems>
      </fieldGroup>
    </cacheField>
    <cacheField name="Segmentation_Code_Description" numFmtId="0">
      <sharedItems containsBlank="1" count="8">
        <s v="10101 - Clientèle grand public"/>
        <s v="10103 - Clientèle bonne gamme"/>
        <s v="10104 - Clientèle patrimoniale"/>
        <s v="101XX - Inconnu"/>
        <s v="10106 - Membres du personnel SG (obsolète)"/>
        <s v="10109 - non segmenté"/>
        <s v="10105 - Clientèle non résidente (obsolète)"/>
        <m/>
      </sharedItems>
    </cacheField>
    <cacheField name="nombre" numFmtId="0">
      <sharedItems containsString="0" containsBlank="1" containsNumber="1" containsInteger="1" minValue="1" maxValue="9801"/>
    </cacheField>
    <cacheField name="montant" numFmtId="179">
      <sharedItems containsString="0" containsBlank="1" containsNumber="1" minValue="15000" maxValue="62242257394.910004"/>
    </cacheField>
    <cacheField name="Trimestres" numFmtId="0" databaseField="0">
      <fieldGroup base="1">
        <rangePr groupBy="quarters" startDate="2022-01-31T00:00:00" endDate="2024-01-01T00:00:00"/>
        <groupItems count="6">
          <s v="&lt;31/01/2022"/>
          <s v="Trimestre1"/>
          <s v="Trimestre2"/>
          <s v="Trimestre3"/>
          <s v="Trimestre4"/>
          <s v="&gt;01/01/2024"/>
        </groupItems>
      </fieldGroup>
    </cacheField>
    <cacheField name="Années" numFmtId="0" databaseField="0">
      <fieldGroup base="1">
        <rangePr groupBy="years" startDate="2022-01-31T00:00:00" endDate="2024-01-01T00:00:00"/>
        <groupItems count="5">
          <s v="&lt;31/01/2022"/>
          <s v="2022"/>
          <s v="2023"/>
          <s v="2024"/>
          <s v="&gt;01/01/2024"/>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UASSI Jean-Christophe DR AFO" refreshedDate="45310.528904861108" createdVersion="7" refreshedVersion="8" minRefreshableVersion="3" recordCount="881" xr:uid="{41AAFEF6-ABAC-41F7-8F52-CC18DCA2EF30}">
  <cacheSource type="worksheet">
    <worksheetSource ref="A1:E1048576" sheet="Nouveau_PPO" r:id="rId2"/>
  </cacheSource>
  <cacheFields count="7">
    <cacheField name="entity" numFmtId="0">
      <sharedItems containsBlank="1" count="12">
        <s v="BEN"/>
        <s v="BFA"/>
        <s v="CIV"/>
        <s v="CMR"/>
        <s v="COG"/>
        <s v="GHA"/>
        <s v="GIN"/>
        <s v="MDG"/>
        <s v="MRT"/>
        <s v="SEN"/>
        <s v="TCD"/>
        <m/>
      </sharedItems>
    </cacheField>
    <cacheField name="Date_Valid" numFmtId="14">
      <sharedItems containsNonDate="0" containsDate="1" containsString="0" containsBlank="1" minDate="2022-01-31T00:00:00" maxDate="2024-01-01T00:00:00" count="25">
        <d v="2023-01-31T00:00:00"/>
        <d v="2022-01-31T00:00:00"/>
        <d v="2022-02-28T00:00:00"/>
        <d v="2022-03-31T00:00:00"/>
        <d v="2022-04-30T00:00:00"/>
        <d v="2022-05-31T00:00:00"/>
        <d v="2022-06-30T00:00:00"/>
        <d v="2022-07-31T00:00:00"/>
        <d v="2022-08-31T00:00:00"/>
        <d v="2022-09-30T00:00:00"/>
        <d v="2022-10-31T00:00:00"/>
        <d v="2022-12-31T00:00:00"/>
        <d v="2022-11-30T00:00:00"/>
        <d v="2023-02-28T00:00:00"/>
        <d v="2023-03-31T00:00:00"/>
        <d v="2023-04-30T00:00:00"/>
        <d v="2023-05-31T00:00:00"/>
        <d v="2023-06-30T00:00:00"/>
        <d v="2023-07-31T00:00:00"/>
        <d v="2023-08-31T00:00:00"/>
        <d v="2023-09-30T00:00:00"/>
        <d v="2023-10-31T00:00:00"/>
        <d v="2023-11-30T00:00:00"/>
        <d v="2023-12-31T00:00:00"/>
        <m/>
      </sharedItems>
      <fieldGroup par="6" base="1">
        <rangePr groupBy="months" startDate="2022-01-31T00:00:00" endDate="2024-01-01T00:00:00"/>
        <groupItems count="14">
          <s v="(vide)"/>
          <s v="janv"/>
          <s v="févr"/>
          <s v="mars"/>
          <s v="avr"/>
          <s v="mai"/>
          <s v="juin"/>
          <s v="juil"/>
          <s v="août"/>
          <s v="sept"/>
          <s v="oct"/>
          <s v="nov"/>
          <s v="déc"/>
          <s v="&gt;01/01/2024"/>
        </groupItems>
      </fieldGroup>
    </cacheField>
    <cacheField name="Segmentation_Code_Description" numFmtId="0">
      <sharedItems containsBlank="1" count="8">
        <s v="10101 - Clientèle grand public"/>
        <s v="10103 - Clientèle bonne gamme"/>
        <s v="10104 - Clientèle patrimoniale"/>
        <s v="10106 - Membres du personnel SG (obsolète)"/>
        <s v="101XX - Inconnu"/>
        <s v="10105 - Clientèle non résidente (obsolète)"/>
        <s v="10109 - non segmenté"/>
        <m/>
      </sharedItems>
    </cacheField>
    <cacheField name="nombre" numFmtId="0">
      <sharedItems containsString="0" containsBlank="1" containsNumber="1" containsInteger="1" minValue="1" maxValue="9190"/>
    </cacheField>
    <cacheField name="montant" numFmtId="0">
      <sharedItems containsString="0" containsBlank="1" containsNumber="1" minValue="11000" maxValue="23872730000"/>
    </cacheField>
    <cacheField name="Trimestres" numFmtId="0" databaseField="0">
      <fieldGroup base="1">
        <rangePr groupBy="quarters" startDate="2022-01-31T00:00:00" endDate="2024-01-01T00:00:00"/>
        <groupItems count="6">
          <s v="&lt;31/01/2022"/>
          <s v="Trimestre1"/>
          <s v="Trimestre2"/>
          <s v="Trimestre3"/>
          <s v="Trimestre4"/>
          <s v="&gt;01/01/2024"/>
        </groupItems>
      </fieldGroup>
    </cacheField>
    <cacheField name="Années" numFmtId="0" databaseField="0">
      <fieldGroup base="1">
        <rangePr groupBy="years" startDate="2022-01-31T00:00:00" endDate="2024-01-01T00:00:00"/>
        <groupItems count="5">
          <s v="&lt;31/01/2022"/>
          <s v="2022"/>
          <s v="2023"/>
          <s v="2024"/>
          <s v="&gt;01/01/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1">
  <r>
    <x v="0"/>
    <x v="0"/>
    <x v="0"/>
    <n v="6202"/>
  </r>
  <r>
    <x v="0"/>
    <x v="0"/>
    <x v="1"/>
    <n v="2962"/>
  </r>
  <r>
    <x v="1"/>
    <x v="0"/>
    <x v="0"/>
    <n v="31041"/>
  </r>
  <r>
    <x v="1"/>
    <x v="0"/>
    <x v="1"/>
    <n v="18644"/>
  </r>
  <r>
    <x v="2"/>
    <x v="0"/>
    <x v="0"/>
    <n v="81597"/>
  </r>
  <r>
    <x v="2"/>
    <x v="0"/>
    <x v="1"/>
    <n v="19483"/>
  </r>
  <r>
    <x v="3"/>
    <x v="0"/>
    <x v="0"/>
    <n v="40346"/>
  </r>
  <r>
    <x v="3"/>
    <x v="0"/>
    <x v="1"/>
    <n v="18671"/>
  </r>
  <r>
    <x v="4"/>
    <x v="0"/>
    <x v="0"/>
    <n v="28433"/>
  </r>
  <r>
    <x v="4"/>
    <x v="0"/>
    <x v="1"/>
    <n v="4224"/>
  </r>
  <r>
    <x v="5"/>
    <x v="0"/>
    <x v="0"/>
    <n v="20884"/>
  </r>
  <r>
    <x v="5"/>
    <x v="0"/>
    <x v="1"/>
    <n v="372"/>
  </r>
  <r>
    <x v="6"/>
    <x v="0"/>
    <x v="0"/>
    <n v="92751"/>
  </r>
  <r>
    <x v="6"/>
    <x v="0"/>
    <x v="1"/>
    <n v="15503"/>
  </r>
  <r>
    <x v="7"/>
    <x v="0"/>
    <x v="0"/>
    <n v="35401"/>
  </r>
  <r>
    <x v="7"/>
    <x v="0"/>
    <x v="1"/>
    <n v="26072"/>
  </r>
  <r>
    <x v="8"/>
    <x v="0"/>
    <x v="0"/>
    <n v="3167"/>
  </r>
  <r>
    <x v="8"/>
    <x v="0"/>
    <x v="1"/>
    <n v="461"/>
  </r>
  <r>
    <x v="9"/>
    <x v="0"/>
    <x v="0"/>
    <n v="72193"/>
  </r>
  <r>
    <x v="9"/>
    <x v="0"/>
    <x v="1"/>
    <n v="62531"/>
  </r>
  <r>
    <x v="10"/>
    <x v="0"/>
    <x v="0"/>
    <n v="14712"/>
  </r>
  <r>
    <x v="10"/>
    <x v="0"/>
    <x v="1"/>
    <n v="827"/>
  </r>
  <r>
    <x v="0"/>
    <x v="1"/>
    <x v="0"/>
    <n v="6866"/>
  </r>
  <r>
    <x v="0"/>
    <x v="1"/>
    <x v="1"/>
    <n v="2918"/>
  </r>
  <r>
    <x v="1"/>
    <x v="1"/>
    <x v="0"/>
    <n v="34582"/>
  </r>
  <r>
    <x v="1"/>
    <x v="1"/>
    <x v="1"/>
    <n v="17442"/>
  </r>
  <r>
    <x v="2"/>
    <x v="1"/>
    <x v="0"/>
    <n v="75878"/>
  </r>
  <r>
    <x v="2"/>
    <x v="1"/>
    <x v="1"/>
    <n v="17371"/>
  </r>
  <r>
    <x v="3"/>
    <x v="1"/>
    <x v="0"/>
    <n v="44378"/>
  </r>
  <r>
    <x v="3"/>
    <x v="1"/>
    <x v="1"/>
    <n v="16977"/>
  </r>
  <r>
    <x v="4"/>
    <x v="1"/>
    <x v="0"/>
    <n v="39978"/>
  </r>
  <r>
    <x v="4"/>
    <x v="1"/>
    <x v="1"/>
    <n v="3543"/>
  </r>
  <r>
    <x v="5"/>
    <x v="1"/>
    <x v="0"/>
    <n v="15191"/>
  </r>
  <r>
    <x v="5"/>
    <x v="1"/>
    <x v="1"/>
    <n v="417"/>
  </r>
  <r>
    <x v="6"/>
    <x v="1"/>
    <x v="0"/>
    <n v="92199"/>
  </r>
  <r>
    <x v="6"/>
    <x v="1"/>
    <x v="1"/>
    <n v="15179"/>
  </r>
  <r>
    <x v="7"/>
    <x v="1"/>
    <x v="0"/>
    <n v="31965"/>
  </r>
  <r>
    <x v="7"/>
    <x v="1"/>
    <x v="1"/>
    <n v="23301"/>
  </r>
  <r>
    <x v="8"/>
    <x v="1"/>
    <x v="0"/>
    <n v="2695"/>
  </r>
  <r>
    <x v="8"/>
    <x v="1"/>
    <x v="1"/>
    <n v="531"/>
  </r>
  <r>
    <x v="9"/>
    <x v="1"/>
    <x v="0"/>
    <n v="57215"/>
  </r>
  <r>
    <x v="9"/>
    <x v="1"/>
    <x v="1"/>
    <n v="60005"/>
  </r>
  <r>
    <x v="10"/>
    <x v="1"/>
    <x v="0"/>
    <n v="13347"/>
  </r>
  <r>
    <x v="10"/>
    <x v="1"/>
    <x v="1"/>
    <n v="985"/>
  </r>
  <r>
    <x v="0"/>
    <x v="2"/>
    <x v="0"/>
    <n v="6116"/>
  </r>
  <r>
    <x v="0"/>
    <x v="2"/>
    <x v="1"/>
    <n v="2971"/>
  </r>
  <r>
    <x v="1"/>
    <x v="2"/>
    <x v="0"/>
    <n v="30544"/>
  </r>
  <r>
    <x v="1"/>
    <x v="2"/>
    <x v="1"/>
    <n v="18570"/>
  </r>
  <r>
    <x v="2"/>
    <x v="2"/>
    <x v="0"/>
    <n v="82439"/>
  </r>
  <r>
    <x v="2"/>
    <x v="2"/>
    <x v="1"/>
    <n v="19674"/>
  </r>
  <r>
    <x v="3"/>
    <x v="2"/>
    <x v="0"/>
    <n v="39984"/>
  </r>
  <r>
    <x v="3"/>
    <x v="2"/>
    <x v="1"/>
    <n v="18821"/>
  </r>
  <r>
    <x v="4"/>
    <x v="2"/>
    <x v="0"/>
    <n v="27615"/>
  </r>
  <r>
    <x v="4"/>
    <x v="2"/>
    <x v="1"/>
    <n v="4187"/>
  </r>
  <r>
    <x v="5"/>
    <x v="2"/>
    <x v="0"/>
    <n v="20938"/>
  </r>
  <r>
    <x v="5"/>
    <x v="2"/>
    <x v="1"/>
    <n v="369"/>
  </r>
  <r>
    <x v="6"/>
    <x v="2"/>
    <x v="0"/>
    <n v="93499"/>
  </r>
  <r>
    <x v="6"/>
    <x v="2"/>
    <x v="1"/>
    <n v="15460"/>
  </r>
  <r>
    <x v="7"/>
    <x v="2"/>
    <x v="0"/>
    <n v="33758"/>
  </r>
  <r>
    <x v="7"/>
    <x v="2"/>
    <x v="1"/>
    <n v="26196"/>
  </r>
  <r>
    <x v="8"/>
    <x v="2"/>
    <x v="0"/>
    <n v="3175"/>
  </r>
  <r>
    <x v="8"/>
    <x v="2"/>
    <x v="1"/>
    <n v="461"/>
  </r>
  <r>
    <x v="9"/>
    <x v="2"/>
    <x v="0"/>
    <n v="73574"/>
  </r>
  <r>
    <x v="9"/>
    <x v="2"/>
    <x v="1"/>
    <n v="62800"/>
  </r>
  <r>
    <x v="10"/>
    <x v="2"/>
    <x v="0"/>
    <n v="14517"/>
  </r>
  <r>
    <x v="10"/>
    <x v="2"/>
    <x v="1"/>
    <n v="804"/>
  </r>
  <r>
    <x v="0"/>
    <x v="3"/>
    <x v="0"/>
    <n v="6496"/>
  </r>
  <r>
    <x v="0"/>
    <x v="3"/>
    <x v="1"/>
    <n v="2879"/>
  </r>
  <r>
    <x v="1"/>
    <x v="3"/>
    <x v="0"/>
    <n v="33738"/>
  </r>
  <r>
    <x v="1"/>
    <x v="3"/>
    <x v="1"/>
    <n v="17661"/>
  </r>
  <r>
    <x v="2"/>
    <x v="3"/>
    <x v="0"/>
    <n v="76378"/>
  </r>
  <r>
    <x v="2"/>
    <x v="3"/>
    <x v="1"/>
    <n v="17549"/>
  </r>
  <r>
    <x v="3"/>
    <x v="3"/>
    <x v="0"/>
    <n v="44105"/>
  </r>
  <r>
    <x v="3"/>
    <x v="3"/>
    <x v="1"/>
    <n v="17196"/>
  </r>
  <r>
    <x v="4"/>
    <x v="3"/>
    <x v="0"/>
    <n v="37526"/>
  </r>
  <r>
    <x v="4"/>
    <x v="3"/>
    <x v="1"/>
    <n v="3662"/>
  </r>
  <r>
    <x v="5"/>
    <x v="3"/>
    <x v="0"/>
    <n v="15276"/>
  </r>
  <r>
    <x v="5"/>
    <x v="3"/>
    <x v="1"/>
    <n v="413"/>
  </r>
  <r>
    <x v="6"/>
    <x v="3"/>
    <x v="0"/>
    <n v="93008"/>
  </r>
  <r>
    <x v="6"/>
    <x v="3"/>
    <x v="1"/>
    <n v="15250"/>
  </r>
  <r>
    <x v="7"/>
    <x v="3"/>
    <x v="0"/>
    <n v="31420"/>
  </r>
  <r>
    <x v="7"/>
    <x v="3"/>
    <x v="1"/>
    <n v="23714"/>
  </r>
  <r>
    <x v="8"/>
    <x v="3"/>
    <x v="0"/>
    <n v="2717"/>
  </r>
  <r>
    <x v="8"/>
    <x v="3"/>
    <x v="1"/>
    <n v="522"/>
  </r>
  <r>
    <x v="9"/>
    <x v="3"/>
    <x v="0"/>
    <n v="58522"/>
  </r>
  <r>
    <x v="9"/>
    <x v="3"/>
    <x v="1"/>
    <n v="60186"/>
  </r>
  <r>
    <x v="10"/>
    <x v="3"/>
    <x v="0"/>
    <n v="12588"/>
  </r>
  <r>
    <x v="10"/>
    <x v="3"/>
    <x v="1"/>
    <n v="984"/>
  </r>
  <r>
    <x v="0"/>
    <x v="4"/>
    <x v="0"/>
    <n v="6073"/>
  </r>
  <r>
    <x v="0"/>
    <x v="4"/>
    <x v="1"/>
    <n v="2979"/>
  </r>
  <r>
    <x v="1"/>
    <x v="4"/>
    <x v="0"/>
    <n v="30571"/>
  </r>
  <r>
    <x v="1"/>
    <x v="4"/>
    <x v="1"/>
    <n v="18630"/>
  </r>
  <r>
    <x v="2"/>
    <x v="4"/>
    <x v="0"/>
    <n v="82830"/>
  </r>
  <r>
    <x v="2"/>
    <x v="4"/>
    <x v="1"/>
    <n v="19779"/>
  </r>
  <r>
    <x v="3"/>
    <x v="4"/>
    <x v="0"/>
    <n v="39811"/>
  </r>
  <r>
    <x v="3"/>
    <x v="4"/>
    <x v="1"/>
    <n v="18936"/>
  </r>
  <r>
    <x v="4"/>
    <x v="4"/>
    <x v="0"/>
    <n v="33231"/>
  </r>
  <r>
    <x v="4"/>
    <x v="4"/>
    <x v="1"/>
    <n v="5790"/>
  </r>
  <r>
    <x v="5"/>
    <x v="4"/>
    <x v="0"/>
    <n v="21054"/>
  </r>
  <r>
    <x v="5"/>
    <x v="4"/>
    <x v="1"/>
    <n v="373"/>
  </r>
  <r>
    <x v="6"/>
    <x v="4"/>
    <x v="0"/>
    <n v="93497"/>
  </r>
  <r>
    <x v="6"/>
    <x v="4"/>
    <x v="1"/>
    <n v="15404"/>
  </r>
  <r>
    <x v="7"/>
    <x v="4"/>
    <x v="0"/>
    <n v="32975"/>
  </r>
  <r>
    <x v="7"/>
    <x v="4"/>
    <x v="1"/>
    <n v="26367"/>
  </r>
  <r>
    <x v="8"/>
    <x v="4"/>
    <x v="0"/>
    <n v="3169"/>
  </r>
  <r>
    <x v="8"/>
    <x v="4"/>
    <x v="1"/>
    <n v="449"/>
  </r>
  <r>
    <x v="9"/>
    <x v="4"/>
    <x v="0"/>
    <n v="74356"/>
  </r>
  <r>
    <x v="9"/>
    <x v="4"/>
    <x v="1"/>
    <n v="63331"/>
  </r>
  <r>
    <x v="10"/>
    <x v="4"/>
    <x v="0"/>
    <n v="13473"/>
  </r>
  <r>
    <x v="10"/>
    <x v="4"/>
    <x v="1"/>
    <n v="777"/>
  </r>
  <r>
    <x v="0"/>
    <x v="5"/>
    <x v="0"/>
    <n v="6261"/>
  </r>
  <r>
    <x v="0"/>
    <x v="5"/>
    <x v="1"/>
    <n v="2792"/>
  </r>
  <r>
    <x v="1"/>
    <x v="5"/>
    <x v="0"/>
    <n v="33743"/>
  </r>
  <r>
    <x v="1"/>
    <x v="5"/>
    <x v="1"/>
    <n v="17885"/>
  </r>
  <r>
    <x v="2"/>
    <x v="5"/>
    <x v="0"/>
    <n v="77729"/>
  </r>
  <r>
    <x v="2"/>
    <x v="5"/>
    <x v="1"/>
    <n v="16809"/>
  </r>
  <r>
    <x v="7"/>
    <x v="5"/>
    <x v="0"/>
    <n v="31469"/>
  </r>
  <r>
    <x v="7"/>
    <x v="5"/>
    <x v="1"/>
    <n v="23741"/>
  </r>
  <r>
    <x v="8"/>
    <x v="5"/>
    <x v="0"/>
    <n v="2902"/>
  </r>
  <r>
    <x v="8"/>
    <x v="5"/>
    <x v="1"/>
    <n v="352"/>
  </r>
  <r>
    <x v="3"/>
    <x v="5"/>
    <x v="0"/>
    <n v="44194"/>
  </r>
  <r>
    <x v="3"/>
    <x v="5"/>
    <x v="1"/>
    <n v="16949"/>
  </r>
  <r>
    <x v="4"/>
    <x v="5"/>
    <x v="0"/>
    <n v="38141"/>
  </r>
  <r>
    <x v="4"/>
    <x v="5"/>
    <x v="1"/>
    <n v="3863"/>
  </r>
  <r>
    <x v="9"/>
    <x v="5"/>
    <x v="0"/>
    <n v="68084"/>
  </r>
  <r>
    <x v="9"/>
    <x v="5"/>
    <x v="1"/>
    <n v="52430"/>
  </r>
  <r>
    <x v="5"/>
    <x v="5"/>
    <x v="0"/>
    <n v="15360"/>
  </r>
  <r>
    <x v="5"/>
    <x v="5"/>
    <x v="1"/>
    <n v="433"/>
  </r>
  <r>
    <x v="6"/>
    <x v="5"/>
    <x v="0"/>
    <n v="95501"/>
  </r>
  <r>
    <x v="6"/>
    <x v="5"/>
    <x v="1"/>
    <n v="12872"/>
  </r>
  <r>
    <x v="10"/>
    <x v="5"/>
    <x v="0"/>
    <n v="10696"/>
  </r>
  <r>
    <x v="10"/>
    <x v="5"/>
    <x v="1"/>
    <n v="2680"/>
  </r>
  <r>
    <x v="0"/>
    <x v="6"/>
    <x v="0"/>
    <n v="6318"/>
  </r>
  <r>
    <x v="0"/>
    <x v="6"/>
    <x v="1"/>
    <n v="2921"/>
  </r>
  <r>
    <x v="1"/>
    <x v="6"/>
    <x v="0"/>
    <n v="31094"/>
  </r>
  <r>
    <x v="1"/>
    <x v="6"/>
    <x v="1"/>
    <n v="18759"/>
  </r>
  <r>
    <x v="2"/>
    <x v="6"/>
    <x v="0"/>
    <n v="84901"/>
  </r>
  <r>
    <x v="2"/>
    <x v="6"/>
    <x v="1"/>
    <n v="18968"/>
  </r>
  <r>
    <x v="7"/>
    <x v="6"/>
    <x v="0"/>
    <n v="31067"/>
  </r>
  <r>
    <x v="7"/>
    <x v="6"/>
    <x v="1"/>
    <n v="26178"/>
  </r>
  <r>
    <x v="8"/>
    <x v="6"/>
    <x v="0"/>
    <n v="3166"/>
  </r>
  <r>
    <x v="8"/>
    <x v="6"/>
    <x v="1"/>
    <n v="514"/>
  </r>
  <r>
    <x v="3"/>
    <x v="6"/>
    <x v="0"/>
    <n v="39846"/>
  </r>
  <r>
    <x v="3"/>
    <x v="6"/>
    <x v="1"/>
    <n v="18717"/>
  </r>
  <r>
    <x v="4"/>
    <x v="6"/>
    <x v="0"/>
    <n v="34113"/>
  </r>
  <r>
    <x v="4"/>
    <x v="6"/>
    <x v="1"/>
    <n v="5325"/>
  </r>
  <r>
    <x v="9"/>
    <x v="6"/>
    <x v="0"/>
    <n v="82525"/>
  </r>
  <r>
    <x v="9"/>
    <x v="6"/>
    <x v="1"/>
    <n v="59182"/>
  </r>
  <r>
    <x v="5"/>
    <x v="6"/>
    <x v="0"/>
    <n v="21111"/>
  </r>
  <r>
    <x v="5"/>
    <x v="6"/>
    <x v="1"/>
    <n v="395"/>
  </r>
  <r>
    <x v="6"/>
    <x v="6"/>
    <x v="0"/>
    <n v="96056"/>
  </r>
  <r>
    <x v="6"/>
    <x v="6"/>
    <x v="1"/>
    <n v="12911"/>
  </r>
  <r>
    <x v="10"/>
    <x v="6"/>
    <x v="0"/>
    <n v="12709"/>
  </r>
  <r>
    <x v="10"/>
    <x v="6"/>
    <x v="1"/>
    <n v="2109"/>
  </r>
  <r>
    <x v="0"/>
    <x v="7"/>
    <x v="0"/>
    <n v="6349"/>
  </r>
  <r>
    <x v="0"/>
    <x v="7"/>
    <x v="1"/>
    <n v="2791"/>
  </r>
  <r>
    <x v="1"/>
    <x v="7"/>
    <x v="0"/>
    <n v="33426"/>
  </r>
  <r>
    <x v="1"/>
    <x v="7"/>
    <x v="1"/>
    <n v="18214"/>
  </r>
  <r>
    <x v="2"/>
    <x v="7"/>
    <x v="0"/>
    <n v="78792"/>
  </r>
  <r>
    <x v="2"/>
    <x v="7"/>
    <x v="1"/>
    <n v="17072"/>
  </r>
  <r>
    <x v="7"/>
    <x v="7"/>
    <x v="0"/>
    <n v="32899"/>
  </r>
  <r>
    <x v="7"/>
    <x v="7"/>
    <x v="1"/>
    <n v="24298"/>
  </r>
  <r>
    <x v="8"/>
    <x v="7"/>
    <x v="0"/>
    <n v="2906"/>
  </r>
  <r>
    <x v="8"/>
    <x v="7"/>
    <x v="1"/>
    <n v="360"/>
  </r>
  <r>
    <x v="3"/>
    <x v="7"/>
    <x v="0"/>
    <n v="43745"/>
  </r>
  <r>
    <x v="3"/>
    <x v="7"/>
    <x v="1"/>
    <n v="17164"/>
  </r>
  <r>
    <x v="4"/>
    <x v="7"/>
    <x v="0"/>
    <n v="37622"/>
  </r>
  <r>
    <x v="4"/>
    <x v="7"/>
    <x v="1"/>
    <n v="3974"/>
  </r>
  <r>
    <x v="9"/>
    <x v="7"/>
    <x v="0"/>
    <n v="71486"/>
  </r>
  <r>
    <x v="9"/>
    <x v="7"/>
    <x v="1"/>
    <n v="52987"/>
  </r>
  <r>
    <x v="5"/>
    <x v="7"/>
    <x v="0"/>
    <n v="15494"/>
  </r>
  <r>
    <x v="5"/>
    <x v="7"/>
    <x v="1"/>
    <n v="435"/>
  </r>
  <r>
    <x v="6"/>
    <x v="7"/>
    <x v="0"/>
    <n v="95374"/>
  </r>
  <r>
    <x v="6"/>
    <x v="7"/>
    <x v="1"/>
    <n v="12841"/>
  </r>
  <r>
    <x v="10"/>
    <x v="7"/>
    <x v="0"/>
    <n v="12796"/>
  </r>
  <r>
    <x v="10"/>
    <x v="7"/>
    <x v="1"/>
    <n v="2664"/>
  </r>
  <r>
    <x v="0"/>
    <x v="8"/>
    <x v="0"/>
    <n v="6379"/>
  </r>
  <r>
    <x v="0"/>
    <x v="8"/>
    <x v="1"/>
    <n v="2806"/>
  </r>
  <r>
    <x v="1"/>
    <x v="8"/>
    <x v="0"/>
    <n v="34359"/>
  </r>
  <r>
    <x v="1"/>
    <x v="8"/>
    <x v="1"/>
    <n v="18540"/>
  </r>
  <r>
    <x v="2"/>
    <x v="8"/>
    <x v="0"/>
    <n v="79773"/>
  </r>
  <r>
    <x v="2"/>
    <x v="8"/>
    <x v="1"/>
    <n v="17339"/>
  </r>
  <r>
    <x v="7"/>
    <x v="8"/>
    <x v="0"/>
    <n v="35485"/>
  </r>
  <r>
    <x v="7"/>
    <x v="8"/>
    <x v="1"/>
    <n v="24867"/>
  </r>
  <r>
    <x v="8"/>
    <x v="8"/>
    <x v="0"/>
    <n v="2974"/>
  </r>
  <r>
    <x v="8"/>
    <x v="8"/>
    <x v="1"/>
    <n v="371"/>
  </r>
  <r>
    <x v="3"/>
    <x v="8"/>
    <x v="0"/>
    <n v="43241"/>
  </r>
  <r>
    <x v="3"/>
    <x v="8"/>
    <x v="1"/>
    <n v="17266"/>
  </r>
  <r>
    <x v="4"/>
    <x v="8"/>
    <x v="0"/>
    <n v="37209"/>
  </r>
  <r>
    <x v="4"/>
    <x v="8"/>
    <x v="1"/>
    <n v="4130"/>
  </r>
  <r>
    <x v="9"/>
    <x v="8"/>
    <x v="0"/>
    <n v="73642"/>
  </r>
  <r>
    <x v="9"/>
    <x v="8"/>
    <x v="1"/>
    <n v="53604"/>
  </r>
  <r>
    <x v="5"/>
    <x v="8"/>
    <x v="0"/>
    <n v="15742"/>
  </r>
  <r>
    <x v="5"/>
    <x v="8"/>
    <x v="1"/>
    <n v="442"/>
  </r>
  <r>
    <x v="6"/>
    <x v="8"/>
    <x v="0"/>
    <n v="95634"/>
  </r>
  <r>
    <x v="6"/>
    <x v="8"/>
    <x v="1"/>
    <n v="12847"/>
  </r>
  <r>
    <x v="10"/>
    <x v="8"/>
    <x v="0"/>
    <n v="14365"/>
  </r>
  <r>
    <x v="10"/>
    <x v="8"/>
    <x v="1"/>
    <n v="2632"/>
  </r>
  <r>
    <x v="0"/>
    <x v="9"/>
    <x v="0"/>
    <n v="6379"/>
  </r>
  <r>
    <x v="0"/>
    <x v="9"/>
    <x v="1"/>
    <n v="2806"/>
  </r>
  <r>
    <x v="0"/>
    <x v="9"/>
    <x v="0"/>
    <n v="6325"/>
  </r>
  <r>
    <x v="0"/>
    <x v="9"/>
    <x v="1"/>
    <n v="2924"/>
  </r>
  <r>
    <x v="1"/>
    <x v="9"/>
    <x v="0"/>
    <n v="34359"/>
  </r>
  <r>
    <x v="1"/>
    <x v="9"/>
    <x v="1"/>
    <n v="18540"/>
  </r>
  <r>
    <x v="1"/>
    <x v="9"/>
    <x v="0"/>
    <n v="32004"/>
  </r>
  <r>
    <x v="1"/>
    <x v="9"/>
    <x v="1"/>
    <n v="18825"/>
  </r>
  <r>
    <x v="2"/>
    <x v="9"/>
    <x v="0"/>
    <n v="79773"/>
  </r>
  <r>
    <x v="2"/>
    <x v="9"/>
    <x v="1"/>
    <n v="17339"/>
  </r>
  <r>
    <x v="2"/>
    <x v="9"/>
    <x v="0"/>
    <n v="86247"/>
  </r>
  <r>
    <x v="2"/>
    <x v="9"/>
    <x v="1"/>
    <n v="19094"/>
  </r>
  <r>
    <x v="7"/>
    <x v="9"/>
    <x v="0"/>
    <n v="35485"/>
  </r>
  <r>
    <x v="7"/>
    <x v="9"/>
    <x v="1"/>
    <n v="24867"/>
  </r>
  <r>
    <x v="7"/>
    <x v="9"/>
    <x v="0"/>
    <n v="29457"/>
  </r>
  <r>
    <x v="7"/>
    <x v="9"/>
    <x v="1"/>
    <n v="26100"/>
  </r>
  <r>
    <x v="8"/>
    <x v="9"/>
    <x v="0"/>
    <n v="2974"/>
  </r>
  <r>
    <x v="8"/>
    <x v="9"/>
    <x v="1"/>
    <n v="371"/>
  </r>
  <r>
    <x v="8"/>
    <x v="9"/>
    <x v="0"/>
    <n v="3190"/>
  </r>
  <r>
    <x v="8"/>
    <x v="9"/>
    <x v="1"/>
    <n v="528"/>
  </r>
  <r>
    <x v="3"/>
    <x v="9"/>
    <x v="0"/>
    <n v="43241"/>
  </r>
  <r>
    <x v="3"/>
    <x v="9"/>
    <x v="1"/>
    <n v="17266"/>
  </r>
  <r>
    <x v="3"/>
    <x v="9"/>
    <x v="0"/>
    <n v="39467"/>
  </r>
  <r>
    <x v="3"/>
    <x v="9"/>
    <x v="1"/>
    <n v="18733"/>
  </r>
  <r>
    <x v="4"/>
    <x v="9"/>
    <x v="0"/>
    <n v="37209"/>
  </r>
  <r>
    <x v="4"/>
    <x v="9"/>
    <x v="1"/>
    <n v="4130"/>
  </r>
  <r>
    <x v="4"/>
    <x v="9"/>
    <x v="0"/>
    <n v="33433"/>
  </r>
  <r>
    <x v="4"/>
    <x v="9"/>
    <x v="1"/>
    <n v="5458"/>
  </r>
  <r>
    <x v="9"/>
    <x v="9"/>
    <x v="0"/>
    <n v="73642"/>
  </r>
  <r>
    <x v="9"/>
    <x v="9"/>
    <x v="1"/>
    <n v="53604"/>
  </r>
  <r>
    <x v="9"/>
    <x v="9"/>
    <x v="0"/>
    <n v="84141"/>
  </r>
  <r>
    <x v="9"/>
    <x v="9"/>
    <x v="1"/>
    <n v="59761"/>
  </r>
  <r>
    <x v="5"/>
    <x v="9"/>
    <x v="0"/>
    <n v="15742"/>
  </r>
  <r>
    <x v="5"/>
    <x v="9"/>
    <x v="1"/>
    <n v="442"/>
  </r>
  <r>
    <x v="5"/>
    <x v="9"/>
    <x v="0"/>
    <n v="21632"/>
  </r>
  <r>
    <x v="5"/>
    <x v="9"/>
    <x v="1"/>
    <n v="648"/>
  </r>
  <r>
    <x v="6"/>
    <x v="9"/>
    <x v="0"/>
    <n v="95634"/>
  </r>
  <r>
    <x v="6"/>
    <x v="9"/>
    <x v="1"/>
    <n v="12847"/>
  </r>
  <r>
    <x v="6"/>
    <x v="9"/>
    <x v="0"/>
    <n v="95976"/>
  </r>
  <r>
    <x v="6"/>
    <x v="9"/>
    <x v="1"/>
    <n v="12900"/>
  </r>
  <r>
    <x v="10"/>
    <x v="9"/>
    <x v="0"/>
    <n v="14365"/>
  </r>
  <r>
    <x v="10"/>
    <x v="9"/>
    <x v="1"/>
    <n v="2632"/>
  </r>
  <r>
    <x v="10"/>
    <x v="9"/>
    <x v="0"/>
    <n v="14592"/>
  </r>
  <r>
    <x v="10"/>
    <x v="9"/>
    <x v="1"/>
    <n v="2069"/>
  </r>
  <r>
    <x v="0"/>
    <x v="10"/>
    <x v="0"/>
    <n v="6312"/>
  </r>
  <r>
    <x v="0"/>
    <x v="10"/>
    <x v="1"/>
    <n v="2907"/>
  </r>
  <r>
    <x v="1"/>
    <x v="10"/>
    <x v="0"/>
    <n v="33074"/>
  </r>
  <r>
    <x v="1"/>
    <x v="10"/>
    <x v="1"/>
    <n v="18796"/>
  </r>
  <r>
    <x v="2"/>
    <x v="10"/>
    <x v="0"/>
    <n v="87685"/>
  </r>
  <r>
    <x v="2"/>
    <x v="10"/>
    <x v="1"/>
    <n v="19320"/>
  </r>
  <r>
    <x v="7"/>
    <x v="10"/>
    <x v="0"/>
    <n v="29002"/>
  </r>
  <r>
    <x v="7"/>
    <x v="10"/>
    <x v="1"/>
    <n v="26165"/>
  </r>
  <r>
    <x v="8"/>
    <x v="10"/>
    <x v="0"/>
    <n v="3232"/>
  </r>
  <r>
    <x v="8"/>
    <x v="10"/>
    <x v="1"/>
    <n v="546"/>
  </r>
  <r>
    <x v="3"/>
    <x v="10"/>
    <x v="0"/>
    <n v="39171"/>
  </r>
  <r>
    <x v="3"/>
    <x v="10"/>
    <x v="1"/>
    <n v="18757"/>
  </r>
  <r>
    <x v="4"/>
    <x v="10"/>
    <x v="0"/>
    <n v="33705"/>
  </r>
  <r>
    <x v="4"/>
    <x v="10"/>
    <x v="1"/>
    <n v="5625"/>
  </r>
  <r>
    <x v="9"/>
    <x v="10"/>
    <x v="0"/>
    <n v="84975"/>
  </r>
  <r>
    <x v="9"/>
    <x v="10"/>
    <x v="1"/>
    <n v="60388"/>
  </r>
  <r>
    <x v="5"/>
    <x v="10"/>
    <x v="0"/>
    <n v="21770"/>
  </r>
  <r>
    <x v="5"/>
    <x v="10"/>
    <x v="1"/>
    <n v="847"/>
  </r>
  <r>
    <x v="6"/>
    <x v="10"/>
    <x v="0"/>
    <n v="95680"/>
  </r>
  <r>
    <x v="6"/>
    <x v="10"/>
    <x v="1"/>
    <n v="12853"/>
  </r>
  <r>
    <x v="10"/>
    <x v="10"/>
    <x v="0"/>
    <n v="15390"/>
  </r>
  <r>
    <x v="10"/>
    <x v="10"/>
    <x v="1"/>
    <n v="2026"/>
  </r>
  <r>
    <x v="0"/>
    <x v="11"/>
    <x v="0"/>
    <n v="6312"/>
  </r>
  <r>
    <x v="0"/>
    <x v="11"/>
    <x v="1"/>
    <n v="2907"/>
  </r>
  <r>
    <x v="1"/>
    <x v="11"/>
    <x v="0"/>
    <n v="33074"/>
  </r>
  <r>
    <x v="1"/>
    <x v="11"/>
    <x v="1"/>
    <n v="18796"/>
  </r>
  <r>
    <x v="2"/>
    <x v="11"/>
    <x v="0"/>
    <n v="87685"/>
  </r>
  <r>
    <x v="2"/>
    <x v="11"/>
    <x v="1"/>
    <n v="19320"/>
  </r>
  <r>
    <x v="7"/>
    <x v="11"/>
    <x v="0"/>
    <n v="29002"/>
  </r>
  <r>
    <x v="7"/>
    <x v="11"/>
    <x v="1"/>
    <n v="26165"/>
  </r>
  <r>
    <x v="8"/>
    <x v="11"/>
    <x v="0"/>
    <n v="3232"/>
  </r>
  <r>
    <x v="8"/>
    <x v="11"/>
    <x v="1"/>
    <n v="546"/>
  </r>
  <r>
    <x v="3"/>
    <x v="11"/>
    <x v="0"/>
    <n v="39171"/>
  </r>
  <r>
    <x v="3"/>
    <x v="11"/>
    <x v="1"/>
    <n v="18757"/>
  </r>
  <r>
    <x v="4"/>
    <x v="11"/>
    <x v="0"/>
    <n v="33705"/>
  </r>
  <r>
    <x v="4"/>
    <x v="11"/>
    <x v="1"/>
    <n v="5625"/>
  </r>
  <r>
    <x v="9"/>
    <x v="11"/>
    <x v="0"/>
    <n v="84975"/>
  </r>
  <r>
    <x v="9"/>
    <x v="11"/>
    <x v="1"/>
    <n v="60388"/>
  </r>
  <r>
    <x v="5"/>
    <x v="11"/>
    <x v="0"/>
    <n v="21770"/>
  </r>
  <r>
    <x v="5"/>
    <x v="11"/>
    <x v="1"/>
    <n v="847"/>
  </r>
  <r>
    <x v="6"/>
    <x v="11"/>
    <x v="0"/>
    <n v="95680"/>
  </r>
  <r>
    <x v="6"/>
    <x v="11"/>
    <x v="1"/>
    <n v="12853"/>
  </r>
  <r>
    <x v="10"/>
    <x v="11"/>
    <x v="0"/>
    <n v="15390"/>
  </r>
  <r>
    <x v="10"/>
    <x v="11"/>
    <x v="1"/>
    <n v="2026"/>
  </r>
  <r>
    <x v="0"/>
    <x v="11"/>
    <x v="0"/>
    <n v="6409"/>
  </r>
  <r>
    <x v="0"/>
    <x v="11"/>
    <x v="1"/>
    <n v="2825"/>
  </r>
  <r>
    <x v="0"/>
    <x v="11"/>
    <x v="0"/>
    <n v="6312"/>
  </r>
  <r>
    <x v="0"/>
    <x v="11"/>
    <x v="1"/>
    <n v="2907"/>
  </r>
  <r>
    <x v="1"/>
    <x v="11"/>
    <x v="0"/>
    <n v="34835"/>
  </r>
  <r>
    <x v="1"/>
    <x v="11"/>
    <x v="1"/>
    <n v="18685"/>
  </r>
  <r>
    <x v="1"/>
    <x v="11"/>
    <x v="0"/>
    <n v="33074"/>
  </r>
  <r>
    <x v="1"/>
    <x v="11"/>
    <x v="1"/>
    <n v="18796"/>
  </r>
  <r>
    <x v="2"/>
    <x v="11"/>
    <x v="0"/>
    <n v="80612"/>
  </r>
  <r>
    <x v="2"/>
    <x v="11"/>
    <x v="1"/>
    <n v="17437"/>
  </r>
  <r>
    <x v="2"/>
    <x v="11"/>
    <x v="0"/>
    <n v="87685"/>
  </r>
  <r>
    <x v="2"/>
    <x v="11"/>
    <x v="1"/>
    <n v="19320"/>
  </r>
  <r>
    <x v="7"/>
    <x v="11"/>
    <x v="0"/>
    <n v="36726"/>
  </r>
  <r>
    <x v="7"/>
    <x v="11"/>
    <x v="1"/>
    <n v="25052"/>
  </r>
  <r>
    <x v="7"/>
    <x v="11"/>
    <x v="0"/>
    <n v="29002"/>
  </r>
  <r>
    <x v="7"/>
    <x v="11"/>
    <x v="1"/>
    <n v="26165"/>
  </r>
  <r>
    <x v="8"/>
    <x v="11"/>
    <x v="0"/>
    <n v="3035"/>
  </r>
  <r>
    <x v="8"/>
    <x v="11"/>
    <x v="1"/>
    <n v="380"/>
  </r>
  <r>
    <x v="8"/>
    <x v="11"/>
    <x v="0"/>
    <n v="3232"/>
  </r>
  <r>
    <x v="8"/>
    <x v="11"/>
    <x v="1"/>
    <n v="546"/>
  </r>
  <r>
    <x v="3"/>
    <x v="11"/>
    <x v="0"/>
    <n v="42815"/>
  </r>
  <r>
    <x v="3"/>
    <x v="11"/>
    <x v="1"/>
    <n v="17387"/>
  </r>
  <r>
    <x v="3"/>
    <x v="11"/>
    <x v="0"/>
    <n v="39171"/>
  </r>
  <r>
    <x v="3"/>
    <x v="11"/>
    <x v="1"/>
    <n v="18757"/>
  </r>
  <r>
    <x v="4"/>
    <x v="11"/>
    <x v="0"/>
    <n v="37204"/>
  </r>
  <r>
    <x v="4"/>
    <x v="11"/>
    <x v="1"/>
    <n v="4299"/>
  </r>
  <r>
    <x v="4"/>
    <x v="11"/>
    <x v="0"/>
    <n v="33705"/>
  </r>
  <r>
    <x v="4"/>
    <x v="11"/>
    <x v="1"/>
    <n v="5625"/>
  </r>
  <r>
    <x v="9"/>
    <x v="11"/>
    <x v="0"/>
    <n v="75201"/>
  </r>
  <r>
    <x v="9"/>
    <x v="11"/>
    <x v="1"/>
    <n v="54238"/>
  </r>
  <r>
    <x v="9"/>
    <x v="11"/>
    <x v="0"/>
    <n v="84975"/>
  </r>
  <r>
    <x v="9"/>
    <x v="11"/>
    <x v="1"/>
    <n v="60388"/>
  </r>
  <r>
    <x v="5"/>
    <x v="11"/>
    <x v="0"/>
    <n v="18323"/>
  </r>
  <r>
    <x v="5"/>
    <x v="11"/>
    <x v="1"/>
    <n v="436"/>
  </r>
  <r>
    <x v="5"/>
    <x v="11"/>
    <x v="0"/>
    <n v="21770"/>
  </r>
  <r>
    <x v="5"/>
    <x v="11"/>
    <x v="1"/>
    <n v="847"/>
  </r>
  <r>
    <x v="6"/>
    <x v="11"/>
    <x v="0"/>
    <n v="95670"/>
  </r>
  <r>
    <x v="6"/>
    <x v="11"/>
    <x v="1"/>
    <n v="12803"/>
  </r>
  <r>
    <x v="6"/>
    <x v="11"/>
    <x v="0"/>
    <n v="95680"/>
  </r>
  <r>
    <x v="6"/>
    <x v="11"/>
    <x v="1"/>
    <n v="12853"/>
  </r>
  <r>
    <x v="10"/>
    <x v="11"/>
    <x v="0"/>
    <n v="15137"/>
  </r>
  <r>
    <x v="10"/>
    <x v="11"/>
    <x v="1"/>
    <n v="2594"/>
  </r>
  <r>
    <x v="10"/>
    <x v="11"/>
    <x v="0"/>
    <n v="15390"/>
  </r>
  <r>
    <x v="10"/>
    <x v="11"/>
    <x v="1"/>
    <n v="2026"/>
  </r>
  <r>
    <x v="0"/>
    <x v="12"/>
    <x v="0"/>
    <n v="6179"/>
  </r>
  <r>
    <x v="0"/>
    <x v="12"/>
    <x v="1"/>
    <n v="2906"/>
  </r>
  <r>
    <x v="1"/>
    <x v="12"/>
    <x v="0"/>
    <n v="33203"/>
  </r>
  <r>
    <x v="1"/>
    <x v="12"/>
    <x v="1"/>
    <n v="18735"/>
  </r>
  <r>
    <x v="2"/>
    <x v="12"/>
    <x v="0"/>
    <n v="88379"/>
  </r>
  <r>
    <x v="2"/>
    <x v="12"/>
    <x v="1"/>
    <n v="19517"/>
  </r>
  <r>
    <x v="7"/>
    <x v="12"/>
    <x v="0"/>
    <n v="28895"/>
  </r>
  <r>
    <x v="7"/>
    <x v="12"/>
    <x v="1"/>
    <n v="26146"/>
  </r>
  <r>
    <x v="8"/>
    <x v="12"/>
    <x v="0"/>
    <n v="3271"/>
  </r>
  <r>
    <x v="8"/>
    <x v="12"/>
    <x v="1"/>
    <n v="556"/>
  </r>
  <r>
    <x v="3"/>
    <x v="12"/>
    <x v="0"/>
    <n v="39158"/>
  </r>
  <r>
    <x v="3"/>
    <x v="12"/>
    <x v="1"/>
    <n v="18800"/>
  </r>
  <r>
    <x v="4"/>
    <x v="12"/>
    <x v="0"/>
    <n v="34154"/>
  </r>
  <r>
    <x v="4"/>
    <x v="12"/>
    <x v="1"/>
    <n v="5835"/>
  </r>
  <r>
    <x v="9"/>
    <x v="12"/>
    <x v="0"/>
    <n v="85434"/>
  </r>
  <r>
    <x v="9"/>
    <x v="12"/>
    <x v="1"/>
    <n v="60985"/>
  </r>
  <r>
    <x v="5"/>
    <x v="12"/>
    <x v="0"/>
    <n v="21332"/>
  </r>
  <r>
    <x v="5"/>
    <x v="12"/>
    <x v="1"/>
    <n v="870"/>
  </r>
  <r>
    <x v="6"/>
    <x v="12"/>
    <x v="0"/>
    <n v="95725"/>
  </r>
  <r>
    <x v="6"/>
    <x v="12"/>
    <x v="1"/>
    <n v="12852"/>
  </r>
  <r>
    <x v="10"/>
    <x v="12"/>
    <x v="0"/>
    <n v="15683"/>
  </r>
  <r>
    <x v="10"/>
    <x v="12"/>
    <x v="1"/>
    <n v="1980"/>
  </r>
  <r>
    <x v="0"/>
    <x v="13"/>
    <x v="0"/>
    <n v="6179"/>
  </r>
  <r>
    <x v="0"/>
    <x v="13"/>
    <x v="1"/>
    <n v="2906"/>
  </r>
  <r>
    <x v="1"/>
    <x v="13"/>
    <x v="0"/>
    <n v="33203"/>
  </r>
  <r>
    <x v="1"/>
    <x v="13"/>
    <x v="1"/>
    <n v="18735"/>
  </r>
  <r>
    <x v="2"/>
    <x v="13"/>
    <x v="0"/>
    <n v="88379"/>
  </r>
  <r>
    <x v="2"/>
    <x v="13"/>
    <x v="1"/>
    <n v="19517"/>
  </r>
  <r>
    <x v="7"/>
    <x v="13"/>
    <x v="0"/>
    <n v="28895"/>
  </r>
  <r>
    <x v="7"/>
    <x v="13"/>
    <x v="1"/>
    <n v="26146"/>
  </r>
  <r>
    <x v="8"/>
    <x v="13"/>
    <x v="0"/>
    <n v="3271"/>
  </r>
  <r>
    <x v="8"/>
    <x v="13"/>
    <x v="1"/>
    <n v="556"/>
  </r>
  <r>
    <x v="3"/>
    <x v="13"/>
    <x v="0"/>
    <n v="39158"/>
  </r>
  <r>
    <x v="3"/>
    <x v="13"/>
    <x v="1"/>
    <n v="18800"/>
  </r>
  <r>
    <x v="4"/>
    <x v="13"/>
    <x v="0"/>
    <n v="34154"/>
  </r>
  <r>
    <x v="4"/>
    <x v="13"/>
    <x v="1"/>
    <n v="5835"/>
  </r>
  <r>
    <x v="9"/>
    <x v="13"/>
    <x v="0"/>
    <n v="85434"/>
  </r>
  <r>
    <x v="9"/>
    <x v="13"/>
    <x v="1"/>
    <n v="60985"/>
  </r>
  <r>
    <x v="5"/>
    <x v="13"/>
    <x v="0"/>
    <n v="21332"/>
  </r>
  <r>
    <x v="5"/>
    <x v="13"/>
    <x v="1"/>
    <n v="870"/>
  </r>
  <r>
    <x v="6"/>
    <x v="13"/>
    <x v="0"/>
    <n v="95725"/>
  </r>
  <r>
    <x v="6"/>
    <x v="13"/>
    <x v="1"/>
    <n v="12852"/>
  </r>
  <r>
    <x v="10"/>
    <x v="13"/>
    <x v="0"/>
    <n v="15683"/>
  </r>
  <r>
    <x v="10"/>
    <x v="13"/>
    <x v="1"/>
    <n v="1980"/>
  </r>
  <r>
    <x v="0"/>
    <x v="13"/>
    <x v="0"/>
    <n v="6320"/>
  </r>
  <r>
    <x v="0"/>
    <x v="13"/>
    <x v="1"/>
    <n v="2850"/>
  </r>
  <r>
    <x v="0"/>
    <x v="13"/>
    <x v="0"/>
    <n v="6179"/>
  </r>
  <r>
    <x v="0"/>
    <x v="13"/>
    <x v="1"/>
    <n v="2906"/>
  </r>
  <r>
    <x v="1"/>
    <x v="13"/>
    <x v="0"/>
    <n v="34950"/>
  </r>
  <r>
    <x v="1"/>
    <x v="13"/>
    <x v="1"/>
    <n v="18676"/>
  </r>
  <r>
    <x v="1"/>
    <x v="13"/>
    <x v="0"/>
    <n v="33203"/>
  </r>
  <r>
    <x v="1"/>
    <x v="13"/>
    <x v="1"/>
    <n v="18735"/>
  </r>
  <r>
    <x v="2"/>
    <x v="13"/>
    <x v="0"/>
    <n v="81199"/>
  </r>
  <r>
    <x v="2"/>
    <x v="13"/>
    <x v="1"/>
    <n v="17522"/>
  </r>
  <r>
    <x v="2"/>
    <x v="13"/>
    <x v="0"/>
    <n v="88379"/>
  </r>
  <r>
    <x v="2"/>
    <x v="13"/>
    <x v="1"/>
    <n v="19517"/>
  </r>
  <r>
    <x v="7"/>
    <x v="13"/>
    <x v="0"/>
    <n v="37328"/>
  </r>
  <r>
    <x v="7"/>
    <x v="13"/>
    <x v="1"/>
    <n v="25164"/>
  </r>
  <r>
    <x v="7"/>
    <x v="13"/>
    <x v="0"/>
    <n v="28895"/>
  </r>
  <r>
    <x v="7"/>
    <x v="13"/>
    <x v="1"/>
    <n v="26146"/>
  </r>
  <r>
    <x v="8"/>
    <x v="13"/>
    <x v="0"/>
    <n v="3113"/>
  </r>
  <r>
    <x v="8"/>
    <x v="13"/>
    <x v="1"/>
    <n v="384"/>
  </r>
  <r>
    <x v="8"/>
    <x v="13"/>
    <x v="0"/>
    <n v="3271"/>
  </r>
  <r>
    <x v="8"/>
    <x v="13"/>
    <x v="1"/>
    <n v="556"/>
  </r>
  <r>
    <x v="3"/>
    <x v="13"/>
    <x v="0"/>
    <n v="40566"/>
  </r>
  <r>
    <x v="3"/>
    <x v="13"/>
    <x v="1"/>
    <n v="17385"/>
  </r>
  <r>
    <x v="3"/>
    <x v="13"/>
    <x v="0"/>
    <n v="39158"/>
  </r>
  <r>
    <x v="3"/>
    <x v="13"/>
    <x v="1"/>
    <n v="18800"/>
  </r>
  <r>
    <x v="4"/>
    <x v="13"/>
    <x v="0"/>
    <n v="37136"/>
  </r>
  <r>
    <x v="4"/>
    <x v="13"/>
    <x v="1"/>
    <n v="4395"/>
  </r>
  <r>
    <x v="4"/>
    <x v="13"/>
    <x v="0"/>
    <n v="34154"/>
  </r>
  <r>
    <x v="4"/>
    <x v="13"/>
    <x v="1"/>
    <n v="5835"/>
  </r>
  <r>
    <x v="9"/>
    <x v="13"/>
    <x v="0"/>
    <n v="76499"/>
  </r>
  <r>
    <x v="9"/>
    <x v="13"/>
    <x v="1"/>
    <n v="54801"/>
  </r>
  <r>
    <x v="9"/>
    <x v="13"/>
    <x v="0"/>
    <n v="85434"/>
  </r>
  <r>
    <x v="9"/>
    <x v="13"/>
    <x v="1"/>
    <n v="60985"/>
  </r>
  <r>
    <x v="5"/>
    <x v="13"/>
    <x v="0"/>
    <n v="19538"/>
  </r>
  <r>
    <x v="5"/>
    <x v="13"/>
    <x v="1"/>
    <n v="435"/>
  </r>
  <r>
    <x v="5"/>
    <x v="13"/>
    <x v="0"/>
    <n v="21332"/>
  </r>
  <r>
    <x v="5"/>
    <x v="13"/>
    <x v="1"/>
    <n v="870"/>
  </r>
  <r>
    <x v="6"/>
    <x v="13"/>
    <x v="0"/>
    <n v="95767"/>
  </r>
  <r>
    <x v="6"/>
    <x v="13"/>
    <x v="1"/>
    <n v="12762"/>
  </r>
  <r>
    <x v="6"/>
    <x v="13"/>
    <x v="0"/>
    <n v="95725"/>
  </r>
  <r>
    <x v="6"/>
    <x v="13"/>
    <x v="1"/>
    <n v="12852"/>
  </r>
  <r>
    <x v="10"/>
    <x v="13"/>
    <x v="0"/>
    <n v="15524"/>
  </r>
  <r>
    <x v="10"/>
    <x v="13"/>
    <x v="1"/>
    <n v="2580"/>
  </r>
  <r>
    <x v="10"/>
    <x v="13"/>
    <x v="0"/>
    <n v="15683"/>
  </r>
  <r>
    <x v="10"/>
    <x v="13"/>
    <x v="1"/>
    <n v="1980"/>
  </r>
  <r>
    <x v="0"/>
    <x v="14"/>
    <x v="0"/>
    <n v="5978"/>
  </r>
  <r>
    <x v="0"/>
    <x v="14"/>
    <x v="1"/>
    <n v="2859"/>
  </r>
  <r>
    <x v="1"/>
    <x v="14"/>
    <x v="0"/>
    <n v="32320"/>
  </r>
  <r>
    <x v="1"/>
    <x v="14"/>
    <x v="1"/>
    <n v="18662"/>
  </r>
  <r>
    <x v="2"/>
    <x v="14"/>
    <x v="0"/>
    <n v="88911"/>
  </r>
  <r>
    <x v="2"/>
    <x v="14"/>
    <x v="1"/>
    <n v="19700"/>
  </r>
  <r>
    <x v="7"/>
    <x v="14"/>
    <x v="0"/>
    <n v="28840"/>
  </r>
  <r>
    <x v="7"/>
    <x v="14"/>
    <x v="1"/>
    <n v="26042"/>
  </r>
  <r>
    <x v="8"/>
    <x v="14"/>
    <x v="0"/>
    <n v="3295"/>
  </r>
  <r>
    <x v="8"/>
    <x v="14"/>
    <x v="1"/>
    <n v="582"/>
  </r>
  <r>
    <x v="3"/>
    <x v="14"/>
    <x v="0"/>
    <n v="38387"/>
  </r>
  <r>
    <x v="3"/>
    <x v="14"/>
    <x v="1"/>
    <n v="18678"/>
  </r>
  <r>
    <x v="4"/>
    <x v="14"/>
    <x v="0"/>
    <n v="32928"/>
  </r>
  <r>
    <x v="4"/>
    <x v="14"/>
    <x v="1"/>
    <n v="5956"/>
  </r>
  <r>
    <x v="9"/>
    <x v="14"/>
    <x v="0"/>
    <n v="86634"/>
  </r>
  <r>
    <x v="9"/>
    <x v="14"/>
    <x v="1"/>
    <n v="61735"/>
  </r>
  <r>
    <x v="5"/>
    <x v="14"/>
    <x v="0"/>
    <n v="21259"/>
  </r>
  <r>
    <x v="5"/>
    <x v="14"/>
    <x v="1"/>
    <n v="859"/>
  </r>
  <r>
    <x v="6"/>
    <x v="14"/>
    <x v="0"/>
    <n v="95708"/>
  </r>
  <r>
    <x v="6"/>
    <x v="14"/>
    <x v="1"/>
    <n v="12827"/>
  </r>
  <r>
    <x v="10"/>
    <x v="14"/>
    <x v="0"/>
    <n v="15575"/>
  </r>
  <r>
    <x v="10"/>
    <x v="14"/>
    <x v="1"/>
    <n v="1910"/>
  </r>
  <r>
    <x v="0"/>
    <x v="15"/>
    <x v="0"/>
    <n v="6373"/>
  </r>
  <r>
    <x v="0"/>
    <x v="15"/>
    <x v="1"/>
    <n v="2849"/>
  </r>
  <r>
    <x v="1"/>
    <x v="15"/>
    <x v="0"/>
    <n v="33696"/>
  </r>
  <r>
    <x v="1"/>
    <x v="15"/>
    <x v="1"/>
    <n v="18591"/>
  </r>
  <r>
    <x v="2"/>
    <x v="15"/>
    <x v="0"/>
    <n v="81465"/>
  </r>
  <r>
    <x v="2"/>
    <x v="15"/>
    <x v="1"/>
    <n v="17730"/>
  </r>
  <r>
    <x v="7"/>
    <x v="15"/>
    <x v="0"/>
    <n v="37213"/>
  </r>
  <r>
    <x v="7"/>
    <x v="15"/>
    <x v="1"/>
    <n v="25333"/>
  </r>
  <r>
    <x v="8"/>
    <x v="15"/>
    <x v="0"/>
    <n v="3128"/>
  </r>
  <r>
    <x v="8"/>
    <x v="15"/>
    <x v="1"/>
    <n v="399"/>
  </r>
  <r>
    <x v="3"/>
    <x v="15"/>
    <x v="0"/>
    <n v="42283"/>
  </r>
  <r>
    <x v="3"/>
    <x v="15"/>
    <x v="1"/>
    <n v="17684"/>
  </r>
  <r>
    <x v="4"/>
    <x v="15"/>
    <x v="0"/>
    <n v="36381"/>
  </r>
  <r>
    <x v="4"/>
    <x v="15"/>
    <x v="1"/>
    <n v="4416"/>
  </r>
  <r>
    <x v="9"/>
    <x v="15"/>
    <x v="0"/>
    <n v="77858"/>
  </r>
  <r>
    <x v="9"/>
    <x v="15"/>
    <x v="1"/>
    <n v="55586"/>
  </r>
  <r>
    <x v="5"/>
    <x v="15"/>
    <x v="0"/>
    <n v="19486"/>
  </r>
  <r>
    <x v="5"/>
    <x v="15"/>
    <x v="1"/>
    <n v="421"/>
  </r>
  <r>
    <x v="6"/>
    <x v="15"/>
    <x v="0"/>
    <n v="95568"/>
  </r>
  <r>
    <x v="6"/>
    <x v="15"/>
    <x v="1"/>
    <n v="12811"/>
  </r>
  <r>
    <x v="10"/>
    <x v="15"/>
    <x v="0"/>
    <n v="15675"/>
  </r>
  <r>
    <x v="10"/>
    <x v="15"/>
    <x v="1"/>
    <n v="2504"/>
  </r>
  <r>
    <x v="0"/>
    <x v="16"/>
    <x v="0"/>
    <n v="6003"/>
  </r>
  <r>
    <x v="0"/>
    <x v="16"/>
    <x v="1"/>
    <n v="2894"/>
  </r>
  <r>
    <x v="1"/>
    <x v="16"/>
    <x v="0"/>
    <n v="32044"/>
  </r>
  <r>
    <x v="1"/>
    <x v="16"/>
    <x v="1"/>
    <n v="18652"/>
  </r>
  <r>
    <x v="2"/>
    <x v="16"/>
    <x v="0"/>
    <n v="89104"/>
  </r>
  <r>
    <x v="2"/>
    <x v="16"/>
    <x v="1"/>
    <n v="19879"/>
  </r>
  <r>
    <x v="7"/>
    <x v="16"/>
    <x v="0"/>
    <n v="38851"/>
  </r>
  <r>
    <x v="7"/>
    <x v="16"/>
    <x v="1"/>
    <n v="26871"/>
  </r>
  <r>
    <x v="8"/>
    <x v="16"/>
    <x v="0"/>
    <n v="3292"/>
  </r>
  <r>
    <x v="8"/>
    <x v="16"/>
    <x v="1"/>
    <n v="593"/>
  </r>
  <r>
    <x v="3"/>
    <x v="16"/>
    <x v="0"/>
    <n v="38263"/>
  </r>
  <r>
    <x v="3"/>
    <x v="16"/>
    <x v="1"/>
    <n v="18767"/>
  </r>
  <r>
    <x v="4"/>
    <x v="16"/>
    <x v="0"/>
    <n v="32231"/>
  </r>
  <r>
    <x v="4"/>
    <x v="16"/>
    <x v="1"/>
    <n v="5926"/>
  </r>
  <r>
    <x v="9"/>
    <x v="16"/>
    <x v="0"/>
    <n v="86657"/>
  </r>
  <r>
    <x v="9"/>
    <x v="16"/>
    <x v="1"/>
    <n v="62278"/>
  </r>
  <r>
    <x v="5"/>
    <x v="16"/>
    <x v="0"/>
    <n v="21325"/>
  </r>
  <r>
    <x v="5"/>
    <x v="16"/>
    <x v="1"/>
    <n v="854"/>
  </r>
  <r>
    <x v="6"/>
    <x v="16"/>
    <x v="0"/>
    <n v="95346"/>
  </r>
  <r>
    <x v="6"/>
    <x v="16"/>
    <x v="1"/>
    <n v="12804"/>
  </r>
  <r>
    <x v="10"/>
    <x v="16"/>
    <x v="0"/>
    <n v="15192"/>
  </r>
  <r>
    <x v="10"/>
    <x v="16"/>
    <x v="1"/>
    <n v="1882"/>
  </r>
  <r>
    <x v="0"/>
    <x v="17"/>
    <x v="0"/>
    <n v="6402"/>
  </r>
  <r>
    <x v="0"/>
    <x v="17"/>
    <x v="1"/>
    <n v="2852"/>
  </r>
  <r>
    <x v="1"/>
    <x v="17"/>
    <x v="0"/>
    <n v="33079"/>
  </r>
  <r>
    <x v="1"/>
    <x v="17"/>
    <x v="1"/>
    <n v="18614"/>
  </r>
  <r>
    <x v="2"/>
    <x v="17"/>
    <x v="0"/>
    <n v="81725"/>
  </r>
  <r>
    <x v="2"/>
    <x v="17"/>
    <x v="1"/>
    <n v="17946"/>
  </r>
  <r>
    <x v="7"/>
    <x v="17"/>
    <x v="0"/>
    <n v="37082"/>
  </r>
  <r>
    <x v="7"/>
    <x v="17"/>
    <x v="1"/>
    <n v="25488"/>
  </r>
  <r>
    <x v="8"/>
    <x v="17"/>
    <x v="0"/>
    <n v="3145"/>
  </r>
  <r>
    <x v="8"/>
    <x v="17"/>
    <x v="1"/>
    <n v="407"/>
  </r>
  <r>
    <x v="3"/>
    <x v="17"/>
    <x v="0"/>
    <n v="42093"/>
  </r>
  <r>
    <x v="3"/>
    <x v="17"/>
    <x v="1"/>
    <n v="17963"/>
  </r>
  <r>
    <x v="4"/>
    <x v="17"/>
    <x v="0"/>
    <n v="36169"/>
  </r>
  <r>
    <x v="4"/>
    <x v="17"/>
    <x v="1"/>
    <n v="4467"/>
  </r>
  <r>
    <x v="9"/>
    <x v="17"/>
    <x v="0"/>
    <n v="78387"/>
  </r>
  <r>
    <x v="9"/>
    <x v="17"/>
    <x v="1"/>
    <n v="55958"/>
  </r>
  <r>
    <x v="5"/>
    <x v="17"/>
    <x v="0"/>
    <n v="19521"/>
  </r>
  <r>
    <x v="5"/>
    <x v="17"/>
    <x v="1"/>
    <n v="420"/>
  </r>
  <r>
    <x v="6"/>
    <x v="17"/>
    <x v="0"/>
    <n v="95078"/>
  </r>
  <r>
    <x v="6"/>
    <x v="17"/>
    <x v="1"/>
    <n v="12829"/>
  </r>
  <r>
    <x v="10"/>
    <x v="17"/>
    <x v="0"/>
    <n v="15745"/>
  </r>
  <r>
    <x v="10"/>
    <x v="17"/>
    <x v="1"/>
    <n v="2478"/>
  </r>
  <r>
    <x v="0"/>
    <x v="18"/>
    <x v="0"/>
    <n v="6383"/>
  </r>
  <r>
    <x v="0"/>
    <x v="18"/>
    <x v="1"/>
    <n v="2850"/>
  </r>
  <r>
    <x v="1"/>
    <x v="18"/>
    <x v="0"/>
    <n v="32628"/>
  </r>
  <r>
    <x v="1"/>
    <x v="18"/>
    <x v="1"/>
    <n v="18656"/>
  </r>
  <r>
    <x v="2"/>
    <x v="18"/>
    <x v="0"/>
    <n v="81895"/>
  </r>
  <r>
    <x v="2"/>
    <x v="18"/>
    <x v="1"/>
    <n v="18112"/>
  </r>
  <r>
    <x v="7"/>
    <x v="18"/>
    <x v="0"/>
    <n v="36711"/>
  </r>
  <r>
    <x v="7"/>
    <x v="18"/>
    <x v="1"/>
    <n v="25496"/>
  </r>
  <r>
    <x v="8"/>
    <x v="18"/>
    <x v="0"/>
    <n v="3168"/>
  </r>
  <r>
    <x v="8"/>
    <x v="18"/>
    <x v="1"/>
    <n v="434"/>
  </r>
  <r>
    <x v="3"/>
    <x v="18"/>
    <x v="0"/>
    <n v="41843"/>
  </r>
  <r>
    <x v="3"/>
    <x v="18"/>
    <x v="1"/>
    <n v="18184"/>
  </r>
  <r>
    <x v="4"/>
    <x v="18"/>
    <x v="0"/>
    <n v="35999"/>
  </r>
  <r>
    <x v="4"/>
    <x v="18"/>
    <x v="1"/>
    <n v="4622"/>
  </r>
  <r>
    <x v="9"/>
    <x v="18"/>
    <x v="0"/>
    <n v="78395"/>
  </r>
  <r>
    <x v="9"/>
    <x v="18"/>
    <x v="1"/>
    <n v="56317"/>
  </r>
  <r>
    <x v="5"/>
    <x v="18"/>
    <x v="0"/>
    <n v="19697"/>
  </r>
  <r>
    <x v="5"/>
    <x v="18"/>
    <x v="1"/>
    <n v="421"/>
  </r>
  <r>
    <x v="6"/>
    <x v="18"/>
    <x v="0"/>
    <n v="95437"/>
  </r>
  <r>
    <x v="6"/>
    <x v="18"/>
    <x v="1"/>
    <n v="12892"/>
  </r>
  <r>
    <x v="10"/>
    <x v="18"/>
    <x v="0"/>
    <n v="15705"/>
  </r>
  <r>
    <x v="10"/>
    <x v="18"/>
    <x v="1"/>
    <n v="2415"/>
  </r>
  <r>
    <x v="0"/>
    <x v="19"/>
    <x v="0"/>
    <n v="5919"/>
  </r>
  <r>
    <x v="0"/>
    <x v="19"/>
    <x v="1"/>
    <n v="2915"/>
  </r>
  <r>
    <x v="1"/>
    <x v="19"/>
    <x v="0"/>
    <n v="31530"/>
  </r>
  <r>
    <x v="1"/>
    <x v="19"/>
    <x v="1"/>
    <n v="18512"/>
  </r>
  <r>
    <x v="2"/>
    <x v="19"/>
    <x v="0"/>
    <n v="89272"/>
  </r>
  <r>
    <x v="2"/>
    <x v="19"/>
    <x v="1"/>
    <n v="20067"/>
  </r>
  <r>
    <x v="7"/>
    <x v="19"/>
    <x v="0"/>
    <n v="38354"/>
  </r>
  <r>
    <x v="7"/>
    <x v="19"/>
    <x v="1"/>
    <n v="27089"/>
  </r>
  <r>
    <x v="8"/>
    <x v="19"/>
    <x v="0"/>
    <n v="3271"/>
  </r>
  <r>
    <x v="8"/>
    <x v="19"/>
    <x v="1"/>
    <n v="610"/>
  </r>
  <r>
    <x v="3"/>
    <x v="19"/>
    <x v="0"/>
    <n v="38289"/>
  </r>
  <r>
    <x v="3"/>
    <x v="19"/>
    <x v="1"/>
    <n v="18732"/>
  </r>
  <r>
    <x v="4"/>
    <x v="19"/>
    <x v="0"/>
    <n v="31301"/>
  </r>
  <r>
    <x v="4"/>
    <x v="19"/>
    <x v="1"/>
    <n v="5954"/>
  </r>
  <r>
    <x v="9"/>
    <x v="19"/>
    <x v="0"/>
    <n v="86667"/>
  </r>
  <r>
    <x v="9"/>
    <x v="19"/>
    <x v="1"/>
    <n v="62880"/>
  </r>
  <r>
    <x v="5"/>
    <x v="19"/>
    <x v="0"/>
    <n v="21321"/>
  </r>
  <r>
    <x v="5"/>
    <x v="19"/>
    <x v="1"/>
    <n v="840"/>
  </r>
  <r>
    <x v="6"/>
    <x v="19"/>
    <x v="0"/>
    <n v="96093"/>
  </r>
  <r>
    <x v="6"/>
    <x v="19"/>
    <x v="1"/>
    <n v="12824"/>
  </r>
  <r>
    <x v="10"/>
    <x v="19"/>
    <x v="0"/>
    <n v="14969"/>
  </r>
  <r>
    <x v="10"/>
    <x v="19"/>
    <x v="1"/>
    <n v="1925"/>
  </r>
  <r>
    <x v="0"/>
    <x v="20"/>
    <x v="0"/>
    <n v="6368"/>
  </r>
  <r>
    <x v="0"/>
    <x v="20"/>
    <x v="1"/>
    <n v="2851"/>
  </r>
  <r>
    <x v="1"/>
    <x v="20"/>
    <x v="0"/>
    <n v="32020"/>
  </r>
  <r>
    <x v="1"/>
    <x v="20"/>
    <x v="1"/>
    <n v="18725"/>
  </r>
  <r>
    <x v="2"/>
    <x v="20"/>
    <x v="0"/>
    <n v="82147"/>
  </r>
  <r>
    <x v="2"/>
    <x v="20"/>
    <x v="1"/>
    <n v="18349"/>
  </r>
  <r>
    <x v="7"/>
    <x v="20"/>
    <x v="0"/>
    <n v="36300"/>
  </r>
  <r>
    <x v="7"/>
    <x v="20"/>
    <x v="1"/>
    <n v="25678"/>
  </r>
  <r>
    <x v="8"/>
    <x v="20"/>
    <x v="0"/>
    <n v="3154"/>
  </r>
  <r>
    <x v="8"/>
    <x v="20"/>
    <x v="1"/>
    <n v="455"/>
  </r>
  <r>
    <x v="3"/>
    <x v="20"/>
    <x v="0"/>
    <n v="41441"/>
  </r>
  <r>
    <x v="3"/>
    <x v="20"/>
    <x v="1"/>
    <n v="18291"/>
  </r>
  <r>
    <x v="4"/>
    <x v="20"/>
    <x v="0"/>
    <n v="35800"/>
  </r>
  <r>
    <x v="4"/>
    <x v="20"/>
    <x v="1"/>
    <n v="4724"/>
  </r>
  <r>
    <x v="9"/>
    <x v="20"/>
    <x v="0"/>
    <n v="79139"/>
  </r>
  <r>
    <x v="9"/>
    <x v="20"/>
    <x v="1"/>
    <n v="56953"/>
  </r>
  <r>
    <x v="5"/>
    <x v="20"/>
    <x v="0"/>
    <n v="20927"/>
  </r>
  <r>
    <x v="5"/>
    <x v="20"/>
    <x v="1"/>
    <n v="411"/>
  </r>
  <r>
    <x v="6"/>
    <x v="20"/>
    <x v="0"/>
    <n v="40161"/>
  </r>
  <r>
    <x v="6"/>
    <x v="20"/>
    <x v="1"/>
    <n v="12446"/>
  </r>
  <r>
    <x v="10"/>
    <x v="20"/>
    <x v="0"/>
    <n v="14833"/>
  </r>
  <r>
    <x v="10"/>
    <x v="20"/>
    <x v="1"/>
    <n v="2363"/>
  </r>
  <r>
    <x v="0"/>
    <x v="21"/>
    <x v="0"/>
    <n v="5823"/>
  </r>
  <r>
    <x v="0"/>
    <x v="21"/>
    <x v="1"/>
    <n v="2946"/>
  </r>
  <r>
    <x v="1"/>
    <x v="21"/>
    <x v="0"/>
    <n v="31099"/>
  </r>
  <r>
    <x v="1"/>
    <x v="21"/>
    <x v="1"/>
    <n v="18501"/>
  </r>
  <r>
    <x v="2"/>
    <x v="21"/>
    <x v="0"/>
    <n v="97813"/>
  </r>
  <r>
    <x v="2"/>
    <x v="21"/>
    <x v="1"/>
    <n v="20210"/>
  </r>
  <r>
    <x v="7"/>
    <x v="21"/>
    <x v="0"/>
    <n v="37935"/>
  </r>
  <r>
    <x v="7"/>
    <x v="21"/>
    <x v="1"/>
    <n v="27209"/>
  </r>
  <r>
    <x v="8"/>
    <x v="21"/>
    <x v="0"/>
    <n v="3256"/>
  </r>
  <r>
    <x v="8"/>
    <x v="21"/>
    <x v="1"/>
    <n v="608"/>
  </r>
  <r>
    <x v="3"/>
    <x v="21"/>
    <x v="0"/>
    <n v="37875"/>
  </r>
  <r>
    <x v="3"/>
    <x v="21"/>
    <x v="1"/>
    <n v="18721"/>
  </r>
  <r>
    <x v="4"/>
    <x v="21"/>
    <x v="0"/>
    <n v="30690"/>
  </r>
  <r>
    <x v="4"/>
    <x v="21"/>
    <x v="1"/>
    <n v="6000"/>
  </r>
  <r>
    <x v="9"/>
    <x v="21"/>
    <x v="0"/>
    <n v="86718"/>
  </r>
  <r>
    <x v="9"/>
    <x v="21"/>
    <x v="1"/>
    <n v="63474"/>
  </r>
  <r>
    <x v="5"/>
    <x v="21"/>
    <x v="0"/>
    <n v="21374"/>
  </r>
  <r>
    <x v="5"/>
    <x v="21"/>
    <x v="1"/>
    <n v="835"/>
  </r>
  <r>
    <x v="6"/>
    <x v="21"/>
    <x v="0"/>
    <n v="41594"/>
  </r>
  <r>
    <x v="6"/>
    <x v="21"/>
    <x v="1"/>
    <n v="12418"/>
  </r>
  <r>
    <x v="10"/>
    <x v="21"/>
    <x v="0"/>
    <n v="14761"/>
  </r>
  <r>
    <x v="10"/>
    <x v="21"/>
    <x v="1"/>
    <n v="1991"/>
  </r>
  <r>
    <x v="0"/>
    <x v="22"/>
    <x v="0"/>
    <n v="5767"/>
  </r>
  <r>
    <x v="0"/>
    <x v="22"/>
    <x v="1"/>
    <n v="2960"/>
  </r>
  <r>
    <x v="1"/>
    <x v="22"/>
    <x v="0"/>
    <n v="30150"/>
  </r>
  <r>
    <x v="1"/>
    <x v="22"/>
    <x v="1"/>
    <n v="18378"/>
  </r>
  <r>
    <x v="2"/>
    <x v="22"/>
    <x v="0"/>
    <n v="98418"/>
  </r>
  <r>
    <x v="2"/>
    <x v="22"/>
    <x v="1"/>
    <n v="20400"/>
  </r>
  <r>
    <x v="7"/>
    <x v="22"/>
    <x v="0"/>
    <n v="37141"/>
  </r>
  <r>
    <x v="7"/>
    <x v="22"/>
    <x v="1"/>
    <n v="27243"/>
  </r>
  <r>
    <x v="8"/>
    <x v="22"/>
    <x v="0"/>
    <n v="3242"/>
  </r>
  <r>
    <x v="8"/>
    <x v="22"/>
    <x v="1"/>
    <n v="621"/>
  </r>
  <r>
    <x v="3"/>
    <x v="22"/>
    <x v="0"/>
    <n v="37634"/>
  </r>
  <r>
    <x v="3"/>
    <x v="22"/>
    <x v="1"/>
    <n v="18784"/>
  </r>
  <r>
    <x v="4"/>
    <x v="22"/>
    <x v="0"/>
    <n v="30286"/>
  </r>
  <r>
    <x v="4"/>
    <x v="22"/>
    <x v="1"/>
    <n v="6019"/>
  </r>
  <r>
    <x v="9"/>
    <x v="22"/>
    <x v="0"/>
    <n v="86948"/>
  </r>
  <r>
    <x v="9"/>
    <x v="22"/>
    <x v="1"/>
    <n v="64058"/>
  </r>
  <r>
    <x v="5"/>
    <x v="22"/>
    <x v="0"/>
    <n v="21344"/>
  </r>
  <r>
    <x v="5"/>
    <x v="22"/>
    <x v="1"/>
    <n v="829"/>
  </r>
  <r>
    <x v="6"/>
    <x v="22"/>
    <x v="0"/>
    <n v="42293"/>
  </r>
  <r>
    <x v="6"/>
    <x v="22"/>
    <x v="1"/>
    <n v="12442"/>
  </r>
  <r>
    <x v="10"/>
    <x v="22"/>
    <x v="0"/>
    <n v="13155"/>
  </r>
  <r>
    <x v="10"/>
    <x v="22"/>
    <x v="1"/>
    <n v="2119"/>
  </r>
  <r>
    <x v="0"/>
    <x v="23"/>
    <x v="0"/>
    <n v="5625"/>
  </r>
  <r>
    <x v="0"/>
    <x v="23"/>
    <x v="1"/>
    <n v="2937"/>
  </r>
  <r>
    <x v="1"/>
    <x v="23"/>
    <x v="0"/>
    <n v="29066"/>
  </r>
  <r>
    <x v="1"/>
    <x v="23"/>
    <x v="1"/>
    <n v="18112"/>
  </r>
  <r>
    <x v="2"/>
    <x v="23"/>
    <x v="0"/>
    <n v="99003"/>
  </r>
  <r>
    <x v="2"/>
    <x v="23"/>
    <x v="1"/>
    <n v="20586"/>
  </r>
  <r>
    <x v="7"/>
    <x v="23"/>
    <x v="0"/>
    <n v="34527"/>
  </r>
  <r>
    <x v="7"/>
    <x v="23"/>
    <x v="1"/>
    <n v="27359"/>
  </r>
  <r>
    <x v="8"/>
    <x v="23"/>
    <x v="0"/>
    <n v="3223"/>
  </r>
  <r>
    <x v="8"/>
    <x v="23"/>
    <x v="1"/>
    <n v="631"/>
  </r>
  <r>
    <x v="3"/>
    <x v="23"/>
    <x v="0"/>
    <n v="37616"/>
  </r>
  <r>
    <x v="3"/>
    <x v="23"/>
    <x v="1"/>
    <n v="18938"/>
  </r>
  <r>
    <x v="4"/>
    <x v="23"/>
    <x v="0"/>
    <n v="29813"/>
  </r>
  <r>
    <x v="4"/>
    <x v="23"/>
    <x v="1"/>
    <n v="5976"/>
  </r>
  <r>
    <x v="9"/>
    <x v="23"/>
    <x v="0"/>
    <n v="87367"/>
  </r>
  <r>
    <x v="9"/>
    <x v="23"/>
    <x v="1"/>
    <n v="64807"/>
  </r>
  <r>
    <x v="5"/>
    <x v="23"/>
    <x v="0"/>
    <n v="22965"/>
  </r>
  <r>
    <x v="5"/>
    <x v="23"/>
    <x v="1"/>
    <n v="790"/>
  </r>
  <r>
    <x v="6"/>
    <x v="23"/>
    <x v="0"/>
    <n v="42398"/>
  </r>
  <r>
    <x v="6"/>
    <x v="23"/>
    <x v="1"/>
    <n v="12407"/>
  </r>
  <r>
    <x v="10"/>
    <x v="23"/>
    <x v="0"/>
    <n v="12145"/>
  </r>
  <r>
    <x v="10"/>
    <x v="23"/>
    <x v="1"/>
    <n v="2220"/>
  </r>
  <r>
    <x v="0"/>
    <x v="24"/>
    <x v="0"/>
    <n v="5539"/>
  </r>
  <r>
    <x v="0"/>
    <x v="24"/>
    <x v="1"/>
    <n v="2918"/>
  </r>
  <r>
    <x v="1"/>
    <x v="24"/>
    <x v="0"/>
    <n v="28114"/>
  </r>
  <r>
    <x v="1"/>
    <x v="24"/>
    <x v="1"/>
    <n v="18067"/>
  </r>
  <r>
    <x v="2"/>
    <x v="24"/>
    <x v="0"/>
    <n v="99625"/>
  </r>
  <r>
    <x v="2"/>
    <x v="24"/>
    <x v="1"/>
    <n v="20766"/>
  </r>
  <r>
    <x v="7"/>
    <x v="24"/>
    <x v="0"/>
    <n v="34217"/>
  </r>
  <r>
    <x v="7"/>
    <x v="24"/>
    <x v="1"/>
    <n v="27439"/>
  </r>
  <r>
    <x v="8"/>
    <x v="24"/>
    <x v="0"/>
    <n v="3207"/>
  </r>
  <r>
    <x v="8"/>
    <x v="24"/>
    <x v="1"/>
    <n v="642"/>
  </r>
  <r>
    <x v="3"/>
    <x v="24"/>
    <x v="0"/>
    <n v="37785"/>
  </r>
  <r>
    <x v="3"/>
    <x v="24"/>
    <x v="1"/>
    <n v="19113"/>
  </r>
  <r>
    <x v="4"/>
    <x v="24"/>
    <x v="0"/>
    <n v="29949"/>
  </r>
  <r>
    <x v="4"/>
    <x v="24"/>
    <x v="1"/>
    <n v="6098"/>
  </r>
  <r>
    <x v="9"/>
    <x v="24"/>
    <x v="0"/>
    <n v="87535"/>
  </r>
  <r>
    <x v="9"/>
    <x v="24"/>
    <x v="1"/>
    <n v="65726"/>
  </r>
  <r>
    <x v="5"/>
    <x v="24"/>
    <x v="0"/>
    <n v="23108"/>
  </r>
  <r>
    <x v="5"/>
    <x v="24"/>
    <x v="1"/>
    <n v="754"/>
  </r>
  <r>
    <x v="6"/>
    <x v="24"/>
    <x v="0"/>
    <n v="42458"/>
  </r>
  <r>
    <x v="6"/>
    <x v="24"/>
    <x v="1"/>
    <n v="12359"/>
  </r>
  <r>
    <x v="10"/>
    <x v="24"/>
    <x v="0"/>
    <n v="12268"/>
  </r>
  <r>
    <x v="10"/>
    <x v="24"/>
    <x v="1"/>
    <n v="2348"/>
  </r>
  <r>
    <x v="0"/>
    <x v="25"/>
    <x v="0"/>
    <n v="5519"/>
  </r>
  <r>
    <x v="0"/>
    <x v="25"/>
    <x v="1"/>
    <n v="2924"/>
  </r>
  <r>
    <x v="1"/>
    <x v="25"/>
    <x v="0"/>
    <n v="27542"/>
  </r>
  <r>
    <x v="1"/>
    <x v="25"/>
    <x v="1"/>
    <n v="17983"/>
  </r>
  <r>
    <x v="1"/>
    <x v="25"/>
    <x v="0"/>
    <n v="30593"/>
  </r>
  <r>
    <x v="1"/>
    <x v="25"/>
    <x v="1"/>
    <n v="18608"/>
  </r>
  <r>
    <x v="2"/>
    <x v="25"/>
    <x v="0"/>
    <n v="100557"/>
  </r>
  <r>
    <x v="2"/>
    <x v="25"/>
    <x v="1"/>
    <n v="20948"/>
  </r>
  <r>
    <x v="7"/>
    <x v="25"/>
    <x v="0"/>
    <n v="36139"/>
  </r>
  <r>
    <x v="7"/>
    <x v="25"/>
    <x v="1"/>
    <n v="27602"/>
  </r>
  <r>
    <x v="8"/>
    <x v="25"/>
    <x v="0"/>
    <n v="3209"/>
  </r>
  <r>
    <x v="8"/>
    <x v="25"/>
    <x v="1"/>
    <n v="651"/>
  </r>
  <r>
    <x v="3"/>
    <x v="25"/>
    <x v="0"/>
    <n v="38029"/>
  </r>
  <r>
    <x v="3"/>
    <x v="25"/>
    <x v="1"/>
    <n v="19300"/>
  </r>
  <r>
    <x v="4"/>
    <x v="25"/>
    <x v="0"/>
    <n v="29458"/>
  </r>
  <r>
    <x v="4"/>
    <x v="25"/>
    <x v="1"/>
    <n v="6156"/>
  </r>
  <r>
    <x v="9"/>
    <x v="25"/>
    <x v="0"/>
    <n v="88730"/>
  </r>
  <r>
    <x v="9"/>
    <x v="25"/>
    <x v="1"/>
    <n v="66470"/>
  </r>
  <r>
    <x v="5"/>
    <x v="25"/>
    <x v="0"/>
    <n v="23175"/>
  </r>
  <r>
    <x v="5"/>
    <x v="25"/>
    <x v="1"/>
    <n v="747"/>
  </r>
  <r>
    <x v="6"/>
    <x v="25"/>
    <x v="0"/>
    <n v="42715"/>
  </r>
  <r>
    <x v="6"/>
    <x v="25"/>
    <x v="1"/>
    <n v="12381"/>
  </r>
  <r>
    <x v="10"/>
    <x v="25"/>
    <x v="0"/>
    <n v="12354"/>
  </r>
  <r>
    <x v="10"/>
    <x v="25"/>
    <x v="1"/>
    <n v="2358"/>
  </r>
  <r>
    <x v="0"/>
    <x v="26"/>
    <x v="0"/>
    <n v="5437"/>
  </r>
  <r>
    <x v="0"/>
    <x v="26"/>
    <x v="1"/>
    <n v="2893"/>
  </r>
  <r>
    <x v="1"/>
    <x v="26"/>
    <x v="0"/>
    <n v="28068"/>
  </r>
  <r>
    <x v="1"/>
    <x v="26"/>
    <x v="1"/>
    <n v="18008"/>
  </r>
  <r>
    <x v="2"/>
    <x v="26"/>
    <x v="0"/>
    <n v="101506"/>
  </r>
  <r>
    <x v="2"/>
    <x v="26"/>
    <x v="1"/>
    <n v="21087"/>
  </r>
  <r>
    <x v="7"/>
    <x v="26"/>
    <x v="0"/>
    <n v="38346"/>
  </r>
  <r>
    <x v="7"/>
    <x v="26"/>
    <x v="1"/>
    <n v="27806"/>
  </r>
  <r>
    <x v="8"/>
    <x v="26"/>
    <x v="0"/>
    <n v="3198"/>
  </r>
  <r>
    <x v="8"/>
    <x v="26"/>
    <x v="1"/>
    <n v="675"/>
  </r>
  <r>
    <x v="3"/>
    <x v="26"/>
    <x v="0"/>
    <n v="38100"/>
  </r>
  <r>
    <x v="3"/>
    <x v="26"/>
    <x v="1"/>
    <n v="19464"/>
  </r>
  <r>
    <x v="4"/>
    <x v="26"/>
    <x v="0"/>
    <n v="29007"/>
  </r>
  <r>
    <x v="4"/>
    <x v="26"/>
    <x v="1"/>
    <n v="6181"/>
  </r>
  <r>
    <x v="9"/>
    <x v="26"/>
    <x v="0"/>
    <n v="88885"/>
  </r>
  <r>
    <x v="9"/>
    <x v="26"/>
    <x v="1"/>
    <n v="67212"/>
  </r>
  <r>
    <x v="5"/>
    <x v="26"/>
    <x v="0"/>
    <n v="23448"/>
  </r>
  <r>
    <x v="5"/>
    <x v="26"/>
    <x v="1"/>
    <n v="564"/>
  </r>
  <r>
    <x v="6"/>
    <x v="26"/>
    <x v="0"/>
    <n v="42812"/>
  </r>
  <r>
    <x v="6"/>
    <x v="26"/>
    <x v="1"/>
    <n v="12349"/>
  </r>
  <r>
    <x v="10"/>
    <x v="26"/>
    <x v="0"/>
    <n v="12739"/>
  </r>
  <r>
    <x v="10"/>
    <x v="26"/>
    <x v="1"/>
    <n v="2374"/>
  </r>
  <r>
    <x v="0"/>
    <x v="27"/>
    <x v="0"/>
    <n v="5293"/>
  </r>
  <r>
    <x v="0"/>
    <x v="27"/>
    <x v="1"/>
    <n v="2834"/>
  </r>
  <r>
    <x v="1"/>
    <x v="27"/>
    <x v="0"/>
    <n v="28889"/>
  </r>
  <r>
    <x v="1"/>
    <x v="27"/>
    <x v="1"/>
    <n v="18017"/>
  </r>
  <r>
    <x v="2"/>
    <x v="27"/>
    <x v="0"/>
    <n v="102261"/>
  </r>
  <r>
    <x v="2"/>
    <x v="27"/>
    <x v="1"/>
    <n v="21268"/>
  </r>
  <r>
    <x v="7"/>
    <x v="27"/>
    <x v="0"/>
    <n v="40083"/>
  </r>
  <r>
    <x v="7"/>
    <x v="27"/>
    <x v="1"/>
    <n v="27881"/>
  </r>
  <r>
    <x v="8"/>
    <x v="27"/>
    <x v="0"/>
    <n v="3274"/>
  </r>
  <r>
    <x v="8"/>
    <x v="27"/>
    <x v="1"/>
    <n v="693"/>
  </r>
  <r>
    <x v="3"/>
    <x v="27"/>
    <x v="0"/>
    <n v="38200"/>
  </r>
  <r>
    <x v="3"/>
    <x v="27"/>
    <x v="1"/>
    <n v="19620"/>
  </r>
  <r>
    <x v="4"/>
    <x v="27"/>
    <x v="0"/>
    <n v="28815"/>
  </r>
  <r>
    <x v="4"/>
    <x v="27"/>
    <x v="1"/>
    <n v="6214"/>
  </r>
  <r>
    <x v="9"/>
    <x v="27"/>
    <x v="0"/>
    <n v="89076"/>
  </r>
  <r>
    <x v="9"/>
    <x v="27"/>
    <x v="1"/>
    <n v="67646"/>
  </r>
  <r>
    <x v="5"/>
    <x v="27"/>
    <x v="0"/>
    <n v="23752"/>
  </r>
  <r>
    <x v="5"/>
    <x v="27"/>
    <x v="1"/>
    <n v="523"/>
  </r>
  <r>
    <x v="6"/>
    <x v="27"/>
    <x v="0"/>
    <n v="43006"/>
  </r>
  <r>
    <x v="6"/>
    <x v="27"/>
    <x v="1"/>
    <n v="12326"/>
  </r>
  <r>
    <x v="10"/>
    <x v="27"/>
    <x v="0"/>
    <n v="13428"/>
  </r>
  <r>
    <x v="10"/>
    <x v="27"/>
    <x v="1"/>
    <n v="2399"/>
  </r>
  <r>
    <x v="0"/>
    <x v="28"/>
    <x v="0"/>
    <n v="5109"/>
  </r>
  <r>
    <x v="0"/>
    <x v="28"/>
    <x v="1"/>
    <n v="2825"/>
  </r>
  <r>
    <x v="1"/>
    <x v="28"/>
    <x v="0"/>
    <n v="29237"/>
  </r>
  <r>
    <x v="1"/>
    <x v="28"/>
    <x v="1"/>
    <n v="17771"/>
  </r>
  <r>
    <x v="2"/>
    <x v="28"/>
    <x v="0"/>
    <n v="102616"/>
  </r>
  <r>
    <x v="2"/>
    <x v="28"/>
    <x v="1"/>
    <n v="21318"/>
  </r>
  <r>
    <x v="7"/>
    <x v="28"/>
    <x v="0"/>
    <n v="41448"/>
  </r>
  <r>
    <x v="7"/>
    <x v="28"/>
    <x v="1"/>
    <n v="27915"/>
  </r>
  <r>
    <x v="8"/>
    <x v="28"/>
    <x v="0"/>
    <n v="3311"/>
  </r>
  <r>
    <x v="8"/>
    <x v="28"/>
    <x v="1"/>
    <n v="708"/>
  </r>
  <r>
    <x v="3"/>
    <x v="28"/>
    <x v="0"/>
    <n v="38105"/>
  </r>
  <r>
    <x v="3"/>
    <x v="28"/>
    <x v="1"/>
    <n v="19637"/>
  </r>
  <r>
    <x v="4"/>
    <x v="28"/>
    <x v="0"/>
    <n v="28829"/>
  </r>
  <r>
    <x v="4"/>
    <x v="28"/>
    <x v="1"/>
    <n v="6292"/>
  </r>
  <r>
    <x v="9"/>
    <x v="28"/>
    <x v="0"/>
    <n v="87796"/>
  </r>
  <r>
    <x v="9"/>
    <x v="28"/>
    <x v="1"/>
    <n v="67961"/>
  </r>
  <r>
    <x v="5"/>
    <x v="28"/>
    <x v="0"/>
    <n v="23383"/>
  </r>
  <r>
    <x v="5"/>
    <x v="28"/>
    <x v="1"/>
    <n v="501"/>
  </r>
  <r>
    <x v="6"/>
    <x v="28"/>
    <x v="0"/>
    <n v="43328"/>
  </r>
  <r>
    <x v="6"/>
    <x v="28"/>
    <x v="1"/>
    <n v="12353"/>
  </r>
  <r>
    <x v="10"/>
    <x v="28"/>
    <x v="0"/>
    <n v="13824"/>
  </r>
  <r>
    <x v="10"/>
    <x v="28"/>
    <x v="1"/>
    <n v="2407"/>
  </r>
  <r>
    <x v="11"/>
    <x v="29"/>
    <x v="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16">
  <r>
    <x v="0"/>
    <x v="0"/>
    <x v="0"/>
    <n v="13"/>
    <x v="0"/>
  </r>
  <r>
    <x v="0"/>
    <x v="0"/>
    <x v="1"/>
    <n v="296"/>
    <x v="1"/>
  </r>
  <r>
    <x v="0"/>
    <x v="0"/>
    <x v="2"/>
    <n v="1"/>
    <x v="0"/>
  </r>
  <r>
    <x v="0"/>
    <x v="0"/>
    <x v="3"/>
    <n v="1586"/>
    <x v="1"/>
  </r>
  <r>
    <x v="0"/>
    <x v="0"/>
    <x v="4"/>
    <n v="391"/>
    <x v="1"/>
  </r>
  <r>
    <x v="0"/>
    <x v="0"/>
    <x v="5"/>
    <n v="1"/>
    <x v="0"/>
  </r>
  <r>
    <x v="0"/>
    <x v="0"/>
    <x v="6"/>
    <n v="6"/>
    <x v="0"/>
  </r>
  <r>
    <x v="0"/>
    <x v="0"/>
    <x v="7"/>
    <n v="1428"/>
    <x v="1"/>
  </r>
  <r>
    <x v="0"/>
    <x v="0"/>
    <x v="8"/>
    <n v="1709"/>
    <x v="1"/>
  </r>
  <r>
    <x v="0"/>
    <x v="0"/>
    <x v="9"/>
    <n v="1346"/>
    <x v="1"/>
  </r>
  <r>
    <x v="0"/>
    <x v="0"/>
    <x v="10"/>
    <n v="2"/>
    <x v="0"/>
  </r>
  <r>
    <x v="0"/>
    <x v="0"/>
    <x v="11"/>
    <n v="777"/>
    <x v="1"/>
  </r>
  <r>
    <x v="0"/>
    <x v="0"/>
    <x v="12"/>
    <n v="3"/>
    <x v="0"/>
  </r>
  <r>
    <x v="0"/>
    <x v="0"/>
    <x v="13"/>
    <n v="2"/>
    <x v="0"/>
  </r>
  <r>
    <x v="0"/>
    <x v="0"/>
    <x v="14"/>
    <n v="909"/>
    <x v="1"/>
  </r>
  <r>
    <x v="0"/>
    <x v="0"/>
    <x v="15"/>
    <n v="2409"/>
    <x v="1"/>
  </r>
  <r>
    <x v="0"/>
    <x v="0"/>
    <x v="16"/>
    <n v="1"/>
    <x v="0"/>
  </r>
  <r>
    <x v="0"/>
    <x v="0"/>
    <x v="17"/>
    <n v="2"/>
    <x v="0"/>
  </r>
  <r>
    <x v="0"/>
    <x v="0"/>
    <x v="18"/>
    <n v="419"/>
    <x v="1"/>
  </r>
  <r>
    <x v="0"/>
    <x v="0"/>
    <x v="19"/>
    <n v="1134"/>
    <x v="1"/>
  </r>
  <r>
    <x v="0"/>
    <x v="0"/>
    <x v="20"/>
    <n v="1198"/>
    <x v="1"/>
  </r>
  <r>
    <x v="0"/>
    <x v="0"/>
    <x v="21"/>
    <n v="213"/>
    <x v="1"/>
  </r>
  <r>
    <x v="0"/>
    <x v="0"/>
    <x v="22"/>
    <n v="1951"/>
    <x v="1"/>
  </r>
  <r>
    <x v="0"/>
    <x v="0"/>
    <x v="23"/>
    <n v="1391"/>
    <x v="1"/>
  </r>
  <r>
    <x v="0"/>
    <x v="0"/>
    <x v="24"/>
    <n v="1692"/>
    <x v="1"/>
  </r>
  <r>
    <x v="0"/>
    <x v="0"/>
    <x v="25"/>
    <n v="2"/>
    <x v="0"/>
  </r>
  <r>
    <x v="0"/>
    <x v="0"/>
    <x v="26"/>
    <n v="846"/>
    <x v="1"/>
  </r>
  <r>
    <x v="0"/>
    <x v="0"/>
    <x v="27"/>
    <n v="2145"/>
    <x v="1"/>
  </r>
  <r>
    <x v="0"/>
    <x v="0"/>
    <x v="28"/>
    <n v="1950"/>
    <x v="1"/>
  </r>
  <r>
    <x v="0"/>
    <x v="0"/>
    <x v="29"/>
    <n v="1779"/>
    <x v="1"/>
  </r>
  <r>
    <x v="0"/>
    <x v="0"/>
    <x v="30"/>
    <n v="1182"/>
    <x v="1"/>
  </r>
  <r>
    <x v="0"/>
    <x v="0"/>
    <x v="31"/>
    <n v="2162"/>
    <x v="1"/>
  </r>
  <r>
    <x v="0"/>
    <x v="0"/>
    <x v="32"/>
    <n v="1185"/>
    <x v="1"/>
  </r>
  <r>
    <x v="0"/>
    <x v="0"/>
    <x v="33"/>
    <n v="439"/>
    <x v="1"/>
  </r>
  <r>
    <x v="0"/>
    <x v="0"/>
    <x v="34"/>
    <n v="1138"/>
    <x v="1"/>
  </r>
  <r>
    <x v="0"/>
    <x v="0"/>
    <x v="35"/>
    <n v="2071"/>
    <x v="1"/>
  </r>
  <r>
    <x v="0"/>
    <x v="0"/>
    <x v="36"/>
    <n v="29"/>
    <x v="0"/>
  </r>
  <r>
    <x v="0"/>
    <x v="0"/>
    <x v="37"/>
    <n v="1867"/>
    <x v="1"/>
  </r>
  <r>
    <x v="0"/>
    <x v="0"/>
    <x v="38"/>
    <n v="1"/>
    <x v="0"/>
  </r>
  <r>
    <x v="0"/>
    <x v="0"/>
    <x v="39"/>
    <n v="220"/>
    <x v="1"/>
  </r>
  <r>
    <x v="0"/>
    <x v="0"/>
    <x v="40"/>
    <n v="2"/>
    <x v="0"/>
  </r>
  <r>
    <x v="0"/>
    <x v="0"/>
    <x v="41"/>
    <n v="1"/>
    <x v="0"/>
  </r>
  <r>
    <x v="1"/>
    <x v="0"/>
    <x v="0"/>
    <n v="19"/>
    <x v="0"/>
  </r>
  <r>
    <x v="1"/>
    <x v="0"/>
    <x v="1"/>
    <n v="339"/>
    <x v="1"/>
  </r>
  <r>
    <x v="1"/>
    <x v="0"/>
    <x v="2"/>
    <n v="1"/>
    <x v="0"/>
  </r>
  <r>
    <x v="1"/>
    <x v="0"/>
    <x v="3"/>
    <n v="1585"/>
    <x v="1"/>
  </r>
  <r>
    <x v="1"/>
    <x v="0"/>
    <x v="4"/>
    <n v="412"/>
    <x v="1"/>
  </r>
  <r>
    <x v="1"/>
    <x v="0"/>
    <x v="42"/>
    <n v="1"/>
    <x v="0"/>
  </r>
  <r>
    <x v="1"/>
    <x v="0"/>
    <x v="5"/>
    <n v="1"/>
    <x v="0"/>
  </r>
  <r>
    <x v="1"/>
    <x v="0"/>
    <x v="6"/>
    <n v="5"/>
    <x v="0"/>
  </r>
  <r>
    <x v="1"/>
    <x v="0"/>
    <x v="43"/>
    <n v="1"/>
    <x v="0"/>
  </r>
  <r>
    <x v="1"/>
    <x v="0"/>
    <x v="7"/>
    <n v="1410"/>
    <x v="1"/>
  </r>
  <r>
    <x v="1"/>
    <x v="0"/>
    <x v="8"/>
    <n v="1709"/>
    <x v="1"/>
  </r>
  <r>
    <x v="1"/>
    <x v="0"/>
    <x v="9"/>
    <n v="1363"/>
    <x v="1"/>
  </r>
  <r>
    <x v="1"/>
    <x v="0"/>
    <x v="10"/>
    <n v="4"/>
    <x v="0"/>
  </r>
  <r>
    <x v="1"/>
    <x v="0"/>
    <x v="11"/>
    <n v="763"/>
    <x v="1"/>
  </r>
  <r>
    <x v="1"/>
    <x v="0"/>
    <x v="12"/>
    <n v="2"/>
    <x v="0"/>
  </r>
  <r>
    <x v="1"/>
    <x v="0"/>
    <x v="13"/>
    <n v="2"/>
    <x v="0"/>
  </r>
  <r>
    <x v="1"/>
    <x v="0"/>
    <x v="14"/>
    <n v="905"/>
    <x v="1"/>
  </r>
  <r>
    <x v="1"/>
    <x v="0"/>
    <x v="15"/>
    <n v="2447"/>
    <x v="1"/>
  </r>
  <r>
    <x v="1"/>
    <x v="0"/>
    <x v="17"/>
    <n v="2"/>
    <x v="0"/>
  </r>
  <r>
    <x v="1"/>
    <x v="0"/>
    <x v="18"/>
    <n v="434"/>
    <x v="1"/>
  </r>
  <r>
    <x v="1"/>
    <x v="0"/>
    <x v="19"/>
    <n v="1107"/>
    <x v="1"/>
  </r>
  <r>
    <x v="1"/>
    <x v="0"/>
    <x v="20"/>
    <n v="1204"/>
    <x v="1"/>
  </r>
  <r>
    <x v="1"/>
    <x v="0"/>
    <x v="21"/>
    <n v="212"/>
    <x v="1"/>
  </r>
  <r>
    <x v="1"/>
    <x v="0"/>
    <x v="22"/>
    <n v="2005"/>
    <x v="1"/>
  </r>
  <r>
    <x v="1"/>
    <x v="0"/>
    <x v="23"/>
    <n v="1359"/>
    <x v="1"/>
  </r>
  <r>
    <x v="1"/>
    <x v="0"/>
    <x v="24"/>
    <n v="1717"/>
    <x v="1"/>
  </r>
  <r>
    <x v="1"/>
    <x v="0"/>
    <x v="25"/>
    <n v="1"/>
    <x v="0"/>
  </r>
  <r>
    <x v="1"/>
    <x v="0"/>
    <x v="26"/>
    <n v="910"/>
    <x v="1"/>
  </r>
  <r>
    <x v="1"/>
    <x v="0"/>
    <x v="27"/>
    <n v="2129"/>
    <x v="1"/>
  </r>
  <r>
    <x v="1"/>
    <x v="0"/>
    <x v="28"/>
    <n v="1941"/>
    <x v="1"/>
  </r>
  <r>
    <x v="1"/>
    <x v="0"/>
    <x v="29"/>
    <n v="1814"/>
    <x v="1"/>
  </r>
  <r>
    <x v="1"/>
    <x v="0"/>
    <x v="30"/>
    <n v="1216"/>
    <x v="1"/>
  </r>
  <r>
    <x v="1"/>
    <x v="0"/>
    <x v="44"/>
    <n v="4"/>
    <x v="0"/>
  </r>
  <r>
    <x v="1"/>
    <x v="0"/>
    <x v="31"/>
    <n v="2106"/>
    <x v="1"/>
  </r>
  <r>
    <x v="1"/>
    <x v="0"/>
    <x v="32"/>
    <n v="1192"/>
    <x v="1"/>
  </r>
  <r>
    <x v="1"/>
    <x v="0"/>
    <x v="33"/>
    <n v="455"/>
    <x v="1"/>
  </r>
  <r>
    <x v="1"/>
    <x v="0"/>
    <x v="34"/>
    <n v="1263"/>
    <x v="1"/>
  </r>
  <r>
    <x v="1"/>
    <x v="0"/>
    <x v="35"/>
    <n v="2093"/>
    <x v="1"/>
  </r>
  <r>
    <x v="1"/>
    <x v="0"/>
    <x v="36"/>
    <n v="26"/>
    <x v="0"/>
  </r>
  <r>
    <x v="1"/>
    <x v="0"/>
    <x v="37"/>
    <n v="1864"/>
    <x v="1"/>
  </r>
  <r>
    <x v="1"/>
    <x v="0"/>
    <x v="38"/>
    <n v="1"/>
    <x v="0"/>
  </r>
  <r>
    <x v="1"/>
    <x v="0"/>
    <x v="39"/>
    <n v="219"/>
    <x v="1"/>
  </r>
  <r>
    <x v="1"/>
    <x v="0"/>
    <x v="40"/>
    <n v="1"/>
    <x v="0"/>
  </r>
  <r>
    <x v="1"/>
    <x v="0"/>
    <x v="41"/>
    <n v="1"/>
    <x v="0"/>
  </r>
  <r>
    <x v="2"/>
    <x v="0"/>
    <x v="45"/>
    <n v="3"/>
    <x v="0"/>
  </r>
  <r>
    <x v="2"/>
    <x v="0"/>
    <x v="1"/>
    <n v="355"/>
    <x v="1"/>
  </r>
  <r>
    <x v="2"/>
    <x v="0"/>
    <x v="3"/>
    <n v="1531"/>
    <x v="1"/>
  </r>
  <r>
    <x v="2"/>
    <x v="0"/>
    <x v="46"/>
    <n v="2"/>
    <x v="0"/>
  </r>
  <r>
    <x v="2"/>
    <x v="0"/>
    <x v="4"/>
    <n v="463"/>
    <x v="1"/>
  </r>
  <r>
    <x v="2"/>
    <x v="0"/>
    <x v="42"/>
    <n v="1"/>
    <x v="0"/>
  </r>
  <r>
    <x v="2"/>
    <x v="0"/>
    <x v="5"/>
    <n v="2"/>
    <x v="0"/>
  </r>
  <r>
    <x v="2"/>
    <x v="0"/>
    <x v="6"/>
    <n v="5"/>
    <x v="0"/>
  </r>
  <r>
    <x v="2"/>
    <x v="0"/>
    <x v="7"/>
    <n v="1355"/>
    <x v="1"/>
  </r>
  <r>
    <x v="2"/>
    <x v="0"/>
    <x v="8"/>
    <n v="1619"/>
    <x v="1"/>
  </r>
  <r>
    <x v="2"/>
    <x v="0"/>
    <x v="47"/>
    <n v="5"/>
    <x v="0"/>
  </r>
  <r>
    <x v="2"/>
    <x v="0"/>
    <x v="48"/>
    <n v="1"/>
    <x v="0"/>
  </r>
  <r>
    <x v="2"/>
    <x v="0"/>
    <x v="9"/>
    <n v="1357"/>
    <x v="1"/>
  </r>
  <r>
    <x v="2"/>
    <x v="0"/>
    <x v="49"/>
    <n v="183"/>
    <x v="1"/>
  </r>
  <r>
    <x v="2"/>
    <x v="0"/>
    <x v="50"/>
    <n v="1"/>
    <x v="0"/>
  </r>
  <r>
    <x v="2"/>
    <x v="0"/>
    <x v="51"/>
    <n v="5"/>
    <x v="0"/>
  </r>
  <r>
    <x v="2"/>
    <x v="0"/>
    <x v="11"/>
    <n v="846"/>
    <x v="1"/>
  </r>
  <r>
    <x v="2"/>
    <x v="0"/>
    <x v="14"/>
    <n v="870"/>
    <x v="1"/>
  </r>
  <r>
    <x v="2"/>
    <x v="0"/>
    <x v="15"/>
    <n v="2573"/>
    <x v="1"/>
  </r>
  <r>
    <x v="2"/>
    <x v="0"/>
    <x v="18"/>
    <n v="434"/>
    <x v="1"/>
  </r>
  <r>
    <x v="2"/>
    <x v="0"/>
    <x v="19"/>
    <n v="1013"/>
    <x v="1"/>
  </r>
  <r>
    <x v="2"/>
    <x v="0"/>
    <x v="20"/>
    <n v="1252"/>
    <x v="1"/>
  </r>
  <r>
    <x v="2"/>
    <x v="0"/>
    <x v="21"/>
    <n v="219"/>
    <x v="1"/>
  </r>
  <r>
    <x v="2"/>
    <x v="0"/>
    <x v="22"/>
    <n v="2129"/>
    <x v="1"/>
  </r>
  <r>
    <x v="2"/>
    <x v="0"/>
    <x v="23"/>
    <n v="1356"/>
    <x v="1"/>
  </r>
  <r>
    <x v="2"/>
    <x v="0"/>
    <x v="24"/>
    <n v="1717"/>
    <x v="1"/>
  </r>
  <r>
    <x v="2"/>
    <x v="0"/>
    <x v="25"/>
    <n v="1"/>
    <x v="0"/>
  </r>
  <r>
    <x v="2"/>
    <x v="0"/>
    <x v="26"/>
    <n v="977"/>
    <x v="1"/>
  </r>
  <r>
    <x v="2"/>
    <x v="0"/>
    <x v="27"/>
    <n v="2146"/>
    <x v="1"/>
  </r>
  <r>
    <x v="2"/>
    <x v="0"/>
    <x v="28"/>
    <n v="1956"/>
    <x v="1"/>
  </r>
  <r>
    <x v="2"/>
    <x v="0"/>
    <x v="29"/>
    <n v="1786"/>
    <x v="1"/>
  </r>
  <r>
    <x v="2"/>
    <x v="0"/>
    <x v="30"/>
    <n v="1332"/>
    <x v="1"/>
  </r>
  <r>
    <x v="2"/>
    <x v="0"/>
    <x v="52"/>
    <n v="1"/>
    <x v="0"/>
  </r>
  <r>
    <x v="2"/>
    <x v="0"/>
    <x v="44"/>
    <n v="43"/>
    <x v="0"/>
  </r>
  <r>
    <x v="2"/>
    <x v="0"/>
    <x v="31"/>
    <n v="2078"/>
    <x v="1"/>
  </r>
  <r>
    <x v="2"/>
    <x v="0"/>
    <x v="32"/>
    <n v="1189"/>
    <x v="1"/>
  </r>
  <r>
    <x v="2"/>
    <x v="0"/>
    <x v="33"/>
    <n v="512"/>
    <x v="1"/>
  </r>
  <r>
    <x v="2"/>
    <x v="0"/>
    <x v="34"/>
    <n v="1286"/>
    <x v="1"/>
  </r>
  <r>
    <x v="2"/>
    <x v="0"/>
    <x v="35"/>
    <n v="2065"/>
    <x v="1"/>
  </r>
  <r>
    <x v="2"/>
    <x v="0"/>
    <x v="36"/>
    <n v="6"/>
    <x v="0"/>
  </r>
  <r>
    <x v="2"/>
    <x v="0"/>
    <x v="37"/>
    <n v="1843"/>
    <x v="1"/>
  </r>
  <r>
    <x v="2"/>
    <x v="0"/>
    <x v="38"/>
    <n v="2"/>
    <x v="0"/>
  </r>
  <r>
    <x v="2"/>
    <x v="0"/>
    <x v="39"/>
    <n v="177"/>
    <x v="1"/>
  </r>
  <r>
    <x v="2"/>
    <x v="0"/>
    <x v="40"/>
    <n v="5"/>
    <x v="0"/>
  </r>
  <r>
    <x v="2"/>
    <x v="0"/>
    <x v="41"/>
    <n v="2"/>
    <x v="0"/>
  </r>
  <r>
    <x v="2"/>
    <x v="0"/>
    <x v="53"/>
    <n v="28"/>
    <x v="0"/>
  </r>
  <r>
    <x v="2"/>
    <x v="0"/>
    <x v="54"/>
    <n v="22"/>
    <x v="0"/>
  </r>
  <r>
    <x v="3"/>
    <x v="0"/>
    <x v="35"/>
    <n v="2305"/>
    <x v="1"/>
  </r>
  <r>
    <x v="3"/>
    <x v="0"/>
    <x v="41"/>
    <n v="1"/>
    <x v="0"/>
  </r>
  <r>
    <x v="3"/>
    <x v="0"/>
    <x v="52"/>
    <n v="1"/>
    <x v="0"/>
  </r>
  <r>
    <x v="4"/>
    <x v="0"/>
    <x v="55"/>
    <n v="1"/>
    <x v="0"/>
  </r>
  <r>
    <x v="3"/>
    <x v="0"/>
    <x v="10"/>
    <n v="7"/>
    <x v="0"/>
  </r>
  <r>
    <x v="3"/>
    <x v="0"/>
    <x v="56"/>
    <n v="8"/>
    <x v="0"/>
  </r>
  <r>
    <x v="3"/>
    <x v="0"/>
    <x v="23"/>
    <n v="2248"/>
    <x v="1"/>
  </r>
  <r>
    <x v="4"/>
    <x v="0"/>
    <x v="34"/>
    <n v="1508"/>
    <x v="1"/>
  </r>
  <r>
    <x v="4"/>
    <x v="0"/>
    <x v="20"/>
    <n v="1515"/>
    <x v="1"/>
  </r>
  <r>
    <x v="3"/>
    <x v="0"/>
    <x v="32"/>
    <n v="1352"/>
    <x v="1"/>
  </r>
  <r>
    <x v="4"/>
    <x v="0"/>
    <x v="41"/>
    <n v="3"/>
    <x v="0"/>
  </r>
  <r>
    <x v="3"/>
    <x v="0"/>
    <x v="3"/>
    <n v="2392"/>
    <x v="1"/>
  </r>
  <r>
    <x v="4"/>
    <x v="0"/>
    <x v="57"/>
    <n v="1"/>
    <x v="0"/>
  </r>
  <r>
    <x v="3"/>
    <x v="0"/>
    <x v="1"/>
    <n v="454"/>
    <x v="1"/>
  </r>
  <r>
    <x v="4"/>
    <x v="0"/>
    <x v="31"/>
    <n v="3499"/>
    <x v="1"/>
  </r>
  <r>
    <x v="3"/>
    <x v="0"/>
    <x v="55"/>
    <n v="1"/>
    <x v="0"/>
  </r>
  <r>
    <x v="3"/>
    <x v="0"/>
    <x v="39"/>
    <n v="1863"/>
    <x v="1"/>
  </r>
  <r>
    <x v="4"/>
    <x v="0"/>
    <x v="39"/>
    <n v="3002"/>
    <x v="1"/>
  </r>
  <r>
    <x v="4"/>
    <x v="0"/>
    <x v="14"/>
    <n v="1212"/>
    <x v="1"/>
  </r>
  <r>
    <x v="4"/>
    <x v="0"/>
    <x v="37"/>
    <n v="2913"/>
    <x v="1"/>
  </r>
  <r>
    <x v="4"/>
    <x v="0"/>
    <x v="11"/>
    <n v="914"/>
    <x v="1"/>
  </r>
  <r>
    <x v="4"/>
    <x v="0"/>
    <x v="2"/>
    <n v="1"/>
    <x v="0"/>
  </r>
  <r>
    <x v="4"/>
    <x v="0"/>
    <x v="22"/>
    <n v="2682"/>
    <x v="1"/>
  </r>
  <r>
    <x v="4"/>
    <x v="0"/>
    <x v="58"/>
    <n v="1"/>
    <x v="0"/>
  </r>
  <r>
    <x v="4"/>
    <x v="0"/>
    <x v="59"/>
    <n v="6"/>
    <x v="0"/>
  </r>
  <r>
    <x v="4"/>
    <x v="0"/>
    <x v="12"/>
    <n v="15"/>
    <x v="0"/>
  </r>
  <r>
    <x v="3"/>
    <x v="0"/>
    <x v="6"/>
    <n v="9"/>
    <x v="0"/>
  </r>
  <r>
    <x v="4"/>
    <x v="0"/>
    <x v="4"/>
    <n v="540"/>
    <x v="1"/>
  </r>
  <r>
    <x v="4"/>
    <x v="0"/>
    <x v="5"/>
    <n v="2"/>
    <x v="0"/>
  </r>
  <r>
    <x v="3"/>
    <x v="0"/>
    <x v="60"/>
    <n v="1"/>
    <x v="0"/>
  </r>
  <r>
    <x v="3"/>
    <x v="0"/>
    <x v="48"/>
    <n v="1"/>
    <x v="0"/>
  </r>
  <r>
    <x v="3"/>
    <x v="0"/>
    <x v="36"/>
    <n v="227"/>
    <x v="1"/>
  </r>
  <r>
    <x v="3"/>
    <x v="0"/>
    <x v="21"/>
    <n v="249"/>
    <x v="1"/>
  </r>
  <r>
    <x v="4"/>
    <x v="0"/>
    <x v="32"/>
    <n v="1446"/>
    <x v="1"/>
  </r>
  <r>
    <x v="4"/>
    <x v="0"/>
    <x v="21"/>
    <n v="248"/>
    <x v="1"/>
  </r>
  <r>
    <x v="3"/>
    <x v="0"/>
    <x v="22"/>
    <n v="2663"/>
    <x v="1"/>
  </r>
  <r>
    <x v="4"/>
    <x v="0"/>
    <x v="16"/>
    <n v="2"/>
    <x v="0"/>
  </r>
  <r>
    <x v="3"/>
    <x v="0"/>
    <x v="4"/>
    <n v="593"/>
    <x v="1"/>
  </r>
  <r>
    <x v="3"/>
    <x v="0"/>
    <x v="51"/>
    <n v="11"/>
    <x v="0"/>
  </r>
  <r>
    <x v="3"/>
    <x v="0"/>
    <x v="59"/>
    <n v="3"/>
    <x v="0"/>
  </r>
  <r>
    <x v="4"/>
    <x v="0"/>
    <x v="0"/>
    <n v="68"/>
    <x v="0"/>
  </r>
  <r>
    <x v="3"/>
    <x v="0"/>
    <x v="61"/>
    <n v="1"/>
    <x v="0"/>
  </r>
  <r>
    <x v="4"/>
    <x v="0"/>
    <x v="1"/>
    <n v="408"/>
    <x v="1"/>
  </r>
  <r>
    <x v="3"/>
    <x v="0"/>
    <x v="24"/>
    <n v="2235"/>
    <x v="1"/>
  </r>
  <r>
    <x v="4"/>
    <x v="0"/>
    <x v="38"/>
    <n v="3"/>
    <x v="0"/>
  </r>
  <r>
    <x v="4"/>
    <x v="0"/>
    <x v="56"/>
    <n v="7"/>
    <x v="0"/>
  </r>
  <r>
    <x v="3"/>
    <x v="0"/>
    <x v="16"/>
    <n v="1"/>
    <x v="0"/>
  </r>
  <r>
    <x v="3"/>
    <x v="0"/>
    <x v="49"/>
    <n v="1315"/>
    <x v="1"/>
  </r>
  <r>
    <x v="3"/>
    <x v="0"/>
    <x v="8"/>
    <n v="2322"/>
    <x v="1"/>
  </r>
  <r>
    <x v="3"/>
    <x v="0"/>
    <x v="7"/>
    <n v="1866"/>
    <x v="1"/>
  </r>
  <r>
    <x v="3"/>
    <x v="0"/>
    <x v="47"/>
    <n v="7"/>
    <x v="0"/>
  </r>
  <r>
    <x v="4"/>
    <x v="0"/>
    <x v="6"/>
    <n v="10"/>
    <x v="0"/>
  </r>
  <r>
    <x v="3"/>
    <x v="0"/>
    <x v="57"/>
    <n v="1"/>
    <x v="0"/>
  </r>
  <r>
    <x v="3"/>
    <x v="0"/>
    <x v="11"/>
    <n v="904"/>
    <x v="1"/>
  </r>
  <r>
    <x v="3"/>
    <x v="0"/>
    <x v="46"/>
    <n v="3"/>
    <x v="0"/>
  </r>
  <r>
    <x v="4"/>
    <x v="0"/>
    <x v="3"/>
    <n v="3235"/>
    <x v="1"/>
  </r>
  <r>
    <x v="3"/>
    <x v="0"/>
    <x v="17"/>
    <n v="1"/>
    <x v="0"/>
  </r>
  <r>
    <x v="4"/>
    <x v="0"/>
    <x v="35"/>
    <n v="2343"/>
    <x v="1"/>
  </r>
  <r>
    <x v="3"/>
    <x v="0"/>
    <x v="27"/>
    <n v="2675"/>
    <x v="1"/>
  </r>
  <r>
    <x v="3"/>
    <x v="0"/>
    <x v="14"/>
    <n v="1135"/>
    <x v="1"/>
  </r>
  <r>
    <x v="4"/>
    <x v="0"/>
    <x v="18"/>
    <n v="519"/>
    <x v="1"/>
  </r>
  <r>
    <x v="3"/>
    <x v="0"/>
    <x v="42"/>
    <n v="1"/>
    <x v="0"/>
  </r>
  <r>
    <x v="3"/>
    <x v="0"/>
    <x v="31"/>
    <n v="3055"/>
    <x v="1"/>
  </r>
  <r>
    <x v="4"/>
    <x v="0"/>
    <x v="8"/>
    <n v="2561"/>
    <x v="1"/>
  </r>
  <r>
    <x v="3"/>
    <x v="0"/>
    <x v="33"/>
    <n v="691"/>
    <x v="1"/>
  </r>
  <r>
    <x v="3"/>
    <x v="0"/>
    <x v="38"/>
    <n v="24"/>
    <x v="0"/>
  </r>
  <r>
    <x v="4"/>
    <x v="0"/>
    <x v="24"/>
    <n v="2554"/>
    <x v="1"/>
  </r>
  <r>
    <x v="4"/>
    <x v="0"/>
    <x v="7"/>
    <n v="2154"/>
    <x v="1"/>
  </r>
  <r>
    <x v="3"/>
    <x v="0"/>
    <x v="19"/>
    <n v="1253"/>
    <x v="1"/>
  </r>
  <r>
    <x v="3"/>
    <x v="0"/>
    <x v="58"/>
    <n v="1"/>
    <x v="0"/>
  </r>
  <r>
    <x v="4"/>
    <x v="0"/>
    <x v="29"/>
    <n v="2767"/>
    <x v="1"/>
  </r>
  <r>
    <x v="4"/>
    <x v="0"/>
    <x v="40"/>
    <n v="6"/>
    <x v="0"/>
  </r>
  <r>
    <x v="3"/>
    <x v="0"/>
    <x v="9"/>
    <n v="1984"/>
    <x v="1"/>
  </r>
  <r>
    <x v="4"/>
    <x v="0"/>
    <x v="9"/>
    <n v="2304"/>
    <x v="1"/>
  </r>
  <r>
    <x v="3"/>
    <x v="0"/>
    <x v="45"/>
    <n v="4"/>
    <x v="0"/>
  </r>
  <r>
    <x v="4"/>
    <x v="0"/>
    <x v="30"/>
    <n v="1467"/>
    <x v="1"/>
  </r>
  <r>
    <x v="4"/>
    <x v="0"/>
    <x v="33"/>
    <n v="641"/>
    <x v="1"/>
  </r>
  <r>
    <x v="3"/>
    <x v="0"/>
    <x v="26"/>
    <n v="1169"/>
    <x v="1"/>
  </r>
  <r>
    <x v="4"/>
    <x v="0"/>
    <x v="17"/>
    <n v="2"/>
    <x v="0"/>
  </r>
  <r>
    <x v="4"/>
    <x v="0"/>
    <x v="26"/>
    <n v="1073"/>
    <x v="1"/>
  </r>
  <r>
    <x v="4"/>
    <x v="0"/>
    <x v="25"/>
    <n v="1"/>
    <x v="0"/>
  </r>
  <r>
    <x v="4"/>
    <x v="0"/>
    <x v="15"/>
    <n v="3718"/>
    <x v="1"/>
  </r>
  <r>
    <x v="4"/>
    <x v="0"/>
    <x v="10"/>
    <n v="8"/>
    <x v="0"/>
  </r>
  <r>
    <x v="4"/>
    <x v="0"/>
    <x v="60"/>
    <n v="1"/>
    <x v="0"/>
  </r>
  <r>
    <x v="4"/>
    <x v="0"/>
    <x v="19"/>
    <n v="1413"/>
    <x v="1"/>
  </r>
  <r>
    <x v="4"/>
    <x v="0"/>
    <x v="36"/>
    <n v="243"/>
    <x v="1"/>
  </r>
  <r>
    <x v="4"/>
    <x v="0"/>
    <x v="13"/>
    <n v="10"/>
    <x v="0"/>
  </r>
  <r>
    <x v="3"/>
    <x v="0"/>
    <x v="20"/>
    <n v="1533"/>
    <x v="1"/>
  </r>
  <r>
    <x v="4"/>
    <x v="0"/>
    <x v="27"/>
    <n v="2707"/>
    <x v="1"/>
  </r>
  <r>
    <x v="4"/>
    <x v="0"/>
    <x v="23"/>
    <n v="2908"/>
    <x v="1"/>
  </r>
  <r>
    <x v="3"/>
    <x v="0"/>
    <x v="53"/>
    <n v="408"/>
    <x v="1"/>
  </r>
  <r>
    <x v="3"/>
    <x v="0"/>
    <x v="40"/>
    <n v="4"/>
    <x v="0"/>
  </r>
  <r>
    <x v="3"/>
    <x v="0"/>
    <x v="15"/>
    <n v="3419"/>
    <x v="1"/>
  </r>
  <r>
    <x v="3"/>
    <x v="0"/>
    <x v="34"/>
    <n v="1592"/>
    <x v="1"/>
  </r>
  <r>
    <x v="3"/>
    <x v="0"/>
    <x v="5"/>
    <n v="4"/>
    <x v="0"/>
  </r>
  <r>
    <x v="3"/>
    <x v="0"/>
    <x v="44"/>
    <n v="85"/>
    <x v="0"/>
  </r>
  <r>
    <x v="3"/>
    <x v="0"/>
    <x v="54"/>
    <n v="73"/>
    <x v="0"/>
  </r>
  <r>
    <x v="3"/>
    <x v="0"/>
    <x v="28"/>
    <n v="2953"/>
    <x v="1"/>
  </r>
  <r>
    <x v="3"/>
    <x v="0"/>
    <x v="37"/>
    <n v="2736"/>
    <x v="1"/>
  </r>
  <r>
    <x v="3"/>
    <x v="0"/>
    <x v="29"/>
    <n v="2478"/>
    <x v="1"/>
  </r>
  <r>
    <x v="3"/>
    <x v="0"/>
    <x v="18"/>
    <n v="543"/>
    <x v="1"/>
  </r>
  <r>
    <x v="3"/>
    <x v="0"/>
    <x v="30"/>
    <n v="1592"/>
    <x v="1"/>
  </r>
  <r>
    <x v="4"/>
    <x v="0"/>
    <x v="28"/>
    <n v="3247"/>
    <x v="1"/>
  </r>
  <r>
    <x v="5"/>
    <x v="0"/>
    <x v="51"/>
    <n v="12"/>
    <x v="0"/>
  </r>
  <r>
    <x v="5"/>
    <x v="0"/>
    <x v="49"/>
    <n v="1312"/>
    <x v="1"/>
  </r>
  <r>
    <x v="6"/>
    <x v="0"/>
    <x v="59"/>
    <n v="4"/>
    <x v="0"/>
  </r>
  <r>
    <x v="5"/>
    <x v="0"/>
    <x v="11"/>
    <n v="908"/>
    <x v="1"/>
  </r>
  <r>
    <x v="6"/>
    <x v="0"/>
    <x v="60"/>
    <n v="2"/>
    <x v="0"/>
  </r>
  <r>
    <x v="6"/>
    <x v="0"/>
    <x v="37"/>
    <n v="2901"/>
    <x v="1"/>
  </r>
  <r>
    <x v="6"/>
    <x v="0"/>
    <x v="9"/>
    <n v="2293"/>
    <x v="1"/>
  </r>
  <r>
    <x v="6"/>
    <x v="0"/>
    <x v="41"/>
    <n v="3"/>
    <x v="0"/>
  </r>
  <r>
    <x v="5"/>
    <x v="0"/>
    <x v="15"/>
    <n v="3359"/>
    <x v="1"/>
  </r>
  <r>
    <x v="5"/>
    <x v="0"/>
    <x v="45"/>
    <n v="4"/>
    <x v="0"/>
  </r>
  <r>
    <x v="6"/>
    <x v="0"/>
    <x v="11"/>
    <n v="915"/>
    <x v="1"/>
  </r>
  <r>
    <x v="5"/>
    <x v="0"/>
    <x v="24"/>
    <n v="2229"/>
    <x v="1"/>
  </r>
  <r>
    <x v="5"/>
    <x v="0"/>
    <x v="26"/>
    <n v="1184"/>
    <x v="1"/>
  </r>
  <r>
    <x v="5"/>
    <x v="0"/>
    <x v="44"/>
    <n v="77"/>
    <x v="0"/>
  </r>
  <r>
    <x v="5"/>
    <x v="0"/>
    <x v="38"/>
    <n v="24"/>
    <x v="0"/>
  </r>
  <r>
    <x v="6"/>
    <x v="0"/>
    <x v="26"/>
    <n v="1089"/>
    <x v="1"/>
  </r>
  <r>
    <x v="5"/>
    <x v="0"/>
    <x v="30"/>
    <n v="1603"/>
    <x v="1"/>
  </r>
  <r>
    <x v="6"/>
    <x v="0"/>
    <x v="35"/>
    <n v="2343"/>
    <x v="1"/>
  </r>
  <r>
    <x v="5"/>
    <x v="0"/>
    <x v="31"/>
    <n v="3063"/>
    <x v="1"/>
  </r>
  <r>
    <x v="5"/>
    <x v="0"/>
    <x v="41"/>
    <n v="1"/>
    <x v="0"/>
  </r>
  <r>
    <x v="5"/>
    <x v="0"/>
    <x v="42"/>
    <n v="1"/>
    <x v="0"/>
  </r>
  <r>
    <x v="6"/>
    <x v="0"/>
    <x v="18"/>
    <n v="518"/>
    <x v="1"/>
  </r>
  <r>
    <x v="5"/>
    <x v="0"/>
    <x v="1"/>
    <n v="452"/>
    <x v="1"/>
  </r>
  <r>
    <x v="6"/>
    <x v="0"/>
    <x v="40"/>
    <n v="7"/>
    <x v="0"/>
  </r>
  <r>
    <x v="6"/>
    <x v="0"/>
    <x v="24"/>
    <n v="2558"/>
    <x v="1"/>
  </r>
  <r>
    <x v="5"/>
    <x v="0"/>
    <x v="27"/>
    <n v="2667"/>
    <x v="1"/>
  </r>
  <r>
    <x v="5"/>
    <x v="0"/>
    <x v="33"/>
    <n v="700"/>
    <x v="1"/>
  </r>
  <r>
    <x v="6"/>
    <x v="0"/>
    <x v="30"/>
    <n v="1468"/>
    <x v="1"/>
  </r>
  <r>
    <x v="6"/>
    <x v="0"/>
    <x v="19"/>
    <n v="1405"/>
    <x v="1"/>
  </r>
  <r>
    <x v="6"/>
    <x v="0"/>
    <x v="31"/>
    <n v="3467"/>
    <x v="1"/>
  </r>
  <r>
    <x v="5"/>
    <x v="0"/>
    <x v="16"/>
    <n v="1"/>
    <x v="0"/>
  </r>
  <r>
    <x v="5"/>
    <x v="0"/>
    <x v="9"/>
    <n v="1991"/>
    <x v="1"/>
  </r>
  <r>
    <x v="6"/>
    <x v="0"/>
    <x v="3"/>
    <n v="3203"/>
    <x v="1"/>
  </r>
  <r>
    <x v="6"/>
    <x v="0"/>
    <x v="2"/>
    <n v="1"/>
    <x v="0"/>
  </r>
  <r>
    <x v="6"/>
    <x v="0"/>
    <x v="4"/>
    <n v="563"/>
    <x v="1"/>
  </r>
  <r>
    <x v="5"/>
    <x v="0"/>
    <x v="17"/>
    <n v="1"/>
    <x v="0"/>
  </r>
  <r>
    <x v="5"/>
    <x v="0"/>
    <x v="8"/>
    <n v="2313"/>
    <x v="1"/>
  </r>
  <r>
    <x v="5"/>
    <x v="0"/>
    <x v="48"/>
    <n v="1"/>
    <x v="0"/>
  </r>
  <r>
    <x v="5"/>
    <x v="0"/>
    <x v="46"/>
    <n v="3"/>
    <x v="0"/>
  </r>
  <r>
    <x v="5"/>
    <x v="0"/>
    <x v="29"/>
    <n v="2471"/>
    <x v="1"/>
  </r>
  <r>
    <x v="5"/>
    <x v="0"/>
    <x v="54"/>
    <n v="73"/>
    <x v="0"/>
  </r>
  <r>
    <x v="5"/>
    <x v="0"/>
    <x v="53"/>
    <n v="526"/>
    <x v="1"/>
  </r>
  <r>
    <x v="5"/>
    <x v="0"/>
    <x v="7"/>
    <n v="1872"/>
    <x v="1"/>
  </r>
  <r>
    <x v="5"/>
    <x v="0"/>
    <x v="52"/>
    <n v="1"/>
    <x v="0"/>
  </r>
  <r>
    <x v="5"/>
    <x v="0"/>
    <x v="32"/>
    <n v="1344"/>
    <x v="1"/>
  </r>
  <r>
    <x v="6"/>
    <x v="0"/>
    <x v="34"/>
    <n v="1547"/>
    <x v="1"/>
  </r>
  <r>
    <x v="6"/>
    <x v="0"/>
    <x v="1"/>
    <n v="430"/>
    <x v="1"/>
  </r>
  <r>
    <x v="6"/>
    <x v="0"/>
    <x v="21"/>
    <n v="244"/>
    <x v="1"/>
  </r>
  <r>
    <x v="6"/>
    <x v="0"/>
    <x v="10"/>
    <n v="8"/>
    <x v="0"/>
  </r>
  <r>
    <x v="5"/>
    <x v="0"/>
    <x v="39"/>
    <n v="1859"/>
    <x v="1"/>
  </r>
  <r>
    <x v="6"/>
    <x v="0"/>
    <x v="38"/>
    <n v="3"/>
    <x v="0"/>
  </r>
  <r>
    <x v="5"/>
    <x v="0"/>
    <x v="36"/>
    <n v="227"/>
    <x v="1"/>
  </r>
  <r>
    <x v="6"/>
    <x v="0"/>
    <x v="7"/>
    <n v="2148"/>
    <x v="1"/>
  </r>
  <r>
    <x v="6"/>
    <x v="0"/>
    <x v="36"/>
    <n v="251"/>
    <x v="1"/>
  </r>
  <r>
    <x v="5"/>
    <x v="0"/>
    <x v="23"/>
    <n v="2253"/>
    <x v="1"/>
  </r>
  <r>
    <x v="6"/>
    <x v="0"/>
    <x v="13"/>
    <n v="10"/>
    <x v="0"/>
  </r>
  <r>
    <x v="5"/>
    <x v="0"/>
    <x v="58"/>
    <n v="1"/>
    <x v="0"/>
  </r>
  <r>
    <x v="5"/>
    <x v="0"/>
    <x v="5"/>
    <n v="3"/>
    <x v="0"/>
  </r>
  <r>
    <x v="5"/>
    <x v="0"/>
    <x v="3"/>
    <n v="2392"/>
    <x v="1"/>
  </r>
  <r>
    <x v="5"/>
    <x v="0"/>
    <x v="18"/>
    <n v="549"/>
    <x v="1"/>
  </r>
  <r>
    <x v="5"/>
    <x v="0"/>
    <x v="60"/>
    <n v="1"/>
    <x v="0"/>
  </r>
  <r>
    <x v="5"/>
    <x v="0"/>
    <x v="57"/>
    <n v="1"/>
    <x v="0"/>
  </r>
  <r>
    <x v="5"/>
    <x v="0"/>
    <x v="22"/>
    <n v="2672"/>
    <x v="1"/>
  </r>
  <r>
    <x v="6"/>
    <x v="0"/>
    <x v="56"/>
    <n v="8"/>
    <x v="0"/>
  </r>
  <r>
    <x v="5"/>
    <x v="0"/>
    <x v="4"/>
    <n v="612"/>
    <x v="1"/>
  </r>
  <r>
    <x v="6"/>
    <x v="0"/>
    <x v="17"/>
    <n v="2"/>
    <x v="0"/>
  </r>
  <r>
    <x v="6"/>
    <x v="0"/>
    <x v="32"/>
    <n v="1447"/>
    <x v="1"/>
  </r>
  <r>
    <x v="6"/>
    <x v="0"/>
    <x v="39"/>
    <n v="2998"/>
    <x v="1"/>
  </r>
  <r>
    <x v="6"/>
    <x v="0"/>
    <x v="22"/>
    <n v="2715"/>
    <x v="1"/>
  </r>
  <r>
    <x v="5"/>
    <x v="0"/>
    <x v="59"/>
    <n v="3"/>
    <x v="0"/>
  </r>
  <r>
    <x v="6"/>
    <x v="0"/>
    <x v="5"/>
    <n v="3"/>
    <x v="0"/>
  </r>
  <r>
    <x v="5"/>
    <x v="0"/>
    <x v="20"/>
    <n v="1544"/>
    <x v="1"/>
  </r>
  <r>
    <x v="6"/>
    <x v="0"/>
    <x v="15"/>
    <n v="3740"/>
    <x v="1"/>
  </r>
  <r>
    <x v="6"/>
    <x v="0"/>
    <x v="12"/>
    <n v="15"/>
    <x v="0"/>
  </r>
  <r>
    <x v="5"/>
    <x v="0"/>
    <x v="35"/>
    <n v="2305"/>
    <x v="1"/>
  </r>
  <r>
    <x v="5"/>
    <x v="0"/>
    <x v="28"/>
    <n v="2985"/>
    <x v="1"/>
  </r>
  <r>
    <x v="5"/>
    <x v="0"/>
    <x v="14"/>
    <n v="1125"/>
    <x v="1"/>
  </r>
  <r>
    <x v="6"/>
    <x v="0"/>
    <x v="6"/>
    <n v="10"/>
    <x v="0"/>
  </r>
  <r>
    <x v="6"/>
    <x v="0"/>
    <x v="16"/>
    <n v="2"/>
    <x v="0"/>
  </r>
  <r>
    <x v="6"/>
    <x v="0"/>
    <x v="14"/>
    <n v="1219"/>
    <x v="1"/>
  </r>
  <r>
    <x v="5"/>
    <x v="0"/>
    <x v="19"/>
    <n v="1256"/>
    <x v="1"/>
  </r>
  <r>
    <x v="6"/>
    <x v="0"/>
    <x v="33"/>
    <n v="649"/>
    <x v="1"/>
  </r>
  <r>
    <x v="6"/>
    <x v="0"/>
    <x v="8"/>
    <n v="2566"/>
    <x v="1"/>
  </r>
  <r>
    <x v="5"/>
    <x v="0"/>
    <x v="6"/>
    <n v="9"/>
    <x v="0"/>
  </r>
  <r>
    <x v="6"/>
    <x v="0"/>
    <x v="58"/>
    <n v="1"/>
    <x v="0"/>
  </r>
  <r>
    <x v="6"/>
    <x v="0"/>
    <x v="28"/>
    <n v="3220"/>
    <x v="1"/>
  </r>
  <r>
    <x v="6"/>
    <x v="0"/>
    <x v="29"/>
    <n v="2785"/>
    <x v="1"/>
  </r>
  <r>
    <x v="6"/>
    <x v="0"/>
    <x v="27"/>
    <n v="2712"/>
    <x v="1"/>
  </r>
  <r>
    <x v="6"/>
    <x v="0"/>
    <x v="23"/>
    <n v="2863"/>
    <x v="1"/>
  </r>
  <r>
    <x v="6"/>
    <x v="0"/>
    <x v="20"/>
    <n v="1526"/>
    <x v="1"/>
  </r>
  <r>
    <x v="5"/>
    <x v="0"/>
    <x v="40"/>
    <n v="4"/>
    <x v="0"/>
  </r>
  <r>
    <x v="5"/>
    <x v="0"/>
    <x v="56"/>
    <n v="7"/>
    <x v="0"/>
  </r>
  <r>
    <x v="5"/>
    <x v="0"/>
    <x v="10"/>
    <n v="7"/>
    <x v="0"/>
  </r>
  <r>
    <x v="6"/>
    <x v="0"/>
    <x v="57"/>
    <n v="1"/>
    <x v="0"/>
  </r>
  <r>
    <x v="5"/>
    <x v="0"/>
    <x v="34"/>
    <n v="1604"/>
    <x v="1"/>
  </r>
  <r>
    <x v="6"/>
    <x v="0"/>
    <x v="0"/>
    <n v="68"/>
    <x v="0"/>
  </r>
  <r>
    <x v="5"/>
    <x v="0"/>
    <x v="37"/>
    <n v="2740"/>
    <x v="1"/>
  </r>
  <r>
    <x v="5"/>
    <x v="0"/>
    <x v="47"/>
    <n v="7"/>
    <x v="0"/>
  </r>
  <r>
    <x v="5"/>
    <x v="0"/>
    <x v="61"/>
    <n v="1"/>
    <x v="0"/>
  </r>
  <r>
    <x v="6"/>
    <x v="0"/>
    <x v="25"/>
    <n v="1"/>
    <x v="0"/>
  </r>
  <r>
    <x v="6"/>
    <x v="0"/>
    <x v="55"/>
    <n v="1"/>
    <x v="0"/>
  </r>
  <r>
    <x v="5"/>
    <x v="0"/>
    <x v="21"/>
    <n v="248"/>
    <x v="1"/>
  </r>
  <r>
    <x v="1"/>
    <x v="0"/>
    <x v="31"/>
    <n v="3410"/>
    <x v="1"/>
  </r>
  <r>
    <x v="1"/>
    <x v="0"/>
    <x v="57"/>
    <n v="1"/>
    <x v="0"/>
  </r>
  <r>
    <x v="7"/>
    <x v="0"/>
    <x v="61"/>
    <n v="1"/>
    <x v="0"/>
  </r>
  <r>
    <x v="1"/>
    <x v="0"/>
    <x v="11"/>
    <n v="905"/>
    <x v="1"/>
  </r>
  <r>
    <x v="7"/>
    <x v="0"/>
    <x v="5"/>
    <n v="3"/>
    <x v="0"/>
  </r>
  <r>
    <x v="1"/>
    <x v="0"/>
    <x v="3"/>
    <n v="3164"/>
    <x v="1"/>
  </r>
  <r>
    <x v="1"/>
    <x v="0"/>
    <x v="4"/>
    <n v="568"/>
    <x v="1"/>
  </r>
  <r>
    <x v="7"/>
    <x v="0"/>
    <x v="17"/>
    <n v="1"/>
    <x v="0"/>
  </r>
  <r>
    <x v="7"/>
    <x v="0"/>
    <x v="32"/>
    <n v="1333"/>
    <x v="1"/>
  </r>
  <r>
    <x v="7"/>
    <x v="0"/>
    <x v="27"/>
    <n v="2679"/>
    <x v="1"/>
  </r>
  <r>
    <x v="1"/>
    <x v="0"/>
    <x v="42"/>
    <n v="1"/>
    <x v="0"/>
  </r>
  <r>
    <x v="1"/>
    <x v="0"/>
    <x v="44"/>
    <n v="7"/>
    <x v="0"/>
  </r>
  <r>
    <x v="7"/>
    <x v="0"/>
    <x v="16"/>
    <n v="1"/>
    <x v="0"/>
  </r>
  <r>
    <x v="1"/>
    <x v="0"/>
    <x v="58"/>
    <n v="1"/>
    <x v="0"/>
  </r>
  <r>
    <x v="7"/>
    <x v="0"/>
    <x v="40"/>
    <n v="3"/>
    <x v="0"/>
  </r>
  <r>
    <x v="1"/>
    <x v="0"/>
    <x v="28"/>
    <n v="3193"/>
    <x v="1"/>
  </r>
  <r>
    <x v="7"/>
    <x v="0"/>
    <x v="62"/>
    <n v="1"/>
    <x v="0"/>
  </r>
  <r>
    <x v="1"/>
    <x v="0"/>
    <x v="20"/>
    <n v="1528"/>
    <x v="1"/>
  </r>
  <r>
    <x v="1"/>
    <x v="0"/>
    <x v="41"/>
    <n v="2"/>
    <x v="0"/>
  </r>
  <r>
    <x v="7"/>
    <x v="0"/>
    <x v="23"/>
    <n v="2250"/>
    <x v="1"/>
  </r>
  <r>
    <x v="1"/>
    <x v="0"/>
    <x v="15"/>
    <n v="3709"/>
    <x v="1"/>
  </r>
  <r>
    <x v="1"/>
    <x v="0"/>
    <x v="33"/>
    <n v="651"/>
    <x v="1"/>
  </r>
  <r>
    <x v="1"/>
    <x v="0"/>
    <x v="35"/>
    <n v="2355"/>
    <x v="1"/>
  </r>
  <r>
    <x v="7"/>
    <x v="0"/>
    <x v="44"/>
    <n v="91"/>
    <x v="0"/>
  </r>
  <r>
    <x v="7"/>
    <x v="0"/>
    <x v="46"/>
    <n v="2"/>
    <x v="0"/>
  </r>
  <r>
    <x v="7"/>
    <x v="0"/>
    <x v="18"/>
    <n v="554"/>
    <x v="1"/>
  </r>
  <r>
    <x v="1"/>
    <x v="0"/>
    <x v="27"/>
    <n v="2699"/>
    <x v="1"/>
  </r>
  <r>
    <x v="7"/>
    <x v="0"/>
    <x v="58"/>
    <n v="1"/>
    <x v="0"/>
  </r>
  <r>
    <x v="1"/>
    <x v="0"/>
    <x v="13"/>
    <n v="10"/>
    <x v="0"/>
  </r>
  <r>
    <x v="1"/>
    <x v="0"/>
    <x v="16"/>
    <n v="2"/>
    <x v="0"/>
  </r>
  <r>
    <x v="7"/>
    <x v="0"/>
    <x v="30"/>
    <n v="1604"/>
    <x v="1"/>
  </r>
  <r>
    <x v="7"/>
    <x v="0"/>
    <x v="7"/>
    <n v="1868"/>
    <x v="1"/>
  </r>
  <r>
    <x v="1"/>
    <x v="0"/>
    <x v="21"/>
    <n v="244"/>
    <x v="1"/>
  </r>
  <r>
    <x v="7"/>
    <x v="0"/>
    <x v="33"/>
    <n v="714"/>
    <x v="1"/>
  </r>
  <r>
    <x v="7"/>
    <x v="0"/>
    <x v="51"/>
    <n v="15"/>
    <x v="0"/>
  </r>
  <r>
    <x v="1"/>
    <x v="0"/>
    <x v="18"/>
    <n v="525"/>
    <x v="1"/>
  </r>
  <r>
    <x v="7"/>
    <x v="0"/>
    <x v="15"/>
    <n v="3343"/>
    <x v="1"/>
  </r>
  <r>
    <x v="7"/>
    <x v="0"/>
    <x v="3"/>
    <n v="2388"/>
    <x v="1"/>
  </r>
  <r>
    <x v="1"/>
    <x v="0"/>
    <x v="10"/>
    <n v="9"/>
    <x v="0"/>
  </r>
  <r>
    <x v="7"/>
    <x v="0"/>
    <x v="36"/>
    <n v="226"/>
    <x v="1"/>
  </r>
  <r>
    <x v="7"/>
    <x v="0"/>
    <x v="48"/>
    <n v="1"/>
    <x v="0"/>
  </r>
  <r>
    <x v="1"/>
    <x v="0"/>
    <x v="19"/>
    <n v="1363"/>
    <x v="1"/>
  </r>
  <r>
    <x v="1"/>
    <x v="0"/>
    <x v="2"/>
    <n v="1"/>
    <x v="0"/>
  </r>
  <r>
    <x v="1"/>
    <x v="0"/>
    <x v="26"/>
    <n v="1104"/>
    <x v="1"/>
  </r>
  <r>
    <x v="1"/>
    <x v="0"/>
    <x v="55"/>
    <n v="1"/>
    <x v="0"/>
  </r>
  <r>
    <x v="7"/>
    <x v="0"/>
    <x v="38"/>
    <n v="24"/>
    <x v="0"/>
  </r>
  <r>
    <x v="1"/>
    <x v="0"/>
    <x v="38"/>
    <n v="3"/>
    <x v="0"/>
  </r>
  <r>
    <x v="1"/>
    <x v="0"/>
    <x v="12"/>
    <n v="15"/>
    <x v="0"/>
  </r>
  <r>
    <x v="7"/>
    <x v="0"/>
    <x v="14"/>
    <n v="1122"/>
    <x v="1"/>
  </r>
  <r>
    <x v="7"/>
    <x v="0"/>
    <x v="1"/>
    <n v="452"/>
    <x v="1"/>
  </r>
  <r>
    <x v="7"/>
    <x v="0"/>
    <x v="42"/>
    <n v="1"/>
    <x v="0"/>
  </r>
  <r>
    <x v="7"/>
    <x v="0"/>
    <x v="35"/>
    <n v="2301"/>
    <x v="1"/>
  </r>
  <r>
    <x v="1"/>
    <x v="0"/>
    <x v="22"/>
    <n v="2715"/>
    <x v="1"/>
  </r>
  <r>
    <x v="1"/>
    <x v="0"/>
    <x v="56"/>
    <n v="8"/>
    <x v="0"/>
  </r>
  <r>
    <x v="1"/>
    <x v="0"/>
    <x v="14"/>
    <n v="1203"/>
    <x v="1"/>
  </r>
  <r>
    <x v="7"/>
    <x v="0"/>
    <x v="60"/>
    <n v="1"/>
    <x v="0"/>
  </r>
  <r>
    <x v="1"/>
    <x v="0"/>
    <x v="32"/>
    <n v="1430"/>
    <x v="1"/>
  </r>
  <r>
    <x v="1"/>
    <x v="0"/>
    <x v="29"/>
    <n v="2788"/>
    <x v="1"/>
  </r>
  <r>
    <x v="7"/>
    <x v="0"/>
    <x v="19"/>
    <n v="1262"/>
    <x v="1"/>
  </r>
  <r>
    <x v="1"/>
    <x v="0"/>
    <x v="6"/>
    <n v="10"/>
    <x v="0"/>
  </r>
  <r>
    <x v="1"/>
    <x v="0"/>
    <x v="9"/>
    <n v="2279"/>
    <x v="1"/>
  </r>
  <r>
    <x v="7"/>
    <x v="0"/>
    <x v="9"/>
    <n v="1993"/>
    <x v="1"/>
  </r>
  <r>
    <x v="1"/>
    <x v="0"/>
    <x v="24"/>
    <n v="2544"/>
    <x v="1"/>
  </r>
  <r>
    <x v="7"/>
    <x v="0"/>
    <x v="53"/>
    <n v="612"/>
    <x v="1"/>
  </r>
  <r>
    <x v="1"/>
    <x v="0"/>
    <x v="36"/>
    <n v="249"/>
    <x v="1"/>
  </r>
  <r>
    <x v="1"/>
    <x v="0"/>
    <x v="7"/>
    <n v="2125"/>
    <x v="1"/>
  </r>
  <r>
    <x v="1"/>
    <x v="0"/>
    <x v="8"/>
    <n v="2552"/>
    <x v="1"/>
  </r>
  <r>
    <x v="1"/>
    <x v="0"/>
    <x v="39"/>
    <n v="2989"/>
    <x v="1"/>
  </r>
  <r>
    <x v="7"/>
    <x v="0"/>
    <x v="57"/>
    <n v="1"/>
    <x v="0"/>
  </r>
  <r>
    <x v="7"/>
    <x v="0"/>
    <x v="10"/>
    <n v="6"/>
    <x v="0"/>
  </r>
  <r>
    <x v="7"/>
    <x v="0"/>
    <x v="11"/>
    <n v="911"/>
    <x v="1"/>
  </r>
  <r>
    <x v="7"/>
    <x v="0"/>
    <x v="34"/>
    <n v="1617"/>
    <x v="1"/>
  </r>
  <r>
    <x v="7"/>
    <x v="0"/>
    <x v="8"/>
    <n v="2297"/>
    <x v="1"/>
  </r>
  <r>
    <x v="7"/>
    <x v="0"/>
    <x v="56"/>
    <n v="7"/>
    <x v="0"/>
  </r>
  <r>
    <x v="1"/>
    <x v="0"/>
    <x v="40"/>
    <n v="3"/>
    <x v="0"/>
  </r>
  <r>
    <x v="7"/>
    <x v="0"/>
    <x v="21"/>
    <n v="247"/>
    <x v="1"/>
  </r>
  <r>
    <x v="7"/>
    <x v="0"/>
    <x v="26"/>
    <n v="1190"/>
    <x v="1"/>
  </r>
  <r>
    <x v="7"/>
    <x v="0"/>
    <x v="28"/>
    <n v="2986"/>
    <x v="1"/>
  </r>
  <r>
    <x v="7"/>
    <x v="0"/>
    <x v="54"/>
    <n v="73"/>
    <x v="0"/>
  </r>
  <r>
    <x v="7"/>
    <x v="0"/>
    <x v="29"/>
    <n v="2475"/>
    <x v="1"/>
  </r>
  <r>
    <x v="1"/>
    <x v="0"/>
    <x v="17"/>
    <n v="2"/>
    <x v="0"/>
  </r>
  <r>
    <x v="1"/>
    <x v="0"/>
    <x v="43"/>
    <n v="1"/>
    <x v="0"/>
  </r>
  <r>
    <x v="1"/>
    <x v="0"/>
    <x v="37"/>
    <n v="2854"/>
    <x v="1"/>
  </r>
  <r>
    <x v="1"/>
    <x v="0"/>
    <x v="5"/>
    <n v="3"/>
    <x v="0"/>
  </r>
  <r>
    <x v="1"/>
    <x v="0"/>
    <x v="23"/>
    <n v="2855"/>
    <x v="1"/>
  </r>
  <r>
    <x v="7"/>
    <x v="0"/>
    <x v="20"/>
    <n v="1553"/>
    <x v="1"/>
  </r>
  <r>
    <x v="1"/>
    <x v="0"/>
    <x v="30"/>
    <n v="1482"/>
    <x v="1"/>
  </r>
  <r>
    <x v="7"/>
    <x v="0"/>
    <x v="24"/>
    <n v="2210"/>
    <x v="1"/>
  </r>
  <r>
    <x v="7"/>
    <x v="0"/>
    <x v="4"/>
    <n v="620"/>
    <x v="1"/>
  </r>
  <r>
    <x v="7"/>
    <x v="0"/>
    <x v="37"/>
    <n v="2747"/>
    <x v="1"/>
  </r>
  <r>
    <x v="1"/>
    <x v="0"/>
    <x v="59"/>
    <n v="4"/>
    <x v="0"/>
  </r>
  <r>
    <x v="1"/>
    <x v="0"/>
    <x v="34"/>
    <n v="1568"/>
    <x v="1"/>
  </r>
  <r>
    <x v="7"/>
    <x v="0"/>
    <x v="22"/>
    <n v="2676"/>
    <x v="1"/>
  </r>
  <r>
    <x v="7"/>
    <x v="0"/>
    <x v="45"/>
    <n v="3"/>
    <x v="0"/>
  </r>
  <r>
    <x v="7"/>
    <x v="0"/>
    <x v="39"/>
    <n v="1849"/>
    <x v="1"/>
  </r>
  <r>
    <x v="7"/>
    <x v="0"/>
    <x v="6"/>
    <n v="9"/>
    <x v="0"/>
  </r>
  <r>
    <x v="7"/>
    <x v="0"/>
    <x v="47"/>
    <n v="7"/>
    <x v="0"/>
  </r>
  <r>
    <x v="1"/>
    <x v="0"/>
    <x v="25"/>
    <n v="1"/>
    <x v="0"/>
  </r>
  <r>
    <x v="7"/>
    <x v="0"/>
    <x v="52"/>
    <n v="1"/>
    <x v="0"/>
  </r>
  <r>
    <x v="7"/>
    <x v="0"/>
    <x v="49"/>
    <n v="1297"/>
    <x v="1"/>
  </r>
  <r>
    <x v="7"/>
    <x v="0"/>
    <x v="59"/>
    <n v="3"/>
    <x v="0"/>
  </r>
  <r>
    <x v="7"/>
    <x v="0"/>
    <x v="31"/>
    <n v="3061"/>
    <x v="1"/>
  </r>
  <r>
    <x v="1"/>
    <x v="0"/>
    <x v="0"/>
    <n v="69"/>
    <x v="0"/>
  </r>
  <r>
    <x v="1"/>
    <x v="0"/>
    <x v="1"/>
    <n v="434"/>
    <x v="1"/>
  </r>
  <r>
    <x v="8"/>
    <x v="0"/>
    <x v="45"/>
    <n v="3"/>
    <x v="0"/>
  </r>
  <r>
    <x v="8"/>
    <x v="0"/>
    <x v="15"/>
    <n v="3359"/>
    <x v="1"/>
  </r>
  <r>
    <x v="9"/>
    <x v="0"/>
    <x v="11"/>
    <n v="918"/>
    <x v="1"/>
  </r>
  <r>
    <x v="8"/>
    <x v="0"/>
    <x v="10"/>
    <n v="6"/>
    <x v="0"/>
  </r>
  <r>
    <x v="8"/>
    <x v="0"/>
    <x v="51"/>
    <n v="15"/>
    <x v="0"/>
  </r>
  <r>
    <x v="9"/>
    <x v="0"/>
    <x v="36"/>
    <n v="243"/>
    <x v="1"/>
  </r>
  <r>
    <x v="8"/>
    <x v="0"/>
    <x v="46"/>
    <n v="2"/>
    <x v="0"/>
  </r>
  <r>
    <x v="9"/>
    <x v="0"/>
    <x v="23"/>
    <n v="2827"/>
    <x v="1"/>
  </r>
  <r>
    <x v="9"/>
    <x v="0"/>
    <x v="17"/>
    <n v="2"/>
    <x v="0"/>
  </r>
  <r>
    <x v="8"/>
    <x v="0"/>
    <x v="5"/>
    <n v="2"/>
    <x v="0"/>
  </r>
  <r>
    <x v="9"/>
    <x v="0"/>
    <x v="1"/>
    <n v="438"/>
    <x v="1"/>
  </r>
  <r>
    <x v="9"/>
    <x v="0"/>
    <x v="15"/>
    <n v="3750"/>
    <x v="1"/>
  </r>
  <r>
    <x v="8"/>
    <x v="0"/>
    <x v="44"/>
    <n v="109"/>
    <x v="1"/>
  </r>
  <r>
    <x v="9"/>
    <x v="0"/>
    <x v="18"/>
    <n v="540"/>
    <x v="1"/>
  </r>
  <r>
    <x v="9"/>
    <x v="0"/>
    <x v="57"/>
    <n v="1"/>
    <x v="0"/>
  </r>
  <r>
    <x v="8"/>
    <x v="0"/>
    <x v="18"/>
    <n v="559"/>
    <x v="1"/>
  </r>
  <r>
    <x v="8"/>
    <x v="0"/>
    <x v="62"/>
    <n v="1"/>
    <x v="0"/>
  </r>
  <r>
    <x v="9"/>
    <x v="0"/>
    <x v="33"/>
    <n v="653"/>
    <x v="1"/>
  </r>
  <r>
    <x v="9"/>
    <x v="0"/>
    <x v="5"/>
    <n v="3"/>
    <x v="0"/>
  </r>
  <r>
    <x v="8"/>
    <x v="0"/>
    <x v="40"/>
    <n v="3"/>
    <x v="0"/>
  </r>
  <r>
    <x v="8"/>
    <x v="0"/>
    <x v="21"/>
    <n v="247"/>
    <x v="1"/>
  </r>
  <r>
    <x v="8"/>
    <x v="0"/>
    <x v="24"/>
    <n v="2208"/>
    <x v="1"/>
  </r>
  <r>
    <x v="9"/>
    <x v="0"/>
    <x v="46"/>
    <n v="1"/>
    <x v="0"/>
  </r>
  <r>
    <x v="9"/>
    <x v="0"/>
    <x v="25"/>
    <n v="1"/>
    <x v="0"/>
  </r>
  <r>
    <x v="8"/>
    <x v="0"/>
    <x v="32"/>
    <n v="1333"/>
    <x v="1"/>
  </r>
  <r>
    <x v="9"/>
    <x v="0"/>
    <x v="8"/>
    <n v="2556"/>
    <x v="1"/>
  </r>
  <r>
    <x v="8"/>
    <x v="0"/>
    <x v="53"/>
    <n v="607"/>
    <x v="1"/>
  </r>
  <r>
    <x v="9"/>
    <x v="0"/>
    <x v="30"/>
    <n v="1507"/>
    <x v="1"/>
  </r>
  <r>
    <x v="9"/>
    <x v="0"/>
    <x v="10"/>
    <n v="10"/>
    <x v="0"/>
  </r>
  <r>
    <x v="8"/>
    <x v="0"/>
    <x v="31"/>
    <n v="3065"/>
    <x v="1"/>
  </r>
  <r>
    <x v="9"/>
    <x v="0"/>
    <x v="27"/>
    <n v="2709"/>
    <x v="1"/>
  </r>
  <r>
    <x v="8"/>
    <x v="0"/>
    <x v="1"/>
    <n v="468"/>
    <x v="1"/>
  </r>
  <r>
    <x v="9"/>
    <x v="0"/>
    <x v="7"/>
    <n v="2105"/>
    <x v="1"/>
  </r>
  <r>
    <x v="9"/>
    <x v="0"/>
    <x v="45"/>
    <n v="7"/>
    <x v="0"/>
  </r>
  <r>
    <x v="9"/>
    <x v="0"/>
    <x v="58"/>
    <n v="1"/>
    <x v="0"/>
  </r>
  <r>
    <x v="8"/>
    <x v="0"/>
    <x v="29"/>
    <n v="2470"/>
    <x v="1"/>
  </r>
  <r>
    <x v="9"/>
    <x v="0"/>
    <x v="12"/>
    <n v="15"/>
    <x v="0"/>
  </r>
  <r>
    <x v="8"/>
    <x v="0"/>
    <x v="56"/>
    <n v="7"/>
    <x v="0"/>
  </r>
  <r>
    <x v="8"/>
    <x v="0"/>
    <x v="16"/>
    <n v="1"/>
    <x v="0"/>
  </r>
  <r>
    <x v="9"/>
    <x v="0"/>
    <x v="16"/>
    <n v="2"/>
    <x v="0"/>
  </r>
  <r>
    <x v="8"/>
    <x v="0"/>
    <x v="60"/>
    <n v="1"/>
    <x v="0"/>
  </r>
  <r>
    <x v="9"/>
    <x v="0"/>
    <x v="0"/>
    <n v="69"/>
    <x v="0"/>
  </r>
  <r>
    <x v="9"/>
    <x v="0"/>
    <x v="42"/>
    <n v="1"/>
    <x v="0"/>
  </r>
  <r>
    <x v="9"/>
    <x v="0"/>
    <x v="19"/>
    <n v="1360"/>
    <x v="1"/>
  </r>
  <r>
    <x v="8"/>
    <x v="0"/>
    <x v="8"/>
    <n v="2290"/>
    <x v="1"/>
  </r>
  <r>
    <x v="8"/>
    <x v="0"/>
    <x v="9"/>
    <n v="1999"/>
    <x v="1"/>
  </r>
  <r>
    <x v="8"/>
    <x v="0"/>
    <x v="35"/>
    <n v="2305"/>
    <x v="1"/>
  </r>
  <r>
    <x v="8"/>
    <x v="0"/>
    <x v="52"/>
    <n v="1"/>
    <x v="0"/>
  </r>
  <r>
    <x v="8"/>
    <x v="0"/>
    <x v="6"/>
    <n v="9"/>
    <x v="0"/>
  </r>
  <r>
    <x v="9"/>
    <x v="0"/>
    <x v="38"/>
    <n v="3"/>
    <x v="0"/>
  </r>
  <r>
    <x v="8"/>
    <x v="0"/>
    <x v="33"/>
    <n v="731"/>
    <x v="1"/>
  </r>
  <r>
    <x v="8"/>
    <x v="0"/>
    <x v="36"/>
    <n v="225"/>
    <x v="1"/>
  </r>
  <r>
    <x v="8"/>
    <x v="0"/>
    <x v="19"/>
    <n v="1271"/>
    <x v="1"/>
  </r>
  <r>
    <x v="8"/>
    <x v="0"/>
    <x v="26"/>
    <n v="1185"/>
    <x v="1"/>
  </r>
  <r>
    <x v="8"/>
    <x v="0"/>
    <x v="48"/>
    <n v="1"/>
    <x v="0"/>
  </r>
  <r>
    <x v="8"/>
    <x v="0"/>
    <x v="42"/>
    <n v="1"/>
    <x v="0"/>
  </r>
  <r>
    <x v="8"/>
    <x v="0"/>
    <x v="20"/>
    <n v="1559"/>
    <x v="1"/>
  </r>
  <r>
    <x v="8"/>
    <x v="0"/>
    <x v="3"/>
    <n v="2377"/>
    <x v="1"/>
  </r>
  <r>
    <x v="9"/>
    <x v="0"/>
    <x v="13"/>
    <n v="10"/>
    <x v="0"/>
  </r>
  <r>
    <x v="8"/>
    <x v="0"/>
    <x v="34"/>
    <n v="1609"/>
    <x v="1"/>
  </r>
  <r>
    <x v="9"/>
    <x v="0"/>
    <x v="6"/>
    <n v="10"/>
    <x v="0"/>
  </r>
  <r>
    <x v="8"/>
    <x v="0"/>
    <x v="39"/>
    <n v="1845"/>
    <x v="1"/>
  </r>
  <r>
    <x v="8"/>
    <x v="0"/>
    <x v="27"/>
    <n v="2678"/>
    <x v="1"/>
  </r>
  <r>
    <x v="9"/>
    <x v="0"/>
    <x v="3"/>
    <n v="3066"/>
    <x v="1"/>
  </r>
  <r>
    <x v="8"/>
    <x v="0"/>
    <x v="11"/>
    <n v="922"/>
    <x v="1"/>
  </r>
  <r>
    <x v="8"/>
    <x v="0"/>
    <x v="57"/>
    <n v="1"/>
    <x v="0"/>
  </r>
  <r>
    <x v="9"/>
    <x v="0"/>
    <x v="9"/>
    <n v="2263"/>
    <x v="1"/>
  </r>
  <r>
    <x v="8"/>
    <x v="0"/>
    <x v="30"/>
    <n v="1616"/>
    <x v="1"/>
  </r>
  <r>
    <x v="9"/>
    <x v="0"/>
    <x v="39"/>
    <n v="2980"/>
    <x v="1"/>
  </r>
  <r>
    <x v="9"/>
    <x v="0"/>
    <x v="37"/>
    <n v="2853"/>
    <x v="1"/>
  </r>
  <r>
    <x v="9"/>
    <x v="0"/>
    <x v="32"/>
    <n v="1433"/>
    <x v="1"/>
  </r>
  <r>
    <x v="8"/>
    <x v="0"/>
    <x v="23"/>
    <n v="2247"/>
    <x v="1"/>
  </r>
  <r>
    <x v="8"/>
    <x v="0"/>
    <x v="54"/>
    <n v="73"/>
    <x v="0"/>
  </r>
  <r>
    <x v="9"/>
    <x v="0"/>
    <x v="59"/>
    <n v="4"/>
    <x v="0"/>
  </r>
  <r>
    <x v="9"/>
    <x v="0"/>
    <x v="55"/>
    <n v="1"/>
    <x v="0"/>
  </r>
  <r>
    <x v="9"/>
    <x v="0"/>
    <x v="29"/>
    <n v="2786"/>
    <x v="1"/>
  </r>
  <r>
    <x v="9"/>
    <x v="0"/>
    <x v="44"/>
    <n v="14"/>
    <x v="0"/>
  </r>
  <r>
    <x v="9"/>
    <x v="0"/>
    <x v="41"/>
    <n v="2"/>
    <x v="0"/>
  </r>
  <r>
    <x v="8"/>
    <x v="0"/>
    <x v="59"/>
    <n v="3"/>
    <x v="0"/>
  </r>
  <r>
    <x v="8"/>
    <x v="0"/>
    <x v="17"/>
    <n v="1"/>
    <x v="0"/>
  </r>
  <r>
    <x v="8"/>
    <x v="0"/>
    <x v="14"/>
    <n v="1114"/>
    <x v="1"/>
  </r>
  <r>
    <x v="9"/>
    <x v="0"/>
    <x v="21"/>
    <n v="245"/>
    <x v="1"/>
  </r>
  <r>
    <x v="9"/>
    <x v="0"/>
    <x v="26"/>
    <n v="1130"/>
    <x v="1"/>
  </r>
  <r>
    <x v="8"/>
    <x v="0"/>
    <x v="28"/>
    <n v="2981"/>
    <x v="1"/>
  </r>
  <r>
    <x v="9"/>
    <x v="0"/>
    <x v="2"/>
    <n v="1"/>
    <x v="0"/>
  </r>
  <r>
    <x v="9"/>
    <x v="0"/>
    <x v="60"/>
    <n v="1"/>
    <x v="0"/>
  </r>
  <r>
    <x v="9"/>
    <x v="0"/>
    <x v="14"/>
    <n v="1205"/>
    <x v="1"/>
  </r>
  <r>
    <x v="9"/>
    <x v="0"/>
    <x v="22"/>
    <n v="2730"/>
    <x v="1"/>
  </r>
  <r>
    <x v="8"/>
    <x v="0"/>
    <x v="37"/>
    <n v="2747"/>
    <x v="1"/>
  </r>
  <r>
    <x v="9"/>
    <x v="0"/>
    <x v="35"/>
    <n v="2378"/>
    <x v="1"/>
  </r>
  <r>
    <x v="8"/>
    <x v="0"/>
    <x v="49"/>
    <n v="1292"/>
    <x v="1"/>
  </r>
  <r>
    <x v="9"/>
    <x v="0"/>
    <x v="31"/>
    <n v="3363"/>
    <x v="1"/>
  </r>
  <r>
    <x v="9"/>
    <x v="0"/>
    <x v="4"/>
    <n v="570"/>
    <x v="1"/>
  </r>
  <r>
    <x v="9"/>
    <x v="0"/>
    <x v="24"/>
    <n v="2557"/>
    <x v="1"/>
  </r>
  <r>
    <x v="9"/>
    <x v="0"/>
    <x v="56"/>
    <n v="8"/>
    <x v="0"/>
  </r>
  <r>
    <x v="9"/>
    <x v="0"/>
    <x v="43"/>
    <n v="1"/>
    <x v="0"/>
  </r>
  <r>
    <x v="8"/>
    <x v="0"/>
    <x v="22"/>
    <n v="2740"/>
    <x v="1"/>
  </r>
  <r>
    <x v="8"/>
    <x v="0"/>
    <x v="38"/>
    <n v="24"/>
    <x v="0"/>
  </r>
  <r>
    <x v="9"/>
    <x v="0"/>
    <x v="28"/>
    <n v="3179"/>
    <x v="1"/>
  </r>
  <r>
    <x v="8"/>
    <x v="0"/>
    <x v="4"/>
    <n v="643"/>
    <x v="1"/>
  </r>
  <r>
    <x v="9"/>
    <x v="0"/>
    <x v="40"/>
    <n v="4"/>
    <x v="0"/>
  </r>
  <r>
    <x v="8"/>
    <x v="0"/>
    <x v="47"/>
    <n v="7"/>
    <x v="0"/>
  </r>
  <r>
    <x v="8"/>
    <x v="0"/>
    <x v="7"/>
    <n v="1865"/>
    <x v="1"/>
  </r>
  <r>
    <x v="9"/>
    <x v="0"/>
    <x v="20"/>
    <n v="1545"/>
    <x v="1"/>
  </r>
  <r>
    <x v="9"/>
    <x v="0"/>
    <x v="34"/>
    <n v="1587"/>
    <x v="1"/>
  </r>
  <r>
    <x v="10"/>
    <x v="0"/>
    <x v="1"/>
    <n v="468"/>
    <x v="1"/>
  </r>
  <r>
    <x v="11"/>
    <x v="0"/>
    <x v="25"/>
    <n v="1"/>
    <x v="0"/>
  </r>
  <r>
    <x v="10"/>
    <x v="0"/>
    <x v="15"/>
    <n v="1"/>
    <x v="0"/>
  </r>
  <r>
    <x v="10"/>
    <x v="0"/>
    <x v="26"/>
    <n v="1178"/>
    <x v="1"/>
  </r>
  <r>
    <x v="11"/>
    <x v="0"/>
    <x v="32"/>
    <n v="1431"/>
    <x v="1"/>
  </r>
  <r>
    <x v="11"/>
    <x v="0"/>
    <x v="21"/>
    <n v="245"/>
    <x v="1"/>
  </r>
  <r>
    <x v="11"/>
    <x v="0"/>
    <x v="59"/>
    <n v="4"/>
    <x v="0"/>
  </r>
  <r>
    <x v="11"/>
    <x v="0"/>
    <x v="36"/>
    <n v="243"/>
    <x v="1"/>
  </r>
  <r>
    <x v="10"/>
    <x v="0"/>
    <x v="62"/>
    <n v="1"/>
    <x v="0"/>
  </r>
  <r>
    <x v="11"/>
    <x v="0"/>
    <x v="39"/>
    <n v="10"/>
    <x v="0"/>
  </r>
  <r>
    <x v="11"/>
    <x v="0"/>
    <x v="49"/>
    <n v="1806"/>
    <x v="1"/>
  </r>
  <r>
    <x v="11"/>
    <x v="0"/>
    <x v="38"/>
    <n v="3"/>
    <x v="0"/>
  </r>
  <r>
    <x v="11"/>
    <x v="0"/>
    <x v="20"/>
    <n v="1553"/>
    <x v="1"/>
  </r>
  <r>
    <x v="10"/>
    <x v="0"/>
    <x v="63"/>
    <n v="2626"/>
    <x v="1"/>
  </r>
  <r>
    <x v="10"/>
    <x v="0"/>
    <x v="10"/>
    <n v="6"/>
    <x v="0"/>
  </r>
  <r>
    <x v="11"/>
    <x v="0"/>
    <x v="14"/>
    <n v="1201"/>
    <x v="1"/>
  </r>
  <r>
    <x v="10"/>
    <x v="0"/>
    <x v="11"/>
    <n v="934"/>
    <x v="1"/>
  </r>
  <r>
    <x v="10"/>
    <x v="0"/>
    <x v="3"/>
    <n v="2388"/>
    <x v="1"/>
  </r>
  <r>
    <x v="11"/>
    <x v="0"/>
    <x v="4"/>
    <n v="580"/>
    <x v="1"/>
  </r>
  <r>
    <x v="10"/>
    <x v="0"/>
    <x v="29"/>
    <n v="2762"/>
    <x v="1"/>
  </r>
  <r>
    <x v="11"/>
    <x v="0"/>
    <x v="30"/>
    <n v="1514"/>
    <x v="1"/>
  </r>
  <r>
    <x v="11"/>
    <x v="0"/>
    <x v="6"/>
    <n v="10"/>
    <x v="0"/>
  </r>
  <r>
    <x v="11"/>
    <x v="0"/>
    <x v="27"/>
    <n v="2703"/>
    <x v="1"/>
  </r>
  <r>
    <x v="11"/>
    <x v="0"/>
    <x v="8"/>
    <n v="2545"/>
    <x v="1"/>
  </r>
  <r>
    <x v="10"/>
    <x v="0"/>
    <x v="56"/>
    <n v="7"/>
    <x v="0"/>
  </r>
  <r>
    <x v="11"/>
    <x v="0"/>
    <x v="40"/>
    <n v="4"/>
    <x v="0"/>
  </r>
  <r>
    <x v="10"/>
    <x v="0"/>
    <x v="34"/>
    <n v="1661"/>
    <x v="1"/>
  </r>
  <r>
    <x v="11"/>
    <x v="0"/>
    <x v="43"/>
    <n v="1"/>
    <x v="0"/>
  </r>
  <r>
    <x v="11"/>
    <x v="0"/>
    <x v="16"/>
    <n v="2"/>
    <x v="0"/>
  </r>
  <r>
    <x v="10"/>
    <x v="0"/>
    <x v="48"/>
    <n v="1"/>
    <x v="0"/>
  </r>
  <r>
    <x v="11"/>
    <x v="0"/>
    <x v="7"/>
    <n v="2104"/>
    <x v="1"/>
  </r>
  <r>
    <x v="11"/>
    <x v="0"/>
    <x v="42"/>
    <n v="1"/>
    <x v="0"/>
  </r>
  <r>
    <x v="10"/>
    <x v="0"/>
    <x v="23"/>
    <n v="2234"/>
    <x v="1"/>
  </r>
  <r>
    <x v="10"/>
    <x v="0"/>
    <x v="20"/>
    <n v="1564"/>
    <x v="1"/>
  </r>
  <r>
    <x v="11"/>
    <x v="0"/>
    <x v="18"/>
    <n v="546"/>
    <x v="1"/>
  </r>
  <r>
    <x v="10"/>
    <x v="0"/>
    <x v="16"/>
    <n v="1"/>
    <x v="0"/>
  </r>
  <r>
    <x v="11"/>
    <x v="0"/>
    <x v="15"/>
    <n v="3761"/>
    <x v="1"/>
  </r>
  <r>
    <x v="10"/>
    <x v="0"/>
    <x v="40"/>
    <n v="3"/>
    <x v="0"/>
  </r>
  <r>
    <x v="10"/>
    <x v="0"/>
    <x v="53"/>
    <n v="599"/>
    <x v="1"/>
  </r>
  <r>
    <x v="11"/>
    <x v="0"/>
    <x v="60"/>
    <n v="1"/>
    <x v="0"/>
  </r>
  <r>
    <x v="10"/>
    <x v="0"/>
    <x v="37"/>
    <n v="2746"/>
    <x v="1"/>
  </r>
  <r>
    <x v="10"/>
    <x v="0"/>
    <x v="54"/>
    <n v="72"/>
    <x v="0"/>
  </r>
  <r>
    <x v="10"/>
    <x v="0"/>
    <x v="8"/>
    <n v="2302"/>
    <x v="1"/>
  </r>
  <r>
    <x v="10"/>
    <x v="0"/>
    <x v="38"/>
    <n v="24"/>
    <x v="0"/>
  </r>
  <r>
    <x v="11"/>
    <x v="0"/>
    <x v="58"/>
    <n v="1"/>
    <x v="0"/>
  </r>
  <r>
    <x v="11"/>
    <x v="0"/>
    <x v="29"/>
    <n v="2779"/>
    <x v="1"/>
  </r>
  <r>
    <x v="11"/>
    <x v="0"/>
    <x v="37"/>
    <n v="2854"/>
    <x v="1"/>
  </r>
  <r>
    <x v="10"/>
    <x v="0"/>
    <x v="28"/>
    <n v="3003"/>
    <x v="1"/>
  </r>
  <r>
    <x v="11"/>
    <x v="0"/>
    <x v="11"/>
    <n v="927"/>
    <x v="1"/>
  </r>
  <r>
    <x v="10"/>
    <x v="0"/>
    <x v="52"/>
    <n v="1"/>
    <x v="0"/>
  </r>
  <r>
    <x v="11"/>
    <x v="0"/>
    <x v="2"/>
    <n v="1"/>
    <x v="0"/>
  </r>
  <r>
    <x v="11"/>
    <x v="0"/>
    <x v="17"/>
    <n v="1"/>
    <x v="0"/>
  </r>
  <r>
    <x v="10"/>
    <x v="0"/>
    <x v="51"/>
    <n v="496"/>
    <x v="1"/>
  </r>
  <r>
    <x v="11"/>
    <x v="0"/>
    <x v="10"/>
    <n v="11"/>
    <x v="0"/>
  </r>
  <r>
    <x v="10"/>
    <x v="0"/>
    <x v="44"/>
    <n v="97"/>
    <x v="0"/>
  </r>
  <r>
    <x v="11"/>
    <x v="0"/>
    <x v="56"/>
    <n v="8"/>
    <x v="0"/>
  </r>
  <r>
    <x v="10"/>
    <x v="0"/>
    <x v="33"/>
    <n v="569"/>
    <x v="1"/>
  </r>
  <r>
    <x v="10"/>
    <x v="0"/>
    <x v="17"/>
    <n v="1"/>
    <x v="0"/>
  </r>
  <r>
    <x v="10"/>
    <x v="0"/>
    <x v="59"/>
    <n v="3"/>
    <x v="0"/>
  </r>
  <r>
    <x v="11"/>
    <x v="0"/>
    <x v="55"/>
    <n v="1"/>
    <x v="0"/>
  </r>
  <r>
    <x v="11"/>
    <x v="0"/>
    <x v="35"/>
    <n v="2379"/>
    <x v="1"/>
  </r>
  <r>
    <x v="10"/>
    <x v="0"/>
    <x v="32"/>
    <n v="1343"/>
    <x v="1"/>
  </r>
  <r>
    <x v="11"/>
    <x v="0"/>
    <x v="9"/>
    <n v="2262"/>
    <x v="1"/>
  </r>
  <r>
    <x v="10"/>
    <x v="0"/>
    <x v="27"/>
    <n v="2673"/>
    <x v="1"/>
  </r>
  <r>
    <x v="11"/>
    <x v="0"/>
    <x v="57"/>
    <n v="1"/>
    <x v="0"/>
  </r>
  <r>
    <x v="11"/>
    <x v="0"/>
    <x v="1"/>
    <n v="440"/>
    <x v="1"/>
  </r>
  <r>
    <x v="10"/>
    <x v="0"/>
    <x v="9"/>
    <n v="4203"/>
    <x v="1"/>
  </r>
  <r>
    <x v="10"/>
    <x v="0"/>
    <x v="36"/>
    <n v="216"/>
    <x v="1"/>
  </r>
  <r>
    <x v="10"/>
    <x v="0"/>
    <x v="24"/>
    <n v="3048"/>
    <x v="1"/>
  </r>
  <r>
    <x v="11"/>
    <x v="0"/>
    <x v="23"/>
    <n v="2813"/>
    <x v="1"/>
  </r>
  <r>
    <x v="10"/>
    <x v="0"/>
    <x v="19"/>
    <n v="1274"/>
    <x v="1"/>
  </r>
  <r>
    <x v="10"/>
    <x v="0"/>
    <x v="18"/>
    <n v="554"/>
    <x v="1"/>
  </r>
  <r>
    <x v="11"/>
    <x v="0"/>
    <x v="24"/>
    <n v="2550"/>
    <x v="1"/>
  </r>
  <r>
    <x v="10"/>
    <x v="0"/>
    <x v="4"/>
    <n v="647"/>
    <x v="1"/>
  </r>
  <r>
    <x v="11"/>
    <x v="0"/>
    <x v="45"/>
    <n v="6"/>
    <x v="0"/>
  </r>
  <r>
    <x v="11"/>
    <x v="0"/>
    <x v="28"/>
    <n v="3184"/>
    <x v="1"/>
  </r>
  <r>
    <x v="11"/>
    <x v="0"/>
    <x v="12"/>
    <n v="15"/>
    <x v="0"/>
  </r>
  <r>
    <x v="10"/>
    <x v="0"/>
    <x v="64"/>
    <n v="1"/>
    <x v="0"/>
  </r>
  <r>
    <x v="10"/>
    <x v="0"/>
    <x v="35"/>
    <n v="2314"/>
    <x v="1"/>
  </r>
  <r>
    <x v="10"/>
    <x v="0"/>
    <x v="7"/>
    <n v="1860"/>
    <x v="1"/>
  </r>
  <r>
    <x v="11"/>
    <x v="0"/>
    <x v="26"/>
    <n v="1151"/>
    <x v="1"/>
  </r>
  <r>
    <x v="10"/>
    <x v="0"/>
    <x v="30"/>
    <n v="1620"/>
    <x v="1"/>
  </r>
  <r>
    <x v="11"/>
    <x v="0"/>
    <x v="46"/>
    <n v="1"/>
    <x v="0"/>
  </r>
  <r>
    <x v="11"/>
    <x v="0"/>
    <x v="0"/>
    <n v="69"/>
    <x v="0"/>
  </r>
  <r>
    <x v="10"/>
    <x v="0"/>
    <x v="57"/>
    <n v="1"/>
    <x v="0"/>
  </r>
  <r>
    <x v="11"/>
    <x v="0"/>
    <x v="5"/>
    <n v="3"/>
    <x v="0"/>
  </r>
  <r>
    <x v="10"/>
    <x v="0"/>
    <x v="46"/>
    <n v="2"/>
    <x v="0"/>
  </r>
  <r>
    <x v="11"/>
    <x v="0"/>
    <x v="3"/>
    <n v="3053"/>
    <x v="1"/>
  </r>
  <r>
    <x v="11"/>
    <x v="0"/>
    <x v="33"/>
    <n v="664"/>
    <x v="1"/>
  </r>
  <r>
    <x v="10"/>
    <x v="0"/>
    <x v="31"/>
    <n v="3060"/>
    <x v="1"/>
  </r>
  <r>
    <x v="10"/>
    <x v="0"/>
    <x v="47"/>
    <n v="7"/>
    <x v="0"/>
  </r>
  <r>
    <x v="11"/>
    <x v="0"/>
    <x v="41"/>
    <n v="1"/>
    <x v="0"/>
  </r>
  <r>
    <x v="10"/>
    <x v="0"/>
    <x v="5"/>
    <n v="2"/>
    <x v="0"/>
  </r>
  <r>
    <x v="10"/>
    <x v="0"/>
    <x v="60"/>
    <n v="1"/>
    <x v="0"/>
  </r>
  <r>
    <x v="11"/>
    <x v="0"/>
    <x v="22"/>
    <n v="2746"/>
    <x v="1"/>
  </r>
  <r>
    <x v="10"/>
    <x v="0"/>
    <x v="21"/>
    <n v="246"/>
    <x v="1"/>
  </r>
  <r>
    <x v="10"/>
    <x v="0"/>
    <x v="14"/>
    <n v="1112"/>
    <x v="1"/>
  </r>
  <r>
    <x v="10"/>
    <x v="0"/>
    <x v="42"/>
    <n v="1"/>
    <x v="0"/>
  </r>
  <r>
    <x v="11"/>
    <x v="0"/>
    <x v="31"/>
    <n v="3365"/>
    <x v="1"/>
  </r>
  <r>
    <x v="10"/>
    <x v="0"/>
    <x v="39"/>
    <n v="1840"/>
    <x v="1"/>
  </r>
  <r>
    <x v="10"/>
    <x v="0"/>
    <x v="49"/>
    <n v="1184"/>
    <x v="1"/>
  </r>
  <r>
    <x v="11"/>
    <x v="0"/>
    <x v="65"/>
    <n v="1228"/>
    <x v="1"/>
  </r>
  <r>
    <x v="10"/>
    <x v="0"/>
    <x v="6"/>
    <n v="9"/>
    <x v="0"/>
  </r>
  <r>
    <x v="11"/>
    <x v="0"/>
    <x v="44"/>
    <n v="25"/>
    <x v="0"/>
  </r>
  <r>
    <x v="11"/>
    <x v="0"/>
    <x v="34"/>
    <n v="1605"/>
    <x v="1"/>
  </r>
  <r>
    <x v="11"/>
    <x v="0"/>
    <x v="19"/>
    <n v="1350"/>
    <x v="1"/>
  </r>
  <r>
    <x v="12"/>
    <x v="0"/>
    <x v="44"/>
    <n v="34"/>
    <x v="0"/>
  </r>
  <r>
    <x v="12"/>
    <x v="0"/>
    <x v="20"/>
    <n v="1562"/>
    <x v="1"/>
  </r>
  <r>
    <x v="12"/>
    <x v="0"/>
    <x v="10"/>
    <n v="8"/>
    <x v="0"/>
  </r>
  <r>
    <x v="13"/>
    <x v="0"/>
    <x v="46"/>
    <n v="3"/>
    <x v="0"/>
  </r>
  <r>
    <x v="13"/>
    <x v="0"/>
    <x v="9"/>
    <n v="2212"/>
    <x v="1"/>
  </r>
  <r>
    <x v="13"/>
    <x v="0"/>
    <x v="53"/>
    <n v="598"/>
    <x v="1"/>
  </r>
  <r>
    <x v="12"/>
    <x v="0"/>
    <x v="55"/>
    <n v="1"/>
    <x v="0"/>
  </r>
  <r>
    <x v="12"/>
    <x v="0"/>
    <x v="12"/>
    <n v="15"/>
    <x v="0"/>
  </r>
  <r>
    <x v="12"/>
    <x v="0"/>
    <x v="65"/>
    <n v="1234"/>
    <x v="1"/>
  </r>
  <r>
    <x v="13"/>
    <x v="0"/>
    <x v="49"/>
    <n v="1177"/>
    <x v="1"/>
  </r>
  <r>
    <x v="13"/>
    <x v="0"/>
    <x v="30"/>
    <n v="1618"/>
    <x v="1"/>
  </r>
  <r>
    <x v="12"/>
    <x v="0"/>
    <x v="28"/>
    <n v="3153"/>
    <x v="1"/>
  </r>
  <r>
    <x v="13"/>
    <x v="0"/>
    <x v="20"/>
    <n v="1596"/>
    <x v="1"/>
  </r>
  <r>
    <x v="13"/>
    <x v="0"/>
    <x v="8"/>
    <n v="2296"/>
    <x v="1"/>
  </r>
  <r>
    <x v="13"/>
    <x v="0"/>
    <x v="66"/>
    <n v="2675"/>
    <x v="1"/>
  </r>
  <r>
    <x v="13"/>
    <x v="0"/>
    <x v="17"/>
    <n v="1"/>
    <x v="0"/>
  </r>
  <r>
    <x v="13"/>
    <x v="0"/>
    <x v="64"/>
    <n v="1"/>
    <x v="0"/>
  </r>
  <r>
    <x v="12"/>
    <x v="0"/>
    <x v="4"/>
    <n v="575"/>
    <x v="1"/>
  </r>
  <r>
    <x v="13"/>
    <x v="0"/>
    <x v="3"/>
    <n v="2399"/>
    <x v="1"/>
  </r>
  <r>
    <x v="13"/>
    <x v="0"/>
    <x v="11"/>
    <n v="938"/>
    <x v="1"/>
  </r>
  <r>
    <x v="13"/>
    <x v="0"/>
    <x v="32"/>
    <n v="1351"/>
    <x v="1"/>
  </r>
  <r>
    <x v="12"/>
    <x v="0"/>
    <x v="35"/>
    <n v="2371"/>
    <x v="1"/>
  </r>
  <r>
    <x v="12"/>
    <x v="0"/>
    <x v="58"/>
    <n v="1"/>
    <x v="0"/>
  </r>
  <r>
    <x v="13"/>
    <x v="0"/>
    <x v="4"/>
    <n v="653"/>
    <x v="1"/>
  </r>
  <r>
    <x v="12"/>
    <x v="0"/>
    <x v="49"/>
    <n v="1802"/>
    <x v="1"/>
  </r>
  <r>
    <x v="12"/>
    <x v="0"/>
    <x v="5"/>
    <n v="3"/>
    <x v="0"/>
  </r>
  <r>
    <x v="12"/>
    <x v="0"/>
    <x v="7"/>
    <n v="2074"/>
    <x v="1"/>
  </r>
  <r>
    <x v="12"/>
    <x v="0"/>
    <x v="15"/>
    <n v="3781"/>
    <x v="1"/>
  </r>
  <r>
    <x v="13"/>
    <x v="0"/>
    <x v="28"/>
    <n v="3001"/>
    <x v="1"/>
  </r>
  <r>
    <x v="13"/>
    <x v="0"/>
    <x v="23"/>
    <n v="2236"/>
    <x v="1"/>
  </r>
  <r>
    <x v="12"/>
    <x v="0"/>
    <x v="21"/>
    <n v="246"/>
    <x v="1"/>
  </r>
  <r>
    <x v="13"/>
    <x v="0"/>
    <x v="63"/>
    <n v="2651"/>
    <x v="1"/>
  </r>
  <r>
    <x v="13"/>
    <x v="0"/>
    <x v="38"/>
    <n v="24"/>
    <x v="0"/>
  </r>
  <r>
    <x v="13"/>
    <x v="0"/>
    <x v="61"/>
    <n v="1"/>
    <x v="0"/>
  </r>
  <r>
    <x v="13"/>
    <x v="0"/>
    <x v="39"/>
    <n v="1837"/>
    <x v="1"/>
  </r>
  <r>
    <x v="13"/>
    <x v="0"/>
    <x v="26"/>
    <n v="1185"/>
    <x v="1"/>
  </r>
  <r>
    <x v="12"/>
    <x v="0"/>
    <x v="25"/>
    <n v="1"/>
    <x v="0"/>
  </r>
  <r>
    <x v="12"/>
    <x v="0"/>
    <x v="46"/>
    <n v="1"/>
    <x v="0"/>
  </r>
  <r>
    <x v="13"/>
    <x v="0"/>
    <x v="42"/>
    <n v="1"/>
    <x v="0"/>
  </r>
  <r>
    <x v="12"/>
    <x v="0"/>
    <x v="43"/>
    <n v="1"/>
    <x v="0"/>
  </r>
  <r>
    <x v="12"/>
    <x v="0"/>
    <x v="30"/>
    <n v="1519"/>
    <x v="1"/>
  </r>
  <r>
    <x v="12"/>
    <x v="0"/>
    <x v="22"/>
    <n v="2744"/>
    <x v="1"/>
  </r>
  <r>
    <x v="12"/>
    <x v="0"/>
    <x v="1"/>
    <n v="440"/>
    <x v="1"/>
  </r>
  <r>
    <x v="12"/>
    <x v="0"/>
    <x v="45"/>
    <n v="6"/>
    <x v="0"/>
  </r>
  <r>
    <x v="12"/>
    <x v="0"/>
    <x v="27"/>
    <n v="2714"/>
    <x v="1"/>
  </r>
  <r>
    <x v="13"/>
    <x v="0"/>
    <x v="52"/>
    <n v="1"/>
    <x v="0"/>
  </r>
  <r>
    <x v="12"/>
    <x v="0"/>
    <x v="3"/>
    <n v="2885"/>
    <x v="1"/>
  </r>
  <r>
    <x v="13"/>
    <x v="0"/>
    <x v="21"/>
    <n v="246"/>
    <x v="1"/>
  </r>
  <r>
    <x v="13"/>
    <x v="0"/>
    <x v="60"/>
    <n v="2"/>
    <x v="0"/>
  </r>
  <r>
    <x v="13"/>
    <x v="0"/>
    <x v="24"/>
    <n v="5019"/>
    <x v="1"/>
  </r>
  <r>
    <x v="13"/>
    <x v="0"/>
    <x v="29"/>
    <n v="2797"/>
    <x v="1"/>
  </r>
  <r>
    <x v="13"/>
    <x v="0"/>
    <x v="15"/>
    <n v="1"/>
    <x v="0"/>
  </r>
  <r>
    <x v="12"/>
    <x v="0"/>
    <x v="60"/>
    <n v="1"/>
    <x v="0"/>
  </r>
  <r>
    <x v="13"/>
    <x v="0"/>
    <x v="51"/>
    <n v="500"/>
    <x v="1"/>
  </r>
  <r>
    <x v="12"/>
    <x v="0"/>
    <x v="36"/>
    <n v="240"/>
    <x v="1"/>
  </r>
  <r>
    <x v="13"/>
    <x v="0"/>
    <x v="36"/>
    <n v="216"/>
    <x v="1"/>
  </r>
  <r>
    <x v="13"/>
    <x v="0"/>
    <x v="37"/>
    <n v="2744"/>
    <x v="1"/>
  </r>
  <r>
    <x v="12"/>
    <x v="0"/>
    <x v="9"/>
    <n v="2226"/>
    <x v="1"/>
  </r>
  <r>
    <x v="12"/>
    <x v="0"/>
    <x v="16"/>
    <n v="2"/>
    <x v="0"/>
  </r>
  <r>
    <x v="13"/>
    <x v="0"/>
    <x v="54"/>
    <n v="72"/>
    <x v="0"/>
  </r>
  <r>
    <x v="13"/>
    <x v="0"/>
    <x v="6"/>
    <n v="9"/>
    <x v="0"/>
  </r>
  <r>
    <x v="13"/>
    <x v="0"/>
    <x v="31"/>
    <n v="3054"/>
    <x v="1"/>
  </r>
  <r>
    <x v="12"/>
    <x v="0"/>
    <x v="34"/>
    <n v="1605"/>
    <x v="1"/>
  </r>
  <r>
    <x v="13"/>
    <x v="0"/>
    <x v="48"/>
    <n v="1"/>
    <x v="0"/>
  </r>
  <r>
    <x v="13"/>
    <x v="0"/>
    <x v="10"/>
    <n v="6"/>
    <x v="0"/>
  </r>
  <r>
    <x v="12"/>
    <x v="0"/>
    <x v="41"/>
    <n v="1"/>
    <x v="0"/>
  </r>
  <r>
    <x v="13"/>
    <x v="0"/>
    <x v="44"/>
    <n v="108"/>
    <x v="1"/>
  </r>
  <r>
    <x v="12"/>
    <x v="0"/>
    <x v="33"/>
    <n v="666"/>
    <x v="1"/>
  </r>
  <r>
    <x v="13"/>
    <x v="0"/>
    <x v="19"/>
    <n v="1281"/>
    <x v="1"/>
  </r>
  <r>
    <x v="13"/>
    <x v="0"/>
    <x v="18"/>
    <n v="561"/>
    <x v="1"/>
  </r>
  <r>
    <x v="12"/>
    <x v="0"/>
    <x v="18"/>
    <n v="546"/>
    <x v="1"/>
  </r>
  <r>
    <x v="13"/>
    <x v="0"/>
    <x v="16"/>
    <n v="1"/>
    <x v="0"/>
  </r>
  <r>
    <x v="12"/>
    <x v="0"/>
    <x v="24"/>
    <n v="2487"/>
    <x v="1"/>
  </r>
  <r>
    <x v="12"/>
    <x v="0"/>
    <x v="8"/>
    <n v="2504"/>
    <x v="1"/>
  </r>
  <r>
    <x v="12"/>
    <x v="0"/>
    <x v="11"/>
    <n v="933"/>
    <x v="1"/>
  </r>
  <r>
    <x v="12"/>
    <x v="0"/>
    <x v="57"/>
    <n v="1"/>
    <x v="0"/>
  </r>
  <r>
    <x v="12"/>
    <x v="0"/>
    <x v="23"/>
    <n v="2647"/>
    <x v="1"/>
  </r>
  <r>
    <x v="12"/>
    <x v="0"/>
    <x v="59"/>
    <n v="4"/>
    <x v="0"/>
  </r>
  <r>
    <x v="12"/>
    <x v="0"/>
    <x v="17"/>
    <n v="1"/>
    <x v="0"/>
  </r>
  <r>
    <x v="12"/>
    <x v="0"/>
    <x v="26"/>
    <n v="1152"/>
    <x v="1"/>
  </r>
  <r>
    <x v="13"/>
    <x v="0"/>
    <x v="47"/>
    <n v="7"/>
    <x v="0"/>
  </r>
  <r>
    <x v="12"/>
    <x v="0"/>
    <x v="31"/>
    <n v="3313"/>
    <x v="1"/>
  </r>
  <r>
    <x v="13"/>
    <x v="0"/>
    <x v="5"/>
    <n v="2"/>
    <x v="0"/>
  </r>
  <r>
    <x v="12"/>
    <x v="0"/>
    <x v="32"/>
    <n v="1425"/>
    <x v="1"/>
  </r>
  <r>
    <x v="13"/>
    <x v="0"/>
    <x v="67"/>
    <n v="2319"/>
    <x v="1"/>
  </r>
  <r>
    <x v="13"/>
    <x v="0"/>
    <x v="59"/>
    <n v="3"/>
    <x v="0"/>
  </r>
  <r>
    <x v="12"/>
    <x v="0"/>
    <x v="38"/>
    <n v="3"/>
    <x v="0"/>
  </r>
  <r>
    <x v="13"/>
    <x v="0"/>
    <x v="56"/>
    <n v="7"/>
    <x v="0"/>
  </r>
  <r>
    <x v="13"/>
    <x v="0"/>
    <x v="1"/>
    <n v="476"/>
    <x v="1"/>
  </r>
  <r>
    <x v="12"/>
    <x v="0"/>
    <x v="2"/>
    <n v="1"/>
    <x v="0"/>
  </r>
  <r>
    <x v="12"/>
    <x v="0"/>
    <x v="42"/>
    <n v="1"/>
    <x v="0"/>
  </r>
  <r>
    <x v="12"/>
    <x v="0"/>
    <x v="40"/>
    <n v="4"/>
    <x v="0"/>
  </r>
  <r>
    <x v="13"/>
    <x v="0"/>
    <x v="40"/>
    <n v="3"/>
    <x v="0"/>
  </r>
  <r>
    <x v="12"/>
    <x v="0"/>
    <x v="29"/>
    <n v="2707"/>
    <x v="1"/>
  </r>
  <r>
    <x v="12"/>
    <x v="0"/>
    <x v="14"/>
    <n v="1194"/>
    <x v="1"/>
  </r>
  <r>
    <x v="12"/>
    <x v="0"/>
    <x v="56"/>
    <n v="8"/>
    <x v="0"/>
  </r>
  <r>
    <x v="13"/>
    <x v="0"/>
    <x v="7"/>
    <n v="1855"/>
    <x v="1"/>
  </r>
  <r>
    <x v="12"/>
    <x v="0"/>
    <x v="39"/>
    <n v="12"/>
    <x v="0"/>
  </r>
  <r>
    <x v="12"/>
    <x v="0"/>
    <x v="0"/>
    <n v="69"/>
    <x v="0"/>
  </r>
  <r>
    <x v="12"/>
    <x v="0"/>
    <x v="19"/>
    <n v="1340"/>
    <x v="1"/>
  </r>
  <r>
    <x v="12"/>
    <x v="0"/>
    <x v="37"/>
    <n v="2850"/>
    <x v="1"/>
  </r>
  <r>
    <x v="13"/>
    <x v="0"/>
    <x v="57"/>
    <n v="1"/>
    <x v="0"/>
  </r>
  <r>
    <x v="13"/>
    <x v="0"/>
    <x v="33"/>
    <n v="602"/>
    <x v="1"/>
  </r>
  <r>
    <x v="13"/>
    <x v="0"/>
    <x v="34"/>
    <n v="1707"/>
    <x v="1"/>
  </r>
  <r>
    <x v="12"/>
    <x v="0"/>
    <x v="6"/>
    <n v="10"/>
    <x v="0"/>
  </r>
  <r>
    <x v="13"/>
    <x v="0"/>
    <x v="14"/>
    <n v="1114"/>
    <x v="1"/>
  </r>
  <r>
    <x v="13"/>
    <x v="0"/>
    <x v="62"/>
    <n v="1"/>
    <x v="0"/>
  </r>
  <r>
    <x v="14"/>
    <x v="0"/>
    <x v="18"/>
    <n v="568"/>
    <x v="1"/>
  </r>
  <r>
    <x v="14"/>
    <x v="0"/>
    <x v="10"/>
    <n v="6"/>
    <x v="0"/>
  </r>
  <r>
    <x v="14"/>
    <x v="0"/>
    <x v="16"/>
    <n v="1"/>
    <x v="0"/>
  </r>
  <r>
    <x v="14"/>
    <x v="0"/>
    <x v="26"/>
    <n v="1197"/>
    <x v="1"/>
  </r>
  <r>
    <x v="15"/>
    <x v="0"/>
    <x v="31"/>
    <n v="3257"/>
    <x v="1"/>
  </r>
  <r>
    <x v="15"/>
    <x v="0"/>
    <x v="25"/>
    <n v="2"/>
    <x v="0"/>
  </r>
  <r>
    <x v="14"/>
    <x v="0"/>
    <x v="38"/>
    <n v="24"/>
    <x v="0"/>
  </r>
  <r>
    <x v="14"/>
    <x v="0"/>
    <x v="28"/>
    <n v="3017"/>
    <x v="1"/>
  </r>
  <r>
    <x v="15"/>
    <x v="0"/>
    <x v="26"/>
    <n v="1152"/>
    <x v="1"/>
  </r>
  <r>
    <x v="14"/>
    <x v="0"/>
    <x v="63"/>
    <n v="2659"/>
    <x v="1"/>
  </r>
  <r>
    <x v="14"/>
    <x v="0"/>
    <x v="7"/>
    <n v="1852"/>
    <x v="1"/>
  </r>
  <r>
    <x v="15"/>
    <x v="0"/>
    <x v="30"/>
    <n v="1518"/>
    <x v="1"/>
  </r>
  <r>
    <x v="14"/>
    <x v="0"/>
    <x v="30"/>
    <n v="1624"/>
    <x v="1"/>
  </r>
  <r>
    <x v="15"/>
    <x v="0"/>
    <x v="39"/>
    <n v="12"/>
    <x v="0"/>
  </r>
  <r>
    <x v="14"/>
    <x v="0"/>
    <x v="6"/>
    <n v="9"/>
    <x v="0"/>
  </r>
  <r>
    <x v="14"/>
    <x v="0"/>
    <x v="36"/>
    <n v="215"/>
    <x v="1"/>
  </r>
  <r>
    <x v="14"/>
    <x v="0"/>
    <x v="53"/>
    <n v="595"/>
    <x v="1"/>
  </r>
  <r>
    <x v="14"/>
    <x v="0"/>
    <x v="66"/>
    <n v="2707"/>
    <x v="1"/>
  </r>
  <r>
    <x v="14"/>
    <x v="0"/>
    <x v="5"/>
    <n v="1"/>
    <x v="0"/>
  </r>
  <r>
    <x v="14"/>
    <x v="0"/>
    <x v="54"/>
    <n v="72"/>
    <x v="0"/>
  </r>
  <r>
    <x v="15"/>
    <x v="0"/>
    <x v="18"/>
    <n v="553"/>
    <x v="1"/>
  </r>
  <r>
    <x v="15"/>
    <x v="0"/>
    <x v="19"/>
    <n v="1327"/>
    <x v="1"/>
  </r>
  <r>
    <x v="14"/>
    <x v="0"/>
    <x v="44"/>
    <n v="111"/>
    <x v="1"/>
  </r>
  <r>
    <x v="14"/>
    <x v="0"/>
    <x v="64"/>
    <n v="1"/>
    <x v="0"/>
  </r>
  <r>
    <x v="14"/>
    <x v="0"/>
    <x v="46"/>
    <n v="3"/>
    <x v="0"/>
  </r>
  <r>
    <x v="14"/>
    <x v="0"/>
    <x v="33"/>
    <n v="616"/>
    <x v="1"/>
  </r>
  <r>
    <x v="15"/>
    <x v="0"/>
    <x v="20"/>
    <n v="1561"/>
    <x v="1"/>
  </r>
  <r>
    <x v="15"/>
    <x v="0"/>
    <x v="10"/>
    <n v="9"/>
    <x v="0"/>
  </r>
  <r>
    <x v="14"/>
    <x v="0"/>
    <x v="58"/>
    <n v="1"/>
    <x v="0"/>
  </r>
  <r>
    <x v="15"/>
    <x v="0"/>
    <x v="14"/>
    <n v="1191"/>
    <x v="1"/>
  </r>
  <r>
    <x v="14"/>
    <x v="0"/>
    <x v="3"/>
    <n v="2410"/>
    <x v="1"/>
  </r>
  <r>
    <x v="15"/>
    <x v="0"/>
    <x v="7"/>
    <n v="1989"/>
    <x v="1"/>
  </r>
  <r>
    <x v="14"/>
    <x v="0"/>
    <x v="47"/>
    <n v="7"/>
    <x v="0"/>
  </r>
  <r>
    <x v="15"/>
    <x v="0"/>
    <x v="43"/>
    <n v="1"/>
    <x v="0"/>
  </r>
  <r>
    <x v="14"/>
    <x v="0"/>
    <x v="19"/>
    <n v="1283"/>
    <x v="1"/>
  </r>
  <r>
    <x v="14"/>
    <x v="0"/>
    <x v="29"/>
    <n v="2819"/>
    <x v="1"/>
  </r>
  <r>
    <x v="15"/>
    <x v="0"/>
    <x v="46"/>
    <n v="1"/>
    <x v="0"/>
  </r>
  <r>
    <x v="14"/>
    <x v="0"/>
    <x v="61"/>
    <n v="1"/>
    <x v="0"/>
  </r>
  <r>
    <x v="15"/>
    <x v="0"/>
    <x v="4"/>
    <n v="581"/>
    <x v="1"/>
  </r>
  <r>
    <x v="15"/>
    <x v="0"/>
    <x v="49"/>
    <n v="1793"/>
    <x v="1"/>
  </r>
  <r>
    <x v="14"/>
    <x v="0"/>
    <x v="42"/>
    <n v="1"/>
    <x v="0"/>
  </r>
  <r>
    <x v="14"/>
    <x v="0"/>
    <x v="23"/>
    <n v="2245"/>
    <x v="1"/>
  </r>
  <r>
    <x v="14"/>
    <x v="0"/>
    <x v="21"/>
    <n v="245"/>
    <x v="1"/>
  </r>
  <r>
    <x v="14"/>
    <x v="0"/>
    <x v="34"/>
    <n v="1725"/>
    <x v="1"/>
  </r>
  <r>
    <x v="14"/>
    <x v="0"/>
    <x v="49"/>
    <n v="1173"/>
    <x v="1"/>
  </r>
  <r>
    <x v="15"/>
    <x v="0"/>
    <x v="3"/>
    <n v="2727"/>
    <x v="1"/>
  </r>
  <r>
    <x v="14"/>
    <x v="0"/>
    <x v="39"/>
    <n v="1832"/>
    <x v="1"/>
  </r>
  <r>
    <x v="14"/>
    <x v="0"/>
    <x v="52"/>
    <n v="1"/>
    <x v="0"/>
  </r>
  <r>
    <x v="14"/>
    <x v="0"/>
    <x v="37"/>
    <n v="2755"/>
    <x v="1"/>
  </r>
  <r>
    <x v="14"/>
    <x v="0"/>
    <x v="35"/>
    <n v="1"/>
    <x v="0"/>
  </r>
  <r>
    <x v="15"/>
    <x v="0"/>
    <x v="8"/>
    <n v="2484"/>
    <x v="1"/>
  </r>
  <r>
    <x v="15"/>
    <x v="0"/>
    <x v="28"/>
    <n v="3104"/>
    <x v="1"/>
  </r>
  <r>
    <x v="15"/>
    <x v="0"/>
    <x v="1"/>
    <n v="443"/>
    <x v="1"/>
  </r>
  <r>
    <x v="15"/>
    <x v="0"/>
    <x v="34"/>
    <n v="1601"/>
    <x v="1"/>
  </r>
  <r>
    <x v="14"/>
    <x v="0"/>
    <x v="32"/>
    <n v="1366"/>
    <x v="1"/>
  </r>
  <r>
    <x v="15"/>
    <x v="0"/>
    <x v="32"/>
    <n v="1421"/>
    <x v="1"/>
  </r>
  <r>
    <x v="15"/>
    <x v="0"/>
    <x v="6"/>
    <n v="10"/>
    <x v="0"/>
  </r>
  <r>
    <x v="14"/>
    <x v="0"/>
    <x v="31"/>
    <n v="3054"/>
    <x v="1"/>
  </r>
  <r>
    <x v="14"/>
    <x v="0"/>
    <x v="59"/>
    <n v="3"/>
    <x v="0"/>
  </r>
  <r>
    <x v="15"/>
    <x v="0"/>
    <x v="16"/>
    <n v="2"/>
    <x v="0"/>
  </r>
  <r>
    <x v="15"/>
    <x v="0"/>
    <x v="9"/>
    <n v="2185"/>
    <x v="1"/>
  </r>
  <r>
    <x v="14"/>
    <x v="0"/>
    <x v="14"/>
    <n v="1113"/>
    <x v="1"/>
  </r>
  <r>
    <x v="15"/>
    <x v="0"/>
    <x v="23"/>
    <n v="2448"/>
    <x v="1"/>
  </r>
  <r>
    <x v="15"/>
    <x v="0"/>
    <x v="24"/>
    <n v="2420"/>
    <x v="1"/>
  </r>
  <r>
    <x v="15"/>
    <x v="0"/>
    <x v="38"/>
    <n v="3"/>
    <x v="0"/>
  </r>
  <r>
    <x v="15"/>
    <x v="0"/>
    <x v="27"/>
    <n v="2721"/>
    <x v="1"/>
  </r>
  <r>
    <x v="14"/>
    <x v="0"/>
    <x v="51"/>
    <n v="496"/>
    <x v="1"/>
  </r>
  <r>
    <x v="15"/>
    <x v="0"/>
    <x v="5"/>
    <n v="3"/>
    <x v="0"/>
  </r>
  <r>
    <x v="15"/>
    <x v="0"/>
    <x v="36"/>
    <n v="239"/>
    <x v="1"/>
  </r>
  <r>
    <x v="14"/>
    <x v="0"/>
    <x v="56"/>
    <n v="7"/>
    <x v="0"/>
  </r>
  <r>
    <x v="15"/>
    <x v="0"/>
    <x v="37"/>
    <n v="2830"/>
    <x v="1"/>
  </r>
  <r>
    <x v="15"/>
    <x v="0"/>
    <x v="40"/>
    <n v="3"/>
    <x v="0"/>
  </r>
  <r>
    <x v="14"/>
    <x v="0"/>
    <x v="40"/>
    <n v="3"/>
    <x v="0"/>
  </r>
  <r>
    <x v="15"/>
    <x v="0"/>
    <x v="21"/>
    <n v="245"/>
    <x v="1"/>
  </r>
  <r>
    <x v="15"/>
    <x v="0"/>
    <x v="58"/>
    <n v="1"/>
    <x v="0"/>
  </r>
  <r>
    <x v="14"/>
    <x v="0"/>
    <x v="67"/>
    <n v="2308"/>
    <x v="1"/>
  </r>
  <r>
    <x v="15"/>
    <x v="0"/>
    <x v="59"/>
    <n v="4"/>
    <x v="0"/>
  </r>
  <r>
    <x v="15"/>
    <x v="0"/>
    <x v="22"/>
    <n v="2730"/>
    <x v="1"/>
  </r>
  <r>
    <x v="15"/>
    <x v="0"/>
    <x v="2"/>
    <n v="1"/>
    <x v="0"/>
  </r>
  <r>
    <x v="14"/>
    <x v="0"/>
    <x v="1"/>
    <n v="485"/>
    <x v="1"/>
  </r>
  <r>
    <x v="14"/>
    <x v="0"/>
    <x v="11"/>
    <n v="954"/>
    <x v="1"/>
  </r>
  <r>
    <x v="15"/>
    <x v="0"/>
    <x v="65"/>
    <n v="1229"/>
    <x v="1"/>
  </r>
  <r>
    <x v="14"/>
    <x v="0"/>
    <x v="60"/>
    <n v="2"/>
    <x v="0"/>
  </r>
  <r>
    <x v="14"/>
    <x v="0"/>
    <x v="57"/>
    <n v="1"/>
    <x v="0"/>
  </r>
  <r>
    <x v="15"/>
    <x v="0"/>
    <x v="57"/>
    <n v="1"/>
    <x v="0"/>
  </r>
  <r>
    <x v="14"/>
    <x v="0"/>
    <x v="62"/>
    <n v="1"/>
    <x v="0"/>
  </r>
  <r>
    <x v="15"/>
    <x v="0"/>
    <x v="60"/>
    <n v="2"/>
    <x v="0"/>
  </r>
  <r>
    <x v="15"/>
    <x v="0"/>
    <x v="45"/>
    <n v="6"/>
    <x v="0"/>
  </r>
  <r>
    <x v="14"/>
    <x v="0"/>
    <x v="24"/>
    <n v="5084"/>
    <x v="1"/>
  </r>
  <r>
    <x v="14"/>
    <x v="0"/>
    <x v="8"/>
    <n v="2299"/>
    <x v="1"/>
  </r>
  <r>
    <x v="15"/>
    <x v="0"/>
    <x v="55"/>
    <n v="1"/>
    <x v="0"/>
  </r>
  <r>
    <x v="15"/>
    <x v="0"/>
    <x v="12"/>
    <n v="15"/>
    <x v="0"/>
  </r>
  <r>
    <x v="14"/>
    <x v="0"/>
    <x v="15"/>
    <n v="10"/>
    <x v="0"/>
  </r>
  <r>
    <x v="15"/>
    <x v="0"/>
    <x v="56"/>
    <n v="8"/>
    <x v="0"/>
  </r>
  <r>
    <x v="15"/>
    <x v="0"/>
    <x v="44"/>
    <n v="42"/>
    <x v="0"/>
  </r>
  <r>
    <x v="15"/>
    <x v="0"/>
    <x v="42"/>
    <n v="1"/>
    <x v="0"/>
  </r>
  <r>
    <x v="15"/>
    <x v="0"/>
    <x v="15"/>
    <n v="3790"/>
    <x v="1"/>
  </r>
  <r>
    <x v="15"/>
    <x v="0"/>
    <x v="17"/>
    <n v="1"/>
    <x v="0"/>
  </r>
  <r>
    <x v="15"/>
    <x v="0"/>
    <x v="33"/>
    <n v="664"/>
    <x v="1"/>
  </r>
  <r>
    <x v="15"/>
    <x v="0"/>
    <x v="29"/>
    <n v="2664"/>
    <x v="1"/>
  </r>
  <r>
    <x v="15"/>
    <x v="0"/>
    <x v="11"/>
    <n v="940"/>
    <x v="1"/>
  </r>
  <r>
    <x v="15"/>
    <x v="0"/>
    <x v="35"/>
    <n v="2353"/>
    <x v="1"/>
  </r>
  <r>
    <x v="15"/>
    <x v="0"/>
    <x v="0"/>
    <n v="70"/>
    <x v="0"/>
  </r>
  <r>
    <x v="14"/>
    <x v="0"/>
    <x v="20"/>
    <n v="1613"/>
    <x v="1"/>
  </r>
  <r>
    <x v="14"/>
    <x v="0"/>
    <x v="4"/>
    <n v="651"/>
    <x v="1"/>
  </r>
  <r>
    <x v="14"/>
    <x v="0"/>
    <x v="9"/>
    <n v="2226"/>
    <x v="1"/>
  </r>
  <r>
    <x v="16"/>
    <x v="0"/>
    <x v="23"/>
    <n v="2250"/>
    <x v="1"/>
  </r>
  <r>
    <x v="17"/>
    <x v="0"/>
    <x v="9"/>
    <n v="2226"/>
    <x v="1"/>
  </r>
  <r>
    <x v="17"/>
    <x v="0"/>
    <x v="63"/>
    <n v="2658"/>
    <x v="1"/>
  </r>
  <r>
    <x v="16"/>
    <x v="0"/>
    <x v="19"/>
    <n v="1287"/>
    <x v="1"/>
  </r>
  <r>
    <x v="17"/>
    <x v="0"/>
    <x v="20"/>
    <n v="1627"/>
    <x v="1"/>
  </r>
  <r>
    <x v="17"/>
    <x v="0"/>
    <x v="37"/>
    <n v="2757"/>
    <x v="1"/>
  </r>
  <r>
    <x v="16"/>
    <x v="0"/>
    <x v="32"/>
    <n v="1394"/>
    <x v="1"/>
  </r>
  <r>
    <x v="16"/>
    <x v="0"/>
    <x v="6"/>
    <n v="10"/>
    <x v="0"/>
  </r>
  <r>
    <x v="16"/>
    <x v="0"/>
    <x v="28"/>
    <n v="2988"/>
    <x v="1"/>
  </r>
  <r>
    <x v="16"/>
    <x v="0"/>
    <x v="14"/>
    <n v="1158"/>
    <x v="1"/>
  </r>
  <r>
    <x v="16"/>
    <x v="0"/>
    <x v="43"/>
    <n v="1"/>
    <x v="0"/>
  </r>
  <r>
    <x v="17"/>
    <x v="0"/>
    <x v="21"/>
    <n v="245"/>
    <x v="1"/>
  </r>
  <r>
    <x v="17"/>
    <x v="0"/>
    <x v="64"/>
    <n v="1"/>
    <x v="0"/>
  </r>
  <r>
    <x v="16"/>
    <x v="0"/>
    <x v="31"/>
    <n v="3094"/>
    <x v="1"/>
  </r>
  <r>
    <x v="17"/>
    <x v="0"/>
    <x v="23"/>
    <n v="2256"/>
    <x v="1"/>
  </r>
  <r>
    <x v="16"/>
    <x v="0"/>
    <x v="12"/>
    <n v="15"/>
    <x v="0"/>
  </r>
  <r>
    <x v="16"/>
    <x v="0"/>
    <x v="1"/>
    <n v="460"/>
    <x v="1"/>
  </r>
  <r>
    <x v="17"/>
    <x v="0"/>
    <x v="51"/>
    <n v="492"/>
    <x v="1"/>
  </r>
  <r>
    <x v="16"/>
    <x v="0"/>
    <x v="48"/>
    <n v="1"/>
    <x v="0"/>
  </r>
  <r>
    <x v="17"/>
    <x v="0"/>
    <x v="54"/>
    <n v="72"/>
    <x v="0"/>
  </r>
  <r>
    <x v="17"/>
    <x v="0"/>
    <x v="40"/>
    <n v="3"/>
    <x v="0"/>
  </r>
  <r>
    <x v="17"/>
    <x v="0"/>
    <x v="57"/>
    <n v="1"/>
    <x v="0"/>
  </r>
  <r>
    <x v="16"/>
    <x v="0"/>
    <x v="33"/>
    <n v="674"/>
    <x v="1"/>
  </r>
  <r>
    <x v="17"/>
    <x v="0"/>
    <x v="60"/>
    <n v="2"/>
    <x v="0"/>
  </r>
  <r>
    <x v="17"/>
    <x v="0"/>
    <x v="26"/>
    <n v="1200"/>
    <x v="1"/>
  </r>
  <r>
    <x v="16"/>
    <x v="0"/>
    <x v="59"/>
    <n v="4"/>
    <x v="0"/>
  </r>
  <r>
    <x v="16"/>
    <x v="0"/>
    <x v="20"/>
    <n v="1510"/>
    <x v="1"/>
  </r>
  <r>
    <x v="16"/>
    <x v="0"/>
    <x v="37"/>
    <n v="2787"/>
    <x v="1"/>
  </r>
  <r>
    <x v="17"/>
    <x v="0"/>
    <x v="24"/>
    <n v="5102"/>
    <x v="1"/>
  </r>
  <r>
    <x v="16"/>
    <x v="0"/>
    <x v="4"/>
    <n v="581"/>
    <x v="1"/>
  </r>
  <r>
    <x v="17"/>
    <x v="0"/>
    <x v="58"/>
    <n v="1"/>
    <x v="0"/>
  </r>
  <r>
    <x v="17"/>
    <x v="0"/>
    <x v="32"/>
    <n v="1363"/>
    <x v="1"/>
  </r>
  <r>
    <x v="16"/>
    <x v="0"/>
    <x v="36"/>
    <n v="239"/>
    <x v="1"/>
  </r>
  <r>
    <x v="17"/>
    <x v="0"/>
    <x v="6"/>
    <n v="9"/>
    <x v="0"/>
  </r>
  <r>
    <x v="17"/>
    <x v="0"/>
    <x v="56"/>
    <n v="7"/>
    <x v="0"/>
  </r>
  <r>
    <x v="16"/>
    <x v="0"/>
    <x v="27"/>
    <n v="2647"/>
    <x v="1"/>
  </r>
  <r>
    <x v="17"/>
    <x v="0"/>
    <x v="39"/>
    <n v="1826"/>
    <x v="1"/>
  </r>
  <r>
    <x v="16"/>
    <x v="0"/>
    <x v="21"/>
    <n v="248"/>
    <x v="1"/>
  </r>
  <r>
    <x v="16"/>
    <x v="0"/>
    <x v="15"/>
    <n v="3781"/>
    <x v="1"/>
  </r>
  <r>
    <x v="16"/>
    <x v="0"/>
    <x v="16"/>
    <n v="1"/>
    <x v="0"/>
  </r>
  <r>
    <x v="16"/>
    <x v="0"/>
    <x v="18"/>
    <n v="554"/>
    <x v="1"/>
  </r>
  <r>
    <x v="16"/>
    <x v="0"/>
    <x v="34"/>
    <n v="1570"/>
    <x v="1"/>
  </r>
  <r>
    <x v="17"/>
    <x v="0"/>
    <x v="30"/>
    <n v="1626"/>
    <x v="1"/>
  </r>
  <r>
    <x v="17"/>
    <x v="0"/>
    <x v="11"/>
    <n v="931"/>
    <x v="1"/>
  </r>
  <r>
    <x v="17"/>
    <x v="0"/>
    <x v="33"/>
    <n v="632"/>
    <x v="1"/>
  </r>
  <r>
    <x v="16"/>
    <x v="0"/>
    <x v="60"/>
    <n v="1"/>
    <x v="0"/>
  </r>
  <r>
    <x v="16"/>
    <x v="0"/>
    <x v="44"/>
    <n v="59"/>
    <x v="0"/>
  </r>
  <r>
    <x v="17"/>
    <x v="0"/>
    <x v="5"/>
    <n v="1"/>
    <x v="0"/>
  </r>
  <r>
    <x v="16"/>
    <x v="0"/>
    <x v="26"/>
    <n v="1130"/>
    <x v="1"/>
  </r>
  <r>
    <x v="16"/>
    <x v="0"/>
    <x v="7"/>
    <n v="1903"/>
    <x v="1"/>
  </r>
  <r>
    <x v="17"/>
    <x v="0"/>
    <x v="36"/>
    <n v="214"/>
    <x v="1"/>
  </r>
  <r>
    <x v="17"/>
    <x v="0"/>
    <x v="34"/>
    <n v="1706"/>
    <x v="1"/>
  </r>
  <r>
    <x v="16"/>
    <x v="0"/>
    <x v="3"/>
    <n v="2463"/>
    <x v="1"/>
  </r>
  <r>
    <x v="17"/>
    <x v="0"/>
    <x v="28"/>
    <n v="3019"/>
    <x v="1"/>
  </r>
  <r>
    <x v="17"/>
    <x v="0"/>
    <x v="8"/>
    <n v="2307"/>
    <x v="1"/>
  </r>
  <r>
    <x v="17"/>
    <x v="0"/>
    <x v="14"/>
    <n v="1114"/>
    <x v="1"/>
  </r>
  <r>
    <x v="16"/>
    <x v="0"/>
    <x v="39"/>
    <n v="1795"/>
    <x v="1"/>
  </r>
  <r>
    <x v="17"/>
    <x v="0"/>
    <x v="67"/>
    <n v="2312"/>
    <x v="1"/>
  </r>
  <r>
    <x v="17"/>
    <x v="0"/>
    <x v="44"/>
    <n v="110"/>
    <x v="1"/>
  </r>
  <r>
    <x v="16"/>
    <x v="0"/>
    <x v="55"/>
    <n v="1"/>
    <x v="0"/>
  </r>
  <r>
    <x v="16"/>
    <x v="0"/>
    <x v="45"/>
    <n v="6"/>
    <x v="0"/>
  </r>
  <r>
    <x v="16"/>
    <x v="0"/>
    <x v="24"/>
    <n v="2319"/>
    <x v="1"/>
  </r>
  <r>
    <x v="17"/>
    <x v="0"/>
    <x v="18"/>
    <n v="578"/>
    <x v="1"/>
  </r>
  <r>
    <x v="16"/>
    <x v="0"/>
    <x v="29"/>
    <n v="2541"/>
    <x v="1"/>
  </r>
  <r>
    <x v="17"/>
    <x v="0"/>
    <x v="59"/>
    <n v="3"/>
    <x v="0"/>
  </r>
  <r>
    <x v="17"/>
    <x v="0"/>
    <x v="4"/>
    <n v="680"/>
    <x v="1"/>
  </r>
  <r>
    <x v="16"/>
    <x v="0"/>
    <x v="58"/>
    <n v="1"/>
    <x v="0"/>
  </r>
  <r>
    <x v="17"/>
    <x v="0"/>
    <x v="53"/>
    <n v="595"/>
    <x v="1"/>
  </r>
  <r>
    <x v="16"/>
    <x v="0"/>
    <x v="46"/>
    <n v="2"/>
    <x v="0"/>
  </r>
  <r>
    <x v="17"/>
    <x v="0"/>
    <x v="66"/>
    <n v="2725"/>
    <x v="1"/>
  </r>
  <r>
    <x v="16"/>
    <x v="0"/>
    <x v="8"/>
    <n v="2395"/>
    <x v="1"/>
  </r>
  <r>
    <x v="17"/>
    <x v="0"/>
    <x v="29"/>
    <n v="2837"/>
    <x v="1"/>
  </r>
  <r>
    <x v="16"/>
    <x v="0"/>
    <x v="56"/>
    <n v="8"/>
    <x v="0"/>
  </r>
  <r>
    <x v="17"/>
    <x v="0"/>
    <x v="10"/>
    <n v="6"/>
    <x v="0"/>
  </r>
  <r>
    <x v="16"/>
    <x v="0"/>
    <x v="54"/>
    <n v="68"/>
    <x v="0"/>
  </r>
  <r>
    <x v="16"/>
    <x v="0"/>
    <x v="22"/>
    <n v="2601"/>
    <x v="1"/>
  </r>
  <r>
    <x v="17"/>
    <x v="0"/>
    <x v="27"/>
    <n v="1"/>
    <x v="0"/>
  </r>
  <r>
    <x v="17"/>
    <x v="0"/>
    <x v="15"/>
    <n v="27"/>
    <x v="0"/>
  </r>
  <r>
    <x v="16"/>
    <x v="0"/>
    <x v="35"/>
    <n v="2324"/>
    <x v="1"/>
  </r>
  <r>
    <x v="16"/>
    <x v="0"/>
    <x v="9"/>
    <n v="2023"/>
    <x v="1"/>
  </r>
  <r>
    <x v="17"/>
    <x v="0"/>
    <x v="49"/>
    <n v="1167"/>
    <x v="1"/>
  </r>
  <r>
    <x v="17"/>
    <x v="0"/>
    <x v="42"/>
    <n v="1"/>
    <x v="0"/>
  </r>
  <r>
    <x v="17"/>
    <x v="0"/>
    <x v="16"/>
    <n v="1"/>
    <x v="0"/>
  </r>
  <r>
    <x v="17"/>
    <x v="0"/>
    <x v="3"/>
    <n v="2434"/>
    <x v="1"/>
  </r>
  <r>
    <x v="16"/>
    <x v="0"/>
    <x v="49"/>
    <n v="1246"/>
    <x v="1"/>
  </r>
  <r>
    <x v="17"/>
    <x v="0"/>
    <x v="38"/>
    <n v="24"/>
    <x v="0"/>
  </r>
  <r>
    <x v="17"/>
    <x v="0"/>
    <x v="7"/>
    <n v="1842"/>
    <x v="1"/>
  </r>
  <r>
    <x v="17"/>
    <x v="0"/>
    <x v="31"/>
    <n v="3049"/>
    <x v="1"/>
  </r>
  <r>
    <x v="16"/>
    <x v="0"/>
    <x v="40"/>
    <n v="9"/>
    <x v="0"/>
  </r>
  <r>
    <x v="17"/>
    <x v="0"/>
    <x v="1"/>
    <n v="485"/>
    <x v="1"/>
  </r>
  <r>
    <x v="17"/>
    <x v="0"/>
    <x v="19"/>
    <n v="1282"/>
    <x v="1"/>
  </r>
  <r>
    <x v="17"/>
    <x v="0"/>
    <x v="47"/>
    <n v="8"/>
    <x v="0"/>
  </r>
  <r>
    <x v="17"/>
    <x v="0"/>
    <x v="52"/>
    <n v="1"/>
    <x v="0"/>
  </r>
  <r>
    <x v="16"/>
    <x v="0"/>
    <x v="5"/>
    <n v="3"/>
    <x v="0"/>
  </r>
  <r>
    <x v="16"/>
    <x v="0"/>
    <x v="17"/>
    <n v="1"/>
    <x v="0"/>
  </r>
  <r>
    <x v="17"/>
    <x v="0"/>
    <x v="61"/>
    <n v="1"/>
    <x v="0"/>
  </r>
  <r>
    <x v="17"/>
    <x v="0"/>
    <x v="35"/>
    <n v="1"/>
    <x v="0"/>
  </r>
  <r>
    <x v="16"/>
    <x v="0"/>
    <x v="0"/>
    <n v="2"/>
    <x v="0"/>
  </r>
  <r>
    <x v="17"/>
    <x v="0"/>
    <x v="46"/>
    <n v="3"/>
    <x v="0"/>
  </r>
  <r>
    <x v="16"/>
    <x v="0"/>
    <x v="25"/>
    <n v="3"/>
    <x v="0"/>
  </r>
  <r>
    <x v="16"/>
    <x v="0"/>
    <x v="42"/>
    <n v="1"/>
    <x v="0"/>
  </r>
  <r>
    <x v="16"/>
    <x v="0"/>
    <x v="57"/>
    <n v="1"/>
    <x v="0"/>
  </r>
  <r>
    <x v="16"/>
    <x v="0"/>
    <x v="30"/>
    <n v="1516"/>
    <x v="1"/>
  </r>
  <r>
    <x v="17"/>
    <x v="0"/>
    <x v="62"/>
    <n v="1"/>
    <x v="0"/>
  </r>
  <r>
    <x v="16"/>
    <x v="0"/>
    <x v="11"/>
    <n v="935"/>
    <x v="1"/>
  </r>
  <r>
    <x v="16"/>
    <x v="0"/>
    <x v="10"/>
    <n v="9"/>
    <x v="0"/>
  </r>
  <r>
    <x v="16"/>
    <x v="0"/>
    <x v="38"/>
    <n v="12"/>
    <x v="0"/>
  </r>
  <r>
    <x v="16"/>
    <x v="0"/>
    <x v="51"/>
    <n v="4"/>
    <x v="0"/>
  </r>
  <r>
    <x v="18"/>
    <x v="0"/>
    <x v="60"/>
    <n v="2"/>
    <x v="0"/>
  </r>
  <r>
    <x v="18"/>
    <x v="0"/>
    <x v="32"/>
    <n v="1375"/>
    <x v="1"/>
  </r>
  <r>
    <x v="18"/>
    <x v="0"/>
    <x v="51"/>
    <n v="490"/>
    <x v="1"/>
  </r>
  <r>
    <x v="19"/>
    <x v="0"/>
    <x v="12"/>
    <n v="15"/>
    <x v="0"/>
  </r>
  <r>
    <x v="19"/>
    <x v="0"/>
    <x v="47"/>
    <n v="7"/>
    <x v="0"/>
  </r>
  <r>
    <x v="18"/>
    <x v="0"/>
    <x v="36"/>
    <n v="214"/>
    <x v="1"/>
  </r>
  <r>
    <x v="19"/>
    <x v="0"/>
    <x v="9"/>
    <n v="2027"/>
    <x v="1"/>
  </r>
  <r>
    <x v="19"/>
    <x v="0"/>
    <x v="6"/>
    <n v="10"/>
    <x v="0"/>
  </r>
  <r>
    <x v="18"/>
    <x v="0"/>
    <x v="16"/>
    <n v="1"/>
    <x v="0"/>
  </r>
  <r>
    <x v="19"/>
    <x v="0"/>
    <x v="27"/>
    <n v="2663"/>
    <x v="1"/>
  </r>
  <r>
    <x v="18"/>
    <x v="0"/>
    <x v="62"/>
    <n v="1"/>
    <x v="0"/>
  </r>
  <r>
    <x v="19"/>
    <x v="0"/>
    <x v="7"/>
    <n v="1895"/>
    <x v="1"/>
  </r>
  <r>
    <x v="19"/>
    <x v="0"/>
    <x v="56"/>
    <n v="8"/>
    <x v="0"/>
  </r>
  <r>
    <x v="19"/>
    <x v="0"/>
    <x v="26"/>
    <n v="1133"/>
    <x v="1"/>
  </r>
  <r>
    <x v="19"/>
    <x v="0"/>
    <x v="35"/>
    <n v="2317"/>
    <x v="1"/>
  </r>
  <r>
    <x v="19"/>
    <x v="0"/>
    <x v="30"/>
    <n v="1533"/>
    <x v="1"/>
  </r>
  <r>
    <x v="19"/>
    <x v="0"/>
    <x v="23"/>
    <n v="2256"/>
    <x v="1"/>
  </r>
  <r>
    <x v="19"/>
    <x v="0"/>
    <x v="22"/>
    <n v="2632"/>
    <x v="1"/>
  </r>
  <r>
    <x v="18"/>
    <x v="0"/>
    <x v="29"/>
    <n v="3112"/>
    <x v="1"/>
  </r>
  <r>
    <x v="19"/>
    <x v="0"/>
    <x v="57"/>
    <n v="1"/>
    <x v="0"/>
  </r>
  <r>
    <x v="18"/>
    <x v="0"/>
    <x v="19"/>
    <n v="1278"/>
    <x v="1"/>
  </r>
  <r>
    <x v="18"/>
    <x v="0"/>
    <x v="46"/>
    <n v="3"/>
    <x v="0"/>
  </r>
  <r>
    <x v="19"/>
    <x v="0"/>
    <x v="28"/>
    <n v="2985"/>
    <x v="1"/>
  </r>
  <r>
    <x v="19"/>
    <x v="0"/>
    <x v="48"/>
    <n v="1"/>
    <x v="0"/>
  </r>
  <r>
    <x v="19"/>
    <x v="0"/>
    <x v="38"/>
    <n v="12"/>
    <x v="0"/>
  </r>
  <r>
    <x v="18"/>
    <x v="0"/>
    <x v="11"/>
    <n v="902"/>
    <x v="1"/>
  </r>
  <r>
    <x v="18"/>
    <x v="0"/>
    <x v="14"/>
    <n v="1114"/>
    <x v="1"/>
  </r>
  <r>
    <x v="19"/>
    <x v="0"/>
    <x v="14"/>
    <n v="1169"/>
    <x v="1"/>
  </r>
  <r>
    <x v="18"/>
    <x v="0"/>
    <x v="61"/>
    <n v="1"/>
    <x v="0"/>
  </r>
  <r>
    <x v="19"/>
    <x v="0"/>
    <x v="5"/>
    <n v="3"/>
    <x v="0"/>
  </r>
  <r>
    <x v="19"/>
    <x v="0"/>
    <x v="44"/>
    <n v="67"/>
    <x v="0"/>
  </r>
  <r>
    <x v="18"/>
    <x v="0"/>
    <x v="27"/>
    <n v="1"/>
    <x v="0"/>
  </r>
  <r>
    <x v="18"/>
    <x v="0"/>
    <x v="28"/>
    <n v="3003"/>
    <x v="1"/>
  </r>
  <r>
    <x v="19"/>
    <x v="0"/>
    <x v="11"/>
    <n v="939"/>
    <x v="1"/>
  </r>
  <r>
    <x v="18"/>
    <x v="0"/>
    <x v="53"/>
    <n v="590"/>
    <x v="1"/>
  </r>
  <r>
    <x v="18"/>
    <x v="0"/>
    <x v="49"/>
    <n v="1252"/>
    <x v="1"/>
  </r>
  <r>
    <x v="18"/>
    <x v="0"/>
    <x v="33"/>
    <n v="648"/>
    <x v="1"/>
  </r>
  <r>
    <x v="18"/>
    <x v="0"/>
    <x v="9"/>
    <n v="2220"/>
    <x v="1"/>
  </r>
  <r>
    <x v="19"/>
    <x v="0"/>
    <x v="34"/>
    <n v="1577"/>
    <x v="1"/>
  </r>
  <r>
    <x v="18"/>
    <x v="0"/>
    <x v="35"/>
    <n v="1"/>
    <x v="0"/>
  </r>
  <r>
    <x v="18"/>
    <x v="0"/>
    <x v="4"/>
    <n v="708"/>
    <x v="1"/>
  </r>
  <r>
    <x v="18"/>
    <x v="0"/>
    <x v="21"/>
    <n v="244"/>
    <x v="1"/>
  </r>
  <r>
    <x v="18"/>
    <x v="0"/>
    <x v="5"/>
    <n v="1"/>
    <x v="0"/>
  </r>
  <r>
    <x v="19"/>
    <x v="0"/>
    <x v="59"/>
    <n v="4"/>
    <x v="0"/>
  </r>
  <r>
    <x v="19"/>
    <x v="0"/>
    <x v="49"/>
    <n v="1264"/>
    <x v="1"/>
  </r>
  <r>
    <x v="19"/>
    <x v="0"/>
    <x v="20"/>
    <n v="1497"/>
    <x v="1"/>
  </r>
  <r>
    <x v="18"/>
    <x v="0"/>
    <x v="7"/>
    <n v="1837"/>
    <x v="1"/>
  </r>
  <r>
    <x v="19"/>
    <x v="0"/>
    <x v="36"/>
    <n v="236"/>
    <x v="1"/>
  </r>
  <r>
    <x v="19"/>
    <x v="0"/>
    <x v="31"/>
    <n v="3090"/>
    <x v="1"/>
  </r>
  <r>
    <x v="18"/>
    <x v="0"/>
    <x v="57"/>
    <n v="1"/>
    <x v="0"/>
  </r>
  <r>
    <x v="18"/>
    <x v="0"/>
    <x v="26"/>
    <n v="1195"/>
    <x v="1"/>
  </r>
  <r>
    <x v="18"/>
    <x v="0"/>
    <x v="66"/>
    <n v="2729"/>
    <x v="1"/>
  </r>
  <r>
    <x v="18"/>
    <x v="0"/>
    <x v="58"/>
    <n v="2"/>
    <x v="0"/>
  </r>
  <r>
    <x v="18"/>
    <x v="0"/>
    <x v="6"/>
    <n v="9"/>
    <x v="0"/>
  </r>
  <r>
    <x v="19"/>
    <x v="0"/>
    <x v="8"/>
    <n v="2389"/>
    <x v="1"/>
  </r>
  <r>
    <x v="19"/>
    <x v="0"/>
    <x v="41"/>
    <n v="1"/>
    <x v="0"/>
  </r>
  <r>
    <x v="19"/>
    <x v="0"/>
    <x v="4"/>
    <n v="584"/>
    <x v="1"/>
  </r>
  <r>
    <x v="18"/>
    <x v="0"/>
    <x v="44"/>
    <n v="102"/>
    <x v="1"/>
  </r>
  <r>
    <x v="18"/>
    <x v="0"/>
    <x v="39"/>
    <n v="1899"/>
    <x v="1"/>
  </r>
  <r>
    <x v="18"/>
    <x v="0"/>
    <x v="40"/>
    <n v="3"/>
    <x v="0"/>
  </r>
  <r>
    <x v="19"/>
    <x v="0"/>
    <x v="60"/>
    <n v="1"/>
    <x v="0"/>
  </r>
  <r>
    <x v="18"/>
    <x v="0"/>
    <x v="59"/>
    <n v="3"/>
    <x v="0"/>
  </r>
  <r>
    <x v="19"/>
    <x v="0"/>
    <x v="25"/>
    <n v="2"/>
    <x v="0"/>
  </r>
  <r>
    <x v="18"/>
    <x v="0"/>
    <x v="3"/>
    <n v="2427"/>
    <x v="1"/>
  </r>
  <r>
    <x v="19"/>
    <x v="0"/>
    <x v="29"/>
    <n v="2533"/>
    <x v="1"/>
  </r>
  <r>
    <x v="18"/>
    <x v="0"/>
    <x v="10"/>
    <n v="5"/>
    <x v="0"/>
  </r>
  <r>
    <x v="18"/>
    <x v="0"/>
    <x v="56"/>
    <n v="7"/>
    <x v="0"/>
  </r>
  <r>
    <x v="19"/>
    <x v="0"/>
    <x v="61"/>
    <n v="1"/>
    <x v="0"/>
  </r>
  <r>
    <x v="18"/>
    <x v="0"/>
    <x v="20"/>
    <n v="2496"/>
    <x v="1"/>
  </r>
  <r>
    <x v="19"/>
    <x v="0"/>
    <x v="45"/>
    <n v="6"/>
    <x v="0"/>
  </r>
  <r>
    <x v="19"/>
    <x v="0"/>
    <x v="54"/>
    <n v="70"/>
    <x v="0"/>
  </r>
  <r>
    <x v="18"/>
    <x v="0"/>
    <x v="54"/>
    <n v="96"/>
    <x v="0"/>
  </r>
  <r>
    <x v="18"/>
    <x v="0"/>
    <x v="15"/>
    <n v="1761"/>
    <x v="1"/>
  </r>
  <r>
    <x v="19"/>
    <x v="0"/>
    <x v="33"/>
    <n v="686"/>
    <x v="1"/>
  </r>
  <r>
    <x v="18"/>
    <x v="0"/>
    <x v="23"/>
    <n v="2252"/>
    <x v="1"/>
  </r>
  <r>
    <x v="19"/>
    <x v="0"/>
    <x v="3"/>
    <n v="2459"/>
    <x v="1"/>
  </r>
  <r>
    <x v="19"/>
    <x v="0"/>
    <x v="15"/>
    <n v="3693"/>
    <x v="1"/>
  </r>
  <r>
    <x v="19"/>
    <x v="0"/>
    <x v="51"/>
    <n v="4"/>
    <x v="0"/>
  </r>
  <r>
    <x v="19"/>
    <x v="0"/>
    <x v="46"/>
    <n v="3"/>
    <x v="0"/>
  </r>
  <r>
    <x v="19"/>
    <x v="0"/>
    <x v="58"/>
    <n v="1"/>
    <x v="0"/>
  </r>
  <r>
    <x v="18"/>
    <x v="0"/>
    <x v="64"/>
    <n v="1"/>
    <x v="0"/>
  </r>
  <r>
    <x v="19"/>
    <x v="0"/>
    <x v="37"/>
    <n v="2772"/>
    <x v="1"/>
  </r>
  <r>
    <x v="18"/>
    <x v="0"/>
    <x v="63"/>
    <n v="2657"/>
    <x v="1"/>
  </r>
  <r>
    <x v="19"/>
    <x v="0"/>
    <x v="43"/>
    <n v="1"/>
    <x v="0"/>
  </r>
  <r>
    <x v="19"/>
    <x v="0"/>
    <x v="55"/>
    <n v="1"/>
    <x v="0"/>
  </r>
  <r>
    <x v="18"/>
    <x v="0"/>
    <x v="68"/>
    <n v="1644"/>
    <x v="1"/>
  </r>
  <r>
    <x v="19"/>
    <x v="0"/>
    <x v="10"/>
    <n v="8"/>
    <x v="0"/>
  </r>
  <r>
    <x v="19"/>
    <x v="0"/>
    <x v="39"/>
    <n v="1820"/>
    <x v="1"/>
  </r>
  <r>
    <x v="18"/>
    <x v="0"/>
    <x v="31"/>
    <n v="3024"/>
    <x v="1"/>
  </r>
  <r>
    <x v="19"/>
    <x v="0"/>
    <x v="17"/>
    <n v="1"/>
    <x v="0"/>
  </r>
  <r>
    <x v="19"/>
    <x v="0"/>
    <x v="24"/>
    <n v="2318"/>
    <x v="1"/>
  </r>
  <r>
    <x v="19"/>
    <x v="0"/>
    <x v="16"/>
    <n v="1"/>
    <x v="0"/>
  </r>
  <r>
    <x v="18"/>
    <x v="0"/>
    <x v="42"/>
    <n v="1"/>
    <x v="0"/>
  </r>
  <r>
    <x v="18"/>
    <x v="0"/>
    <x v="67"/>
    <n v="2323"/>
    <x v="1"/>
  </r>
  <r>
    <x v="19"/>
    <x v="0"/>
    <x v="40"/>
    <n v="9"/>
    <x v="0"/>
  </r>
  <r>
    <x v="19"/>
    <x v="0"/>
    <x v="21"/>
    <n v="250"/>
    <x v="1"/>
  </r>
  <r>
    <x v="19"/>
    <x v="0"/>
    <x v="42"/>
    <n v="1"/>
    <x v="0"/>
  </r>
  <r>
    <x v="19"/>
    <x v="0"/>
    <x v="18"/>
    <n v="548"/>
    <x v="1"/>
  </r>
  <r>
    <x v="19"/>
    <x v="0"/>
    <x v="32"/>
    <n v="1388"/>
    <x v="1"/>
  </r>
  <r>
    <x v="18"/>
    <x v="0"/>
    <x v="47"/>
    <n v="7"/>
    <x v="0"/>
  </r>
  <r>
    <x v="18"/>
    <x v="0"/>
    <x v="1"/>
    <n v="493"/>
    <x v="1"/>
  </r>
  <r>
    <x v="18"/>
    <x v="0"/>
    <x v="24"/>
    <n v="5106"/>
    <x v="1"/>
  </r>
  <r>
    <x v="18"/>
    <x v="0"/>
    <x v="18"/>
    <n v="575"/>
    <x v="1"/>
  </r>
  <r>
    <x v="18"/>
    <x v="0"/>
    <x v="30"/>
    <n v="1619"/>
    <x v="1"/>
  </r>
  <r>
    <x v="19"/>
    <x v="0"/>
    <x v="19"/>
    <n v="1281"/>
    <x v="1"/>
  </r>
  <r>
    <x v="18"/>
    <x v="0"/>
    <x v="52"/>
    <n v="1"/>
    <x v="0"/>
  </r>
  <r>
    <x v="19"/>
    <x v="0"/>
    <x v="1"/>
    <n v="468"/>
    <x v="1"/>
  </r>
  <r>
    <x v="18"/>
    <x v="0"/>
    <x v="8"/>
    <n v="2305"/>
    <x v="1"/>
  </r>
  <r>
    <x v="20"/>
    <x v="0"/>
    <x v="25"/>
    <n v="1"/>
    <x v="0"/>
  </r>
  <r>
    <x v="20"/>
    <x v="0"/>
    <x v="9"/>
    <n v="2020"/>
    <x v="1"/>
  </r>
  <r>
    <x v="20"/>
    <x v="0"/>
    <x v="5"/>
    <n v="4"/>
    <x v="0"/>
  </r>
  <r>
    <x v="21"/>
    <x v="0"/>
    <x v="51"/>
    <n v="474"/>
    <x v="1"/>
  </r>
  <r>
    <x v="20"/>
    <x v="0"/>
    <x v="55"/>
    <n v="1"/>
    <x v="0"/>
  </r>
  <r>
    <x v="21"/>
    <x v="0"/>
    <x v="18"/>
    <n v="582"/>
    <x v="1"/>
  </r>
  <r>
    <x v="21"/>
    <x v="0"/>
    <x v="3"/>
    <n v="2429"/>
    <x v="1"/>
  </r>
  <r>
    <x v="20"/>
    <x v="0"/>
    <x v="24"/>
    <n v="2317"/>
    <x v="1"/>
  </r>
  <r>
    <x v="21"/>
    <x v="0"/>
    <x v="26"/>
    <n v="1207"/>
    <x v="1"/>
  </r>
  <r>
    <x v="20"/>
    <x v="0"/>
    <x v="45"/>
    <n v="6"/>
    <x v="0"/>
  </r>
  <r>
    <x v="20"/>
    <x v="0"/>
    <x v="57"/>
    <n v="1"/>
    <x v="0"/>
  </r>
  <r>
    <x v="21"/>
    <x v="0"/>
    <x v="30"/>
    <n v="1622"/>
    <x v="1"/>
  </r>
  <r>
    <x v="20"/>
    <x v="0"/>
    <x v="14"/>
    <n v="1161"/>
    <x v="1"/>
  </r>
  <r>
    <x v="20"/>
    <x v="0"/>
    <x v="3"/>
    <n v="2439"/>
    <x v="1"/>
  </r>
  <r>
    <x v="21"/>
    <x v="0"/>
    <x v="44"/>
    <n v="110"/>
    <x v="1"/>
  </r>
  <r>
    <x v="20"/>
    <x v="0"/>
    <x v="15"/>
    <n v="3570"/>
    <x v="1"/>
  </r>
  <r>
    <x v="21"/>
    <x v="0"/>
    <x v="49"/>
    <n v="1249"/>
    <x v="1"/>
  </r>
  <r>
    <x v="20"/>
    <x v="0"/>
    <x v="33"/>
    <n v="696"/>
    <x v="1"/>
  </r>
  <r>
    <x v="20"/>
    <x v="0"/>
    <x v="16"/>
    <n v="1"/>
    <x v="0"/>
  </r>
  <r>
    <x v="20"/>
    <x v="0"/>
    <x v="27"/>
    <n v="2665"/>
    <x v="1"/>
  </r>
  <r>
    <x v="20"/>
    <x v="0"/>
    <x v="23"/>
    <n v="2235"/>
    <x v="1"/>
  </r>
  <r>
    <x v="20"/>
    <x v="0"/>
    <x v="52"/>
    <n v="1"/>
    <x v="0"/>
  </r>
  <r>
    <x v="21"/>
    <x v="0"/>
    <x v="28"/>
    <n v="2991"/>
    <x v="1"/>
  </r>
  <r>
    <x v="20"/>
    <x v="0"/>
    <x v="19"/>
    <n v="1277"/>
    <x v="1"/>
  </r>
  <r>
    <x v="20"/>
    <x v="0"/>
    <x v="28"/>
    <n v="2970"/>
    <x v="1"/>
  </r>
  <r>
    <x v="21"/>
    <x v="0"/>
    <x v="57"/>
    <n v="1"/>
    <x v="0"/>
  </r>
  <r>
    <x v="21"/>
    <x v="0"/>
    <x v="1"/>
    <n v="496"/>
    <x v="1"/>
  </r>
  <r>
    <x v="21"/>
    <x v="0"/>
    <x v="58"/>
    <n v="3"/>
    <x v="0"/>
  </r>
  <r>
    <x v="20"/>
    <x v="0"/>
    <x v="12"/>
    <n v="14"/>
    <x v="0"/>
  </r>
  <r>
    <x v="21"/>
    <x v="0"/>
    <x v="53"/>
    <n v="588"/>
    <x v="1"/>
  </r>
  <r>
    <x v="20"/>
    <x v="0"/>
    <x v="48"/>
    <n v="1"/>
    <x v="0"/>
  </r>
  <r>
    <x v="20"/>
    <x v="0"/>
    <x v="32"/>
    <n v="1390"/>
    <x v="1"/>
  </r>
  <r>
    <x v="21"/>
    <x v="0"/>
    <x v="35"/>
    <n v="1"/>
    <x v="0"/>
  </r>
  <r>
    <x v="20"/>
    <x v="0"/>
    <x v="4"/>
    <n v="586"/>
    <x v="1"/>
  </r>
  <r>
    <x v="21"/>
    <x v="0"/>
    <x v="40"/>
    <n v="3"/>
    <x v="0"/>
  </r>
  <r>
    <x v="21"/>
    <x v="0"/>
    <x v="68"/>
    <n v="1636"/>
    <x v="1"/>
  </r>
  <r>
    <x v="21"/>
    <x v="0"/>
    <x v="67"/>
    <n v="2333"/>
    <x v="1"/>
  </r>
  <r>
    <x v="21"/>
    <x v="0"/>
    <x v="36"/>
    <n v="214"/>
    <x v="1"/>
  </r>
  <r>
    <x v="21"/>
    <x v="0"/>
    <x v="42"/>
    <n v="1"/>
    <x v="0"/>
  </r>
  <r>
    <x v="20"/>
    <x v="0"/>
    <x v="44"/>
    <n v="79"/>
    <x v="0"/>
  </r>
  <r>
    <x v="20"/>
    <x v="0"/>
    <x v="40"/>
    <n v="5"/>
    <x v="0"/>
  </r>
  <r>
    <x v="21"/>
    <x v="0"/>
    <x v="16"/>
    <n v="1"/>
    <x v="0"/>
  </r>
  <r>
    <x v="20"/>
    <x v="0"/>
    <x v="8"/>
    <n v="2374"/>
    <x v="1"/>
  </r>
  <r>
    <x v="20"/>
    <x v="0"/>
    <x v="56"/>
    <n v="8"/>
    <x v="0"/>
  </r>
  <r>
    <x v="20"/>
    <x v="0"/>
    <x v="53"/>
    <n v="44"/>
    <x v="0"/>
  </r>
  <r>
    <x v="21"/>
    <x v="0"/>
    <x v="10"/>
    <n v="5"/>
    <x v="0"/>
  </r>
  <r>
    <x v="21"/>
    <x v="0"/>
    <x v="24"/>
    <n v="5101"/>
    <x v="1"/>
  </r>
  <r>
    <x v="21"/>
    <x v="0"/>
    <x v="63"/>
    <n v="2662"/>
    <x v="1"/>
  </r>
  <r>
    <x v="20"/>
    <x v="0"/>
    <x v="35"/>
    <n v="2332"/>
    <x v="1"/>
  </r>
  <r>
    <x v="21"/>
    <x v="0"/>
    <x v="56"/>
    <n v="7"/>
    <x v="0"/>
  </r>
  <r>
    <x v="21"/>
    <x v="0"/>
    <x v="66"/>
    <n v="2735"/>
    <x v="1"/>
  </r>
  <r>
    <x v="21"/>
    <x v="0"/>
    <x v="64"/>
    <n v="1"/>
    <x v="0"/>
  </r>
  <r>
    <x v="20"/>
    <x v="0"/>
    <x v="20"/>
    <n v="1508"/>
    <x v="1"/>
  </r>
  <r>
    <x v="21"/>
    <x v="0"/>
    <x v="60"/>
    <n v="2"/>
    <x v="0"/>
  </r>
  <r>
    <x v="20"/>
    <x v="0"/>
    <x v="58"/>
    <n v="1"/>
    <x v="0"/>
  </r>
  <r>
    <x v="21"/>
    <x v="0"/>
    <x v="5"/>
    <n v="1"/>
    <x v="0"/>
  </r>
  <r>
    <x v="21"/>
    <x v="0"/>
    <x v="39"/>
    <n v="1894"/>
    <x v="1"/>
  </r>
  <r>
    <x v="21"/>
    <x v="0"/>
    <x v="46"/>
    <n v="3"/>
    <x v="0"/>
  </r>
  <r>
    <x v="21"/>
    <x v="0"/>
    <x v="54"/>
    <n v="96"/>
    <x v="0"/>
  </r>
  <r>
    <x v="21"/>
    <x v="0"/>
    <x v="4"/>
    <n v="721"/>
    <x v="1"/>
  </r>
  <r>
    <x v="21"/>
    <x v="0"/>
    <x v="29"/>
    <n v="3123"/>
    <x v="1"/>
  </r>
  <r>
    <x v="21"/>
    <x v="0"/>
    <x v="11"/>
    <n v="888"/>
    <x v="1"/>
  </r>
  <r>
    <x v="21"/>
    <x v="0"/>
    <x v="23"/>
    <n v="2259"/>
    <x v="1"/>
  </r>
  <r>
    <x v="21"/>
    <x v="0"/>
    <x v="59"/>
    <n v="3"/>
    <x v="0"/>
  </r>
  <r>
    <x v="21"/>
    <x v="0"/>
    <x v="61"/>
    <n v="1"/>
    <x v="0"/>
  </r>
  <r>
    <x v="20"/>
    <x v="0"/>
    <x v="61"/>
    <n v="1"/>
    <x v="0"/>
  </r>
  <r>
    <x v="21"/>
    <x v="0"/>
    <x v="62"/>
    <n v="1"/>
    <x v="0"/>
  </r>
  <r>
    <x v="21"/>
    <x v="0"/>
    <x v="52"/>
    <n v="1"/>
    <x v="0"/>
  </r>
  <r>
    <x v="20"/>
    <x v="0"/>
    <x v="54"/>
    <n v="71"/>
    <x v="0"/>
  </r>
  <r>
    <x v="21"/>
    <x v="0"/>
    <x v="33"/>
    <n v="671"/>
    <x v="1"/>
  </r>
  <r>
    <x v="20"/>
    <x v="0"/>
    <x v="31"/>
    <n v="3081"/>
    <x v="1"/>
  </r>
  <r>
    <x v="20"/>
    <x v="0"/>
    <x v="11"/>
    <n v="942"/>
    <x v="1"/>
  </r>
  <r>
    <x v="20"/>
    <x v="0"/>
    <x v="10"/>
    <n v="7"/>
    <x v="0"/>
  </r>
  <r>
    <x v="20"/>
    <x v="0"/>
    <x v="38"/>
    <n v="10"/>
    <x v="0"/>
  </r>
  <r>
    <x v="21"/>
    <x v="0"/>
    <x v="8"/>
    <n v="2286"/>
    <x v="1"/>
  </r>
  <r>
    <x v="21"/>
    <x v="0"/>
    <x v="31"/>
    <n v="3020"/>
    <x v="1"/>
  </r>
  <r>
    <x v="20"/>
    <x v="0"/>
    <x v="18"/>
    <n v="550"/>
    <x v="1"/>
  </r>
  <r>
    <x v="20"/>
    <x v="0"/>
    <x v="29"/>
    <n v="2503"/>
    <x v="1"/>
  </r>
  <r>
    <x v="20"/>
    <x v="0"/>
    <x v="36"/>
    <n v="234"/>
    <x v="1"/>
  </r>
  <r>
    <x v="21"/>
    <x v="0"/>
    <x v="15"/>
    <n v="1780"/>
    <x v="1"/>
  </r>
  <r>
    <x v="20"/>
    <x v="0"/>
    <x v="22"/>
    <n v="2652"/>
    <x v="1"/>
  </r>
  <r>
    <x v="20"/>
    <x v="0"/>
    <x v="7"/>
    <n v="1884"/>
    <x v="1"/>
  </r>
  <r>
    <x v="20"/>
    <x v="0"/>
    <x v="34"/>
    <n v="1594"/>
    <x v="1"/>
  </r>
  <r>
    <x v="20"/>
    <x v="0"/>
    <x v="30"/>
    <n v="1557"/>
    <x v="1"/>
  </r>
  <r>
    <x v="20"/>
    <x v="0"/>
    <x v="46"/>
    <n v="3"/>
    <x v="0"/>
  </r>
  <r>
    <x v="21"/>
    <x v="0"/>
    <x v="20"/>
    <n v="2501"/>
    <x v="1"/>
  </r>
  <r>
    <x v="20"/>
    <x v="0"/>
    <x v="49"/>
    <n v="1256"/>
    <x v="1"/>
  </r>
  <r>
    <x v="20"/>
    <x v="0"/>
    <x v="47"/>
    <n v="7"/>
    <x v="0"/>
  </r>
  <r>
    <x v="20"/>
    <x v="0"/>
    <x v="21"/>
    <n v="251"/>
    <x v="1"/>
  </r>
  <r>
    <x v="20"/>
    <x v="0"/>
    <x v="17"/>
    <n v="1"/>
    <x v="0"/>
  </r>
  <r>
    <x v="21"/>
    <x v="0"/>
    <x v="7"/>
    <n v="1839"/>
    <x v="1"/>
  </r>
  <r>
    <x v="20"/>
    <x v="0"/>
    <x v="6"/>
    <n v="8"/>
    <x v="0"/>
  </r>
  <r>
    <x v="20"/>
    <x v="0"/>
    <x v="41"/>
    <n v="2"/>
    <x v="0"/>
  </r>
  <r>
    <x v="20"/>
    <x v="0"/>
    <x v="42"/>
    <n v="1"/>
    <x v="0"/>
  </r>
  <r>
    <x v="21"/>
    <x v="0"/>
    <x v="9"/>
    <n v="2219"/>
    <x v="1"/>
  </r>
  <r>
    <x v="21"/>
    <x v="0"/>
    <x v="14"/>
    <n v="1106"/>
    <x v="1"/>
  </r>
  <r>
    <x v="20"/>
    <x v="0"/>
    <x v="26"/>
    <n v="1133"/>
    <x v="1"/>
  </r>
  <r>
    <x v="21"/>
    <x v="0"/>
    <x v="47"/>
    <n v="9"/>
    <x v="0"/>
  </r>
  <r>
    <x v="20"/>
    <x v="0"/>
    <x v="60"/>
    <n v="1"/>
    <x v="0"/>
  </r>
  <r>
    <x v="21"/>
    <x v="0"/>
    <x v="19"/>
    <n v="1282"/>
    <x v="1"/>
  </r>
  <r>
    <x v="20"/>
    <x v="0"/>
    <x v="51"/>
    <n v="2"/>
    <x v="0"/>
  </r>
  <r>
    <x v="21"/>
    <x v="0"/>
    <x v="21"/>
    <n v="244"/>
    <x v="1"/>
  </r>
  <r>
    <x v="20"/>
    <x v="0"/>
    <x v="1"/>
    <n v="459"/>
    <x v="1"/>
  </r>
  <r>
    <x v="21"/>
    <x v="0"/>
    <x v="6"/>
    <n v="9"/>
    <x v="0"/>
  </r>
  <r>
    <x v="20"/>
    <x v="0"/>
    <x v="39"/>
    <n v="1812"/>
    <x v="1"/>
  </r>
  <r>
    <x v="20"/>
    <x v="0"/>
    <x v="37"/>
    <n v="2756"/>
    <x v="1"/>
  </r>
  <r>
    <x v="21"/>
    <x v="0"/>
    <x v="32"/>
    <n v="1362"/>
    <x v="1"/>
  </r>
  <r>
    <x v="20"/>
    <x v="0"/>
    <x v="59"/>
    <n v="4"/>
    <x v="0"/>
  </r>
  <r>
    <x v="22"/>
    <x v="0"/>
    <x v="54"/>
    <n v="96"/>
    <x v="0"/>
  </r>
  <r>
    <x v="22"/>
    <x v="0"/>
    <x v="32"/>
    <n v="1363"/>
    <x v="1"/>
  </r>
  <r>
    <x v="23"/>
    <x v="0"/>
    <x v="57"/>
    <n v="1"/>
    <x v="0"/>
  </r>
  <r>
    <x v="22"/>
    <x v="0"/>
    <x v="64"/>
    <n v="1"/>
    <x v="0"/>
  </r>
  <r>
    <x v="22"/>
    <x v="0"/>
    <x v="10"/>
    <n v="5"/>
    <x v="0"/>
  </r>
  <r>
    <x v="23"/>
    <x v="0"/>
    <x v="37"/>
    <n v="2745"/>
    <x v="1"/>
  </r>
  <r>
    <x v="22"/>
    <x v="0"/>
    <x v="26"/>
    <n v="1201"/>
    <x v="1"/>
  </r>
  <r>
    <x v="23"/>
    <x v="0"/>
    <x v="61"/>
    <n v="1"/>
    <x v="0"/>
  </r>
  <r>
    <x v="22"/>
    <x v="0"/>
    <x v="6"/>
    <n v="9"/>
    <x v="0"/>
  </r>
  <r>
    <x v="22"/>
    <x v="0"/>
    <x v="3"/>
    <n v="2431"/>
    <x v="1"/>
  </r>
  <r>
    <x v="23"/>
    <x v="0"/>
    <x v="55"/>
    <n v="1"/>
    <x v="0"/>
  </r>
  <r>
    <x v="23"/>
    <x v="0"/>
    <x v="9"/>
    <n v="1998"/>
    <x v="1"/>
  </r>
  <r>
    <x v="23"/>
    <x v="0"/>
    <x v="60"/>
    <n v="1"/>
    <x v="0"/>
  </r>
  <r>
    <x v="23"/>
    <x v="0"/>
    <x v="19"/>
    <n v="1264"/>
    <x v="1"/>
  </r>
  <r>
    <x v="22"/>
    <x v="0"/>
    <x v="49"/>
    <n v="1261"/>
    <x v="1"/>
  </r>
  <r>
    <x v="22"/>
    <x v="0"/>
    <x v="14"/>
    <n v="1106"/>
    <x v="1"/>
  </r>
  <r>
    <x v="23"/>
    <x v="0"/>
    <x v="27"/>
    <n v="2660"/>
    <x v="1"/>
  </r>
  <r>
    <x v="23"/>
    <x v="0"/>
    <x v="51"/>
    <n v="1"/>
    <x v="0"/>
  </r>
  <r>
    <x v="22"/>
    <x v="0"/>
    <x v="51"/>
    <n v="455"/>
    <x v="1"/>
  </r>
  <r>
    <x v="22"/>
    <x v="0"/>
    <x v="40"/>
    <n v="3"/>
    <x v="0"/>
  </r>
  <r>
    <x v="22"/>
    <x v="0"/>
    <x v="62"/>
    <n v="1"/>
    <x v="0"/>
  </r>
  <r>
    <x v="23"/>
    <x v="0"/>
    <x v="11"/>
    <n v="953"/>
    <x v="1"/>
  </r>
  <r>
    <x v="23"/>
    <x v="0"/>
    <x v="28"/>
    <n v="2943"/>
    <x v="1"/>
  </r>
  <r>
    <x v="22"/>
    <x v="0"/>
    <x v="31"/>
    <n v="3019"/>
    <x v="1"/>
  </r>
  <r>
    <x v="23"/>
    <x v="0"/>
    <x v="29"/>
    <n v="2485"/>
    <x v="1"/>
  </r>
  <r>
    <x v="22"/>
    <x v="0"/>
    <x v="66"/>
    <n v="2711"/>
    <x v="1"/>
  </r>
  <r>
    <x v="22"/>
    <x v="0"/>
    <x v="30"/>
    <n v="1625"/>
    <x v="1"/>
  </r>
  <r>
    <x v="23"/>
    <x v="0"/>
    <x v="17"/>
    <n v="1"/>
    <x v="0"/>
  </r>
  <r>
    <x v="23"/>
    <x v="0"/>
    <x v="7"/>
    <n v="1878"/>
    <x v="1"/>
  </r>
  <r>
    <x v="23"/>
    <x v="0"/>
    <x v="25"/>
    <n v="1"/>
    <x v="0"/>
  </r>
  <r>
    <x v="22"/>
    <x v="0"/>
    <x v="57"/>
    <n v="1"/>
    <x v="0"/>
  </r>
  <r>
    <x v="23"/>
    <x v="0"/>
    <x v="24"/>
    <n v="2279"/>
    <x v="1"/>
  </r>
  <r>
    <x v="22"/>
    <x v="0"/>
    <x v="21"/>
    <n v="245"/>
    <x v="1"/>
  </r>
  <r>
    <x v="23"/>
    <x v="0"/>
    <x v="58"/>
    <n v="1"/>
    <x v="0"/>
  </r>
  <r>
    <x v="23"/>
    <x v="0"/>
    <x v="18"/>
    <n v="544"/>
    <x v="1"/>
  </r>
  <r>
    <x v="23"/>
    <x v="0"/>
    <x v="54"/>
    <n v="71"/>
    <x v="0"/>
  </r>
  <r>
    <x v="22"/>
    <x v="0"/>
    <x v="11"/>
    <n v="877"/>
    <x v="1"/>
  </r>
  <r>
    <x v="23"/>
    <x v="0"/>
    <x v="22"/>
    <n v="2654"/>
    <x v="1"/>
  </r>
  <r>
    <x v="22"/>
    <x v="0"/>
    <x v="39"/>
    <n v="1901"/>
    <x v="1"/>
  </r>
  <r>
    <x v="23"/>
    <x v="0"/>
    <x v="26"/>
    <n v="1139"/>
    <x v="1"/>
  </r>
  <r>
    <x v="22"/>
    <x v="0"/>
    <x v="33"/>
    <n v="695"/>
    <x v="1"/>
  </r>
  <r>
    <x v="22"/>
    <x v="0"/>
    <x v="23"/>
    <n v="2263"/>
    <x v="1"/>
  </r>
  <r>
    <x v="22"/>
    <x v="0"/>
    <x v="29"/>
    <n v="3128"/>
    <x v="1"/>
  </r>
  <r>
    <x v="23"/>
    <x v="0"/>
    <x v="14"/>
    <n v="1135"/>
    <x v="1"/>
  </r>
  <r>
    <x v="22"/>
    <x v="0"/>
    <x v="47"/>
    <n v="18"/>
    <x v="0"/>
  </r>
  <r>
    <x v="22"/>
    <x v="0"/>
    <x v="5"/>
    <n v="1"/>
    <x v="0"/>
  </r>
  <r>
    <x v="22"/>
    <x v="0"/>
    <x v="35"/>
    <n v="1"/>
    <x v="0"/>
  </r>
  <r>
    <x v="23"/>
    <x v="0"/>
    <x v="6"/>
    <n v="8"/>
    <x v="0"/>
  </r>
  <r>
    <x v="23"/>
    <x v="0"/>
    <x v="39"/>
    <n v="1809"/>
    <x v="1"/>
  </r>
  <r>
    <x v="23"/>
    <x v="0"/>
    <x v="31"/>
    <n v="3057"/>
    <x v="1"/>
  </r>
  <r>
    <x v="23"/>
    <x v="0"/>
    <x v="35"/>
    <n v="2298"/>
    <x v="1"/>
  </r>
  <r>
    <x v="23"/>
    <x v="0"/>
    <x v="56"/>
    <n v="8"/>
    <x v="0"/>
  </r>
  <r>
    <x v="22"/>
    <x v="0"/>
    <x v="59"/>
    <n v="3"/>
    <x v="0"/>
  </r>
  <r>
    <x v="22"/>
    <x v="0"/>
    <x v="1"/>
    <n v="493"/>
    <x v="1"/>
  </r>
  <r>
    <x v="22"/>
    <x v="0"/>
    <x v="67"/>
    <n v="2352"/>
    <x v="1"/>
  </r>
  <r>
    <x v="22"/>
    <x v="0"/>
    <x v="9"/>
    <n v="2210"/>
    <x v="1"/>
  </r>
  <r>
    <x v="23"/>
    <x v="0"/>
    <x v="33"/>
    <n v="658"/>
    <x v="1"/>
  </r>
  <r>
    <x v="22"/>
    <x v="0"/>
    <x v="56"/>
    <n v="7"/>
    <x v="0"/>
  </r>
  <r>
    <x v="22"/>
    <x v="0"/>
    <x v="18"/>
    <n v="578"/>
    <x v="1"/>
  </r>
  <r>
    <x v="22"/>
    <x v="0"/>
    <x v="44"/>
    <n v="113"/>
    <x v="1"/>
  </r>
  <r>
    <x v="23"/>
    <x v="0"/>
    <x v="53"/>
    <n v="36"/>
    <x v="0"/>
  </r>
  <r>
    <x v="22"/>
    <x v="0"/>
    <x v="15"/>
    <n v="1819"/>
    <x v="1"/>
  </r>
  <r>
    <x v="23"/>
    <x v="0"/>
    <x v="41"/>
    <n v="2"/>
    <x v="0"/>
  </r>
  <r>
    <x v="22"/>
    <x v="0"/>
    <x v="16"/>
    <n v="1"/>
    <x v="0"/>
  </r>
  <r>
    <x v="23"/>
    <x v="0"/>
    <x v="44"/>
    <n v="82"/>
    <x v="0"/>
  </r>
  <r>
    <x v="23"/>
    <x v="0"/>
    <x v="23"/>
    <n v="2254"/>
    <x v="1"/>
  </r>
  <r>
    <x v="22"/>
    <x v="0"/>
    <x v="42"/>
    <n v="1"/>
    <x v="0"/>
  </r>
  <r>
    <x v="23"/>
    <x v="0"/>
    <x v="30"/>
    <n v="1577"/>
    <x v="1"/>
  </r>
  <r>
    <x v="23"/>
    <x v="0"/>
    <x v="36"/>
    <n v="235"/>
    <x v="1"/>
  </r>
  <r>
    <x v="22"/>
    <x v="0"/>
    <x v="4"/>
    <n v="739"/>
    <x v="1"/>
  </r>
  <r>
    <x v="23"/>
    <x v="0"/>
    <x v="42"/>
    <n v="1"/>
    <x v="0"/>
  </r>
  <r>
    <x v="23"/>
    <x v="0"/>
    <x v="32"/>
    <n v="1388"/>
    <x v="1"/>
  </r>
  <r>
    <x v="23"/>
    <x v="0"/>
    <x v="46"/>
    <n v="2"/>
    <x v="0"/>
  </r>
  <r>
    <x v="23"/>
    <x v="0"/>
    <x v="5"/>
    <n v="4"/>
    <x v="0"/>
  </r>
  <r>
    <x v="23"/>
    <x v="0"/>
    <x v="34"/>
    <n v="1572"/>
    <x v="1"/>
  </r>
  <r>
    <x v="22"/>
    <x v="0"/>
    <x v="20"/>
    <n v="2510"/>
    <x v="1"/>
  </r>
  <r>
    <x v="23"/>
    <x v="0"/>
    <x v="1"/>
    <n v="441"/>
    <x v="1"/>
  </r>
  <r>
    <x v="23"/>
    <x v="0"/>
    <x v="38"/>
    <n v="24"/>
    <x v="0"/>
  </r>
  <r>
    <x v="23"/>
    <x v="0"/>
    <x v="15"/>
    <n v="3553"/>
    <x v="1"/>
  </r>
  <r>
    <x v="23"/>
    <x v="0"/>
    <x v="52"/>
    <n v="1"/>
    <x v="0"/>
  </r>
  <r>
    <x v="22"/>
    <x v="0"/>
    <x v="28"/>
    <n v="2985"/>
    <x v="1"/>
  </r>
  <r>
    <x v="22"/>
    <x v="0"/>
    <x v="68"/>
    <n v="1635"/>
    <x v="1"/>
  </r>
  <r>
    <x v="22"/>
    <x v="0"/>
    <x v="7"/>
    <n v="1845"/>
    <x v="1"/>
  </r>
  <r>
    <x v="22"/>
    <x v="0"/>
    <x v="52"/>
    <n v="1"/>
    <x v="0"/>
  </r>
  <r>
    <x v="23"/>
    <x v="0"/>
    <x v="21"/>
    <n v="252"/>
    <x v="1"/>
  </r>
  <r>
    <x v="23"/>
    <x v="0"/>
    <x v="16"/>
    <n v="1"/>
    <x v="0"/>
  </r>
  <r>
    <x v="22"/>
    <x v="0"/>
    <x v="60"/>
    <n v="2"/>
    <x v="0"/>
  </r>
  <r>
    <x v="22"/>
    <x v="0"/>
    <x v="24"/>
    <n v="5131"/>
    <x v="1"/>
  </r>
  <r>
    <x v="22"/>
    <x v="0"/>
    <x v="19"/>
    <n v="1283"/>
    <x v="1"/>
  </r>
  <r>
    <x v="23"/>
    <x v="0"/>
    <x v="48"/>
    <n v="1"/>
    <x v="0"/>
  </r>
  <r>
    <x v="23"/>
    <x v="0"/>
    <x v="10"/>
    <n v="7"/>
    <x v="0"/>
  </r>
  <r>
    <x v="22"/>
    <x v="0"/>
    <x v="36"/>
    <n v="213"/>
    <x v="1"/>
  </r>
  <r>
    <x v="22"/>
    <x v="0"/>
    <x v="53"/>
    <n v="374"/>
    <x v="1"/>
  </r>
  <r>
    <x v="23"/>
    <x v="0"/>
    <x v="59"/>
    <n v="3"/>
    <x v="0"/>
  </r>
  <r>
    <x v="22"/>
    <x v="0"/>
    <x v="61"/>
    <n v="1"/>
    <x v="0"/>
  </r>
  <r>
    <x v="23"/>
    <x v="0"/>
    <x v="49"/>
    <n v="1256"/>
    <x v="1"/>
  </r>
  <r>
    <x v="23"/>
    <x v="0"/>
    <x v="40"/>
    <n v="5"/>
    <x v="0"/>
  </r>
  <r>
    <x v="22"/>
    <x v="0"/>
    <x v="46"/>
    <n v="3"/>
    <x v="0"/>
  </r>
  <r>
    <x v="23"/>
    <x v="0"/>
    <x v="3"/>
    <n v="2402"/>
    <x v="1"/>
  </r>
  <r>
    <x v="23"/>
    <x v="0"/>
    <x v="20"/>
    <n v="1511"/>
    <x v="1"/>
  </r>
  <r>
    <x v="22"/>
    <x v="0"/>
    <x v="8"/>
    <n v="2280"/>
    <x v="1"/>
  </r>
  <r>
    <x v="23"/>
    <x v="0"/>
    <x v="4"/>
    <n v="585"/>
    <x v="1"/>
  </r>
  <r>
    <x v="23"/>
    <x v="0"/>
    <x v="8"/>
    <n v="2359"/>
    <x v="1"/>
  </r>
  <r>
    <x v="22"/>
    <x v="0"/>
    <x v="63"/>
    <n v="2680"/>
    <x v="1"/>
  </r>
  <r>
    <x v="23"/>
    <x v="0"/>
    <x v="45"/>
    <n v="5"/>
    <x v="0"/>
  </r>
  <r>
    <x v="23"/>
    <x v="0"/>
    <x v="47"/>
    <n v="7"/>
    <x v="0"/>
  </r>
  <r>
    <x v="22"/>
    <x v="0"/>
    <x v="58"/>
    <n v="2"/>
    <x v="0"/>
  </r>
  <r>
    <x v="2"/>
    <x v="0"/>
    <x v="11"/>
    <n v="923"/>
    <x v="1"/>
  </r>
  <r>
    <x v="2"/>
    <x v="0"/>
    <x v="50"/>
    <n v="1"/>
    <x v="0"/>
  </r>
  <r>
    <x v="2"/>
    <x v="0"/>
    <x v="36"/>
    <n v="229"/>
    <x v="1"/>
  </r>
  <r>
    <x v="24"/>
    <x v="0"/>
    <x v="1"/>
    <n v="489"/>
    <x v="1"/>
  </r>
  <r>
    <x v="2"/>
    <x v="0"/>
    <x v="7"/>
    <n v="1863"/>
    <x v="1"/>
  </r>
  <r>
    <x v="2"/>
    <x v="0"/>
    <x v="31"/>
    <n v="3046"/>
    <x v="1"/>
  </r>
  <r>
    <x v="2"/>
    <x v="0"/>
    <x v="49"/>
    <n v="1291"/>
    <x v="1"/>
  </r>
  <r>
    <x v="2"/>
    <x v="0"/>
    <x v="20"/>
    <n v="1523"/>
    <x v="1"/>
  </r>
  <r>
    <x v="24"/>
    <x v="0"/>
    <x v="28"/>
    <n v="2978"/>
    <x v="1"/>
  </r>
  <r>
    <x v="2"/>
    <x v="0"/>
    <x v="15"/>
    <n v="3413"/>
    <x v="1"/>
  </r>
  <r>
    <x v="24"/>
    <x v="0"/>
    <x v="61"/>
    <n v="1"/>
    <x v="0"/>
  </r>
  <r>
    <x v="2"/>
    <x v="0"/>
    <x v="32"/>
    <n v="1348"/>
    <x v="1"/>
  </r>
  <r>
    <x v="24"/>
    <x v="0"/>
    <x v="67"/>
    <n v="2381"/>
    <x v="1"/>
  </r>
  <r>
    <x v="2"/>
    <x v="0"/>
    <x v="54"/>
    <n v="70"/>
    <x v="0"/>
  </r>
  <r>
    <x v="2"/>
    <x v="0"/>
    <x v="40"/>
    <n v="6"/>
    <x v="0"/>
  </r>
  <r>
    <x v="2"/>
    <x v="0"/>
    <x v="58"/>
    <n v="1"/>
    <x v="0"/>
  </r>
  <r>
    <x v="24"/>
    <x v="0"/>
    <x v="6"/>
    <n v="9"/>
    <x v="0"/>
  </r>
  <r>
    <x v="2"/>
    <x v="0"/>
    <x v="53"/>
    <n v="413"/>
    <x v="1"/>
  </r>
  <r>
    <x v="24"/>
    <x v="0"/>
    <x v="30"/>
    <n v="1643"/>
    <x v="1"/>
  </r>
  <r>
    <x v="2"/>
    <x v="0"/>
    <x v="21"/>
    <n v="252"/>
    <x v="1"/>
  </r>
  <r>
    <x v="24"/>
    <x v="0"/>
    <x v="5"/>
    <n v="1"/>
    <x v="0"/>
  </r>
  <r>
    <x v="24"/>
    <x v="0"/>
    <x v="10"/>
    <n v="5"/>
    <x v="0"/>
  </r>
  <r>
    <x v="2"/>
    <x v="0"/>
    <x v="19"/>
    <n v="1251"/>
    <x v="1"/>
  </r>
  <r>
    <x v="2"/>
    <x v="0"/>
    <x v="34"/>
    <n v="1579"/>
    <x v="1"/>
  </r>
  <r>
    <x v="2"/>
    <x v="0"/>
    <x v="41"/>
    <n v="2"/>
    <x v="0"/>
  </r>
  <r>
    <x v="24"/>
    <x v="0"/>
    <x v="9"/>
    <n v="2210"/>
    <x v="1"/>
  </r>
  <r>
    <x v="2"/>
    <x v="0"/>
    <x v="8"/>
    <n v="2322"/>
    <x v="1"/>
  </r>
  <r>
    <x v="24"/>
    <x v="0"/>
    <x v="39"/>
    <n v="1913"/>
    <x v="1"/>
  </r>
  <r>
    <x v="2"/>
    <x v="0"/>
    <x v="33"/>
    <n v="678"/>
    <x v="1"/>
  </r>
  <r>
    <x v="2"/>
    <x v="0"/>
    <x v="29"/>
    <n v="2472"/>
    <x v="1"/>
  </r>
  <r>
    <x v="2"/>
    <x v="0"/>
    <x v="45"/>
    <n v="4"/>
    <x v="0"/>
  </r>
  <r>
    <x v="2"/>
    <x v="0"/>
    <x v="37"/>
    <n v="2737"/>
    <x v="1"/>
  </r>
  <r>
    <x v="24"/>
    <x v="0"/>
    <x v="33"/>
    <n v="701"/>
    <x v="1"/>
  </r>
  <r>
    <x v="24"/>
    <x v="0"/>
    <x v="42"/>
    <n v="1"/>
    <x v="0"/>
  </r>
  <r>
    <x v="24"/>
    <x v="0"/>
    <x v="18"/>
    <n v="578"/>
    <x v="1"/>
  </r>
  <r>
    <x v="24"/>
    <x v="0"/>
    <x v="20"/>
    <n v="2518"/>
    <x v="1"/>
  </r>
  <r>
    <x v="24"/>
    <x v="0"/>
    <x v="19"/>
    <n v="1282"/>
    <x v="1"/>
  </r>
  <r>
    <x v="2"/>
    <x v="0"/>
    <x v="46"/>
    <n v="3"/>
    <x v="0"/>
  </r>
  <r>
    <x v="2"/>
    <x v="0"/>
    <x v="60"/>
    <n v="1"/>
    <x v="0"/>
  </r>
  <r>
    <x v="24"/>
    <x v="0"/>
    <x v="66"/>
    <n v="2680"/>
    <x v="1"/>
  </r>
  <r>
    <x v="24"/>
    <x v="0"/>
    <x v="11"/>
    <n v="875"/>
    <x v="1"/>
  </r>
  <r>
    <x v="24"/>
    <x v="0"/>
    <x v="56"/>
    <n v="7"/>
    <x v="0"/>
  </r>
  <r>
    <x v="24"/>
    <x v="0"/>
    <x v="40"/>
    <n v="3"/>
    <x v="0"/>
  </r>
  <r>
    <x v="24"/>
    <x v="0"/>
    <x v="69"/>
    <n v="1"/>
    <x v="0"/>
  </r>
  <r>
    <x v="24"/>
    <x v="0"/>
    <x v="64"/>
    <n v="1"/>
    <x v="0"/>
  </r>
  <r>
    <x v="24"/>
    <x v="0"/>
    <x v="21"/>
    <n v="248"/>
    <x v="1"/>
  </r>
  <r>
    <x v="24"/>
    <x v="0"/>
    <x v="68"/>
    <n v="1633"/>
    <x v="1"/>
  </r>
  <r>
    <x v="24"/>
    <x v="0"/>
    <x v="36"/>
    <n v="212"/>
    <x v="1"/>
  </r>
  <r>
    <x v="2"/>
    <x v="0"/>
    <x v="57"/>
    <n v="1"/>
    <x v="0"/>
  </r>
  <r>
    <x v="2"/>
    <x v="0"/>
    <x v="42"/>
    <n v="1"/>
    <x v="0"/>
  </r>
  <r>
    <x v="24"/>
    <x v="0"/>
    <x v="4"/>
    <n v="743"/>
    <x v="1"/>
  </r>
  <r>
    <x v="24"/>
    <x v="0"/>
    <x v="23"/>
    <n v="2273"/>
    <x v="1"/>
  </r>
  <r>
    <x v="24"/>
    <x v="0"/>
    <x v="53"/>
    <n v="373"/>
    <x v="1"/>
  </r>
  <r>
    <x v="2"/>
    <x v="0"/>
    <x v="30"/>
    <n v="1589"/>
    <x v="1"/>
  </r>
  <r>
    <x v="24"/>
    <x v="0"/>
    <x v="16"/>
    <n v="1"/>
    <x v="0"/>
  </r>
  <r>
    <x v="2"/>
    <x v="0"/>
    <x v="56"/>
    <n v="8"/>
    <x v="0"/>
  </r>
  <r>
    <x v="24"/>
    <x v="0"/>
    <x v="62"/>
    <n v="1"/>
    <x v="0"/>
  </r>
  <r>
    <x v="24"/>
    <x v="0"/>
    <x v="49"/>
    <n v="1298"/>
    <x v="1"/>
  </r>
  <r>
    <x v="2"/>
    <x v="0"/>
    <x v="10"/>
    <n v="7"/>
    <x v="0"/>
  </r>
  <r>
    <x v="24"/>
    <x v="0"/>
    <x v="54"/>
    <n v="96"/>
    <x v="0"/>
  </r>
  <r>
    <x v="24"/>
    <x v="0"/>
    <x v="47"/>
    <n v="18"/>
    <x v="0"/>
  </r>
  <r>
    <x v="2"/>
    <x v="0"/>
    <x v="25"/>
    <n v="1"/>
    <x v="0"/>
  </r>
  <r>
    <x v="2"/>
    <x v="0"/>
    <x v="24"/>
    <n v="2221"/>
    <x v="1"/>
  </r>
  <r>
    <x v="2"/>
    <x v="0"/>
    <x v="38"/>
    <n v="24"/>
    <x v="0"/>
  </r>
  <r>
    <x v="2"/>
    <x v="0"/>
    <x v="16"/>
    <n v="1"/>
    <x v="0"/>
  </r>
  <r>
    <x v="24"/>
    <x v="0"/>
    <x v="15"/>
    <n v="1855"/>
    <x v="1"/>
  </r>
  <r>
    <x v="24"/>
    <x v="0"/>
    <x v="3"/>
    <n v="2434"/>
    <x v="1"/>
  </r>
  <r>
    <x v="24"/>
    <x v="0"/>
    <x v="46"/>
    <n v="3"/>
    <x v="0"/>
  </r>
  <r>
    <x v="2"/>
    <x v="0"/>
    <x v="27"/>
    <n v="2651"/>
    <x v="1"/>
  </r>
  <r>
    <x v="2"/>
    <x v="0"/>
    <x v="1"/>
    <n v="442"/>
    <x v="1"/>
  </r>
  <r>
    <x v="24"/>
    <x v="0"/>
    <x v="31"/>
    <n v="3019"/>
    <x v="1"/>
  </r>
  <r>
    <x v="2"/>
    <x v="0"/>
    <x v="48"/>
    <n v="1"/>
    <x v="0"/>
  </r>
  <r>
    <x v="2"/>
    <x v="0"/>
    <x v="52"/>
    <n v="1"/>
    <x v="0"/>
  </r>
  <r>
    <x v="24"/>
    <x v="0"/>
    <x v="60"/>
    <n v="2"/>
    <x v="0"/>
  </r>
  <r>
    <x v="24"/>
    <x v="0"/>
    <x v="52"/>
    <n v="1"/>
    <x v="0"/>
  </r>
  <r>
    <x v="24"/>
    <x v="0"/>
    <x v="8"/>
    <n v="2270"/>
    <x v="1"/>
  </r>
  <r>
    <x v="24"/>
    <x v="0"/>
    <x v="32"/>
    <n v="1372"/>
    <x v="1"/>
  </r>
  <r>
    <x v="2"/>
    <x v="0"/>
    <x v="5"/>
    <n v="4"/>
    <x v="0"/>
  </r>
  <r>
    <x v="2"/>
    <x v="0"/>
    <x v="51"/>
    <n v="5"/>
    <x v="0"/>
  </r>
  <r>
    <x v="2"/>
    <x v="0"/>
    <x v="59"/>
    <n v="3"/>
    <x v="0"/>
  </r>
  <r>
    <x v="2"/>
    <x v="0"/>
    <x v="28"/>
    <n v="2938"/>
    <x v="1"/>
  </r>
  <r>
    <x v="2"/>
    <x v="0"/>
    <x v="35"/>
    <n v="2302"/>
    <x v="1"/>
  </r>
  <r>
    <x v="2"/>
    <x v="0"/>
    <x v="17"/>
    <n v="1"/>
    <x v="0"/>
  </r>
  <r>
    <x v="2"/>
    <x v="0"/>
    <x v="6"/>
    <n v="9"/>
    <x v="0"/>
  </r>
  <r>
    <x v="2"/>
    <x v="0"/>
    <x v="3"/>
    <n v="2394"/>
    <x v="1"/>
  </r>
  <r>
    <x v="2"/>
    <x v="0"/>
    <x v="47"/>
    <n v="7"/>
    <x v="0"/>
  </r>
  <r>
    <x v="24"/>
    <x v="0"/>
    <x v="26"/>
    <n v="1201"/>
    <x v="1"/>
  </r>
  <r>
    <x v="24"/>
    <x v="0"/>
    <x v="58"/>
    <n v="2"/>
    <x v="0"/>
  </r>
  <r>
    <x v="24"/>
    <x v="0"/>
    <x v="57"/>
    <n v="1"/>
    <x v="0"/>
  </r>
  <r>
    <x v="2"/>
    <x v="0"/>
    <x v="18"/>
    <n v="538"/>
    <x v="1"/>
  </r>
  <r>
    <x v="2"/>
    <x v="0"/>
    <x v="61"/>
    <n v="1"/>
    <x v="0"/>
  </r>
  <r>
    <x v="24"/>
    <x v="0"/>
    <x v="59"/>
    <n v="3"/>
    <x v="0"/>
  </r>
  <r>
    <x v="24"/>
    <x v="0"/>
    <x v="44"/>
    <n v="114"/>
    <x v="1"/>
  </r>
  <r>
    <x v="2"/>
    <x v="0"/>
    <x v="44"/>
    <n v="95"/>
    <x v="0"/>
  </r>
  <r>
    <x v="2"/>
    <x v="0"/>
    <x v="26"/>
    <n v="1157"/>
    <x v="1"/>
  </r>
  <r>
    <x v="2"/>
    <x v="0"/>
    <x v="9"/>
    <n v="1983"/>
    <x v="1"/>
  </r>
  <r>
    <x v="24"/>
    <x v="0"/>
    <x v="29"/>
    <n v="3142"/>
    <x v="1"/>
  </r>
  <r>
    <x v="2"/>
    <x v="0"/>
    <x v="14"/>
    <n v="1133"/>
    <x v="1"/>
  </r>
  <r>
    <x v="24"/>
    <x v="0"/>
    <x v="63"/>
    <n v="2679"/>
    <x v="1"/>
  </r>
  <r>
    <x v="2"/>
    <x v="0"/>
    <x v="4"/>
    <n v="569"/>
    <x v="1"/>
  </r>
  <r>
    <x v="24"/>
    <x v="0"/>
    <x v="35"/>
    <n v="1"/>
    <x v="0"/>
  </r>
  <r>
    <x v="24"/>
    <x v="0"/>
    <x v="51"/>
    <n v="455"/>
    <x v="1"/>
  </r>
  <r>
    <x v="2"/>
    <x v="0"/>
    <x v="22"/>
    <n v="2660"/>
    <x v="1"/>
  </r>
  <r>
    <x v="2"/>
    <x v="0"/>
    <x v="39"/>
    <n v="1896"/>
    <x v="1"/>
  </r>
  <r>
    <x v="2"/>
    <x v="0"/>
    <x v="23"/>
    <n v="2262"/>
    <x v="1"/>
  </r>
  <r>
    <x v="2"/>
    <x v="0"/>
    <x v="55"/>
    <n v="1"/>
    <x v="0"/>
  </r>
  <r>
    <x v="24"/>
    <x v="0"/>
    <x v="7"/>
    <n v="1841"/>
    <x v="1"/>
  </r>
  <r>
    <x v="24"/>
    <x v="0"/>
    <x v="24"/>
    <n v="5160"/>
    <x v="1"/>
  </r>
  <r>
    <x v="24"/>
    <x v="0"/>
    <x v="14"/>
    <n v="1111"/>
    <x v="1"/>
  </r>
  <r>
    <x v="25"/>
    <x v="0"/>
    <x v="46"/>
    <n v="3"/>
    <x v="0"/>
  </r>
  <r>
    <x v="25"/>
    <x v="0"/>
    <x v="52"/>
    <n v="1"/>
    <x v="0"/>
  </r>
  <r>
    <x v="25"/>
    <x v="0"/>
    <x v="1"/>
    <n v="505"/>
    <x v="1"/>
  </r>
  <r>
    <x v="3"/>
    <x v="0"/>
    <x v="35"/>
    <n v="2305"/>
    <x v="1"/>
  </r>
  <r>
    <x v="3"/>
    <x v="0"/>
    <x v="41"/>
    <n v="1"/>
    <x v="0"/>
  </r>
  <r>
    <x v="3"/>
    <x v="0"/>
    <x v="52"/>
    <n v="1"/>
    <x v="0"/>
  </r>
  <r>
    <x v="25"/>
    <x v="0"/>
    <x v="11"/>
    <n v="897"/>
    <x v="1"/>
  </r>
  <r>
    <x v="25"/>
    <x v="0"/>
    <x v="19"/>
    <n v="1252"/>
    <x v="1"/>
  </r>
  <r>
    <x v="3"/>
    <x v="0"/>
    <x v="56"/>
    <n v="8"/>
    <x v="0"/>
  </r>
  <r>
    <x v="3"/>
    <x v="0"/>
    <x v="23"/>
    <n v="2248"/>
    <x v="1"/>
  </r>
  <r>
    <x v="25"/>
    <x v="0"/>
    <x v="15"/>
    <n v="1931"/>
    <x v="1"/>
  </r>
  <r>
    <x v="25"/>
    <x v="0"/>
    <x v="31"/>
    <n v="3009"/>
    <x v="1"/>
  </r>
  <r>
    <x v="3"/>
    <x v="0"/>
    <x v="32"/>
    <n v="1352"/>
    <x v="1"/>
  </r>
  <r>
    <x v="3"/>
    <x v="0"/>
    <x v="3"/>
    <n v="2392"/>
    <x v="1"/>
  </r>
  <r>
    <x v="25"/>
    <x v="0"/>
    <x v="58"/>
    <n v="2"/>
    <x v="0"/>
  </r>
  <r>
    <x v="3"/>
    <x v="0"/>
    <x v="1"/>
    <n v="454"/>
    <x v="1"/>
  </r>
  <r>
    <x v="25"/>
    <x v="0"/>
    <x v="61"/>
    <n v="1"/>
    <x v="0"/>
  </r>
  <r>
    <x v="25"/>
    <x v="0"/>
    <x v="67"/>
    <n v="2388"/>
    <x v="1"/>
  </r>
  <r>
    <x v="25"/>
    <x v="0"/>
    <x v="49"/>
    <n v="1291"/>
    <x v="1"/>
  </r>
  <r>
    <x v="3"/>
    <x v="0"/>
    <x v="39"/>
    <n v="1863"/>
    <x v="1"/>
  </r>
  <r>
    <x v="25"/>
    <x v="0"/>
    <x v="68"/>
    <n v="1642"/>
    <x v="1"/>
  </r>
  <r>
    <x v="25"/>
    <x v="0"/>
    <x v="51"/>
    <n v="461"/>
    <x v="1"/>
  </r>
  <r>
    <x v="25"/>
    <x v="0"/>
    <x v="21"/>
    <n v="248"/>
    <x v="1"/>
  </r>
  <r>
    <x v="3"/>
    <x v="0"/>
    <x v="28"/>
    <n v="2953"/>
    <x v="1"/>
  </r>
  <r>
    <x v="25"/>
    <x v="0"/>
    <x v="33"/>
    <n v="715"/>
    <x v="1"/>
  </r>
  <r>
    <x v="3"/>
    <x v="0"/>
    <x v="6"/>
    <n v="9"/>
    <x v="0"/>
  </r>
  <r>
    <x v="3"/>
    <x v="0"/>
    <x v="60"/>
    <n v="1"/>
    <x v="0"/>
  </r>
  <r>
    <x v="3"/>
    <x v="0"/>
    <x v="48"/>
    <n v="1"/>
    <x v="0"/>
  </r>
  <r>
    <x v="3"/>
    <x v="0"/>
    <x v="36"/>
    <n v="227"/>
    <x v="1"/>
  </r>
  <r>
    <x v="25"/>
    <x v="0"/>
    <x v="6"/>
    <n v="9"/>
    <x v="0"/>
  </r>
  <r>
    <x v="3"/>
    <x v="0"/>
    <x v="21"/>
    <n v="249"/>
    <x v="1"/>
  </r>
  <r>
    <x v="25"/>
    <x v="0"/>
    <x v="62"/>
    <n v="1"/>
    <x v="0"/>
  </r>
  <r>
    <x v="25"/>
    <x v="0"/>
    <x v="3"/>
    <n v="2448"/>
    <x v="1"/>
  </r>
  <r>
    <x v="3"/>
    <x v="0"/>
    <x v="22"/>
    <n v="2663"/>
    <x v="1"/>
  </r>
  <r>
    <x v="25"/>
    <x v="0"/>
    <x v="39"/>
    <n v="1906"/>
    <x v="1"/>
  </r>
  <r>
    <x v="3"/>
    <x v="0"/>
    <x v="4"/>
    <n v="593"/>
    <x v="1"/>
  </r>
  <r>
    <x v="3"/>
    <x v="0"/>
    <x v="51"/>
    <n v="11"/>
    <x v="0"/>
  </r>
  <r>
    <x v="3"/>
    <x v="0"/>
    <x v="59"/>
    <n v="3"/>
    <x v="0"/>
  </r>
  <r>
    <x v="3"/>
    <x v="0"/>
    <x v="20"/>
    <n v="1533"/>
    <x v="1"/>
  </r>
  <r>
    <x v="25"/>
    <x v="0"/>
    <x v="56"/>
    <n v="7"/>
    <x v="0"/>
  </r>
  <r>
    <x v="25"/>
    <x v="0"/>
    <x v="24"/>
    <n v="5197"/>
    <x v="1"/>
  </r>
  <r>
    <x v="3"/>
    <x v="0"/>
    <x v="24"/>
    <n v="2235"/>
    <x v="1"/>
  </r>
  <r>
    <x v="25"/>
    <x v="0"/>
    <x v="14"/>
    <n v="1112"/>
    <x v="1"/>
  </r>
  <r>
    <x v="25"/>
    <x v="0"/>
    <x v="57"/>
    <n v="1"/>
    <x v="0"/>
  </r>
  <r>
    <x v="3"/>
    <x v="0"/>
    <x v="16"/>
    <n v="1"/>
    <x v="0"/>
  </r>
  <r>
    <x v="3"/>
    <x v="0"/>
    <x v="49"/>
    <n v="1315"/>
    <x v="1"/>
  </r>
  <r>
    <x v="25"/>
    <x v="0"/>
    <x v="18"/>
    <n v="598"/>
    <x v="1"/>
  </r>
  <r>
    <x v="3"/>
    <x v="0"/>
    <x v="8"/>
    <n v="2322"/>
    <x v="1"/>
  </r>
  <r>
    <x v="3"/>
    <x v="0"/>
    <x v="7"/>
    <n v="1866"/>
    <x v="1"/>
  </r>
  <r>
    <x v="3"/>
    <x v="0"/>
    <x v="47"/>
    <n v="7"/>
    <x v="0"/>
  </r>
  <r>
    <x v="25"/>
    <x v="0"/>
    <x v="59"/>
    <n v="3"/>
    <x v="0"/>
  </r>
  <r>
    <x v="25"/>
    <x v="0"/>
    <x v="26"/>
    <n v="1231"/>
    <x v="1"/>
  </r>
  <r>
    <x v="3"/>
    <x v="0"/>
    <x v="11"/>
    <n v="904"/>
    <x v="1"/>
  </r>
  <r>
    <x v="3"/>
    <x v="0"/>
    <x v="46"/>
    <n v="3"/>
    <x v="0"/>
  </r>
  <r>
    <x v="3"/>
    <x v="0"/>
    <x v="17"/>
    <n v="1"/>
    <x v="0"/>
  </r>
  <r>
    <x v="25"/>
    <x v="0"/>
    <x v="4"/>
    <n v="750"/>
    <x v="1"/>
  </r>
  <r>
    <x v="3"/>
    <x v="0"/>
    <x v="27"/>
    <n v="2675"/>
    <x v="1"/>
  </r>
  <r>
    <x v="3"/>
    <x v="0"/>
    <x v="14"/>
    <n v="1135"/>
    <x v="1"/>
  </r>
  <r>
    <x v="25"/>
    <x v="0"/>
    <x v="63"/>
    <n v="2689"/>
    <x v="1"/>
  </r>
  <r>
    <x v="3"/>
    <x v="0"/>
    <x v="42"/>
    <n v="1"/>
    <x v="0"/>
  </r>
  <r>
    <x v="3"/>
    <x v="0"/>
    <x v="31"/>
    <n v="3055"/>
    <x v="1"/>
  </r>
  <r>
    <x v="3"/>
    <x v="0"/>
    <x v="40"/>
    <n v="4"/>
    <x v="0"/>
  </r>
  <r>
    <x v="3"/>
    <x v="0"/>
    <x v="33"/>
    <n v="691"/>
    <x v="1"/>
  </r>
  <r>
    <x v="25"/>
    <x v="0"/>
    <x v="36"/>
    <n v="204"/>
    <x v="1"/>
  </r>
  <r>
    <x v="3"/>
    <x v="0"/>
    <x v="34"/>
    <n v="1592"/>
    <x v="1"/>
  </r>
  <r>
    <x v="25"/>
    <x v="0"/>
    <x v="30"/>
    <n v="1690"/>
    <x v="1"/>
  </r>
  <r>
    <x v="25"/>
    <x v="0"/>
    <x v="42"/>
    <n v="1"/>
    <x v="0"/>
  </r>
  <r>
    <x v="25"/>
    <x v="0"/>
    <x v="10"/>
    <n v="5"/>
    <x v="0"/>
  </r>
  <r>
    <x v="25"/>
    <x v="0"/>
    <x v="35"/>
    <n v="1"/>
    <x v="0"/>
  </r>
  <r>
    <x v="25"/>
    <x v="0"/>
    <x v="70"/>
    <n v="1"/>
    <x v="0"/>
  </r>
  <r>
    <x v="3"/>
    <x v="0"/>
    <x v="19"/>
    <n v="1253"/>
    <x v="1"/>
  </r>
  <r>
    <x v="3"/>
    <x v="0"/>
    <x v="58"/>
    <n v="1"/>
    <x v="0"/>
  </r>
  <r>
    <x v="25"/>
    <x v="0"/>
    <x v="47"/>
    <n v="18"/>
    <x v="0"/>
  </r>
  <r>
    <x v="25"/>
    <x v="0"/>
    <x v="54"/>
    <n v="96"/>
    <x v="0"/>
  </r>
  <r>
    <x v="3"/>
    <x v="0"/>
    <x v="5"/>
    <n v="4"/>
    <x v="0"/>
  </r>
  <r>
    <x v="3"/>
    <x v="0"/>
    <x v="9"/>
    <n v="1984"/>
    <x v="1"/>
  </r>
  <r>
    <x v="25"/>
    <x v="0"/>
    <x v="7"/>
    <n v="1835"/>
    <x v="1"/>
  </r>
  <r>
    <x v="3"/>
    <x v="0"/>
    <x v="45"/>
    <n v="4"/>
    <x v="0"/>
  </r>
  <r>
    <x v="25"/>
    <x v="0"/>
    <x v="53"/>
    <n v="371"/>
    <x v="1"/>
  </r>
  <r>
    <x v="25"/>
    <x v="0"/>
    <x v="8"/>
    <n v="2305"/>
    <x v="1"/>
  </r>
  <r>
    <x v="25"/>
    <x v="0"/>
    <x v="28"/>
    <n v="2960"/>
    <x v="1"/>
  </r>
  <r>
    <x v="25"/>
    <x v="0"/>
    <x v="29"/>
    <n v="3153"/>
    <x v="1"/>
  </r>
  <r>
    <x v="25"/>
    <x v="0"/>
    <x v="16"/>
    <n v="1"/>
    <x v="0"/>
  </r>
  <r>
    <x v="3"/>
    <x v="0"/>
    <x v="26"/>
    <n v="1169"/>
    <x v="1"/>
  </r>
  <r>
    <x v="3"/>
    <x v="0"/>
    <x v="10"/>
    <n v="7"/>
    <x v="0"/>
  </r>
  <r>
    <x v="25"/>
    <x v="0"/>
    <x v="40"/>
    <n v="3"/>
    <x v="0"/>
  </r>
  <r>
    <x v="3"/>
    <x v="0"/>
    <x v="54"/>
    <n v="73"/>
    <x v="0"/>
  </r>
  <r>
    <x v="3"/>
    <x v="0"/>
    <x v="55"/>
    <n v="1"/>
    <x v="0"/>
  </r>
  <r>
    <x v="25"/>
    <x v="0"/>
    <x v="32"/>
    <n v="1401"/>
    <x v="1"/>
  </r>
  <r>
    <x v="25"/>
    <x v="0"/>
    <x v="9"/>
    <n v="2219"/>
    <x v="1"/>
  </r>
  <r>
    <x v="25"/>
    <x v="0"/>
    <x v="66"/>
    <n v="2659"/>
    <x v="1"/>
  </r>
  <r>
    <x v="25"/>
    <x v="0"/>
    <x v="44"/>
    <n v="119"/>
    <x v="1"/>
  </r>
  <r>
    <x v="3"/>
    <x v="0"/>
    <x v="61"/>
    <n v="1"/>
    <x v="0"/>
  </r>
  <r>
    <x v="25"/>
    <x v="0"/>
    <x v="64"/>
    <n v="1"/>
    <x v="0"/>
  </r>
  <r>
    <x v="25"/>
    <x v="0"/>
    <x v="60"/>
    <n v="2"/>
    <x v="0"/>
  </r>
  <r>
    <x v="25"/>
    <x v="0"/>
    <x v="69"/>
    <n v="1"/>
    <x v="0"/>
  </r>
  <r>
    <x v="3"/>
    <x v="0"/>
    <x v="57"/>
    <n v="1"/>
    <x v="0"/>
  </r>
  <r>
    <x v="3"/>
    <x v="0"/>
    <x v="37"/>
    <n v="2736"/>
    <x v="1"/>
  </r>
  <r>
    <x v="3"/>
    <x v="0"/>
    <x v="53"/>
    <n v="408"/>
    <x v="1"/>
  </r>
  <r>
    <x v="3"/>
    <x v="0"/>
    <x v="15"/>
    <n v="3419"/>
    <x v="1"/>
  </r>
  <r>
    <x v="3"/>
    <x v="0"/>
    <x v="38"/>
    <n v="24"/>
    <x v="0"/>
  </r>
  <r>
    <x v="3"/>
    <x v="0"/>
    <x v="29"/>
    <n v="2478"/>
    <x v="1"/>
  </r>
  <r>
    <x v="25"/>
    <x v="0"/>
    <x v="23"/>
    <n v="2275"/>
    <x v="1"/>
  </r>
  <r>
    <x v="3"/>
    <x v="0"/>
    <x v="44"/>
    <n v="85"/>
    <x v="0"/>
  </r>
  <r>
    <x v="3"/>
    <x v="0"/>
    <x v="30"/>
    <n v="1592"/>
    <x v="1"/>
  </r>
  <r>
    <x v="25"/>
    <x v="0"/>
    <x v="20"/>
    <n v="2523"/>
    <x v="1"/>
  </r>
  <r>
    <x v="25"/>
    <x v="0"/>
    <x v="5"/>
    <n v="1"/>
    <x v="0"/>
  </r>
  <r>
    <x v="3"/>
    <x v="0"/>
    <x v="18"/>
    <n v="543"/>
    <x v="1"/>
  </r>
  <r>
    <x v="5"/>
    <x v="0"/>
    <x v="51"/>
    <n v="12"/>
    <x v="0"/>
  </r>
  <r>
    <x v="5"/>
    <x v="0"/>
    <x v="49"/>
    <n v="1312"/>
    <x v="1"/>
  </r>
  <r>
    <x v="5"/>
    <x v="0"/>
    <x v="11"/>
    <n v="908"/>
    <x v="1"/>
  </r>
  <r>
    <x v="26"/>
    <x v="0"/>
    <x v="11"/>
    <n v="904"/>
    <x v="1"/>
  </r>
  <r>
    <x v="5"/>
    <x v="0"/>
    <x v="15"/>
    <n v="3359"/>
    <x v="1"/>
  </r>
  <r>
    <x v="26"/>
    <x v="0"/>
    <x v="59"/>
    <n v="3"/>
    <x v="0"/>
  </r>
  <r>
    <x v="5"/>
    <x v="0"/>
    <x v="24"/>
    <n v="2229"/>
    <x v="1"/>
  </r>
  <r>
    <x v="5"/>
    <x v="0"/>
    <x v="26"/>
    <n v="1184"/>
    <x v="1"/>
  </r>
  <r>
    <x v="26"/>
    <x v="0"/>
    <x v="7"/>
    <n v="1820"/>
    <x v="1"/>
  </r>
  <r>
    <x v="26"/>
    <x v="0"/>
    <x v="29"/>
    <n v="3158"/>
    <x v="1"/>
  </r>
  <r>
    <x v="5"/>
    <x v="0"/>
    <x v="38"/>
    <n v="24"/>
    <x v="0"/>
  </r>
  <r>
    <x v="26"/>
    <x v="0"/>
    <x v="8"/>
    <n v="2310"/>
    <x v="1"/>
  </r>
  <r>
    <x v="5"/>
    <x v="0"/>
    <x v="30"/>
    <n v="1603"/>
    <x v="1"/>
  </r>
  <r>
    <x v="26"/>
    <x v="0"/>
    <x v="56"/>
    <n v="7"/>
    <x v="0"/>
  </r>
  <r>
    <x v="5"/>
    <x v="0"/>
    <x v="31"/>
    <n v="3063"/>
    <x v="1"/>
  </r>
  <r>
    <x v="5"/>
    <x v="0"/>
    <x v="41"/>
    <n v="1"/>
    <x v="0"/>
  </r>
  <r>
    <x v="5"/>
    <x v="0"/>
    <x v="42"/>
    <n v="1"/>
    <x v="0"/>
  </r>
  <r>
    <x v="5"/>
    <x v="0"/>
    <x v="1"/>
    <n v="452"/>
    <x v="1"/>
  </r>
  <r>
    <x v="26"/>
    <x v="0"/>
    <x v="10"/>
    <n v="5"/>
    <x v="0"/>
  </r>
  <r>
    <x v="5"/>
    <x v="0"/>
    <x v="21"/>
    <n v="248"/>
    <x v="1"/>
  </r>
  <r>
    <x v="5"/>
    <x v="0"/>
    <x v="27"/>
    <n v="2667"/>
    <x v="1"/>
  </r>
  <r>
    <x v="5"/>
    <x v="0"/>
    <x v="33"/>
    <n v="700"/>
    <x v="1"/>
  </r>
  <r>
    <x v="26"/>
    <x v="0"/>
    <x v="15"/>
    <n v="1961"/>
    <x v="1"/>
  </r>
  <r>
    <x v="26"/>
    <x v="0"/>
    <x v="52"/>
    <n v="1"/>
    <x v="0"/>
  </r>
  <r>
    <x v="5"/>
    <x v="0"/>
    <x v="16"/>
    <n v="1"/>
    <x v="0"/>
  </r>
  <r>
    <x v="5"/>
    <x v="0"/>
    <x v="9"/>
    <n v="1991"/>
    <x v="1"/>
  </r>
  <r>
    <x v="5"/>
    <x v="0"/>
    <x v="56"/>
    <n v="7"/>
    <x v="0"/>
  </r>
  <r>
    <x v="26"/>
    <x v="0"/>
    <x v="35"/>
    <n v="1"/>
    <x v="0"/>
  </r>
  <r>
    <x v="5"/>
    <x v="0"/>
    <x v="10"/>
    <n v="7"/>
    <x v="0"/>
  </r>
  <r>
    <x v="5"/>
    <x v="0"/>
    <x v="17"/>
    <n v="1"/>
    <x v="0"/>
  </r>
  <r>
    <x v="5"/>
    <x v="0"/>
    <x v="8"/>
    <n v="2313"/>
    <x v="1"/>
  </r>
  <r>
    <x v="5"/>
    <x v="0"/>
    <x v="48"/>
    <n v="1"/>
    <x v="0"/>
  </r>
  <r>
    <x v="5"/>
    <x v="0"/>
    <x v="46"/>
    <n v="3"/>
    <x v="0"/>
  </r>
  <r>
    <x v="5"/>
    <x v="0"/>
    <x v="29"/>
    <n v="2471"/>
    <x v="1"/>
  </r>
  <r>
    <x v="26"/>
    <x v="0"/>
    <x v="23"/>
    <n v="2257"/>
    <x v="1"/>
  </r>
  <r>
    <x v="26"/>
    <x v="0"/>
    <x v="57"/>
    <n v="1"/>
    <x v="0"/>
  </r>
  <r>
    <x v="5"/>
    <x v="0"/>
    <x v="53"/>
    <n v="526"/>
    <x v="1"/>
  </r>
  <r>
    <x v="26"/>
    <x v="0"/>
    <x v="46"/>
    <n v="3"/>
    <x v="0"/>
  </r>
  <r>
    <x v="5"/>
    <x v="0"/>
    <x v="7"/>
    <n v="1872"/>
    <x v="1"/>
  </r>
  <r>
    <x v="26"/>
    <x v="0"/>
    <x v="24"/>
    <n v="5177"/>
    <x v="1"/>
  </r>
  <r>
    <x v="5"/>
    <x v="0"/>
    <x v="52"/>
    <n v="1"/>
    <x v="0"/>
  </r>
  <r>
    <x v="5"/>
    <x v="0"/>
    <x v="32"/>
    <n v="1344"/>
    <x v="1"/>
  </r>
  <r>
    <x v="26"/>
    <x v="0"/>
    <x v="1"/>
    <n v="508"/>
    <x v="1"/>
  </r>
  <r>
    <x v="26"/>
    <x v="0"/>
    <x v="4"/>
    <n v="756"/>
    <x v="1"/>
  </r>
  <r>
    <x v="26"/>
    <x v="0"/>
    <x v="44"/>
    <n v="125"/>
    <x v="1"/>
  </r>
  <r>
    <x v="26"/>
    <x v="0"/>
    <x v="71"/>
    <n v="2926"/>
    <x v="1"/>
  </r>
  <r>
    <x v="26"/>
    <x v="0"/>
    <x v="36"/>
    <n v="167"/>
    <x v="1"/>
  </r>
  <r>
    <x v="26"/>
    <x v="0"/>
    <x v="16"/>
    <n v="1"/>
    <x v="0"/>
  </r>
  <r>
    <x v="5"/>
    <x v="0"/>
    <x v="36"/>
    <n v="227"/>
    <x v="1"/>
  </r>
  <r>
    <x v="5"/>
    <x v="0"/>
    <x v="23"/>
    <n v="2253"/>
    <x v="1"/>
  </r>
  <r>
    <x v="5"/>
    <x v="0"/>
    <x v="58"/>
    <n v="1"/>
    <x v="0"/>
  </r>
  <r>
    <x v="26"/>
    <x v="0"/>
    <x v="39"/>
    <n v="1897"/>
    <x v="1"/>
  </r>
  <r>
    <x v="26"/>
    <x v="0"/>
    <x v="14"/>
    <n v="1103"/>
    <x v="1"/>
  </r>
  <r>
    <x v="26"/>
    <x v="0"/>
    <x v="21"/>
    <n v="249"/>
    <x v="1"/>
  </r>
  <r>
    <x v="26"/>
    <x v="0"/>
    <x v="20"/>
    <n v="2483"/>
    <x v="1"/>
  </r>
  <r>
    <x v="26"/>
    <x v="0"/>
    <x v="51"/>
    <n v="462"/>
    <x v="1"/>
  </r>
  <r>
    <x v="5"/>
    <x v="0"/>
    <x v="3"/>
    <n v="2392"/>
    <x v="1"/>
  </r>
  <r>
    <x v="5"/>
    <x v="0"/>
    <x v="18"/>
    <n v="549"/>
    <x v="1"/>
  </r>
  <r>
    <x v="5"/>
    <x v="0"/>
    <x v="60"/>
    <n v="1"/>
    <x v="0"/>
  </r>
  <r>
    <x v="5"/>
    <x v="0"/>
    <x v="57"/>
    <n v="1"/>
    <x v="0"/>
  </r>
  <r>
    <x v="26"/>
    <x v="0"/>
    <x v="54"/>
    <n v="96"/>
    <x v="0"/>
  </r>
  <r>
    <x v="5"/>
    <x v="0"/>
    <x v="22"/>
    <n v="2672"/>
    <x v="1"/>
  </r>
  <r>
    <x v="26"/>
    <x v="0"/>
    <x v="47"/>
    <n v="16"/>
    <x v="0"/>
  </r>
  <r>
    <x v="26"/>
    <x v="0"/>
    <x v="42"/>
    <n v="1"/>
    <x v="0"/>
  </r>
  <r>
    <x v="5"/>
    <x v="0"/>
    <x v="4"/>
    <n v="612"/>
    <x v="1"/>
  </r>
  <r>
    <x v="26"/>
    <x v="0"/>
    <x v="9"/>
    <n v="2228"/>
    <x v="1"/>
  </r>
  <r>
    <x v="26"/>
    <x v="0"/>
    <x v="53"/>
    <n v="368"/>
    <x v="1"/>
  </r>
  <r>
    <x v="26"/>
    <x v="0"/>
    <x v="67"/>
    <n v="2394"/>
    <x v="1"/>
  </r>
  <r>
    <x v="5"/>
    <x v="0"/>
    <x v="20"/>
    <n v="1544"/>
    <x v="1"/>
  </r>
  <r>
    <x v="26"/>
    <x v="0"/>
    <x v="49"/>
    <n v="1292"/>
    <x v="1"/>
  </r>
  <r>
    <x v="26"/>
    <x v="0"/>
    <x v="32"/>
    <n v="1430"/>
    <x v="1"/>
  </r>
  <r>
    <x v="26"/>
    <x v="0"/>
    <x v="3"/>
    <n v="2436"/>
    <x v="1"/>
  </r>
  <r>
    <x v="5"/>
    <x v="0"/>
    <x v="35"/>
    <n v="2305"/>
    <x v="1"/>
  </r>
  <r>
    <x v="26"/>
    <x v="0"/>
    <x v="61"/>
    <n v="1"/>
    <x v="0"/>
  </r>
  <r>
    <x v="26"/>
    <x v="0"/>
    <x v="68"/>
    <n v="1646"/>
    <x v="1"/>
  </r>
  <r>
    <x v="5"/>
    <x v="0"/>
    <x v="28"/>
    <n v="2985"/>
    <x v="1"/>
  </r>
  <r>
    <x v="26"/>
    <x v="0"/>
    <x v="26"/>
    <n v="1236"/>
    <x v="1"/>
  </r>
  <r>
    <x v="5"/>
    <x v="0"/>
    <x v="14"/>
    <n v="1125"/>
    <x v="1"/>
  </r>
  <r>
    <x v="26"/>
    <x v="0"/>
    <x v="62"/>
    <n v="1"/>
    <x v="0"/>
  </r>
  <r>
    <x v="26"/>
    <x v="0"/>
    <x v="18"/>
    <n v="615"/>
    <x v="1"/>
  </r>
  <r>
    <x v="26"/>
    <x v="0"/>
    <x v="40"/>
    <n v="3"/>
    <x v="0"/>
  </r>
  <r>
    <x v="5"/>
    <x v="0"/>
    <x v="19"/>
    <n v="1256"/>
    <x v="1"/>
  </r>
  <r>
    <x v="5"/>
    <x v="0"/>
    <x v="45"/>
    <n v="4"/>
    <x v="0"/>
  </r>
  <r>
    <x v="5"/>
    <x v="0"/>
    <x v="44"/>
    <n v="77"/>
    <x v="0"/>
  </r>
  <r>
    <x v="26"/>
    <x v="0"/>
    <x v="60"/>
    <n v="2"/>
    <x v="0"/>
  </r>
  <r>
    <x v="26"/>
    <x v="0"/>
    <x v="30"/>
    <n v="1695"/>
    <x v="1"/>
  </r>
  <r>
    <x v="5"/>
    <x v="0"/>
    <x v="40"/>
    <n v="4"/>
    <x v="0"/>
  </r>
  <r>
    <x v="26"/>
    <x v="0"/>
    <x v="6"/>
    <n v="9"/>
    <x v="0"/>
  </r>
  <r>
    <x v="26"/>
    <x v="0"/>
    <x v="31"/>
    <n v="2997"/>
    <x v="1"/>
  </r>
  <r>
    <x v="26"/>
    <x v="0"/>
    <x v="66"/>
    <n v="2636"/>
    <x v="1"/>
  </r>
  <r>
    <x v="5"/>
    <x v="0"/>
    <x v="54"/>
    <n v="73"/>
    <x v="0"/>
  </r>
  <r>
    <x v="26"/>
    <x v="0"/>
    <x v="58"/>
    <n v="2"/>
    <x v="0"/>
  </r>
  <r>
    <x v="5"/>
    <x v="0"/>
    <x v="34"/>
    <n v="1604"/>
    <x v="1"/>
  </r>
  <r>
    <x v="26"/>
    <x v="0"/>
    <x v="63"/>
    <n v="2668"/>
    <x v="1"/>
  </r>
  <r>
    <x v="5"/>
    <x v="0"/>
    <x v="39"/>
    <n v="1859"/>
    <x v="1"/>
  </r>
  <r>
    <x v="5"/>
    <x v="0"/>
    <x v="37"/>
    <n v="2740"/>
    <x v="1"/>
  </r>
  <r>
    <x v="26"/>
    <x v="0"/>
    <x v="64"/>
    <n v="1"/>
    <x v="0"/>
  </r>
  <r>
    <x v="5"/>
    <x v="0"/>
    <x v="5"/>
    <n v="3"/>
    <x v="0"/>
  </r>
  <r>
    <x v="5"/>
    <x v="0"/>
    <x v="47"/>
    <n v="7"/>
    <x v="0"/>
  </r>
  <r>
    <x v="5"/>
    <x v="0"/>
    <x v="61"/>
    <n v="1"/>
    <x v="0"/>
  </r>
  <r>
    <x v="5"/>
    <x v="0"/>
    <x v="59"/>
    <n v="3"/>
    <x v="0"/>
  </r>
  <r>
    <x v="26"/>
    <x v="0"/>
    <x v="69"/>
    <n v="1"/>
    <x v="0"/>
  </r>
  <r>
    <x v="26"/>
    <x v="0"/>
    <x v="19"/>
    <n v="1223"/>
    <x v="1"/>
  </r>
  <r>
    <x v="5"/>
    <x v="0"/>
    <x v="6"/>
    <n v="9"/>
    <x v="0"/>
  </r>
  <r>
    <x v="26"/>
    <x v="0"/>
    <x v="28"/>
    <n v="4"/>
    <x v="0"/>
  </r>
  <r>
    <x v="26"/>
    <x v="0"/>
    <x v="33"/>
    <n v="732"/>
    <x v="1"/>
  </r>
  <r>
    <x v="26"/>
    <x v="0"/>
    <x v="5"/>
    <n v="1"/>
    <x v="0"/>
  </r>
  <r>
    <x v="27"/>
    <x v="0"/>
    <x v="3"/>
    <n v="2451"/>
    <x v="1"/>
  </r>
  <r>
    <x v="27"/>
    <x v="0"/>
    <x v="44"/>
    <n v="131"/>
    <x v="1"/>
  </r>
  <r>
    <x v="27"/>
    <x v="0"/>
    <x v="46"/>
    <n v="3"/>
    <x v="0"/>
  </r>
  <r>
    <x v="27"/>
    <x v="0"/>
    <x v="20"/>
    <n v="2485"/>
    <x v="1"/>
  </r>
  <r>
    <x v="27"/>
    <x v="0"/>
    <x v="51"/>
    <n v="337"/>
    <x v="1"/>
  </r>
  <r>
    <x v="27"/>
    <x v="0"/>
    <x v="21"/>
    <n v="251"/>
    <x v="1"/>
  </r>
  <r>
    <x v="27"/>
    <x v="0"/>
    <x v="33"/>
    <n v="820"/>
    <x v="1"/>
  </r>
  <r>
    <x v="27"/>
    <x v="0"/>
    <x v="49"/>
    <n v="1308"/>
    <x v="1"/>
  </r>
  <r>
    <x v="27"/>
    <x v="0"/>
    <x v="52"/>
    <n v="1"/>
    <x v="0"/>
  </r>
  <r>
    <x v="27"/>
    <x v="0"/>
    <x v="8"/>
    <n v="2327"/>
    <x v="1"/>
  </r>
  <r>
    <x v="27"/>
    <x v="0"/>
    <x v="9"/>
    <n v="1"/>
    <x v="0"/>
  </r>
  <r>
    <x v="27"/>
    <x v="0"/>
    <x v="66"/>
    <n v="2630"/>
    <x v="1"/>
  </r>
  <r>
    <x v="27"/>
    <x v="0"/>
    <x v="7"/>
    <n v="1819"/>
    <x v="1"/>
  </r>
  <r>
    <x v="27"/>
    <x v="0"/>
    <x v="72"/>
    <n v="2"/>
    <x v="0"/>
  </r>
  <r>
    <x v="27"/>
    <x v="0"/>
    <x v="23"/>
    <n v="2263"/>
    <x v="1"/>
  </r>
  <r>
    <x v="27"/>
    <x v="0"/>
    <x v="16"/>
    <n v="1"/>
    <x v="0"/>
  </r>
  <r>
    <x v="27"/>
    <x v="0"/>
    <x v="39"/>
    <n v="1898"/>
    <x v="1"/>
  </r>
  <r>
    <x v="27"/>
    <x v="0"/>
    <x v="6"/>
    <n v="9"/>
    <x v="0"/>
  </r>
  <r>
    <x v="27"/>
    <x v="0"/>
    <x v="1"/>
    <n v="389"/>
    <x v="1"/>
  </r>
  <r>
    <x v="27"/>
    <x v="0"/>
    <x v="18"/>
    <n v="690"/>
    <x v="1"/>
  </r>
  <r>
    <x v="27"/>
    <x v="0"/>
    <x v="73"/>
    <n v="1978"/>
    <x v="1"/>
  </r>
  <r>
    <x v="27"/>
    <x v="0"/>
    <x v="62"/>
    <n v="1"/>
    <x v="0"/>
  </r>
  <r>
    <x v="27"/>
    <x v="0"/>
    <x v="42"/>
    <n v="1"/>
    <x v="0"/>
  </r>
  <r>
    <x v="27"/>
    <x v="0"/>
    <x v="56"/>
    <n v="7"/>
    <x v="0"/>
  </r>
  <r>
    <x v="27"/>
    <x v="0"/>
    <x v="68"/>
    <n v="1645"/>
    <x v="1"/>
  </r>
  <r>
    <x v="27"/>
    <x v="0"/>
    <x v="11"/>
    <n v="957"/>
    <x v="1"/>
  </r>
  <r>
    <x v="27"/>
    <x v="0"/>
    <x v="64"/>
    <n v="1"/>
    <x v="0"/>
  </r>
  <r>
    <x v="27"/>
    <x v="0"/>
    <x v="4"/>
    <n v="779"/>
    <x v="1"/>
  </r>
  <r>
    <x v="27"/>
    <x v="0"/>
    <x v="60"/>
    <n v="2"/>
    <x v="0"/>
  </r>
  <r>
    <x v="27"/>
    <x v="0"/>
    <x v="40"/>
    <n v="3"/>
    <x v="0"/>
  </r>
  <r>
    <x v="27"/>
    <x v="0"/>
    <x v="61"/>
    <n v="1"/>
    <x v="0"/>
  </r>
  <r>
    <x v="27"/>
    <x v="0"/>
    <x v="36"/>
    <n v="160"/>
    <x v="1"/>
  </r>
  <r>
    <x v="27"/>
    <x v="0"/>
    <x v="24"/>
    <n v="5163"/>
    <x v="1"/>
  </r>
  <r>
    <x v="27"/>
    <x v="0"/>
    <x v="10"/>
    <n v="5"/>
    <x v="0"/>
  </r>
  <r>
    <x v="27"/>
    <x v="0"/>
    <x v="19"/>
    <n v="1249"/>
    <x v="1"/>
  </r>
  <r>
    <x v="27"/>
    <x v="0"/>
    <x v="74"/>
    <n v="2235"/>
    <x v="1"/>
  </r>
  <r>
    <x v="27"/>
    <x v="0"/>
    <x v="67"/>
    <n v="2393"/>
    <x v="1"/>
  </r>
  <r>
    <x v="27"/>
    <x v="0"/>
    <x v="32"/>
    <n v="1440"/>
    <x v="1"/>
  </r>
  <r>
    <x v="27"/>
    <x v="0"/>
    <x v="71"/>
    <n v="2949"/>
    <x v="1"/>
  </r>
  <r>
    <x v="27"/>
    <x v="0"/>
    <x v="29"/>
    <n v="3162"/>
    <x v="1"/>
  </r>
  <r>
    <x v="27"/>
    <x v="0"/>
    <x v="35"/>
    <n v="1"/>
    <x v="0"/>
  </r>
  <r>
    <x v="27"/>
    <x v="0"/>
    <x v="31"/>
    <n v="2992"/>
    <x v="1"/>
  </r>
  <r>
    <x v="27"/>
    <x v="0"/>
    <x v="47"/>
    <n v="15"/>
    <x v="0"/>
  </r>
  <r>
    <x v="27"/>
    <x v="0"/>
    <x v="30"/>
    <n v="1698"/>
    <x v="1"/>
  </r>
  <r>
    <x v="27"/>
    <x v="0"/>
    <x v="26"/>
    <n v="1266"/>
    <x v="1"/>
  </r>
  <r>
    <x v="27"/>
    <x v="0"/>
    <x v="57"/>
    <n v="1"/>
    <x v="0"/>
  </r>
  <r>
    <x v="27"/>
    <x v="0"/>
    <x v="28"/>
    <n v="4"/>
    <x v="0"/>
  </r>
  <r>
    <x v="27"/>
    <x v="0"/>
    <x v="5"/>
    <n v="1"/>
    <x v="0"/>
  </r>
  <r>
    <x v="27"/>
    <x v="0"/>
    <x v="14"/>
    <n v="1099"/>
    <x v="1"/>
  </r>
  <r>
    <x v="27"/>
    <x v="0"/>
    <x v="63"/>
    <n v="2668"/>
    <x v="1"/>
  </r>
  <r>
    <x v="27"/>
    <x v="0"/>
    <x v="53"/>
    <n v="366"/>
    <x v="1"/>
  </r>
  <r>
    <x v="27"/>
    <x v="0"/>
    <x v="59"/>
    <n v="3"/>
    <x v="0"/>
  </r>
  <r>
    <x v="27"/>
    <x v="0"/>
    <x v="54"/>
    <n v="96"/>
    <x v="0"/>
  </r>
  <r>
    <x v="28"/>
    <x v="0"/>
    <x v="14"/>
    <n v="1101"/>
    <x v="1"/>
  </r>
  <r>
    <x v="28"/>
    <x v="0"/>
    <x v="62"/>
    <n v="1"/>
    <x v="0"/>
  </r>
  <r>
    <x v="28"/>
    <x v="0"/>
    <x v="23"/>
    <n v="2268"/>
    <x v="1"/>
  </r>
  <r>
    <x v="28"/>
    <x v="0"/>
    <x v="21"/>
    <n v="248"/>
    <x v="1"/>
  </r>
  <r>
    <x v="28"/>
    <x v="0"/>
    <x v="44"/>
    <n v="142"/>
    <x v="1"/>
  </r>
  <r>
    <x v="28"/>
    <x v="0"/>
    <x v="28"/>
    <n v="4"/>
    <x v="0"/>
  </r>
  <r>
    <x v="28"/>
    <x v="0"/>
    <x v="63"/>
    <n v="2705"/>
    <x v="1"/>
  </r>
  <r>
    <x v="28"/>
    <x v="0"/>
    <x v="72"/>
    <n v="2"/>
    <x v="0"/>
  </r>
  <r>
    <x v="28"/>
    <x v="0"/>
    <x v="73"/>
    <n v="2041"/>
    <x v="1"/>
  </r>
  <r>
    <x v="28"/>
    <x v="0"/>
    <x v="9"/>
    <n v="1"/>
    <x v="0"/>
  </r>
  <r>
    <x v="28"/>
    <x v="0"/>
    <x v="53"/>
    <n v="364"/>
    <x v="1"/>
  </r>
  <r>
    <x v="28"/>
    <x v="0"/>
    <x v="10"/>
    <n v="5"/>
    <x v="0"/>
  </r>
  <r>
    <x v="28"/>
    <x v="0"/>
    <x v="71"/>
    <n v="3001"/>
    <x v="1"/>
  </r>
  <r>
    <x v="28"/>
    <x v="0"/>
    <x v="11"/>
    <n v="1019"/>
    <x v="1"/>
  </r>
  <r>
    <x v="28"/>
    <x v="0"/>
    <x v="19"/>
    <n v="1274"/>
    <x v="1"/>
  </r>
  <r>
    <x v="28"/>
    <x v="0"/>
    <x v="56"/>
    <n v="7"/>
    <x v="0"/>
  </r>
  <r>
    <x v="28"/>
    <x v="0"/>
    <x v="31"/>
    <n v="3003"/>
    <x v="1"/>
  </r>
  <r>
    <x v="28"/>
    <x v="0"/>
    <x v="24"/>
    <n v="5168"/>
    <x v="1"/>
  </r>
  <r>
    <x v="28"/>
    <x v="0"/>
    <x v="20"/>
    <n v="2495"/>
    <x v="1"/>
  </r>
  <r>
    <x v="28"/>
    <x v="0"/>
    <x v="66"/>
    <n v="2639"/>
    <x v="1"/>
  </r>
  <r>
    <x v="28"/>
    <x v="0"/>
    <x v="30"/>
    <n v="1729"/>
    <x v="1"/>
  </r>
  <r>
    <x v="28"/>
    <x v="0"/>
    <x v="7"/>
    <n v="1817"/>
    <x v="1"/>
  </r>
  <r>
    <x v="28"/>
    <x v="0"/>
    <x v="59"/>
    <n v="3"/>
    <x v="0"/>
  </r>
  <r>
    <x v="28"/>
    <x v="0"/>
    <x v="46"/>
    <n v="3"/>
    <x v="0"/>
  </r>
  <r>
    <x v="28"/>
    <x v="0"/>
    <x v="67"/>
    <n v="2413"/>
    <x v="1"/>
  </r>
  <r>
    <x v="28"/>
    <x v="0"/>
    <x v="54"/>
    <n v="96"/>
    <x v="0"/>
  </r>
  <r>
    <x v="28"/>
    <x v="0"/>
    <x v="5"/>
    <n v="2"/>
    <x v="0"/>
  </r>
  <r>
    <x v="28"/>
    <x v="0"/>
    <x v="42"/>
    <n v="1"/>
    <x v="0"/>
  </r>
  <r>
    <x v="28"/>
    <x v="0"/>
    <x v="29"/>
    <n v="3200"/>
    <x v="1"/>
  </r>
  <r>
    <x v="28"/>
    <x v="0"/>
    <x v="60"/>
    <n v="2"/>
    <x v="0"/>
  </r>
  <r>
    <x v="28"/>
    <x v="0"/>
    <x v="4"/>
    <n v="860"/>
    <x v="1"/>
  </r>
  <r>
    <x v="28"/>
    <x v="0"/>
    <x v="26"/>
    <n v="1315"/>
    <x v="1"/>
  </r>
  <r>
    <x v="28"/>
    <x v="0"/>
    <x v="18"/>
    <n v="970"/>
    <x v="1"/>
  </r>
  <r>
    <x v="28"/>
    <x v="0"/>
    <x v="40"/>
    <n v="3"/>
    <x v="0"/>
  </r>
  <r>
    <x v="28"/>
    <x v="0"/>
    <x v="74"/>
    <n v="2283"/>
    <x v="1"/>
  </r>
  <r>
    <x v="28"/>
    <x v="0"/>
    <x v="57"/>
    <n v="1"/>
    <x v="0"/>
  </r>
  <r>
    <x v="28"/>
    <x v="0"/>
    <x v="49"/>
    <n v="1307"/>
    <x v="1"/>
  </r>
  <r>
    <x v="28"/>
    <x v="0"/>
    <x v="36"/>
    <n v="160"/>
    <x v="1"/>
  </r>
  <r>
    <x v="28"/>
    <x v="0"/>
    <x v="15"/>
    <n v="1"/>
    <x v="0"/>
  </r>
  <r>
    <x v="28"/>
    <x v="0"/>
    <x v="52"/>
    <n v="1"/>
    <x v="0"/>
  </r>
  <r>
    <x v="28"/>
    <x v="0"/>
    <x v="6"/>
    <n v="8"/>
    <x v="0"/>
  </r>
  <r>
    <x v="28"/>
    <x v="0"/>
    <x v="61"/>
    <n v="1"/>
    <x v="0"/>
  </r>
  <r>
    <x v="28"/>
    <x v="0"/>
    <x v="32"/>
    <n v="1448"/>
    <x v="1"/>
  </r>
  <r>
    <x v="28"/>
    <x v="0"/>
    <x v="33"/>
    <n v="926"/>
    <x v="1"/>
  </r>
  <r>
    <x v="28"/>
    <x v="0"/>
    <x v="16"/>
    <n v="1"/>
    <x v="0"/>
  </r>
  <r>
    <x v="28"/>
    <x v="0"/>
    <x v="35"/>
    <n v="1"/>
    <x v="0"/>
  </r>
  <r>
    <x v="28"/>
    <x v="0"/>
    <x v="1"/>
    <n v="245"/>
    <x v="1"/>
  </r>
  <r>
    <x v="28"/>
    <x v="0"/>
    <x v="39"/>
    <n v="1911"/>
    <x v="1"/>
  </r>
  <r>
    <x v="28"/>
    <x v="0"/>
    <x v="64"/>
    <n v="1"/>
    <x v="0"/>
  </r>
  <r>
    <x v="28"/>
    <x v="0"/>
    <x v="47"/>
    <n v="14"/>
    <x v="0"/>
  </r>
  <r>
    <x v="28"/>
    <x v="0"/>
    <x v="3"/>
    <n v="2465"/>
    <x v="1"/>
  </r>
  <r>
    <x v="28"/>
    <x v="0"/>
    <x v="68"/>
    <n v="1654"/>
    <x v="1"/>
  </r>
  <r>
    <x v="28"/>
    <x v="0"/>
    <x v="8"/>
    <n v="2360"/>
    <x v="1"/>
  </r>
  <r>
    <x v="10"/>
    <x v="0"/>
    <x v="1"/>
    <n v="468"/>
    <x v="1"/>
  </r>
  <r>
    <x v="29"/>
    <x v="0"/>
    <x v="67"/>
    <n v="2423"/>
    <x v="1"/>
  </r>
  <r>
    <x v="10"/>
    <x v="0"/>
    <x v="15"/>
    <n v="1"/>
    <x v="0"/>
  </r>
  <r>
    <x v="29"/>
    <x v="0"/>
    <x v="16"/>
    <n v="1"/>
    <x v="0"/>
  </r>
  <r>
    <x v="29"/>
    <x v="0"/>
    <x v="7"/>
    <n v="1809"/>
    <x v="1"/>
  </r>
  <r>
    <x v="29"/>
    <x v="0"/>
    <x v="64"/>
    <n v="1"/>
    <x v="0"/>
  </r>
  <r>
    <x v="29"/>
    <x v="0"/>
    <x v="52"/>
    <n v="1"/>
    <x v="0"/>
  </r>
  <r>
    <x v="10"/>
    <x v="0"/>
    <x v="62"/>
    <n v="1"/>
    <x v="0"/>
  </r>
  <r>
    <x v="29"/>
    <x v="0"/>
    <x v="19"/>
    <n v="1286"/>
    <x v="1"/>
  </r>
  <r>
    <x v="29"/>
    <x v="0"/>
    <x v="47"/>
    <n v="14"/>
    <x v="0"/>
  </r>
  <r>
    <x v="29"/>
    <x v="0"/>
    <x v="9"/>
    <n v="1"/>
    <x v="0"/>
  </r>
  <r>
    <x v="29"/>
    <x v="0"/>
    <x v="14"/>
    <n v="1089"/>
    <x v="1"/>
  </r>
  <r>
    <x v="29"/>
    <x v="0"/>
    <x v="35"/>
    <n v="1"/>
    <x v="0"/>
  </r>
  <r>
    <x v="29"/>
    <x v="0"/>
    <x v="20"/>
    <n v="2488"/>
    <x v="1"/>
  </r>
  <r>
    <x v="29"/>
    <x v="0"/>
    <x v="40"/>
    <n v="3"/>
    <x v="0"/>
  </r>
  <r>
    <x v="10"/>
    <x v="0"/>
    <x v="63"/>
    <n v="2626"/>
    <x v="1"/>
  </r>
  <r>
    <x v="29"/>
    <x v="0"/>
    <x v="1"/>
    <n v="89"/>
    <x v="0"/>
  </r>
  <r>
    <x v="10"/>
    <x v="0"/>
    <x v="10"/>
    <n v="6"/>
    <x v="0"/>
  </r>
  <r>
    <x v="29"/>
    <x v="0"/>
    <x v="63"/>
    <n v="2694"/>
    <x v="1"/>
  </r>
  <r>
    <x v="10"/>
    <x v="0"/>
    <x v="11"/>
    <n v="934"/>
    <x v="1"/>
  </r>
  <r>
    <x v="10"/>
    <x v="0"/>
    <x v="3"/>
    <n v="2388"/>
    <x v="1"/>
  </r>
  <r>
    <x v="10"/>
    <x v="0"/>
    <x v="29"/>
    <n v="2762"/>
    <x v="1"/>
  </r>
  <r>
    <x v="10"/>
    <x v="0"/>
    <x v="47"/>
    <n v="7"/>
    <x v="0"/>
  </r>
  <r>
    <x v="29"/>
    <x v="0"/>
    <x v="57"/>
    <n v="1"/>
    <x v="0"/>
  </r>
  <r>
    <x v="10"/>
    <x v="0"/>
    <x v="56"/>
    <n v="7"/>
    <x v="0"/>
  </r>
  <r>
    <x v="29"/>
    <x v="0"/>
    <x v="18"/>
    <n v="970"/>
    <x v="1"/>
  </r>
  <r>
    <x v="29"/>
    <x v="0"/>
    <x v="46"/>
    <n v="3"/>
    <x v="0"/>
  </r>
  <r>
    <x v="29"/>
    <x v="0"/>
    <x v="3"/>
    <n v="2473"/>
    <x v="1"/>
  </r>
  <r>
    <x v="10"/>
    <x v="0"/>
    <x v="34"/>
    <n v="1661"/>
    <x v="1"/>
  </r>
  <r>
    <x v="10"/>
    <x v="0"/>
    <x v="48"/>
    <n v="1"/>
    <x v="0"/>
  </r>
  <r>
    <x v="29"/>
    <x v="0"/>
    <x v="59"/>
    <n v="3"/>
    <x v="0"/>
  </r>
  <r>
    <x v="10"/>
    <x v="0"/>
    <x v="23"/>
    <n v="2234"/>
    <x v="1"/>
  </r>
  <r>
    <x v="10"/>
    <x v="0"/>
    <x v="20"/>
    <n v="1564"/>
    <x v="1"/>
  </r>
  <r>
    <x v="29"/>
    <x v="0"/>
    <x v="72"/>
    <n v="3"/>
    <x v="0"/>
  </r>
  <r>
    <x v="10"/>
    <x v="0"/>
    <x v="16"/>
    <n v="1"/>
    <x v="0"/>
  </r>
  <r>
    <x v="29"/>
    <x v="0"/>
    <x v="61"/>
    <n v="1"/>
    <x v="0"/>
  </r>
  <r>
    <x v="29"/>
    <x v="0"/>
    <x v="8"/>
    <n v="2357"/>
    <x v="1"/>
  </r>
  <r>
    <x v="10"/>
    <x v="0"/>
    <x v="40"/>
    <n v="3"/>
    <x v="0"/>
  </r>
  <r>
    <x v="10"/>
    <x v="0"/>
    <x v="53"/>
    <n v="599"/>
    <x v="1"/>
  </r>
  <r>
    <x v="10"/>
    <x v="0"/>
    <x v="37"/>
    <n v="2746"/>
    <x v="1"/>
  </r>
  <r>
    <x v="10"/>
    <x v="0"/>
    <x v="54"/>
    <n v="72"/>
    <x v="0"/>
  </r>
  <r>
    <x v="29"/>
    <x v="0"/>
    <x v="68"/>
    <n v="1636"/>
    <x v="1"/>
  </r>
  <r>
    <x v="29"/>
    <x v="0"/>
    <x v="10"/>
    <n v="5"/>
    <x v="0"/>
  </r>
  <r>
    <x v="10"/>
    <x v="0"/>
    <x v="38"/>
    <n v="24"/>
    <x v="0"/>
  </r>
  <r>
    <x v="29"/>
    <x v="0"/>
    <x v="75"/>
    <n v="2280"/>
    <x v="1"/>
  </r>
  <r>
    <x v="10"/>
    <x v="0"/>
    <x v="5"/>
    <n v="2"/>
    <x v="0"/>
  </r>
  <r>
    <x v="10"/>
    <x v="0"/>
    <x v="28"/>
    <n v="3003"/>
    <x v="1"/>
  </r>
  <r>
    <x v="10"/>
    <x v="0"/>
    <x v="60"/>
    <n v="1"/>
    <x v="0"/>
  </r>
  <r>
    <x v="29"/>
    <x v="0"/>
    <x v="53"/>
    <n v="363"/>
    <x v="1"/>
  </r>
  <r>
    <x v="10"/>
    <x v="0"/>
    <x v="52"/>
    <n v="1"/>
    <x v="0"/>
  </r>
  <r>
    <x v="29"/>
    <x v="0"/>
    <x v="39"/>
    <n v="2027"/>
    <x v="1"/>
  </r>
  <r>
    <x v="10"/>
    <x v="0"/>
    <x v="51"/>
    <n v="496"/>
    <x v="1"/>
  </r>
  <r>
    <x v="10"/>
    <x v="0"/>
    <x v="44"/>
    <n v="97"/>
    <x v="0"/>
  </r>
  <r>
    <x v="29"/>
    <x v="0"/>
    <x v="33"/>
    <n v="926"/>
    <x v="1"/>
  </r>
  <r>
    <x v="29"/>
    <x v="0"/>
    <x v="62"/>
    <n v="1"/>
    <x v="0"/>
  </r>
  <r>
    <x v="10"/>
    <x v="0"/>
    <x v="17"/>
    <n v="1"/>
    <x v="0"/>
  </r>
  <r>
    <x v="10"/>
    <x v="0"/>
    <x v="59"/>
    <n v="3"/>
    <x v="0"/>
  </r>
  <r>
    <x v="10"/>
    <x v="0"/>
    <x v="14"/>
    <n v="1112"/>
    <x v="1"/>
  </r>
  <r>
    <x v="10"/>
    <x v="0"/>
    <x v="32"/>
    <n v="1343"/>
    <x v="1"/>
  </r>
  <r>
    <x v="10"/>
    <x v="0"/>
    <x v="27"/>
    <n v="2673"/>
    <x v="1"/>
  </r>
  <r>
    <x v="10"/>
    <x v="0"/>
    <x v="9"/>
    <n v="4203"/>
    <x v="1"/>
  </r>
  <r>
    <x v="10"/>
    <x v="0"/>
    <x v="36"/>
    <n v="216"/>
    <x v="1"/>
  </r>
  <r>
    <x v="29"/>
    <x v="0"/>
    <x v="30"/>
    <n v="1724"/>
    <x v="1"/>
  </r>
  <r>
    <x v="29"/>
    <x v="0"/>
    <x v="28"/>
    <n v="4"/>
    <x v="0"/>
  </r>
  <r>
    <x v="29"/>
    <x v="0"/>
    <x v="76"/>
    <n v="1"/>
    <x v="0"/>
  </r>
  <r>
    <x v="29"/>
    <x v="0"/>
    <x v="4"/>
    <n v="872"/>
    <x v="1"/>
  </r>
  <r>
    <x v="10"/>
    <x v="0"/>
    <x v="18"/>
    <n v="554"/>
    <x v="1"/>
  </r>
  <r>
    <x v="29"/>
    <x v="0"/>
    <x v="29"/>
    <n v="3234"/>
    <x v="1"/>
  </r>
  <r>
    <x v="10"/>
    <x v="0"/>
    <x v="4"/>
    <n v="647"/>
    <x v="1"/>
  </r>
  <r>
    <x v="29"/>
    <x v="0"/>
    <x v="31"/>
    <n v="2993"/>
    <x v="1"/>
  </r>
  <r>
    <x v="29"/>
    <x v="0"/>
    <x v="21"/>
    <n v="247"/>
    <x v="1"/>
  </r>
  <r>
    <x v="10"/>
    <x v="0"/>
    <x v="64"/>
    <n v="1"/>
    <x v="0"/>
  </r>
  <r>
    <x v="29"/>
    <x v="0"/>
    <x v="5"/>
    <n v="2"/>
    <x v="0"/>
  </r>
  <r>
    <x v="10"/>
    <x v="0"/>
    <x v="35"/>
    <n v="2314"/>
    <x v="1"/>
  </r>
  <r>
    <x v="29"/>
    <x v="0"/>
    <x v="24"/>
    <n v="5127"/>
    <x v="1"/>
  </r>
  <r>
    <x v="10"/>
    <x v="0"/>
    <x v="7"/>
    <n v="1860"/>
    <x v="1"/>
  </r>
  <r>
    <x v="29"/>
    <x v="0"/>
    <x v="71"/>
    <n v="2973"/>
    <x v="1"/>
  </r>
  <r>
    <x v="10"/>
    <x v="0"/>
    <x v="49"/>
    <n v="1184"/>
    <x v="1"/>
  </r>
  <r>
    <x v="10"/>
    <x v="0"/>
    <x v="57"/>
    <n v="1"/>
    <x v="0"/>
  </r>
  <r>
    <x v="10"/>
    <x v="0"/>
    <x v="46"/>
    <n v="2"/>
    <x v="0"/>
  </r>
  <r>
    <x v="10"/>
    <x v="0"/>
    <x v="26"/>
    <n v="1178"/>
    <x v="1"/>
  </r>
  <r>
    <x v="29"/>
    <x v="0"/>
    <x v="44"/>
    <n v="143"/>
    <x v="1"/>
  </r>
  <r>
    <x v="10"/>
    <x v="0"/>
    <x v="31"/>
    <n v="3060"/>
    <x v="1"/>
  </r>
  <r>
    <x v="10"/>
    <x v="0"/>
    <x v="6"/>
    <n v="9"/>
    <x v="0"/>
  </r>
  <r>
    <x v="29"/>
    <x v="0"/>
    <x v="49"/>
    <n v="1316"/>
    <x v="1"/>
  </r>
  <r>
    <x v="29"/>
    <x v="0"/>
    <x v="11"/>
    <n v="1026"/>
    <x v="1"/>
  </r>
  <r>
    <x v="29"/>
    <x v="0"/>
    <x v="74"/>
    <n v="2292"/>
    <x v="1"/>
  </r>
  <r>
    <x v="10"/>
    <x v="0"/>
    <x v="8"/>
    <n v="2302"/>
    <x v="1"/>
  </r>
  <r>
    <x v="29"/>
    <x v="0"/>
    <x v="42"/>
    <n v="1"/>
    <x v="0"/>
  </r>
  <r>
    <x v="29"/>
    <x v="0"/>
    <x v="73"/>
    <n v="2043"/>
    <x v="1"/>
  </r>
  <r>
    <x v="10"/>
    <x v="0"/>
    <x v="33"/>
    <n v="569"/>
    <x v="1"/>
  </r>
  <r>
    <x v="10"/>
    <x v="0"/>
    <x v="21"/>
    <n v="246"/>
    <x v="1"/>
  </r>
  <r>
    <x v="29"/>
    <x v="0"/>
    <x v="36"/>
    <n v="160"/>
    <x v="1"/>
  </r>
  <r>
    <x v="29"/>
    <x v="0"/>
    <x v="66"/>
    <n v="2634"/>
    <x v="1"/>
  </r>
  <r>
    <x v="10"/>
    <x v="0"/>
    <x v="19"/>
    <n v="1274"/>
    <x v="1"/>
  </r>
  <r>
    <x v="10"/>
    <x v="0"/>
    <x v="42"/>
    <n v="1"/>
    <x v="0"/>
  </r>
  <r>
    <x v="29"/>
    <x v="0"/>
    <x v="26"/>
    <n v="1328"/>
    <x v="1"/>
  </r>
  <r>
    <x v="10"/>
    <x v="0"/>
    <x v="30"/>
    <n v="1620"/>
    <x v="1"/>
  </r>
  <r>
    <x v="29"/>
    <x v="0"/>
    <x v="60"/>
    <n v="2"/>
    <x v="0"/>
  </r>
  <r>
    <x v="29"/>
    <x v="0"/>
    <x v="32"/>
    <n v="1411"/>
    <x v="1"/>
  </r>
  <r>
    <x v="10"/>
    <x v="0"/>
    <x v="24"/>
    <n v="3048"/>
    <x v="1"/>
  </r>
  <r>
    <x v="29"/>
    <x v="0"/>
    <x v="6"/>
    <n v="8"/>
    <x v="0"/>
  </r>
  <r>
    <x v="10"/>
    <x v="0"/>
    <x v="39"/>
    <n v="1840"/>
    <x v="1"/>
  </r>
  <r>
    <x v="29"/>
    <x v="0"/>
    <x v="56"/>
    <n v="7"/>
    <x v="0"/>
  </r>
  <r>
    <x v="30"/>
    <x v="0"/>
    <x v="6"/>
    <n v="8"/>
    <x v="0"/>
  </r>
  <r>
    <x v="30"/>
    <x v="0"/>
    <x v="62"/>
    <n v="1"/>
    <x v="0"/>
  </r>
  <r>
    <x v="30"/>
    <x v="0"/>
    <x v="61"/>
    <n v="1"/>
    <x v="0"/>
  </r>
  <r>
    <x v="30"/>
    <x v="0"/>
    <x v="64"/>
    <n v="1"/>
    <x v="0"/>
  </r>
  <r>
    <x v="30"/>
    <x v="0"/>
    <x v="63"/>
    <n v="2709"/>
    <x v="1"/>
  </r>
  <r>
    <x v="30"/>
    <x v="0"/>
    <x v="3"/>
    <n v="2475"/>
    <x v="1"/>
  </r>
  <r>
    <x v="30"/>
    <x v="0"/>
    <x v="28"/>
    <n v="4"/>
    <x v="0"/>
  </r>
  <r>
    <x v="30"/>
    <x v="0"/>
    <x v="11"/>
    <n v="1037"/>
    <x v="1"/>
  </r>
  <r>
    <x v="30"/>
    <x v="0"/>
    <x v="77"/>
    <n v="6"/>
    <x v="0"/>
  </r>
  <r>
    <x v="30"/>
    <x v="0"/>
    <x v="18"/>
    <n v="970"/>
    <x v="1"/>
  </r>
  <r>
    <x v="30"/>
    <x v="0"/>
    <x v="8"/>
    <n v="2351"/>
    <x v="1"/>
  </r>
  <r>
    <x v="30"/>
    <x v="0"/>
    <x v="53"/>
    <n v="362"/>
    <x v="1"/>
  </r>
  <r>
    <x v="30"/>
    <x v="0"/>
    <x v="20"/>
    <n v="2489"/>
    <x v="1"/>
  </r>
  <r>
    <x v="30"/>
    <x v="0"/>
    <x v="21"/>
    <n v="241"/>
    <x v="1"/>
  </r>
  <r>
    <x v="30"/>
    <x v="0"/>
    <x v="42"/>
    <n v="1"/>
    <x v="0"/>
  </r>
  <r>
    <x v="30"/>
    <x v="0"/>
    <x v="24"/>
    <n v="5087"/>
    <x v="1"/>
  </r>
  <r>
    <x v="30"/>
    <x v="0"/>
    <x v="35"/>
    <n v="1"/>
    <x v="0"/>
  </r>
  <r>
    <x v="30"/>
    <x v="0"/>
    <x v="36"/>
    <n v="160"/>
    <x v="1"/>
  </r>
  <r>
    <x v="30"/>
    <x v="0"/>
    <x v="56"/>
    <n v="7"/>
    <x v="0"/>
  </r>
  <r>
    <x v="30"/>
    <x v="0"/>
    <x v="14"/>
    <n v="1093"/>
    <x v="1"/>
  </r>
  <r>
    <x v="30"/>
    <x v="0"/>
    <x v="74"/>
    <n v="2301"/>
    <x v="1"/>
  </r>
  <r>
    <x v="30"/>
    <x v="0"/>
    <x v="44"/>
    <n v="146"/>
    <x v="1"/>
  </r>
  <r>
    <x v="30"/>
    <x v="0"/>
    <x v="9"/>
    <n v="1"/>
    <x v="0"/>
  </r>
  <r>
    <x v="30"/>
    <x v="0"/>
    <x v="7"/>
    <n v="1810"/>
    <x v="1"/>
  </r>
  <r>
    <x v="30"/>
    <x v="0"/>
    <x v="66"/>
    <n v="2571"/>
    <x v="1"/>
  </r>
  <r>
    <x v="30"/>
    <x v="0"/>
    <x v="49"/>
    <n v="1318"/>
    <x v="1"/>
  </r>
  <r>
    <x v="30"/>
    <x v="0"/>
    <x v="30"/>
    <n v="1736"/>
    <x v="1"/>
  </r>
  <r>
    <x v="30"/>
    <x v="0"/>
    <x v="29"/>
    <n v="3232"/>
    <x v="1"/>
  </r>
  <r>
    <x v="30"/>
    <x v="0"/>
    <x v="4"/>
    <n v="876"/>
    <x v="1"/>
  </r>
  <r>
    <x v="30"/>
    <x v="0"/>
    <x v="75"/>
    <n v="2303"/>
    <x v="1"/>
  </r>
  <r>
    <x v="30"/>
    <x v="0"/>
    <x v="68"/>
    <n v="1630"/>
    <x v="1"/>
  </r>
  <r>
    <x v="30"/>
    <x v="0"/>
    <x v="47"/>
    <n v="13"/>
    <x v="0"/>
  </r>
  <r>
    <x v="30"/>
    <x v="0"/>
    <x v="39"/>
    <n v="2017"/>
    <x v="1"/>
  </r>
  <r>
    <x v="30"/>
    <x v="0"/>
    <x v="26"/>
    <n v="1323"/>
    <x v="1"/>
  </r>
  <r>
    <x v="30"/>
    <x v="0"/>
    <x v="59"/>
    <n v="3"/>
    <x v="0"/>
  </r>
  <r>
    <x v="30"/>
    <x v="0"/>
    <x v="72"/>
    <n v="3"/>
    <x v="0"/>
  </r>
  <r>
    <x v="30"/>
    <x v="0"/>
    <x v="71"/>
    <n v="2973"/>
    <x v="1"/>
  </r>
  <r>
    <x v="30"/>
    <x v="0"/>
    <x v="52"/>
    <n v="1"/>
    <x v="0"/>
  </r>
  <r>
    <x v="30"/>
    <x v="0"/>
    <x v="67"/>
    <n v="2357"/>
    <x v="1"/>
  </r>
  <r>
    <x v="30"/>
    <x v="0"/>
    <x v="5"/>
    <n v="2"/>
    <x v="0"/>
  </r>
  <r>
    <x v="30"/>
    <x v="0"/>
    <x v="1"/>
    <n v="33"/>
    <x v="0"/>
  </r>
  <r>
    <x v="30"/>
    <x v="0"/>
    <x v="46"/>
    <n v="3"/>
    <x v="0"/>
  </r>
  <r>
    <x v="30"/>
    <x v="0"/>
    <x v="57"/>
    <n v="1"/>
    <x v="0"/>
  </r>
  <r>
    <x v="30"/>
    <x v="0"/>
    <x v="33"/>
    <n v="921"/>
    <x v="1"/>
  </r>
  <r>
    <x v="30"/>
    <x v="0"/>
    <x v="76"/>
    <n v="1"/>
    <x v="0"/>
  </r>
  <r>
    <x v="30"/>
    <x v="0"/>
    <x v="10"/>
    <n v="5"/>
    <x v="0"/>
  </r>
  <r>
    <x v="30"/>
    <x v="0"/>
    <x v="16"/>
    <n v="1"/>
    <x v="0"/>
  </r>
  <r>
    <x v="30"/>
    <x v="0"/>
    <x v="31"/>
    <n v="3001"/>
    <x v="1"/>
  </r>
  <r>
    <x v="30"/>
    <x v="0"/>
    <x v="32"/>
    <n v="1301"/>
    <x v="1"/>
  </r>
  <r>
    <x v="30"/>
    <x v="0"/>
    <x v="60"/>
    <n v="2"/>
    <x v="0"/>
  </r>
  <r>
    <x v="30"/>
    <x v="0"/>
    <x v="19"/>
    <n v="1278"/>
    <x v="1"/>
  </r>
  <r>
    <x v="30"/>
    <x v="0"/>
    <x v="73"/>
    <n v="2038"/>
    <x v="1"/>
  </r>
  <r>
    <x v="30"/>
    <x v="0"/>
    <x v="40"/>
    <n v="3"/>
    <x v="0"/>
  </r>
  <r>
    <x v="31"/>
    <x v="0"/>
    <x v="64"/>
    <n v="1"/>
    <x v="0"/>
  </r>
  <r>
    <x v="31"/>
    <x v="0"/>
    <x v="24"/>
    <n v="5068"/>
    <x v="1"/>
  </r>
  <r>
    <x v="31"/>
    <x v="0"/>
    <x v="7"/>
    <n v="1811"/>
    <x v="1"/>
  </r>
  <r>
    <x v="31"/>
    <x v="0"/>
    <x v="16"/>
    <n v="1"/>
    <x v="0"/>
  </r>
  <r>
    <x v="31"/>
    <x v="0"/>
    <x v="67"/>
    <n v="2361"/>
    <x v="1"/>
  </r>
  <r>
    <x v="31"/>
    <x v="0"/>
    <x v="36"/>
    <n v="160"/>
    <x v="1"/>
  </r>
  <r>
    <x v="31"/>
    <x v="0"/>
    <x v="29"/>
    <n v="3224"/>
    <x v="1"/>
  </r>
  <r>
    <x v="31"/>
    <x v="0"/>
    <x v="72"/>
    <n v="3"/>
    <x v="0"/>
  </r>
  <r>
    <x v="31"/>
    <x v="0"/>
    <x v="28"/>
    <n v="4"/>
    <x v="0"/>
  </r>
  <r>
    <x v="31"/>
    <x v="0"/>
    <x v="61"/>
    <n v="1"/>
    <x v="0"/>
  </r>
  <r>
    <x v="31"/>
    <x v="0"/>
    <x v="11"/>
    <n v="1043"/>
    <x v="1"/>
  </r>
  <r>
    <x v="31"/>
    <x v="0"/>
    <x v="63"/>
    <n v="2713"/>
    <x v="1"/>
  </r>
  <r>
    <x v="31"/>
    <x v="0"/>
    <x v="20"/>
    <n v="2501"/>
    <x v="1"/>
  </r>
  <r>
    <x v="31"/>
    <x v="0"/>
    <x v="10"/>
    <n v="5"/>
    <x v="0"/>
  </r>
  <r>
    <x v="31"/>
    <x v="0"/>
    <x v="66"/>
    <n v="2566"/>
    <x v="1"/>
  </r>
  <r>
    <x v="31"/>
    <x v="0"/>
    <x v="21"/>
    <n v="160"/>
    <x v="1"/>
  </r>
  <r>
    <x v="31"/>
    <x v="0"/>
    <x v="4"/>
    <n v="868"/>
    <x v="1"/>
  </r>
  <r>
    <x v="31"/>
    <x v="0"/>
    <x v="42"/>
    <n v="1"/>
    <x v="0"/>
  </r>
  <r>
    <x v="31"/>
    <x v="0"/>
    <x v="71"/>
    <n v="2985"/>
    <x v="1"/>
  </r>
  <r>
    <x v="31"/>
    <x v="0"/>
    <x v="60"/>
    <n v="2"/>
    <x v="0"/>
  </r>
  <r>
    <x v="31"/>
    <x v="0"/>
    <x v="3"/>
    <n v="2479"/>
    <x v="1"/>
  </r>
  <r>
    <x v="31"/>
    <x v="0"/>
    <x v="59"/>
    <n v="3"/>
    <x v="0"/>
  </r>
  <r>
    <x v="31"/>
    <x v="0"/>
    <x v="75"/>
    <n v="2299"/>
    <x v="1"/>
  </r>
  <r>
    <x v="31"/>
    <x v="0"/>
    <x v="18"/>
    <n v="968"/>
    <x v="1"/>
  </r>
  <r>
    <x v="31"/>
    <x v="0"/>
    <x v="14"/>
    <n v="2034"/>
    <x v="1"/>
  </r>
  <r>
    <x v="31"/>
    <x v="0"/>
    <x v="26"/>
    <n v="1326"/>
    <x v="1"/>
  </r>
  <r>
    <x v="31"/>
    <x v="0"/>
    <x v="47"/>
    <n v="13"/>
    <x v="0"/>
  </r>
  <r>
    <x v="31"/>
    <x v="0"/>
    <x v="74"/>
    <n v="2299"/>
    <x v="1"/>
  </r>
  <r>
    <x v="31"/>
    <x v="0"/>
    <x v="46"/>
    <n v="3"/>
    <x v="0"/>
  </r>
  <r>
    <x v="31"/>
    <x v="0"/>
    <x v="52"/>
    <n v="1"/>
    <x v="0"/>
  </r>
  <r>
    <x v="31"/>
    <x v="0"/>
    <x v="68"/>
    <n v="1630"/>
    <x v="1"/>
  </r>
  <r>
    <x v="31"/>
    <x v="0"/>
    <x v="35"/>
    <n v="1"/>
    <x v="0"/>
  </r>
  <r>
    <x v="31"/>
    <x v="0"/>
    <x v="33"/>
    <n v="914"/>
    <x v="1"/>
  </r>
  <r>
    <x v="31"/>
    <x v="0"/>
    <x v="31"/>
    <n v="2989"/>
    <x v="1"/>
  </r>
  <r>
    <x v="31"/>
    <x v="0"/>
    <x v="55"/>
    <n v="1"/>
    <x v="0"/>
  </r>
  <r>
    <x v="31"/>
    <x v="0"/>
    <x v="44"/>
    <n v="146"/>
    <x v="1"/>
  </r>
  <r>
    <x v="31"/>
    <x v="0"/>
    <x v="8"/>
    <n v="2518"/>
    <x v="1"/>
  </r>
  <r>
    <x v="31"/>
    <x v="0"/>
    <x v="53"/>
    <n v="360"/>
    <x v="1"/>
  </r>
  <r>
    <x v="31"/>
    <x v="0"/>
    <x v="39"/>
    <n v="2011"/>
    <x v="1"/>
  </r>
  <r>
    <x v="31"/>
    <x v="0"/>
    <x v="49"/>
    <n v="1327"/>
    <x v="1"/>
  </r>
  <r>
    <x v="31"/>
    <x v="0"/>
    <x v="6"/>
    <n v="8"/>
    <x v="0"/>
  </r>
  <r>
    <x v="31"/>
    <x v="0"/>
    <x v="40"/>
    <n v="3"/>
    <x v="0"/>
  </r>
  <r>
    <x v="31"/>
    <x v="0"/>
    <x v="5"/>
    <n v="2"/>
    <x v="0"/>
  </r>
  <r>
    <x v="31"/>
    <x v="0"/>
    <x v="9"/>
    <n v="1"/>
    <x v="0"/>
  </r>
  <r>
    <x v="31"/>
    <x v="0"/>
    <x v="1"/>
    <n v="30"/>
    <x v="0"/>
  </r>
  <r>
    <x v="31"/>
    <x v="0"/>
    <x v="30"/>
    <n v="616"/>
    <x v="1"/>
  </r>
  <r>
    <x v="31"/>
    <x v="0"/>
    <x v="73"/>
    <n v="2051"/>
    <x v="1"/>
  </r>
  <r>
    <x v="31"/>
    <x v="0"/>
    <x v="77"/>
    <n v="41"/>
    <x v="0"/>
  </r>
  <r>
    <x v="31"/>
    <x v="0"/>
    <x v="19"/>
    <n v="1268"/>
    <x v="1"/>
  </r>
  <r>
    <x v="31"/>
    <x v="0"/>
    <x v="57"/>
    <n v="1"/>
    <x v="0"/>
  </r>
  <r>
    <x v="31"/>
    <x v="0"/>
    <x v="62"/>
    <n v="1"/>
    <x v="0"/>
  </r>
  <r>
    <x v="31"/>
    <x v="0"/>
    <x v="32"/>
    <n v="1232"/>
    <x v="1"/>
  </r>
  <r>
    <x v="31"/>
    <x v="0"/>
    <x v="56"/>
    <n v="7"/>
    <x v="0"/>
  </r>
  <r>
    <x v="32"/>
    <x v="0"/>
    <x v="9"/>
    <n v="1"/>
    <x v="0"/>
  </r>
  <r>
    <x v="32"/>
    <x v="0"/>
    <x v="59"/>
    <n v="3"/>
    <x v="0"/>
  </r>
  <r>
    <x v="32"/>
    <x v="0"/>
    <x v="5"/>
    <n v="2"/>
    <x v="0"/>
  </r>
  <r>
    <x v="32"/>
    <x v="0"/>
    <x v="20"/>
    <n v="2490"/>
    <x v="1"/>
  </r>
  <r>
    <x v="32"/>
    <x v="0"/>
    <x v="26"/>
    <n v="1330"/>
    <x v="1"/>
  </r>
  <r>
    <x v="32"/>
    <x v="0"/>
    <x v="49"/>
    <n v="1380"/>
    <x v="1"/>
  </r>
  <r>
    <x v="32"/>
    <x v="0"/>
    <x v="77"/>
    <n v="82"/>
    <x v="0"/>
  </r>
  <r>
    <x v="32"/>
    <x v="0"/>
    <x v="6"/>
    <n v="8"/>
    <x v="0"/>
  </r>
  <r>
    <x v="32"/>
    <x v="0"/>
    <x v="67"/>
    <n v="2346"/>
    <x v="1"/>
  </r>
  <r>
    <x v="32"/>
    <x v="0"/>
    <x v="68"/>
    <n v="1625"/>
    <x v="1"/>
  </r>
  <r>
    <x v="32"/>
    <x v="0"/>
    <x v="14"/>
    <n v="1932"/>
    <x v="1"/>
  </r>
  <r>
    <x v="32"/>
    <x v="0"/>
    <x v="52"/>
    <n v="1"/>
    <x v="0"/>
  </r>
  <r>
    <x v="32"/>
    <x v="0"/>
    <x v="73"/>
    <n v="2027"/>
    <x v="1"/>
  </r>
  <r>
    <x v="32"/>
    <x v="0"/>
    <x v="75"/>
    <n v="2276"/>
    <x v="1"/>
  </r>
  <r>
    <x v="32"/>
    <x v="0"/>
    <x v="3"/>
    <n v="2450"/>
    <x v="1"/>
  </r>
  <r>
    <x v="32"/>
    <x v="0"/>
    <x v="10"/>
    <n v="5"/>
    <x v="0"/>
  </r>
  <r>
    <x v="32"/>
    <x v="0"/>
    <x v="53"/>
    <n v="357"/>
    <x v="1"/>
  </r>
  <r>
    <x v="32"/>
    <x v="0"/>
    <x v="46"/>
    <n v="3"/>
    <x v="0"/>
  </r>
  <r>
    <x v="32"/>
    <x v="0"/>
    <x v="57"/>
    <n v="1"/>
    <x v="0"/>
  </r>
  <r>
    <x v="32"/>
    <x v="0"/>
    <x v="63"/>
    <n v="2681"/>
    <x v="1"/>
  </r>
  <r>
    <x v="32"/>
    <x v="0"/>
    <x v="39"/>
    <n v="2050"/>
    <x v="1"/>
  </r>
  <r>
    <x v="32"/>
    <x v="0"/>
    <x v="8"/>
    <n v="2457"/>
    <x v="1"/>
  </r>
  <r>
    <x v="32"/>
    <x v="0"/>
    <x v="42"/>
    <n v="1"/>
    <x v="0"/>
  </r>
  <r>
    <x v="32"/>
    <x v="0"/>
    <x v="33"/>
    <n v="913"/>
    <x v="1"/>
  </r>
  <r>
    <x v="32"/>
    <x v="0"/>
    <x v="55"/>
    <n v="1"/>
    <x v="0"/>
  </r>
  <r>
    <x v="32"/>
    <x v="0"/>
    <x v="30"/>
    <n v="639"/>
    <x v="1"/>
  </r>
  <r>
    <x v="32"/>
    <x v="0"/>
    <x v="29"/>
    <n v="3213"/>
    <x v="1"/>
  </r>
  <r>
    <x v="32"/>
    <x v="0"/>
    <x v="64"/>
    <n v="1"/>
    <x v="0"/>
  </r>
  <r>
    <x v="32"/>
    <x v="0"/>
    <x v="74"/>
    <n v="2300"/>
    <x v="1"/>
  </r>
  <r>
    <x v="32"/>
    <x v="0"/>
    <x v="19"/>
    <n v="1258"/>
    <x v="1"/>
  </r>
  <r>
    <x v="32"/>
    <x v="0"/>
    <x v="24"/>
    <n v="5032"/>
    <x v="1"/>
  </r>
  <r>
    <x v="32"/>
    <x v="0"/>
    <x v="18"/>
    <n v="973"/>
    <x v="1"/>
  </r>
  <r>
    <x v="32"/>
    <x v="0"/>
    <x v="31"/>
    <n v="2975"/>
    <x v="1"/>
  </r>
  <r>
    <x v="32"/>
    <x v="0"/>
    <x v="4"/>
    <n v="861"/>
    <x v="1"/>
  </r>
  <r>
    <x v="32"/>
    <x v="0"/>
    <x v="7"/>
    <n v="1800"/>
    <x v="1"/>
  </r>
  <r>
    <x v="32"/>
    <x v="0"/>
    <x v="60"/>
    <n v="2"/>
    <x v="0"/>
  </r>
  <r>
    <x v="32"/>
    <x v="0"/>
    <x v="56"/>
    <n v="7"/>
    <x v="0"/>
  </r>
  <r>
    <x v="32"/>
    <x v="0"/>
    <x v="62"/>
    <n v="1"/>
    <x v="0"/>
  </r>
  <r>
    <x v="32"/>
    <x v="0"/>
    <x v="72"/>
    <n v="3"/>
    <x v="0"/>
  </r>
  <r>
    <x v="32"/>
    <x v="0"/>
    <x v="61"/>
    <n v="1"/>
    <x v="0"/>
  </r>
  <r>
    <x v="32"/>
    <x v="0"/>
    <x v="36"/>
    <n v="160"/>
    <x v="1"/>
  </r>
  <r>
    <x v="32"/>
    <x v="0"/>
    <x v="21"/>
    <n v="148"/>
    <x v="1"/>
  </r>
  <r>
    <x v="32"/>
    <x v="0"/>
    <x v="44"/>
    <n v="138"/>
    <x v="1"/>
  </r>
  <r>
    <x v="32"/>
    <x v="0"/>
    <x v="66"/>
    <n v="2533"/>
    <x v="1"/>
  </r>
  <r>
    <x v="32"/>
    <x v="0"/>
    <x v="40"/>
    <n v="3"/>
    <x v="0"/>
  </r>
  <r>
    <x v="32"/>
    <x v="0"/>
    <x v="35"/>
    <n v="1"/>
    <x v="0"/>
  </r>
  <r>
    <x v="32"/>
    <x v="0"/>
    <x v="11"/>
    <n v="1046"/>
    <x v="1"/>
  </r>
  <r>
    <x v="32"/>
    <x v="0"/>
    <x v="16"/>
    <n v="1"/>
    <x v="0"/>
  </r>
  <r>
    <x v="32"/>
    <x v="0"/>
    <x v="32"/>
    <n v="1214"/>
    <x v="1"/>
  </r>
  <r>
    <x v="32"/>
    <x v="0"/>
    <x v="71"/>
    <n v="2961"/>
    <x v="1"/>
  </r>
  <r>
    <x v="32"/>
    <x v="0"/>
    <x v="28"/>
    <n v="4"/>
    <x v="0"/>
  </r>
  <r>
    <x v="32"/>
    <x v="0"/>
    <x v="47"/>
    <n v="11"/>
    <x v="0"/>
  </r>
  <r>
    <x v="32"/>
    <x v="0"/>
    <x v="1"/>
    <n v="30"/>
    <x v="0"/>
  </r>
  <r>
    <x v="33"/>
    <x v="0"/>
    <x v="60"/>
    <n v="2"/>
    <x v="0"/>
  </r>
  <r>
    <x v="33"/>
    <x v="0"/>
    <x v="77"/>
    <n v="133"/>
    <x v="1"/>
  </r>
  <r>
    <x v="33"/>
    <x v="0"/>
    <x v="61"/>
    <n v="1"/>
    <x v="0"/>
  </r>
  <r>
    <x v="33"/>
    <x v="0"/>
    <x v="7"/>
    <n v="1797"/>
    <x v="1"/>
  </r>
  <r>
    <x v="33"/>
    <x v="0"/>
    <x v="3"/>
    <n v="2451"/>
    <x v="1"/>
  </r>
  <r>
    <x v="33"/>
    <x v="0"/>
    <x v="5"/>
    <n v="2"/>
    <x v="0"/>
  </r>
  <r>
    <x v="33"/>
    <x v="0"/>
    <x v="44"/>
    <n v="139"/>
    <x v="1"/>
  </r>
  <r>
    <x v="33"/>
    <x v="0"/>
    <x v="31"/>
    <n v="2970"/>
    <x v="1"/>
  </r>
  <r>
    <x v="33"/>
    <x v="0"/>
    <x v="42"/>
    <n v="1"/>
    <x v="0"/>
  </r>
  <r>
    <x v="33"/>
    <x v="0"/>
    <x v="32"/>
    <n v="1246"/>
    <x v="1"/>
  </r>
  <r>
    <x v="33"/>
    <x v="0"/>
    <x v="67"/>
    <n v="2361"/>
    <x v="1"/>
  </r>
  <r>
    <x v="33"/>
    <x v="0"/>
    <x v="26"/>
    <n v="1335"/>
    <x v="1"/>
  </r>
  <r>
    <x v="33"/>
    <x v="0"/>
    <x v="73"/>
    <n v="2045"/>
    <x v="1"/>
  </r>
  <r>
    <x v="33"/>
    <x v="0"/>
    <x v="36"/>
    <n v="164"/>
    <x v="1"/>
  </r>
  <r>
    <x v="33"/>
    <x v="0"/>
    <x v="57"/>
    <n v="1"/>
    <x v="0"/>
  </r>
  <r>
    <x v="33"/>
    <x v="0"/>
    <x v="16"/>
    <n v="1"/>
    <x v="0"/>
  </r>
  <r>
    <x v="33"/>
    <x v="0"/>
    <x v="9"/>
    <n v="1"/>
    <x v="0"/>
  </r>
  <r>
    <x v="33"/>
    <x v="0"/>
    <x v="1"/>
    <n v="23"/>
    <x v="0"/>
  </r>
  <r>
    <x v="33"/>
    <x v="0"/>
    <x v="4"/>
    <n v="871"/>
    <x v="1"/>
  </r>
  <r>
    <x v="33"/>
    <x v="0"/>
    <x v="59"/>
    <n v="3"/>
    <x v="0"/>
  </r>
  <r>
    <x v="33"/>
    <x v="0"/>
    <x v="28"/>
    <n v="4"/>
    <x v="0"/>
  </r>
  <r>
    <x v="33"/>
    <x v="0"/>
    <x v="19"/>
    <n v="1256"/>
    <x v="1"/>
  </r>
  <r>
    <x v="33"/>
    <x v="0"/>
    <x v="49"/>
    <n v="1383"/>
    <x v="1"/>
  </r>
  <r>
    <x v="33"/>
    <x v="0"/>
    <x v="62"/>
    <n v="1"/>
    <x v="0"/>
  </r>
  <r>
    <x v="33"/>
    <x v="0"/>
    <x v="39"/>
    <n v="2054"/>
    <x v="1"/>
  </r>
  <r>
    <x v="33"/>
    <x v="0"/>
    <x v="33"/>
    <n v="933"/>
    <x v="1"/>
  </r>
  <r>
    <x v="33"/>
    <x v="0"/>
    <x v="63"/>
    <n v="2692"/>
    <x v="1"/>
  </r>
  <r>
    <x v="33"/>
    <x v="0"/>
    <x v="20"/>
    <n v="2490"/>
    <x v="1"/>
  </r>
  <r>
    <x v="33"/>
    <x v="0"/>
    <x v="29"/>
    <n v="3223"/>
    <x v="1"/>
  </r>
  <r>
    <x v="33"/>
    <x v="0"/>
    <x v="30"/>
    <n v="666"/>
    <x v="1"/>
  </r>
  <r>
    <x v="33"/>
    <x v="0"/>
    <x v="46"/>
    <n v="3"/>
    <x v="0"/>
  </r>
  <r>
    <x v="33"/>
    <x v="0"/>
    <x v="72"/>
    <n v="3"/>
    <x v="0"/>
  </r>
  <r>
    <x v="33"/>
    <x v="0"/>
    <x v="14"/>
    <n v="1922"/>
    <x v="1"/>
  </r>
  <r>
    <x v="33"/>
    <x v="0"/>
    <x v="6"/>
    <n v="8"/>
    <x v="0"/>
  </r>
  <r>
    <x v="33"/>
    <x v="0"/>
    <x v="21"/>
    <n v="142"/>
    <x v="1"/>
  </r>
  <r>
    <x v="33"/>
    <x v="0"/>
    <x v="74"/>
    <n v="2311"/>
    <x v="1"/>
  </r>
  <r>
    <x v="33"/>
    <x v="0"/>
    <x v="18"/>
    <n v="978"/>
    <x v="1"/>
  </r>
  <r>
    <x v="33"/>
    <x v="0"/>
    <x v="56"/>
    <n v="7"/>
    <x v="0"/>
  </r>
  <r>
    <x v="33"/>
    <x v="0"/>
    <x v="68"/>
    <n v="1626"/>
    <x v="1"/>
  </r>
  <r>
    <x v="33"/>
    <x v="0"/>
    <x v="71"/>
    <n v="2963"/>
    <x v="1"/>
  </r>
  <r>
    <x v="33"/>
    <x v="0"/>
    <x v="52"/>
    <n v="1"/>
    <x v="0"/>
  </r>
  <r>
    <x v="33"/>
    <x v="0"/>
    <x v="47"/>
    <n v="10"/>
    <x v="0"/>
  </r>
  <r>
    <x v="33"/>
    <x v="0"/>
    <x v="40"/>
    <n v="3"/>
    <x v="0"/>
  </r>
  <r>
    <x v="33"/>
    <x v="0"/>
    <x v="75"/>
    <n v="2294"/>
    <x v="1"/>
  </r>
  <r>
    <x v="33"/>
    <x v="0"/>
    <x v="66"/>
    <n v="2524"/>
    <x v="1"/>
  </r>
  <r>
    <x v="33"/>
    <x v="0"/>
    <x v="10"/>
    <n v="5"/>
    <x v="0"/>
  </r>
  <r>
    <x v="33"/>
    <x v="0"/>
    <x v="24"/>
    <n v="5021"/>
    <x v="1"/>
  </r>
  <r>
    <x v="33"/>
    <x v="0"/>
    <x v="64"/>
    <n v="1"/>
    <x v="0"/>
  </r>
  <r>
    <x v="33"/>
    <x v="0"/>
    <x v="11"/>
    <n v="1058"/>
    <x v="1"/>
  </r>
  <r>
    <x v="33"/>
    <x v="0"/>
    <x v="8"/>
    <n v="2465"/>
    <x v="1"/>
  </r>
  <r>
    <x v="33"/>
    <x v="0"/>
    <x v="53"/>
    <n v="356"/>
    <x v="1"/>
  </r>
  <r>
    <x v="34"/>
    <x v="0"/>
    <x v="28"/>
    <n v="4"/>
    <x v="0"/>
  </r>
  <r>
    <x v="34"/>
    <x v="0"/>
    <x v="57"/>
    <n v="1"/>
    <x v="0"/>
  </r>
  <r>
    <x v="34"/>
    <x v="0"/>
    <x v="49"/>
    <n v="1398"/>
    <x v="1"/>
  </r>
  <r>
    <x v="34"/>
    <x v="0"/>
    <x v="77"/>
    <n v="180"/>
    <x v="1"/>
  </r>
  <r>
    <x v="34"/>
    <x v="0"/>
    <x v="3"/>
    <n v="2489"/>
    <x v="1"/>
  </r>
  <r>
    <x v="34"/>
    <x v="0"/>
    <x v="52"/>
    <n v="1"/>
    <x v="0"/>
  </r>
  <r>
    <x v="34"/>
    <x v="0"/>
    <x v="74"/>
    <n v="2336"/>
    <x v="1"/>
  </r>
  <r>
    <x v="34"/>
    <x v="0"/>
    <x v="1"/>
    <n v="23"/>
    <x v="0"/>
  </r>
  <r>
    <x v="34"/>
    <x v="0"/>
    <x v="11"/>
    <n v="1112"/>
    <x v="1"/>
  </r>
  <r>
    <x v="34"/>
    <x v="0"/>
    <x v="14"/>
    <n v="1935"/>
    <x v="1"/>
  </r>
  <r>
    <x v="34"/>
    <x v="0"/>
    <x v="56"/>
    <n v="7"/>
    <x v="0"/>
  </r>
  <r>
    <x v="34"/>
    <x v="0"/>
    <x v="66"/>
    <n v="2587"/>
    <x v="1"/>
  </r>
  <r>
    <x v="34"/>
    <x v="0"/>
    <x v="47"/>
    <n v="9"/>
    <x v="0"/>
  </r>
  <r>
    <x v="34"/>
    <x v="0"/>
    <x v="6"/>
    <n v="8"/>
    <x v="0"/>
  </r>
  <r>
    <x v="34"/>
    <x v="0"/>
    <x v="21"/>
    <n v="244"/>
    <x v="1"/>
  </r>
  <r>
    <x v="34"/>
    <x v="0"/>
    <x v="7"/>
    <n v="1789"/>
    <x v="1"/>
  </r>
  <r>
    <x v="34"/>
    <x v="0"/>
    <x v="65"/>
    <n v="1995"/>
    <x v="1"/>
  </r>
  <r>
    <x v="34"/>
    <x v="0"/>
    <x v="5"/>
    <n v="3"/>
    <x v="0"/>
  </r>
  <r>
    <x v="34"/>
    <x v="0"/>
    <x v="67"/>
    <n v="2467"/>
    <x v="1"/>
  </r>
  <r>
    <x v="34"/>
    <x v="0"/>
    <x v="68"/>
    <n v="1654"/>
    <x v="1"/>
  </r>
  <r>
    <x v="34"/>
    <x v="0"/>
    <x v="59"/>
    <n v="3"/>
    <x v="0"/>
  </r>
  <r>
    <x v="34"/>
    <x v="0"/>
    <x v="4"/>
    <n v="900"/>
    <x v="1"/>
  </r>
  <r>
    <x v="34"/>
    <x v="0"/>
    <x v="46"/>
    <n v="3"/>
    <x v="0"/>
  </r>
  <r>
    <x v="34"/>
    <x v="0"/>
    <x v="61"/>
    <n v="1"/>
    <x v="0"/>
  </r>
  <r>
    <x v="34"/>
    <x v="0"/>
    <x v="25"/>
    <n v="1"/>
    <x v="0"/>
  </r>
  <r>
    <x v="34"/>
    <x v="0"/>
    <x v="73"/>
    <n v="2161"/>
    <x v="1"/>
  </r>
  <r>
    <x v="34"/>
    <x v="0"/>
    <x v="42"/>
    <n v="1"/>
    <x v="0"/>
  </r>
  <r>
    <x v="34"/>
    <x v="0"/>
    <x v="30"/>
    <n v="720"/>
    <x v="1"/>
  </r>
  <r>
    <x v="34"/>
    <x v="0"/>
    <x v="71"/>
    <n v="3041"/>
    <x v="1"/>
  </r>
  <r>
    <x v="34"/>
    <x v="0"/>
    <x v="15"/>
    <n v="1"/>
    <x v="0"/>
  </r>
  <r>
    <x v="34"/>
    <x v="0"/>
    <x v="39"/>
    <n v="60"/>
    <x v="0"/>
  </r>
  <r>
    <x v="34"/>
    <x v="0"/>
    <x v="36"/>
    <n v="185"/>
    <x v="1"/>
  </r>
  <r>
    <x v="34"/>
    <x v="0"/>
    <x v="19"/>
    <n v="1292"/>
    <x v="1"/>
  </r>
  <r>
    <x v="34"/>
    <x v="0"/>
    <x v="8"/>
    <n v="2491"/>
    <x v="1"/>
  </r>
  <r>
    <x v="34"/>
    <x v="0"/>
    <x v="53"/>
    <n v="355"/>
    <x v="1"/>
  </r>
  <r>
    <x v="34"/>
    <x v="0"/>
    <x v="10"/>
    <n v="5"/>
    <x v="0"/>
  </r>
  <r>
    <x v="34"/>
    <x v="0"/>
    <x v="75"/>
    <n v="2356"/>
    <x v="1"/>
  </r>
  <r>
    <x v="34"/>
    <x v="0"/>
    <x v="18"/>
    <n v="1016"/>
    <x v="1"/>
  </r>
  <r>
    <x v="34"/>
    <x v="0"/>
    <x v="31"/>
    <n v="3016"/>
    <x v="1"/>
  </r>
  <r>
    <x v="34"/>
    <x v="0"/>
    <x v="26"/>
    <n v="1409"/>
    <x v="1"/>
  </r>
  <r>
    <x v="34"/>
    <x v="0"/>
    <x v="64"/>
    <n v="1"/>
    <x v="0"/>
  </r>
  <r>
    <x v="34"/>
    <x v="0"/>
    <x v="32"/>
    <n v="1523"/>
    <x v="1"/>
  </r>
  <r>
    <x v="34"/>
    <x v="0"/>
    <x v="29"/>
    <n v="3246"/>
    <x v="1"/>
  </r>
  <r>
    <x v="34"/>
    <x v="0"/>
    <x v="20"/>
    <n v="2527"/>
    <x v="1"/>
  </r>
  <r>
    <x v="34"/>
    <x v="0"/>
    <x v="9"/>
    <n v="1"/>
    <x v="0"/>
  </r>
  <r>
    <x v="34"/>
    <x v="0"/>
    <x v="33"/>
    <n v="991"/>
    <x v="1"/>
  </r>
  <r>
    <x v="34"/>
    <x v="0"/>
    <x v="63"/>
    <n v="2752"/>
    <x v="1"/>
  </r>
  <r>
    <x v="34"/>
    <x v="0"/>
    <x v="72"/>
    <n v="3"/>
    <x v="0"/>
  </r>
  <r>
    <x v="34"/>
    <x v="0"/>
    <x v="24"/>
    <n v="5045"/>
    <x v="1"/>
  </r>
  <r>
    <x v="34"/>
    <x v="0"/>
    <x v="16"/>
    <n v="1"/>
    <x v="0"/>
  </r>
  <r>
    <x v="34"/>
    <x v="0"/>
    <x v="40"/>
    <n v="4"/>
    <x v="0"/>
  </r>
  <r>
    <x v="34"/>
    <x v="0"/>
    <x v="60"/>
    <n v="2"/>
    <x v="0"/>
  </r>
  <r>
    <x v="34"/>
    <x v="0"/>
    <x v="62"/>
    <n v="1"/>
    <x v="0"/>
  </r>
  <r>
    <x v="34"/>
    <x v="0"/>
    <x v="44"/>
    <n v="158"/>
    <x v="1"/>
  </r>
  <r>
    <x v="35"/>
    <x v="0"/>
    <x v="28"/>
    <n v="4"/>
    <x v="0"/>
  </r>
  <r>
    <x v="35"/>
    <x v="0"/>
    <x v="60"/>
    <n v="2"/>
    <x v="0"/>
  </r>
  <r>
    <x v="35"/>
    <x v="0"/>
    <x v="65"/>
    <n v="1994"/>
    <x v="1"/>
  </r>
  <r>
    <x v="35"/>
    <x v="0"/>
    <x v="77"/>
    <n v="243"/>
    <x v="1"/>
  </r>
  <r>
    <x v="35"/>
    <x v="0"/>
    <x v="10"/>
    <n v="5"/>
    <x v="0"/>
  </r>
  <r>
    <x v="35"/>
    <x v="0"/>
    <x v="8"/>
    <n v="2489"/>
    <x v="1"/>
  </r>
  <r>
    <x v="35"/>
    <x v="0"/>
    <x v="7"/>
    <n v="1794"/>
    <x v="1"/>
  </r>
  <r>
    <x v="35"/>
    <x v="0"/>
    <x v="36"/>
    <n v="191"/>
    <x v="1"/>
  </r>
  <r>
    <x v="35"/>
    <x v="0"/>
    <x v="19"/>
    <n v="1295"/>
    <x v="1"/>
  </r>
  <r>
    <x v="35"/>
    <x v="0"/>
    <x v="20"/>
    <n v="2530"/>
    <x v="1"/>
  </r>
  <r>
    <x v="35"/>
    <x v="0"/>
    <x v="39"/>
    <n v="60"/>
    <x v="0"/>
  </r>
  <r>
    <x v="35"/>
    <x v="0"/>
    <x v="4"/>
    <n v="903"/>
    <x v="1"/>
  </r>
  <r>
    <x v="35"/>
    <x v="0"/>
    <x v="62"/>
    <n v="1"/>
    <x v="0"/>
  </r>
  <r>
    <x v="35"/>
    <x v="0"/>
    <x v="49"/>
    <n v="1403"/>
    <x v="1"/>
  </r>
  <r>
    <x v="35"/>
    <x v="0"/>
    <x v="5"/>
    <n v="3"/>
    <x v="0"/>
  </r>
  <r>
    <x v="35"/>
    <x v="0"/>
    <x v="71"/>
    <n v="3044"/>
    <x v="1"/>
  </r>
  <r>
    <x v="35"/>
    <x v="0"/>
    <x v="25"/>
    <n v="1"/>
    <x v="0"/>
  </r>
  <r>
    <x v="35"/>
    <x v="0"/>
    <x v="56"/>
    <n v="7"/>
    <x v="0"/>
  </r>
  <r>
    <x v="35"/>
    <x v="0"/>
    <x v="6"/>
    <n v="8"/>
    <x v="0"/>
  </r>
  <r>
    <x v="35"/>
    <x v="0"/>
    <x v="68"/>
    <n v="1661"/>
    <x v="1"/>
  </r>
  <r>
    <x v="35"/>
    <x v="0"/>
    <x v="21"/>
    <n v="244"/>
    <x v="1"/>
  </r>
  <r>
    <x v="35"/>
    <x v="0"/>
    <x v="32"/>
    <n v="1536"/>
    <x v="1"/>
  </r>
  <r>
    <x v="35"/>
    <x v="0"/>
    <x v="61"/>
    <n v="1"/>
    <x v="0"/>
  </r>
  <r>
    <x v="35"/>
    <x v="0"/>
    <x v="73"/>
    <n v="2175"/>
    <x v="1"/>
  </r>
  <r>
    <x v="35"/>
    <x v="0"/>
    <x v="42"/>
    <n v="1"/>
    <x v="0"/>
  </r>
  <r>
    <x v="35"/>
    <x v="0"/>
    <x v="67"/>
    <n v="2477"/>
    <x v="1"/>
  </r>
  <r>
    <x v="35"/>
    <x v="0"/>
    <x v="52"/>
    <n v="1"/>
    <x v="0"/>
  </r>
  <r>
    <x v="35"/>
    <x v="0"/>
    <x v="18"/>
    <n v="1026"/>
    <x v="1"/>
  </r>
  <r>
    <x v="35"/>
    <x v="0"/>
    <x v="59"/>
    <n v="3"/>
    <x v="0"/>
  </r>
  <r>
    <x v="35"/>
    <x v="0"/>
    <x v="33"/>
    <n v="997"/>
    <x v="1"/>
  </r>
  <r>
    <x v="35"/>
    <x v="0"/>
    <x v="1"/>
    <n v="23"/>
    <x v="0"/>
  </r>
  <r>
    <x v="35"/>
    <x v="0"/>
    <x v="16"/>
    <n v="1"/>
    <x v="0"/>
  </r>
  <r>
    <x v="35"/>
    <x v="0"/>
    <x v="64"/>
    <n v="1"/>
    <x v="0"/>
  </r>
  <r>
    <x v="35"/>
    <x v="0"/>
    <x v="53"/>
    <n v="355"/>
    <x v="1"/>
  </r>
  <r>
    <x v="35"/>
    <x v="0"/>
    <x v="31"/>
    <n v="3004"/>
    <x v="1"/>
  </r>
  <r>
    <x v="35"/>
    <x v="0"/>
    <x v="44"/>
    <n v="158"/>
    <x v="1"/>
  </r>
  <r>
    <x v="35"/>
    <x v="0"/>
    <x v="72"/>
    <n v="3"/>
    <x v="0"/>
  </r>
  <r>
    <x v="35"/>
    <x v="0"/>
    <x v="9"/>
    <n v="1"/>
    <x v="0"/>
  </r>
  <r>
    <x v="35"/>
    <x v="0"/>
    <x v="14"/>
    <n v="1930"/>
    <x v="1"/>
  </r>
  <r>
    <x v="35"/>
    <x v="0"/>
    <x v="26"/>
    <n v="1419"/>
    <x v="1"/>
  </r>
  <r>
    <x v="35"/>
    <x v="0"/>
    <x v="40"/>
    <n v="4"/>
    <x v="0"/>
  </r>
  <r>
    <x v="35"/>
    <x v="0"/>
    <x v="3"/>
    <n v="2482"/>
    <x v="1"/>
  </r>
  <r>
    <x v="35"/>
    <x v="0"/>
    <x v="75"/>
    <n v="2359"/>
    <x v="1"/>
  </r>
  <r>
    <x v="35"/>
    <x v="0"/>
    <x v="63"/>
    <n v="2763"/>
    <x v="1"/>
  </r>
  <r>
    <x v="35"/>
    <x v="0"/>
    <x v="11"/>
    <n v="1115"/>
    <x v="1"/>
  </r>
  <r>
    <x v="35"/>
    <x v="0"/>
    <x v="74"/>
    <n v="2343"/>
    <x v="1"/>
  </r>
  <r>
    <x v="35"/>
    <x v="0"/>
    <x v="66"/>
    <n v="2574"/>
    <x v="1"/>
  </r>
  <r>
    <x v="35"/>
    <x v="0"/>
    <x v="57"/>
    <n v="1"/>
    <x v="0"/>
  </r>
  <r>
    <x v="35"/>
    <x v="0"/>
    <x v="24"/>
    <n v="5030"/>
    <x v="1"/>
  </r>
  <r>
    <x v="35"/>
    <x v="0"/>
    <x v="29"/>
    <n v="3254"/>
    <x v="1"/>
  </r>
  <r>
    <x v="35"/>
    <x v="0"/>
    <x v="46"/>
    <n v="3"/>
    <x v="0"/>
  </r>
  <r>
    <x v="35"/>
    <x v="0"/>
    <x v="47"/>
    <n v="8"/>
    <x v="0"/>
  </r>
  <r>
    <x v="35"/>
    <x v="0"/>
    <x v="30"/>
    <n v="737"/>
    <x v="1"/>
  </r>
  <r>
    <x v="36"/>
    <x v="0"/>
    <x v="10"/>
    <n v="5"/>
    <x v="0"/>
  </r>
  <r>
    <x v="36"/>
    <x v="0"/>
    <x v="18"/>
    <s v="1 027"/>
    <x v="1"/>
  </r>
  <r>
    <x v="36"/>
    <x v="0"/>
    <x v="62"/>
    <n v="1"/>
    <x v="0"/>
  </r>
  <r>
    <x v="36"/>
    <x v="0"/>
    <x v="59"/>
    <n v="3"/>
    <x v="0"/>
  </r>
  <r>
    <x v="36"/>
    <x v="0"/>
    <x v="52"/>
    <n v="1"/>
    <x v="0"/>
  </r>
  <r>
    <x v="36"/>
    <x v="0"/>
    <x v="68"/>
    <s v="1 660"/>
    <x v="1"/>
  </r>
  <r>
    <x v="36"/>
    <x v="0"/>
    <x v="32"/>
    <s v="1 548"/>
    <x v="1"/>
  </r>
  <r>
    <x v="36"/>
    <x v="0"/>
    <x v="25"/>
    <n v="1"/>
    <x v="0"/>
  </r>
  <r>
    <x v="36"/>
    <x v="0"/>
    <x v="8"/>
    <s v="2 488"/>
    <x v="1"/>
  </r>
  <r>
    <x v="36"/>
    <x v="0"/>
    <x v="44"/>
    <n v="157"/>
    <x v="1"/>
  </r>
  <r>
    <x v="36"/>
    <x v="0"/>
    <x v="40"/>
    <n v="4"/>
    <x v="0"/>
  </r>
  <r>
    <x v="36"/>
    <x v="0"/>
    <x v="1"/>
    <n v="23"/>
    <x v="0"/>
  </r>
  <r>
    <x v="36"/>
    <x v="0"/>
    <x v="67"/>
    <s v="2 481"/>
    <x v="1"/>
  </r>
  <r>
    <x v="36"/>
    <x v="0"/>
    <x v="16"/>
    <n v="1"/>
    <x v="0"/>
  </r>
  <r>
    <x v="36"/>
    <x v="0"/>
    <x v="14"/>
    <s v="1 918"/>
    <x v="1"/>
  </r>
  <r>
    <x v="36"/>
    <x v="0"/>
    <x v="36"/>
    <n v="198"/>
    <x v="1"/>
  </r>
  <r>
    <x v="36"/>
    <x v="0"/>
    <x v="5"/>
    <n v="3"/>
    <x v="0"/>
  </r>
  <r>
    <x v="36"/>
    <x v="0"/>
    <x v="4"/>
    <n v="913"/>
    <x v="1"/>
  </r>
  <r>
    <x v="36"/>
    <x v="0"/>
    <x v="72"/>
    <n v="3"/>
    <x v="0"/>
  </r>
  <r>
    <x v="36"/>
    <x v="0"/>
    <x v="64"/>
    <n v="1"/>
    <x v="0"/>
  </r>
  <r>
    <x v="36"/>
    <x v="0"/>
    <x v="3"/>
    <n v="2477"/>
    <x v="1"/>
  </r>
  <r>
    <x v="36"/>
    <x v="0"/>
    <x v="49"/>
    <n v="1406"/>
    <x v="1"/>
  </r>
  <r>
    <x v="36"/>
    <x v="0"/>
    <x v="56"/>
    <n v="7"/>
    <x v="0"/>
  </r>
  <r>
    <x v="36"/>
    <x v="0"/>
    <x v="31"/>
    <n v="3001"/>
    <x v="1"/>
  </r>
  <r>
    <x v="36"/>
    <x v="0"/>
    <x v="71"/>
    <n v="3048"/>
    <x v="1"/>
  </r>
  <r>
    <x v="36"/>
    <x v="0"/>
    <x v="9"/>
    <n v="1"/>
    <x v="0"/>
  </r>
  <r>
    <x v="36"/>
    <x v="0"/>
    <x v="60"/>
    <n v="2"/>
    <x v="0"/>
  </r>
  <r>
    <x v="36"/>
    <x v="0"/>
    <x v="19"/>
    <n v="1302"/>
    <x v="1"/>
  </r>
  <r>
    <x v="36"/>
    <x v="0"/>
    <x v="6"/>
    <n v="8"/>
    <x v="0"/>
  </r>
  <r>
    <x v="36"/>
    <x v="0"/>
    <x v="29"/>
    <n v="3251"/>
    <x v="1"/>
  </r>
  <r>
    <x v="36"/>
    <x v="0"/>
    <x v="30"/>
    <n v="740"/>
    <x v="1"/>
  </r>
  <r>
    <x v="36"/>
    <x v="0"/>
    <x v="24"/>
    <n v="5014"/>
    <x v="1"/>
  </r>
  <r>
    <x v="36"/>
    <x v="0"/>
    <x v="7"/>
    <n v="1795"/>
    <x v="1"/>
  </r>
  <r>
    <x v="36"/>
    <x v="0"/>
    <x v="65"/>
    <n v="1995"/>
    <x v="1"/>
  </r>
  <r>
    <x v="36"/>
    <x v="0"/>
    <x v="63"/>
    <n v="2767"/>
    <x v="1"/>
  </r>
  <r>
    <x v="36"/>
    <x v="0"/>
    <x v="46"/>
    <n v="3"/>
    <x v="0"/>
  </r>
  <r>
    <x v="36"/>
    <x v="0"/>
    <x v="28"/>
    <n v="4"/>
    <x v="0"/>
  </r>
  <r>
    <x v="36"/>
    <x v="0"/>
    <x v="57"/>
    <n v="1"/>
    <x v="0"/>
  </r>
  <r>
    <x v="36"/>
    <x v="0"/>
    <x v="26"/>
    <n v="1432"/>
    <x v="1"/>
  </r>
  <r>
    <x v="36"/>
    <x v="0"/>
    <x v="33"/>
    <n v="1012"/>
    <x v="1"/>
  </r>
  <r>
    <x v="36"/>
    <x v="0"/>
    <x v="11"/>
    <n v="1124"/>
    <x v="1"/>
  </r>
  <r>
    <x v="36"/>
    <x v="0"/>
    <x v="53"/>
    <n v="354"/>
    <x v="1"/>
  </r>
  <r>
    <x v="36"/>
    <x v="0"/>
    <x v="20"/>
    <n v="2535"/>
    <x v="1"/>
  </r>
  <r>
    <x v="36"/>
    <x v="0"/>
    <x v="47"/>
    <n v="8"/>
    <x v="0"/>
  </r>
  <r>
    <x v="36"/>
    <x v="0"/>
    <x v="74"/>
    <n v="2344"/>
    <x v="1"/>
  </r>
  <r>
    <x v="36"/>
    <x v="0"/>
    <x v="73"/>
    <n v="2187"/>
    <x v="1"/>
  </r>
  <r>
    <x v="36"/>
    <x v="0"/>
    <x v="42"/>
    <n v="1"/>
    <x v="0"/>
  </r>
  <r>
    <x v="36"/>
    <x v="0"/>
    <x v="66"/>
    <n v="2575"/>
    <x v="1"/>
  </r>
  <r>
    <x v="36"/>
    <x v="0"/>
    <x v="39"/>
    <n v="60"/>
    <x v="0"/>
  </r>
  <r>
    <x v="36"/>
    <x v="0"/>
    <x v="21"/>
    <n v="243"/>
    <x v="1"/>
  </r>
  <r>
    <x v="36"/>
    <x v="0"/>
    <x v="61"/>
    <n v="1"/>
    <x v="0"/>
  </r>
  <r>
    <x v="36"/>
    <x v="0"/>
    <x v="77"/>
    <n v="304"/>
    <x v="1"/>
  </r>
  <r>
    <x v="36"/>
    <x v="0"/>
    <x v="75"/>
    <n v="2351"/>
    <x v="1"/>
  </r>
  <r>
    <x v="37"/>
    <x v="0"/>
    <x v="5"/>
    <n v="3"/>
    <x v="0"/>
  </r>
  <r>
    <x v="37"/>
    <x v="0"/>
    <x v="31"/>
    <n v="3009"/>
    <x v="1"/>
  </r>
  <r>
    <x v="37"/>
    <x v="0"/>
    <x v="29"/>
    <n v="3265"/>
    <x v="1"/>
  </r>
  <r>
    <x v="37"/>
    <x v="0"/>
    <x v="14"/>
    <n v="1919"/>
    <x v="1"/>
  </r>
  <r>
    <x v="37"/>
    <x v="0"/>
    <x v="77"/>
    <n v="2661"/>
    <x v="1"/>
  </r>
  <r>
    <x v="37"/>
    <x v="0"/>
    <x v="28"/>
    <n v="3"/>
    <x v="0"/>
  </r>
  <r>
    <x v="37"/>
    <x v="0"/>
    <x v="65"/>
    <n v="1993"/>
    <x v="1"/>
  </r>
  <r>
    <x v="37"/>
    <x v="0"/>
    <x v="52"/>
    <n v="1"/>
    <x v="0"/>
  </r>
  <r>
    <x v="37"/>
    <x v="0"/>
    <x v="24"/>
    <n v="2712"/>
    <x v="1"/>
  </r>
  <r>
    <x v="37"/>
    <x v="0"/>
    <x v="57"/>
    <n v="1"/>
    <x v="0"/>
  </r>
  <r>
    <x v="37"/>
    <x v="0"/>
    <x v="53"/>
    <n v="351"/>
    <x v="1"/>
  </r>
  <r>
    <x v="37"/>
    <x v="0"/>
    <x v="72"/>
    <n v="3"/>
    <x v="0"/>
  </r>
  <r>
    <x v="37"/>
    <x v="0"/>
    <x v="66"/>
    <n v="2588"/>
    <x v="1"/>
  </r>
  <r>
    <x v="37"/>
    <x v="0"/>
    <x v="67"/>
    <n v="2484"/>
    <x v="1"/>
  </r>
  <r>
    <x v="37"/>
    <x v="0"/>
    <x v="26"/>
    <n v="1464"/>
    <x v="1"/>
  </r>
  <r>
    <x v="37"/>
    <x v="0"/>
    <x v="62"/>
    <n v="1"/>
    <x v="0"/>
  </r>
  <r>
    <x v="37"/>
    <x v="0"/>
    <x v="8"/>
    <n v="2507"/>
    <x v="1"/>
  </r>
  <r>
    <x v="37"/>
    <x v="0"/>
    <x v="60"/>
    <n v="2"/>
    <x v="0"/>
  </r>
  <r>
    <x v="37"/>
    <x v="0"/>
    <x v="25"/>
    <n v="1"/>
    <x v="0"/>
  </r>
  <r>
    <x v="37"/>
    <x v="0"/>
    <x v="49"/>
    <n v="1405"/>
    <x v="1"/>
  </r>
  <r>
    <x v="37"/>
    <x v="0"/>
    <x v="19"/>
    <n v="1305"/>
    <x v="1"/>
  </r>
  <r>
    <x v="37"/>
    <x v="0"/>
    <x v="3"/>
    <n v="2480"/>
    <x v="1"/>
  </r>
  <r>
    <x v="37"/>
    <x v="0"/>
    <x v="40"/>
    <n v="4"/>
    <x v="0"/>
  </r>
  <r>
    <x v="37"/>
    <x v="0"/>
    <x v="61"/>
    <n v="1"/>
    <x v="0"/>
  </r>
  <r>
    <x v="37"/>
    <x v="0"/>
    <x v="20"/>
    <n v="2540"/>
    <x v="1"/>
  </r>
  <r>
    <x v="37"/>
    <x v="0"/>
    <x v="16"/>
    <n v="1"/>
    <x v="0"/>
  </r>
  <r>
    <x v="37"/>
    <x v="0"/>
    <x v="68"/>
    <n v="1673"/>
    <x v="1"/>
  </r>
  <r>
    <x v="37"/>
    <x v="0"/>
    <x v="46"/>
    <n v="3"/>
    <x v="0"/>
  </r>
  <r>
    <x v="37"/>
    <x v="0"/>
    <x v="56"/>
    <n v="7"/>
    <x v="0"/>
  </r>
  <r>
    <x v="37"/>
    <x v="0"/>
    <x v="18"/>
    <n v="1024"/>
    <x v="1"/>
  </r>
  <r>
    <x v="37"/>
    <x v="0"/>
    <x v="11"/>
    <n v="1114"/>
    <x v="1"/>
  </r>
  <r>
    <x v="37"/>
    <x v="0"/>
    <x v="30"/>
    <n v="720"/>
    <x v="1"/>
  </r>
  <r>
    <x v="37"/>
    <x v="0"/>
    <x v="39"/>
    <n v="60"/>
    <x v="0"/>
  </r>
  <r>
    <x v="37"/>
    <x v="0"/>
    <x v="63"/>
    <n v="2773"/>
    <x v="1"/>
  </r>
  <r>
    <x v="37"/>
    <x v="0"/>
    <x v="21"/>
    <n v="243"/>
    <x v="1"/>
  </r>
  <r>
    <x v="37"/>
    <x v="0"/>
    <x v="75"/>
    <n v="2367"/>
    <x v="1"/>
  </r>
  <r>
    <x v="37"/>
    <x v="0"/>
    <x v="44"/>
    <n v="156"/>
    <x v="1"/>
  </r>
  <r>
    <x v="37"/>
    <x v="0"/>
    <x v="64"/>
    <n v="1"/>
    <x v="0"/>
  </r>
  <r>
    <x v="37"/>
    <x v="0"/>
    <x v="42"/>
    <n v="1"/>
    <x v="0"/>
  </r>
  <r>
    <x v="37"/>
    <x v="0"/>
    <x v="73"/>
    <n v="2205"/>
    <x v="1"/>
  </r>
  <r>
    <x v="37"/>
    <x v="0"/>
    <x v="71"/>
    <n v="3057"/>
    <x v="1"/>
  </r>
  <r>
    <x v="37"/>
    <x v="0"/>
    <x v="1"/>
    <n v="23"/>
    <x v="0"/>
  </r>
  <r>
    <x v="37"/>
    <x v="0"/>
    <x v="6"/>
    <n v="8"/>
    <x v="0"/>
  </r>
  <r>
    <x v="37"/>
    <x v="0"/>
    <x v="10"/>
    <n v="5"/>
    <x v="0"/>
  </r>
  <r>
    <x v="37"/>
    <x v="0"/>
    <x v="33"/>
    <n v="1041"/>
    <x v="1"/>
  </r>
  <r>
    <x v="37"/>
    <x v="0"/>
    <x v="32"/>
    <n v="1602"/>
    <x v="1"/>
  </r>
  <r>
    <x v="37"/>
    <x v="0"/>
    <x v="9"/>
    <n v="1"/>
    <x v="0"/>
  </r>
  <r>
    <x v="37"/>
    <x v="0"/>
    <x v="74"/>
    <n v="2357"/>
    <x v="1"/>
  </r>
  <r>
    <x v="37"/>
    <x v="0"/>
    <x v="4"/>
    <n v="926"/>
    <x v="1"/>
  </r>
  <r>
    <x v="37"/>
    <x v="0"/>
    <x v="7"/>
    <n v="1789"/>
    <x v="1"/>
  </r>
  <r>
    <x v="37"/>
    <x v="0"/>
    <x v="59"/>
    <n v="3"/>
    <x v="0"/>
  </r>
  <r>
    <x v="37"/>
    <x v="0"/>
    <x v="47"/>
    <n v="8"/>
    <x v="0"/>
  </r>
  <r>
    <x v="37"/>
    <x v="0"/>
    <x v="36"/>
    <n v="210"/>
    <x v="1"/>
  </r>
  <r>
    <x v="38"/>
    <x v="0"/>
    <x v="74"/>
    <n v="2370"/>
    <x v="1"/>
  </r>
  <r>
    <x v="38"/>
    <x v="0"/>
    <x v="46"/>
    <n v="3"/>
    <x v="0"/>
  </r>
  <r>
    <x v="38"/>
    <x v="0"/>
    <x v="32"/>
    <n v="1619"/>
    <x v="1"/>
  </r>
  <r>
    <x v="38"/>
    <x v="0"/>
    <x v="65"/>
    <n v="1990"/>
    <x v="1"/>
  </r>
  <r>
    <x v="38"/>
    <x v="0"/>
    <x v="72"/>
    <n v="3"/>
    <x v="0"/>
  </r>
  <r>
    <x v="38"/>
    <x v="0"/>
    <x v="6"/>
    <n v="8"/>
    <x v="0"/>
  </r>
  <r>
    <x v="38"/>
    <x v="0"/>
    <x v="36"/>
    <n v="211"/>
    <x v="1"/>
  </r>
  <r>
    <x v="38"/>
    <x v="0"/>
    <x v="52"/>
    <n v="1"/>
    <x v="0"/>
  </r>
  <r>
    <x v="38"/>
    <x v="0"/>
    <x v="3"/>
    <n v="2476"/>
    <x v="1"/>
  </r>
  <r>
    <x v="38"/>
    <x v="0"/>
    <x v="39"/>
    <n v="62"/>
    <x v="0"/>
  </r>
  <r>
    <x v="38"/>
    <x v="0"/>
    <x v="11"/>
    <n v="1128"/>
    <x v="1"/>
  </r>
  <r>
    <x v="38"/>
    <x v="0"/>
    <x v="66"/>
    <n v="2587"/>
    <x v="1"/>
  </r>
  <r>
    <x v="38"/>
    <x v="0"/>
    <x v="64"/>
    <n v="1"/>
    <x v="0"/>
  </r>
  <r>
    <x v="38"/>
    <x v="0"/>
    <x v="31"/>
    <n v="3006"/>
    <x v="1"/>
  </r>
  <r>
    <x v="38"/>
    <x v="0"/>
    <x v="53"/>
    <n v="348"/>
    <x v="1"/>
  </r>
  <r>
    <x v="38"/>
    <x v="0"/>
    <x v="10"/>
    <n v="5"/>
    <x v="0"/>
  </r>
  <r>
    <x v="38"/>
    <x v="0"/>
    <x v="67"/>
    <n v="2492"/>
    <x v="1"/>
  </r>
  <r>
    <x v="38"/>
    <x v="0"/>
    <x v="71"/>
    <n v="3064"/>
    <x v="1"/>
  </r>
  <r>
    <x v="38"/>
    <x v="0"/>
    <x v="47"/>
    <n v="8"/>
    <x v="0"/>
  </r>
  <r>
    <x v="38"/>
    <x v="0"/>
    <x v="44"/>
    <n v="148"/>
    <x v="1"/>
  </r>
  <r>
    <x v="38"/>
    <x v="0"/>
    <x v="14"/>
    <n v="1916"/>
    <x v="1"/>
  </r>
  <r>
    <x v="38"/>
    <x v="0"/>
    <x v="19"/>
    <n v="1298"/>
    <x v="1"/>
  </r>
  <r>
    <x v="38"/>
    <x v="0"/>
    <x v="28"/>
    <n v="3"/>
    <x v="0"/>
  </r>
  <r>
    <x v="38"/>
    <x v="0"/>
    <x v="26"/>
    <n v="1473"/>
    <x v="1"/>
  </r>
  <r>
    <x v="38"/>
    <x v="0"/>
    <x v="73"/>
    <n v="2221"/>
    <x v="1"/>
  </r>
  <r>
    <x v="38"/>
    <x v="0"/>
    <x v="24"/>
    <n v="2696"/>
    <x v="1"/>
  </r>
  <r>
    <x v="38"/>
    <x v="0"/>
    <x v="68"/>
    <n v="1674"/>
    <x v="1"/>
  </r>
  <r>
    <x v="38"/>
    <x v="0"/>
    <x v="25"/>
    <n v="1"/>
    <x v="0"/>
  </r>
  <r>
    <x v="38"/>
    <x v="0"/>
    <x v="30"/>
    <n v="735"/>
    <x v="1"/>
  </r>
  <r>
    <x v="38"/>
    <x v="0"/>
    <x v="1"/>
    <n v="23"/>
    <x v="0"/>
  </r>
  <r>
    <x v="38"/>
    <x v="0"/>
    <x v="18"/>
    <n v="1037"/>
    <x v="1"/>
  </r>
  <r>
    <x v="38"/>
    <x v="0"/>
    <x v="4"/>
    <n v="942"/>
    <x v="1"/>
  </r>
  <r>
    <x v="38"/>
    <x v="0"/>
    <x v="29"/>
    <n v="3273"/>
    <x v="1"/>
  </r>
  <r>
    <x v="38"/>
    <x v="0"/>
    <x v="60"/>
    <n v="2"/>
    <x v="0"/>
  </r>
  <r>
    <x v="38"/>
    <x v="0"/>
    <x v="20"/>
    <n v="2544"/>
    <x v="1"/>
  </r>
  <r>
    <x v="38"/>
    <x v="0"/>
    <x v="61"/>
    <n v="1"/>
    <x v="0"/>
  </r>
  <r>
    <x v="38"/>
    <x v="0"/>
    <x v="16"/>
    <n v="1"/>
    <x v="0"/>
  </r>
  <r>
    <x v="38"/>
    <x v="0"/>
    <x v="5"/>
    <n v="3"/>
    <x v="0"/>
  </r>
  <r>
    <x v="38"/>
    <x v="0"/>
    <x v="63"/>
    <n v="2781"/>
    <x v="1"/>
  </r>
  <r>
    <x v="38"/>
    <x v="0"/>
    <x v="75"/>
    <n v="2413"/>
    <x v="1"/>
  </r>
  <r>
    <x v="38"/>
    <x v="0"/>
    <x v="8"/>
    <n v="2500"/>
    <x v="1"/>
  </r>
  <r>
    <x v="38"/>
    <x v="0"/>
    <x v="7"/>
    <n v="1790"/>
    <x v="1"/>
  </r>
  <r>
    <x v="38"/>
    <x v="0"/>
    <x v="21"/>
    <n v="243"/>
    <x v="1"/>
  </r>
  <r>
    <x v="38"/>
    <x v="0"/>
    <x v="62"/>
    <n v="1"/>
    <x v="0"/>
  </r>
  <r>
    <x v="38"/>
    <x v="0"/>
    <x v="49"/>
    <n v="1402"/>
    <x v="1"/>
  </r>
  <r>
    <x v="38"/>
    <x v="0"/>
    <x v="56"/>
    <n v="7"/>
    <x v="0"/>
  </r>
  <r>
    <x v="38"/>
    <x v="0"/>
    <x v="77"/>
    <n v="2700"/>
    <x v="1"/>
  </r>
  <r>
    <x v="38"/>
    <x v="0"/>
    <x v="9"/>
    <n v="1"/>
    <x v="0"/>
  </r>
  <r>
    <x v="38"/>
    <x v="0"/>
    <x v="59"/>
    <n v="3"/>
    <x v="0"/>
  </r>
  <r>
    <x v="38"/>
    <x v="0"/>
    <x v="40"/>
    <n v="4"/>
    <x v="0"/>
  </r>
  <r>
    <x v="38"/>
    <x v="0"/>
    <x v="33"/>
    <n v="1046"/>
    <x v="1"/>
  </r>
  <r>
    <x v="38"/>
    <x v="0"/>
    <x v="57"/>
    <n v="1"/>
    <x v="0"/>
  </r>
  <r>
    <x v="39"/>
    <x v="0"/>
    <x v="47"/>
    <n v="15"/>
    <x v="0"/>
  </r>
  <r>
    <x v="40"/>
    <x v="0"/>
    <x v="11"/>
    <n v="1151"/>
    <x v="1"/>
  </r>
  <r>
    <x v="40"/>
    <x v="0"/>
    <x v="24"/>
    <n v="2681"/>
    <x v="1"/>
  </r>
  <r>
    <x v="40"/>
    <x v="0"/>
    <x v="67"/>
    <n v="2487"/>
    <x v="1"/>
  </r>
  <r>
    <x v="39"/>
    <x v="0"/>
    <x v="33"/>
    <n v="820"/>
    <x v="1"/>
  </r>
  <r>
    <x v="40"/>
    <x v="0"/>
    <x v="73"/>
    <n v="2213"/>
    <x v="1"/>
  </r>
  <r>
    <x v="39"/>
    <x v="0"/>
    <x v="51"/>
    <n v="337"/>
    <x v="1"/>
  </r>
  <r>
    <x v="39"/>
    <x v="0"/>
    <x v="74"/>
    <n v="2235"/>
    <x v="1"/>
  </r>
  <r>
    <x v="40"/>
    <x v="0"/>
    <x v="32"/>
    <n v="1631"/>
    <x v="1"/>
  </r>
  <r>
    <x v="39"/>
    <x v="0"/>
    <x v="6"/>
    <n v="9"/>
    <x v="0"/>
  </r>
  <r>
    <x v="39"/>
    <x v="0"/>
    <x v="57"/>
    <n v="1"/>
    <x v="0"/>
  </r>
  <r>
    <x v="39"/>
    <x v="0"/>
    <x v="63"/>
    <n v="2668"/>
    <x v="1"/>
  </r>
  <r>
    <x v="40"/>
    <x v="0"/>
    <x v="8"/>
    <n v="2493"/>
    <x v="1"/>
  </r>
  <r>
    <x v="40"/>
    <x v="0"/>
    <x v="3"/>
    <n v="2470"/>
    <x v="1"/>
  </r>
  <r>
    <x v="40"/>
    <x v="0"/>
    <x v="39"/>
    <n v="63"/>
    <x v="0"/>
  </r>
  <r>
    <x v="40"/>
    <x v="0"/>
    <x v="49"/>
    <n v="1450"/>
    <x v="1"/>
  </r>
  <r>
    <x v="40"/>
    <x v="0"/>
    <x v="21"/>
    <n v="246"/>
    <x v="1"/>
  </r>
  <r>
    <x v="39"/>
    <x v="0"/>
    <x v="59"/>
    <n v="3"/>
    <x v="0"/>
  </r>
  <r>
    <x v="39"/>
    <x v="0"/>
    <x v="35"/>
    <n v="1"/>
    <x v="0"/>
  </r>
  <r>
    <x v="40"/>
    <x v="0"/>
    <x v="74"/>
    <n v="2372"/>
    <x v="1"/>
  </r>
  <r>
    <x v="39"/>
    <x v="0"/>
    <x v="11"/>
    <n v="957"/>
    <x v="1"/>
  </r>
  <r>
    <x v="39"/>
    <x v="0"/>
    <x v="54"/>
    <n v="96"/>
    <x v="0"/>
  </r>
  <r>
    <x v="39"/>
    <x v="0"/>
    <x v="40"/>
    <n v="3"/>
    <x v="0"/>
  </r>
  <r>
    <x v="39"/>
    <x v="0"/>
    <x v="64"/>
    <n v="1"/>
    <x v="0"/>
  </r>
  <r>
    <x v="39"/>
    <x v="0"/>
    <x v="61"/>
    <n v="1"/>
    <x v="0"/>
  </r>
  <r>
    <x v="39"/>
    <x v="0"/>
    <x v="71"/>
    <n v="2949"/>
    <x v="1"/>
  </r>
  <r>
    <x v="40"/>
    <x v="0"/>
    <x v="47"/>
    <n v="8"/>
    <x v="0"/>
  </r>
  <r>
    <x v="40"/>
    <x v="0"/>
    <x v="52"/>
    <n v="1"/>
    <x v="0"/>
  </r>
  <r>
    <x v="39"/>
    <x v="0"/>
    <x v="29"/>
    <n v="3162"/>
    <x v="1"/>
  </r>
  <r>
    <x v="40"/>
    <x v="0"/>
    <x v="59"/>
    <n v="3"/>
    <x v="0"/>
  </r>
  <r>
    <x v="40"/>
    <x v="0"/>
    <x v="16"/>
    <n v="1"/>
    <x v="0"/>
  </r>
  <r>
    <x v="39"/>
    <x v="0"/>
    <x v="62"/>
    <n v="1"/>
    <x v="0"/>
  </r>
  <r>
    <x v="40"/>
    <x v="0"/>
    <x v="25"/>
    <n v="1"/>
    <x v="0"/>
  </r>
  <r>
    <x v="40"/>
    <x v="0"/>
    <x v="75"/>
    <n v="2416"/>
    <x v="1"/>
  </r>
  <r>
    <x v="39"/>
    <x v="0"/>
    <x v="1"/>
    <n v="389"/>
    <x v="1"/>
  </r>
  <r>
    <x v="39"/>
    <x v="0"/>
    <x v="5"/>
    <n v="1"/>
    <x v="0"/>
  </r>
  <r>
    <x v="40"/>
    <x v="0"/>
    <x v="5"/>
    <n v="2"/>
    <x v="0"/>
  </r>
  <r>
    <x v="39"/>
    <x v="0"/>
    <x v="10"/>
    <n v="5"/>
    <x v="0"/>
  </r>
  <r>
    <x v="40"/>
    <x v="0"/>
    <x v="60"/>
    <n v="2"/>
    <x v="0"/>
  </r>
  <r>
    <x v="40"/>
    <x v="0"/>
    <x v="19"/>
    <n v="1291"/>
    <x v="1"/>
  </r>
  <r>
    <x v="40"/>
    <x v="0"/>
    <x v="68"/>
    <n v="1679"/>
    <x v="1"/>
  </r>
  <r>
    <x v="39"/>
    <x v="0"/>
    <x v="18"/>
    <n v="690"/>
    <x v="1"/>
  </r>
  <r>
    <x v="40"/>
    <x v="0"/>
    <x v="28"/>
    <n v="3"/>
    <x v="0"/>
  </r>
  <r>
    <x v="39"/>
    <x v="0"/>
    <x v="14"/>
    <n v="1099"/>
    <x v="1"/>
  </r>
  <r>
    <x v="40"/>
    <x v="0"/>
    <x v="20"/>
    <n v="2550"/>
    <x v="1"/>
  </r>
  <r>
    <x v="39"/>
    <x v="0"/>
    <x v="3"/>
    <n v="2451"/>
    <x v="1"/>
  </r>
  <r>
    <x v="40"/>
    <x v="0"/>
    <x v="30"/>
    <n v="745"/>
    <x v="1"/>
  </r>
  <r>
    <x v="40"/>
    <x v="0"/>
    <x v="33"/>
    <n v="1052"/>
    <x v="1"/>
  </r>
  <r>
    <x v="40"/>
    <x v="0"/>
    <x v="71"/>
    <n v="3060"/>
    <x v="1"/>
  </r>
  <r>
    <x v="39"/>
    <x v="0"/>
    <x v="19"/>
    <n v="1249"/>
    <x v="1"/>
  </r>
  <r>
    <x v="40"/>
    <x v="0"/>
    <x v="53"/>
    <n v="348"/>
    <x v="1"/>
  </r>
  <r>
    <x v="40"/>
    <x v="0"/>
    <x v="31"/>
    <n v="2999"/>
    <x v="1"/>
  </r>
  <r>
    <x v="40"/>
    <x v="0"/>
    <x v="77"/>
    <n v="2710"/>
    <x v="1"/>
  </r>
  <r>
    <x v="39"/>
    <x v="0"/>
    <x v="20"/>
    <n v="2485"/>
    <x v="1"/>
  </r>
  <r>
    <x v="39"/>
    <x v="0"/>
    <x v="30"/>
    <n v="1698"/>
    <x v="1"/>
  </r>
  <r>
    <x v="40"/>
    <x v="0"/>
    <x v="65"/>
    <n v="2031"/>
    <x v="1"/>
  </r>
  <r>
    <x v="40"/>
    <x v="0"/>
    <x v="61"/>
    <n v="1"/>
    <x v="0"/>
  </r>
  <r>
    <x v="40"/>
    <x v="0"/>
    <x v="18"/>
    <n v="1042"/>
    <x v="1"/>
  </r>
  <r>
    <x v="40"/>
    <x v="0"/>
    <x v="1"/>
    <n v="22"/>
    <x v="0"/>
  </r>
  <r>
    <x v="39"/>
    <x v="0"/>
    <x v="68"/>
    <n v="1645"/>
    <x v="1"/>
  </r>
  <r>
    <x v="40"/>
    <x v="0"/>
    <x v="7"/>
    <n v="1786"/>
    <x v="1"/>
  </r>
  <r>
    <x v="39"/>
    <x v="0"/>
    <x v="21"/>
    <n v="251"/>
    <x v="1"/>
  </r>
  <r>
    <x v="39"/>
    <x v="0"/>
    <x v="36"/>
    <n v="160"/>
    <x v="1"/>
  </r>
  <r>
    <x v="39"/>
    <x v="0"/>
    <x v="53"/>
    <n v="366"/>
    <x v="1"/>
  </r>
  <r>
    <x v="39"/>
    <x v="0"/>
    <x v="52"/>
    <n v="1"/>
    <x v="0"/>
  </r>
  <r>
    <x v="40"/>
    <x v="0"/>
    <x v="26"/>
    <n v="1473"/>
    <x v="1"/>
  </r>
  <r>
    <x v="39"/>
    <x v="0"/>
    <x v="23"/>
    <n v="2263"/>
    <x v="1"/>
  </r>
  <r>
    <x v="40"/>
    <x v="0"/>
    <x v="40"/>
    <n v="4"/>
    <x v="0"/>
  </r>
  <r>
    <x v="39"/>
    <x v="0"/>
    <x v="4"/>
    <n v="779"/>
    <x v="1"/>
  </r>
  <r>
    <x v="39"/>
    <x v="0"/>
    <x v="39"/>
    <n v="1898"/>
    <x v="1"/>
  </r>
  <r>
    <x v="40"/>
    <x v="0"/>
    <x v="63"/>
    <n v="2787"/>
    <x v="1"/>
  </r>
  <r>
    <x v="40"/>
    <x v="0"/>
    <x v="72"/>
    <n v="3"/>
    <x v="0"/>
  </r>
  <r>
    <x v="39"/>
    <x v="0"/>
    <x v="28"/>
    <n v="4"/>
    <x v="0"/>
  </r>
  <r>
    <x v="40"/>
    <x v="0"/>
    <x v="14"/>
    <n v="1908"/>
    <x v="1"/>
  </r>
  <r>
    <x v="40"/>
    <x v="0"/>
    <x v="36"/>
    <n v="219"/>
    <x v="1"/>
  </r>
  <r>
    <x v="40"/>
    <x v="0"/>
    <x v="29"/>
    <n v="3278"/>
    <x v="1"/>
  </r>
  <r>
    <x v="40"/>
    <x v="0"/>
    <x v="56"/>
    <n v="7"/>
    <x v="0"/>
  </r>
  <r>
    <x v="39"/>
    <x v="0"/>
    <x v="56"/>
    <n v="7"/>
    <x v="0"/>
  </r>
  <r>
    <x v="39"/>
    <x v="0"/>
    <x v="7"/>
    <n v="1819"/>
    <x v="1"/>
  </r>
  <r>
    <x v="39"/>
    <x v="0"/>
    <x v="66"/>
    <n v="2630"/>
    <x v="1"/>
  </r>
  <r>
    <x v="39"/>
    <x v="0"/>
    <x v="9"/>
    <n v="1"/>
    <x v="0"/>
  </r>
  <r>
    <x v="40"/>
    <x v="0"/>
    <x v="57"/>
    <n v="1"/>
    <x v="0"/>
  </r>
  <r>
    <x v="40"/>
    <x v="0"/>
    <x v="46"/>
    <n v="3"/>
    <x v="0"/>
  </r>
  <r>
    <x v="40"/>
    <x v="0"/>
    <x v="4"/>
    <n v="966"/>
    <x v="1"/>
  </r>
  <r>
    <x v="39"/>
    <x v="0"/>
    <x v="24"/>
    <n v="5163"/>
    <x v="1"/>
  </r>
  <r>
    <x v="39"/>
    <x v="0"/>
    <x v="8"/>
    <n v="2327"/>
    <x v="1"/>
  </r>
  <r>
    <x v="40"/>
    <x v="0"/>
    <x v="64"/>
    <n v="1"/>
    <x v="0"/>
  </r>
  <r>
    <x v="40"/>
    <x v="0"/>
    <x v="10"/>
    <n v="5"/>
    <x v="0"/>
  </r>
  <r>
    <x v="39"/>
    <x v="0"/>
    <x v="72"/>
    <n v="2"/>
    <x v="0"/>
  </r>
  <r>
    <x v="39"/>
    <x v="0"/>
    <x v="46"/>
    <n v="3"/>
    <x v="0"/>
  </r>
  <r>
    <x v="39"/>
    <x v="0"/>
    <x v="32"/>
    <n v="1440"/>
    <x v="1"/>
  </r>
  <r>
    <x v="39"/>
    <x v="0"/>
    <x v="60"/>
    <n v="2"/>
    <x v="0"/>
  </r>
  <r>
    <x v="40"/>
    <x v="0"/>
    <x v="44"/>
    <n v="147"/>
    <x v="1"/>
  </r>
  <r>
    <x v="40"/>
    <x v="0"/>
    <x v="66"/>
    <n v="2588"/>
    <x v="1"/>
  </r>
  <r>
    <x v="40"/>
    <x v="0"/>
    <x v="9"/>
    <n v="1"/>
    <x v="0"/>
  </r>
  <r>
    <x v="39"/>
    <x v="0"/>
    <x v="31"/>
    <n v="2992"/>
    <x v="1"/>
  </r>
  <r>
    <x v="39"/>
    <x v="0"/>
    <x v="44"/>
    <n v="131"/>
    <x v="1"/>
  </r>
  <r>
    <x v="39"/>
    <x v="0"/>
    <x v="73"/>
    <n v="1978"/>
    <x v="1"/>
  </r>
  <r>
    <x v="40"/>
    <x v="0"/>
    <x v="62"/>
    <n v="1"/>
    <x v="0"/>
  </r>
  <r>
    <x v="39"/>
    <x v="0"/>
    <x v="42"/>
    <n v="1"/>
    <x v="0"/>
  </r>
  <r>
    <x v="39"/>
    <x v="0"/>
    <x v="67"/>
    <n v="2393"/>
    <x v="1"/>
  </r>
  <r>
    <x v="39"/>
    <x v="0"/>
    <x v="49"/>
    <n v="1308"/>
    <x v="1"/>
  </r>
  <r>
    <x v="39"/>
    <x v="0"/>
    <x v="16"/>
    <n v="1"/>
    <x v="0"/>
  </r>
  <r>
    <x v="39"/>
    <x v="0"/>
    <x v="26"/>
    <n v="1266"/>
    <x v="1"/>
  </r>
  <r>
    <x v="41"/>
    <x v="1"/>
    <x v="78"/>
    <m/>
    <x v="2"/>
  </r>
  <r>
    <x v="41"/>
    <x v="1"/>
    <x v="78"/>
    <m/>
    <x v="2"/>
  </r>
  <r>
    <x v="41"/>
    <x v="1"/>
    <x v="78"/>
    <m/>
    <x v="2"/>
  </r>
  <r>
    <x v="41"/>
    <x v="1"/>
    <x v="78"/>
    <m/>
    <x v="2"/>
  </r>
  <r>
    <x v="41"/>
    <x v="1"/>
    <x v="78"/>
    <m/>
    <x v="2"/>
  </r>
  <r>
    <x v="41"/>
    <x v="1"/>
    <x v="78"/>
    <m/>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60">
  <r>
    <x v="0"/>
    <x v="0"/>
    <x v="0"/>
    <n v="14"/>
    <x v="0"/>
  </r>
  <r>
    <x v="0"/>
    <x v="0"/>
    <x v="1"/>
    <n v="7"/>
    <x v="0"/>
  </r>
  <r>
    <x v="0"/>
    <x v="0"/>
    <x v="2"/>
    <n v="617"/>
    <x v="1"/>
  </r>
  <r>
    <x v="0"/>
    <x v="0"/>
    <x v="3"/>
    <n v="788"/>
    <x v="1"/>
  </r>
  <r>
    <x v="0"/>
    <x v="0"/>
    <x v="4"/>
    <n v="1"/>
    <x v="0"/>
  </r>
  <r>
    <x v="0"/>
    <x v="0"/>
    <x v="5"/>
    <n v="1"/>
    <x v="0"/>
  </r>
  <r>
    <x v="0"/>
    <x v="0"/>
    <x v="6"/>
    <n v="1"/>
    <x v="0"/>
  </r>
  <r>
    <x v="0"/>
    <x v="0"/>
    <x v="7"/>
    <n v="2286"/>
    <x v="1"/>
  </r>
  <r>
    <x v="0"/>
    <x v="0"/>
    <x v="8"/>
    <n v="2394"/>
    <x v="1"/>
  </r>
  <r>
    <x v="0"/>
    <x v="0"/>
    <x v="9"/>
    <n v="1942"/>
    <x v="1"/>
  </r>
  <r>
    <x v="0"/>
    <x v="0"/>
    <x v="10"/>
    <n v="611"/>
    <x v="1"/>
  </r>
  <r>
    <x v="0"/>
    <x v="0"/>
    <x v="11"/>
    <n v="1"/>
    <x v="0"/>
  </r>
  <r>
    <x v="0"/>
    <x v="0"/>
    <x v="12"/>
    <n v="43"/>
    <x v="0"/>
  </r>
  <r>
    <x v="0"/>
    <x v="0"/>
    <x v="13"/>
    <n v="2"/>
    <x v="0"/>
  </r>
  <r>
    <x v="0"/>
    <x v="0"/>
    <x v="14"/>
    <n v="95"/>
    <x v="0"/>
  </r>
  <r>
    <x v="0"/>
    <x v="0"/>
    <x v="15"/>
    <n v="1"/>
    <x v="0"/>
  </r>
  <r>
    <x v="0"/>
    <x v="0"/>
    <x v="16"/>
    <n v="65"/>
    <x v="0"/>
  </r>
  <r>
    <x v="0"/>
    <x v="0"/>
    <x v="17"/>
    <n v="3318"/>
    <x v="1"/>
  </r>
  <r>
    <x v="0"/>
    <x v="0"/>
    <x v="18"/>
    <n v="1"/>
    <x v="0"/>
  </r>
  <r>
    <x v="0"/>
    <x v="0"/>
    <x v="19"/>
    <n v="36"/>
    <x v="0"/>
  </r>
  <r>
    <x v="0"/>
    <x v="0"/>
    <x v="20"/>
    <n v="3"/>
    <x v="0"/>
  </r>
  <r>
    <x v="0"/>
    <x v="0"/>
    <x v="21"/>
    <n v="1586"/>
    <x v="1"/>
  </r>
  <r>
    <x v="0"/>
    <x v="0"/>
    <x v="22"/>
    <n v="2691"/>
    <x v="1"/>
  </r>
  <r>
    <x v="0"/>
    <x v="0"/>
    <x v="23"/>
    <n v="2"/>
    <x v="0"/>
  </r>
  <r>
    <x v="0"/>
    <x v="0"/>
    <x v="24"/>
    <n v="4"/>
    <x v="0"/>
  </r>
  <r>
    <x v="0"/>
    <x v="0"/>
    <x v="25"/>
    <n v="2"/>
    <x v="0"/>
  </r>
  <r>
    <x v="0"/>
    <x v="0"/>
    <x v="26"/>
    <n v="1778"/>
    <x v="1"/>
  </r>
  <r>
    <x v="0"/>
    <x v="0"/>
    <x v="27"/>
    <n v="1447"/>
    <x v="1"/>
  </r>
  <r>
    <x v="0"/>
    <x v="0"/>
    <x v="28"/>
    <n v="1870"/>
    <x v="1"/>
  </r>
  <r>
    <x v="0"/>
    <x v="0"/>
    <x v="29"/>
    <n v="7"/>
    <x v="0"/>
  </r>
  <r>
    <x v="0"/>
    <x v="0"/>
    <x v="30"/>
    <n v="1020"/>
    <x v="1"/>
  </r>
  <r>
    <x v="0"/>
    <x v="0"/>
    <x v="31"/>
    <n v="1720"/>
    <x v="1"/>
  </r>
  <r>
    <x v="0"/>
    <x v="0"/>
    <x v="32"/>
    <n v="12633"/>
    <x v="1"/>
  </r>
  <r>
    <x v="0"/>
    <x v="0"/>
    <x v="33"/>
    <n v="1610"/>
    <x v="1"/>
  </r>
  <r>
    <x v="0"/>
    <x v="0"/>
    <x v="34"/>
    <n v="1"/>
    <x v="0"/>
  </r>
  <r>
    <x v="0"/>
    <x v="0"/>
    <x v="35"/>
    <n v="86"/>
    <x v="0"/>
  </r>
  <r>
    <x v="0"/>
    <x v="0"/>
    <x v="36"/>
    <n v="1"/>
    <x v="0"/>
  </r>
  <r>
    <x v="0"/>
    <x v="0"/>
    <x v="37"/>
    <n v="507"/>
    <x v="1"/>
  </r>
  <r>
    <x v="0"/>
    <x v="0"/>
    <x v="38"/>
    <n v="2556"/>
    <x v="1"/>
  </r>
  <r>
    <x v="0"/>
    <x v="0"/>
    <x v="39"/>
    <n v="1"/>
    <x v="0"/>
  </r>
  <r>
    <x v="0"/>
    <x v="0"/>
    <x v="40"/>
    <n v="2"/>
    <x v="0"/>
  </r>
  <r>
    <x v="0"/>
    <x v="0"/>
    <x v="41"/>
    <n v="3"/>
    <x v="0"/>
  </r>
  <r>
    <x v="0"/>
    <x v="0"/>
    <x v="42"/>
    <n v="1"/>
    <x v="0"/>
  </r>
  <r>
    <x v="0"/>
    <x v="0"/>
    <x v="43"/>
    <n v="4"/>
    <x v="0"/>
  </r>
  <r>
    <x v="0"/>
    <x v="0"/>
    <x v="44"/>
    <n v="1334"/>
    <x v="1"/>
  </r>
  <r>
    <x v="0"/>
    <x v="0"/>
    <x v="45"/>
    <n v="61"/>
    <x v="0"/>
  </r>
  <r>
    <x v="0"/>
    <x v="0"/>
    <x v="46"/>
    <n v="1456"/>
    <x v="1"/>
  </r>
  <r>
    <x v="0"/>
    <x v="0"/>
    <x v="47"/>
    <n v="124"/>
    <x v="1"/>
  </r>
  <r>
    <x v="0"/>
    <x v="0"/>
    <x v="48"/>
    <n v="1849"/>
    <x v="1"/>
  </r>
  <r>
    <x v="0"/>
    <x v="0"/>
    <x v="49"/>
    <n v="1"/>
    <x v="0"/>
  </r>
  <r>
    <x v="0"/>
    <x v="0"/>
    <x v="50"/>
    <n v="641"/>
    <x v="1"/>
  </r>
  <r>
    <x v="0"/>
    <x v="0"/>
    <x v="51"/>
    <n v="1695"/>
    <x v="1"/>
  </r>
  <r>
    <x v="0"/>
    <x v="0"/>
    <x v="52"/>
    <n v="2083"/>
    <x v="1"/>
  </r>
  <r>
    <x v="0"/>
    <x v="0"/>
    <x v="53"/>
    <n v="36"/>
    <x v="0"/>
  </r>
  <r>
    <x v="0"/>
    <x v="0"/>
    <x v="54"/>
    <n v="2176"/>
    <x v="1"/>
  </r>
  <r>
    <x v="0"/>
    <x v="0"/>
    <x v="55"/>
    <n v="7"/>
    <x v="0"/>
  </r>
  <r>
    <x v="0"/>
    <x v="0"/>
    <x v="56"/>
    <n v="1730"/>
    <x v="1"/>
  </r>
  <r>
    <x v="0"/>
    <x v="0"/>
    <x v="57"/>
    <n v="4"/>
    <x v="0"/>
  </r>
  <r>
    <x v="0"/>
    <x v="0"/>
    <x v="58"/>
    <n v="2105"/>
    <x v="1"/>
  </r>
  <r>
    <x v="0"/>
    <x v="0"/>
    <x v="59"/>
    <n v="90"/>
    <x v="0"/>
  </r>
  <r>
    <x v="0"/>
    <x v="0"/>
    <x v="60"/>
    <n v="1"/>
    <x v="0"/>
  </r>
  <r>
    <x v="0"/>
    <x v="0"/>
    <x v="61"/>
    <n v="728"/>
    <x v="1"/>
  </r>
  <r>
    <x v="0"/>
    <x v="0"/>
    <x v="62"/>
    <n v="1619"/>
    <x v="1"/>
  </r>
  <r>
    <x v="0"/>
    <x v="0"/>
    <x v="63"/>
    <n v="267"/>
    <x v="1"/>
  </r>
  <r>
    <x v="0"/>
    <x v="0"/>
    <x v="64"/>
    <n v="1707"/>
    <x v="1"/>
  </r>
  <r>
    <x v="0"/>
    <x v="0"/>
    <x v="65"/>
    <n v="1973"/>
    <x v="1"/>
  </r>
  <r>
    <x v="0"/>
    <x v="0"/>
    <x v="66"/>
    <n v="1645"/>
    <x v="1"/>
  </r>
  <r>
    <x v="0"/>
    <x v="0"/>
    <x v="67"/>
    <n v="1"/>
    <x v="0"/>
  </r>
  <r>
    <x v="0"/>
    <x v="0"/>
    <x v="68"/>
    <n v="1"/>
    <x v="0"/>
  </r>
  <r>
    <x v="0"/>
    <x v="0"/>
    <x v="69"/>
    <n v="1588"/>
    <x v="1"/>
  </r>
  <r>
    <x v="0"/>
    <x v="0"/>
    <x v="70"/>
    <n v="16"/>
    <x v="0"/>
  </r>
  <r>
    <x v="0"/>
    <x v="0"/>
    <x v="71"/>
    <n v="2341"/>
    <x v="1"/>
  </r>
  <r>
    <x v="0"/>
    <x v="0"/>
    <x v="72"/>
    <n v="2432"/>
    <x v="1"/>
  </r>
  <r>
    <x v="0"/>
    <x v="0"/>
    <x v="73"/>
    <n v="347"/>
    <x v="1"/>
  </r>
  <r>
    <x v="0"/>
    <x v="0"/>
    <x v="74"/>
    <n v="1896"/>
    <x v="1"/>
  </r>
  <r>
    <x v="0"/>
    <x v="0"/>
    <x v="75"/>
    <n v="826"/>
    <x v="1"/>
  </r>
  <r>
    <x v="0"/>
    <x v="0"/>
    <x v="76"/>
    <n v="3"/>
    <x v="0"/>
  </r>
  <r>
    <x v="0"/>
    <x v="0"/>
    <x v="77"/>
    <n v="2"/>
    <x v="0"/>
  </r>
  <r>
    <x v="0"/>
    <x v="0"/>
    <x v="78"/>
    <n v="110"/>
    <x v="1"/>
  </r>
  <r>
    <x v="0"/>
    <x v="0"/>
    <x v="79"/>
    <n v="12643"/>
    <x v="1"/>
  </r>
  <r>
    <x v="0"/>
    <x v="0"/>
    <x v="80"/>
    <n v="23"/>
    <x v="0"/>
  </r>
  <r>
    <x v="0"/>
    <x v="0"/>
    <x v="81"/>
    <n v="2"/>
    <x v="0"/>
  </r>
  <r>
    <x v="0"/>
    <x v="0"/>
    <x v="82"/>
    <n v="2612"/>
    <x v="1"/>
  </r>
  <r>
    <x v="0"/>
    <x v="0"/>
    <x v="83"/>
    <n v="2"/>
    <x v="0"/>
  </r>
  <r>
    <x v="0"/>
    <x v="0"/>
    <x v="84"/>
    <n v="9"/>
    <x v="0"/>
  </r>
  <r>
    <x v="0"/>
    <x v="0"/>
    <x v="85"/>
    <n v="544"/>
    <x v="1"/>
  </r>
  <r>
    <x v="0"/>
    <x v="0"/>
    <x v="86"/>
    <n v="1228"/>
    <x v="1"/>
  </r>
  <r>
    <x v="0"/>
    <x v="0"/>
    <x v="87"/>
    <n v="8"/>
    <x v="0"/>
  </r>
  <r>
    <x v="0"/>
    <x v="0"/>
    <x v="88"/>
    <n v="1773"/>
    <x v="1"/>
  </r>
  <r>
    <x v="0"/>
    <x v="0"/>
    <x v="89"/>
    <n v="2174"/>
    <x v="1"/>
  </r>
  <r>
    <x v="0"/>
    <x v="0"/>
    <x v="90"/>
    <n v="1093"/>
    <x v="1"/>
  </r>
  <r>
    <x v="0"/>
    <x v="0"/>
    <x v="91"/>
    <n v="2578"/>
    <x v="1"/>
  </r>
  <r>
    <x v="0"/>
    <x v="0"/>
    <x v="92"/>
    <n v="1"/>
    <x v="0"/>
  </r>
  <r>
    <x v="0"/>
    <x v="0"/>
    <x v="93"/>
    <n v="1595"/>
    <x v="1"/>
  </r>
  <r>
    <x v="0"/>
    <x v="0"/>
    <x v="94"/>
    <n v="2123"/>
    <x v="1"/>
  </r>
  <r>
    <x v="0"/>
    <x v="0"/>
    <x v="95"/>
    <n v="1763"/>
    <x v="1"/>
  </r>
  <r>
    <x v="0"/>
    <x v="0"/>
    <x v="96"/>
    <n v="79"/>
    <x v="0"/>
  </r>
  <r>
    <x v="0"/>
    <x v="0"/>
    <x v="97"/>
    <n v="756"/>
    <x v="1"/>
  </r>
  <r>
    <x v="0"/>
    <x v="0"/>
    <x v="98"/>
    <n v="797"/>
    <x v="1"/>
  </r>
  <r>
    <x v="0"/>
    <x v="0"/>
    <x v="99"/>
    <n v="1849"/>
    <x v="1"/>
  </r>
  <r>
    <x v="0"/>
    <x v="0"/>
    <x v="100"/>
    <n v="1"/>
    <x v="0"/>
  </r>
  <r>
    <x v="0"/>
    <x v="0"/>
    <x v="101"/>
    <n v="1"/>
    <x v="0"/>
  </r>
  <r>
    <x v="0"/>
    <x v="0"/>
    <x v="102"/>
    <n v="1427"/>
    <x v="1"/>
  </r>
  <r>
    <x v="0"/>
    <x v="0"/>
    <x v="103"/>
    <n v="1073"/>
    <x v="1"/>
  </r>
  <r>
    <x v="0"/>
    <x v="0"/>
    <x v="104"/>
    <n v="971"/>
    <x v="1"/>
  </r>
  <r>
    <x v="0"/>
    <x v="0"/>
    <x v="105"/>
    <n v="1873"/>
    <x v="1"/>
  </r>
  <r>
    <x v="0"/>
    <x v="0"/>
    <x v="106"/>
    <n v="1756"/>
    <x v="1"/>
  </r>
  <r>
    <x v="0"/>
    <x v="0"/>
    <x v="107"/>
    <n v="8"/>
    <x v="0"/>
  </r>
  <r>
    <x v="0"/>
    <x v="0"/>
    <x v="108"/>
    <n v="444"/>
    <x v="1"/>
  </r>
  <r>
    <x v="0"/>
    <x v="0"/>
    <x v="109"/>
    <n v="1589"/>
    <x v="1"/>
  </r>
  <r>
    <x v="0"/>
    <x v="0"/>
    <x v="110"/>
    <n v="3"/>
    <x v="0"/>
  </r>
  <r>
    <x v="0"/>
    <x v="0"/>
    <x v="111"/>
    <n v="1610"/>
    <x v="1"/>
  </r>
  <r>
    <x v="0"/>
    <x v="0"/>
    <x v="112"/>
    <n v="1"/>
    <x v="0"/>
  </r>
  <r>
    <x v="0"/>
    <x v="0"/>
    <x v="113"/>
    <n v="2173"/>
    <x v="1"/>
  </r>
  <r>
    <x v="0"/>
    <x v="0"/>
    <x v="114"/>
    <n v="75"/>
    <x v="0"/>
  </r>
  <r>
    <x v="0"/>
    <x v="0"/>
    <x v="115"/>
    <n v="190"/>
    <x v="1"/>
  </r>
  <r>
    <x v="0"/>
    <x v="0"/>
    <x v="116"/>
    <n v="387"/>
    <x v="1"/>
  </r>
  <r>
    <x v="0"/>
    <x v="0"/>
    <x v="117"/>
    <n v="1483"/>
    <x v="1"/>
  </r>
  <r>
    <x v="0"/>
    <x v="0"/>
    <x v="118"/>
    <n v="1534"/>
    <x v="1"/>
  </r>
  <r>
    <x v="0"/>
    <x v="0"/>
    <x v="119"/>
    <n v="6"/>
    <x v="0"/>
  </r>
  <r>
    <x v="0"/>
    <x v="0"/>
    <x v="120"/>
    <n v="19"/>
    <x v="0"/>
  </r>
  <r>
    <x v="0"/>
    <x v="0"/>
    <x v="121"/>
    <n v="154"/>
    <x v="1"/>
  </r>
  <r>
    <x v="0"/>
    <x v="0"/>
    <x v="122"/>
    <n v="3"/>
    <x v="0"/>
  </r>
  <r>
    <x v="0"/>
    <x v="0"/>
    <x v="123"/>
    <n v="458"/>
    <x v="1"/>
  </r>
  <r>
    <x v="0"/>
    <x v="0"/>
    <x v="124"/>
    <n v="1177"/>
    <x v="1"/>
  </r>
  <r>
    <x v="0"/>
    <x v="0"/>
    <x v="125"/>
    <n v="20"/>
    <x v="0"/>
  </r>
  <r>
    <x v="0"/>
    <x v="0"/>
    <x v="126"/>
    <n v="29"/>
    <x v="0"/>
  </r>
  <r>
    <x v="0"/>
    <x v="0"/>
    <x v="127"/>
    <n v="2248"/>
    <x v="1"/>
  </r>
  <r>
    <x v="0"/>
    <x v="0"/>
    <x v="128"/>
    <n v="1766"/>
    <x v="1"/>
  </r>
  <r>
    <x v="0"/>
    <x v="0"/>
    <x v="129"/>
    <n v="1778"/>
    <x v="1"/>
  </r>
  <r>
    <x v="0"/>
    <x v="0"/>
    <x v="130"/>
    <n v="1"/>
    <x v="0"/>
  </r>
  <r>
    <x v="0"/>
    <x v="0"/>
    <x v="131"/>
    <n v="1870"/>
    <x v="1"/>
  </r>
  <r>
    <x v="0"/>
    <x v="0"/>
    <x v="132"/>
    <n v="3"/>
    <x v="0"/>
  </r>
  <r>
    <x v="0"/>
    <x v="0"/>
    <x v="133"/>
    <n v="1520"/>
    <x v="1"/>
  </r>
  <r>
    <x v="0"/>
    <x v="0"/>
    <x v="134"/>
    <n v="908"/>
    <x v="1"/>
  </r>
  <r>
    <x v="0"/>
    <x v="0"/>
    <x v="135"/>
    <n v="1590"/>
    <x v="1"/>
  </r>
  <r>
    <x v="0"/>
    <x v="0"/>
    <x v="136"/>
    <n v="1683"/>
    <x v="1"/>
  </r>
  <r>
    <x v="0"/>
    <x v="0"/>
    <x v="137"/>
    <n v="973"/>
    <x v="1"/>
  </r>
  <r>
    <x v="0"/>
    <x v="0"/>
    <x v="138"/>
    <n v="2594"/>
    <x v="1"/>
  </r>
  <r>
    <x v="0"/>
    <x v="0"/>
    <x v="139"/>
    <n v="1355"/>
    <x v="1"/>
  </r>
  <r>
    <x v="0"/>
    <x v="0"/>
    <x v="140"/>
    <n v="1628"/>
    <x v="1"/>
  </r>
  <r>
    <x v="0"/>
    <x v="0"/>
    <x v="141"/>
    <n v="1502"/>
    <x v="1"/>
  </r>
  <r>
    <x v="0"/>
    <x v="0"/>
    <x v="142"/>
    <n v="1252"/>
    <x v="1"/>
  </r>
  <r>
    <x v="0"/>
    <x v="0"/>
    <x v="143"/>
    <n v="1636"/>
    <x v="1"/>
  </r>
  <r>
    <x v="0"/>
    <x v="0"/>
    <x v="144"/>
    <n v="1520"/>
    <x v="1"/>
  </r>
  <r>
    <x v="0"/>
    <x v="0"/>
    <x v="145"/>
    <n v="2208"/>
    <x v="1"/>
  </r>
  <r>
    <x v="0"/>
    <x v="0"/>
    <x v="146"/>
    <n v="989"/>
    <x v="1"/>
  </r>
  <r>
    <x v="0"/>
    <x v="0"/>
    <x v="147"/>
    <n v="711"/>
    <x v="1"/>
  </r>
  <r>
    <x v="0"/>
    <x v="0"/>
    <x v="148"/>
    <n v="1795"/>
    <x v="1"/>
  </r>
  <r>
    <x v="0"/>
    <x v="0"/>
    <x v="149"/>
    <n v="1279"/>
    <x v="1"/>
  </r>
  <r>
    <x v="0"/>
    <x v="0"/>
    <x v="150"/>
    <n v="353"/>
    <x v="1"/>
  </r>
  <r>
    <x v="0"/>
    <x v="0"/>
    <x v="151"/>
    <n v="2095"/>
    <x v="1"/>
  </r>
  <r>
    <x v="0"/>
    <x v="0"/>
    <x v="152"/>
    <n v="1773"/>
    <x v="1"/>
  </r>
  <r>
    <x v="0"/>
    <x v="0"/>
    <x v="153"/>
    <n v="4"/>
    <x v="0"/>
  </r>
  <r>
    <x v="0"/>
    <x v="0"/>
    <x v="154"/>
    <n v="7"/>
    <x v="0"/>
  </r>
  <r>
    <x v="0"/>
    <x v="0"/>
    <x v="155"/>
    <n v="1"/>
    <x v="0"/>
  </r>
  <r>
    <x v="1"/>
    <x v="0"/>
    <x v="0"/>
    <n v="12"/>
    <x v="0"/>
  </r>
  <r>
    <x v="1"/>
    <x v="0"/>
    <x v="156"/>
    <n v="1"/>
    <x v="0"/>
  </r>
  <r>
    <x v="1"/>
    <x v="0"/>
    <x v="1"/>
    <n v="7"/>
    <x v="0"/>
  </r>
  <r>
    <x v="1"/>
    <x v="0"/>
    <x v="2"/>
    <n v="707"/>
    <x v="1"/>
  </r>
  <r>
    <x v="1"/>
    <x v="0"/>
    <x v="3"/>
    <n v="786"/>
    <x v="1"/>
  </r>
  <r>
    <x v="1"/>
    <x v="0"/>
    <x v="5"/>
    <n v="1"/>
    <x v="0"/>
  </r>
  <r>
    <x v="1"/>
    <x v="0"/>
    <x v="6"/>
    <n v="1"/>
    <x v="0"/>
  </r>
  <r>
    <x v="1"/>
    <x v="0"/>
    <x v="7"/>
    <n v="2338"/>
    <x v="1"/>
  </r>
  <r>
    <x v="1"/>
    <x v="0"/>
    <x v="8"/>
    <n v="2577"/>
    <x v="1"/>
  </r>
  <r>
    <x v="1"/>
    <x v="0"/>
    <x v="9"/>
    <n v="2051"/>
    <x v="1"/>
  </r>
  <r>
    <x v="1"/>
    <x v="0"/>
    <x v="10"/>
    <n v="633"/>
    <x v="1"/>
  </r>
  <r>
    <x v="1"/>
    <x v="0"/>
    <x v="11"/>
    <n v="1"/>
    <x v="0"/>
  </r>
  <r>
    <x v="1"/>
    <x v="0"/>
    <x v="157"/>
    <n v="1"/>
    <x v="0"/>
  </r>
  <r>
    <x v="1"/>
    <x v="0"/>
    <x v="12"/>
    <n v="36"/>
    <x v="0"/>
  </r>
  <r>
    <x v="1"/>
    <x v="0"/>
    <x v="13"/>
    <n v="2"/>
    <x v="0"/>
  </r>
  <r>
    <x v="1"/>
    <x v="0"/>
    <x v="14"/>
    <n v="90"/>
    <x v="0"/>
  </r>
  <r>
    <x v="1"/>
    <x v="0"/>
    <x v="158"/>
    <n v="1"/>
    <x v="0"/>
  </r>
  <r>
    <x v="1"/>
    <x v="0"/>
    <x v="159"/>
    <n v="1"/>
    <x v="0"/>
  </r>
  <r>
    <x v="1"/>
    <x v="0"/>
    <x v="15"/>
    <n v="3"/>
    <x v="0"/>
  </r>
  <r>
    <x v="1"/>
    <x v="0"/>
    <x v="16"/>
    <n v="78"/>
    <x v="0"/>
  </r>
  <r>
    <x v="1"/>
    <x v="0"/>
    <x v="17"/>
    <n v="213"/>
    <x v="1"/>
  </r>
  <r>
    <x v="1"/>
    <x v="0"/>
    <x v="18"/>
    <n v="1"/>
    <x v="0"/>
  </r>
  <r>
    <x v="1"/>
    <x v="0"/>
    <x v="19"/>
    <n v="44"/>
    <x v="0"/>
  </r>
  <r>
    <x v="1"/>
    <x v="0"/>
    <x v="20"/>
    <n v="3"/>
    <x v="0"/>
  </r>
  <r>
    <x v="1"/>
    <x v="0"/>
    <x v="21"/>
    <n v="1506"/>
    <x v="1"/>
  </r>
  <r>
    <x v="1"/>
    <x v="0"/>
    <x v="22"/>
    <n v="2868"/>
    <x v="1"/>
  </r>
  <r>
    <x v="1"/>
    <x v="0"/>
    <x v="23"/>
    <n v="2"/>
    <x v="0"/>
  </r>
  <r>
    <x v="1"/>
    <x v="0"/>
    <x v="24"/>
    <n v="4"/>
    <x v="0"/>
  </r>
  <r>
    <x v="1"/>
    <x v="0"/>
    <x v="25"/>
    <n v="3"/>
    <x v="0"/>
  </r>
  <r>
    <x v="1"/>
    <x v="0"/>
    <x v="26"/>
    <n v="1860"/>
    <x v="1"/>
  </r>
  <r>
    <x v="1"/>
    <x v="0"/>
    <x v="27"/>
    <n v="1688"/>
    <x v="1"/>
  </r>
  <r>
    <x v="1"/>
    <x v="0"/>
    <x v="28"/>
    <n v="1980"/>
    <x v="1"/>
  </r>
  <r>
    <x v="1"/>
    <x v="0"/>
    <x v="29"/>
    <n v="8"/>
    <x v="0"/>
  </r>
  <r>
    <x v="1"/>
    <x v="0"/>
    <x v="30"/>
    <n v="1077"/>
    <x v="1"/>
  </r>
  <r>
    <x v="1"/>
    <x v="0"/>
    <x v="31"/>
    <n v="1861"/>
    <x v="1"/>
  </r>
  <r>
    <x v="1"/>
    <x v="0"/>
    <x v="32"/>
    <n v="11379"/>
    <x v="1"/>
  </r>
  <r>
    <x v="1"/>
    <x v="0"/>
    <x v="33"/>
    <n v="1651"/>
    <x v="1"/>
  </r>
  <r>
    <x v="1"/>
    <x v="0"/>
    <x v="34"/>
    <n v="1"/>
    <x v="0"/>
  </r>
  <r>
    <x v="1"/>
    <x v="0"/>
    <x v="35"/>
    <n v="96"/>
    <x v="0"/>
  </r>
  <r>
    <x v="1"/>
    <x v="0"/>
    <x v="36"/>
    <n v="1"/>
    <x v="0"/>
  </r>
  <r>
    <x v="1"/>
    <x v="0"/>
    <x v="37"/>
    <n v="486"/>
    <x v="1"/>
  </r>
  <r>
    <x v="1"/>
    <x v="0"/>
    <x v="160"/>
    <n v="1"/>
    <x v="0"/>
  </r>
  <r>
    <x v="1"/>
    <x v="0"/>
    <x v="38"/>
    <n v="2600"/>
    <x v="1"/>
  </r>
  <r>
    <x v="1"/>
    <x v="0"/>
    <x v="39"/>
    <n v="1"/>
    <x v="0"/>
  </r>
  <r>
    <x v="1"/>
    <x v="0"/>
    <x v="161"/>
    <n v="1"/>
    <x v="0"/>
  </r>
  <r>
    <x v="1"/>
    <x v="0"/>
    <x v="40"/>
    <n v="2"/>
    <x v="0"/>
  </r>
  <r>
    <x v="1"/>
    <x v="0"/>
    <x v="41"/>
    <n v="2"/>
    <x v="0"/>
  </r>
  <r>
    <x v="1"/>
    <x v="0"/>
    <x v="42"/>
    <n v="1"/>
    <x v="0"/>
  </r>
  <r>
    <x v="1"/>
    <x v="0"/>
    <x v="43"/>
    <n v="9"/>
    <x v="0"/>
  </r>
  <r>
    <x v="1"/>
    <x v="0"/>
    <x v="44"/>
    <n v="1356"/>
    <x v="1"/>
  </r>
  <r>
    <x v="1"/>
    <x v="0"/>
    <x v="45"/>
    <n v="60"/>
    <x v="0"/>
  </r>
  <r>
    <x v="1"/>
    <x v="0"/>
    <x v="46"/>
    <n v="1437"/>
    <x v="1"/>
  </r>
  <r>
    <x v="1"/>
    <x v="0"/>
    <x v="47"/>
    <n v="189"/>
    <x v="1"/>
  </r>
  <r>
    <x v="1"/>
    <x v="0"/>
    <x v="48"/>
    <n v="1882"/>
    <x v="1"/>
  </r>
  <r>
    <x v="1"/>
    <x v="0"/>
    <x v="49"/>
    <n v="2"/>
    <x v="0"/>
  </r>
  <r>
    <x v="1"/>
    <x v="0"/>
    <x v="50"/>
    <n v="665"/>
    <x v="1"/>
  </r>
  <r>
    <x v="1"/>
    <x v="0"/>
    <x v="51"/>
    <n v="1844"/>
    <x v="1"/>
  </r>
  <r>
    <x v="1"/>
    <x v="0"/>
    <x v="52"/>
    <n v="2144"/>
    <x v="1"/>
  </r>
  <r>
    <x v="1"/>
    <x v="0"/>
    <x v="53"/>
    <n v="49"/>
    <x v="0"/>
  </r>
  <r>
    <x v="1"/>
    <x v="0"/>
    <x v="54"/>
    <n v="2438"/>
    <x v="1"/>
  </r>
  <r>
    <x v="1"/>
    <x v="0"/>
    <x v="55"/>
    <n v="7"/>
    <x v="0"/>
  </r>
  <r>
    <x v="1"/>
    <x v="0"/>
    <x v="56"/>
    <n v="1770"/>
    <x v="1"/>
  </r>
  <r>
    <x v="1"/>
    <x v="0"/>
    <x v="57"/>
    <n v="5"/>
    <x v="0"/>
  </r>
  <r>
    <x v="1"/>
    <x v="0"/>
    <x v="58"/>
    <n v="2266"/>
    <x v="1"/>
  </r>
  <r>
    <x v="1"/>
    <x v="0"/>
    <x v="59"/>
    <n v="103"/>
    <x v="1"/>
  </r>
  <r>
    <x v="1"/>
    <x v="0"/>
    <x v="162"/>
    <n v="1"/>
    <x v="0"/>
  </r>
  <r>
    <x v="1"/>
    <x v="0"/>
    <x v="60"/>
    <n v="1"/>
    <x v="0"/>
  </r>
  <r>
    <x v="1"/>
    <x v="0"/>
    <x v="61"/>
    <n v="727"/>
    <x v="1"/>
  </r>
  <r>
    <x v="1"/>
    <x v="0"/>
    <x v="62"/>
    <n v="1597"/>
    <x v="1"/>
  </r>
  <r>
    <x v="1"/>
    <x v="0"/>
    <x v="63"/>
    <n v="393"/>
    <x v="1"/>
  </r>
  <r>
    <x v="1"/>
    <x v="0"/>
    <x v="163"/>
    <n v="6"/>
    <x v="0"/>
  </r>
  <r>
    <x v="1"/>
    <x v="0"/>
    <x v="64"/>
    <n v="1701"/>
    <x v="1"/>
  </r>
  <r>
    <x v="1"/>
    <x v="0"/>
    <x v="65"/>
    <n v="2022"/>
    <x v="1"/>
  </r>
  <r>
    <x v="1"/>
    <x v="0"/>
    <x v="66"/>
    <n v="1672"/>
    <x v="1"/>
  </r>
  <r>
    <x v="1"/>
    <x v="0"/>
    <x v="67"/>
    <n v="1"/>
    <x v="0"/>
  </r>
  <r>
    <x v="1"/>
    <x v="0"/>
    <x v="68"/>
    <n v="2"/>
    <x v="0"/>
  </r>
  <r>
    <x v="1"/>
    <x v="0"/>
    <x v="69"/>
    <n v="1663"/>
    <x v="1"/>
  </r>
  <r>
    <x v="1"/>
    <x v="0"/>
    <x v="70"/>
    <n v="15"/>
    <x v="0"/>
  </r>
  <r>
    <x v="1"/>
    <x v="0"/>
    <x v="71"/>
    <n v="2487"/>
    <x v="1"/>
  </r>
  <r>
    <x v="1"/>
    <x v="0"/>
    <x v="72"/>
    <n v="2488"/>
    <x v="1"/>
  </r>
  <r>
    <x v="1"/>
    <x v="0"/>
    <x v="73"/>
    <n v="476"/>
    <x v="1"/>
  </r>
  <r>
    <x v="1"/>
    <x v="0"/>
    <x v="74"/>
    <n v="1965"/>
    <x v="1"/>
  </r>
  <r>
    <x v="1"/>
    <x v="0"/>
    <x v="75"/>
    <n v="855"/>
    <x v="1"/>
  </r>
  <r>
    <x v="1"/>
    <x v="0"/>
    <x v="164"/>
    <n v="1"/>
    <x v="0"/>
  </r>
  <r>
    <x v="1"/>
    <x v="0"/>
    <x v="76"/>
    <n v="3"/>
    <x v="0"/>
  </r>
  <r>
    <x v="1"/>
    <x v="0"/>
    <x v="77"/>
    <n v="2"/>
    <x v="0"/>
  </r>
  <r>
    <x v="1"/>
    <x v="0"/>
    <x v="78"/>
    <n v="110"/>
    <x v="1"/>
  </r>
  <r>
    <x v="1"/>
    <x v="0"/>
    <x v="79"/>
    <n v="10123"/>
    <x v="1"/>
  </r>
  <r>
    <x v="1"/>
    <x v="0"/>
    <x v="80"/>
    <n v="22"/>
    <x v="0"/>
  </r>
  <r>
    <x v="1"/>
    <x v="0"/>
    <x v="81"/>
    <n v="2"/>
    <x v="0"/>
  </r>
  <r>
    <x v="1"/>
    <x v="0"/>
    <x v="82"/>
    <n v="2752"/>
    <x v="1"/>
  </r>
  <r>
    <x v="1"/>
    <x v="0"/>
    <x v="83"/>
    <n v="3"/>
    <x v="0"/>
  </r>
  <r>
    <x v="1"/>
    <x v="0"/>
    <x v="84"/>
    <n v="17"/>
    <x v="0"/>
  </r>
  <r>
    <x v="1"/>
    <x v="0"/>
    <x v="85"/>
    <n v="541"/>
    <x v="1"/>
  </r>
  <r>
    <x v="1"/>
    <x v="0"/>
    <x v="86"/>
    <n v="1100"/>
    <x v="1"/>
  </r>
  <r>
    <x v="1"/>
    <x v="0"/>
    <x v="87"/>
    <n v="13"/>
    <x v="0"/>
  </r>
  <r>
    <x v="1"/>
    <x v="0"/>
    <x v="88"/>
    <n v="1861"/>
    <x v="1"/>
  </r>
  <r>
    <x v="1"/>
    <x v="0"/>
    <x v="89"/>
    <n v="2263"/>
    <x v="1"/>
  </r>
  <r>
    <x v="1"/>
    <x v="0"/>
    <x v="90"/>
    <n v="1095"/>
    <x v="1"/>
  </r>
  <r>
    <x v="1"/>
    <x v="0"/>
    <x v="91"/>
    <n v="2602"/>
    <x v="1"/>
  </r>
  <r>
    <x v="1"/>
    <x v="0"/>
    <x v="92"/>
    <n v="8"/>
    <x v="0"/>
  </r>
  <r>
    <x v="1"/>
    <x v="0"/>
    <x v="93"/>
    <n v="1767"/>
    <x v="1"/>
  </r>
  <r>
    <x v="1"/>
    <x v="0"/>
    <x v="94"/>
    <n v="2118"/>
    <x v="1"/>
  </r>
  <r>
    <x v="1"/>
    <x v="0"/>
    <x v="95"/>
    <n v="1810"/>
    <x v="1"/>
  </r>
  <r>
    <x v="1"/>
    <x v="0"/>
    <x v="96"/>
    <n v="79"/>
    <x v="0"/>
  </r>
  <r>
    <x v="1"/>
    <x v="0"/>
    <x v="97"/>
    <n v="778"/>
    <x v="1"/>
  </r>
  <r>
    <x v="1"/>
    <x v="0"/>
    <x v="98"/>
    <n v="1086"/>
    <x v="1"/>
  </r>
  <r>
    <x v="1"/>
    <x v="0"/>
    <x v="99"/>
    <n v="1912"/>
    <x v="1"/>
  </r>
  <r>
    <x v="1"/>
    <x v="0"/>
    <x v="100"/>
    <n v="1"/>
    <x v="0"/>
  </r>
  <r>
    <x v="1"/>
    <x v="0"/>
    <x v="101"/>
    <n v="1"/>
    <x v="0"/>
  </r>
  <r>
    <x v="1"/>
    <x v="0"/>
    <x v="102"/>
    <n v="1452"/>
    <x v="1"/>
  </r>
  <r>
    <x v="1"/>
    <x v="0"/>
    <x v="103"/>
    <n v="1240"/>
    <x v="1"/>
  </r>
  <r>
    <x v="1"/>
    <x v="0"/>
    <x v="165"/>
    <n v="1"/>
    <x v="0"/>
  </r>
  <r>
    <x v="1"/>
    <x v="0"/>
    <x v="104"/>
    <n v="947"/>
    <x v="1"/>
  </r>
  <r>
    <x v="1"/>
    <x v="0"/>
    <x v="105"/>
    <n v="2019"/>
    <x v="1"/>
  </r>
  <r>
    <x v="1"/>
    <x v="0"/>
    <x v="106"/>
    <n v="1843"/>
    <x v="1"/>
  </r>
  <r>
    <x v="1"/>
    <x v="0"/>
    <x v="107"/>
    <n v="8"/>
    <x v="0"/>
  </r>
  <r>
    <x v="1"/>
    <x v="0"/>
    <x v="108"/>
    <n v="438"/>
    <x v="1"/>
  </r>
  <r>
    <x v="1"/>
    <x v="0"/>
    <x v="109"/>
    <n v="9"/>
    <x v="0"/>
  </r>
  <r>
    <x v="1"/>
    <x v="0"/>
    <x v="110"/>
    <n v="3"/>
    <x v="0"/>
  </r>
  <r>
    <x v="1"/>
    <x v="0"/>
    <x v="111"/>
    <n v="1700"/>
    <x v="1"/>
  </r>
  <r>
    <x v="1"/>
    <x v="0"/>
    <x v="112"/>
    <n v="1"/>
    <x v="0"/>
  </r>
  <r>
    <x v="1"/>
    <x v="0"/>
    <x v="113"/>
    <n v="2322"/>
    <x v="1"/>
  </r>
  <r>
    <x v="1"/>
    <x v="0"/>
    <x v="114"/>
    <n v="79"/>
    <x v="0"/>
  </r>
  <r>
    <x v="1"/>
    <x v="0"/>
    <x v="115"/>
    <n v="3456"/>
    <x v="1"/>
  </r>
  <r>
    <x v="1"/>
    <x v="0"/>
    <x v="116"/>
    <n v="479"/>
    <x v="1"/>
  </r>
  <r>
    <x v="1"/>
    <x v="0"/>
    <x v="166"/>
    <n v="4"/>
    <x v="0"/>
  </r>
  <r>
    <x v="1"/>
    <x v="0"/>
    <x v="117"/>
    <n v="1616"/>
    <x v="1"/>
  </r>
  <r>
    <x v="1"/>
    <x v="0"/>
    <x v="167"/>
    <n v="1766"/>
    <x v="1"/>
  </r>
  <r>
    <x v="1"/>
    <x v="0"/>
    <x v="168"/>
    <n v="17"/>
    <x v="0"/>
  </r>
  <r>
    <x v="1"/>
    <x v="0"/>
    <x v="118"/>
    <n v="1743"/>
    <x v="1"/>
  </r>
  <r>
    <x v="1"/>
    <x v="0"/>
    <x v="119"/>
    <n v="5"/>
    <x v="0"/>
  </r>
  <r>
    <x v="1"/>
    <x v="0"/>
    <x v="120"/>
    <n v="14"/>
    <x v="0"/>
  </r>
  <r>
    <x v="1"/>
    <x v="0"/>
    <x v="121"/>
    <n v="388"/>
    <x v="1"/>
  </r>
  <r>
    <x v="1"/>
    <x v="0"/>
    <x v="122"/>
    <n v="3"/>
    <x v="0"/>
  </r>
  <r>
    <x v="1"/>
    <x v="0"/>
    <x v="123"/>
    <n v="589"/>
    <x v="1"/>
  </r>
  <r>
    <x v="1"/>
    <x v="0"/>
    <x v="124"/>
    <n v="1117"/>
    <x v="1"/>
  </r>
  <r>
    <x v="1"/>
    <x v="0"/>
    <x v="125"/>
    <n v="27"/>
    <x v="0"/>
  </r>
  <r>
    <x v="1"/>
    <x v="0"/>
    <x v="126"/>
    <n v="53"/>
    <x v="0"/>
  </r>
  <r>
    <x v="1"/>
    <x v="0"/>
    <x v="127"/>
    <n v="2316"/>
    <x v="1"/>
  </r>
  <r>
    <x v="1"/>
    <x v="0"/>
    <x v="128"/>
    <n v="1890"/>
    <x v="1"/>
  </r>
  <r>
    <x v="1"/>
    <x v="0"/>
    <x v="129"/>
    <n v="1901"/>
    <x v="1"/>
  </r>
  <r>
    <x v="1"/>
    <x v="0"/>
    <x v="131"/>
    <n v="1700"/>
    <x v="1"/>
  </r>
  <r>
    <x v="1"/>
    <x v="0"/>
    <x v="132"/>
    <n v="3"/>
    <x v="0"/>
  </r>
  <r>
    <x v="1"/>
    <x v="0"/>
    <x v="133"/>
    <n v="1585"/>
    <x v="1"/>
  </r>
  <r>
    <x v="1"/>
    <x v="0"/>
    <x v="134"/>
    <n v="923"/>
    <x v="1"/>
  </r>
  <r>
    <x v="1"/>
    <x v="0"/>
    <x v="135"/>
    <n v="1724"/>
    <x v="1"/>
  </r>
  <r>
    <x v="1"/>
    <x v="0"/>
    <x v="136"/>
    <n v="1729"/>
    <x v="1"/>
  </r>
  <r>
    <x v="1"/>
    <x v="0"/>
    <x v="137"/>
    <n v="1093"/>
    <x v="1"/>
  </r>
  <r>
    <x v="1"/>
    <x v="0"/>
    <x v="169"/>
    <n v="1"/>
    <x v="0"/>
  </r>
  <r>
    <x v="1"/>
    <x v="0"/>
    <x v="138"/>
    <n v="2615"/>
    <x v="1"/>
  </r>
  <r>
    <x v="1"/>
    <x v="0"/>
    <x v="139"/>
    <n v="1400"/>
    <x v="1"/>
  </r>
  <r>
    <x v="1"/>
    <x v="0"/>
    <x v="140"/>
    <n v="1645"/>
    <x v="1"/>
  </r>
  <r>
    <x v="1"/>
    <x v="0"/>
    <x v="141"/>
    <n v="1630"/>
    <x v="1"/>
  </r>
  <r>
    <x v="1"/>
    <x v="0"/>
    <x v="142"/>
    <n v="1363"/>
    <x v="1"/>
  </r>
  <r>
    <x v="1"/>
    <x v="0"/>
    <x v="143"/>
    <n v="1548"/>
    <x v="1"/>
  </r>
  <r>
    <x v="1"/>
    <x v="0"/>
    <x v="144"/>
    <n v="1493"/>
    <x v="1"/>
  </r>
  <r>
    <x v="1"/>
    <x v="0"/>
    <x v="145"/>
    <n v="2164"/>
    <x v="1"/>
  </r>
  <r>
    <x v="1"/>
    <x v="0"/>
    <x v="146"/>
    <n v="1013"/>
    <x v="1"/>
  </r>
  <r>
    <x v="1"/>
    <x v="0"/>
    <x v="147"/>
    <n v="705"/>
    <x v="1"/>
  </r>
  <r>
    <x v="1"/>
    <x v="0"/>
    <x v="148"/>
    <n v="1863"/>
    <x v="1"/>
  </r>
  <r>
    <x v="1"/>
    <x v="0"/>
    <x v="149"/>
    <n v="1307"/>
    <x v="1"/>
  </r>
  <r>
    <x v="1"/>
    <x v="0"/>
    <x v="150"/>
    <n v="444"/>
    <x v="1"/>
  </r>
  <r>
    <x v="1"/>
    <x v="0"/>
    <x v="151"/>
    <n v="2153"/>
    <x v="1"/>
  </r>
  <r>
    <x v="1"/>
    <x v="0"/>
    <x v="152"/>
    <n v="1777"/>
    <x v="1"/>
  </r>
  <r>
    <x v="1"/>
    <x v="0"/>
    <x v="153"/>
    <n v="33"/>
    <x v="0"/>
  </r>
  <r>
    <x v="1"/>
    <x v="0"/>
    <x v="154"/>
    <n v="153"/>
    <x v="1"/>
  </r>
  <r>
    <x v="1"/>
    <x v="0"/>
    <x v="170"/>
    <n v="1831"/>
    <x v="1"/>
  </r>
  <r>
    <x v="1"/>
    <x v="0"/>
    <x v="171"/>
    <n v="1779"/>
    <x v="1"/>
  </r>
  <r>
    <x v="1"/>
    <x v="0"/>
    <x v="172"/>
    <n v="692"/>
    <x v="1"/>
  </r>
  <r>
    <x v="1"/>
    <x v="0"/>
    <x v="155"/>
    <n v="1"/>
    <x v="0"/>
  </r>
  <r>
    <x v="2"/>
    <x v="0"/>
    <x v="0"/>
    <n v="11"/>
    <x v="0"/>
  </r>
  <r>
    <x v="2"/>
    <x v="0"/>
    <x v="1"/>
    <n v="6"/>
    <x v="0"/>
  </r>
  <r>
    <x v="2"/>
    <x v="0"/>
    <x v="2"/>
    <n v="435"/>
    <x v="1"/>
  </r>
  <r>
    <x v="2"/>
    <x v="0"/>
    <x v="3"/>
    <n v="780"/>
    <x v="1"/>
  </r>
  <r>
    <x v="2"/>
    <x v="0"/>
    <x v="4"/>
    <n v="1"/>
    <x v="0"/>
  </r>
  <r>
    <x v="2"/>
    <x v="0"/>
    <x v="5"/>
    <n v="1"/>
    <x v="0"/>
  </r>
  <r>
    <x v="2"/>
    <x v="0"/>
    <x v="7"/>
    <n v="2381"/>
    <x v="1"/>
  </r>
  <r>
    <x v="2"/>
    <x v="0"/>
    <x v="8"/>
    <n v="2341"/>
    <x v="1"/>
  </r>
  <r>
    <x v="2"/>
    <x v="0"/>
    <x v="9"/>
    <n v="2043"/>
    <x v="1"/>
  </r>
  <r>
    <x v="2"/>
    <x v="0"/>
    <x v="10"/>
    <n v="638"/>
    <x v="1"/>
  </r>
  <r>
    <x v="2"/>
    <x v="0"/>
    <x v="11"/>
    <n v="1"/>
    <x v="0"/>
  </r>
  <r>
    <x v="2"/>
    <x v="0"/>
    <x v="157"/>
    <n v="2"/>
    <x v="0"/>
  </r>
  <r>
    <x v="2"/>
    <x v="0"/>
    <x v="12"/>
    <n v="33"/>
    <x v="0"/>
  </r>
  <r>
    <x v="2"/>
    <x v="0"/>
    <x v="13"/>
    <n v="2"/>
    <x v="0"/>
  </r>
  <r>
    <x v="2"/>
    <x v="0"/>
    <x v="14"/>
    <n v="63"/>
    <x v="0"/>
  </r>
  <r>
    <x v="2"/>
    <x v="0"/>
    <x v="173"/>
    <n v="1"/>
    <x v="0"/>
  </r>
  <r>
    <x v="2"/>
    <x v="0"/>
    <x v="158"/>
    <n v="1"/>
    <x v="0"/>
  </r>
  <r>
    <x v="2"/>
    <x v="0"/>
    <x v="15"/>
    <n v="3"/>
    <x v="0"/>
  </r>
  <r>
    <x v="2"/>
    <x v="0"/>
    <x v="16"/>
    <n v="6"/>
    <x v="0"/>
  </r>
  <r>
    <x v="2"/>
    <x v="0"/>
    <x v="17"/>
    <n v="441"/>
    <x v="1"/>
  </r>
  <r>
    <x v="2"/>
    <x v="0"/>
    <x v="19"/>
    <n v="39"/>
    <x v="0"/>
  </r>
  <r>
    <x v="2"/>
    <x v="0"/>
    <x v="20"/>
    <n v="3"/>
    <x v="0"/>
  </r>
  <r>
    <x v="2"/>
    <x v="0"/>
    <x v="21"/>
    <n v="1773"/>
    <x v="1"/>
  </r>
  <r>
    <x v="2"/>
    <x v="0"/>
    <x v="22"/>
    <n v="2753"/>
    <x v="1"/>
  </r>
  <r>
    <x v="2"/>
    <x v="0"/>
    <x v="23"/>
    <n v="1"/>
    <x v="0"/>
  </r>
  <r>
    <x v="2"/>
    <x v="0"/>
    <x v="24"/>
    <n v="4"/>
    <x v="0"/>
  </r>
  <r>
    <x v="2"/>
    <x v="0"/>
    <x v="25"/>
    <n v="2"/>
    <x v="0"/>
  </r>
  <r>
    <x v="2"/>
    <x v="0"/>
    <x v="26"/>
    <n v="1718"/>
    <x v="1"/>
  </r>
  <r>
    <x v="2"/>
    <x v="0"/>
    <x v="27"/>
    <n v="1502"/>
    <x v="1"/>
  </r>
  <r>
    <x v="2"/>
    <x v="0"/>
    <x v="28"/>
    <n v="2101"/>
    <x v="1"/>
  </r>
  <r>
    <x v="2"/>
    <x v="0"/>
    <x v="29"/>
    <n v="8"/>
    <x v="0"/>
  </r>
  <r>
    <x v="2"/>
    <x v="0"/>
    <x v="30"/>
    <n v="966"/>
    <x v="1"/>
  </r>
  <r>
    <x v="2"/>
    <x v="0"/>
    <x v="31"/>
    <n v="1953"/>
    <x v="1"/>
  </r>
  <r>
    <x v="2"/>
    <x v="0"/>
    <x v="32"/>
    <n v="5825"/>
    <x v="1"/>
  </r>
  <r>
    <x v="2"/>
    <x v="0"/>
    <x v="33"/>
    <n v="144"/>
    <x v="1"/>
  </r>
  <r>
    <x v="2"/>
    <x v="0"/>
    <x v="34"/>
    <n v="2"/>
    <x v="0"/>
  </r>
  <r>
    <x v="2"/>
    <x v="0"/>
    <x v="35"/>
    <n v="66"/>
    <x v="0"/>
  </r>
  <r>
    <x v="2"/>
    <x v="0"/>
    <x v="36"/>
    <n v="1"/>
    <x v="0"/>
  </r>
  <r>
    <x v="2"/>
    <x v="0"/>
    <x v="37"/>
    <n v="500"/>
    <x v="1"/>
  </r>
  <r>
    <x v="2"/>
    <x v="0"/>
    <x v="38"/>
    <n v="2663"/>
    <x v="1"/>
  </r>
  <r>
    <x v="2"/>
    <x v="0"/>
    <x v="174"/>
    <n v="1"/>
    <x v="0"/>
  </r>
  <r>
    <x v="2"/>
    <x v="0"/>
    <x v="39"/>
    <n v="1"/>
    <x v="0"/>
  </r>
  <r>
    <x v="2"/>
    <x v="0"/>
    <x v="40"/>
    <n v="3"/>
    <x v="0"/>
  </r>
  <r>
    <x v="2"/>
    <x v="0"/>
    <x v="41"/>
    <n v="2"/>
    <x v="0"/>
  </r>
  <r>
    <x v="2"/>
    <x v="0"/>
    <x v="43"/>
    <n v="9"/>
    <x v="0"/>
  </r>
  <r>
    <x v="2"/>
    <x v="0"/>
    <x v="175"/>
    <n v="1"/>
    <x v="0"/>
  </r>
  <r>
    <x v="2"/>
    <x v="0"/>
    <x v="44"/>
    <n v="1513"/>
    <x v="1"/>
  </r>
  <r>
    <x v="2"/>
    <x v="0"/>
    <x v="45"/>
    <n v="81"/>
    <x v="0"/>
  </r>
  <r>
    <x v="2"/>
    <x v="0"/>
    <x v="46"/>
    <n v="1680"/>
    <x v="1"/>
  </r>
  <r>
    <x v="2"/>
    <x v="0"/>
    <x v="47"/>
    <n v="327"/>
    <x v="1"/>
  </r>
  <r>
    <x v="2"/>
    <x v="0"/>
    <x v="48"/>
    <n v="6"/>
    <x v="0"/>
  </r>
  <r>
    <x v="2"/>
    <x v="0"/>
    <x v="49"/>
    <n v="1"/>
    <x v="0"/>
  </r>
  <r>
    <x v="2"/>
    <x v="0"/>
    <x v="50"/>
    <n v="14"/>
    <x v="0"/>
  </r>
  <r>
    <x v="2"/>
    <x v="0"/>
    <x v="51"/>
    <n v="1737"/>
    <x v="1"/>
  </r>
  <r>
    <x v="2"/>
    <x v="0"/>
    <x v="52"/>
    <n v="2009"/>
    <x v="1"/>
  </r>
  <r>
    <x v="2"/>
    <x v="0"/>
    <x v="53"/>
    <n v="84"/>
    <x v="0"/>
  </r>
  <r>
    <x v="2"/>
    <x v="0"/>
    <x v="54"/>
    <n v="15"/>
    <x v="0"/>
  </r>
  <r>
    <x v="2"/>
    <x v="0"/>
    <x v="55"/>
    <n v="5"/>
    <x v="0"/>
  </r>
  <r>
    <x v="2"/>
    <x v="0"/>
    <x v="56"/>
    <n v="1765"/>
    <x v="1"/>
  </r>
  <r>
    <x v="2"/>
    <x v="0"/>
    <x v="57"/>
    <n v="4"/>
    <x v="0"/>
  </r>
  <r>
    <x v="2"/>
    <x v="0"/>
    <x v="58"/>
    <n v="2265"/>
    <x v="1"/>
  </r>
  <r>
    <x v="2"/>
    <x v="0"/>
    <x v="59"/>
    <n v="173"/>
    <x v="1"/>
  </r>
  <r>
    <x v="2"/>
    <x v="0"/>
    <x v="162"/>
    <n v="2"/>
    <x v="0"/>
  </r>
  <r>
    <x v="2"/>
    <x v="0"/>
    <x v="60"/>
    <n v="1"/>
    <x v="0"/>
  </r>
  <r>
    <x v="2"/>
    <x v="0"/>
    <x v="61"/>
    <n v="667"/>
    <x v="1"/>
  </r>
  <r>
    <x v="2"/>
    <x v="0"/>
    <x v="62"/>
    <n v="1535"/>
    <x v="1"/>
  </r>
  <r>
    <x v="2"/>
    <x v="0"/>
    <x v="63"/>
    <n v="416"/>
    <x v="1"/>
  </r>
  <r>
    <x v="2"/>
    <x v="0"/>
    <x v="64"/>
    <n v="1526"/>
    <x v="1"/>
  </r>
  <r>
    <x v="2"/>
    <x v="0"/>
    <x v="65"/>
    <n v="388"/>
    <x v="1"/>
  </r>
  <r>
    <x v="2"/>
    <x v="0"/>
    <x v="66"/>
    <n v="1775"/>
    <x v="1"/>
  </r>
  <r>
    <x v="2"/>
    <x v="0"/>
    <x v="67"/>
    <n v="1"/>
    <x v="0"/>
  </r>
  <r>
    <x v="2"/>
    <x v="0"/>
    <x v="68"/>
    <n v="3"/>
    <x v="0"/>
  </r>
  <r>
    <x v="2"/>
    <x v="0"/>
    <x v="176"/>
    <n v="1"/>
    <x v="0"/>
  </r>
  <r>
    <x v="2"/>
    <x v="0"/>
    <x v="69"/>
    <n v="1801"/>
    <x v="1"/>
  </r>
  <r>
    <x v="2"/>
    <x v="0"/>
    <x v="70"/>
    <n v="19"/>
    <x v="0"/>
  </r>
  <r>
    <x v="2"/>
    <x v="0"/>
    <x v="71"/>
    <n v="2586"/>
    <x v="1"/>
  </r>
  <r>
    <x v="2"/>
    <x v="0"/>
    <x v="72"/>
    <n v="2476"/>
    <x v="1"/>
  </r>
  <r>
    <x v="2"/>
    <x v="0"/>
    <x v="73"/>
    <n v="604"/>
    <x v="1"/>
  </r>
  <r>
    <x v="2"/>
    <x v="0"/>
    <x v="74"/>
    <n v="1891"/>
    <x v="1"/>
  </r>
  <r>
    <x v="2"/>
    <x v="0"/>
    <x v="75"/>
    <n v="834"/>
    <x v="1"/>
  </r>
  <r>
    <x v="2"/>
    <x v="0"/>
    <x v="164"/>
    <n v="12"/>
    <x v="0"/>
  </r>
  <r>
    <x v="2"/>
    <x v="0"/>
    <x v="76"/>
    <n v="1"/>
    <x v="0"/>
  </r>
  <r>
    <x v="2"/>
    <x v="0"/>
    <x v="177"/>
    <n v="1"/>
    <x v="0"/>
  </r>
  <r>
    <x v="2"/>
    <x v="0"/>
    <x v="77"/>
    <n v="2"/>
    <x v="0"/>
  </r>
  <r>
    <x v="2"/>
    <x v="0"/>
    <x v="78"/>
    <n v="114"/>
    <x v="1"/>
  </r>
  <r>
    <x v="2"/>
    <x v="0"/>
    <x v="79"/>
    <n v="6670"/>
    <x v="1"/>
  </r>
  <r>
    <x v="2"/>
    <x v="0"/>
    <x v="178"/>
    <n v="1"/>
    <x v="0"/>
  </r>
  <r>
    <x v="2"/>
    <x v="0"/>
    <x v="80"/>
    <n v="12"/>
    <x v="0"/>
  </r>
  <r>
    <x v="2"/>
    <x v="0"/>
    <x v="81"/>
    <n v="1"/>
    <x v="0"/>
  </r>
  <r>
    <x v="2"/>
    <x v="0"/>
    <x v="82"/>
    <n v="2666"/>
    <x v="1"/>
  </r>
  <r>
    <x v="2"/>
    <x v="0"/>
    <x v="83"/>
    <n v="6"/>
    <x v="0"/>
  </r>
  <r>
    <x v="2"/>
    <x v="0"/>
    <x v="84"/>
    <n v="21"/>
    <x v="0"/>
  </r>
  <r>
    <x v="2"/>
    <x v="0"/>
    <x v="85"/>
    <n v="539"/>
    <x v="1"/>
  </r>
  <r>
    <x v="2"/>
    <x v="0"/>
    <x v="86"/>
    <n v="2855"/>
    <x v="1"/>
  </r>
  <r>
    <x v="2"/>
    <x v="0"/>
    <x v="179"/>
    <n v="4"/>
    <x v="0"/>
  </r>
  <r>
    <x v="2"/>
    <x v="0"/>
    <x v="87"/>
    <n v="2141"/>
    <x v="1"/>
  </r>
  <r>
    <x v="2"/>
    <x v="0"/>
    <x v="88"/>
    <n v="1978"/>
    <x v="1"/>
  </r>
  <r>
    <x v="2"/>
    <x v="0"/>
    <x v="180"/>
    <n v="1"/>
    <x v="0"/>
  </r>
  <r>
    <x v="2"/>
    <x v="0"/>
    <x v="89"/>
    <n v="2143"/>
    <x v="1"/>
  </r>
  <r>
    <x v="2"/>
    <x v="0"/>
    <x v="90"/>
    <n v="1072"/>
    <x v="1"/>
  </r>
  <r>
    <x v="2"/>
    <x v="0"/>
    <x v="91"/>
    <n v="13"/>
    <x v="0"/>
  </r>
  <r>
    <x v="2"/>
    <x v="0"/>
    <x v="92"/>
    <n v="6"/>
    <x v="0"/>
  </r>
  <r>
    <x v="2"/>
    <x v="0"/>
    <x v="93"/>
    <n v="19"/>
    <x v="0"/>
  </r>
  <r>
    <x v="2"/>
    <x v="0"/>
    <x v="94"/>
    <n v="546"/>
    <x v="1"/>
  </r>
  <r>
    <x v="2"/>
    <x v="0"/>
    <x v="95"/>
    <n v="1803"/>
    <x v="1"/>
  </r>
  <r>
    <x v="2"/>
    <x v="0"/>
    <x v="96"/>
    <n v="77"/>
    <x v="0"/>
  </r>
  <r>
    <x v="2"/>
    <x v="0"/>
    <x v="97"/>
    <n v="772"/>
    <x v="1"/>
  </r>
  <r>
    <x v="2"/>
    <x v="0"/>
    <x v="98"/>
    <n v="999"/>
    <x v="1"/>
  </r>
  <r>
    <x v="2"/>
    <x v="0"/>
    <x v="99"/>
    <n v="1932"/>
    <x v="1"/>
  </r>
  <r>
    <x v="2"/>
    <x v="0"/>
    <x v="100"/>
    <n v="1"/>
    <x v="0"/>
  </r>
  <r>
    <x v="2"/>
    <x v="0"/>
    <x v="101"/>
    <n v="1"/>
    <x v="0"/>
  </r>
  <r>
    <x v="2"/>
    <x v="0"/>
    <x v="102"/>
    <n v="1836"/>
    <x v="1"/>
  </r>
  <r>
    <x v="2"/>
    <x v="0"/>
    <x v="103"/>
    <n v="808"/>
    <x v="1"/>
  </r>
  <r>
    <x v="2"/>
    <x v="0"/>
    <x v="165"/>
    <n v="1"/>
    <x v="0"/>
  </r>
  <r>
    <x v="2"/>
    <x v="0"/>
    <x v="104"/>
    <n v="2465"/>
    <x v="1"/>
  </r>
  <r>
    <x v="2"/>
    <x v="0"/>
    <x v="105"/>
    <n v="1823"/>
    <x v="1"/>
  </r>
  <r>
    <x v="2"/>
    <x v="0"/>
    <x v="106"/>
    <n v="1732"/>
    <x v="1"/>
  </r>
  <r>
    <x v="2"/>
    <x v="0"/>
    <x v="107"/>
    <n v="6"/>
    <x v="0"/>
  </r>
  <r>
    <x v="2"/>
    <x v="0"/>
    <x v="108"/>
    <n v="410"/>
    <x v="1"/>
  </r>
  <r>
    <x v="2"/>
    <x v="0"/>
    <x v="109"/>
    <n v="9"/>
    <x v="0"/>
  </r>
  <r>
    <x v="2"/>
    <x v="0"/>
    <x v="110"/>
    <n v="6"/>
    <x v="0"/>
  </r>
  <r>
    <x v="2"/>
    <x v="0"/>
    <x v="111"/>
    <n v="1636"/>
    <x v="1"/>
  </r>
  <r>
    <x v="2"/>
    <x v="0"/>
    <x v="181"/>
    <n v="119"/>
    <x v="1"/>
  </r>
  <r>
    <x v="2"/>
    <x v="0"/>
    <x v="112"/>
    <n v="1"/>
    <x v="0"/>
  </r>
  <r>
    <x v="2"/>
    <x v="0"/>
    <x v="113"/>
    <n v="2300"/>
    <x v="1"/>
  </r>
  <r>
    <x v="2"/>
    <x v="0"/>
    <x v="114"/>
    <n v="105"/>
    <x v="1"/>
  </r>
  <r>
    <x v="2"/>
    <x v="0"/>
    <x v="115"/>
    <n v="3316"/>
    <x v="1"/>
  </r>
  <r>
    <x v="2"/>
    <x v="0"/>
    <x v="182"/>
    <n v="1889"/>
    <x v="1"/>
  </r>
  <r>
    <x v="2"/>
    <x v="0"/>
    <x v="116"/>
    <n v="1947"/>
    <x v="1"/>
  </r>
  <r>
    <x v="2"/>
    <x v="0"/>
    <x v="166"/>
    <n v="20"/>
    <x v="0"/>
  </r>
  <r>
    <x v="2"/>
    <x v="0"/>
    <x v="117"/>
    <n v="1615"/>
    <x v="1"/>
  </r>
  <r>
    <x v="2"/>
    <x v="0"/>
    <x v="167"/>
    <n v="1710"/>
    <x v="1"/>
  </r>
  <r>
    <x v="2"/>
    <x v="0"/>
    <x v="168"/>
    <n v="184"/>
    <x v="1"/>
  </r>
  <r>
    <x v="2"/>
    <x v="0"/>
    <x v="183"/>
    <n v="234"/>
    <x v="1"/>
  </r>
  <r>
    <x v="2"/>
    <x v="0"/>
    <x v="184"/>
    <n v="1636"/>
    <x v="1"/>
  </r>
  <r>
    <x v="2"/>
    <x v="0"/>
    <x v="185"/>
    <n v="1634"/>
    <x v="1"/>
  </r>
  <r>
    <x v="2"/>
    <x v="0"/>
    <x v="186"/>
    <n v="958"/>
    <x v="1"/>
  </r>
  <r>
    <x v="2"/>
    <x v="0"/>
    <x v="187"/>
    <n v="610"/>
    <x v="1"/>
  </r>
  <r>
    <x v="2"/>
    <x v="0"/>
    <x v="188"/>
    <n v="1632"/>
    <x v="1"/>
  </r>
  <r>
    <x v="2"/>
    <x v="0"/>
    <x v="189"/>
    <n v="2241"/>
    <x v="1"/>
  </r>
  <r>
    <x v="2"/>
    <x v="0"/>
    <x v="190"/>
    <n v="237"/>
    <x v="1"/>
  </r>
  <r>
    <x v="2"/>
    <x v="0"/>
    <x v="191"/>
    <n v="2540"/>
    <x v="1"/>
  </r>
  <r>
    <x v="2"/>
    <x v="0"/>
    <x v="192"/>
    <n v="1704"/>
    <x v="1"/>
  </r>
  <r>
    <x v="2"/>
    <x v="0"/>
    <x v="193"/>
    <n v="7"/>
    <x v="0"/>
  </r>
  <r>
    <x v="2"/>
    <x v="0"/>
    <x v="118"/>
    <n v="1667"/>
    <x v="1"/>
  </r>
  <r>
    <x v="2"/>
    <x v="0"/>
    <x v="119"/>
    <n v="12"/>
    <x v="0"/>
  </r>
  <r>
    <x v="2"/>
    <x v="0"/>
    <x v="120"/>
    <n v="16"/>
    <x v="0"/>
  </r>
  <r>
    <x v="2"/>
    <x v="0"/>
    <x v="121"/>
    <n v="299"/>
    <x v="1"/>
  </r>
  <r>
    <x v="2"/>
    <x v="0"/>
    <x v="194"/>
    <n v="1"/>
    <x v="0"/>
  </r>
  <r>
    <x v="2"/>
    <x v="0"/>
    <x v="122"/>
    <n v="4"/>
    <x v="0"/>
  </r>
  <r>
    <x v="2"/>
    <x v="0"/>
    <x v="123"/>
    <n v="540"/>
    <x v="1"/>
  </r>
  <r>
    <x v="2"/>
    <x v="0"/>
    <x v="124"/>
    <n v="1418"/>
    <x v="1"/>
  </r>
  <r>
    <x v="2"/>
    <x v="0"/>
    <x v="125"/>
    <n v="23"/>
    <x v="0"/>
  </r>
  <r>
    <x v="2"/>
    <x v="0"/>
    <x v="126"/>
    <n v="39"/>
    <x v="0"/>
  </r>
  <r>
    <x v="2"/>
    <x v="0"/>
    <x v="127"/>
    <n v="2273"/>
    <x v="1"/>
  </r>
  <r>
    <x v="2"/>
    <x v="0"/>
    <x v="128"/>
    <n v="71"/>
    <x v="0"/>
  </r>
  <r>
    <x v="2"/>
    <x v="0"/>
    <x v="129"/>
    <n v="1526"/>
    <x v="1"/>
  </r>
  <r>
    <x v="2"/>
    <x v="0"/>
    <x v="131"/>
    <n v="1797"/>
    <x v="1"/>
  </r>
  <r>
    <x v="2"/>
    <x v="0"/>
    <x v="132"/>
    <n v="4"/>
    <x v="0"/>
  </r>
  <r>
    <x v="2"/>
    <x v="0"/>
    <x v="133"/>
    <n v="690"/>
    <x v="1"/>
  </r>
  <r>
    <x v="2"/>
    <x v="0"/>
    <x v="134"/>
    <n v="886"/>
    <x v="1"/>
  </r>
  <r>
    <x v="2"/>
    <x v="0"/>
    <x v="135"/>
    <n v="1731"/>
    <x v="1"/>
  </r>
  <r>
    <x v="2"/>
    <x v="0"/>
    <x v="136"/>
    <n v="1909"/>
    <x v="1"/>
  </r>
  <r>
    <x v="2"/>
    <x v="0"/>
    <x v="137"/>
    <n v="1041"/>
    <x v="1"/>
  </r>
  <r>
    <x v="2"/>
    <x v="0"/>
    <x v="169"/>
    <n v="1"/>
    <x v="0"/>
  </r>
  <r>
    <x v="2"/>
    <x v="0"/>
    <x v="138"/>
    <n v="6"/>
    <x v="0"/>
  </r>
  <r>
    <x v="2"/>
    <x v="0"/>
    <x v="139"/>
    <n v="1525"/>
    <x v="1"/>
  </r>
  <r>
    <x v="2"/>
    <x v="0"/>
    <x v="140"/>
    <n v="2166"/>
    <x v="1"/>
  </r>
  <r>
    <x v="2"/>
    <x v="0"/>
    <x v="141"/>
    <n v="1623"/>
    <x v="1"/>
  </r>
  <r>
    <x v="2"/>
    <x v="0"/>
    <x v="142"/>
    <n v="1590"/>
    <x v="1"/>
  </r>
  <r>
    <x v="2"/>
    <x v="0"/>
    <x v="143"/>
    <n v="2497"/>
    <x v="1"/>
  </r>
  <r>
    <x v="2"/>
    <x v="0"/>
    <x v="195"/>
    <n v="1"/>
    <x v="0"/>
  </r>
  <r>
    <x v="2"/>
    <x v="0"/>
    <x v="144"/>
    <n v="1718"/>
    <x v="1"/>
  </r>
  <r>
    <x v="2"/>
    <x v="0"/>
    <x v="145"/>
    <n v="3"/>
    <x v="0"/>
  </r>
  <r>
    <x v="2"/>
    <x v="0"/>
    <x v="146"/>
    <n v="171"/>
    <x v="1"/>
  </r>
  <r>
    <x v="2"/>
    <x v="0"/>
    <x v="147"/>
    <n v="742"/>
    <x v="1"/>
  </r>
  <r>
    <x v="2"/>
    <x v="0"/>
    <x v="148"/>
    <n v="1892"/>
    <x v="1"/>
  </r>
  <r>
    <x v="2"/>
    <x v="0"/>
    <x v="149"/>
    <n v="1432"/>
    <x v="1"/>
  </r>
  <r>
    <x v="2"/>
    <x v="0"/>
    <x v="150"/>
    <n v="2453"/>
    <x v="1"/>
  </r>
  <r>
    <x v="2"/>
    <x v="0"/>
    <x v="151"/>
    <n v="1932"/>
    <x v="1"/>
  </r>
  <r>
    <x v="2"/>
    <x v="0"/>
    <x v="152"/>
    <n v="1634"/>
    <x v="1"/>
  </r>
  <r>
    <x v="2"/>
    <x v="0"/>
    <x v="196"/>
    <n v="1"/>
    <x v="0"/>
  </r>
  <r>
    <x v="2"/>
    <x v="0"/>
    <x v="153"/>
    <n v="1830"/>
    <x v="1"/>
  </r>
  <r>
    <x v="2"/>
    <x v="0"/>
    <x v="154"/>
    <n v="587"/>
    <x v="1"/>
  </r>
  <r>
    <x v="2"/>
    <x v="0"/>
    <x v="170"/>
    <n v="2030"/>
    <x v="1"/>
  </r>
  <r>
    <x v="2"/>
    <x v="0"/>
    <x v="171"/>
    <n v="1791"/>
    <x v="1"/>
  </r>
  <r>
    <x v="2"/>
    <x v="0"/>
    <x v="172"/>
    <n v="956"/>
    <x v="1"/>
  </r>
  <r>
    <x v="2"/>
    <x v="0"/>
    <x v="197"/>
    <n v="1835"/>
    <x v="1"/>
  </r>
  <r>
    <x v="2"/>
    <x v="0"/>
    <x v="198"/>
    <n v="1009"/>
    <x v="1"/>
  </r>
  <r>
    <x v="2"/>
    <x v="0"/>
    <x v="199"/>
    <n v="1825"/>
    <x v="1"/>
  </r>
  <r>
    <x v="2"/>
    <x v="0"/>
    <x v="155"/>
    <n v="1"/>
    <x v="0"/>
  </r>
  <r>
    <x v="3"/>
    <x v="0"/>
    <x v="60"/>
    <n v="1"/>
    <x v="0"/>
  </r>
  <r>
    <x v="4"/>
    <x v="0"/>
    <x v="44"/>
    <n v="2883"/>
    <x v="1"/>
  </r>
  <r>
    <x v="4"/>
    <x v="0"/>
    <x v="168"/>
    <n v="3"/>
    <x v="0"/>
  </r>
  <r>
    <x v="3"/>
    <x v="0"/>
    <x v="72"/>
    <n v="2857"/>
    <x v="1"/>
  </r>
  <r>
    <x v="3"/>
    <x v="0"/>
    <x v="83"/>
    <n v="7"/>
    <x v="0"/>
  </r>
  <r>
    <x v="3"/>
    <x v="0"/>
    <x v="20"/>
    <n v="3"/>
    <x v="0"/>
  </r>
  <r>
    <x v="3"/>
    <x v="0"/>
    <x v="171"/>
    <n v="2216"/>
    <x v="1"/>
  </r>
  <r>
    <x v="4"/>
    <x v="0"/>
    <x v="153"/>
    <n v="10"/>
    <x v="0"/>
  </r>
  <r>
    <x v="4"/>
    <x v="0"/>
    <x v="121"/>
    <n v="2151"/>
    <x v="1"/>
  </r>
  <r>
    <x v="4"/>
    <x v="0"/>
    <x v="65"/>
    <n v="2297"/>
    <x v="1"/>
  </r>
  <r>
    <x v="3"/>
    <x v="0"/>
    <x v="155"/>
    <n v="1"/>
    <x v="0"/>
  </r>
  <r>
    <x v="4"/>
    <x v="0"/>
    <x v="200"/>
    <n v="2"/>
    <x v="0"/>
  </r>
  <r>
    <x v="3"/>
    <x v="0"/>
    <x v="170"/>
    <n v="2686"/>
    <x v="1"/>
  </r>
  <r>
    <x v="4"/>
    <x v="0"/>
    <x v="52"/>
    <n v="2502"/>
    <x v="1"/>
  </r>
  <r>
    <x v="4"/>
    <x v="0"/>
    <x v="112"/>
    <n v="1"/>
    <x v="0"/>
  </r>
  <r>
    <x v="3"/>
    <x v="0"/>
    <x v="195"/>
    <n v="1"/>
    <x v="0"/>
  </r>
  <r>
    <x v="3"/>
    <x v="0"/>
    <x v="119"/>
    <n v="14"/>
    <x v="0"/>
  </r>
  <r>
    <x v="3"/>
    <x v="0"/>
    <x v="22"/>
    <n v="3345"/>
    <x v="1"/>
  </r>
  <r>
    <x v="4"/>
    <x v="0"/>
    <x v="111"/>
    <n v="2388"/>
    <x v="1"/>
  </r>
  <r>
    <x v="3"/>
    <x v="0"/>
    <x v="36"/>
    <n v="3"/>
    <x v="0"/>
  </r>
  <r>
    <x v="4"/>
    <x v="0"/>
    <x v="47"/>
    <n v="165"/>
    <x v="1"/>
  </r>
  <r>
    <x v="4"/>
    <x v="0"/>
    <x v="106"/>
    <n v="2238"/>
    <x v="1"/>
  </r>
  <r>
    <x v="4"/>
    <x v="0"/>
    <x v="104"/>
    <n v="2464"/>
    <x v="1"/>
  </r>
  <r>
    <x v="3"/>
    <x v="0"/>
    <x v="176"/>
    <n v="1"/>
    <x v="0"/>
  </r>
  <r>
    <x v="4"/>
    <x v="0"/>
    <x v="119"/>
    <n v="7"/>
    <x v="0"/>
  </r>
  <r>
    <x v="4"/>
    <x v="0"/>
    <x v="43"/>
    <n v="5"/>
    <x v="0"/>
  </r>
  <r>
    <x v="3"/>
    <x v="0"/>
    <x v="73"/>
    <n v="695"/>
    <x v="1"/>
  </r>
  <r>
    <x v="3"/>
    <x v="0"/>
    <x v="201"/>
    <n v="1"/>
    <x v="0"/>
  </r>
  <r>
    <x v="3"/>
    <x v="0"/>
    <x v="110"/>
    <n v="7"/>
    <x v="0"/>
  </r>
  <r>
    <x v="3"/>
    <x v="0"/>
    <x v="33"/>
    <n v="150"/>
    <x v="1"/>
  </r>
  <r>
    <x v="4"/>
    <x v="0"/>
    <x v="167"/>
    <n v="2377"/>
    <x v="1"/>
  </r>
  <r>
    <x v="4"/>
    <x v="0"/>
    <x v="180"/>
    <n v="1"/>
    <x v="0"/>
  </r>
  <r>
    <x v="3"/>
    <x v="0"/>
    <x v="152"/>
    <n v="2449"/>
    <x v="1"/>
  </r>
  <r>
    <x v="3"/>
    <x v="0"/>
    <x v="109"/>
    <n v="9"/>
    <x v="0"/>
  </r>
  <r>
    <x v="4"/>
    <x v="0"/>
    <x v="202"/>
    <n v="1"/>
    <x v="0"/>
  </r>
  <r>
    <x v="3"/>
    <x v="0"/>
    <x v="71"/>
    <n v="3403"/>
    <x v="1"/>
  </r>
  <r>
    <x v="3"/>
    <x v="0"/>
    <x v="154"/>
    <n v="711"/>
    <x v="1"/>
  </r>
  <r>
    <x v="3"/>
    <x v="0"/>
    <x v="43"/>
    <n v="11"/>
    <x v="0"/>
  </r>
  <r>
    <x v="4"/>
    <x v="0"/>
    <x v="149"/>
    <n v="2455"/>
    <x v="1"/>
  </r>
  <r>
    <x v="3"/>
    <x v="0"/>
    <x v="64"/>
    <n v="1872"/>
    <x v="1"/>
  </r>
  <r>
    <x v="3"/>
    <x v="0"/>
    <x v="166"/>
    <n v="22"/>
    <x v="0"/>
  </r>
  <r>
    <x v="4"/>
    <x v="0"/>
    <x v="42"/>
    <n v="1"/>
    <x v="0"/>
  </r>
  <r>
    <x v="3"/>
    <x v="0"/>
    <x v="108"/>
    <n v="512"/>
    <x v="1"/>
  </r>
  <r>
    <x v="4"/>
    <x v="0"/>
    <x v="203"/>
    <n v="1"/>
    <x v="0"/>
  </r>
  <r>
    <x v="3"/>
    <x v="0"/>
    <x v="16"/>
    <n v="7"/>
    <x v="0"/>
  </r>
  <r>
    <x v="4"/>
    <x v="0"/>
    <x v="204"/>
    <n v="1"/>
    <x v="0"/>
  </r>
  <r>
    <x v="4"/>
    <x v="0"/>
    <x v="205"/>
    <n v="2"/>
    <x v="0"/>
  </r>
  <r>
    <x v="4"/>
    <x v="0"/>
    <x v="50"/>
    <n v="757"/>
    <x v="1"/>
  </r>
  <r>
    <x v="3"/>
    <x v="0"/>
    <x v="24"/>
    <n v="14"/>
    <x v="0"/>
  </r>
  <r>
    <x v="4"/>
    <x v="0"/>
    <x v="35"/>
    <n v="120"/>
    <x v="1"/>
  </r>
  <r>
    <x v="3"/>
    <x v="0"/>
    <x v="193"/>
    <n v="13"/>
    <x v="0"/>
  </r>
  <r>
    <x v="3"/>
    <x v="0"/>
    <x v="62"/>
    <n v="2244"/>
    <x v="1"/>
  </r>
  <r>
    <x v="3"/>
    <x v="0"/>
    <x v="15"/>
    <n v="5"/>
    <x v="0"/>
  </r>
  <r>
    <x v="3"/>
    <x v="0"/>
    <x v="102"/>
    <n v="2674"/>
    <x v="1"/>
  </r>
  <r>
    <x v="4"/>
    <x v="0"/>
    <x v="40"/>
    <n v="3"/>
    <x v="0"/>
  </r>
  <r>
    <x v="3"/>
    <x v="0"/>
    <x v="206"/>
    <n v="2"/>
    <x v="0"/>
  </r>
  <r>
    <x v="3"/>
    <x v="0"/>
    <x v="190"/>
    <n v="488"/>
    <x v="1"/>
  </r>
  <r>
    <x v="3"/>
    <x v="0"/>
    <x v="159"/>
    <n v="2"/>
    <x v="0"/>
  </r>
  <r>
    <x v="4"/>
    <x v="0"/>
    <x v="123"/>
    <n v="2883"/>
    <x v="1"/>
  </r>
  <r>
    <x v="4"/>
    <x v="0"/>
    <x v="39"/>
    <n v="1"/>
    <x v="0"/>
  </r>
  <r>
    <x v="3"/>
    <x v="0"/>
    <x v="35"/>
    <n v="85"/>
    <x v="0"/>
  </r>
  <r>
    <x v="4"/>
    <x v="0"/>
    <x v="66"/>
    <n v="3389"/>
    <x v="1"/>
  </r>
  <r>
    <x v="4"/>
    <x v="0"/>
    <x v="53"/>
    <n v="42"/>
    <x v="0"/>
  </r>
  <r>
    <x v="4"/>
    <x v="0"/>
    <x v="68"/>
    <n v="2"/>
    <x v="0"/>
  </r>
  <r>
    <x v="3"/>
    <x v="0"/>
    <x v="5"/>
    <n v="1"/>
    <x v="0"/>
  </r>
  <r>
    <x v="3"/>
    <x v="0"/>
    <x v="61"/>
    <n v="903"/>
    <x v="1"/>
  </r>
  <r>
    <x v="3"/>
    <x v="0"/>
    <x v="96"/>
    <n v="79"/>
    <x v="0"/>
  </r>
  <r>
    <x v="4"/>
    <x v="0"/>
    <x v="152"/>
    <n v="2683"/>
    <x v="1"/>
  </r>
  <r>
    <x v="3"/>
    <x v="0"/>
    <x v="98"/>
    <n v="1581"/>
    <x v="1"/>
  </r>
  <r>
    <x v="3"/>
    <x v="0"/>
    <x v="66"/>
    <n v="3383"/>
    <x v="1"/>
  </r>
  <r>
    <x v="4"/>
    <x v="0"/>
    <x v="99"/>
    <n v="2250"/>
    <x v="1"/>
  </r>
  <r>
    <x v="4"/>
    <x v="0"/>
    <x v="23"/>
    <n v="2"/>
    <x v="0"/>
  </r>
  <r>
    <x v="3"/>
    <x v="0"/>
    <x v="140"/>
    <n v="3861"/>
    <x v="1"/>
  </r>
  <r>
    <x v="4"/>
    <x v="0"/>
    <x v="51"/>
    <n v="2274"/>
    <x v="1"/>
  </r>
  <r>
    <x v="4"/>
    <x v="0"/>
    <x v="59"/>
    <n v="117"/>
    <x v="1"/>
  </r>
  <r>
    <x v="4"/>
    <x v="0"/>
    <x v="207"/>
    <n v="5"/>
    <x v="0"/>
  </r>
  <r>
    <x v="4"/>
    <x v="0"/>
    <x v="208"/>
    <n v="5"/>
    <x v="0"/>
  </r>
  <r>
    <x v="3"/>
    <x v="0"/>
    <x v="174"/>
    <n v="1"/>
    <x v="0"/>
  </r>
  <r>
    <x v="4"/>
    <x v="0"/>
    <x v="140"/>
    <n v="3476"/>
    <x v="1"/>
  </r>
  <r>
    <x v="4"/>
    <x v="0"/>
    <x v="70"/>
    <n v="19"/>
    <x v="0"/>
  </r>
  <r>
    <x v="3"/>
    <x v="0"/>
    <x v="137"/>
    <n v="1475"/>
    <x v="1"/>
  </r>
  <r>
    <x v="3"/>
    <x v="0"/>
    <x v="25"/>
    <n v="3"/>
    <x v="0"/>
  </r>
  <r>
    <x v="3"/>
    <x v="0"/>
    <x v="177"/>
    <n v="1"/>
    <x v="0"/>
  </r>
  <r>
    <x v="4"/>
    <x v="0"/>
    <x v="27"/>
    <n v="2204"/>
    <x v="1"/>
  </r>
  <r>
    <x v="3"/>
    <x v="0"/>
    <x v="47"/>
    <n v="230"/>
    <x v="1"/>
  </r>
  <r>
    <x v="3"/>
    <x v="0"/>
    <x v="41"/>
    <n v="3"/>
    <x v="0"/>
  </r>
  <r>
    <x v="4"/>
    <x v="0"/>
    <x v="102"/>
    <n v="2416"/>
    <x v="1"/>
  </r>
  <r>
    <x v="3"/>
    <x v="0"/>
    <x v="142"/>
    <n v="2410"/>
    <x v="1"/>
  </r>
  <r>
    <x v="3"/>
    <x v="0"/>
    <x v="136"/>
    <n v="2784"/>
    <x v="1"/>
  </r>
  <r>
    <x v="4"/>
    <x v="0"/>
    <x v="176"/>
    <n v="1"/>
    <x v="0"/>
  </r>
  <r>
    <x v="3"/>
    <x v="0"/>
    <x v="55"/>
    <n v="6"/>
    <x v="0"/>
  </r>
  <r>
    <x v="4"/>
    <x v="0"/>
    <x v="85"/>
    <n v="645"/>
    <x v="1"/>
  </r>
  <r>
    <x v="4"/>
    <x v="0"/>
    <x v="142"/>
    <n v="2119"/>
    <x v="1"/>
  </r>
  <r>
    <x v="3"/>
    <x v="0"/>
    <x v="84"/>
    <n v="27"/>
    <x v="0"/>
  </r>
  <r>
    <x v="3"/>
    <x v="0"/>
    <x v="12"/>
    <n v="44"/>
    <x v="0"/>
  </r>
  <r>
    <x v="3"/>
    <x v="0"/>
    <x v="11"/>
    <n v="2"/>
    <x v="0"/>
  </r>
  <r>
    <x v="3"/>
    <x v="0"/>
    <x v="82"/>
    <n v="3361"/>
    <x v="1"/>
  </r>
  <r>
    <x v="4"/>
    <x v="0"/>
    <x v="61"/>
    <n v="1001"/>
    <x v="1"/>
  </r>
  <r>
    <x v="3"/>
    <x v="0"/>
    <x v="182"/>
    <n v="2301"/>
    <x v="1"/>
  </r>
  <r>
    <x v="4"/>
    <x v="0"/>
    <x v="151"/>
    <n v="2385"/>
    <x v="1"/>
  </r>
  <r>
    <x v="4"/>
    <x v="0"/>
    <x v="96"/>
    <n v="82"/>
    <x v="0"/>
  </r>
  <r>
    <x v="3"/>
    <x v="0"/>
    <x v="133"/>
    <n v="833"/>
    <x v="1"/>
  </r>
  <r>
    <x v="4"/>
    <x v="0"/>
    <x v="128"/>
    <n v="2311"/>
    <x v="1"/>
  </r>
  <r>
    <x v="4"/>
    <x v="0"/>
    <x v="120"/>
    <n v="44"/>
    <x v="0"/>
  </r>
  <r>
    <x v="3"/>
    <x v="0"/>
    <x v="45"/>
    <n v="92"/>
    <x v="0"/>
  </r>
  <r>
    <x v="4"/>
    <x v="0"/>
    <x v="147"/>
    <n v="839"/>
    <x v="1"/>
  </r>
  <r>
    <x v="4"/>
    <x v="0"/>
    <x v="209"/>
    <n v="1"/>
    <x v="0"/>
  </r>
  <r>
    <x v="3"/>
    <x v="0"/>
    <x v="151"/>
    <n v="2907"/>
    <x v="1"/>
  </r>
  <r>
    <x v="3"/>
    <x v="0"/>
    <x v="106"/>
    <n v="2062"/>
    <x v="1"/>
  </r>
  <r>
    <x v="3"/>
    <x v="0"/>
    <x v="210"/>
    <n v="1"/>
    <x v="0"/>
  </r>
  <r>
    <x v="4"/>
    <x v="0"/>
    <x v="148"/>
    <n v="2777"/>
    <x v="1"/>
  </r>
  <r>
    <x v="4"/>
    <x v="0"/>
    <x v="84"/>
    <n v="15"/>
    <x v="0"/>
  </r>
  <r>
    <x v="3"/>
    <x v="0"/>
    <x v="65"/>
    <n v="419"/>
    <x v="1"/>
  </r>
  <r>
    <x v="4"/>
    <x v="0"/>
    <x v="155"/>
    <n v="1"/>
    <x v="0"/>
  </r>
  <r>
    <x v="3"/>
    <x v="0"/>
    <x v="145"/>
    <n v="3"/>
    <x v="0"/>
  </r>
  <r>
    <x v="3"/>
    <x v="0"/>
    <x v="80"/>
    <n v="26"/>
    <x v="0"/>
  </r>
  <r>
    <x v="3"/>
    <x v="0"/>
    <x v="207"/>
    <n v="14"/>
    <x v="0"/>
  </r>
  <r>
    <x v="4"/>
    <x v="0"/>
    <x v="129"/>
    <n v="2811"/>
    <x v="1"/>
  </r>
  <r>
    <x v="3"/>
    <x v="0"/>
    <x v="95"/>
    <n v="2595"/>
    <x v="1"/>
  </r>
  <r>
    <x v="4"/>
    <x v="0"/>
    <x v="211"/>
    <n v="1"/>
    <x v="0"/>
  </r>
  <r>
    <x v="4"/>
    <x v="0"/>
    <x v="48"/>
    <n v="2384"/>
    <x v="1"/>
  </r>
  <r>
    <x v="4"/>
    <x v="0"/>
    <x v="108"/>
    <n v="551"/>
    <x v="1"/>
  </r>
  <r>
    <x v="3"/>
    <x v="0"/>
    <x v="57"/>
    <n v="9"/>
    <x v="0"/>
  </r>
  <r>
    <x v="3"/>
    <x v="0"/>
    <x v="56"/>
    <n v="2495"/>
    <x v="1"/>
  </r>
  <r>
    <x v="4"/>
    <x v="0"/>
    <x v="150"/>
    <n v="470"/>
    <x v="1"/>
  </r>
  <r>
    <x v="4"/>
    <x v="0"/>
    <x v="163"/>
    <n v="6"/>
    <x v="0"/>
  </r>
  <r>
    <x v="3"/>
    <x v="0"/>
    <x v="212"/>
    <n v="1"/>
    <x v="0"/>
  </r>
  <r>
    <x v="3"/>
    <x v="0"/>
    <x v="162"/>
    <n v="2"/>
    <x v="0"/>
  </r>
  <r>
    <x v="3"/>
    <x v="0"/>
    <x v="197"/>
    <n v="2119"/>
    <x v="1"/>
  </r>
  <r>
    <x v="3"/>
    <x v="0"/>
    <x v="85"/>
    <n v="643"/>
    <x v="1"/>
  </r>
  <r>
    <x v="3"/>
    <x v="0"/>
    <x v="115"/>
    <n v="3754"/>
    <x v="1"/>
  </r>
  <r>
    <x v="3"/>
    <x v="0"/>
    <x v="126"/>
    <n v="309"/>
    <x v="1"/>
  </r>
  <r>
    <x v="4"/>
    <x v="0"/>
    <x v="89"/>
    <n v="2520"/>
    <x v="1"/>
  </r>
  <r>
    <x v="3"/>
    <x v="0"/>
    <x v="9"/>
    <n v="2815"/>
    <x v="1"/>
  </r>
  <r>
    <x v="3"/>
    <x v="0"/>
    <x v="39"/>
    <n v="2"/>
    <x v="0"/>
  </r>
  <r>
    <x v="3"/>
    <x v="0"/>
    <x v="202"/>
    <n v="1"/>
    <x v="0"/>
  </r>
  <r>
    <x v="4"/>
    <x v="0"/>
    <x v="18"/>
    <n v="1"/>
    <x v="0"/>
  </r>
  <r>
    <x v="3"/>
    <x v="0"/>
    <x v="97"/>
    <n v="927"/>
    <x v="1"/>
  </r>
  <r>
    <x v="4"/>
    <x v="0"/>
    <x v="81"/>
    <n v="3"/>
    <x v="0"/>
  </r>
  <r>
    <x v="3"/>
    <x v="0"/>
    <x v="48"/>
    <n v="10"/>
    <x v="0"/>
  </r>
  <r>
    <x v="4"/>
    <x v="0"/>
    <x v="90"/>
    <n v="1289"/>
    <x v="1"/>
  </r>
  <r>
    <x v="3"/>
    <x v="0"/>
    <x v="113"/>
    <n v="2541"/>
    <x v="1"/>
  </r>
  <r>
    <x v="4"/>
    <x v="0"/>
    <x v="161"/>
    <n v="2"/>
    <x v="0"/>
  </r>
  <r>
    <x v="3"/>
    <x v="0"/>
    <x v="78"/>
    <n v="122"/>
    <x v="1"/>
  </r>
  <r>
    <x v="4"/>
    <x v="0"/>
    <x v="54"/>
    <n v="3028"/>
    <x v="1"/>
  </r>
  <r>
    <x v="3"/>
    <x v="0"/>
    <x v="149"/>
    <n v="2438"/>
    <x v="1"/>
  </r>
  <r>
    <x v="3"/>
    <x v="0"/>
    <x v="46"/>
    <n v="3007"/>
    <x v="1"/>
  </r>
  <r>
    <x v="3"/>
    <x v="0"/>
    <x v="165"/>
    <n v="1"/>
    <x v="0"/>
  </r>
  <r>
    <x v="4"/>
    <x v="0"/>
    <x v="15"/>
    <n v="7"/>
    <x v="0"/>
  </r>
  <r>
    <x v="3"/>
    <x v="0"/>
    <x v="53"/>
    <n v="87"/>
    <x v="0"/>
  </r>
  <r>
    <x v="3"/>
    <x v="0"/>
    <x v="117"/>
    <n v="2396"/>
    <x v="1"/>
  </r>
  <r>
    <x v="4"/>
    <x v="0"/>
    <x v="46"/>
    <n v="2806"/>
    <x v="1"/>
  </r>
  <r>
    <x v="3"/>
    <x v="0"/>
    <x v="123"/>
    <n v="2652"/>
    <x v="1"/>
  </r>
  <r>
    <x v="4"/>
    <x v="0"/>
    <x v="80"/>
    <n v="35"/>
    <x v="0"/>
  </r>
  <r>
    <x v="4"/>
    <x v="0"/>
    <x v="31"/>
    <n v="2521"/>
    <x v="1"/>
  </r>
  <r>
    <x v="4"/>
    <x v="0"/>
    <x v="115"/>
    <n v="264"/>
    <x v="1"/>
  </r>
  <r>
    <x v="3"/>
    <x v="0"/>
    <x v="86"/>
    <n v="4708"/>
    <x v="1"/>
  </r>
  <r>
    <x v="3"/>
    <x v="0"/>
    <x v="114"/>
    <n v="116"/>
    <x v="1"/>
  </r>
  <r>
    <x v="4"/>
    <x v="0"/>
    <x v="213"/>
    <n v="2"/>
    <x v="0"/>
  </r>
  <r>
    <x v="4"/>
    <x v="0"/>
    <x v="165"/>
    <n v="1"/>
    <x v="0"/>
  </r>
  <r>
    <x v="3"/>
    <x v="0"/>
    <x v="147"/>
    <n v="857"/>
    <x v="1"/>
  </r>
  <r>
    <x v="3"/>
    <x v="0"/>
    <x v="37"/>
    <n v="845"/>
    <x v="1"/>
  </r>
  <r>
    <x v="3"/>
    <x v="0"/>
    <x v="18"/>
    <n v="1"/>
    <x v="0"/>
  </r>
  <r>
    <x v="4"/>
    <x v="0"/>
    <x v="77"/>
    <n v="6"/>
    <x v="0"/>
  </r>
  <r>
    <x v="3"/>
    <x v="0"/>
    <x v="125"/>
    <n v="113"/>
    <x v="1"/>
  </r>
  <r>
    <x v="4"/>
    <x v="0"/>
    <x v="206"/>
    <n v="1"/>
    <x v="0"/>
  </r>
  <r>
    <x v="4"/>
    <x v="0"/>
    <x v="110"/>
    <n v="3"/>
    <x v="0"/>
  </r>
  <r>
    <x v="3"/>
    <x v="0"/>
    <x v="32"/>
    <n v="8380"/>
    <x v="1"/>
  </r>
  <r>
    <x v="4"/>
    <x v="0"/>
    <x v="113"/>
    <n v="2479"/>
    <x v="1"/>
  </r>
  <r>
    <x v="3"/>
    <x v="0"/>
    <x v="49"/>
    <n v="1"/>
    <x v="0"/>
  </r>
  <r>
    <x v="4"/>
    <x v="0"/>
    <x v="134"/>
    <n v="1142"/>
    <x v="1"/>
  </r>
  <r>
    <x v="3"/>
    <x v="0"/>
    <x v="167"/>
    <n v="2305"/>
    <x v="1"/>
  </r>
  <r>
    <x v="3"/>
    <x v="0"/>
    <x v="58"/>
    <n v="2621"/>
    <x v="1"/>
  </r>
  <r>
    <x v="3"/>
    <x v="0"/>
    <x v="76"/>
    <n v="2"/>
    <x v="0"/>
  </r>
  <r>
    <x v="4"/>
    <x v="0"/>
    <x v="166"/>
    <n v="3"/>
    <x v="0"/>
  </r>
  <r>
    <x v="4"/>
    <x v="0"/>
    <x v="146"/>
    <n v="2585"/>
    <x v="1"/>
  </r>
  <r>
    <x v="4"/>
    <x v="0"/>
    <x v="154"/>
    <n v="53"/>
    <x v="0"/>
  </r>
  <r>
    <x v="3"/>
    <x v="0"/>
    <x v="214"/>
    <n v="2"/>
    <x v="0"/>
  </r>
  <r>
    <x v="3"/>
    <x v="0"/>
    <x v="153"/>
    <n v="2178"/>
    <x v="1"/>
  </r>
  <r>
    <x v="3"/>
    <x v="0"/>
    <x v="199"/>
    <n v="2203"/>
    <x v="1"/>
  </r>
  <r>
    <x v="4"/>
    <x v="0"/>
    <x v="160"/>
    <n v="1"/>
    <x v="0"/>
  </r>
  <r>
    <x v="3"/>
    <x v="0"/>
    <x v="30"/>
    <n v="1138"/>
    <x v="1"/>
  </r>
  <r>
    <x v="3"/>
    <x v="0"/>
    <x v="23"/>
    <n v="1"/>
    <x v="0"/>
  </r>
  <r>
    <x v="3"/>
    <x v="0"/>
    <x v="10"/>
    <n v="769"/>
    <x v="1"/>
  </r>
  <r>
    <x v="4"/>
    <x v="0"/>
    <x v="94"/>
    <n v="2647"/>
    <x v="1"/>
  </r>
  <r>
    <x v="4"/>
    <x v="0"/>
    <x v="56"/>
    <n v="2567"/>
    <x v="1"/>
  </r>
  <r>
    <x v="4"/>
    <x v="0"/>
    <x v="131"/>
    <n v="3175"/>
    <x v="1"/>
  </r>
  <r>
    <x v="4"/>
    <x v="0"/>
    <x v="126"/>
    <n v="73"/>
    <x v="0"/>
  </r>
  <r>
    <x v="3"/>
    <x v="0"/>
    <x v="134"/>
    <n v="1089"/>
    <x v="1"/>
  </r>
  <r>
    <x v="4"/>
    <x v="0"/>
    <x v="79"/>
    <n v="14014"/>
    <x v="1"/>
  </r>
  <r>
    <x v="4"/>
    <x v="0"/>
    <x v="136"/>
    <n v="2650"/>
    <x v="1"/>
  </r>
  <r>
    <x v="4"/>
    <x v="0"/>
    <x v="24"/>
    <n v="4"/>
    <x v="0"/>
  </r>
  <r>
    <x v="4"/>
    <x v="0"/>
    <x v="116"/>
    <n v="523"/>
    <x v="1"/>
  </r>
  <r>
    <x v="4"/>
    <x v="0"/>
    <x v="156"/>
    <n v="1"/>
    <x v="0"/>
  </r>
  <r>
    <x v="3"/>
    <x v="0"/>
    <x v="131"/>
    <n v="3039"/>
    <x v="1"/>
  </r>
  <r>
    <x v="4"/>
    <x v="0"/>
    <x v="10"/>
    <n v="750"/>
    <x v="1"/>
  </r>
  <r>
    <x v="4"/>
    <x v="0"/>
    <x v="135"/>
    <n v="2157"/>
    <x v="1"/>
  </r>
  <r>
    <x v="3"/>
    <x v="0"/>
    <x v="34"/>
    <n v="2"/>
    <x v="0"/>
  </r>
  <r>
    <x v="4"/>
    <x v="0"/>
    <x v="69"/>
    <n v="3183"/>
    <x v="1"/>
  </r>
  <r>
    <x v="3"/>
    <x v="0"/>
    <x v="105"/>
    <n v="2363"/>
    <x v="1"/>
  </r>
  <r>
    <x v="3"/>
    <x v="0"/>
    <x v="127"/>
    <n v="2740"/>
    <x v="1"/>
  </r>
  <r>
    <x v="3"/>
    <x v="0"/>
    <x v="94"/>
    <n v="744"/>
    <x v="1"/>
  </r>
  <r>
    <x v="4"/>
    <x v="0"/>
    <x v="138"/>
    <n v="3079"/>
    <x v="1"/>
  </r>
  <r>
    <x v="3"/>
    <x v="0"/>
    <x v="26"/>
    <n v="2195"/>
    <x v="1"/>
  </r>
  <r>
    <x v="3"/>
    <x v="0"/>
    <x v="129"/>
    <n v="2373"/>
    <x v="1"/>
  </r>
  <r>
    <x v="3"/>
    <x v="0"/>
    <x v="8"/>
    <n v="3018"/>
    <x v="1"/>
  </r>
  <r>
    <x v="3"/>
    <x v="0"/>
    <x v="74"/>
    <n v="2082"/>
    <x v="1"/>
  </r>
  <r>
    <x v="4"/>
    <x v="0"/>
    <x v="83"/>
    <n v="2"/>
    <x v="0"/>
  </r>
  <r>
    <x v="4"/>
    <x v="0"/>
    <x v="58"/>
    <n v="2636"/>
    <x v="1"/>
  </r>
  <r>
    <x v="4"/>
    <x v="0"/>
    <x v="124"/>
    <n v="2617"/>
    <x v="1"/>
  </r>
  <r>
    <x v="3"/>
    <x v="0"/>
    <x v="112"/>
    <n v="1"/>
    <x v="0"/>
  </r>
  <r>
    <x v="4"/>
    <x v="0"/>
    <x v="30"/>
    <n v="1366"/>
    <x v="1"/>
  </r>
  <r>
    <x v="4"/>
    <x v="0"/>
    <x v="7"/>
    <n v="3145"/>
    <x v="1"/>
  </r>
  <r>
    <x v="3"/>
    <x v="0"/>
    <x v="75"/>
    <n v="989"/>
    <x v="1"/>
  </r>
  <r>
    <x v="3"/>
    <x v="0"/>
    <x v="51"/>
    <n v="2121"/>
    <x v="1"/>
  </r>
  <r>
    <x v="4"/>
    <x v="0"/>
    <x v="12"/>
    <n v="51"/>
    <x v="0"/>
  </r>
  <r>
    <x v="3"/>
    <x v="0"/>
    <x v="67"/>
    <n v="1"/>
    <x v="0"/>
  </r>
  <r>
    <x v="3"/>
    <x v="0"/>
    <x v="122"/>
    <n v="21"/>
    <x v="0"/>
  </r>
  <r>
    <x v="4"/>
    <x v="0"/>
    <x v="26"/>
    <n v="2322"/>
    <x v="1"/>
  </r>
  <r>
    <x v="3"/>
    <x v="0"/>
    <x v="50"/>
    <n v="24"/>
    <x v="0"/>
  </r>
  <r>
    <x v="3"/>
    <x v="0"/>
    <x v="104"/>
    <n v="4097"/>
    <x v="1"/>
  </r>
  <r>
    <x v="4"/>
    <x v="0"/>
    <x v="170"/>
    <n v="2410"/>
    <x v="1"/>
  </r>
  <r>
    <x v="4"/>
    <x v="0"/>
    <x v="159"/>
    <n v="1"/>
    <x v="0"/>
  </r>
  <r>
    <x v="3"/>
    <x v="0"/>
    <x v="172"/>
    <n v="1514"/>
    <x v="1"/>
  </r>
  <r>
    <x v="3"/>
    <x v="0"/>
    <x v="175"/>
    <n v="1"/>
    <x v="0"/>
  </r>
  <r>
    <x v="3"/>
    <x v="0"/>
    <x v="138"/>
    <n v="7"/>
    <x v="0"/>
  </r>
  <r>
    <x v="4"/>
    <x v="0"/>
    <x v="145"/>
    <n v="2681"/>
    <x v="1"/>
  </r>
  <r>
    <x v="3"/>
    <x v="0"/>
    <x v="40"/>
    <n v="4"/>
    <x v="0"/>
  </r>
  <r>
    <x v="4"/>
    <x v="0"/>
    <x v="20"/>
    <n v="3"/>
    <x v="0"/>
  </r>
  <r>
    <x v="4"/>
    <x v="0"/>
    <x v="38"/>
    <n v="3415"/>
    <x v="1"/>
  </r>
  <r>
    <x v="4"/>
    <x v="0"/>
    <x v="78"/>
    <n v="121"/>
    <x v="1"/>
  </r>
  <r>
    <x v="4"/>
    <x v="0"/>
    <x v="28"/>
    <n v="2254"/>
    <x v="1"/>
  </r>
  <r>
    <x v="3"/>
    <x v="0"/>
    <x v="180"/>
    <n v="2"/>
    <x v="0"/>
  </r>
  <r>
    <x v="3"/>
    <x v="0"/>
    <x v="148"/>
    <n v="2659"/>
    <x v="1"/>
  </r>
  <r>
    <x v="4"/>
    <x v="0"/>
    <x v="122"/>
    <n v="16"/>
    <x v="0"/>
  </r>
  <r>
    <x v="3"/>
    <x v="0"/>
    <x v="181"/>
    <n v="131"/>
    <x v="1"/>
  </r>
  <r>
    <x v="4"/>
    <x v="0"/>
    <x v="33"/>
    <n v="2339"/>
    <x v="1"/>
  </r>
  <r>
    <x v="3"/>
    <x v="0"/>
    <x v="168"/>
    <n v="238"/>
    <x v="1"/>
  </r>
  <r>
    <x v="3"/>
    <x v="0"/>
    <x v="184"/>
    <n v="2033"/>
    <x v="1"/>
  </r>
  <r>
    <x v="4"/>
    <x v="0"/>
    <x v="3"/>
    <n v="882"/>
    <x v="1"/>
  </r>
  <r>
    <x v="4"/>
    <x v="0"/>
    <x v="57"/>
    <n v="8"/>
    <x v="0"/>
  </r>
  <r>
    <x v="3"/>
    <x v="0"/>
    <x v="215"/>
    <n v="1"/>
    <x v="0"/>
  </r>
  <r>
    <x v="3"/>
    <x v="0"/>
    <x v="139"/>
    <n v="2631"/>
    <x v="1"/>
  </r>
  <r>
    <x v="3"/>
    <x v="0"/>
    <x v="211"/>
    <n v="1"/>
    <x v="0"/>
  </r>
  <r>
    <x v="4"/>
    <x v="0"/>
    <x v="141"/>
    <n v="2170"/>
    <x v="1"/>
  </r>
  <r>
    <x v="4"/>
    <x v="0"/>
    <x v="1"/>
    <n v="31"/>
    <x v="0"/>
  </r>
  <r>
    <x v="3"/>
    <x v="0"/>
    <x v="38"/>
    <n v="3438"/>
    <x v="1"/>
  </r>
  <r>
    <x v="4"/>
    <x v="0"/>
    <x v="75"/>
    <n v="1041"/>
    <x v="1"/>
  </r>
  <r>
    <x v="3"/>
    <x v="0"/>
    <x v="161"/>
    <n v="1"/>
    <x v="0"/>
  </r>
  <r>
    <x v="3"/>
    <x v="0"/>
    <x v="52"/>
    <n v="2409"/>
    <x v="1"/>
  </r>
  <r>
    <x v="3"/>
    <x v="0"/>
    <x v="132"/>
    <n v="4"/>
    <x v="0"/>
  </r>
  <r>
    <x v="3"/>
    <x v="0"/>
    <x v="169"/>
    <n v="1"/>
    <x v="0"/>
  </r>
  <r>
    <x v="4"/>
    <x v="0"/>
    <x v="169"/>
    <n v="1"/>
    <x v="0"/>
  </r>
  <r>
    <x v="4"/>
    <x v="0"/>
    <x v="162"/>
    <n v="1"/>
    <x v="0"/>
  </r>
  <r>
    <x v="3"/>
    <x v="0"/>
    <x v="185"/>
    <n v="1900"/>
    <x v="1"/>
  </r>
  <r>
    <x v="3"/>
    <x v="0"/>
    <x v="116"/>
    <n v="2147"/>
    <x v="1"/>
  </r>
  <r>
    <x v="4"/>
    <x v="0"/>
    <x v="118"/>
    <n v="2846"/>
    <x v="1"/>
  </r>
  <r>
    <x v="3"/>
    <x v="0"/>
    <x v="196"/>
    <n v="2"/>
    <x v="0"/>
  </r>
  <r>
    <x v="4"/>
    <x v="0"/>
    <x v="139"/>
    <n v="2651"/>
    <x v="1"/>
  </r>
  <r>
    <x v="3"/>
    <x v="0"/>
    <x v="90"/>
    <n v="1274"/>
    <x v="1"/>
  </r>
  <r>
    <x v="4"/>
    <x v="0"/>
    <x v="67"/>
    <n v="1"/>
    <x v="0"/>
  </r>
  <r>
    <x v="4"/>
    <x v="0"/>
    <x v="103"/>
    <n v="1373"/>
    <x v="1"/>
  </r>
  <r>
    <x v="4"/>
    <x v="0"/>
    <x v="93"/>
    <n v="2753"/>
    <x v="1"/>
  </r>
  <r>
    <x v="3"/>
    <x v="0"/>
    <x v="87"/>
    <n v="2340"/>
    <x v="1"/>
  </r>
  <r>
    <x v="3"/>
    <x v="0"/>
    <x v="27"/>
    <n v="2159"/>
    <x v="1"/>
  </r>
  <r>
    <x v="3"/>
    <x v="0"/>
    <x v="135"/>
    <n v="2200"/>
    <x v="1"/>
  </r>
  <r>
    <x v="4"/>
    <x v="0"/>
    <x v="72"/>
    <n v="2935"/>
    <x v="1"/>
  </r>
  <r>
    <x v="3"/>
    <x v="0"/>
    <x v="179"/>
    <n v="5"/>
    <x v="0"/>
  </r>
  <r>
    <x v="3"/>
    <x v="0"/>
    <x v="54"/>
    <n v="20"/>
    <x v="0"/>
  </r>
  <r>
    <x v="4"/>
    <x v="0"/>
    <x v="13"/>
    <n v="3"/>
    <x v="0"/>
  </r>
  <r>
    <x v="3"/>
    <x v="0"/>
    <x v="99"/>
    <n v="2289"/>
    <x v="1"/>
  </r>
  <r>
    <x v="4"/>
    <x v="0"/>
    <x v="82"/>
    <n v="3531"/>
    <x v="1"/>
  </r>
  <r>
    <x v="3"/>
    <x v="0"/>
    <x v="146"/>
    <n v="327"/>
    <x v="1"/>
  </r>
  <r>
    <x v="4"/>
    <x v="0"/>
    <x v="143"/>
    <n v="1903"/>
    <x v="1"/>
  </r>
  <r>
    <x v="4"/>
    <x v="0"/>
    <x v="87"/>
    <n v="10"/>
    <x v="0"/>
  </r>
  <r>
    <x v="3"/>
    <x v="0"/>
    <x v="150"/>
    <n v="2694"/>
    <x v="1"/>
  </r>
  <r>
    <x v="3"/>
    <x v="0"/>
    <x v="213"/>
    <n v="2"/>
    <x v="0"/>
  </r>
  <r>
    <x v="3"/>
    <x v="0"/>
    <x v="188"/>
    <n v="2107"/>
    <x v="1"/>
  </r>
  <r>
    <x v="4"/>
    <x v="0"/>
    <x v="22"/>
    <n v="3436"/>
    <x v="1"/>
  </r>
  <r>
    <x v="4"/>
    <x v="0"/>
    <x v="117"/>
    <n v="2427"/>
    <x v="1"/>
  </r>
  <r>
    <x v="4"/>
    <x v="0"/>
    <x v="37"/>
    <n v="916"/>
    <x v="1"/>
  </r>
  <r>
    <x v="3"/>
    <x v="0"/>
    <x v="7"/>
    <n v="3126"/>
    <x v="1"/>
  </r>
  <r>
    <x v="3"/>
    <x v="0"/>
    <x v="157"/>
    <n v="2"/>
    <x v="0"/>
  </r>
  <r>
    <x v="4"/>
    <x v="0"/>
    <x v="9"/>
    <n v="2779"/>
    <x v="1"/>
  </r>
  <r>
    <x v="4"/>
    <x v="0"/>
    <x v="125"/>
    <n v="55"/>
    <x v="0"/>
  </r>
  <r>
    <x v="4"/>
    <x v="0"/>
    <x v="0"/>
    <n v="42"/>
    <x v="0"/>
  </r>
  <r>
    <x v="3"/>
    <x v="0"/>
    <x v="178"/>
    <n v="1"/>
    <x v="0"/>
  </r>
  <r>
    <x v="4"/>
    <x v="0"/>
    <x v="105"/>
    <n v="2547"/>
    <x v="1"/>
  </r>
  <r>
    <x v="4"/>
    <x v="0"/>
    <x v="4"/>
    <n v="3"/>
    <x v="0"/>
  </r>
  <r>
    <x v="3"/>
    <x v="0"/>
    <x v="189"/>
    <n v="2928"/>
    <x v="1"/>
  </r>
  <r>
    <x v="4"/>
    <x v="0"/>
    <x v="55"/>
    <n v="7"/>
    <x v="0"/>
  </r>
  <r>
    <x v="4"/>
    <x v="0"/>
    <x v="14"/>
    <n v="120"/>
    <x v="1"/>
  </r>
  <r>
    <x v="3"/>
    <x v="0"/>
    <x v="13"/>
    <n v="3"/>
    <x v="0"/>
  </r>
  <r>
    <x v="3"/>
    <x v="0"/>
    <x v="93"/>
    <n v="42"/>
    <x v="0"/>
  </r>
  <r>
    <x v="3"/>
    <x v="0"/>
    <x v="31"/>
    <n v="2673"/>
    <x v="1"/>
  </r>
  <r>
    <x v="3"/>
    <x v="0"/>
    <x v="204"/>
    <n v="1"/>
    <x v="0"/>
  </r>
  <r>
    <x v="3"/>
    <x v="0"/>
    <x v="101"/>
    <n v="1"/>
    <x v="0"/>
  </r>
  <r>
    <x v="3"/>
    <x v="0"/>
    <x v="103"/>
    <n v="842"/>
    <x v="1"/>
  </r>
  <r>
    <x v="4"/>
    <x v="0"/>
    <x v="91"/>
    <n v="4178"/>
    <x v="1"/>
  </r>
  <r>
    <x v="3"/>
    <x v="0"/>
    <x v="120"/>
    <n v="420"/>
    <x v="1"/>
  </r>
  <r>
    <x v="3"/>
    <x v="0"/>
    <x v="68"/>
    <n v="3"/>
    <x v="0"/>
  </r>
  <r>
    <x v="4"/>
    <x v="0"/>
    <x v="196"/>
    <n v="1"/>
    <x v="0"/>
  </r>
  <r>
    <x v="4"/>
    <x v="0"/>
    <x v="73"/>
    <n v="593"/>
    <x v="1"/>
  </r>
  <r>
    <x v="4"/>
    <x v="0"/>
    <x v="62"/>
    <n v="2450"/>
    <x v="1"/>
  </r>
  <r>
    <x v="3"/>
    <x v="0"/>
    <x v="14"/>
    <n v="69"/>
    <x v="0"/>
  </r>
  <r>
    <x v="3"/>
    <x v="0"/>
    <x v="124"/>
    <n v="2742"/>
    <x v="1"/>
  </r>
  <r>
    <x v="4"/>
    <x v="0"/>
    <x v="11"/>
    <n v="2"/>
    <x v="0"/>
  </r>
  <r>
    <x v="3"/>
    <x v="0"/>
    <x v="19"/>
    <n v="242"/>
    <x v="1"/>
  </r>
  <r>
    <x v="4"/>
    <x v="0"/>
    <x v="5"/>
    <n v="1"/>
    <x v="0"/>
  </r>
  <r>
    <x v="4"/>
    <x v="0"/>
    <x v="127"/>
    <n v="2877"/>
    <x v="1"/>
  </r>
  <r>
    <x v="3"/>
    <x v="0"/>
    <x v="44"/>
    <n v="2947"/>
    <x v="1"/>
  </r>
  <r>
    <x v="4"/>
    <x v="0"/>
    <x v="34"/>
    <n v="2"/>
    <x v="0"/>
  </r>
  <r>
    <x v="4"/>
    <x v="0"/>
    <x v="101"/>
    <n v="1"/>
    <x v="0"/>
  </r>
  <r>
    <x v="4"/>
    <x v="0"/>
    <x v="74"/>
    <n v="2200"/>
    <x v="1"/>
  </r>
  <r>
    <x v="3"/>
    <x v="0"/>
    <x v="3"/>
    <n v="888"/>
    <x v="1"/>
  </r>
  <r>
    <x v="4"/>
    <x v="0"/>
    <x v="137"/>
    <n v="1404"/>
    <x v="1"/>
  </r>
  <r>
    <x v="3"/>
    <x v="0"/>
    <x v="89"/>
    <n v="2513"/>
    <x v="1"/>
  </r>
  <r>
    <x v="3"/>
    <x v="0"/>
    <x v="59"/>
    <n v="186"/>
    <x v="1"/>
  </r>
  <r>
    <x v="3"/>
    <x v="0"/>
    <x v="173"/>
    <n v="1"/>
    <x v="0"/>
  </r>
  <r>
    <x v="4"/>
    <x v="0"/>
    <x v="157"/>
    <n v="1"/>
    <x v="0"/>
  </r>
  <r>
    <x v="4"/>
    <x v="0"/>
    <x v="8"/>
    <n v="3273"/>
    <x v="1"/>
  </r>
  <r>
    <x v="4"/>
    <x v="0"/>
    <x v="216"/>
    <n v="1"/>
    <x v="0"/>
  </r>
  <r>
    <x v="3"/>
    <x v="0"/>
    <x v="121"/>
    <n v="2277"/>
    <x v="1"/>
  </r>
  <r>
    <x v="3"/>
    <x v="0"/>
    <x v="118"/>
    <n v="2817"/>
    <x v="1"/>
  </r>
  <r>
    <x v="4"/>
    <x v="0"/>
    <x v="201"/>
    <n v="1"/>
    <x v="0"/>
  </r>
  <r>
    <x v="3"/>
    <x v="0"/>
    <x v="69"/>
    <n v="3223"/>
    <x v="1"/>
  </r>
  <r>
    <x v="3"/>
    <x v="0"/>
    <x v="21"/>
    <n v="2952"/>
    <x v="1"/>
  </r>
  <r>
    <x v="4"/>
    <x v="0"/>
    <x v="36"/>
    <n v="4"/>
    <x v="0"/>
  </r>
  <r>
    <x v="3"/>
    <x v="0"/>
    <x v="81"/>
    <n v="5"/>
    <x v="0"/>
  </r>
  <r>
    <x v="4"/>
    <x v="0"/>
    <x v="132"/>
    <n v="3"/>
    <x v="0"/>
  </r>
  <r>
    <x v="3"/>
    <x v="0"/>
    <x v="2"/>
    <n v="2970"/>
    <x v="1"/>
  </r>
  <r>
    <x v="3"/>
    <x v="0"/>
    <x v="1"/>
    <n v="27"/>
    <x v="0"/>
  </r>
  <r>
    <x v="4"/>
    <x v="0"/>
    <x v="2"/>
    <n v="4900"/>
    <x v="1"/>
  </r>
  <r>
    <x v="4"/>
    <x v="0"/>
    <x v="6"/>
    <n v="1"/>
    <x v="0"/>
  </r>
  <r>
    <x v="4"/>
    <x v="0"/>
    <x v="98"/>
    <n v="1547"/>
    <x v="1"/>
  </r>
  <r>
    <x v="4"/>
    <x v="0"/>
    <x v="16"/>
    <n v="99"/>
    <x v="0"/>
  </r>
  <r>
    <x v="4"/>
    <x v="0"/>
    <x v="107"/>
    <n v="8"/>
    <x v="0"/>
  </r>
  <r>
    <x v="3"/>
    <x v="0"/>
    <x v="79"/>
    <n v="8627"/>
    <x v="1"/>
  </r>
  <r>
    <x v="3"/>
    <x v="0"/>
    <x v="187"/>
    <n v="782"/>
    <x v="1"/>
  </r>
  <r>
    <x v="3"/>
    <x v="0"/>
    <x v="70"/>
    <n v="23"/>
    <x v="0"/>
  </r>
  <r>
    <x v="3"/>
    <x v="0"/>
    <x v="17"/>
    <n v="498"/>
    <x v="1"/>
  </r>
  <r>
    <x v="3"/>
    <x v="0"/>
    <x v="0"/>
    <n v="38"/>
    <x v="0"/>
  </r>
  <r>
    <x v="3"/>
    <x v="0"/>
    <x v="4"/>
    <n v="2"/>
    <x v="0"/>
  </r>
  <r>
    <x v="3"/>
    <x v="0"/>
    <x v="77"/>
    <n v="4"/>
    <x v="0"/>
  </r>
  <r>
    <x v="4"/>
    <x v="0"/>
    <x v="60"/>
    <n v="1"/>
    <x v="0"/>
  </r>
  <r>
    <x v="4"/>
    <x v="0"/>
    <x v="217"/>
    <n v="1"/>
    <x v="0"/>
  </r>
  <r>
    <x v="4"/>
    <x v="0"/>
    <x v="45"/>
    <n v="78"/>
    <x v="0"/>
  </r>
  <r>
    <x v="4"/>
    <x v="0"/>
    <x v="218"/>
    <n v="1"/>
    <x v="0"/>
  </r>
  <r>
    <x v="3"/>
    <x v="0"/>
    <x v="91"/>
    <n v="15"/>
    <x v="0"/>
  </r>
  <r>
    <x v="4"/>
    <x v="0"/>
    <x v="86"/>
    <n v="2654"/>
    <x v="1"/>
  </r>
  <r>
    <x v="4"/>
    <x v="0"/>
    <x v="21"/>
    <n v="2841"/>
    <x v="1"/>
  </r>
  <r>
    <x v="4"/>
    <x v="0"/>
    <x v="100"/>
    <n v="1"/>
    <x v="0"/>
  </r>
  <r>
    <x v="3"/>
    <x v="0"/>
    <x v="28"/>
    <n v="2462"/>
    <x v="1"/>
  </r>
  <r>
    <x v="4"/>
    <x v="0"/>
    <x v="88"/>
    <n v="2595"/>
    <x v="1"/>
  </r>
  <r>
    <x v="4"/>
    <x v="0"/>
    <x v="97"/>
    <n v="948"/>
    <x v="1"/>
  </r>
  <r>
    <x v="3"/>
    <x v="0"/>
    <x v="205"/>
    <n v="2"/>
    <x v="0"/>
  </r>
  <r>
    <x v="4"/>
    <x v="0"/>
    <x v="133"/>
    <n v="2939"/>
    <x v="1"/>
  </r>
  <r>
    <x v="3"/>
    <x v="0"/>
    <x v="186"/>
    <n v="1051"/>
    <x v="1"/>
  </r>
  <r>
    <x v="3"/>
    <x v="0"/>
    <x v="183"/>
    <n v="292"/>
    <x v="1"/>
  </r>
  <r>
    <x v="3"/>
    <x v="0"/>
    <x v="111"/>
    <n v="2360"/>
    <x v="1"/>
  </r>
  <r>
    <x v="4"/>
    <x v="0"/>
    <x v="29"/>
    <n v="12"/>
    <x v="0"/>
  </r>
  <r>
    <x v="4"/>
    <x v="0"/>
    <x v="25"/>
    <n v="4"/>
    <x v="0"/>
  </r>
  <r>
    <x v="4"/>
    <x v="0"/>
    <x v="32"/>
    <n v="15394"/>
    <x v="1"/>
  </r>
  <r>
    <x v="3"/>
    <x v="0"/>
    <x v="194"/>
    <n v="1"/>
    <x v="0"/>
  </r>
  <r>
    <x v="4"/>
    <x v="0"/>
    <x v="49"/>
    <n v="3"/>
    <x v="0"/>
  </r>
  <r>
    <x v="4"/>
    <x v="0"/>
    <x v="144"/>
    <n v="2729"/>
    <x v="1"/>
  </r>
  <r>
    <x v="4"/>
    <x v="0"/>
    <x v="71"/>
    <n v="3374"/>
    <x v="1"/>
  </r>
  <r>
    <x v="3"/>
    <x v="0"/>
    <x v="143"/>
    <n v="3829"/>
    <x v="1"/>
  </r>
  <r>
    <x v="4"/>
    <x v="0"/>
    <x v="95"/>
    <n v="2721"/>
    <x v="1"/>
  </r>
  <r>
    <x v="3"/>
    <x v="0"/>
    <x v="128"/>
    <n v="100"/>
    <x v="1"/>
  </r>
  <r>
    <x v="3"/>
    <x v="0"/>
    <x v="198"/>
    <n v="2338"/>
    <x v="1"/>
  </r>
  <r>
    <x v="3"/>
    <x v="0"/>
    <x v="164"/>
    <n v="173"/>
    <x v="1"/>
  </r>
  <r>
    <x v="3"/>
    <x v="0"/>
    <x v="158"/>
    <n v="1"/>
    <x v="0"/>
  </r>
  <r>
    <x v="4"/>
    <x v="0"/>
    <x v="41"/>
    <n v="5"/>
    <x v="0"/>
  </r>
  <r>
    <x v="4"/>
    <x v="0"/>
    <x v="63"/>
    <n v="516"/>
    <x v="1"/>
  </r>
  <r>
    <x v="3"/>
    <x v="0"/>
    <x v="88"/>
    <n v="2723"/>
    <x v="1"/>
  </r>
  <r>
    <x v="3"/>
    <x v="0"/>
    <x v="141"/>
    <n v="2197"/>
    <x v="1"/>
  </r>
  <r>
    <x v="4"/>
    <x v="0"/>
    <x v="109"/>
    <n v="2114"/>
    <x v="1"/>
  </r>
  <r>
    <x v="4"/>
    <x v="0"/>
    <x v="19"/>
    <n v="227"/>
    <x v="1"/>
  </r>
  <r>
    <x v="4"/>
    <x v="0"/>
    <x v="17"/>
    <n v="3844"/>
    <x v="1"/>
  </r>
  <r>
    <x v="4"/>
    <x v="0"/>
    <x v="114"/>
    <n v="86"/>
    <x v="0"/>
  </r>
  <r>
    <x v="3"/>
    <x v="0"/>
    <x v="92"/>
    <n v="8"/>
    <x v="0"/>
  </r>
  <r>
    <x v="3"/>
    <x v="0"/>
    <x v="100"/>
    <n v="1"/>
    <x v="0"/>
  </r>
  <r>
    <x v="3"/>
    <x v="0"/>
    <x v="160"/>
    <n v="3"/>
    <x v="0"/>
  </r>
  <r>
    <x v="3"/>
    <x v="0"/>
    <x v="29"/>
    <n v="1"/>
    <x v="0"/>
  </r>
  <r>
    <x v="3"/>
    <x v="0"/>
    <x v="63"/>
    <n v="550"/>
    <x v="1"/>
  </r>
  <r>
    <x v="3"/>
    <x v="0"/>
    <x v="191"/>
    <n v="2930"/>
    <x v="1"/>
  </r>
  <r>
    <x v="3"/>
    <x v="0"/>
    <x v="144"/>
    <n v="2785"/>
    <x v="1"/>
  </r>
  <r>
    <x v="4"/>
    <x v="0"/>
    <x v="64"/>
    <n v="2135"/>
    <x v="1"/>
  </r>
  <r>
    <x v="3"/>
    <x v="0"/>
    <x v="192"/>
    <n v="3063"/>
    <x v="1"/>
  </r>
  <r>
    <x v="3"/>
    <x v="0"/>
    <x v="208"/>
    <n v="5"/>
    <x v="0"/>
  </r>
  <r>
    <x v="3"/>
    <x v="0"/>
    <x v="217"/>
    <n v="1"/>
    <x v="0"/>
  </r>
  <r>
    <x v="3"/>
    <x v="0"/>
    <x v="107"/>
    <n v="7"/>
    <x v="0"/>
  </r>
  <r>
    <x v="4"/>
    <x v="0"/>
    <x v="92"/>
    <n v="9"/>
    <x v="0"/>
  </r>
  <r>
    <x v="4"/>
    <x v="0"/>
    <x v="76"/>
    <n v="3"/>
    <x v="0"/>
  </r>
  <r>
    <x v="5"/>
    <x v="0"/>
    <x v="151"/>
    <n v="2365"/>
    <x v="1"/>
  </r>
  <r>
    <x v="6"/>
    <x v="0"/>
    <x v="33"/>
    <n v="148"/>
    <x v="1"/>
  </r>
  <r>
    <x v="6"/>
    <x v="0"/>
    <x v="98"/>
    <n v="1419"/>
    <x v="1"/>
  </r>
  <r>
    <x v="5"/>
    <x v="0"/>
    <x v="109"/>
    <n v="10"/>
    <x v="0"/>
  </r>
  <r>
    <x v="5"/>
    <x v="0"/>
    <x v="171"/>
    <n v="2094"/>
    <x v="1"/>
  </r>
  <r>
    <x v="6"/>
    <x v="0"/>
    <x v="41"/>
    <n v="2"/>
    <x v="0"/>
  </r>
  <r>
    <x v="5"/>
    <x v="0"/>
    <x v="33"/>
    <n v="2250"/>
    <x v="1"/>
  </r>
  <r>
    <x v="5"/>
    <x v="0"/>
    <x v="162"/>
    <n v="1"/>
    <x v="0"/>
  </r>
  <r>
    <x v="5"/>
    <x v="0"/>
    <x v="53"/>
    <n v="45"/>
    <x v="0"/>
  </r>
  <r>
    <x v="6"/>
    <x v="0"/>
    <x v="80"/>
    <n v="24"/>
    <x v="0"/>
  </r>
  <r>
    <x v="5"/>
    <x v="0"/>
    <x v="43"/>
    <n v="8"/>
    <x v="0"/>
  </r>
  <r>
    <x v="6"/>
    <x v="0"/>
    <x v="170"/>
    <n v="2678"/>
    <x v="1"/>
  </r>
  <r>
    <x v="5"/>
    <x v="0"/>
    <x v="112"/>
    <n v="1"/>
    <x v="0"/>
  </r>
  <r>
    <x v="5"/>
    <x v="0"/>
    <x v="208"/>
    <n v="5"/>
    <x v="0"/>
  </r>
  <r>
    <x v="6"/>
    <x v="0"/>
    <x v="155"/>
    <n v="1"/>
    <x v="0"/>
  </r>
  <r>
    <x v="5"/>
    <x v="0"/>
    <x v="213"/>
    <n v="2"/>
    <x v="0"/>
  </r>
  <r>
    <x v="6"/>
    <x v="0"/>
    <x v="153"/>
    <n v="2137"/>
    <x v="1"/>
  </r>
  <r>
    <x v="6"/>
    <x v="0"/>
    <x v="126"/>
    <n v="193"/>
    <x v="1"/>
  </r>
  <r>
    <x v="6"/>
    <x v="0"/>
    <x v="82"/>
    <n v="3234"/>
    <x v="1"/>
  </r>
  <r>
    <x v="5"/>
    <x v="0"/>
    <x v="24"/>
    <n v="4"/>
    <x v="0"/>
  </r>
  <r>
    <x v="5"/>
    <x v="0"/>
    <x v="98"/>
    <n v="1560"/>
    <x v="1"/>
  </r>
  <r>
    <x v="5"/>
    <x v="0"/>
    <x v="15"/>
    <n v="5"/>
    <x v="0"/>
  </r>
  <r>
    <x v="5"/>
    <x v="0"/>
    <x v="161"/>
    <n v="2"/>
    <x v="0"/>
  </r>
  <r>
    <x v="6"/>
    <x v="0"/>
    <x v="211"/>
    <n v="1"/>
    <x v="0"/>
  </r>
  <r>
    <x v="5"/>
    <x v="0"/>
    <x v="0"/>
    <n v="42"/>
    <x v="0"/>
  </r>
  <r>
    <x v="5"/>
    <x v="0"/>
    <x v="61"/>
    <n v="983"/>
    <x v="1"/>
  </r>
  <r>
    <x v="6"/>
    <x v="0"/>
    <x v="85"/>
    <n v="634"/>
    <x v="1"/>
  </r>
  <r>
    <x v="5"/>
    <x v="0"/>
    <x v="90"/>
    <n v="1275"/>
    <x v="1"/>
  </r>
  <r>
    <x v="6"/>
    <x v="0"/>
    <x v="113"/>
    <n v="2524"/>
    <x v="1"/>
  </r>
  <r>
    <x v="5"/>
    <x v="0"/>
    <x v="22"/>
    <n v="3401"/>
    <x v="1"/>
  </r>
  <r>
    <x v="6"/>
    <x v="0"/>
    <x v="174"/>
    <n v="1"/>
    <x v="0"/>
  </r>
  <r>
    <x v="5"/>
    <x v="0"/>
    <x v="106"/>
    <n v="2176"/>
    <x v="1"/>
  </r>
  <r>
    <x v="5"/>
    <x v="0"/>
    <x v="19"/>
    <n v="224"/>
    <x v="1"/>
  </r>
  <r>
    <x v="6"/>
    <x v="0"/>
    <x v="150"/>
    <n v="2779"/>
    <x v="1"/>
  </r>
  <r>
    <x v="6"/>
    <x v="0"/>
    <x v="217"/>
    <n v="1"/>
    <x v="0"/>
  </r>
  <r>
    <x v="5"/>
    <x v="0"/>
    <x v="118"/>
    <n v="2854"/>
    <x v="1"/>
  </r>
  <r>
    <x v="6"/>
    <x v="0"/>
    <x v="11"/>
    <n v="2"/>
    <x v="0"/>
  </r>
  <r>
    <x v="6"/>
    <x v="0"/>
    <x v="159"/>
    <n v="2"/>
    <x v="0"/>
  </r>
  <r>
    <x v="5"/>
    <x v="0"/>
    <x v="45"/>
    <n v="77"/>
    <x v="0"/>
  </r>
  <r>
    <x v="6"/>
    <x v="0"/>
    <x v="24"/>
    <n v="14"/>
    <x v="0"/>
  </r>
  <r>
    <x v="6"/>
    <x v="0"/>
    <x v="147"/>
    <n v="854"/>
    <x v="1"/>
  </r>
  <r>
    <x v="5"/>
    <x v="0"/>
    <x v="99"/>
    <n v="2227"/>
    <x v="1"/>
  </r>
  <r>
    <x v="6"/>
    <x v="0"/>
    <x v="92"/>
    <n v="8"/>
    <x v="0"/>
  </r>
  <r>
    <x v="6"/>
    <x v="0"/>
    <x v="39"/>
    <n v="2"/>
    <x v="0"/>
  </r>
  <r>
    <x v="6"/>
    <x v="0"/>
    <x v="103"/>
    <n v="718"/>
    <x v="1"/>
  </r>
  <r>
    <x v="6"/>
    <x v="0"/>
    <x v="161"/>
    <n v="2"/>
    <x v="0"/>
  </r>
  <r>
    <x v="6"/>
    <x v="0"/>
    <x v="115"/>
    <n v="3699"/>
    <x v="1"/>
  </r>
  <r>
    <x v="6"/>
    <x v="0"/>
    <x v="119"/>
    <n v="14"/>
    <x v="0"/>
  </r>
  <r>
    <x v="5"/>
    <x v="0"/>
    <x v="180"/>
    <n v="1"/>
    <x v="0"/>
  </r>
  <r>
    <x v="6"/>
    <x v="0"/>
    <x v="112"/>
    <n v="1"/>
    <x v="0"/>
  </r>
  <r>
    <x v="6"/>
    <x v="0"/>
    <x v="97"/>
    <n v="783"/>
    <x v="1"/>
  </r>
  <r>
    <x v="6"/>
    <x v="0"/>
    <x v="101"/>
    <n v="1"/>
    <x v="0"/>
  </r>
  <r>
    <x v="5"/>
    <x v="0"/>
    <x v="16"/>
    <n v="100"/>
    <x v="1"/>
  </r>
  <r>
    <x v="6"/>
    <x v="0"/>
    <x v="7"/>
    <n v="3384"/>
    <x v="1"/>
  </r>
  <r>
    <x v="6"/>
    <x v="0"/>
    <x v="0"/>
    <n v="40"/>
    <x v="0"/>
  </r>
  <r>
    <x v="5"/>
    <x v="0"/>
    <x v="150"/>
    <n v="495"/>
    <x v="1"/>
  </r>
  <r>
    <x v="5"/>
    <x v="0"/>
    <x v="18"/>
    <n v="1"/>
    <x v="0"/>
  </r>
  <r>
    <x v="6"/>
    <x v="0"/>
    <x v="71"/>
    <n v="3342"/>
    <x v="1"/>
  </r>
  <r>
    <x v="6"/>
    <x v="0"/>
    <x v="148"/>
    <n v="2627"/>
    <x v="1"/>
  </r>
  <r>
    <x v="5"/>
    <x v="0"/>
    <x v="102"/>
    <n v="2345"/>
    <x v="1"/>
  </r>
  <r>
    <x v="6"/>
    <x v="0"/>
    <x v="72"/>
    <n v="2811"/>
    <x v="1"/>
  </r>
  <r>
    <x v="5"/>
    <x v="0"/>
    <x v="84"/>
    <n v="17"/>
    <x v="0"/>
  </r>
  <r>
    <x v="5"/>
    <x v="0"/>
    <x v="206"/>
    <n v="1"/>
    <x v="0"/>
  </r>
  <r>
    <x v="5"/>
    <x v="0"/>
    <x v="123"/>
    <n v="2882"/>
    <x v="1"/>
  </r>
  <r>
    <x v="5"/>
    <x v="0"/>
    <x v="172"/>
    <n v="1"/>
    <x v="0"/>
  </r>
  <r>
    <x v="6"/>
    <x v="0"/>
    <x v="197"/>
    <n v="2062"/>
    <x v="1"/>
  </r>
  <r>
    <x v="5"/>
    <x v="0"/>
    <x v="11"/>
    <n v="2"/>
    <x v="0"/>
  </r>
  <r>
    <x v="6"/>
    <x v="0"/>
    <x v="86"/>
    <n v="4650"/>
    <x v="1"/>
  </r>
  <r>
    <x v="5"/>
    <x v="0"/>
    <x v="7"/>
    <n v="3084"/>
    <x v="1"/>
  </r>
  <r>
    <x v="6"/>
    <x v="0"/>
    <x v="106"/>
    <n v="2011"/>
    <x v="1"/>
  </r>
  <r>
    <x v="6"/>
    <x v="0"/>
    <x v="129"/>
    <n v="2370"/>
    <x v="1"/>
  </r>
  <r>
    <x v="6"/>
    <x v="0"/>
    <x v="114"/>
    <n v="116"/>
    <x v="1"/>
  </r>
  <r>
    <x v="6"/>
    <x v="0"/>
    <x v="38"/>
    <n v="3289"/>
    <x v="1"/>
  </r>
  <r>
    <x v="5"/>
    <x v="0"/>
    <x v="134"/>
    <n v="1134"/>
    <x v="1"/>
  </r>
  <r>
    <x v="6"/>
    <x v="0"/>
    <x v="12"/>
    <n v="44"/>
    <x v="0"/>
  </r>
  <r>
    <x v="5"/>
    <x v="0"/>
    <x v="28"/>
    <n v="2250"/>
    <x v="1"/>
  </r>
  <r>
    <x v="5"/>
    <x v="0"/>
    <x v="4"/>
    <n v="3"/>
    <x v="0"/>
  </r>
  <r>
    <x v="6"/>
    <x v="0"/>
    <x v="213"/>
    <n v="2"/>
    <x v="0"/>
  </r>
  <r>
    <x v="5"/>
    <x v="0"/>
    <x v="124"/>
    <n v="2584"/>
    <x v="1"/>
  </r>
  <r>
    <x v="6"/>
    <x v="0"/>
    <x v="176"/>
    <n v="1"/>
    <x v="0"/>
  </r>
  <r>
    <x v="5"/>
    <x v="0"/>
    <x v="138"/>
    <n v="3015"/>
    <x v="1"/>
  </r>
  <r>
    <x v="5"/>
    <x v="0"/>
    <x v="68"/>
    <n v="2"/>
    <x v="0"/>
  </r>
  <r>
    <x v="5"/>
    <x v="0"/>
    <x v="129"/>
    <n v="2724"/>
    <x v="1"/>
  </r>
  <r>
    <x v="6"/>
    <x v="0"/>
    <x v="144"/>
    <n v="2777"/>
    <x v="1"/>
  </r>
  <r>
    <x v="5"/>
    <x v="0"/>
    <x v="29"/>
    <n v="12"/>
    <x v="0"/>
  </r>
  <r>
    <x v="5"/>
    <x v="0"/>
    <x v="8"/>
    <n v="3232"/>
    <x v="1"/>
  </r>
  <r>
    <x v="5"/>
    <x v="0"/>
    <x v="119"/>
    <n v="7"/>
    <x v="0"/>
  </r>
  <r>
    <x v="6"/>
    <x v="0"/>
    <x v="110"/>
    <n v="6"/>
    <x v="0"/>
  </r>
  <r>
    <x v="5"/>
    <x v="0"/>
    <x v="41"/>
    <n v="5"/>
    <x v="0"/>
  </r>
  <r>
    <x v="6"/>
    <x v="0"/>
    <x v="152"/>
    <n v="2408"/>
    <x v="1"/>
  </r>
  <r>
    <x v="5"/>
    <x v="0"/>
    <x v="176"/>
    <n v="1"/>
    <x v="0"/>
  </r>
  <r>
    <x v="6"/>
    <x v="0"/>
    <x v="180"/>
    <n v="2"/>
    <x v="0"/>
  </r>
  <r>
    <x v="5"/>
    <x v="0"/>
    <x v="169"/>
    <n v="1"/>
    <x v="0"/>
  </r>
  <r>
    <x v="6"/>
    <x v="0"/>
    <x v="104"/>
    <n v="4026"/>
    <x v="1"/>
  </r>
  <r>
    <x v="6"/>
    <x v="0"/>
    <x v="183"/>
    <n v="351"/>
    <x v="1"/>
  </r>
  <r>
    <x v="5"/>
    <x v="0"/>
    <x v="66"/>
    <n v="3363"/>
    <x v="1"/>
  </r>
  <r>
    <x v="5"/>
    <x v="0"/>
    <x v="60"/>
    <n v="1"/>
    <x v="0"/>
  </r>
  <r>
    <x v="6"/>
    <x v="0"/>
    <x v="46"/>
    <n v="2994"/>
    <x v="1"/>
  </r>
  <r>
    <x v="5"/>
    <x v="0"/>
    <x v="73"/>
    <n v="592"/>
    <x v="1"/>
  </r>
  <r>
    <x v="5"/>
    <x v="0"/>
    <x v="34"/>
    <n v="2"/>
    <x v="0"/>
  </r>
  <r>
    <x v="5"/>
    <x v="0"/>
    <x v="128"/>
    <n v="2285"/>
    <x v="1"/>
  </r>
  <r>
    <x v="5"/>
    <x v="0"/>
    <x v="202"/>
    <n v="1"/>
    <x v="0"/>
  </r>
  <r>
    <x v="6"/>
    <x v="0"/>
    <x v="111"/>
    <n v="2342"/>
    <x v="1"/>
  </r>
  <r>
    <x v="6"/>
    <x v="0"/>
    <x v="120"/>
    <n v="360"/>
    <x v="1"/>
  </r>
  <r>
    <x v="5"/>
    <x v="0"/>
    <x v="153"/>
    <n v="21"/>
    <x v="0"/>
  </r>
  <r>
    <x v="5"/>
    <x v="0"/>
    <x v="113"/>
    <n v="2469"/>
    <x v="1"/>
  </r>
  <r>
    <x v="5"/>
    <x v="0"/>
    <x v="55"/>
    <n v="7"/>
    <x v="0"/>
  </r>
  <r>
    <x v="6"/>
    <x v="0"/>
    <x v="4"/>
    <n v="2"/>
    <x v="0"/>
  </r>
  <r>
    <x v="6"/>
    <x v="0"/>
    <x v="18"/>
    <n v="1"/>
    <x v="0"/>
  </r>
  <r>
    <x v="6"/>
    <x v="0"/>
    <x v="137"/>
    <n v="1464"/>
    <x v="1"/>
  </r>
  <r>
    <x v="6"/>
    <x v="0"/>
    <x v="31"/>
    <n v="2593"/>
    <x v="1"/>
  </r>
  <r>
    <x v="6"/>
    <x v="0"/>
    <x v="177"/>
    <n v="1"/>
    <x v="0"/>
  </r>
  <r>
    <x v="5"/>
    <x v="0"/>
    <x v="132"/>
    <n v="3"/>
    <x v="0"/>
  </r>
  <r>
    <x v="5"/>
    <x v="0"/>
    <x v="71"/>
    <n v="3282"/>
    <x v="1"/>
  </r>
  <r>
    <x v="5"/>
    <x v="0"/>
    <x v="136"/>
    <n v="2664"/>
    <x v="1"/>
  </r>
  <r>
    <x v="5"/>
    <x v="0"/>
    <x v="108"/>
    <n v="546"/>
    <x v="1"/>
  </r>
  <r>
    <x v="6"/>
    <x v="0"/>
    <x v="108"/>
    <n v="507"/>
    <x v="1"/>
  </r>
  <r>
    <x v="6"/>
    <x v="0"/>
    <x v="81"/>
    <n v="5"/>
    <x v="0"/>
  </r>
  <r>
    <x v="6"/>
    <x v="0"/>
    <x v="195"/>
    <n v="1"/>
    <x v="0"/>
  </r>
  <r>
    <x v="5"/>
    <x v="0"/>
    <x v="170"/>
    <n v="2428"/>
    <x v="1"/>
  </r>
  <r>
    <x v="5"/>
    <x v="0"/>
    <x v="148"/>
    <n v="2669"/>
    <x v="1"/>
  </r>
  <r>
    <x v="5"/>
    <x v="0"/>
    <x v="65"/>
    <n v="2275"/>
    <x v="1"/>
  </r>
  <r>
    <x v="5"/>
    <x v="0"/>
    <x v="165"/>
    <n v="1"/>
    <x v="0"/>
  </r>
  <r>
    <x v="6"/>
    <x v="0"/>
    <x v="16"/>
    <n v="6"/>
    <x v="0"/>
  </r>
  <r>
    <x v="5"/>
    <x v="0"/>
    <x v="85"/>
    <n v="629"/>
    <x v="1"/>
  </r>
  <r>
    <x v="5"/>
    <x v="0"/>
    <x v="80"/>
    <n v="34"/>
    <x v="0"/>
  </r>
  <r>
    <x v="5"/>
    <x v="0"/>
    <x v="135"/>
    <n v="2132"/>
    <x v="1"/>
  </r>
  <r>
    <x v="5"/>
    <x v="0"/>
    <x v="147"/>
    <n v="823"/>
    <x v="1"/>
  </r>
  <r>
    <x v="5"/>
    <x v="0"/>
    <x v="27"/>
    <n v="2172"/>
    <x v="1"/>
  </r>
  <r>
    <x v="6"/>
    <x v="0"/>
    <x v="52"/>
    <n v="2344"/>
    <x v="1"/>
  </r>
  <r>
    <x v="5"/>
    <x v="0"/>
    <x v="207"/>
    <n v="8"/>
    <x v="0"/>
  </r>
  <r>
    <x v="5"/>
    <x v="0"/>
    <x v="218"/>
    <n v="1"/>
    <x v="0"/>
  </r>
  <r>
    <x v="5"/>
    <x v="0"/>
    <x v="205"/>
    <n v="2"/>
    <x v="0"/>
  </r>
  <r>
    <x v="5"/>
    <x v="0"/>
    <x v="51"/>
    <n v="2252"/>
    <x v="1"/>
  </r>
  <r>
    <x v="6"/>
    <x v="0"/>
    <x v="17"/>
    <n v="565"/>
    <x v="1"/>
  </r>
  <r>
    <x v="6"/>
    <x v="0"/>
    <x v="22"/>
    <n v="3282"/>
    <x v="1"/>
  </r>
  <r>
    <x v="5"/>
    <x v="0"/>
    <x v="122"/>
    <n v="16"/>
    <x v="0"/>
  </r>
  <r>
    <x v="6"/>
    <x v="0"/>
    <x v="187"/>
    <n v="988"/>
    <x v="1"/>
  </r>
  <r>
    <x v="6"/>
    <x v="0"/>
    <x v="15"/>
    <n v="4"/>
    <x v="0"/>
  </r>
  <r>
    <x v="5"/>
    <x v="0"/>
    <x v="35"/>
    <n v="117"/>
    <x v="1"/>
  </r>
  <r>
    <x v="6"/>
    <x v="0"/>
    <x v="124"/>
    <n v="2746"/>
    <x v="1"/>
  </r>
  <r>
    <x v="6"/>
    <x v="0"/>
    <x v="140"/>
    <n v="3853"/>
    <x v="1"/>
  </r>
  <r>
    <x v="6"/>
    <x v="0"/>
    <x v="53"/>
    <n v="90"/>
    <x v="0"/>
  </r>
  <r>
    <x v="5"/>
    <x v="0"/>
    <x v="42"/>
    <n v="1"/>
    <x v="0"/>
  </r>
  <r>
    <x v="6"/>
    <x v="0"/>
    <x v="35"/>
    <n v="82"/>
    <x v="0"/>
  </r>
  <r>
    <x v="6"/>
    <x v="0"/>
    <x v="193"/>
    <n v="24"/>
    <x v="0"/>
  </r>
  <r>
    <x v="6"/>
    <x v="0"/>
    <x v="172"/>
    <n v="1567"/>
    <x v="1"/>
  </r>
  <r>
    <x v="5"/>
    <x v="0"/>
    <x v="48"/>
    <n v="2331"/>
    <x v="1"/>
  </r>
  <r>
    <x v="6"/>
    <x v="0"/>
    <x v="175"/>
    <n v="1"/>
    <x v="0"/>
  </r>
  <r>
    <x v="6"/>
    <x v="0"/>
    <x v="13"/>
    <n v="3"/>
    <x v="0"/>
  </r>
  <r>
    <x v="6"/>
    <x v="0"/>
    <x v="47"/>
    <n v="258"/>
    <x v="1"/>
  </r>
  <r>
    <x v="5"/>
    <x v="0"/>
    <x v="143"/>
    <n v="1809"/>
    <x v="1"/>
  </r>
  <r>
    <x v="5"/>
    <x v="0"/>
    <x v="59"/>
    <n v="123"/>
    <x v="1"/>
  </r>
  <r>
    <x v="6"/>
    <x v="0"/>
    <x v="102"/>
    <n v="2711"/>
    <x v="1"/>
  </r>
  <r>
    <x v="6"/>
    <x v="0"/>
    <x v="8"/>
    <n v="2864"/>
    <x v="1"/>
  </r>
  <r>
    <x v="6"/>
    <x v="0"/>
    <x v="122"/>
    <n v="20"/>
    <x v="0"/>
  </r>
  <r>
    <x v="6"/>
    <x v="0"/>
    <x v="66"/>
    <n v="3338"/>
    <x v="1"/>
  </r>
  <r>
    <x v="6"/>
    <x v="0"/>
    <x v="90"/>
    <n v="1272"/>
    <x v="1"/>
  </r>
  <r>
    <x v="5"/>
    <x v="0"/>
    <x v="75"/>
    <n v="1009"/>
    <x v="1"/>
  </r>
  <r>
    <x v="5"/>
    <x v="0"/>
    <x v="155"/>
    <n v="1"/>
    <x v="0"/>
  </r>
  <r>
    <x v="6"/>
    <x v="0"/>
    <x v="43"/>
    <n v="11"/>
    <x v="0"/>
  </r>
  <r>
    <x v="6"/>
    <x v="0"/>
    <x v="146"/>
    <n v="325"/>
    <x v="1"/>
  </r>
  <r>
    <x v="5"/>
    <x v="0"/>
    <x v="83"/>
    <n v="3"/>
    <x v="0"/>
  </r>
  <r>
    <x v="5"/>
    <x v="0"/>
    <x v="17"/>
    <n v="188"/>
    <x v="1"/>
  </r>
  <r>
    <x v="5"/>
    <x v="0"/>
    <x v="160"/>
    <n v="1"/>
    <x v="0"/>
  </r>
  <r>
    <x v="5"/>
    <x v="0"/>
    <x v="91"/>
    <n v="4062"/>
    <x v="1"/>
  </r>
  <r>
    <x v="5"/>
    <x v="0"/>
    <x v="146"/>
    <n v="2570"/>
    <x v="1"/>
  </r>
  <r>
    <x v="5"/>
    <x v="0"/>
    <x v="115"/>
    <n v="3937"/>
    <x v="1"/>
  </r>
  <r>
    <x v="6"/>
    <x v="0"/>
    <x v="179"/>
    <n v="5"/>
    <x v="0"/>
  </r>
  <r>
    <x v="6"/>
    <x v="0"/>
    <x v="56"/>
    <n v="2395"/>
    <x v="1"/>
  </r>
  <r>
    <x v="6"/>
    <x v="0"/>
    <x v="75"/>
    <n v="944"/>
    <x v="1"/>
  </r>
  <r>
    <x v="5"/>
    <x v="0"/>
    <x v="39"/>
    <n v="1"/>
    <x v="0"/>
  </r>
  <r>
    <x v="5"/>
    <x v="0"/>
    <x v="152"/>
    <n v="2555"/>
    <x v="1"/>
  </r>
  <r>
    <x v="5"/>
    <x v="0"/>
    <x v="78"/>
    <n v="121"/>
    <x v="1"/>
  </r>
  <r>
    <x v="5"/>
    <x v="0"/>
    <x v="117"/>
    <n v="2360"/>
    <x v="1"/>
  </r>
  <r>
    <x v="6"/>
    <x v="0"/>
    <x v="83"/>
    <n v="7"/>
    <x v="0"/>
  </r>
  <r>
    <x v="6"/>
    <x v="0"/>
    <x v="73"/>
    <n v="707"/>
    <x v="1"/>
  </r>
  <r>
    <x v="5"/>
    <x v="0"/>
    <x v="141"/>
    <n v="2121"/>
    <x v="1"/>
  </r>
  <r>
    <x v="6"/>
    <x v="0"/>
    <x v="134"/>
    <n v="1075"/>
    <x v="1"/>
  </r>
  <r>
    <x v="6"/>
    <x v="0"/>
    <x v="107"/>
    <n v="7"/>
    <x v="0"/>
  </r>
  <r>
    <x v="6"/>
    <x v="0"/>
    <x v="135"/>
    <n v="2142"/>
    <x v="1"/>
  </r>
  <r>
    <x v="5"/>
    <x v="0"/>
    <x v="203"/>
    <n v="1"/>
    <x v="0"/>
  </r>
  <r>
    <x v="6"/>
    <x v="0"/>
    <x v="95"/>
    <n v="2601"/>
    <x v="1"/>
  </r>
  <r>
    <x v="6"/>
    <x v="0"/>
    <x v="190"/>
    <n v="526"/>
    <x v="1"/>
  </r>
  <r>
    <x v="6"/>
    <x v="0"/>
    <x v="48"/>
    <n v="10"/>
    <x v="0"/>
  </r>
  <r>
    <x v="5"/>
    <x v="0"/>
    <x v="54"/>
    <n v="2984"/>
    <x v="1"/>
  </r>
  <r>
    <x v="6"/>
    <x v="0"/>
    <x v="138"/>
    <n v="7"/>
    <x v="0"/>
  </r>
  <r>
    <x v="5"/>
    <x v="0"/>
    <x v="133"/>
    <n v="2926"/>
    <x v="1"/>
  </r>
  <r>
    <x v="6"/>
    <x v="0"/>
    <x v="212"/>
    <n v="1"/>
    <x v="0"/>
  </r>
  <r>
    <x v="6"/>
    <x v="0"/>
    <x v="151"/>
    <n v="2836"/>
    <x v="1"/>
  </r>
  <r>
    <x v="5"/>
    <x v="0"/>
    <x v="87"/>
    <n v="12"/>
    <x v="0"/>
  </r>
  <r>
    <x v="6"/>
    <x v="0"/>
    <x v="194"/>
    <n v="1"/>
    <x v="0"/>
  </r>
  <r>
    <x v="6"/>
    <x v="0"/>
    <x v="99"/>
    <n v="2223"/>
    <x v="1"/>
  </r>
  <r>
    <x v="6"/>
    <x v="0"/>
    <x v="127"/>
    <n v="2768"/>
    <x v="1"/>
  </r>
  <r>
    <x v="5"/>
    <x v="0"/>
    <x v="217"/>
    <n v="1"/>
    <x v="0"/>
  </r>
  <r>
    <x v="6"/>
    <x v="0"/>
    <x v="105"/>
    <n v="2129"/>
    <x v="1"/>
  </r>
  <r>
    <x v="6"/>
    <x v="0"/>
    <x v="191"/>
    <n v="2920"/>
    <x v="1"/>
  </r>
  <r>
    <x v="5"/>
    <x v="0"/>
    <x v="204"/>
    <n v="1"/>
    <x v="0"/>
  </r>
  <r>
    <x v="5"/>
    <x v="0"/>
    <x v="127"/>
    <n v="2763"/>
    <x v="1"/>
  </r>
  <r>
    <x v="6"/>
    <x v="0"/>
    <x v="78"/>
    <n v="114"/>
    <x v="1"/>
  </r>
  <r>
    <x v="5"/>
    <x v="0"/>
    <x v="67"/>
    <n v="1"/>
    <x v="0"/>
  </r>
  <r>
    <x v="6"/>
    <x v="0"/>
    <x v="116"/>
    <n v="1808"/>
    <x v="1"/>
  </r>
  <r>
    <x v="6"/>
    <x v="0"/>
    <x v="61"/>
    <n v="890"/>
    <x v="1"/>
  </r>
  <r>
    <x v="6"/>
    <x v="0"/>
    <x v="28"/>
    <n v="2489"/>
    <x v="1"/>
  </r>
  <r>
    <x v="6"/>
    <x v="0"/>
    <x v="88"/>
    <n v="2735"/>
    <x v="1"/>
  </r>
  <r>
    <x v="6"/>
    <x v="0"/>
    <x v="202"/>
    <n v="1"/>
    <x v="0"/>
  </r>
  <r>
    <x v="5"/>
    <x v="0"/>
    <x v="121"/>
    <n v="2310"/>
    <x v="1"/>
  </r>
  <r>
    <x v="6"/>
    <x v="0"/>
    <x v="89"/>
    <n v="2500"/>
    <x v="1"/>
  </r>
  <r>
    <x v="6"/>
    <x v="0"/>
    <x v="149"/>
    <n v="2416"/>
    <x v="1"/>
  </r>
  <r>
    <x v="6"/>
    <x v="0"/>
    <x v="207"/>
    <n v="14"/>
    <x v="0"/>
  </r>
  <r>
    <x v="5"/>
    <x v="0"/>
    <x v="105"/>
    <n v="2478"/>
    <x v="1"/>
  </r>
  <r>
    <x v="5"/>
    <x v="0"/>
    <x v="21"/>
    <n v="2779"/>
    <x v="1"/>
  </r>
  <r>
    <x v="6"/>
    <x v="0"/>
    <x v="167"/>
    <n v="2284"/>
    <x v="1"/>
  </r>
  <r>
    <x v="5"/>
    <x v="0"/>
    <x v="125"/>
    <n v="56"/>
    <x v="0"/>
  </r>
  <r>
    <x v="6"/>
    <x v="0"/>
    <x v="131"/>
    <n v="3042"/>
    <x v="1"/>
  </r>
  <r>
    <x v="6"/>
    <x v="0"/>
    <x v="60"/>
    <n v="1"/>
    <x v="0"/>
  </r>
  <r>
    <x v="6"/>
    <x v="0"/>
    <x v="67"/>
    <n v="1"/>
    <x v="0"/>
  </r>
  <r>
    <x v="6"/>
    <x v="0"/>
    <x v="51"/>
    <n v="2069"/>
    <x v="1"/>
  </r>
  <r>
    <x v="5"/>
    <x v="0"/>
    <x v="96"/>
    <n v="82"/>
    <x v="0"/>
  </r>
  <r>
    <x v="6"/>
    <x v="0"/>
    <x v="139"/>
    <n v="2580"/>
    <x v="1"/>
  </r>
  <r>
    <x v="6"/>
    <x v="0"/>
    <x v="117"/>
    <n v="2353"/>
    <x v="1"/>
  </r>
  <r>
    <x v="5"/>
    <x v="0"/>
    <x v="13"/>
    <n v="3"/>
    <x v="0"/>
  </r>
  <r>
    <x v="6"/>
    <x v="0"/>
    <x v="37"/>
    <n v="837"/>
    <x v="1"/>
  </r>
  <r>
    <x v="5"/>
    <x v="0"/>
    <x v="142"/>
    <n v="2094"/>
    <x v="1"/>
  </r>
  <r>
    <x v="5"/>
    <x v="0"/>
    <x v="88"/>
    <n v="2549"/>
    <x v="1"/>
  </r>
  <r>
    <x v="5"/>
    <x v="0"/>
    <x v="9"/>
    <n v="2744"/>
    <x v="1"/>
  </r>
  <r>
    <x v="6"/>
    <x v="0"/>
    <x v="128"/>
    <n v="93"/>
    <x v="0"/>
  </r>
  <r>
    <x v="6"/>
    <x v="0"/>
    <x v="45"/>
    <n v="90"/>
    <x v="0"/>
  </r>
  <r>
    <x v="6"/>
    <x v="0"/>
    <x v="109"/>
    <n v="64"/>
    <x v="0"/>
  </r>
  <r>
    <x v="6"/>
    <x v="0"/>
    <x v="23"/>
    <n v="1"/>
    <x v="0"/>
  </r>
  <r>
    <x v="6"/>
    <x v="0"/>
    <x v="189"/>
    <n v="2954"/>
    <x v="1"/>
  </r>
  <r>
    <x v="5"/>
    <x v="0"/>
    <x v="44"/>
    <n v="2837"/>
    <x v="1"/>
  </r>
  <r>
    <x v="6"/>
    <x v="0"/>
    <x v="34"/>
    <n v="2"/>
    <x v="0"/>
  </r>
  <r>
    <x v="6"/>
    <x v="0"/>
    <x v="199"/>
    <n v="2215"/>
    <x v="1"/>
  </r>
  <r>
    <x v="5"/>
    <x v="0"/>
    <x v="163"/>
    <n v="6"/>
    <x v="0"/>
  </r>
  <r>
    <x v="5"/>
    <x v="0"/>
    <x v="79"/>
    <n v="13726"/>
    <x v="1"/>
  </r>
  <r>
    <x v="5"/>
    <x v="0"/>
    <x v="196"/>
    <n v="1"/>
    <x v="0"/>
  </r>
  <r>
    <x v="6"/>
    <x v="0"/>
    <x v="181"/>
    <n v="142"/>
    <x v="1"/>
  </r>
  <r>
    <x v="5"/>
    <x v="0"/>
    <x v="37"/>
    <n v="897"/>
    <x v="1"/>
  </r>
  <r>
    <x v="5"/>
    <x v="0"/>
    <x v="216"/>
    <n v="1"/>
    <x v="0"/>
  </r>
  <r>
    <x v="6"/>
    <x v="0"/>
    <x v="182"/>
    <n v="2276"/>
    <x v="1"/>
  </r>
  <r>
    <x v="6"/>
    <x v="0"/>
    <x v="100"/>
    <n v="1"/>
    <x v="0"/>
  </r>
  <r>
    <x v="5"/>
    <x v="0"/>
    <x v="6"/>
    <n v="1"/>
    <x v="0"/>
  </r>
  <r>
    <x v="6"/>
    <x v="0"/>
    <x v="184"/>
    <n v="2017"/>
    <x v="1"/>
  </r>
  <r>
    <x v="6"/>
    <x v="0"/>
    <x v="160"/>
    <n v="3"/>
    <x v="0"/>
  </r>
  <r>
    <x v="6"/>
    <x v="0"/>
    <x v="74"/>
    <n v="2046"/>
    <x v="1"/>
  </r>
  <r>
    <x v="5"/>
    <x v="0"/>
    <x v="70"/>
    <n v="19"/>
    <x v="0"/>
  </r>
  <r>
    <x v="6"/>
    <x v="0"/>
    <x v="58"/>
    <n v="2521"/>
    <x v="1"/>
  </r>
  <r>
    <x v="6"/>
    <x v="0"/>
    <x v="77"/>
    <n v="4"/>
    <x v="0"/>
  </r>
  <r>
    <x v="5"/>
    <x v="0"/>
    <x v="144"/>
    <n v="2689"/>
    <x v="1"/>
  </r>
  <r>
    <x v="6"/>
    <x v="0"/>
    <x v="14"/>
    <n v="68"/>
    <x v="0"/>
  </r>
  <r>
    <x v="6"/>
    <x v="0"/>
    <x v="20"/>
    <n v="3"/>
    <x v="0"/>
  </r>
  <r>
    <x v="5"/>
    <x v="0"/>
    <x v="126"/>
    <n v="72"/>
    <x v="0"/>
  </r>
  <r>
    <x v="5"/>
    <x v="0"/>
    <x v="159"/>
    <n v="1"/>
    <x v="0"/>
  </r>
  <r>
    <x v="6"/>
    <x v="0"/>
    <x v="87"/>
    <n v="2301"/>
    <x v="1"/>
  </r>
  <r>
    <x v="5"/>
    <x v="0"/>
    <x v="120"/>
    <n v="46"/>
    <x v="0"/>
  </r>
  <r>
    <x v="5"/>
    <x v="0"/>
    <x v="168"/>
    <n v="15"/>
    <x v="0"/>
  </r>
  <r>
    <x v="5"/>
    <x v="0"/>
    <x v="69"/>
    <n v="3141"/>
    <x v="1"/>
  </r>
  <r>
    <x v="5"/>
    <x v="0"/>
    <x v="139"/>
    <n v="2556"/>
    <x v="1"/>
  </r>
  <r>
    <x v="5"/>
    <x v="0"/>
    <x v="116"/>
    <n v="565"/>
    <x v="1"/>
  </r>
  <r>
    <x v="6"/>
    <x v="0"/>
    <x v="59"/>
    <n v="191"/>
    <x v="1"/>
  </r>
  <r>
    <x v="6"/>
    <x v="0"/>
    <x v="162"/>
    <n v="2"/>
    <x v="0"/>
  </r>
  <r>
    <x v="6"/>
    <x v="0"/>
    <x v="10"/>
    <n v="758"/>
    <x v="1"/>
  </r>
  <r>
    <x v="6"/>
    <x v="0"/>
    <x v="136"/>
    <n v="2740"/>
    <x v="1"/>
  </r>
  <r>
    <x v="6"/>
    <x v="0"/>
    <x v="65"/>
    <n v="433"/>
    <x v="1"/>
  </r>
  <r>
    <x v="6"/>
    <x v="0"/>
    <x v="49"/>
    <n v="1"/>
    <x v="0"/>
  </r>
  <r>
    <x v="6"/>
    <x v="0"/>
    <x v="123"/>
    <n v="2532"/>
    <x v="1"/>
  </r>
  <r>
    <x v="5"/>
    <x v="0"/>
    <x v="23"/>
    <n v="2"/>
    <x v="0"/>
  </r>
  <r>
    <x v="6"/>
    <x v="0"/>
    <x v="96"/>
    <n v="78"/>
    <x v="0"/>
  </r>
  <r>
    <x v="6"/>
    <x v="0"/>
    <x v="185"/>
    <n v="1918"/>
    <x v="1"/>
  </r>
  <r>
    <x v="6"/>
    <x v="0"/>
    <x v="57"/>
    <n v="10"/>
    <x v="0"/>
  </r>
  <r>
    <x v="5"/>
    <x v="0"/>
    <x v="111"/>
    <n v="2336"/>
    <x v="1"/>
  </r>
  <r>
    <x v="5"/>
    <x v="0"/>
    <x v="81"/>
    <n v="3"/>
    <x v="0"/>
  </r>
  <r>
    <x v="5"/>
    <x v="0"/>
    <x v="56"/>
    <n v="2510"/>
    <x v="1"/>
  </r>
  <r>
    <x v="5"/>
    <x v="0"/>
    <x v="82"/>
    <n v="3485"/>
    <x v="1"/>
  </r>
  <r>
    <x v="6"/>
    <x v="0"/>
    <x v="36"/>
    <n v="3"/>
    <x v="0"/>
  </r>
  <r>
    <x v="6"/>
    <x v="0"/>
    <x v="84"/>
    <n v="26"/>
    <x v="0"/>
  </r>
  <r>
    <x v="6"/>
    <x v="0"/>
    <x v="3"/>
    <n v="888"/>
    <x v="1"/>
  </r>
  <r>
    <x v="6"/>
    <x v="0"/>
    <x v="27"/>
    <n v="1985"/>
    <x v="1"/>
  </r>
  <r>
    <x v="6"/>
    <x v="0"/>
    <x v="173"/>
    <n v="1"/>
    <x v="0"/>
  </r>
  <r>
    <x v="5"/>
    <x v="0"/>
    <x v="167"/>
    <n v="2313"/>
    <x v="1"/>
  </r>
  <r>
    <x v="6"/>
    <x v="0"/>
    <x v="132"/>
    <n v="4"/>
    <x v="0"/>
  </r>
  <r>
    <x v="6"/>
    <x v="0"/>
    <x v="121"/>
    <n v="2206"/>
    <x v="1"/>
  </r>
  <r>
    <x v="6"/>
    <x v="0"/>
    <x v="91"/>
    <n v="16"/>
    <x v="0"/>
  </r>
  <r>
    <x v="5"/>
    <x v="0"/>
    <x v="154"/>
    <n v="83"/>
    <x v="0"/>
  </r>
  <r>
    <x v="6"/>
    <x v="0"/>
    <x v="192"/>
    <n v="3048"/>
    <x v="1"/>
  </r>
  <r>
    <x v="6"/>
    <x v="0"/>
    <x v="118"/>
    <n v="2787"/>
    <x v="1"/>
  </r>
  <r>
    <x v="5"/>
    <x v="0"/>
    <x v="100"/>
    <n v="1"/>
    <x v="0"/>
  </r>
  <r>
    <x v="6"/>
    <x v="0"/>
    <x v="157"/>
    <n v="2"/>
    <x v="0"/>
  </r>
  <r>
    <x v="6"/>
    <x v="0"/>
    <x v="206"/>
    <n v="2"/>
    <x v="0"/>
  </r>
  <r>
    <x v="6"/>
    <x v="0"/>
    <x v="70"/>
    <n v="22"/>
    <x v="0"/>
  </r>
  <r>
    <x v="5"/>
    <x v="0"/>
    <x v="47"/>
    <n v="194"/>
    <x v="1"/>
  </r>
  <r>
    <x v="5"/>
    <x v="0"/>
    <x v="36"/>
    <n v="4"/>
    <x v="0"/>
  </r>
  <r>
    <x v="5"/>
    <x v="0"/>
    <x v="76"/>
    <n v="3"/>
    <x v="0"/>
  </r>
  <r>
    <x v="5"/>
    <x v="0"/>
    <x v="31"/>
    <n v="2460"/>
    <x v="1"/>
  </r>
  <r>
    <x v="5"/>
    <x v="0"/>
    <x v="14"/>
    <n v="113"/>
    <x v="1"/>
  </r>
  <r>
    <x v="5"/>
    <x v="0"/>
    <x v="64"/>
    <n v="2069"/>
    <x v="1"/>
  </r>
  <r>
    <x v="6"/>
    <x v="0"/>
    <x v="141"/>
    <n v="2203"/>
    <x v="1"/>
  </r>
  <r>
    <x v="6"/>
    <x v="0"/>
    <x v="158"/>
    <n v="1"/>
    <x v="0"/>
  </r>
  <r>
    <x v="5"/>
    <x v="0"/>
    <x v="26"/>
    <n v="2287"/>
    <x v="1"/>
  </r>
  <r>
    <x v="5"/>
    <x v="0"/>
    <x v="101"/>
    <n v="1"/>
    <x v="0"/>
  </r>
  <r>
    <x v="5"/>
    <x v="0"/>
    <x v="95"/>
    <n v="2615"/>
    <x v="1"/>
  </r>
  <r>
    <x v="5"/>
    <x v="0"/>
    <x v="156"/>
    <n v="1"/>
    <x v="0"/>
  </r>
  <r>
    <x v="6"/>
    <x v="0"/>
    <x v="62"/>
    <n v="2178"/>
    <x v="1"/>
  </r>
  <r>
    <x v="5"/>
    <x v="0"/>
    <x v="46"/>
    <n v="2801"/>
    <x v="1"/>
  </r>
  <r>
    <x v="5"/>
    <x v="0"/>
    <x v="12"/>
    <n v="51"/>
    <x v="0"/>
  </r>
  <r>
    <x v="5"/>
    <x v="0"/>
    <x v="5"/>
    <n v="1"/>
    <x v="0"/>
  </r>
  <r>
    <x v="6"/>
    <x v="0"/>
    <x v="215"/>
    <n v="1"/>
    <x v="0"/>
  </r>
  <r>
    <x v="5"/>
    <x v="0"/>
    <x v="1"/>
    <n v="31"/>
    <x v="0"/>
  </r>
  <r>
    <x v="5"/>
    <x v="0"/>
    <x v="145"/>
    <n v="2598"/>
    <x v="1"/>
  </r>
  <r>
    <x v="6"/>
    <x v="0"/>
    <x v="142"/>
    <n v="2364"/>
    <x v="1"/>
  </r>
  <r>
    <x v="6"/>
    <x v="0"/>
    <x v="54"/>
    <n v="20"/>
    <x v="0"/>
  </r>
  <r>
    <x v="5"/>
    <x v="0"/>
    <x v="103"/>
    <n v="1337"/>
    <x v="1"/>
  </r>
  <r>
    <x v="5"/>
    <x v="0"/>
    <x v="149"/>
    <n v="2422"/>
    <x v="1"/>
  </r>
  <r>
    <x v="6"/>
    <x v="0"/>
    <x v="68"/>
    <n v="3"/>
    <x v="0"/>
  </r>
  <r>
    <x v="5"/>
    <x v="0"/>
    <x v="166"/>
    <n v="3"/>
    <x v="0"/>
  </r>
  <r>
    <x v="5"/>
    <x v="0"/>
    <x v="32"/>
    <n v="14949"/>
    <x v="1"/>
  </r>
  <r>
    <x v="6"/>
    <x v="0"/>
    <x v="69"/>
    <n v="3208"/>
    <x v="1"/>
  </r>
  <r>
    <x v="6"/>
    <x v="0"/>
    <x v="30"/>
    <n v="1146"/>
    <x v="1"/>
  </r>
  <r>
    <x v="6"/>
    <x v="0"/>
    <x v="188"/>
    <n v="2063"/>
    <x v="1"/>
  </r>
  <r>
    <x v="6"/>
    <x v="0"/>
    <x v="32"/>
    <n v="8187"/>
    <x v="1"/>
  </r>
  <r>
    <x v="6"/>
    <x v="0"/>
    <x v="171"/>
    <n v="2194"/>
    <x v="1"/>
  </r>
  <r>
    <x v="5"/>
    <x v="0"/>
    <x v="110"/>
    <n v="3"/>
    <x v="0"/>
  </r>
  <r>
    <x v="6"/>
    <x v="0"/>
    <x v="21"/>
    <n v="2952"/>
    <x v="1"/>
  </r>
  <r>
    <x v="6"/>
    <x v="0"/>
    <x v="76"/>
    <n v="2"/>
    <x v="0"/>
  </r>
  <r>
    <x v="5"/>
    <x v="0"/>
    <x v="77"/>
    <n v="5"/>
    <x v="0"/>
  </r>
  <r>
    <x v="6"/>
    <x v="0"/>
    <x v="44"/>
    <n v="2923"/>
    <x v="1"/>
  </r>
  <r>
    <x v="6"/>
    <x v="0"/>
    <x v="205"/>
    <n v="2"/>
    <x v="0"/>
  </r>
  <r>
    <x v="5"/>
    <x v="0"/>
    <x v="107"/>
    <n v="8"/>
    <x v="0"/>
  </r>
  <r>
    <x v="6"/>
    <x v="0"/>
    <x v="94"/>
    <n v="715"/>
    <x v="1"/>
  </r>
  <r>
    <x v="5"/>
    <x v="0"/>
    <x v="40"/>
    <n v="3"/>
    <x v="0"/>
  </r>
  <r>
    <x v="6"/>
    <x v="0"/>
    <x v="145"/>
    <n v="3"/>
    <x v="0"/>
  </r>
  <r>
    <x v="5"/>
    <x v="0"/>
    <x v="209"/>
    <n v="1"/>
    <x v="0"/>
  </r>
  <r>
    <x v="6"/>
    <x v="0"/>
    <x v="165"/>
    <n v="1"/>
    <x v="0"/>
  </r>
  <r>
    <x v="6"/>
    <x v="0"/>
    <x v="25"/>
    <n v="3"/>
    <x v="0"/>
  </r>
  <r>
    <x v="5"/>
    <x v="0"/>
    <x v="104"/>
    <n v="2466"/>
    <x v="1"/>
  </r>
  <r>
    <x v="5"/>
    <x v="0"/>
    <x v="2"/>
    <n v="4747"/>
    <x v="1"/>
  </r>
  <r>
    <x v="5"/>
    <x v="0"/>
    <x v="63"/>
    <n v="507"/>
    <x v="1"/>
  </r>
  <r>
    <x v="5"/>
    <x v="0"/>
    <x v="89"/>
    <n v="2503"/>
    <x v="1"/>
  </r>
  <r>
    <x v="5"/>
    <x v="0"/>
    <x v="58"/>
    <n v="2589"/>
    <x v="1"/>
  </r>
  <r>
    <x v="5"/>
    <x v="0"/>
    <x v="140"/>
    <n v="3521"/>
    <x v="1"/>
  </r>
  <r>
    <x v="6"/>
    <x v="0"/>
    <x v="133"/>
    <n v="857"/>
    <x v="1"/>
  </r>
  <r>
    <x v="6"/>
    <x v="0"/>
    <x v="186"/>
    <n v="1064"/>
    <x v="1"/>
  </r>
  <r>
    <x v="5"/>
    <x v="0"/>
    <x v="131"/>
    <n v="3094"/>
    <x v="1"/>
  </r>
  <r>
    <x v="6"/>
    <x v="0"/>
    <x v="164"/>
    <n v="171"/>
    <x v="1"/>
  </r>
  <r>
    <x v="5"/>
    <x v="0"/>
    <x v="74"/>
    <n v="2174"/>
    <x v="1"/>
  </r>
  <r>
    <x v="6"/>
    <x v="0"/>
    <x v="26"/>
    <n v="2119"/>
    <x v="1"/>
  </r>
  <r>
    <x v="5"/>
    <x v="0"/>
    <x v="157"/>
    <n v="1"/>
    <x v="0"/>
  </r>
  <r>
    <x v="5"/>
    <x v="0"/>
    <x v="50"/>
    <n v="753"/>
    <x v="1"/>
  </r>
  <r>
    <x v="5"/>
    <x v="0"/>
    <x v="94"/>
    <n v="2567"/>
    <x v="1"/>
  </r>
  <r>
    <x v="6"/>
    <x v="0"/>
    <x v="166"/>
    <n v="22"/>
    <x v="0"/>
  </r>
  <r>
    <x v="6"/>
    <x v="0"/>
    <x v="125"/>
    <n v="77"/>
    <x v="0"/>
  </r>
  <r>
    <x v="6"/>
    <x v="0"/>
    <x v="50"/>
    <n v="530"/>
    <x v="1"/>
  </r>
  <r>
    <x v="6"/>
    <x v="0"/>
    <x v="64"/>
    <n v="1328"/>
    <x v="1"/>
  </r>
  <r>
    <x v="5"/>
    <x v="0"/>
    <x v="137"/>
    <n v="1386"/>
    <x v="1"/>
  </r>
  <r>
    <x v="5"/>
    <x v="0"/>
    <x v="25"/>
    <n v="3"/>
    <x v="0"/>
  </r>
  <r>
    <x v="6"/>
    <x v="0"/>
    <x v="5"/>
    <n v="1"/>
    <x v="0"/>
  </r>
  <r>
    <x v="6"/>
    <x v="0"/>
    <x v="40"/>
    <n v="4"/>
    <x v="0"/>
  </r>
  <r>
    <x v="5"/>
    <x v="0"/>
    <x v="211"/>
    <n v="1"/>
    <x v="0"/>
  </r>
  <r>
    <x v="6"/>
    <x v="0"/>
    <x v="169"/>
    <n v="1"/>
    <x v="0"/>
  </r>
  <r>
    <x v="5"/>
    <x v="0"/>
    <x v="93"/>
    <n v="2707"/>
    <x v="1"/>
  </r>
  <r>
    <x v="6"/>
    <x v="0"/>
    <x v="168"/>
    <n v="269"/>
    <x v="1"/>
  </r>
  <r>
    <x v="5"/>
    <x v="0"/>
    <x v="97"/>
    <n v="946"/>
    <x v="1"/>
  </r>
  <r>
    <x v="5"/>
    <x v="0"/>
    <x v="57"/>
    <n v="8"/>
    <x v="0"/>
  </r>
  <r>
    <x v="6"/>
    <x v="0"/>
    <x v="79"/>
    <n v="8402"/>
    <x v="1"/>
  </r>
  <r>
    <x v="6"/>
    <x v="0"/>
    <x v="208"/>
    <n v="6"/>
    <x v="0"/>
  </r>
  <r>
    <x v="6"/>
    <x v="0"/>
    <x v="55"/>
    <n v="5"/>
    <x v="0"/>
  </r>
  <r>
    <x v="6"/>
    <x v="0"/>
    <x v="9"/>
    <n v="2784"/>
    <x v="1"/>
  </r>
  <r>
    <x v="6"/>
    <x v="0"/>
    <x v="1"/>
    <n v="27"/>
    <x v="0"/>
  </r>
  <r>
    <x v="5"/>
    <x v="0"/>
    <x v="52"/>
    <n v="2495"/>
    <x v="1"/>
  </r>
  <r>
    <x v="6"/>
    <x v="0"/>
    <x v="2"/>
    <n v="2849"/>
    <x v="1"/>
  </r>
  <r>
    <x v="5"/>
    <x v="0"/>
    <x v="72"/>
    <n v="2850"/>
    <x v="1"/>
  </r>
  <r>
    <x v="5"/>
    <x v="0"/>
    <x v="3"/>
    <n v="884"/>
    <x v="1"/>
  </r>
  <r>
    <x v="6"/>
    <x v="0"/>
    <x v="154"/>
    <n v="745"/>
    <x v="1"/>
  </r>
  <r>
    <x v="5"/>
    <x v="0"/>
    <x v="114"/>
    <n v="87"/>
    <x v="0"/>
  </r>
  <r>
    <x v="5"/>
    <x v="0"/>
    <x v="201"/>
    <n v="1"/>
    <x v="0"/>
  </r>
  <r>
    <x v="6"/>
    <x v="0"/>
    <x v="29"/>
    <n v="2"/>
    <x v="0"/>
  </r>
  <r>
    <x v="5"/>
    <x v="0"/>
    <x v="86"/>
    <n v="2675"/>
    <x v="1"/>
  </r>
  <r>
    <x v="5"/>
    <x v="0"/>
    <x v="38"/>
    <n v="3391"/>
    <x v="1"/>
  </r>
  <r>
    <x v="6"/>
    <x v="0"/>
    <x v="19"/>
    <n v="242"/>
    <x v="1"/>
  </r>
  <r>
    <x v="6"/>
    <x v="0"/>
    <x v="196"/>
    <n v="2"/>
    <x v="0"/>
  </r>
  <r>
    <x v="6"/>
    <x v="0"/>
    <x v="214"/>
    <n v="2"/>
    <x v="0"/>
  </r>
  <r>
    <x v="5"/>
    <x v="0"/>
    <x v="62"/>
    <n v="2416"/>
    <x v="1"/>
  </r>
  <r>
    <x v="5"/>
    <x v="0"/>
    <x v="30"/>
    <n v="1241"/>
    <x v="1"/>
  </r>
  <r>
    <x v="6"/>
    <x v="0"/>
    <x v="201"/>
    <n v="1"/>
    <x v="0"/>
  </r>
  <r>
    <x v="6"/>
    <x v="0"/>
    <x v="63"/>
    <n v="583"/>
    <x v="1"/>
  </r>
  <r>
    <x v="6"/>
    <x v="0"/>
    <x v="204"/>
    <n v="1"/>
    <x v="0"/>
  </r>
  <r>
    <x v="6"/>
    <x v="0"/>
    <x v="143"/>
    <n v="3799"/>
    <x v="1"/>
  </r>
  <r>
    <x v="5"/>
    <x v="0"/>
    <x v="92"/>
    <n v="9"/>
    <x v="0"/>
  </r>
  <r>
    <x v="6"/>
    <x v="0"/>
    <x v="178"/>
    <n v="1"/>
    <x v="0"/>
  </r>
  <r>
    <x v="6"/>
    <x v="0"/>
    <x v="93"/>
    <n v="52"/>
    <x v="0"/>
  </r>
  <r>
    <x v="5"/>
    <x v="0"/>
    <x v="10"/>
    <n v="734"/>
    <x v="1"/>
  </r>
  <r>
    <x v="5"/>
    <x v="0"/>
    <x v="49"/>
    <n v="3"/>
    <x v="0"/>
  </r>
  <r>
    <x v="5"/>
    <x v="0"/>
    <x v="20"/>
    <n v="3"/>
    <x v="0"/>
  </r>
  <r>
    <x v="6"/>
    <x v="0"/>
    <x v="198"/>
    <n v="2346"/>
    <x v="1"/>
  </r>
  <r>
    <x v="7"/>
    <x v="0"/>
    <x v="39"/>
    <n v="2"/>
    <x v="0"/>
  </r>
  <r>
    <x v="7"/>
    <x v="0"/>
    <x v="71"/>
    <n v="3326"/>
    <x v="1"/>
  </r>
  <r>
    <x v="7"/>
    <x v="0"/>
    <x v="95"/>
    <n v="2641"/>
    <x v="1"/>
  </r>
  <r>
    <x v="1"/>
    <x v="0"/>
    <x v="141"/>
    <n v="2142"/>
    <x v="1"/>
  </r>
  <r>
    <x v="1"/>
    <x v="0"/>
    <x v="23"/>
    <n v="2"/>
    <x v="0"/>
  </r>
  <r>
    <x v="1"/>
    <x v="0"/>
    <x v="134"/>
    <n v="1134"/>
    <x v="1"/>
  </r>
  <r>
    <x v="7"/>
    <x v="0"/>
    <x v="124"/>
    <n v="2756"/>
    <x v="1"/>
  </r>
  <r>
    <x v="1"/>
    <x v="0"/>
    <x v="110"/>
    <n v="3"/>
    <x v="0"/>
  </r>
  <r>
    <x v="1"/>
    <x v="0"/>
    <x v="211"/>
    <n v="1"/>
    <x v="0"/>
  </r>
  <r>
    <x v="1"/>
    <x v="0"/>
    <x v="165"/>
    <n v="1"/>
    <x v="0"/>
  </r>
  <r>
    <x v="1"/>
    <x v="0"/>
    <x v="150"/>
    <n v="515"/>
    <x v="1"/>
  </r>
  <r>
    <x v="7"/>
    <x v="0"/>
    <x v="116"/>
    <n v="1826"/>
    <x v="1"/>
  </r>
  <r>
    <x v="1"/>
    <x v="0"/>
    <x v="176"/>
    <n v="1"/>
    <x v="0"/>
  </r>
  <r>
    <x v="7"/>
    <x v="0"/>
    <x v="94"/>
    <n v="707"/>
    <x v="1"/>
  </r>
  <r>
    <x v="7"/>
    <x v="0"/>
    <x v="168"/>
    <n v="310"/>
    <x v="1"/>
  </r>
  <r>
    <x v="7"/>
    <x v="0"/>
    <x v="82"/>
    <n v="3199"/>
    <x v="1"/>
  </r>
  <r>
    <x v="7"/>
    <x v="0"/>
    <x v="219"/>
    <n v="1"/>
    <x v="0"/>
  </r>
  <r>
    <x v="7"/>
    <x v="0"/>
    <x v="171"/>
    <n v="2169"/>
    <x v="1"/>
  </r>
  <r>
    <x v="7"/>
    <x v="0"/>
    <x v="73"/>
    <n v="689"/>
    <x v="1"/>
  </r>
  <r>
    <x v="1"/>
    <x v="0"/>
    <x v="13"/>
    <n v="3"/>
    <x v="0"/>
  </r>
  <r>
    <x v="7"/>
    <x v="0"/>
    <x v="44"/>
    <n v="2923"/>
    <x v="1"/>
  </r>
  <r>
    <x v="7"/>
    <x v="0"/>
    <x v="167"/>
    <n v="2284"/>
    <x v="1"/>
  </r>
  <r>
    <x v="1"/>
    <x v="0"/>
    <x v="206"/>
    <n v="1"/>
    <x v="0"/>
  </r>
  <r>
    <x v="7"/>
    <x v="0"/>
    <x v="51"/>
    <n v="2049"/>
    <x v="1"/>
  </r>
  <r>
    <x v="7"/>
    <x v="0"/>
    <x v="121"/>
    <n v="2264"/>
    <x v="1"/>
  </r>
  <r>
    <x v="1"/>
    <x v="0"/>
    <x v="1"/>
    <n v="31"/>
    <x v="0"/>
  </r>
  <r>
    <x v="1"/>
    <x v="0"/>
    <x v="204"/>
    <n v="1"/>
    <x v="0"/>
  </r>
  <r>
    <x v="1"/>
    <x v="0"/>
    <x v="3"/>
    <n v="886"/>
    <x v="1"/>
  </r>
  <r>
    <x v="1"/>
    <x v="0"/>
    <x v="136"/>
    <n v="2524"/>
    <x v="1"/>
  </r>
  <r>
    <x v="7"/>
    <x v="0"/>
    <x v="165"/>
    <n v="1"/>
    <x v="0"/>
  </r>
  <r>
    <x v="7"/>
    <x v="0"/>
    <x v="55"/>
    <n v="4"/>
    <x v="0"/>
  </r>
  <r>
    <x v="1"/>
    <x v="0"/>
    <x v="118"/>
    <n v="2828"/>
    <x v="1"/>
  </r>
  <r>
    <x v="7"/>
    <x v="0"/>
    <x v="97"/>
    <n v="766"/>
    <x v="1"/>
  </r>
  <r>
    <x v="7"/>
    <x v="0"/>
    <x v="75"/>
    <n v="915"/>
    <x v="1"/>
  </r>
  <r>
    <x v="7"/>
    <x v="0"/>
    <x v="119"/>
    <n v="14"/>
    <x v="0"/>
  </r>
  <r>
    <x v="1"/>
    <x v="0"/>
    <x v="121"/>
    <n v="2383"/>
    <x v="1"/>
  </r>
  <r>
    <x v="1"/>
    <x v="0"/>
    <x v="93"/>
    <n v="2676"/>
    <x v="1"/>
  </r>
  <r>
    <x v="1"/>
    <x v="0"/>
    <x v="147"/>
    <n v="823"/>
    <x v="1"/>
  </r>
  <r>
    <x v="1"/>
    <x v="0"/>
    <x v="156"/>
    <n v="1"/>
    <x v="0"/>
  </r>
  <r>
    <x v="7"/>
    <x v="0"/>
    <x v="13"/>
    <n v="3"/>
    <x v="0"/>
  </r>
  <r>
    <x v="1"/>
    <x v="0"/>
    <x v="137"/>
    <n v="1385"/>
    <x v="1"/>
  </r>
  <r>
    <x v="7"/>
    <x v="0"/>
    <x v="128"/>
    <n v="87"/>
    <x v="0"/>
  </r>
  <r>
    <x v="1"/>
    <x v="0"/>
    <x v="107"/>
    <n v="8"/>
    <x v="0"/>
  </r>
  <r>
    <x v="7"/>
    <x v="0"/>
    <x v="127"/>
    <n v="2750"/>
    <x v="1"/>
  </r>
  <r>
    <x v="7"/>
    <x v="0"/>
    <x v="184"/>
    <n v="1973"/>
    <x v="1"/>
  </r>
  <r>
    <x v="1"/>
    <x v="0"/>
    <x v="16"/>
    <n v="99"/>
    <x v="0"/>
  </r>
  <r>
    <x v="7"/>
    <x v="0"/>
    <x v="20"/>
    <n v="3"/>
    <x v="0"/>
  </r>
  <r>
    <x v="7"/>
    <x v="0"/>
    <x v="208"/>
    <n v="5"/>
    <x v="0"/>
  </r>
  <r>
    <x v="1"/>
    <x v="0"/>
    <x v="6"/>
    <n v="1"/>
    <x v="0"/>
  </r>
  <r>
    <x v="7"/>
    <x v="0"/>
    <x v="46"/>
    <n v="3012"/>
    <x v="1"/>
  </r>
  <r>
    <x v="7"/>
    <x v="0"/>
    <x v="92"/>
    <n v="7"/>
    <x v="0"/>
  </r>
  <r>
    <x v="1"/>
    <x v="0"/>
    <x v="32"/>
    <n v="14679"/>
    <x v="1"/>
  </r>
  <r>
    <x v="7"/>
    <x v="0"/>
    <x v="144"/>
    <n v="2776"/>
    <x v="1"/>
  </r>
  <r>
    <x v="7"/>
    <x v="0"/>
    <x v="122"/>
    <n v="20"/>
    <x v="0"/>
  </r>
  <r>
    <x v="1"/>
    <x v="0"/>
    <x v="77"/>
    <n v="5"/>
    <x v="0"/>
  </r>
  <r>
    <x v="7"/>
    <x v="0"/>
    <x v="188"/>
    <n v="2049"/>
    <x v="1"/>
  </r>
  <r>
    <x v="1"/>
    <x v="0"/>
    <x v="122"/>
    <n v="15"/>
    <x v="0"/>
  </r>
  <r>
    <x v="1"/>
    <x v="0"/>
    <x v="125"/>
    <n v="110"/>
    <x v="1"/>
  </r>
  <r>
    <x v="7"/>
    <x v="0"/>
    <x v="211"/>
    <n v="1"/>
    <x v="0"/>
  </r>
  <r>
    <x v="7"/>
    <x v="0"/>
    <x v="149"/>
    <n v="2408"/>
    <x v="1"/>
  </r>
  <r>
    <x v="1"/>
    <x v="0"/>
    <x v="40"/>
    <n v="3"/>
    <x v="0"/>
  </r>
  <r>
    <x v="1"/>
    <x v="0"/>
    <x v="105"/>
    <n v="2431"/>
    <x v="1"/>
  </r>
  <r>
    <x v="7"/>
    <x v="0"/>
    <x v="7"/>
    <n v="1128"/>
    <x v="1"/>
  </r>
  <r>
    <x v="1"/>
    <x v="0"/>
    <x v="11"/>
    <n v="2"/>
    <x v="0"/>
  </r>
  <r>
    <x v="1"/>
    <x v="0"/>
    <x v="74"/>
    <n v="2158"/>
    <x v="1"/>
  </r>
  <r>
    <x v="7"/>
    <x v="0"/>
    <x v="137"/>
    <n v="1442"/>
    <x v="1"/>
  </r>
  <r>
    <x v="1"/>
    <x v="0"/>
    <x v="48"/>
    <n v="2309"/>
    <x v="1"/>
  </r>
  <r>
    <x v="7"/>
    <x v="0"/>
    <x v="74"/>
    <n v="2049"/>
    <x v="1"/>
  </r>
  <r>
    <x v="1"/>
    <x v="0"/>
    <x v="116"/>
    <n v="568"/>
    <x v="1"/>
  </r>
  <r>
    <x v="7"/>
    <x v="0"/>
    <x v="198"/>
    <n v="2354"/>
    <x v="1"/>
  </r>
  <r>
    <x v="7"/>
    <x v="0"/>
    <x v="125"/>
    <n v="74"/>
    <x v="0"/>
  </r>
  <r>
    <x v="1"/>
    <x v="0"/>
    <x v="20"/>
    <n v="3"/>
    <x v="0"/>
  </r>
  <r>
    <x v="7"/>
    <x v="0"/>
    <x v="12"/>
    <n v="43"/>
    <x v="0"/>
  </r>
  <r>
    <x v="7"/>
    <x v="0"/>
    <x v="134"/>
    <n v="1052"/>
    <x v="1"/>
  </r>
  <r>
    <x v="7"/>
    <x v="0"/>
    <x v="80"/>
    <n v="24"/>
    <x v="0"/>
  </r>
  <r>
    <x v="1"/>
    <x v="0"/>
    <x v="64"/>
    <n v="2055"/>
    <x v="1"/>
  </r>
  <r>
    <x v="1"/>
    <x v="0"/>
    <x v="58"/>
    <n v="2593"/>
    <x v="1"/>
  </r>
  <r>
    <x v="1"/>
    <x v="0"/>
    <x v="80"/>
    <n v="34"/>
    <x v="0"/>
  </r>
  <r>
    <x v="7"/>
    <x v="0"/>
    <x v="146"/>
    <n v="3090"/>
    <x v="1"/>
  </r>
  <r>
    <x v="7"/>
    <x v="0"/>
    <x v="201"/>
    <n v="1"/>
    <x v="0"/>
  </r>
  <r>
    <x v="1"/>
    <x v="0"/>
    <x v="72"/>
    <n v="2837"/>
    <x v="1"/>
  </r>
  <r>
    <x v="7"/>
    <x v="0"/>
    <x v="206"/>
    <n v="2"/>
    <x v="0"/>
  </r>
  <r>
    <x v="7"/>
    <x v="0"/>
    <x v="117"/>
    <n v="2343"/>
    <x v="1"/>
  </r>
  <r>
    <x v="7"/>
    <x v="0"/>
    <x v="183"/>
    <n v="2617"/>
    <x v="1"/>
  </r>
  <r>
    <x v="7"/>
    <x v="0"/>
    <x v="107"/>
    <n v="7"/>
    <x v="0"/>
  </r>
  <r>
    <x v="1"/>
    <x v="0"/>
    <x v="117"/>
    <n v="2321"/>
    <x v="1"/>
  </r>
  <r>
    <x v="1"/>
    <x v="0"/>
    <x v="18"/>
    <n v="1"/>
    <x v="0"/>
  </r>
  <r>
    <x v="1"/>
    <x v="0"/>
    <x v="14"/>
    <n v="111"/>
    <x v="1"/>
  </r>
  <r>
    <x v="1"/>
    <x v="0"/>
    <x v="43"/>
    <n v="9"/>
    <x v="0"/>
  </r>
  <r>
    <x v="1"/>
    <x v="0"/>
    <x v="38"/>
    <n v="3310"/>
    <x v="1"/>
  </r>
  <r>
    <x v="7"/>
    <x v="0"/>
    <x v="36"/>
    <n v="3"/>
    <x v="0"/>
  </r>
  <r>
    <x v="1"/>
    <x v="0"/>
    <x v="55"/>
    <n v="7"/>
    <x v="0"/>
  </r>
  <r>
    <x v="7"/>
    <x v="0"/>
    <x v="56"/>
    <n v="2436"/>
    <x v="1"/>
  </r>
  <r>
    <x v="1"/>
    <x v="0"/>
    <x v="145"/>
    <n v="2551"/>
    <x v="1"/>
  </r>
  <r>
    <x v="1"/>
    <x v="0"/>
    <x v="10"/>
    <n v="728"/>
    <x v="1"/>
  </r>
  <r>
    <x v="1"/>
    <x v="0"/>
    <x v="152"/>
    <n v="2455"/>
    <x v="1"/>
  </r>
  <r>
    <x v="7"/>
    <x v="0"/>
    <x v="48"/>
    <n v="10"/>
    <x v="0"/>
  </r>
  <r>
    <x v="1"/>
    <x v="0"/>
    <x v="164"/>
    <n v="9"/>
    <x v="0"/>
  </r>
  <r>
    <x v="7"/>
    <x v="0"/>
    <x v="135"/>
    <n v="2038"/>
    <x v="1"/>
  </r>
  <r>
    <x v="7"/>
    <x v="0"/>
    <x v="67"/>
    <n v="1"/>
    <x v="0"/>
  </r>
  <r>
    <x v="7"/>
    <x v="0"/>
    <x v="212"/>
    <n v="1"/>
    <x v="0"/>
  </r>
  <r>
    <x v="1"/>
    <x v="0"/>
    <x v="49"/>
    <n v="3"/>
    <x v="0"/>
  </r>
  <r>
    <x v="1"/>
    <x v="0"/>
    <x v="57"/>
    <n v="8"/>
    <x v="0"/>
  </r>
  <r>
    <x v="1"/>
    <x v="0"/>
    <x v="172"/>
    <n v="1170"/>
    <x v="1"/>
  </r>
  <r>
    <x v="7"/>
    <x v="0"/>
    <x v="96"/>
    <n v="78"/>
    <x v="0"/>
  </r>
  <r>
    <x v="7"/>
    <x v="0"/>
    <x v="70"/>
    <n v="21"/>
    <x v="0"/>
  </r>
  <r>
    <x v="7"/>
    <x v="0"/>
    <x v="132"/>
    <n v="4"/>
    <x v="0"/>
  </r>
  <r>
    <x v="1"/>
    <x v="0"/>
    <x v="39"/>
    <n v="1"/>
    <x v="0"/>
  </r>
  <r>
    <x v="7"/>
    <x v="0"/>
    <x v="2"/>
    <n v="2832"/>
    <x v="1"/>
  </r>
  <r>
    <x v="7"/>
    <x v="0"/>
    <x v="100"/>
    <n v="1"/>
    <x v="0"/>
  </r>
  <r>
    <x v="7"/>
    <x v="0"/>
    <x v="103"/>
    <n v="694"/>
    <x v="1"/>
  </r>
  <r>
    <x v="1"/>
    <x v="0"/>
    <x v="124"/>
    <n v="2348"/>
    <x v="1"/>
  </r>
  <r>
    <x v="7"/>
    <x v="0"/>
    <x v="141"/>
    <n v="2217"/>
    <x v="1"/>
  </r>
  <r>
    <x v="1"/>
    <x v="0"/>
    <x v="157"/>
    <n v="1"/>
    <x v="0"/>
  </r>
  <r>
    <x v="7"/>
    <x v="0"/>
    <x v="151"/>
    <n v="2845"/>
    <x v="1"/>
  </r>
  <r>
    <x v="1"/>
    <x v="0"/>
    <x v="45"/>
    <n v="76"/>
    <x v="0"/>
  </r>
  <r>
    <x v="1"/>
    <x v="0"/>
    <x v="100"/>
    <n v="1"/>
    <x v="0"/>
  </r>
  <r>
    <x v="7"/>
    <x v="0"/>
    <x v="152"/>
    <n v="2396"/>
    <x v="1"/>
  </r>
  <r>
    <x v="7"/>
    <x v="0"/>
    <x v="214"/>
    <n v="2"/>
    <x v="0"/>
  </r>
  <r>
    <x v="1"/>
    <x v="0"/>
    <x v="51"/>
    <n v="2222"/>
    <x v="1"/>
  </r>
  <r>
    <x v="7"/>
    <x v="0"/>
    <x v="79"/>
    <n v="8321"/>
    <x v="1"/>
  </r>
  <r>
    <x v="7"/>
    <x v="0"/>
    <x v="38"/>
    <n v="3253"/>
    <x v="1"/>
  </r>
  <r>
    <x v="7"/>
    <x v="0"/>
    <x v="159"/>
    <n v="2"/>
    <x v="0"/>
  </r>
  <r>
    <x v="7"/>
    <x v="0"/>
    <x v="189"/>
    <n v="2932"/>
    <x v="1"/>
  </r>
  <r>
    <x v="7"/>
    <x v="0"/>
    <x v="166"/>
    <n v="21"/>
    <x v="0"/>
  </r>
  <r>
    <x v="1"/>
    <x v="0"/>
    <x v="163"/>
    <n v="6"/>
    <x v="0"/>
  </r>
  <r>
    <x v="1"/>
    <x v="0"/>
    <x v="8"/>
    <n v="3214"/>
    <x v="1"/>
  </r>
  <r>
    <x v="1"/>
    <x v="0"/>
    <x v="166"/>
    <n v="4"/>
    <x v="0"/>
  </r>
  <r>
    <x v="7"/>
    <x v="0"/>
    <x v="32"/>
    <n v="8120"/>
    <x v="1"/>
  </r>
  <r>
    <x v="7"/>
    <x v="0"/>
    <x v="5"/>
    <n v="1"/>
    <x v="0"/>
  </r>
  <r>
    <x v="1"/>
    <x v="0"/>
    <x v="209"/>
    <n v="1"/>
    <x v="0"/>
  </r>
  <r>
    <x v="1"/>
    <x v="0"/>
    <x v="56"/>
    <n v="2412"/>
    <x v="1"/>
  </r>
  <r>
    <x v="7"/>
    <x v="0"/>
    <x v="45"/>
    <n v="92"/>
    <x v="0"/>
  </r>
  <r>
    <x v="1"/>
    <x v="0"/>
    <x v="154"/>
    <n v="156"/>
    <x v="1"/>
  </r>
  <r>
    <x v="7"/>
    <x v="0"/>
    <x v="27"/>
    <n v="1946"/>
    <x v="1"/>
  </r>
  <r>
    <x v="1"/>
    <x v="0"/>
    <x v="127"/>
    <n v="2685"/>
    <x v="1"/>
  </r>
  <r>
    <x v="1"/>
    <x v="0"/>
    <x v="170"/>
    <n v="2394"/>
    <x v="1"/>
  </r>
  <r>
    <x v="7"/>
    <x v="0"/>
    <x v="197"/>
    <n v="2056"/>
    <x v="1"/>
  </r>
  <r>
    <x v="7"/>
    <x v="0"/>
    <x v="85"/>
    <n v="625"/>
    <x v="1"/>
  </r>
  <r>
    <x v="1"/>
    <x v="0"/>
    <x v="87"/>
    <n v="13"/>
    <x v="0"/>
  </r>
  <r>
    <x v="7"/>
    <x v="0"/>
    <x v="47"/>
    <n v="281"/>
    <x v="1"/>
  </r>
  <r>
    <x v="7"/>
    <x v="0"/>
    <x v="52"/>
    <n v="2339"/>
    <x v="1"/>
  </r>
  <r>
    <x v="1"/>
    <x v="0"/>
    <x v="108"/>
    <n v="538"/>
    <x v="1"/>
  </r>
  <r>
    <x v="7"/>
    <x v="0"/>
    <x v="205"/>
    <n v="2"/>
    <x v="0"/>
  </r>
  <r>
    <x v="1"/>
    <x v="0"/>
    <x v="135"/>
    <n v="2129"/>
    <x v="1"/>
  </r>
  <r>
    <x v="7"/>
    <x v="0"/>
    <x v="118"/>
    <n v="2753"/>
    <x v="1"/>
  </r>
  <r>
    <x v="7"/>
    <x v="0"/>
    <x v="105"/>
    <n v="2085"/>
    <x v="1"/>
  </r>
  <r>
    <x v="1"/>
    <x v="0"/>
    <x v="79"/>
    <n v="12245"/>
    <x v="1"/>
  </r>
  <r>
    <x v="7"/>
    <x v="0"/>
    <x v="1"/>
    <n v="27"/>
    <x v="0"/>
  </r>
  <r>
    <x v="1"/>
    <x v="0"/>
    <x v="73"/>
    <n v="633"/>
    <x v="1"/>
  </r>
  <r>
    <x v="7"/>
    <x v="0"/>
    <x v="215"/>
    <n v="1"/>
    <x v="0"/>
  </r>
  <r>
    <x v="1"/>
    <x v="0"/>
    <x v="207"/>
    <n v="8"/>
    <x v="0"/>
  </r>
  <r>
    <x v="1"/>
    <x v="0"/>
    <x v="75"/>
    <n v="1006"/>
    <x v="1"/>
  </r>
  <r>
    <x v="7"/>
    <x v="0"/>
    <x v="40"/>
    <n v="4"/>
    <x v="0"/>
  </r>
  <r>
    <x v="1"/>
    <x v="0"/>
    <x v="41"/>
    <n v="5"/>
    <x v="0"/>
  </r>
  <r>
    <x v="7"/>
    <x v="0"/>
    <x v="69"/>
    <n v="3196"/>
    <x v="1"/>
  </r>
  <r>
    <x v="1"/>
    <x v="0"/>
    <x v="21"/>
    <n v="2607"/>
    <x v="1"/>
  </r>
  <r>
    <x v="7"/>
    <x v="0"/>
    <x v="173"/>
    <n v="1"/>
    <x v="0"/>
  </r>
  <r>
    <x v="7"/>
    <x v="0"/>
    <x v="175"/>
    <n v="1"/>
    <x v="0"/>
  </r>
  <r>
    <x v="7"/>
    <x v="0"/>
    <x v="143"/>
    <n v="3766"/>
    <x v="1"/>
  </r>
  <r>
    <x v="1"/>
    <x v="0"/>
    <x v="61"/>
    <n v="960"/>
    <x v="1"/>
  </r>
  <r>
    <x v="1"/>
    <x v="0"/>
    <x v="202"/>
    <n v="1"/>
    <x v="0"/>
  </r>
  <r>
    <x v="7"/>
    <x v="0"/>
    <x v="161"/>
    <n v="1"/>
    <x v="0"/>
  </r>
  <r>
    <x v="1"/>
    <x v="0"/>
    <x v="4"/>
    <n v="3"/>
    <x v="0"/>
  </r>
  <r>
    <x v="1"/>
    <x v="0"/>
    <x v="33"/>
    <n v="2216"/>
    <x v="1"/>
  </r>
  <r>
    <x v="7"/>
    <x v="0"/>
    <x v="114"/>
    <n v="114"/>
    <x v="1"/>
  </r>
  <r>
    <x v="7"/>
    <x v="0"/>
    <x v="22"/>
    <n v="3315"/>
    <x v="1"/>
  </r>
  <r>
    <x v="7"/>
    <x v="0"/>
    <x v="111"/>
    <n v="2340"/>
    <x v="1"/>
  </r>
  <r>
    <x v="1"/>
    <x v="0"/>
    <x v="103"/>
    <n v="1332"/>
    <x v="1"/>
  </r>
  <r>
    <x v="7"/>
    <x v="0"/>
    <x v="185"/>
    <n v="1910"/>
    <x v="1"/>
  </r>
  <r>
    <x v="1"/>
    <x v="0"/>
    <x v="111"/>
    <n v="2300"/>
    <x v="1"/>
  </r>
  <r>
    <x v="1"/>
    <x v="0"/>
    <x v="158"/>
    <n v="1"/>
    <x v="0"/>
  </r>
  <r>
    <x v="1"/>
    <x v="0"/>
    <x v="203"/>
    <n v="1"/>
    <x v="0"/>
  </r>
  <r>
    <x v="1"/>
    <x v="0"/>
    <x v="144"/>
    <n v="2531"/>
    <x v="1"/>
  </r>
  <r>
    <x v="7"/>
    <x v="0"/>
    <x v="14"/>
    <n v="64"/>
    <x v="0"/>
  </r>
  <r>
    <x v="1"/>
    <x v="0"/>
    <x v="47"/>
    <n v="220"/>
    <x v="1"/>
  </r>
  <r>
    <x v="7"/>
    <x v="0"/>
    <x v="112"/>
    <n v="1"/>
    <x v="0"/>
  </r>
  <r>
    <x v="7"/>
    <x v="0"/>
    <x v="23"/>
    <n v="1"/>
    <x v="0"/>
  </r>
  <r>
    <x v="1"/>
    <x v="0"/>
    <x v="2"/>
    <n v="4343"/>
    <x v="1"/>
  </r>
  <r>
    <x v="1"/>
    <x v="0"/>
    <x v="86"/>
    <n v="2413"/>
    <x v="1"/>
  </r>
  <r>
    <x v="7"/>
    <x v="0"/>
    <x v="57"/>
    <n v="10"/>
    <x v="0"/>
  </r>
  <r>
    <x v="7"/>
    <x v="0"/>
    <x v="150"/>
    <n v="2800"/>
    <x v="1"/>
  </r>
  <r>
    <x v="1"/>
    <x v="0"/>
    <x v="65"/>
    <n v="2273"/>
    <x v="1"/>
  </r>
  <r>
    <x v="1"/>
    <x v="0"/>
    <x v="76"/>
    <n v="3"/>
    <x v="0"/>
  </r>
  <r>
    <x v="7"/>
    <x v="0"/>
    <x v="62"/>
    <n v="2181"/>
    <x v="1"/>
  </r>
  <r>
    <x v="7"/>
    <x v="0"/>
    <x v="29"/>
    <n v="3"/>
    <x v="0"/>
  </r>
  <r>
    <x v="1"/>
    <x v="0"/>
    <x v="143"/>
    <n v="1757"/>
    <x v="1"/>
  </r>
  <r>
    <x v="1"/>
    <x v="0"/>
    <x v="180"/>
    <n v="1"/>
    <x v="0"/>
  </r>
  <r>
    <x v="1"/>
    <x v="0"/>
    <x v="104"/>
    <n v="2279"/>
    <x v="1"/>
  </r>
  <r>
    <x v="1"/>
    <x v="0"/>
    <x v="90"/>
    <n v="1263"/>
    <x v="1"/>
  </r>
  <r>
    <x v="1"/>
    <x v="0"/>
    <x v="169"/>
    <n v="1"/>
    <x v="0"/>
  </r>
  <r>
    <x v="1"/>
    <x v="0"/>
    <x v="27"/>
    <n v="2200"/>
    <x v="1"/>
  </r>
  <r>
    <x v="1"/>
    <x v="0"/>
    <x v="0"/>
    <n v="40"/>
    <x v="0"/>
  </r>
  <r>
    <x v="1"/>
    <x v="0"/>
    <x v="95"/>
    <n v="2564"/>
    <x v="1"/>
  </r>
  <r>
    <x v="1"/>
    <x v="0"/>
    <x v="94"/>
    <n v="2513"/>
    <x v="1"/>
  </r>
  <r>
    <x v="1"/>
    <x v="0"/>
    <x v="101"/>
    <n v="1"/>
    <x v="0"/>
  </r>
  <r>
    <x v="1"/>
    <x v="0"/>
    <x v="218"/>
    <n v="1"/>
    <x v="0"/>
  </r>
  <r>
    <x v="1"/>
    <x v="0"/>
    <x v="98"/>
    <n v="1578"/>
    <x v="1"/>
  </r>
  <r>
    <x v="1"/>
    <x v="0"/>
    <x v="84"/>
    <n v="19"/>
    <x v="0"/>
  </r>
  <r>
    <x v="7"/>
    <x v="0"/>
    <x v="4"/>
    <n v="2"/>
    <x v="0"/>
  </r>
  <r>
    <x v="7"/>
    <x v="0"/>
    <x v="11"/>
    <n v="2"/>
    <x v="0"/>
  </r>
  <r>
    <x v="1"/>
    <x v="0"/>
    <x v="17"/>
    <n v="215"/>
    <x v="1"/>
  </r>
  <r>
    <x v="1"/>
    <x v="0"/>
    <x v="26"/>
    <n v="2273"/>
    <x v="1"/>
  </r>
  <r>
    <x v="7"/>
    <x v="0"/>
    <x v="108"/>
    <n v="499"/>
    <x v="1"/>
  </r>
  <r>
    <x v="1"/>
    <x v="0"/>
    <x v="132"/>
    <n v="3"/>
    <x v="0"/>
  </r>
  <r>
    <x v="7"/>
    <x v="0"/>
    <x v="164"/>
    <n v="177"/>
    <x v="1"/>
  </r>
  <r>
    <x v="1"/>
    <x v="0"/>
    <x v="146"/>
    <n v="2441"/>
    <x v="1"/>
  </r>
  <r>
    <x v="7"/>
    <x v="0"/>
    <x v="87"/>
    <n v="2290"/>
    <x v="1"/>
  </r>
  <r>
    <x v="7"/>
    <x v="0"/>
    <x v="58"/>
    <n v="2548"/>
    <x v="1"/>
  </r>
  <r>
    <x v="1"/>
    <x v="0"/>
    <x v="25"/>
    <n v="3"/>
    <x v="0"/>
  </r>
  <r>
    <x v="7"/>
    <x v="0"/>
    <x v="86"/>
    <n v="4627"/>
    <x v="1"/>
  </r>
  <r>
    <x v="7"/>
    <x v="0"/>
    <x v="99"/>
    <n v="2210"/>
    <x v="1"/>
  </r>
  <r>
    <x v="7"/>
    <x v="0"/>
    <x v="133"/>
    <n v="867"/>
    <x v="1"/>
  </r>
  <r>
    <x v="7"/>
    <x v="0"/>
    <x v="186"/>
    <n v="1091"/>
    <x v="1"/>
  </r>
  <r>
    <x v="7"/>
    <x v="0"/>
    <x v="43"/>
    <n v="11"/>
    <x v="0"/>
  </r>
  <r>
    <x v="1"/>
    <x v="0"/>
    <x v="216"/>
    <n v="1"/>
    <x v="0"/>
  </r>
  <r>
    <x v="1"/>
    <x v="0"/>
    <x v="83"/>
    <n v="3"/>
    <x v="0"/>
  </r>
  <r>
    <x v="1"/>
    <x v="0"/>
    <x v="31"/>
    <n v="2472"/>
    <x v="1"/>
  </r>
  <r>
    <x v="7"/>
    <x v="0"/>
    <x v="72"/>
    <n v="9"/>
    <x v="0"/>
  </r>
  <r>
    <x v="7"/>
    <x v="0"/>
    <x v="138"/>
    <n v="7"/>
    <x v="0"/>
  </r>
  <r>
    <x v="1"/>
    <x v="0"/>
    <x v="12"/>
    <n v="51"/>
    <x v="0"/>
  </r>
  <r>
    <x v="1"/>
    <x v="0"/>
    <x v="28"/>
    <n v="2271"/>
    <x v="1"/>
  </r>
  <r>
    <x v="7"/>
    <x v="0"/>
    <x v="131"/>
    <n v="3021"/>
    <x v="1"/>
  </r>
  <r>
    <x v="1"/>
    <x v="0"/>
    <x v="30"/>
    <n v="1233"/>
    <x v="1"/>
  </r>
  <r>
    <x v="7"/>
    <x v="0"/>
    <x v="123"/>
    <n v="2495"/>
    <x v="1"/>
  </r>
  <r>
    <x v="7"/>
    <x v="0"/>
    <x v="104"/>
    <n v="4010"/>
    <x v="1"/>
  </r>
  <r>
    <x v="7"/>
    <x v="0"/>
    <x v="160"/>
    <n v="3"/>
    <x v="0"/>
  </r>
  <r>
    <x v="7"/>
    <x v="0"/>
    <x v="64"/>
    <n v="1319"/>
    <x v="1"/>
  </r>
  <r>
    <x v="7"/>
    <x v="0"/>
    <x v="136"/>
    <n v="2732"/>
    <x v="1"/>
  </r>
  <r>
    <x v="1"/>
    <x v="0"/>
    <x v="128"/>
    <n v="2260"/>
    <x v="1"/>
  </r>
  <r>
    <x v="1"/>
    <x v="0"/>
    <x v="15"/>
    <n v="4"/>
    <x v="0"/>
  </r>
  <r>
    <x v="7"/>
    <x v="0"/>
    <x v="76"/>
    <n v="2"/>
    <x v="0"/>
  </r>
  <r>
    <x v="7"/>
    <x v="0"/>
    <x v="120"/>
    <n v="350"/>
    <x v="1"/>
  </r>
  <r>
    <x v="7"/>
    <x v="0"/>
    <x v="93"/>
    <n v="70"/>
    <x v="0"/>
  </r>
  <r>
    <x v="7"/>
    <x v="0"/>
    <x v="199"/>
    <n v="2242"/>
    <x v="1"/>
  </r>
  <r>
    <x v="1"/>
    <x v="0"/>
    <x v="97"/>
    <n v="933"/>
    <x v="1"/>
  </r>
  <r>
    <x v="1"/>
    <x v="0"/>
    <x v="201"/>
    <n v="1"/>
    <x v="0"/>
  </r>
  <r>
    <x v="1"/>
    <x v="0"/>
    <x v="140"/>
    <n v="3255"/>
    <x v="1"/>
  </r>
  <r>
    <x v="1"/>
    <x v="0"/>
    <x v="82"/>
    <n v="3469"/>
    <x v="1"/>
  </r>
  <r>
    <x v="1"/>
    <x v="0"/>
    <x v="96"/>
    <n v="82"/>
    <x v="0"/>
  </r>
  <r>
    <x v="1"/>
    <x v="0"/>
    <x v="205"/>
    <n v="2"/>
    <x v="0"/>
  </r>
  <r>
    <x v="7"/>
    <x v="0"/>
    <x v="153"/>
    <n v="2082"/>
    <x v="1"/>
  </r>
  <r>
    <x v="7"/>
    <x v="0"/>
    <x v="162"/>
    <n v="2"/>
    <x v="0"/>
  </r>
  <r>
    <x v="7"/>
    <x v="0"/>
    <x v="176"/>
    <n v="1"/>
    <x v="0"/>
  </r>
  <r>
    <x v="1"/>
    <x v="0"/>
    <x v="70"/>
    <n v="19"/>
    <x v="0"/>
  </r>
  <r>
    <x v="1"/>
    <x v="0"/>
    <x v="153"/>
    <n v="33"/>
    <x v="0"/>
  </r>
  <r>
    <x v="1"/>
    <x v="0"/>
    <x v="120"/>
    <n v="288"/>
    <x v="1"/>
  </r>
  <r>
    <x v="7"/>
    <x v="0"/>
    <x v="17"/>
    <n v="571"/>
    <x v="1"/>
  </r>
  <r>
    <x v="1"/>
    <x v="0"/>
    <x v="62"/>
    <n v="2340"/>
    <x v="1"/>
  </r>
  <r>
    <x v="7"/>
    <x v="0"/>
    <x v="179"/>
    <n v="5"/>
    <x v="0"/>
  </r>
  <r>
    <x v="7"/>
    <x v="0"/>
    <x v="25"/>
    <n v="3"/>
    <x v="0"/>
  </r>
  <r>
    <x v="1"/>
    <x v="0"/>
    <x v="167"/>
    <n v="2263"/>
    <x v="1"/>
  </r>
  <r>
    <x v="7"/>
    <x v="0"/>
    <x v="155"/>
    <n v="1"/>
    <x v="0"/>
  </r>
  <r>
    <x v="7"/>
    <x v="0"/>
    <x v="16"/>
    <n v="6"/>
    <x v="0"/>
  </r>
  <r>
    <x v="7"/>
    <x v="0"/>
    <x v="204"/>
    <n v="1"/>
    <x v="0"/>
  </r>
  <r>
    <x v="7"/>
    <x v="0"/>
    <x v="102"/>
    <n v="2741"/>
    <x v="1"/>
  </r>
  <r>
    <x v="1"/>
    <x v="0"/>
    <x v="68"/>
    <n v="2"/>
    <x v="0"/>
  </r>
  <r>
    <x v="1"/>
    <x v="0"/>
    <x v="92"/>
    <n v="9"/>
    <x v="0"/>
  </r>
  <r>
    <x v="7"/>
    <x v="0"/>
    <x v="174"/>
    <n v="1"/>
    <x v="0"/>
  </r>
  <r>
    <x v="7"/>
    <x v="0"/>
    <x v="84"/>
    <n v="31"/>
    <x v="0"/>
  </r>
  <r>
    <x v="1"/>
    <x v="0"/>
    <x v="71"/>
    <n v="3238"/>
    <x v="1"/>
  </r>
  <r>
    <x v="1"/>
    <x v="0"/>
    <x v="88"/>
    <n v="2506"/>
    <x v="1"/>
  </r>
  <r>
    <x v="1"/>
    <x v="0"/>
    <x v="159"/>
    <n v="1"/>
    <x v="0"/>
  </r>
  <r>
    <x v="1"/>
    <x v="0"/>
    <x v="37"/>
    <n v="819"/>
    <x v="1"/>
  </r>
  <r>
    <x v="7"/>
    <x v="0"/>
    <x v="154"/>
    <n v="748"/>
    <x v="1"/>
  </r>
  <r>
    <x v="1"/>
    <x v="0"/>
    <x v="133"/>
    <n v="2833"/>
    <x v="1"/>
  </r>
  <r>
    <x v="7"/>
    <x v="0"/>
    <x v="65"/>
    <n v="433"/>
    <x v="1"/>
  </r>
  <r>
    <x v="7"/>
    <x v="0"/>
    <x v="21"/>
    <n v="2951"/>
    <x v="1"/>
  </r>
  <r>
    <x v="7"/>
    <x v="0"/>
    <x v="207"/>
    <n v="13"/>
    <x v="0"/>
  </r>
  <r>
    <x v="7"/>
    <x v="0"/>
    <x v="91"/>
    <n v="16"/>
    <x v="0"/>
  </r>
  <r>
    <x v="7"/>
    <x v="0"/>
    <x v="192"/>
    <n v="3014"/>
    <x v="1"/>
  </r>
  <r>
    <x v="7"/>
    <x v="0"/>
    <x v="181"/>
    <n v="145"/>
    <x v="1"/>
  </r>
  <r>
    <x v="7"/>
    <x v="0"/>
    <x v="10"/>
    <n v="746"/>
    <x v="1"/>
  </r>
  <r>
    <x v="7"/>
    <x v="0"/>
    <x v="19"/>
    <n v="239"/>
    <x v="1"/>
  </r>
  <r>
    <x v="1"/>
    <x v="0"/>
    <x v="142"/>
    <n v="2077"/>
    <x v="1"/>
  </r>
  <r>
    <x v="1"/>
    <x v="0"/>
    <x v="35"/>
    <n v="117"/>
    <x v="1"/>
  </r>
  <r>
    <x v="7"/>
    <x v="0"/>
    <x v="33"/>
    <n v="144"/>
    <x v="1"/>
  </r>
  <r>
    <x v="1"/>
    <x v="0"/>
    <x v="44"/>
    <n v="2703"/>
    <x v="1"/>
  </r>
  <r>
    <x v="1"/>
    <x v="0"/>
    <x v="102"/>
    <n v="2250"/>
    <x v="1"/>
  </r>
  <r>
    <x v="7"/>
    <x v="0"/>
    <x v="145"/>
    <n v="3"/>
    <x v="0"/>
  </r>
  <r>
    <x v="1"/>
    <x v="0"/>
    <x v="131"/>
    <n v="2994"/>
    <x v="1"/>
  </r>
  <r>
    <x v="1"/>
    <x v="0"/>
    <x v="196"/>
    <n v="1"/>
    <x v="0"/>
  </r>
  <r>
    <x v="7"/>
    <x v="0"/>
    <x v="24"/>
    <n v="13"/>
    <x v="0"/>
  </r>
  <r>
    <x v="1"/>
    <x v="0"/>
    <x v="52"/>
    <n v="2471"/>
    <x v="1"/>
  </r>
  <r>
    <x v="7"/>
    <x v="0"/>
    <x v="169"/>
    <n v="2"/>
    <x v="0"/>
  </r>
  <r>
    <x v="1"/>
    <x v="0"/>
    <x v="34"/>
    <n v="2"/>
    <x v="0"/>
  </r>
  <r>
    <x v="7"/>
    <x v="0"/>
    <x v="9"/>
    <n v="2778"/>
    <x v="1"/>
  </r>
  <r>
    <x v="1"/>
    <x v="0"/>
    <x v="151"/>
    <n v="2366"/>
    <x v="1"/>
  </r>
  <r>
    <x v="1"/>
    <x v="0"/>
    <x v="59"/>
    <n v="127"/>
    <x v="1"/>
  </r>
  <r>
    <x v="7"/>
    <x v="0"/>
    <x v="89"/>
    <n v="2511"/>
    <x v="1"/>
  </r>
  <r>
    <x v="1"/>
    <x v="0"/>
    <x v="5"/>
    <n v="1"/>
    <x v="0"/>
  </r>
  <r>
    <x v="7"/>
    <x v="0"/>
    <x v="147"/>
    <n v="846"/>
    <x v="1"/>
  </r>
  <r>
    <x v="7"/>
    <x v="0"/>
    <x v="3"/>
    <n v="889"/>
    <x v="1"/>
  </r>
  <r>
    <x v="1"/>
    <x v="0"/>
    <x v="213"/>
    <n v="2"/>
    <x v="0"/>
  </r>
  <r>
    <x v="7"/>
    <x v="0"/>
    <x v="18"/>
    <n v="1"/>
    <x v="0"/>
  </r>
  <r>
    <x v="7"/>
    <x v="0"/>
    <x v="26"/>
    <n v="2043"/>
    <x v="1"/>
  </r>
  <r>
    <x v="1"/>
    <x v="0"/>
    <x v="161"/>
    <n v="2"/>
    <x v="0"/>
  </r>
  <r>
    <x v="7"/>
    <x v="0"/>
    <x v="170"/>
    <n v="2646"/>
    <x v="1"/>
  </r>
  <r>
    <x v="1"/>
    <x v="0"/>
    <x v="208"/>
    <n v="4"/>
    <x v="0"/>
  </r>
  <r>
    <x v="1"/>
    <x v="0"/>
    <x v="78"/>
    <n v="122"/>
    <x v="1"/>
  </r>
  <r>
    <x v="1"/>
    <x v="0"/>
    <x v="67"/>
    <n v="1"/>
    <x v="0"/>
  </r>
  <r>
    <x v="7"/>
    <x v="0"/>
    <x v="190"/>
    <n v="558"/>
    <x v="1"/>
  </r>
  <r>
    <x v="7"/>
    <x v="0"/>
    <x v="110"/>
    <n v="6"/>
    <x v="0"/>
  </r>
  <r>
    <x v="7"/>
    <x v="0"/>
    <x v="157"/>
    <n v="2"/>
    <x v="0"/>
  </r>
  <r>
    <x v="7"/>
    <x v="0"/>
    <x v="30"/>
    <n v="1123"/>
    <x v="1"/>
  </r>
  <r>
    <x v="7"/>
    <x v="0"/>
    <x v="90"/>
    <n v="1264"/>
    <x v="1"/>
  </r>
  <r>
    <x v="7"/>
    <x v="0"/>
    <x v="177"/>
    <n v="1"/>
    <x v="0"/>
  </r>
  <r>
    <x v="7"/>
    <x v="0"/>
    <x v="106"/>
    <n v="2002"/>
    <x v="1"/>
  </r>
  <r>
    <x v="1"/>
    <x v="0"/>
    <x v="22"/>
    <n v="3353"/>
    <x v="1"/>
  </r>
  <r>
    <x v="1"/>
    <x v="0"/>
    <x v="119"/>
    <n v="7"/>
    <x v="0"/>
  </r>
  <r>
    <x v="7"/>
    <x v="0"/>
    <x v="37"/>
    <n v="833"/>
    <x v="1"/>
  </r>
  <r>
    <x v="7"/>
    <x v="0"/>
    <x v="50"/>
    <n v="527"/>
    <x v="1"/>
  </r>
  <r>
    <x v="7"/>
    <x v="0"/>
    <x v="195"/>
    <n v="2"/>
    <x v="0"/>
  </r>
  <r>
    <x v="7"/>
    <x v="0"/>
    <x v="180"/>
    <n v="1"/>
    <x v="0"/>
  </r>
  <r>
    <x v="7"/>
    <x v="0"/>
    <x v="196"/>
    <n v="2"/>
    <x v="0"/>
  </r>
  <r>
    <x v="7"/>
    <x v="0"/>
    <x v="78"/>
    <n v="112"/>
    <x v="1"/>
  </r>
  <r>
    <x v="1"/>
    <x v="0"/>
    <x v="149"/>
    <n v="2299"/>
    <x v="1"/>
  </r>
  <r>
    <x v="1"/>
    <x v="0"/>
    <x v="91"/>
    <n v="3965"/>
    <x v="1"/>
  </r>
  <r>
    <x v="7"/>
    <x v="0"/>
    <x v="158"/>
    <n v="1"/>
    <x v="0"/>
  </r>
  <r>
    <x v="1"/>
    <x v="0"/>
    <x v="85"/>
    <n v="628"/>
    <x v="1"/>
  </r>
  <r>
    <x v="1"/>
    <x v="0"/>
    <x v="113"/>
    <n v="2480"/>
    <x v="1"/>
  </r>
  <r>
    <x v="7"/>
    <x v="0"/>
    <x v="66"/>
    <n v="3343"/>
    <x v="1"/>
  </r>
  <r>
    <x v="7"/>
    <x v="0"/>
    <x v="187"/>
    <n v="1053"/>
    <x v="1"/>
  </r>
  <r>
    <x v="1"/>
    <x v="0"/>
    <x v="66"/>
    <n v="3173"/>
    <x v="1"/>
  </r>
  <r>
    <x v="7"/>
    <x v="0"/>
    <x v="31"/>
    <n v="2490"/>
    <x v="1"/>
  </r>
  <r>
    <x v="1"/>
    <x v="0"/>
    <x v="112"/>
    <n v="1"/>
    <x v="0"/>
  </r>
  <r>
    <x v="1"/>
    <x v="0"/>
    <x v="42"/>
    <n v="1"/>
    <x v="0"/>
  </r>
  <r>
    <x v="7"/>
    <x v="0"/>
    <x v="28"/>
    <n v="2521"/>
    <x v="1"/>
  </r>
  <r>
    <x v="7"/>
    <x v="0"/>
    <x v="98"/>
    <n v="1379"/>
    <x v="1"/>
  </r>
  <r>
    <x v="1"/>
    <x v="0"/>
    <x v="148"/>
    <n v="2631"/>
    <x v="1"/>
  </r>
  <r>
    <x v="1"/>
    <x v="0"/>
    <x v="19"/>
    <n v="227"/>
    <x v="1"/>
  </r>
  <r>
    <x v="7"/>
    <x v="0"/>
    <x v="35"/>
    <n v="78"/>
    <x v="0"/>
  </r>
  <r>
    <x v="7"/>
    <x v="0"/>
    <x v="172"/>
    <n v="1586"/>
    <x v="1"/>
  </r>
  <r>
    <x v="7"/>
    <x v="0"/>
    <x v="59"/>
    <n v="200"/>
    <x v="1"/>
  </r>
  <r>
    <x v="1"/>
    <x v="0"/>
    <x v="36"/>
    <n v="4"/>
    <x v="0"/>
  </r>
  <r>
    <x v="7"/>
    <x v="0"/>
    <x v="61"/>
    <n v="883"/>
    <x v="1"/>
  </r>
  <r>
    <x v="7"/>
    <x v="0"/>
    <x v="15"/>
    <n v="3"/>
    <x v="0"/>
  </r>
  <r>
    <x v="1"/>
    <x v="0"/>
    <x v="53"/>
    <n v="50"/>
    <x v="0"/>
  </r>
  <r>
    <x v="7"/>
    <x v="0"/>
    <x v="191"/>
    <n v="2934"/>
    <x v="1"/>
  </r>
  <r>
    <x v="1"/>
    <x v="0"/>
    <x v="115"/>
    <n v="3913"/>
    <x v="1"/>
  </r>
  <r>
    <x v="1"/>
    <x v="0"/>
    <x v="160"/>
    <n v="1"/>
    <x v="0"/>
  </r>
  <r>
    <x v="1"/>
    <x v="0"/>
    <x v="24"/>
    <n v="4"/>
    <x v="0"/>
  </r>
  <r>
    <x v="7"/>
    <x v="0"/>
    <x v="8"/>
    <n v="2794"/>
    <x v="1"/>
  </r>
  <r>
    <x v="1"/>
    <x v="0"/>
    <x v="29"/>
    <n v="12"/>
    <x v="0"/>
  </r>
  <r>
    <x v="7"/>
    <x v="0"/>
    <x v="77"/>
    <n v="4"/>
    <x v="0"/>
  </r>
  <r>
    <x v="1"/>
    <x v="0"/>
    <x v="114"/>
    <n v="87"/>
    <x v="0"/>
  </r>
  <r>
    <x v="1"/>
    <x v="0"/>
    <x v="69"/>
    <n v="3037"/>
    <x v="1"/>
  </r>
  <r>
    <x v="7"/>
    <x v="0"/>
    <x v="53"/>
    <n v="90"/>
    <x v="0"/>
  </r>
  <r>
    <x v="1"/>
    <x v="0"/>
    <x v="155"/>
    <n v="1"/>
    <x v="0"/>
  </r>
  <r>
    <x v="7"/>
    <x v="0"/>
    <x v="202"/>
    <n v="1"/>
    <x v="0"/>
  </r>
  <r>
    <x v="7"/>
    <x v="0"/>
    <x v="193"/>
    <n v="36"/>
    <x v="0"/>
  </r>
  <r>
    <x v="1"/>
    <x v="0"/>
    <x v="106"/>
    <n v="2162"/>
    <x v="1"/>
  </r>
  <r>
    <x v="1"/>
    <x v="0"/>
    <x v="54"/>
    <n v="2898"/>
    <x v="1"/>
  </r>
  <r>
    <x v="7"/>
    <x v="0"/>
    <x v="115"/>
    <n v="3684"/>
    <x v="1"/>
  </r>
  <r>
    <x v="7"/>
    <x v="0"/>
    <x v="194"/>
    <n v="1"/>
    <x v="0"/>
  </r>
  <r>
    <x v="7"/>
    <x v="0"/>
    <x v="213"/>
    <n v="2"/>
    <x v="0"/>
  </r>
  <r>
    <x v="7"/>
    <x v="0"/>
    <x v="83"/>
    <n v="7"/>
    <x v="0"/>
  </r>
  <r>
    <x v="1"/>
    <x v="0"/>
    <x v="81"/>
    <n v="4"/>
    <x v="0"/>
  </r>
  <r>
    <x v="1"/>
    <x v="0"/>
    <x v="129"/>
    <n v="2638"/>
    <x v="1"/>
  </r>
  <r>
    <x v="1"/>
    <x v="0"/>
    <x v="123"/>
    <n v="2994"/>
    <x v="1"/>
  </r>
  <r>
    <x v="7"/>
    <x v="0"/>
    <x v="139"/>
    <n v="2601"/>
    <x v="1"/>
  </r>
  <r>
    <x v="1"/>
    <x v="0"/>
    <x v="138"/>
    <n v="2999"/>
    <x v="1"/>
  </r>
  <r>
    <x v="7"/>
    <x v="0"/>
    <x v="88"/>
    <n v="2765"/>
    <x v="1"/>
  </r>
  <r>
    <x v="1"/>
    <x v="0"/>
    <x v="60"/>
    <n v="1"/>
    <x v="0"/>
  </r>
  <r>
    <x v="7"/>
    <x v="0"/>
    <x v="68"/>
    <n v="3"/>
    <x v="0"/>
  </r>
  <r>
    <x v="7"/>
    <x v="0"/>
    <x v="109"/>
    <n v="65"/>
    <x v="0"/>
  </r>
  <r>
    <x v="7"/>
    <x v="0"/>
    <x v="54"/>
    <n v="20"/>
    <x v="0"/>
  </r>
  <r>
    <x v="1"/>
    <x v="0"/>
    <x v="139"/>
    <n v="2414"/>
    <x v="1"/>
  </r>
  <r>
    <x v="1"/>
    <x v="0"/>
    <x v="63"/>
    <n v="508"/>
    <x v="1"/>
  </r>
  <r>
    <x v="7"/>
    <x v="0"/>
    <x v="81"/>
    <n v="5"/>
    <x v="0"/>
  </r>
  <r>
    <x v="7"/>
    <x v="0"/>
    <x v="129"/>
    <n v="2355"/>
    <x v="1"/>
  </r>
  <r>
    <x v="7"/>
    <x v="0"/>
    <x v="140"/>
    <n v="3852"/>
    <x v="1"/>
  </r>
  <r>
    <x v="1"/>
    <x v="0"/>
    <x v="99"/>
    <n v="2226"/>
    <x v="1"/>
  </r>
  <r>
    <x v="1"/>
    <x v="0"/>
    <x v="126"/>
    <n v="314"/>
    <x v="1"/>
  </r>
  <r>
    <x v="1"/>
    <x v="0"/>
    <x v="109"/>
    <n v="10"/>
    <x v="0"/>
  </r>
  <r>
    <x v="1"/>
    <x v="0"/>
    <x v="168"/>
    <n v="17"/>
    <x v="0"/>
  </r>
  <r>
    <x v="1"/>
    <x v="0"/>
    <x v="50"/>
    <n v="753"/>
    <x v="1"/>
  </r>
  <r>
    <x v="7"/>
    <x v="0"/>
    <x v="0"/>
    <n v="38"/>
    <x v="0"/>
  </r>
  <r>
    <x v="1"/>
    <x v="0"/>
    <x v="171"/>
    <n v="2151"/>
    <x v="1"/>
  </r>
  <r>
    <x v="1"/>
    <x v="0"/>
    <x v="89"/>
    <n v="2505"/>
    <x v="1"/>
  </r>
  <r>
    <x v="1"/>
    <x v="0"/>
    <x v="217"/>
    <n v="1"/>
    <x v="0"/>
  </r>
  <r>
    <x v="7"/>
    <x v="0"/>
    <x v="63"/>
    <n v="595"/>
    <x v="1"/>
  </r>
  <r>
    <x v="7"/>
    <x v="0"/>
    <x v="142"/>
    <n v="2363"/>
    <x v="1"/>
  </r>
  <r>
    <x v="1"/>
    <x v="0"/>
    <x v="46"/>
    <n v="2656"/>
    <x v="1"/>
  </r>
  <r>
    <x v="1"/>
    <x v="0"/>
    <x v="9"/>
    <n v="2697"/>
    <x v="1"/>
  </r>
  <r>
    <x v="7"/>
    <x v="0"/>
    <x v="60"/>
    <n v="1"/>
    <x v="0"/>
  </r>
  <r>
    <x v="7"/>
    <x v="0"/>
    <x v="113"/>
    <n v="2526"/>
    <x v="1"/>
  </r>
  <r>
    <x v="1"/>
    <x v="0"/>
    <x v="162"/>
    <n v="1"/>
    <x v="0"/>
  </r>
  <r>
    <x v="7"/>
    <x v="0"/>
    <x v="182"/>
    <n v="2267"/>
    <x v="1"/>
  </r>
  <r>
    <x v="7"/>
    <x v="0"/>
    <x v="126"/>
    <n v="177"/>
    <x v="1"/>
  </r>
  <r>
    <x v="1"/>
    <x v="0"/>
    <x v="7"/>
    <n v="3026"/>
    <x v="1"/>
  </r>
  <r>
    <x v="7"/>
    <x v="0"/>
    <x v="41"/>
    <n v="2"/>
    <x v="0"/>
  </r>
  <r>
    <x v="7"/>
    <x v="0"/>
    <x v="178"/>
    <n v="1"/>
    <x v="0"/>
  </r>
  <r>
    <x v="7"/>
    <x v="0"/>
    <x v="217"/>
    <n v="1"/>
    <x v="0"/>
  </r>
  <r>
    <x v="7"/>
    <x v="0"/>
    <x v="34"/>
    <n v="2"/>
    <x v="0"/>
  </r>
  <r>
    <x v="7"/>
    <x v="0"/>
    <x v="148"/>
    <n v="2627"/>
    <x v="1"/>
  </r>
  <r>
    <x v="8"/>
    <x v="0"/>
    <x v="142"/>
    <n v="2117"/>
    <x v="1"/>
  </r>
  <r>
    <x v="8"/>
    <x v="0"/>
    <x v="48"/>
    <n v="2314"/>
    <x v="1"/>
  </r>
  <r>
    <x v="9"/>
    <x v="0"/>
    <x v="123"/>
    <n v="2491"/>
    <x v="1"/>
  </r>
  <r>
    <x v="9"/>
    <x v="0"/>
    <x v="77"/>
    <n v="5"/>
    <x v="0"/>
  </r>
  <r>
    <x v="8"/>
    <x v="0"/>
    <x v="92"/>
    <n v="9"/>
    <x v="0"/>
  </r>
  <r>
    <x v="9"/>
    <x v="0"/>
    <x v="3"/>
    <n v="889"/>
    <x v="1"/>
  </r>
  <r>
    <x v="8"/>
    <x v="0"/>
    <x v="13"/>
    <n v="3"/>
    <x v="0"/>
  </r>
  <r>
    <x v="9"/>
    <x v="0"/>
    <x v="60"/>
    <n v="1"/>
    <x v="0"/>
  </r>
  <r>
    <x v="8"/>
    <x v="0"/>
    <x v="85"/>
    <n v="631"/>
    <x v="1"/>
  </r>
  <r>
    <x v="8"/>
    <x v="0"/>
    <x v="110"/>
    <n v="3"/>
    <x v="0"/>
  </r>
  <r>
    <x v="9"/>
    <x v="0"/>
    <x v="173"/>
    <n v="1"/>
    <x v="0"/>
  </r>
  <r>
    <x v="9"/>
    <x v="0"/>
    <x v="108"/>
    <n v="499"/>
    <x v="1"/>
  </r>
  <r>
    <x v="9"/>
    <x v="0"/>
    <x v="19"/>
    <n v="237"/>
    <x v="1"/>
  </r>
  <r>
    <x v="8"/>
    <x v="0"/>
    <x v="120"/>
    <n v="300"/>
    <x v="1"/>
  </r>
  <r>
    <x v="8"/>
    <x v="0"/>
    <x v="61"/>
    <n v="957"/>
    <x v="1"/>
  </r>
  <r>
    <x v="9"/>
    <x v="0"/>
    <x v="64"/>
    <n v="1314"/>
    <x v="1"/>
  </r>
  <r>
    <x v="8"/>
    <x v="0"/>
    <x v="121"/>
    <n v="2417"/>
    <x v="1"/>
  </r>
  <r>
    <x v="9"/>
    <x v="0"/>
    <x v="21"/>
    <n v="2978"/>
    <x v="1"/>
  </r>
  <r>
    <x v="8"/>
    <x v="0"/>
    <x v="72"/>
    <n v="2835"/>
    <x v="1"/>
  </r>
  <r>
    <x v="9"/>
    <x v="0"/>
    <x v="24"/>
    <n v="13"/>
    <x v="0"/>
  </r>
  <r>
    <x v="9"/>
    <x v="0"/>
    <x v="48"/>
    <n v="10"/>
    <x v="0"/>
  </r>
  <r>
    <x v="9"/>
    <x v="0"/>
    <x v="58"/>
    <n v="2544"/>
    <x v="1"/>
  </r>
  <r>
    <x v="9"/>
    <x v="0"/>
    <x v="54"/>
    <n v="21"/>
    <x v="0"/>
  </r>
  <r>
    <x v="8"/>
    <x v="0"/>
    <x v="136"/>
    <n v="2558"/>
    <x v="1"/>
  </r>
  <r>
    <x v="9"/>
    <x v="0"/>
    <x v="162"/>
    <n v="2"/>
    <x v="0"/>
  </r>
  <r>
    <x v="8"/>
    <x v="0"/>
    <x v="125"/>
    <n v="112"/>
    <x v="1"/>
  </r>
  <r>
    <x v="9"/>
    <x v="0"/>
    <x v="193"/>
    <n v="1076"/>
    <x v="1"/>
  </r>
  <r>
    <x v="9"/>
    <x v="0"/>
    <x v="136"/>
    <n v="2750"/>
    <x v="1"/>
  </r>
  <r>
    <x v="8"/>
    <x v="0"/>
    <x v="16"/>
    <n v="100"/>
    <x v="1"/>
  </r>
  <r>
    <x v="9"/>
    <x v="0"/>
    <x v="128"/>
    <n v="86"/>
    <x v="0"/>
  </r>
  <r>
    <x v="9"/>
    <x v="0"/>
    <x v="172"/>
    <n v="1616"/>
    <x v="1"/>
  </r>
  <r>
    <x v="8"/>
    <x v="0"/>
    <x v="89"/>
    <n v="2515"/>
    <x v="1"/>
  </r>
  <r>
    <x v="8"/>
    <x v="0"/>
    <x v="161"/>
    <n v="2"/>
    <x v="0"/>
  </r>
  <r>
    <x v="8"/>
    <x v="0"/>
    <x v="166"/>
    <n v="9"/>
    <x v="0"/>
  </r>
  <r>
    <x v="8"/>
    <x v="0"/>
    <x v="204"/>
    <n v="1"/>
    <x v="0"/>
  </r>
  <r>
    <x v="9"/>
    <x v="0"/>
    <x v="118"/>
    <n v="2776"/>
    <x v="1"/>
  </r>
  <r>
    <x v="9"/>
    <x v="0"/>
    <x v="149"/>
    <n v="2427"/>
    <x v="1"/>
  </r>
  <r>
    <x v="8"/>
    <x v="0"/>
    <x v="122"/>
    <n v="15"/>
    <x v="0"/>
  </r>
  <r>
    <x v="8"/>
    <x v="0"/>
    <x v="128"/>
    <n v="2256"/>
    <x v="1"/>
  </r>
  <r>
    <x v="9"/>
    <x v="0"/>
    <x v="148"/>
    <n v="2658"/>
    <x v="1"/>
  </r>
  <r>
    <x v="8"/>
    <x v="0"/>
    <x v="218"/>
    <n v="1"/>
    <x v="0"/>
  </r>
  <r>
    <x v="9"/>
    <x v="0"/>
    <x v="187"/>
    <n v="1085"/>
    <x v="1"/>
  </r>
  <r>
    <x v="9"/>
    <x v="0"/>
    <x v="105"/>
    <n v="2085"/>
    <x v="1"/>
  </r>
  <r>
    <x v="8"/>
    <x v="0"/>
    <x v="180"/>
    <n v="1"/>
    <x v="0"/>
  </r>
  <r>
    <x v="8"/>
    <x v="0"/>
    <x v="87"/>
    <n v="16"/>
    <x v="0"/>
  </r>
  <r>
    <x v="9"/>
    <x v="0"/>
    <x v="85"/>
    <n v="625"/>
    <x v="1"/>
  </r>
  <r>
    <x v="9"/>
    <x v="0"/>
    <x v="45"/>
    <n v="99"/>
    <x v="0"/>
  </r>
  <r>
    <x v="8"/>
    <x v="0"/>
    <x v="139"/>
    <n v="2441"/>
    <x v="1"/>
  </r>
  <r>
    <x v="8"/>
    <x v="0"/>
    <x v="111"/>
    <n v="2312"/>
    <x v="1"/>
  </r>
  <r>
    <x v="9"/>
    <x v="0"/>
    <x v="137"/>
    <n v="1444"/>
    <x v="1"/>
  </r>
  <r>
    <x v="9"/>
    <x v="0"/>
    <x v="72"/>
    <n v="8"/>
    <x v="0"/>
  </r>
  <r>
    <x v="9"/>
    <x v="0"/>
    <x v="161"/>
    <n v="1"/>
    <x v="0"/>
  </r>
  <r>
    <x v="9"/>
    <x v="0"/>
    <x v="157"/>
    <n v="2"/>
    <x v="0"/>
  </r>
  <r>
    <x v="9"/>
    <x v="0"/>
    <x v="97"/>
    <n v="773"/>
    <x v="1"/>
  </r>
  <r>
    <x v="9"/>
    <x v="0"/>
    <x v="153"/>
    <n v="2111"/>
    <x v="1"/>
  </r>
  <r>
    <x v="9"/>
    <x v="0"/>
    <x v="152"/>
    <n v="2414"/>
    <x v="1"/>
  </r>
  <r>
    <x v="9"/>
    <x v="0"/>
    <x v="139"/>
    <n v="2627"/>
    <x v="1"/>
  </r>
  <r>
    <x v="9"/>
    <x v="0"/>
    <x v="96"/>
    <n v="75"/>
    <x v="0"/>
  </r>
  <r>
    <x v="9"/>
    <x v="0"/>
    <x v="16"/>
    <n v="6"/>
    <x v="0"/>
  </r>
  <r>
    <x v="9"/>
    <x v="0"/>
    <x v="98"/>
    <n v="1401"/>
    <x v="1"/>
  </r>
  <r>
    <x v="9"/>
    <x v="0"/>
    <x v="50"/>
    <n v="528"/>
    <x v="1"/>
  </r>
  <r>
    <x v="8"/>
    <x v="0"/>
    <x v="58"/>
    <n v="2598"/>
    <x v="1"/>
  </r>
  <r>
    <x v="9"/>
    <x v="0"/>
    <x v="192"/>
    <n v="3051"/>
    <x v="1"/>
  </r>
  <r>
    <x v="9"/>
    <x v="0"/>
    <x v="31"/>
    <n v="2503"/>
    <x v="1"/>
  </r>
  <r>
    <x v="8"/>
    <x v="0"/>
    <x v="152"/>
    <n v="2426"/>
    <x v="1"/>
  </r>
  <r>
    <x v="9"/>
    <x v="0"/>
    <x v="69"/>
    <n v="3189"/>
    <x v="1"/>
  </r>
  <r>
    <x v="8"/>
    <x v="0"/>
    <x v="4"/>
    <n v="3"/>
    <x v="0"/>
  </r>
  <r>
    <x v="9"/>
    <x v="0"/>
    <x v="81"/>
    <n v="5"/>
    <x v="0"/>
  </r>
  <r>
    <x v="8"/>
    <x v="0"/>
    <x v="105"/>
    <n v="2422"/>
    <x v="1"/>
  </r>
  <r>
    <x v="8"/>
    <x v="0"/>
    <x v="17"/>
    <n v="241"/>
    <x v="1"/>
  </r>
  <r>
    <x v="8"/>
    <x v="0"/>
    <x v="62"/>
    <n v="2333"/>
    <x v="1"/>
  </r>
  <r>
    <x v="9"/>
    <x v="0"/>
    <x v="217"/>
    <n v="1"/>
    <x v="0"/>
  </r>
  <r>
    <x v="8"/>
    <x v="0"/>
    <x v="203"/>
    <n v="1"/>
    <x v="0"/>
  </r>
  <r>
    <x v="9"/>
    <x v="0"/>
    <x v="91"/>
    <n v="16"/>
    <x v="0"/>
  </r>
  <r>
    <x v="8"/>
    <x v="0"/>
    <x v="174"/>
    <n v="1"/>
    <x v="0"/>
  </r>
  <r>
    <x v="9"/>
    <x v="0"/>
    <x v="52"/>
    <n v="2339"/>
    <x v="1"/>
  </r>
  <r>
    <x v="8"/>
    <x v="0"/>
    <x v="33"/>
    <n v="2214"/>
    <x v="1"/>
  </r>
  <r>
    <x v="8"/>
    <x v="0"/>
    <x v="165"/>
    <n v="1"/>
    <x v="0"/>
  </r>
  <r>
    <x v="9"/>
    <x v="0"/>
    <x v="112"/>
    <n v="1"/>
    <x v="0"/>
  </r>
  <r>
    <x v="8"/>
    <x v="0"/>
    <x v="52"/>
    <n v="2472"/>
    <x v="1"/>
  </r>
  <r>
    <x v="9"/>
    <x v="0"/>
    <x v="78"/>
    <n v="110"/>
    <x v="1"/>
  </r>
  <r>
    <x v="9"/>
    <x v="0"/>
    <x v="220"/>
    <n v="3203"/>
    <x v="1"/>
  </r>
  <r>
    <x v="8"/>
    <x v="0"/>
    <x v="32"/>
    <n v="14633"/>
    <x v="1"/>
  </r>
  <r>
    <x v="8"/>
    <x v="0"/>
    <x v="45"/>
    <n v="78"/>
    <x v="0"/>
  </r>
  <r>
    <x v="8"/>
    <x v="0"/>
    <x v="169"/>
    <n v="1"/>
    <x v="0"/>
  </r>
  <r>
    <x v="8"/>
    <x v="0"/>
    <x v="55"/>
    <n v="7"/>
    <x v="0"/>
  </r>
  <r>
    <x v="8"/>
    <x v="0"/>
    <x v="141"/>
    <n v="2165"/>
    <x v="1"/>
  </r>
  <r>
    <x v="9"/>
    <x v="0"/>
    <x v="51"/>
    <n v="2046"/>
    <x v="1"/>
  </r>
  <r>
    <x v="9"/>
    <x v="0"/>
    <x v="38"/>
    <n v="3292"/>
    <x v="1"/>
  </r>
  <r>
    <x v="8"/>
    <x v="0"/>
    <x v="197"/>
    <n v="6"/>
    <x v="0"/>
  </r>
  <r>
    <x v="8"/>
    <x v="0"/>
    <x v="80"/>
    <n v="34"/>
    <x v="0"/>
  </r>
  <r>
    <x v="8"/>
    <x v="0"/>
    <x v="157"/>
    <n v="1"/>
    <x v="0"/>
  </r>
  <r>
    <x v="9"/>
    <x v="0"/>
    <x v="135"/>
    <n v="2051"/>
    <x v="1"/>
  </r>
  <r>
    <x v="9"/>
    <x v="0"/>
    <x v="15"/>
    <n v="3"/>
    <x v="0"/>
  </r>
  <r>
    <x v="9"/>
    <x v="0"/>
    <x v="183"/>
    <n v="3208"/>
    <x v="1"/>
  </r>
  <r>
    <x v="8"/>
    <x v="0"/>
    <x v="153"/>
    <n v="51"/>
    <x v="0"/>
  </r>
  <r>
    <x v="9"/>
    <x v="0"/>
    <x v="33"/>
    <n v="153"/>
    <x v="1"/>
  </r>
  <r>
    <x v="8"/>
    <x v="0"/>
    <x v="196"/>
    <n v="1"/>
    <x v="0"/>
  </r>
  <r>
    <x v="8"/>
    <x v="0"/>
    <x v="76"/>
    <n v="3"/>
    <x v="0"/>
  </r>
  <r>
    <x v="8"/>
    <x v="0"/>
    <x v="25"/>
    <n v="3"/>
    <x v="0"/>
  </r>
  <r>
    <x v="8"/>
    <x v="0"/>
    <x v="101"/>
    <n v="1"/>
    <x v="0"/>
  </r>
  <r>
    <x v="8"/>
    <x v="0"/>
    <x v="103"/>
    <n v="1326"/>
    <x v="1"/>
  </r>
  <r>
    <x v="9"/>
    <x v="0"/>
    <x v="95"/>
    <n v="2705"/>
    <x v="1"/>
  </r>
  <r>
    <x v="8"/>
    <x v="0"/>
    <x v="134"/>
    <n v="1135"/>
    <x v="1"/>
  </r>
  <r>
    <x v="8"/>
    <x v="0"/>
    <x v="171"/>
    <n v="2163"/>
    <x v="1"/>
  </r>
  <r>
    <x v="8"/>
    <x v="0"/>
    <x v="53"/>
    <n v="52"/>
    <x v="0"/>
  </r>
  <r>
    <x v="8"/>
    <x v="0"/>
    <x v="135"/>
    <n v="2142"/>
    <x v="1"/>
  </r>
  <r>
    <x v="9"/>
    <x v="0"/>
    <x v="4"/>
    <n v="2"/>
    <x v="0"/>
  </r>
  <r>
    <x v="9"/>
    <x v="0"/>
    <x v="111"/>
    <n v="2365"/>
    <x v="1"/>
  </r>
  <r>
    <x v="8"/>
    <x v="0"/>
    <x v="117"/>
    <n v="2344"/>
    <x v="1"/>
  </r>
  <r>
    <x v="9"/>
    <x v="0"/>
    <x v="70"/>
    <n v="22"/>
    <x v="0"/>
  </r>
  <r>
    <x v="8"/>
    <x v="0"/>
    <x v="51"/>
    <n v="2224"/>
    <x v="1"/>
  </r>
  <r>
    <x v="9"/>
    <x v="0"/>
    <x v="125"/>
    <n v="75"/>
    <x v="0"/>
  </r>
  <r>
    <x v="9"/>
    <x v="0"/>
    <x v="204"/>
    <n v="1"/>
    <x v="0"/>
  </r>
  <r>
    <x v="8"/>
    <x v="0"/>
    <x v="24"/>
    <n v="4"/>
    <x v="0"/>
  </r>
  <r>
    <x v="9"/>
    <x v="0"/>
    <x v="154"/>
    <n v="768"/>
    <x v="1"/>
  </r>
  <r>
    <x v="8"/>
    <x v="0"/>
    <x v="70"/>
    <n v="19"/>
    <x v="0"/>
  </r>
  <r>
    <x v="9"/>
    <x v="0"/>
    <x v="22"/>
    <n v="3326"/>
    <x v="1"/>
  </r>
  <r>
    <x v="9"/>
    <x v="0"/>
    <x v="80"/>
    <n v="24"/>
    <x v="0"/>
  </r>
  <r>
    <x v="9"/>
    <x v="0"/>
    <x v="132"/>
    <n v="4"/>
    <x v="0"/>
  </r>
  <r>
    <x v="8"/>
    <x v="0"/>
    <x v="208"/>
    <n v="4"/>
    <x v="0"/>
  </r>
  <r>
    <x v="8"/>
    <x v="0"/>
    <x v="34"/>
    <n v="2"/>
    <x v="0"/>
  </r>
  <r>
    <x v="9"/>
    <x v="0"/>
    <x v="194"/>
    <n v="1"/>
    <x v="0"/>
  </r>
  <r>
    <x v="9"/>
    <x v="0"/>
    <x v="82"/>
    <n v="9"/>
    <x v="0"/>
  </r>
  <r>
    <x v="8"/>
    <x v="0"/>
    <x v="26"/>
    <n v="2276"/>
    <x v="1"/>
  </r>
  <r>
    <x v="8"/>
    <x v="0"/>
    <x v="1"/>
    <n v="31"/>
    <x v="0"/>
  </r>
  <r>
    <x v="8"/>
    <x v="0"/>
    <x v="202"/>
    <n v="1"/>
    <x v="0"/>
  </r>
  <r>
    <x v="8"/>
    <x v="0"/>
    <x v="94"/>
    <n v="2509"/>
    <x v="1"/>
  </r>
  <r>
    <x v="9"/>
    <x v="0"/>
    <x v="1"/>
    <n v="27"/>
    <x v="0"/>
  </r>
  <r>
    <x v="8"/>
    <x v="0"/>
    <x v="149"/>
    <n v="2308"/>
    <x v="1"/>
  </r>
  <r>
    <x v="9"/>
    <x v="0"/>
    <x v="46"/>
    <n v="3047"/>
    <x v="1"/>
  </r>
  <r>
    <x v="9"/>
    <x v="0"/>
    <x v="110"/>
    <n v="6"/>
    <x v="0"/>
  </r>
  <r>
    <x v="9"/>
    <x v="0"/>
    <x v="109"/>
    <n v="65"/>
    <x v="0"/>
  </r>
  <r>
    <x v="8"/>
    <x v="0"/>
    <x v="114"/>
    <n v="87"/>
    <x v="0"/>
  </r>
  <r>
    <x v="8"/>
    <x v="0"/>
    <x v="63"/>
    <n v="525"/>
    <x v="1"/>
  </r>
  <r>
    <x v="8"/>
    <x v="0"/>
    <x v="60"/>
    <n v="1"/>
    <x v="0"/>
  </r>
  <r>
    <x v="9"/>
    <x v="0"/>
    <x v="14"/>
    <n v="64"/>
    <x v="0"/>
  </r>
  <r>
    <x v="8"/>
    <x v="0"/>
    <x v="21"/>
    <n v="2618"/>
    <x v="1"/>
  </r>
  <r>
    <x v="9"/>
    <x v="0"/>
    <x v="184"/>
    <n v="1998"/>
    <x v="1"/>
  </r>
  <r>
    <x v="8"/>
    <x v="0"/>
    <x v="170"/>
    <n v="2454"/>
    <x v="1"/>
  </r>
  <r>
    <x v="8"/>
    <x v="0"/>
    <x v="95"/>
    <n v="2561"/>
    <x v="1"/>
  </r>
  <r>
    <x v="9"/>
    <x v="0"/>
    <x v="92"/>
    <n v="7"/>
    <x v="0"/>
  </r>
  <r>
    <x v="9"/>
    <x v="0"/>
    <x v="34"/>
    <n v="2"/>
    <x v="0"/>
  </r>
  <r>
    <x v="9"/>
    <x v="0"/>
    <x v="122"/>
    <n v="20"/>
    <x v="0"/>
  </r>
  <r>
    <x v="9"/>
    <x v="0"/>
    <x v="151"/>
    <n v="2913"/>
    <x v="1"/>
  </r>
  <r>
    <x v="9"/>
    <x v="0"/>
    <x v="89"/>
    <n v="2525"/>
    <x v="1"/>
  </r>
  <r>
    <x v="8"/>
    <x v="0"/>
    <x v="71"/>
    <n v="3260"/>
    <x v="1"/>
  </r>
  <r>
    <x v="8"/>
    <x v="0"/>
    <x v="217"/>
    <n v="1"/>
    <x v="0"/>
  </r>
  <r>
    <x v="9"/>
    <x v="0"/>
    <x v="205"/>
    <n v="2"/>
    <x v="0"/>
  </r>
  <r>
    <x v="9"/>
    <x v="0"/>
    <x v="221"/>
    <n v="1"/>
    <x v="0"/>
  </r>
  <r>
    <x v="8"/>
    <x v="0"/>
    <x v="124"/>
    <n v="2376"/>
    <x v="1"/>
  </r>
  <r>
    <x v="8"/>
    <x v="0"/>
    <x v="35"/>
    <n v="116"/>
    <x v="1"/>
  </r>
  <r>
    <x v="8"/>
    <x v="0"/>
    <x v="74"/>
    <n v="2167"/>
    <x v="1"/>
  </r>
  <r>
    <x v="9"/>
    <x v="0"/>
    <x v="202"/>
    <n v="1"/>
    <x v="0"/>
  </r>
  <r>
    <x v="8"/>
    <x v="0"/>
    <x v="81"/>
    <n v="4"/>
    <x v="0"/>
  </r>
  <r>
    <x v="8"/>
    <x v="0"/>
    <x v="163"/>
    <n v="6"/>
    <x v="0"/>
  </r>
  <r>
    <x v="8"/>
    <x v="0"/>
    <x v="126"/>
    <n v="313"/>
    <x v="1"/>
  </r>
  <r>
    <x v="9"/>
    <x v="0"/>
    <x v="164"/>
    <n v="184"/>
    <x v="1"/>
  </r>
  <r>
    <x v="9"/>
    <x v="0"/>
    <x v="84"/>
    <n v="32"/>
    <x v="0"/>
  </r>
  <r>
    <x v="8"/>
    <x v="0"/>
    <x v="69"/>
    <n v="3058"/>
    <x v="1"/>
  </r>
  <r>
    <x v="9"/>
    <x v="0"/>
    <x v="26"/>
    <n v="2062"/>
    <x v="1"/>
  </r>
  <r>
    <x v="8"/>
    <x v="0"/>
    <x v="108"/>
    <n v="534"/>
    <x v="1"/>
  </r>
  <r>
    <x v="8"/>
    <x v="0"/>
    <x v="22"/>
    <n v="3357"/>
    <x v="1"/>
  </r>
  <r>
    <x v="9"/>
    <x v="0"/>
    <x v="124"/>
    <n v="2778"/>
    <x v="1"/>
  </r>
  <r>
    <x v="9"/>
    <x v="0"/>
    <x v="121"/>
    <n v="2243"/>
    <x v="1"/>
  </r>
  <r>
    <x v="8"/>
    <x v="0"/>
    <x v="93"/>
    <n v="2713"/>
    <x v="1"/>
  </r>
  <r>
    <x v="9"/>
    <x v="0"/>
    <x v="198"/>
    <n v="2399"/>
    <x v="1"/>
  </r>
  <r>
    <x v="8"/>
    <x v="0"/>
    <x v="176"/>
    <n v="1"/>
    <x v="0"/>
  </r>
  <r>
    <x v="9"/>
    <x v="0"/>
    <x v="47"/>
    <n v="296"/>
    <x v="1"/>
  </r>
  <r>
    <x v="9"/>
    <x v="0"/>
    <x v="44"/>
    <n v="2947"/>
    <x v="1"/>
  </r>
  <r>
    <x v="9"/>
    <x v="0"/>
    <x v="120"/>
    <n v="340"/>
    <x v="1"/>
  </r>
  <r>
    <x v="9"/>
    <x v="0"/>
    <x v="41"/>
    <n v="2"/>
    <x v="0"/>
  </r>
  <r>
    <x v="9"/>
    <x v="0"/>
    <x v="57"/>
    <n v="10"/>
    <x v="0"/>
  </r>
  <r>
    <x v="8"/>
    <x v="0"/>
    <x v="86"/>
    <n v="2417"/>
    <x v="1"/>
  </r>
  <r>
    <x v="9"/>
    <x v="0"/>
    <x v="10"/>
    <n v="759"/>
    <x v="1"/>
  </r>
  <r>
    <x v="8"/>
    <x v="0"/>
    <x v="98"/>
    <n v="1617"/>
    <x v="1"/>
  </r>
  <r>
    <x v="8"/>
    <x v="0"/>
    <x v="107"/>
    <n v="8"/>
    <x v="0"/>
  </r>
  <r>
    <x v="9"/>
    <x v="0"/>
    <x v="0"/>
    <n v="39"/>
    <x v="0"/>
  </r>
  <r>
    <x v="8"/>
    <x v="0"/>
    <x v="146"/>
    <n v="2468"/>
    <x v="1"/>
  </r>
  <r>
    <x v="9"/>
    <x v="0"/>
    <x v="88"/>
    <n v="2766"/>
    <x v="1"/>
  </r>
  <r>
    <x v="9"/>
    <x v="0"/>
    <x v="170"/>
    <n v="2682"/>
    <x v="1"/>
  </r>
  <r>
    <x v="8"/>
    <x v="0"/>
    <x v="10"/>
    <n v="720"/>
    <x v="1"/>
  </r>
  <r>
    <x v="8"/>
    <x v="0"/>
    <x v="20"/>
    <n v="3"/>
    <x v="0"/>
  </r>
  <r>
    <x v="9"/>
    <x v="0"/>
    <x v="71"/>
    <n v="3365"/>
    <x v="1"/>
  </r>
  <r>
    <x v="9"/>
    <x v="0"/>
    <x v="196"/>
    <n v="2"/>
    <x v="0"/>
  </r>
  <r>
    <x v="8"/>
    <x v="0"/>
    <x v="164"/>
    <n v="11"/>
    <x v="0"/>
  </r>
  <r>
    <x v="8"/>
    <x v="0"/>
    <x v="151"/>
    <n v="2376"/>
    <x v="1"/>
  </r>
  <r>
    <x v="9"/>
    <x v="0"/>
    <x v="55"/>
    <n v="4"/>
    <x v="0"/>
  </r>
  <r>
    <x v="9"/>
    <x v="0"/>
    <x v="134"/>
    <n v="25"/>
    <x v="0"/>
  </r>
  <r>
    <x v="9"/>
    <x v="0"/>
    <x v="179"/>
    <n v="4"/>
    <x v="0"/>
  </r>
  <r>
    <x v="9"/>
    <x v="0"/>
    <x v="67"/>
    <n v="1"/>
    <x v="0"/>
  </r>
  <r>
    <x v="8"/>
    <x v="0"/>
    <x v="116"/>
    <n v="596"/>
    <x v="1"/>
  </r>
  <r>
    <x v="9"/>
    <x v="0"/>
    <x v="103"/>
    <n v="692"/>
    <x v="1"/>
  </r>
  <r>
    <x v="9"/>
    <x v="0"/>
    <x v="169"/>
    <n v="2"/>
    <x v="0"/>
  </r>
  <r>
    <x v="9"/>
    <x v="0"/>
    <x v="53"/>
    <n v="93"/>
    <x v="0"/>
  </r>
  <r>
    <x v="9"/>
    <x v="0"/>
    <x v="129"/>
    <n v="2358"/>
    <x v="1"/>
  </r>
  <r>
    <x v="8"/>
    <x v="0"/>
    <x v="172"/>
    <n v="1195"/>
    <x v="1"/>
  </r>
  <r>
    <x v="8"/>
    <x v="0"/>
    <x v="19"/>
    <n v="226"/>
    <x v="1"/>
  </r>
  <r>
    <x v="9"/>
    <x v="0"/>
    <x v="63"/>
    <n v="614"/>
    <x v="1"/>
  </r>
  <r>
    <x v="8"/>
    <x v="0"/>
    <x v="57"/>
    <n v="8"/>
    <x v="0"/>
  </r>
  <r>
    <x v="8"/>
    <x v="0"/>
    <x v="30"/>
    <n v="1240"/>
    <x v="1"/>
  </r>
  <r>
    <x v="9"/>
    <x v="0"/>
    <x v="208"/>
    <n v="5"/>
    <x v="0"/>
  </r>
  <r>
    <x v="9"/>
    <x v="0"/>
    <x v="43"/>
    <n v="12"/>
    <x v="0"/>
  </r>
  <r>
    <x v="9"/>
    <x v="0"/>
    <x v="106"/>
    <n v="2000"/>
    <x v="1"/>
  </r>
  <r>
    <x v="8"/>
    <x v="0"/>
    <x v="39"/>
    <n v="1"/>
    <x v="0"/>
  </r>
  <r>
    <x v="8"/>
    <x v="0"/>
    <x v="41"/>
    <n v="5"/>
    <x v="0"/>
  </r>
  <r>
    <x v="8"/>
    <x v="0"/>
    <x v="6"/>
    <n v="1"/>
    <x v="0"/>
  </r>
  <r>
    <x v="8"/>
    <x v="0"/>
    <x v="15"/>
    <n v="4"/>
    <x v="0"/>
  </r>
  <r>
    <x v="8"/>
    <x v="0"/>
    <x v="102"/>
    <n v="2265"/>
    <x v="1"/>
  </r>
  <r>
    <x v="8"/>
    <x v="0"/>
    <x v="11"/>
    <n v="2"/>
    <x v="0"/>
  </r>
  <r>
    <x v="8"/>
    <x v="0"/>
    <x v="140"/>
    <n v="3322"/>
    <x v="1"/>
  </r>
  <r>
    <x v="8"/>
    <x v="0"/>
    <x v="211"/>
    <n v="1"/>
    <x v="0"/>
  </r>
  <r>
    <x v="8"/>
    <x v="0"/>
    <x v="59"/>
    <n v="134"/>
    <x v="1"/>
  </r>
  <r>
    <x v="9"/>
    <x v="0"/>
    <x v="7"/>
    <n v="550"/>
    <x v="1"/>
  </r>
  <r>
    <x v="9"/>
    <x v="0"/>
    <x v="79"/>
    <n v="8302"/>
    <x v="1"/>
  </r>
  <r>
    <x v="9"/>
    <x v="0"/>
    <x v="12"/>
    <n v="43"/>
    <x v="0"/>
  </r>
  <r>
    <x v="8"/>
    <x v="0"/>
    <x v="77"/>
    <n v="5"/>
    <x v="0"/>
  </r>
  <r>
    <x v="8"/>
    <x v="0"/>
    <x v="206"/>
    <n v="1"/>
    <x v="0"/>
  </r>
  <r>
    <x v="8"/>
    <x v="0"/>
    <x v="65"/>
    <n v="2272"/>
    <x v="1"/>
  </r>
  <r>
    <x v="8"/>
    <x v="0"/>
    <x v="14"/>
    <n v="110"/>
    <x v="1"/>
  </r>
  <r>
    <x v="9"/>
    <x v="0"/>
    <x v="25"/>
    <n v="4"/>
    <x v="0"/>
  </r>
  <r>
    <x v="8"/>
    <x v="0"/>
    <x v="50"/>
    <n v="757"/>
    <x v="1"/>
  </r>
  <r>
    <x v="9"/>
    <x v="0"/>
    <x v="175"/>
    <n v="1"/>
    <x v="0"/>
  </r>
  <r>
    <x v="9"/>
    <x v="0"/>
    <x v="20"/>
    <n v="3"/>
    <x v="0"/>
  </r>
  <r>
    <x v="9"/>
    <x v="0"/>
    <x v="171"/>
    <n v="2179"/>
    <x v="1"/>
  </r>
  <r>
    <x v="9"/>
    <x v="0"/>
    <x v="174"/>
    <n v="1"/>
    <x v="0"/>
  </r>
  <r>
    <x v="9"/>
    <x v="0"/>
    <x v="36"/>
    <n v="3"/>
    <x v="0"/>
  </r>
  <r>
    <x v="8"/>
    <x v="0"/>
    <x v="106"/>
    <n v="2159"/>
    <x v="1"/>
  </r>
  <r>
    <x v="9"/>
    <x v="0"/>
    <x v="30"/>
    <n v="1122"/>
    <x v="1"/>
  </r>
  <r>
    <x v="9"/>
    <x v="0"/>
    <x v="177"/>
    <n v="1"/>
    <x v="0"/>
  </r>
  <r>
    <x v="8"/>
    <x v="0"/>
    <x v="90"/>
    <n v="1267"/>
    <x v="1"/>
  </r>
  <r>
    <x v="8"/>
    <x v="0"/>
    <x v="168"/>
    <n v="24"/>
    <x v="0"/>
  </r>
  <r>
    <x v="9"/>
    <x v="0"/>
    <x v="147"/>
    <n v="851"/>
    <x v="1"/>
  </r>
  <r>
    <x v="8"/>
    <x v="0"/>
    <x v="129"/>
    <n v="2648"/>
    <x v="1"/>
  </r>
  <r>
    <x v="9"/>
    <x v="0"/>
    <x v="13"/>
    <n v="3"/>
    <x v="0"/>
  </r>
  <r>
    <x v="8"/>
    <x v="0"/>
    <x v="205"/>
    <n v="2"/>
    <x v="0"/>
  </r>
  <r>
    <x v="9"/>
    <x v="0"/>
    <x v="17"/>
    <n v="601"/>
    <x v="1"/>
  </r>
  <r>
    <x v="9"/>
    <x v="0"/>
    <x v="140"/>
    <n v="3852"/>
    <x v="1"/>
  </r>
  <r>
    <x v="9"/>
    <x v="0"/>
    <x v="87"/>
    <n v="2285"/>
    <x v="1"/>
  </r>
  <r>
    <x v="8"/>
    <x v="0"/>
    <x v="36"/>
    <n v="4"/>
    <x v="0"/>
  </r>
  <r>
    <x v="8"/>
    <x v="0"/>
    <x v="118"/>
    <n v="2872"/>
    <x v="1"/>
  </r>
  <r>
    <x v="8"/>
    <x v="0"/>
    <x v="38"/>
    <n v="3323"/>
    <x v="1"/>
  </r>
  <r>
    <x v="8"/>
    <x v="0"/>
    <x v="2"/>
    <n v="4363"/>
    <x v="1"/>
  </r>
  <r>
    <x v="8"/>
    <x v="0"/>
    <x v="88"/>
    <n v="2537"/>
    <x v="1"/>
  </r>
  <r>
    <x v="8"/>
    <x v="0"/>
    <x v="0"/>
    <n v="39"/>
    <x v="0"/>
  </r>
  <r>
    <x v="8"/>
    <x v="0"/>
    <x v="209"/>
    <n v="1"/>
    <x v="0"/>
  </r>
  <r>
    <x v="8"/>
    <x v="0"/>
    <x v="216"/>
    <n v="1"/>
    <x v="0"/>
  </r>
  <r>
    <x v="9"/>
    <x v="0"/>
    <x v="180"/>
    <n v="1"/>
    <x v="0"/>
  </r>
  <r>
    <x v="9"/>
    <x v="0"/>
    <x v="222"/>
    <n v="1"/>
    <x v="0"/>
  </r>
  <r>
    <x v="8"/>
    <x v="0"/>
    <x v="54"/>
    <n v="2912"/>
    <x v="1"/>
  </r>
  <r>
    <x v="8"/>
    <x v="0"/>
    <x v="7"/>
    <n v="3053"/>
    <x v="1"/>
  </r>
  <r>
    <x v="8"/>
    <x v="0"/>
    <x v="115"/>
    <n v="3923"/>
    <x v="1"/>
  </r>
  <r>
    <x v="9"/>
    <x v="0"/>
    <x v="142"/>
    <n v="2394"/>
    <x v="1"/>
  </r>
  <r>
    <x v="9"/>
    <x v="0"/>
    <x v="165"/>
    <n v="1"/>
    <x v="0"/>
  </r>
  <r>
    <x v="8"/>
    <x v="0"/>
    <x v="46"/>
    <n v="2667"/>
    <x v="1"/>
  </r>
  <r>
    <x v="8"/>
    <x v="0"/>
    <x v="5"/>
    <n v="1"/>
    <x v="0"/>
  </r>
  <r>
    <x v="9"/>
    <x v="0"/>
    <x v="27"/>
    <n v="1968"/>
    <x v="1"/>
  </r>
  <r>
    <x v="8"/>
    <x v="0"/>
    <x v="137"/>
    <n v="1394"/>
    <x v="1"/>
  </r>
  <r>
    <x v="9"/>
    <x v="0"/>
    <x v="18"/>
    <n v="1"/>
    <x v="0"/>
  </r>
  <r>
    <x v="8"/>
    <x v="0"/>
    <x v="67"/>
    <n v="1"/>
    <x v="0"/>
  </r>
  <r>
    <x v="8"/>
    <x v="0"/>
    <x v="127"/>
    <n v="2702"/>
    <x v="1"/>
  </r>
  <r>
    <x v="9"/>
    <x v="0"/>
    <x v="176"/>
    <n v="1"/>
    <x v="0"/>
  </r>
  <r>
    <x v="8"/>
    <x v="0"/>
    <x v="160"/>
    <n v="1"/>
    <x v="0"/>
  </r>
  <r>
    <x v="9"/>
    <x v="0"/>
    <x v="62"/>
    <n v="2173"/>
    <x v="1"/>
  </r>
  <r>
    <x v="9"/>
    <x v="0"/>
    <x v="167"/>
    <n v="2295"/>
    <x v="1"/>
  </r>
  <r>
    <x v="8"/>
    <x v="0"/>
    <x v="154"/>
    <n v="206"/>
    <x v="1"/>
  </r>
  <r>
    <x v="8"/>
    <x v="0"/>
    <x v="100"/>
    <n v="1"/>
    <x v="0"/>
  </r>
  <r>
    <x v="9"/>
    <x v="0"/>
    <x v="8"/>
    <n v="2793"/>
    <x v="1"/>
  </r>
  <r>
    <x v="8"/>
    <x v="0"/>
    <x v="207"/>
    <n v="9"/>
    <x v="0"/>
  </r>
  <r>
    <x v="9"/>
    <x v="0"/>
    <x v="116"/>
    <n v="1846"/>
    <x v="1"/>
  </r>
  <r>
    <x v="9"/>
    <x v="0"/>
    <x v="65"/>
    <n v="435"/>
    <x v="1"/>
  </r>
  <r>
    <x v="9"/>
    <x v="0"/>
    <x v="215"/>
    <n v="1"/>
    <x v="0"/>
  </r>
  <r>
    <x v="8"/>
    <x v="0"/>
    <x v="64"/>
    <n v="2055"/>
    <x v="1"/>
  </r>
  <r>
    <x v="9"/>
    <x v="0"/>
    <x v="211"/>
    <n v="1"/>
    <x v="0"/>
  </r>
  <r>
    <x v="9"/>
    <x v="0"/>
    <x v="212"/>
    <n v="1"/>
    <x v="0"/>
  </r>
  <r>
    <x v="8"/>
    <x v="0"/>
    <x v="144"/>
    <n v="2542"/>
    <x v="1"/>
  </r>
  <r>
    <x v="8"/>
    <x v="0"/>
    <x v="213"/>
    <n v="2"/>
    <x v="0"/>
  </r>
  <r>
    <x v="8"/>
    <x v="0"/>
    <x v="40"/>
    <n v="3"/>
    <x v="0"/>
  </r>
  <r>
    <x v="9"/>
    <x v="0"/>
    <x v="93"/>
    <n v="90"/>
    <x v="0"/>
  </r>
  <r>
    <x v="8"/>
    <x v="0"/>
    <x v="131"/>
    <n v="3021"/>
    <x v="1"/>
  </r>
  <r>
    <x v="9"/>
    <x v="0"/>
    <x v="117"/>
    <n v="2366"/>
    <x v="1"/>
  </r>
  <r>
    <x v="9"/>
    <x v="0"/>
    <x v="113"/>
    <n v="2538"/>
    <x v="1"/>
  </r>
  <r>
    <x v="9"/>
    <x v="0"/>
    <x v="197"/>
    <n v="2071"/>
    <x v="1"/>
  </r>
  <r>
    <x v="9"/>
    <x v="0"/>
    <x v="107"/>
    <n v="6"/>
    <x v="0"/>
  </r>
  <r>
    <x v="8"/>
    <x v="0"/>
    <x v="82"/>
    <n v="3489"/>
    <x v="1"/>
  </r>
  <r>
    <x v="9"/>
    <x v="0"/>
    <x v="190"/>
    <n v="590"/>
    <x v="1"/>
  </r>
  <r>
    <x v="9"/>
    <x v="0"/>
    <x v="32"/>
    <n v="8113"/>
    <x v="1"/>
  </r>
  <r>
    <x v="8"/>
    <x v="0"/>
    <x v="143"/>
    <n v="13"/>
    <x v="0"/>
  </r>
  <r>
    <x v="9"/>
    <x v="0"/>
    <x v="39"/>
    <n v="2"/>
    <x v="0"/>
  </r>
  <r>
    <x v="8"/>
    <x v="0"/>
    <x v="23"/>
    <n v="3"/>
    <x v="0"/>
  </r>
  <r>
    <x v="8"/>
    <x v="0"/>
    <x v="18"/>
    <n v="1"/>
    <x v="0"/>
  </r>
  <r>
    <x v="8"/>
    <x v="0"/>
    <x v="49"/>
    <n v="3"/>
    <x v="0"/>
  </r>
  <r>
    <x v="8"/>
    <x v="0"/>
    <x v="99"/>
    <n v="2247"/>
    <x v="1"/>
  </r>
  <r>
    <x v="9"/>
    <x v="0"/>
    <x v="83"/>
    <n v="7"/>
    <x v="0"/>
  </r>
  <r>
    <x v="8"/>
    <x v="0"/>
    <x v="9"/>
    <n v="2726"/>
    <x v="1"/>
  </r>
  <r>
    <x v="9"/>
    <x v="0"/>
    <x v="158"/>
    <n v="1"/>
    <x v="0"/>
  </r>
  <r>
    <x v="8"/>
    <x v="0"/>
    <x v="56"/>
    <n v="2424"/>
    <x v="1"/>
  </r>
  <r>
    <x v="9"/>
    <x v="0"/>
    <x v="73"/>
    <n v="697"/>
    <x v="1"/>
  </r>
  <r>
    <x v="8"/>
    <x v="0"/>
    <x v="148"/>
    <n v="2643"/>
    <x v="1"/>
  </r>
  <r>
    <x v="8"/>
    <x v="0"/>
    <x v="78"/>
    <n v="127"/>
    <x v="1"/>
  </r>
  <r>
    <x v="9"/>
    <x v="0"/>
    <x v="207"/>
    <n v="10"/>
    <x v="0"/>
  </r>
  <r>
    <x v="9"/>
    <x v="0"/>
    <x v="126"/>
    <n v="173"/>
    <x v="1"/>
  </r>
  <r>
    <x v="9"/>
    <x v="0"/>
    <x v="104"/>
    <n v="4013"/>
    <x v="1"/>
  </r>
  <r>
    <x v="8"/>
    <x v="0"/>
    <x v="155"/>
    <n v="1"/>
    <x v="0"/>
  </r>
  <r>
    <x v="9"/>
    <x v="0"/>
    <x v="185"/>
    <n v="1929"/>
    <x v="1"/>
  </r>
  <r>
    <x v="9"/>
    <x v="0"/>
    <x v="2"/>
    <n v="2840"/>
    <x v="1"/>
  </r>
  <r>
    <x v="9"/>
    <x v="0"/>
    <x v="40"/>
    <n v="4"/>
    <x v="0"/>
  </r>
  <r>
    <x v="9"/>
    <x v="0"/>
    <x v="11"/>
    <n v="2"/>
    <x v="0"/>
  </r>
  <r>
    <x v="8"/>
    <x v="0"/>
    <x v="138"/>
    <n v="2987"/>
    <x v="1"/>
  </r>
  <r>
    <x v="8"/>
    <x v="0"/>
    <x v="133"/>
    <n v="2848"/>
    <x v="1"/>
  </r>
  <r>
    <x v="9"/>
    <x v="0"/>
    <x v="206"/>
    <n v="2"/>
    <x v="0"/>
  </r>
  <r>
    <x v="9"/>
    <x v="0"/>
    <x v="37"/>
    <n v="835"/>
    <x v="1"/>
  </r>
  <r>
    <x v="9"/>
    <x v="0"/>
    <x v="102"/>
    <n v="2764"/>
    <x v="1"/>
  </r>
  <r>
    <x v="9"/>
    <x v="0"/>
    <x v="144"/>
    <n v="2818"/>
    <x v="1"/>
  </r>
  <r>
    <x v="9"/>
    <x v="0"/>
    <x v="141"/>
    <n v="2242"/>
    <x v="1"/>
  </r>
  <r>
    <x v="9"/>
    <x v="0"/>
    <x v="75"/>
    <n v="901"/>
    <x v="1"/>
  </r>
  <r>
    <x v="9"/>
    <x v="0"/>
    <x v="90"/>
    <n v="1265"/>
    <x v="1"/>
  </r>
  <r>
    <x v="9"/>
    <x v="0"/>
    <x v="191"/>
    <n v="2938"/>
    <x v="1"/>
  </r>
  <r>
    <x v="8"/>
    <x v="0"/>
    <x v="68"/>
    <n v="3"/>
    <x v="0"/>
  </r>
  <r>
    <x v="9"/>
    <x v="0"/>
    <x v="94"/>
    <n v="704"/>
    <x v="1"/>
  </r>
  <r>
    <x v="9"/>
    <x v="0"/>
    <x v="186"/>
    <n v="1102"/>
    <x v="1"/>
  </r>
  <r>
    <x v="9"/>
    <x v="0"/>
    <x v="131"/>
    <n v="3018"/>
    <x v="1"/>
  </r>
  <r>
    <x v="9"/>
    <x v="0"/>
    <x v="29"/>
    <n v="3"/>
    <x v="0"/>
  </r>
  <r>
    <x v="8"/>
    <x v="0"/>
    <x v="91"/>
    <n v="3963"/>
    <x v="1"/>
  </r>
  <r>
    <x v="8"/>
    <x v="0"/>
    <x v="37"/>
    <n v="821"/>
    <x v="1"/>
  </r>
  <r>
    <x v="9"/>
    <x v="0"/>
    <x v="219"/>
    <n v="1"/>
    <x v="0"/>
  </r>
  <r>
    <x v="8"/>
    <x v="0"/>
    <x v="12"/>
    <n v="51"/>
    <x v="0"/>
  </r>
  <r>
    <x v="8"/>
    <x v="0"/>
    <x v="8"/>
    <n v="3226"/>
    <x v="1"/>
  </r>
  <r>
    <x v="9"/>
    <x v="0"/>
    <x v="66"/>
    <n v="3367"/>
    <x v="1"/>
  </r>
  <r>
    <x v="8"/>
    <x v="0"/>
    <x v="145"/>
    <n v="2549"/>
    <x v="1"/>
  </r>
  <r>
    <x v="9"/>
    <x v="0"/>
    <x v="160"/>
    <n v="3"/>
    <x v="0"/>
  </r>
  <r>
    <x v="8"/>
    <x v="0"/>
    <x v="83"/>
    <n v="3"/>
    <x v="0"/>
  </r>
  <r>
    <x v="9"/>
    <x v="0"/>
    <x v="114"/>
    <n v="115"/>
    <x v="1"/>
  </r>
  <r>
    <x v="8"/>
    <x v="0"/>
    <x v="66"/>
    <n v="3201"/>
    <x v="1"/>
  </r>
  <r>
    <x v="9"/>
    <x v="0"/>
    <x v="74"/>
    <n v="2061"/>
    <x v="1"/>
  </r>
  <r>
    <x v="9"/>
    <x v="0"/>
    <x v="155"/>
    <n v="1"/>
    <x v="0"/>
  </r>
  <r>
    <x v="8"/>
    <x v="0"/>
    <x v="112"/>
    <n v="1"/>
    <x v="0"/>
  </r>
  <r>
    <x v="9"/>
    <x v="0"/>
    <x v="181"/>
    <n v="169"/>
    <x v="1"/>
  </r>
  <r>
    <x v="9"/>
    <x v="0"/>
    <x v="223"/>
    <n v="1"/>
    <x v="0"/>
  </r>
  <r>
    <x v="8"/>
    <x v="0"/>
    <x v="162"/>
    <n v="1"/>
    <x v="0"/>
  </r>
  <r>
    <x v="9"/>
    <x v="0"/>
    <x v="127"/>
    <n v="2763"/>
    <x v="1"/>
  </r>
  <r>
    <x v="8"/>
    <x v="0"/>
    <x v="158"/>
    <n v="1"/>
    <x v="0"/>
  </r>
  <r>
    <x v="8"/>
    <x v="0"/>
    <x v="73"/>
    <n v="679"/>
    <x v="1"/>
  </r>
  <r>
    <x v="8"/>
    <x v="0"/>
    <x v="47"/>
    <n v="243"/>
    <x v="1"/>
  </r>
  <r>
    <x v="8"/>
    <x v="0"/>
    <x v="29"/>
    <n v="12"/>
    <x v="0"/>
  </r>
  <r>
    <x v="9"/>
    <x v="0"/>
    <x v="150"/>
    <n v="2843"/>
    <x v="1"/>
  </r>
  <r>
    <x v="8"/>
    <x v="0"/>
    <x v="84"/>
    <n v="20"/>
    <x v="0"/>
  </r>
  <r>
    <x v="8"/>
    <x v="0"/>
    <x v="79"/>
    <n v="12214"/>
    <x v="1"/>
  </r>
  <r>
    <x v="8"/>
    <x v="0"/>
    <x v="201"/>
    <n v="2"/>
    <x v="0"/>
  </r>
  <r>
    <x v="8"/>
    <x v="0"/>
    <x v="44"/>
    <n v="2720"/>
    <x v="1"/>
  </r>
  <r>
    <x v="9"/>
    <x v="0"/>
    <x v="178"/>
    <n v="1"/>
    <x v="0"/>
  </r>
  <r>
    <x v="9"/>
    <x v="0"/>
    <x v="119"/>
    <n v="14"/>
    <x v="0"/>
  </r>
  <r>
    <x v="9"/>
    <x v="0"/>
    <x v="189"/>
    <n v="2952"/>
    <x v="1"/>
  </r>
  <r>
    <x v="9"/>
    <x v="0"/>
    <x v="199"/>
    <n v="2281"/>
    <x v="1"/>
  </r>
  <r>
    <x v="9"/>
    <x v="0"/>
    <x v="214"/>
    <n v="3"/>
    <x v="0"/>
  </r>
  <r>
    <x v="8"/>
    <x v="0"/>
    <x v="150"/>
    <n v="541"/>
    <x v="1"/>
  </r>
  <r>
    <x v="9"/>
    <x v="0"/>
    <x v="61"/>
    <n v="880"/>
    <x v="1"/>
  </r>
  <r>
    <x v="9"/>
    <x v="0"/>
    <x v="213"/>
    <n v="2"/>
    <x v="0"/>
  </r>
  <r>
    <x v="9"/>
    <x v="0"/>
    <x v="5"/>
    <n v="1"/>
    <x v="0"/>
  </r>
  <r>
    <x v="8"/>
    <x v="0"/>
    <x v="119"/>
    <n v="7"/>
    <x v="0"/>
  </r>
  <r>
    <x v="9"/>
    <x v="0"/>
    <x v="166"/>
    <n v="21"/>
    <x v="0"/>
  </r>
  <r>
    <x v="9"/>
    <x v="0"/>
    <x v="86"/>
    <n v="4652"/>
    <x v="1"/>
  </r>
  <r>
    <x v="9"/>
    <x v="0"/>
    <x v="9"/>
    <n v="2794"/>
    <x v="1"/>
  </r>
  <r>
    <x v="9"/>
    <x v="0"/>
    <x v="133"/>
    <n v="872"/>
    <x v="1"/>
  </r>
  <r>
    <x v="9"/>
    <x v="0"/>
    <x v="146"/>
    <n v="3095"/>
    <x v="1"/>
  </r>
  <r>
    <x v="9"/>
    <x v="0"/>
    <x v="56"/>
    <n v="2439"/>
    <x v="1"/>
  </r>
  <r>
    <x v="9"/>
    <x v="0"/>
    <x v="23"/>
    <n v="1"/>
    <x v="0"/>
  </r>
  <r>
    <x v="8"/>
    <x v="0"/>
    <x v="179"/>
    <n v="1"/>
    <x v="0"/>
  </r>
  <r>
    <x v="8"/>
    <x v="0"/>
    <x v="27"/>
    <n v="2218"/>
    <x v="1"/>
  </r>
  <r>
    <x v="9"/>
    <x v="0"/>
    <x v="115"/>
    <n v="3693"/>
    <x v="1"/>
  </r>
  <r>
    <x v="8"/>
    <x v="0"/>
    <x v="3"/>
    <n v="886"/>
    <x v="1"/>
  </r>
  <r>
    <x v="8"/>
    <x v="0"/>
    <x v="28"/>
    <n v="2306"/>
    <x v="1"/>
  </r>
  <r>
    <x v="9"/>
    <x v="0"/>
    <x v="201"/>
    <n v="1"/>
    <x v="0"/>
  </r>
  <r>
    <x v="9"/>
    <x v="0"/>
    <x v="28"/>
    <n v="2559"/>
    <x v="1"/>
  </r>
  <r>
    <x v="9"/>
    <x v="0"/>
    <x v="143"/>
    <n v="3765"/>
    <x v="1"/>
  </r>
  <r>
    <x v="9"/>
    <x v="0"/>
    <x v="168"/>
    <n v="332"/>
    <x v="1"/>
  </r>
  <r>
    <x v="8"/>
    <x v="0"/>
    <x v="43"/>
    <n v="10"/>
    <x v="0"/>
  </r>
  <r>
    <x v="9"/>
    <x v="0"/>
    <x v="159"/>
    <n v="2"/>
    <x v="0"/>
  </r>
  <r>
    <x v="9"/>
    <x v="0"/>
    <x v="182"/>
    <n v="2294"/>
    <x v="1"/>
  </r>
  <r>
    <x v="9"/>
    <x v="0"/>
    <x v="76"/>
    <n v="2"/>
    <x v="0"/>
  </r>
  <r>
    <x v="8"/>
    <x v="0"/>
    <x v="31"/>
    <n v="2495"/>
    <x v="1"/>
  </r>
  <r>
    <x v="9"/>
    <x v="0"/>
    <x v="100"/>
    <n v="1"/>
    <x v="0"/>
  </r>
  <r>
    <x v="8"/>
    <x v="0"/>
    <x v="96"/>
    <n v="89"/>
    <x v="0"/>
  </r>
  <r>
    <x v="8"/>
    <x v="0"/>
    <x v="123"/>
    <n v="3095"/>
    <x v="1"/>
  </r>
  <r>
    <x v="9"/>
    <x v="0"/>
    <x v="68"/>
    <n v="3"/>
    <x v="0"/>
  </r>
  <r>
    <x v="9"/>
    <x v="0"/>
    <x v="145"/>
    <n v="3"/>
    <x v="0"/>
  </r>
  <r>
    <x v="8"/>
    <x v="0"/>
    <x v="132"/>
    <n v="3"/>
    <x v="0"/>
  </r>
  <r>
    <x v="9"/>
    <x v="0"/>
    <x v="59"/>
    <n v="212"/>
    <x v="1"/>
  </r>
  <r>
    <x v="9"/>
    <x v="0"/>
    <x v="188"/>
    <n v="2070"/>
    <x v="1"/>
  </r>
  <r>
    <x v="8"/>
    <x v="0"/>
    <x v="113"/>
    <n v="2492"/>
    <x v="1"/>
  </r>
  <r>
    <x v="9"/>
    <x v="0"/>
    <x v="99"/>
    <n v="2220"/>
    <x v="1"/>
  </r>
  <r>
    <x v="8"/>
    <x v="0"/>
    <x v="159"/>
    <n v="1"/>
    <x v="0"/>
  </r>
  <r>
    <x v="8"/>
    <x v="0"/>
    <x v="109"/>
    <n v="10"/>
    <x v="0"/>
  </r>
  <r>
    <x v="9"/>
    <x v="0"/>
    <x v="195"/>
    <n v="2"/>
    <x v="0"/>
  </r>
  <r>
    <x v="8"/>
    <x v="0"/>
    <x v="75"/>
    <n v="1022"/>
    <x v="1"/>
  </r>
  <r>
    <x v="8"/>
    <x v="0"/>
    <x v="147"/>
    <n v="829"/>
    <x v="1"/>
  </r>
  <r>
    <x v="8"/>
    <x v="0"/>
    <x v="97"/>
    <n v="954"/>
    <x v="1"/>
  </r>
  <r>
    <x v="9"/>
    <x v="0"/>
    <x v="35"/>
    <n v="77"/>
    <x v="0"/>
  </r>
  <r>
    <x v="9"/>
    <x v="0"/>
    <x v="138"/>
    <n v="7"/>
    <x v="0"/>
  </r>
  <r>
    <x v="8"/>
    <x v="0"/>
    <x v="104"/>
    <n v="4034"/>
    <x v="1"/>
  </r>
  <r>
    <x v="8"/>
    <x v="0"/>
    <x v="167"/>
    <n v="2262"/>
    <x v="1"/>
  </r>
  <r>
    <x v="10"/>
    <x v="0"/>
    <x v="104"/>
    <n v="3970"/>
    <x v="1"/>
  </r>
  <r>
    <x v="11"/>
    <x v="0"/>
    <x v="9"/>
    <n v="2681"/>
    <x v="1"/>
  </r>
  <r>
    <x v="10"/>
    <x v="0"/>
    <x v="80"/>
    <n v="24"/>
    <x v="0"/>
  </r>
  <r>
    <x v="11"/>
    <x v="0"/>
    <x v="98"/>
    <n v="1634"/>
    <x v="1"/>
  </r>
  <r>
    <x v="11"/>
    <x v="0"/>
    <x v="20"/>
    <n v="3"/>
    <x v="0"/>
  </r>
  <r>
    <x v="11"/>
    <x v="0"/>
    <x v="141"/>
    <n v="2096"/>
    <x v="1"/>
  </r>
  <r>
    <x v="11"/>
    <x v="0"/>
    <x v="71"/>
    <n v="3198"/>
    <x v="1"/>
  </r>
  <r>
    <x v="10"/>
    <x v="0"/>
    <x v="57"/>
    <n v="11"/>
    <x v="0"/>
  </r>
  <r>
    <x v="10"/>
    <x v="0"/>
    <x v="5"/>
    <n v="1"/>
    <x v="0"/>
  </r>
  <r>
    <x v="10"/>
    <x v="0"/>
    <x v="43"/>
    <n v="13"/>
    <x v="0"/>
  </r>
  <r>
    <x v="10"/>
    <x v="0"/>
    <x v="197"/>
    <n v="2083"/>
    <x v="1"/>
  </r>
  <r>
    <x v="10"/>
    <x v="0"/>
    <x v="92"/>
    <n v="6"/>
    <x v="0"/>
  </r>
  <r>
    <x v="10"/>
    <x v="0"/>
    <x v="158"/>
    <n v="2"/>
    <x v="0"/>
  </r>
  <r>
    <x v="11"/>
    <x v="0"/>
    <x v="168"/>
    <n v="52"/>
    <x v="0"/>
  </r>
  <r>
    <x v="10"/>
    <x v="0"/>
    <x v="98"/>
    <n v="1386"/>
    <x v="1"/>
  </r>
  <r>
    <x v="11"/>
    <x v="0"/>
    <x v="47"/>
    <n v="262"/>
    <x v="1"/>
  </r>
  <r>
    <x v="10"/>
    <x v="0"/>
    <x v="160"/>
    <n v="3"/>
    <x v="0"/>
  </r>
  <r>
    <x v="10"/>
    <x v="0"/>
    <x v="133"/>
    <n v="866"/>
    <x v="1"/>
  </r>
  <r>
    <x v="10"/>
    <x v="0"/>
    <x v="177"/>
    <n v="2"/>
    <x v="0"/>
  </r>
  <r>
    <x v="10"/>
    <x v="0"/>
    <x v="155"/>
    <n v="1"/>
    <x v="0"/>
  </r>
  <r>
    <x v="10"/>
    <x v="0"/>
    <x v="176"/>
    <n v="1"/>
    <x v="0"/>
  </r>
  <r>
    <x v="10"/>
    <x v="0"/>
    <x v="186"/>
    <n v="1112"/>
    <x v="1"/>
  </r>
  <r>
    <x v="10"/>
    <x v="0"/>
    <x v="106"/>
    <n v="1972"/>
    <x v="1"/>
  </r>
  <r>
    <x v="10"/>
    <x v="0"/>
    <x v="90"/>
    <n v="1265"/>
    <x v="1"/>
  </r>
  <r>
    <x v="11"/>
    <x v="0"/>
    <x v="131"/>
    <n v="2920"/>
    <x v="1"/>
  </r>
  <r>
    <x v="11"/>
    <x v="0"/>
    <x v="176"/>
    <n v="1"/>
    <x v="0"/>
  </r>
  <r>
    <x v="10"/>
    <x v="0"/>
    <x v="166"/>
    <n v="16"/>
    <x v="0"/>
  </r>
  <r>
    <x v="10"/>
    <x v="0"/>
    <x v="126"/>
    <n v="172"/>
    <x v="1"/>
  </r>
  <r>
    <x v="11"/>
    <x v="0"/>
    <x v="101"/>
    <n v="1"/>
    <x v="0"/>
  </r>
  <r>
    <x v="11"/>
    <x v="0"/>
    <x v="139"/>
    <n v="2390"/>
    <x v="1"/>
  </r>
  <r>
    <x v="11"/>
    <x v="0"/>
    <x v="50"/>
    <n v="761"/>
    <x v="1"/>
  </r>
  <r>
    <x v="10"/>
    <x v="0"/>
    <x v="86"/>
    <n v="4630"/>
    <x v="1"/>
  </r>
  <r>
    <x v="11"/>
    <x v="0"/>
    <x v="102"/>
    <n v="2246"/>
    <x v="1"/>
  </r>
  <r>
    <x v="11"/>
    <x v="0"/>
    <x v="68"/>
    <n v="4"/>
    <x v="0"/>
  </r>
  <r>
    <x v="10"/>
    <x v="0"/>
    <x v="25"/>
    <n v="4"/>
    <x v="0"/>
  </r>
  <r>
    <x v="10"/>
    <x v="0"/>
    <x v="175"/>
    <n v="1"/>
    <x v="0"/>
  </r>
  <r>
    <x v="10"/>
    <x v="0"/>
    <x v="16"/>
    <n v="6"/>
    <x v="0"/>
  </r>
  <r>
    <x v="10"/>
    <x v="0"/>
    <x v="65"/>
    <n v="438"/>
    <x v="1"/>
  </r>
  <r>
    <x v="10"/>
    <x v="0"/>
    <x v="17"/>
    <n v="615"/>
    <x v="1"/>
  </r>
  <r>
    <x v="11"/>
    <x v="0"/>
    <x v="208"/>
    <n v="4"/>
    <x v="0"/>
  </r>
  <r>
    <x v="11"/>
    <x v="0"/>
    <x v="216"/>
    <n v="1"/>
    <x v="0"/>
  </r>
  <r>
    <x v="11"/>
    <x v="0"/>
    <x v="145"/>
    <n v="2484"/>
    <x v="1"/>
  </r>
  <r>
    <x v="11"/>
    <x v="0"/>
    <x v="104"/>
    <n v="3967"/>
    <x v="1"/>
  </r>
  <r>
    <x v="10"/>
    <x v="0"/>
    <x v="48"/>
    <n v="10"/>
    <x v="0"/>
  </r>
  <r>
    <x v="10"/>
    <x v="0"/>
    <x v="223"/>
    <n v="3"/>
    <x v="0"/>
  </r>
  <r>
    <x v="10"/>
    <x v="0"/>
    <x v="68"/>
    <n v="3"/>
    <x v="0"/>
  </r>
  <r>
    <x v="11"/>
    <x v="0"/>
    <x v="218"/>
    <n v="1"/>
    <x v="0"/>
  </r>
  <r>
    <x v="11"/>
    <x v="0"/>
    <x v="23"/>
    <n v="3"/>
    <x v="0"/>
  </r>
  <r>
    <x v="11"/>
    <x v="0"/>
    <x v="121"/>
    <n v="2418"/>
    <x v="1"/>
  </r>
  <r>
    <x v="10"/>
    <x v="0"/>
    <x v="37"/>
    <n v="835"/>
    <x v="1"/>
  </r>
  <r>
    <x v="11"/>
    <x v="0"/>
    <x v="0"/>
    <n v="39"/>
    <x v="0"/>
  </r>
  <r>
    <x v="11"/>
    <x v="0"/>
    <x v="97"/>
    <n v="956"/>
    <x v="1"/>
  </r>
  <r>
    <x v="10"/>
    <x v="0"/>
    <x v="214"/>
    <n v="3"/>
    <x v="0"/>
  </r>
  <r>
    <x v="10"/>
    <x v="0"/>
    <x v="102"/>
    <n v="2788"/>
    <x v="1"/>
  </r>
  <r>
    <x v="11"/>
    <x v="0"/>
    <x v="31"/>
    <n v="2428"/>
    <x v="1"/>
  </r>
  <r>
    <x v="11"/>
    <x v="0"/>
    <x v="70"/>
    <n v="20"/>
    <x v="0"/>
  </r>
  <r>
    <x v="11"/>
    <x v="0"/>
    <x v="149"/>
    <n v="2252"/>
    <x v="1"/>
  </r>
  <r>
    <x v="10"/>
    <x v="0"/>
    <x v="103"/>
    <n v="28"/>
    <x v="0"/>
  </r>
  <r>
    <x v="11"/>
    <x v="0"/>
    <x v="5"/>
    <n v="1"/>
    <x v="0"/>
  </r>
  <r>
    <x v="10"/>
    <x v="0"/>
    <x v="142"/>
    <n v="2399"/>
    <x v="1"/>
  </r>
  <r>
    <x v="11"/>
    <x v="0"/>
    <x v="160"/>
    <n v="1"/>
    <x v="0"/>
  </r>
  <r>
    <x v="11"/>
    <x v="0"/>
    <x v="138"/>
    <n v="2928"/>
    <x v="1"/>
  </r>
  <r>
    <x v="11"/>
    <x v="0"/>
    <x v="26"/>
    <n v="2230"/>
    <x v="1"/>
  </r>
  <r>
    <x v="11"/>
    <x v="0"/>
    <x v="201"/>
    <n v="2"/>
    <x v="0"/>
  </r>
  <r>
    <x v="10"/>
    <x v="0"/>
    <x v="35"/>
    <n v="76"/>
    <x v="0"/>
  </r>
  <r>
    <x v="10"/>
    <x v="0"/>
    <x v="61"/>
    <n v="876"/>
    <x v="1"/>
  </r>
  <r>
    <x v="10"/>
    <x v="0"/>
    <x v="153"/>
    <n v="2130"/>
    <x v="1"/>
  </r>
  <r>
    <x v="10"/>
    <x v="0"/>
    <x v="131"/>
    <n v="2997"/>
    <x v="1"/>
  </r>
  <r>
    <x v="10"/>
    <x v="0"/>
    <x v="137"/>
    <n v="1444"/>
    <x v="1"/>
  </r>
  <r>
    <x v="11"/>
    <x v="0"/>
    <x v="1"/>
    <n v="31"/>
    <x v="0"/>
  </r>
  <r>
    <x v="11"/>
    <x v="0"/>
    <x v="196"/>
    <n v="1"/>
    <x v="0"/>
  </r>
  <r>
    <x v="10"/>
    <x v="0"/>
    <x v="84"/>
    <n v="32"/>
    <x v="0"/>
  </r>
  <r>
    <x v="11"/>
    <x v="0"/>
    <x v="128"/>
    <n v="83"/>
    <x v="0"/>
  </r>
  <r>
    <x v="10"/>
    <x v="0"/>
    <x v="143"/>
    <n v="3746"/>
    <x v="1"/>
  </r>
  <r>
    <x v="10"/>
    <x v="0"/>
    <x v="85"/>
    <n v="623"/>
    <x v="1"/>
  </r>
  <r>
    <x v="11"/>
    <x v="0"/>
    <x v="166"/>
    <n v="12"/>
    <x v="0"/>
  </r>
  <r>
    <x v="11"/>
    <x v="0"/>
    <x v="27"/>
    <n v="2201"/>
    <x v="1"/>
  </r>
  <r>
    <x v="11"/>
    <x v="0"/>
    <x v="114"/>
    <n v="88"/>
    <x v="0"/>
  </r>
  <r>
    <x v="11"/>
    <x v="0"/>
    <x v="75"/>
    <n v="1018"/>
    <x v="1"/>
  </r>
  <r>
    <x v="10"/>
    <x v="0"/>
    <x v="46"/>
    <n v="3060"/>
    <x v="1"/>
  </r>
  <r>
    <x v="10"/>
    <x v="0"/>
    <x v="140"/>
    <n v="3778"/>
    <x v="1"/>
  </r>
  <r>
    <x v="10"/>
    <x v="0"/>
    <x v="30"/>
    <n v="1123"/>
    <x v="1"/>
  </r>
  <r>
    <x v="10"/>
    <x v="0"/>
    <x v="108"/>
    <n v="487"/>
    <x v="1"/>
  </r>
  <r>
    <x v="10"/>
    <x v="0"/>
    <x v="10"/>
    <n v="740"/>
    <x v="1"/>
  </r>
  <r>
    <x v="10"/>
    <x v="0"/>
    <x v="148"/>
    <n v="2665"/>
    <x v="1"/>
  </r>
  <r>
    <x v="11"/>
    <x v="0"/>
    <x v="44"/>
    <n v="2675"/>
    <x v="1"/>
  </r>
  <r>
    <x v="11"/>
    <x v="0"/>
    <x v="30"/>
    <n v="1198"/>
    <x v="1"/>
  </r>
  <r>
    <x v="11"/>
    <x v="0"/>
    <x v="29"/>
    <n v="11"/>
    <x v="0"/>
  </r>
  <r>
    <x v="11"/>
    <x v="0"/>
    <x v="81"/>
    <n v="4"/>
    <x v="0"/>
  </r>
  <r>
    <x v="10"/>
    <x v="0"/>
    <x v="47"/>
    <n v="297"/>
    <x v="1"/>
  </r>
  <r>
    <x v="11"/>
    <x v="0"/>
    <x v="207"/>
    <n v="10"/>
    <x v="0"/>
  </r>
  <r>
    <x v="10"/>
    <x v="0"/>
    <x v="146"/>
    <n v="3085"/>
    <x v="1"/>
  </r>
  <r>
    <x v="11"/>
    <x v="0"/>
    <x v="41"/>
    <n v="3"/>
    <x v="0"/>
  </r>
  <r>
    <x v="10"/>
    <x v="0"/>
    <x v="206"/>
    <n v="2"/>
    <x v="0"/>
  </r>
  <r>
    <x v="11"/>
    <x v="0"/>
    <x v="17"/>
    <n v="265"/>
    <x v="1"/>
  </r>
  <r>
    <x v="10"/>
    <x v="0"/>
    <x v="66"/>
    <n v="3363"/>
    <x v="1"/>
  </r>
  <r>
    <x v="10"/>
    <x v="0"/>
    <x v="149"/>
    <n v="2524"/>
    <x v="1"/>
  </r>
  <r>
    <x v="11"/>
    <x v="0"/>
    <x v="115"/>
    <n v="3890"/>
    <x v="1"/>
  </r>
  <r>
    <x v="10"/>
    <x v="0"/>
    <x v="19"/>
    <n v="240"/>
    <x v="1"/>
  </r>
  <r>
    <x v="10"/>
    <x v="0"/>
    <x v="169"/>
    <n v="2"/>
    <x v="0"/>
  </r>
  <r>
    <x v="11"/>
    <x v="0"/>
    <x v="143"/>
    <n v="13"/>
    <x v="0"/>
  </r>
  <r>
    <x v="11"/>
    <x v="0"/>
    <x v="153"/>
    <n v="2251"/>
    <x v="1"/>
  </r>
  <r>
    <x v="11"/>
    <x v="0"/>
    <x v="85"/>
    <n v="635"/>
    <x v="1"/>
  </r>
  <r>
    <x v="11"/>
    <x v="0"/>
    <x v="90"/>
    <n v="1268"/>
    <x v="1"/>
  </r>
  <r>
    <x v="11"/>
    <x v="0"/>
    <x v="155"/>
    <n v="1"/>
    <x v="0"/>
  </r>
  <r>
    <x v="11"/>
    <x v="0"/>
    <x v="10"/>
    <n v="718"/>
    <x v="1"/>
  </r>
  <r>
    <x v="10"/>
    <x v="0"/>
    <x v="114"/>
    <n v="111"/>
    <x v="1"/>
  </r>
  <r>
    <x v="11"/>
    <x v="0"/>
    <x v="157"/>
    <n v="1"/>
    <x v="0"/>
  </r>
  <r>
    <x v="11"/>
    <x v="0"/>
    <x v="28"/>
    <n v="2298"/>
    <x v="1"/>
  </r>
  <r>
    <x v="11"/>
    <x v="0"/>
    <x v="95"/>
    <n v="2519"/>
    <x v="1"/>
  </r>
  <r>
    <x v="10"/>
    <x v="0"/>
    <x v="56"/>
    <n v="2409"/>
    <x v="1"/>
  </r>
  <r>
    <x v="10"/>
    <x v="0"/>
    <x v="115"/>
    <n v="3663"/>
    <x v="1"/>
  </r>
  <r>
    <x v="10"/>
    <x v="0"/>
    <x v="44"/>
    <n v="2930"/>
    <x v="1"/>
  </r>
  <r>
    <x v="11"/>
    <x v="0"/>
    <x v="147"/>
    <n v="824"/>
    <x v="1"/>
  </r>
  <r>
    <x v="10"/>
    <x v="0"/>
    <x v="31"/>
    <n v="2506"/>
    <x v="1"/>
  </r>
  <r>
    <x v="10"/>
    <x v="0"/>
    <x v="39"/>
    <n v="2"/>
    <x v="0"/>
  </r>
  <r>
    <x v="11"/>
    <x v="0"/>
    <x v="140"/>
    <n v="3296"/>
    <x v="1"/>
  </r>
  <r>
    <x v="10"/>
    <x v="0"/>
    <x v="82"/>
    <n v="9"/>
    <x v="0"/>
  </r>
  <r>
    <x v="10"/>
    <x v="0"/>
    <x v="97"/>
    <n v="771"/>
    <x v="1"/>
  </r>
  <r>
    <x v="11"/>
    <x v="0"/>
    <x v="18"/>
    <n v="1"/>
    <x v="0"/>
  </r>
  <r>
    <x v="11"/>
    <x v="0"/>
    <x v="151"/>
    <n v="2351"/>
    <x v="1"/>
  </r>
  <r>
    <x v="10"/>
    <x v="0"/>
    <x v="222"/>
    <n v="797"/>
    <x v="1"/>
  </r>
  <r>
    <x v="10"/>
    <x v="0"/>
    <x v="71"/>
    <n v="3275"/>
    <x v="1"/>
  </r>
  <r>
    <x v="10"/>
    <x v="0"/>
    <x v="99"/>
    <n v="2209"/>
    <x v="1"/>
  </r>
  <r>
    <x v="11"/>
    <x v="0"/>
    <x v="180"/>
    <n v="1"/>
    <x v="0"/>
  </r>
  <r>
    <x v="10"/>
    <x v="0"/>
    <x v="207"/>
    <n v="10"/>
    <x v="0"/>
  </r>
  <r>
    <x v="11"/>
    <x v="0"/>
    <x v="117"/>
    <n v="2263"/>
    <x v="1"/>
  </r>
  <r>
    <x v="10"/>
    <x v="0"/>
    <x v="94"/>
    <n v="694"/>
    <x v="1"/>
  </r>
  <r>
    <x v="11"/>
    <x v="0"/>
    <x v="164"/>
    <n v="11"/>
    <x v="0"/>
  </r>
  <r>
    <x v="11"/>
    <x v="0"/>
    <x v="167"/>
    <n v="2227"/>
    <x v="1"/>
  </r>
  <r>
    <x v="10"/>
    <x v="0"/>
    <x v="173"/>
    <n v="1"/>
    <x v="0"/>
  </r>
  <r>
    <x v="10"/>
    <x v="0"/>
    <x v="4"/>
    <n v="2"/>
    <x v="0"/>
  </r>
  <r>
    <x v="11"/>
    <x v="0"/>
    <x v="59"/>
    <n v="127"/>
    <x v="1"/>
  </r>
  <r>
    <x v="11"/>
    <x v="0"/>
    <x v="103"/>
    <n v="1316"/>
    <x v="1"/>
  </r>
  <r>
    <x v="11"/>
    <x v="0"/>
    <x v="132"/>
    <n v="3"/>
    <x v="0"/>
  </r>
  <r>
    <x v="10"/>
    <x v="0"/>
    <x v="208"/>
    <n v="5"/>
    <x v="0"/>
  </r>
  <r>
    <x v="11"/>
    <x v="0"/>
    <x v="110"/>
    <n v="4"/>
    <x v="0"/>
  </r>
  <r>
    <x v="11"/>
    <x v="0"/>
    <x v="206"/>
    <n v="1"/>
    <x v="0"/>
  </r>
  <r>
    <x v="10"/>
    <x v="0"/>
    <x v="213"/>
    <n v="2"/>
    <x v="0"/>
  </r>
  <r>
    <x v="10"/>
    <x v="0"/>
    <x v="29"/>
    <n v="3"/>
    <x v="0"/>
  </r>
  <r>
    <x v="11"/>
    <x v="0"/>
    <x v="136"/>
    <n v="2529"/>
    <x v="1"/>
  </r>
  <r>
    <x v="11"/>
    <x v="0"/>
    <x v="3"/>
    <n v="887"/>
    <x v="1"/>
  </r>
  <r>
    <x v="10"/>
    <x v="0"/>
    <x v="23"/>
    <n v="1"/>
    <x v="0"/>
  </r>
  <r>
    <x v="10"/>
    <x v="0"/>
    <x v="100"/>
    <n v="1"/>
    <x v="0"/>
  </r>
  <r>
    <x v="11"/>
    <x v="0"/>
    <x v="56"/>
    <n v="2413"/>
    <x v="1"/>
  </r>
  <r>
    <x v="11"/>
    <x v="0"/>
    <x v="171"/>
    <n v="2144"/>
    <x v="1"/>
  </r>
  <r>
    <x v="10"/>
    <x v="0"/>
    <x v="180"/>
    <n v="1"/>
    <x v="0"/>
  </r>
  <r>
    <x v="10"/>
    <x v="0"/>
    <x v="129"/>
    <n v="1565"/>
    <x v="1"/>
  </r>
  <r>
    <x v="11"/>
    <x v="0"/>
    <x v="124"/>
    <n v="2355"/>
    <x v="1"/>
  </r>
  <r>
    <x v="10"/>
    <x v="0"/>
    <x v="87"/>
    <n v="2270"/>
    <x v="1"/>
  </r>
  <r>
    <x v="10"/>
    <x v="0"/>
    <x v="8"/>
    <n v="2778"/>
    <x v="1"/>
  </r>
  <r>
    <x v="11"/>
    <x v="0"/>
    <x v="67"/>
    <n v="1"/>
    <x v="0"/>
  </r>
  <r>
    <x v="10"/>
    <x v="0"/>
    <x v="111"/>
    <n v="2355"/>
    <x v="1"/>
  </r>
  <r>
    <x v="11"/>
    <x v="0"/>
    <x v="120"/>
    <n v="308"/>
    <x v="1"/>
  </r>
  <r>
    <x v="10"/>
    <x v="0"/>
    <x v="54"/>
    <n v="21"/>
    <x v="0"/>
  </r>
  <r>
    <x v="10"/>
    <x v="0"/>
    <x v="157"/>
    <n v="2"/>
    <x v="0"/>
  </r>
  <r>
    <x v="11"/>
    <x v="0"/>
    <x v="158"/>
    <n v="1"/>
    <x v="0"/>
  </r>
  <r>
    <x v="10"/>
    <x v="0"/>
    <x v="187"/>
    <n v="1756"/>
    <x v="1"/>
  </r>
  <r>
    <x v="10"/>
    <x v="0"/>
    <x v="78"/>
    <n v="108"/>
    <x v="1"/>
  </r>
  <r>
    <x v="10"/>
    <x v="0"/>
    <x v="64"/>
    <n v="1312"/>
    <x v="1"/>
  </r>
  <r>
    <x v="10"/>
    <x v="0"/>
    <x v="198"/>
    <n v="2410"/>
    <x v="1"/>
  </r>
  <r>
    <x v="10"/>
    <x v="0"/>
    <x v="194"/>
    <n v="1"/>
    <x v="0"/>
  </r>
  <r>
    <x v="11"/>
    <x v="0"/>
    <x v="66"/>
    <n v="3115"/>
    <x v="1"/>
  </r>
  <r>
    <x v="10"/>
    <x v="0"/>
    <x v="28"/>
    <n v="2607"/>
    <x v="1"/>
  </r>
  <r>
    <x v="11"/>
    <x v="0"/>
    <x v="7"/>
    <n v="3027"/>
    <x v="1"/>
  </r>
  <r>
    <x v="10"/>
    <x v="0"/>
    <x v="67"/>
    <n v="1"/>
    <x v="0"/>
  </r>
  <r>
    <x v="11"/>
    <x v="0"/>
    <x v="181"/>
    <n v="7"/>
    <x v="0"/>
  </r>
  <r>
    <x v="11"/>
    <x v="0"/>
    <x v="63"/>
    <n v="481"/>
    <x v="1"/>
  </r>
  <r>
    <x v="11"/>
    <x v="0"/>
    <x v="19"/>
    <n v="225"/>
    <x v="1"/>
  </r>
  <r>
    <x v="10"/>
    <x v="0"/>
    <x v="21"/>
    <n v="2998"/>
    <x v="1"/>
  </r>
  <r>
    <x v="10"/>
    <x v="0"/>
    <x v="109"/>
    <n v="66"/>
    <x v="0"/>
  </r>
  <r>
    <x v="10"/>
    <x v="0"/>
    <x v="119"/>
    <n v="12"/>
    <x v="0"/>
  </r>
  <r>
    <x v="10"/>
    <x v="0"/>
    <x v="181"/>
    <n v="176"/>
    <x v="1"/>
  </r>
  <r>
    <x v="10"/>
    <x v="0"/>
    <x v="124"/>
    <n v="2784"/>
    <x v="1"/>
  </r>
  <r>
    <x v="10"/>
    <x v="0"/>
    <x v="2"/>
    <n v="3067"/>
    <x v="1"/>
  </r>
  <r>
    <x v="11"/>
    <x v="0"/>
    <x v="64"/>
    <n v="2044"/>
    <x v="1"/>
  </r>
  <r>
    <x v="11"/>
    <x v="0"/>
    <x v="43"/>
    <n v="9"/>
    <x v="0"/>
  </r>
  <r>
    <x v="10"/>
    <x v="0"/>
    <x v="70"/>
    <n v="22"/>
    <x v="0"/>
  </r>
  <r>
    <x v="10"/>
    <x v="0"/>
    <x v="22"/>
    <n v="3333"/>
    <x v="1"/>
  </r>
  <r>
    <x v="10"/>
    <x v="0"/>
    <x v="113"/>
    <n v="2502"/>
    <x v="1"/>
  </r>
  <r>
    <x v="10"/>
    <x v="0"/>
    <x v="83"/>
    <n v="7"/>
    <x v="0"/>
  </r>
  <r>
    <x v="10"/>
    <x v="0"/>
    <x v="193"/>
    <n v="1085"/>
    <x v="1"/>
  </r>
  <r>
    <x v="11"/>
    <x v="0"/>
    <x v="45"/>
    <n v="78"/>
    <x v="0"/>
  </r>
  <r>
    <x v="10"/>
    <x v="0"/>
    <x v="107"/>
    <n v="7"/>
    <x v="0"/>
  </r>
  <r>
    <x v="10"/>
    <x v="0"/>
    <x v="165"/>
    <n v="1"/>
    <x v="0"/>
  </r>
  <r>
    <x v="11"/>
    <x v="0"/>
    <x v="106"/>
    <n v="2125"/>
    <x v="1"/>
  </r>
  <r>
    <x v="11"/>
    <x v="0"/>
    <x v="78"/>
    <n v="119"/>
    <x v="1"/>
  </r>
  <r>
    <x v="11"/>
    <x v="0"/>
    <x v="4"/>
    <n v="3"/>
    <x v="0"/>
  </r>
  <r>
    <x v="11"/>
    <x v="0"/>
    <x v="61"/>
    <n v="959"/>
    <x v="1"/>
  </r>
  <r>
    <x v="11"/>
    <x v="0"/>
    <x v="48"/>
    <n v="5"/>
    <x v="0"/>
  </r>
  <r>
    <x v="11"/>
    <x v="0"/>
    <x v="58"/>
    <n v="2446"/>
    <x v="1"/>
  </r>
  <r>
    <x v="10"/>
    <x v="0"/>
    <x v="201"/>
    <n v="1"/>
    <x v="0"/>
  </r>
  <r>
    <x v="10"/>
    <x v="0"/>
    <x v="147"/>
    <n v="848"/>
    <x v="1"/>
  </r>
  <r>
    <x v="11"/>
    <x v="0"/>
    <x v="150"/>
    <n v="531"/>
    <x v="1"/>
  </r>
  <r>
    <x v="10"/>
    <x v="0"/>
    <x v="132"/>
    <n v="4"/>
    <x v="0"/>
  </r>
  <r>
    <x v="11"/>
    <x v="0"/>
    <x v="49"/>
    <n v="2"/>
    <x v="0"/>
  </r>
  <r>
    <x v="11"/>
    <x v="0"/>
    <x v="126"/>
    <n v="314"/>
    <x v="1"/>
  </r>
  <r>
    <x v="10"/>
    <x v="0"/>
    <x v="199"/>
    <n v="2286"/>
    <x v="1"/>
  </r>
  <r>
    <x v="10"/>
    <x v="0"/>
    <x v="53"/>
    <n v="95"/>
    <x v="0"/>
  </r>
  <r>
    <x v="11"/>
    <x v="0"/>
    <x v="179"/>
    <n v="2"/>
    <x v="0"/>
  </r>
  <r>
    <x v="11"/>
    <x v="0"/>
    <x v="15"/>
    <n v="4"/>
    <x v="0"/>
  </r>
  <r>
    <x v="10"/>
    <x v="0"/>
    <x v="190"/>
    <n v="574"/>
    <x v="1"/>
  </r>
  <r>
    <x v="10"/>
    <x v="0"/>
    <x v="15"/>
    <n v="3"/>
    <x v="0"/>
  </r>
  <r>
    <x v="10"/>
    <x v="0"/>
    <x v="159"/>
    <n v="2"/>
    <x v="0"/>
  </r>
  <r>
    <x v="10"/>
    <x v="0"/>
    <x v="128"/>
    <n v="86"/>
    <x v="0"/>
  </r>
  <r>
    <x v="11"/>
    <x v="0"/>
    <x v="163"/>
    <n v="6"/>
    <x v="0"/>
  </r>
  <r>
    <x v="10"/>
    <x v="0"/>
    <x v="89"/>
    <n v="2513"/>
    <x v="1"/>
  </r>
  <r>
    <x v="11"/>
    <x v="0"/>
    <x v="62"/>
    <n v="2314"/>
    <x v="1"/>
  </r>
  <r>
    <x v="10"/>
    <x v="0"/>
    <x v="152"/>
    <n v="2390"/>
    <x v="1"/>
  </r>
  <r>
    <x v="11"/>
    <x v="0"/>
    <x v="87"/>
    <n v="20"/>
    <x v="0"/>
  </r>
  <r>
    <x v="11"/>
    <x v="0"/>
    <x v="92"/>
    <n v="9"/>
    <x v="0"/>
  </r>
  <r>
    <x v="10"/>
    <x v="0"/>
    <x v="13"/>
    <n v="3"/>
    <x v="0"/>
  </r>
  <r>
    <x v="10"/>
    <x v="0"/>
    <x v="170"/>
    <n v="2641"/>
    <x v="1"/>
  </r>
  <r>
    <x v="11"/>
    <x v="0"/>
    <x v="142"/>
    <n v="2137"/>
    <x v="1"/>
  </r>
  <r>
    <x v="10"/>
    <x v="0"/>
    <x v="151"/>
    <n v="2929"/>
    <x v="1"/>
  </r>
  <r>
    <x v="11"/>
    <x v="0"/>
    <x v="170"/>
    <n v="2479"/>
    <x v="1"/>
  </r>
  <r>
    <x v="11"/>
    <x v="0"/>
    <x v="38"/>
    <n v="3194"/>
    <x v="1"/>
  </r>
  <r>
    <x v="11"/>
    <x v="0"/>
    <x v="82"/>
    <n v="3405"/>
    <x v="1"/>
  </r>
  <r>
    <x v="11"/>
    <x v="0"/>
    <x v="161"/>
    <n v="2"/>
    <x v="0"/>
  </r>
  <r>
    <x v="11"/>
    <x v="0"/>
    <x v="86"/>
    <n v="2350"/>
    <x v="1"/>
  </r>
  <r>
    <x v="11"/>
    <x v="0"/>
    <x v="202"/>
    <n v="1"/>
    <x v="0"/>
  </r>
  <r>
    <x v="11"/>
    <x v="0"/>
    <x v="203"/>
    <n v="1"/>
    <x v="0"/>
  </r>
  <r>
    <x v="11"/>
    <x v="0"/>
    <x v="34"/>
    <n v="2"/>
    <x v="0"/>
  </r>
  <r>
    <x v="11"/>
    <x v="0"/>
    <x v="35"/>
    <n v="112"/>
    <x v="1"/>
  </r>
  <r>
    <x v="10"/>
    <x v="0"/>
    <x v="9"/>
    <n v="2804"/>
    <x v="1"/>
  </r>
  <r>
    <x v="10"/>
    <x v="0"/>
    <x v="77"/>
    <n v="6"/>
    <x v="0"/>
  </r>
  <r>
    <x v="10"/>
    <x v="0"/>
    <x v="195"/>
    <n v="2"/>
    <x v="0"/>
  </r>
  <r>
    <x v="11"/>
    <x v="0"/>
    <x v="99"/>
    <n v="2258"/>
    <x v="1"/>
  </r>
  <r>
    <x v="10"/>
    <x v="0"/>
    <x v="168"/>
    <n v="318"/>
    <x v="1"/>
  </r>
  <r>
    <x v="11"/>
    <x v="0"/>
    <x v="162"/>
    <n v="1"/>
    <x v="0"/>
  </r>
  <r>
    <x v="10"/>
    <x v="0"/>
    <x v="154"/>
    <n v="783"/>
    <x v="1"/>
  </r>
  <r>
    <x v="11"/>
    <x v="0"/>
    <x v="116"/>
    <n v="550"/>
    <x v="1"/>
  </r>
  <r>
    <x v="10"/>
    <x v="0"/>
    <x v="12"/>
    <n v="42"/>
    <x v="0"/>
  </r>
  <r>
    <x v="11"/>
    <x v="0"/>
    <x v="217"/>
    <n v="1"/>
    <x v="0"/>
  </r>
  <r>
    <x v="10"/>
    <x v="0"/>
    <x v="40"/>
    <n v="4"/>
    <x v="0"/>
  </r>
  <r>
    <x v="11"/>
    <x v="0"/>
    <x v="182"/>
    <n v="2271"/>
    <x v="1"/>
  </r>
  <r>
    <x v="11"/>
    <x v="0"/>
    <x v="105"/>
    <n v="2398"/>
    <x v="1"/>
  </r>
  <r>
    <x v="10"/>
    <x v="0"/>
    <x v="32"/>
    <n v="8059"/>
    <x v="1"/>
  </r>
  <r>
    <x v="11"/>
    <x v="0"/>
    <x v="133"/>
    <n v="2799"/>
    <x v="1"/>
  </r>
  <r>
    <x v="11"/>
    <x v="0"/>
    <x v="159"/>
    <n v="1"/>
    <x v="0"/>
  </r>
  <r>
    <x v="10"/>
    <x v="0"/>
    <x v="219"/>
    <n v="1"/>
    <x v="0"/>
  </r>
  <r>
    <x v="10"/>
    <x v="0"/>
    <x v="121"/>
    <n v="2391"/>
    <x v="1"/>
  </r>
  <r>
    <x v="10"/>
    <x v="0"/>
    <x v="211"/>
    <n v="1"/>
    <x v="0"/>
  </r>
  <r>
    <x v="10"/>
    <x v="0"/>
    <x v="204"/>
    <n v="1"/>
    <x v="0"/>
  </r>
  <r>
    <x v="11"/>
    <x v="0"/>
    <x v="96"/>
    <n v="89"/>
    <x v="0"/>
  </r>
  <r>
    <x v="10"/>
    <x v="0"/>
    <x v="172"/>
    <n v="1632"/>
    <x v="1"/>
  </r>
  <r>
    <x v="11"/>
    <x v="0"/>
    <x v="127"/>
    <n v="2630"/>
    <x v="1"/>
  </r>
  <r>
    <x v="11"/>
    <x v="0"/>
    <x v="76"/>
    <n v="2"/>
    <x v="0"/>
  </r>
  <r>
    <x v="11"/>
    <x v="0"/>
    <x v="80"/>
    <n v="32"/>
    <x v="0"/>
  </r>
  <r>
    <x v="11"/>
    <x v="0"/>
    <x v="69"/>
    <n v="3028"/>
    <x v="1"/>
  </r>
  <r>
    <x v="11"/>
    <x v="0"/>
    <x v="51"/>
    <n v="2158"/>
    <x v="1"/>
  </r>
  <r>
    <x v="11"/>
    <x v="0"/>
    <x v="125"/>
    <n v="118"/>
    <x v="1"/>
  </r>
  <r>
    <x v="10"/>
    <x v="0"/>
    <x v="138"/>
    <n v="7"/>
    <x v="0"/>
  </r>
  <r>
    <x v="10"/>
    <x v="0"/>
    <x v="7"/>
    <n v="552"/>
    <x v="1"/>
  </r>
  <r>
    <x v="10"/>
    <x v="0"/>
    <x v="33"/>
    <n v="168"/>
    <x v="1"/>
  </r>
  <r>
    <x v="11"/>
    <x v="0"/>
    <x v="197"/>
    <n v="25"/>
    <x v="0"/>
  </r>
  <r>
    <x v="11"/>
    <x v="0"/>
    <x v="119"/>
    <n v="8"/>
    <x v="0"/>
  </r>
  <r>
    <x v="10"/>
    <x v="0"/>
    <x v="136"/>
    <n v="2743"/>
    <x v="1"/>
  </r>
  <r>
    <x v="10"/>
    <x v="0"/>
    <x v="93"/>
    <n v="105"/>
    <x v="1"/>
  </r>
  <r>
    <x v="10"/>
    <x v="0"/>
    <x v="41"/>
    <n v="2"/>
    <x v="0"/>
  </r>
  <r>
    <x v="10"/>
    <x v="0"/>
    <x v="178"/>
    <n v="1"/>
    <x v="0"/>
  </r>
  <r>
    <x v="11"/>
    <x v="0"/>
    <x v="11"/>
    <n v="2"/>
    <x v="0"/>
  </r>
  <r>
    <x v="11"/>
    <x v="0"/>
    <x v="39"/>
    <n v="1"/>
    <x v="0"/>
  </r>
  <r>
    <x v="11"/>
    <x v="0"/>
    <x v="16"/>
    <n v="6"/>
    <x v="0"/>
  </r>
  <r>
    <x v="10"/>
    <x v="0"/>
    <x v="72"/>
    <n v="8"/>
    <x v="0"/>
  </r>
  <r>
    <x v="11"/>
    <x v="0"/>
    <x v="135"/>
    <n v="2130"/>
    <x v="1"/>
  </r>
  <r>
    <x v="10"/>
    <x v="0"/>
    <x v="167"/>
    <n v="2286"/>
    <x v="1"/>
  </r>
  <r>
    <x v="11"/>
    <x v="0"/>
    <x v="113"/>
    <n v="2466"/>
    <x v="1"/>
  </r>
  <r>
    <x v="10"/>
    <x v="0"/>
    <x v="145"/>
    <n v="3"/>
    <x v="0"/>
  </r>
  <r>
    <x v="10"/>
    <x v="0"/>
    <x v="217"/>
    <n v="1"/>
    <x v="0"/>
  </r>
  <r>
    <x v="10"/>
    <x v="0"/>
    <x v="34"/>
    <n v="2"/>
    <x v="0"/>
  </r>
  <r>
    <x v="11"/>
    <x v="0"/>
    <x v="52"/>
    <n v="2463"/>
    <x v="1"/>
  </r>
  <r>
    <x v="11"/>
    <x v="0"/>
    <x v="129"/>
    <n v="2542"/>
    <x v="1"/>
  </r>
  <r>
    <x v="10"/>
    <x v="0"/>
    <x v="123"/>
    <n v="2593"/>
    <x v="1"/>
  </r>
  <r>
    <x v="10"/>
    <x v="0"/>
    <x v="205"/>
    <n v="2"/>
    <x v="0"/>
  </r>
  <r>
    <x v="11"/>
    <x v="0"/>
    <x v="40"/>
    <n v="2"/>
    <x v="0"/>
  </r>
  <r>
    <x v="10"/>
    <x v="0"/>
    <x v="69"/>
    <n v="3190"/>
    <x v="1"/>
  </r>
  <r>
    <x v="11"/>
    <x v="0"/>
    <x v="24"/>
    <n v="4"/>
    <x v="0"/>
  </r>
  <r>
    <x v="10"/>
    <x v="0"/>
    <x v="188"/>
    <n v="2040"/>
    <x v="1"/>
  </r>
  <r>
    <x v="11"/>
    <x v="0"/>
    <x v="8"/>
    <n v="3143"/>
    <x v="1"/>
  </r>
  <r>
    <x v="11"/>
    <x v="0"/>
    <x v="144"/>
    <n v="2512"/>
    <x v="1"/>
  </r>
  <r>
    <x v="10"/>
    <x v="0"/>
    <x v="202"/>
    <n v="1"/>
    <x v="0"/>
  </r>
  <r>
    <x v="11"/>
    <x v="0"/>
    <x v="123"/>
    <n v="3082"/>
    <x v="1"/>
  </r>
  <r>
    <x v="11"/>
    <x v="0"/>
    <x v="12"/>
    <n v="48"/>
    <x v="0"/>
  </r>
  <r>
    <x v="10"/>
    <x v="0"/>
    <x v="75"/>
    <n v="886"/>
    <x v="1"/>
  </r>
  <r>
    <x v="10"/>
    <x v="0"/>
    <x v="50"/>
    <n v="521"/>
    <x v="1"/>
  </r>
  <r>
    <x v="10"/>
    <x v="0"/>
    <x v="122"/>
    <n v="20"/>
    <x v="0"/>
  </r>
  <r>
    <x v="10"/>
    <x v="0"/>
    <x v="139"/>
    <n v="2629"/>
    <x v="1"/>
  </r>
  <r>
    <x v="11"/>
    <x v="0"/>
    <x v="37"/>
    <n v="819"/>
    <x v="1"/>
  </r>
  <r>
    <x v="11"/>
    <x v="0"/>
    <x v="154"/>
    <n v="244"/>
    <x v="1"/>
  </r>
  <r>
    <x v="10"/>
    <x v="0"/>
    <x v="63"/>
    <n v="638"/>
    <x v="1"/>
  </r>
  <r>
    <x v="10"/>
    <x v="0"/>
    <x v="192"/>
    <n v="3056"/>
    <x v="1"/>
  </r>
  <r>
    <x v="11"/>
    <x v="0"/>
    <x v="89"/>
    <n v="2518"/>
    <x v="1"/>
  </r>
  <r>
    <x v="10"/>
    <x v="0"/>
    <x v="62"/>
    <n v="2159"/>
    <x v="1"/>
  </r>
  <r>
    <x v="10"/>
    <x v="0"/>
    <x v="182"/>
    <n v="2284"/>
    <x v="1"/>
  </r>
  <r>
    <x v="11"/>
    <x v="0"/>
    <x v="152"/>
    <n v="2358"/>
    <x v="1"/>
  </r>
  <r>
    <x v="10"/>
    <x v="0"/>
    <x v="1"/>
    <n v="27"/>
    <x v="0"/>
  </r>
  <r>
    <x v="10"/>
    <x v="0"/>
    <x v="184"/>
    <n v="2008"/>
    <x v="1"/>
  </r>
  <r>
    <x v="10"/>
    <x v="0"/>
    <x v="185"/>
    <n v="1943"/>
    <x v="1"/>
  </r>
  <r>
    <x v="10"/>
    <x v="0"/>
    <x v="120"/>
    <n v="339"/>
    <x v="1"/>
  </r>
  <r>
    <x v="11"/>
    <x v="0"/>
    <x v="53"/>
    <n v="58"/>
    <x v="0"/>
  </r>
  <r>
    <x v="11"/>
    <x v="0"/>
    <x v="112"/>
    <n v="1"/>
    <x v="0"/>
  </r>
  <r>
    <x v="11"/>
    <x v="0"/>
    <x v="25"/>
    <n v="3"/>
    <x v="0"/>
  </r>
  <r>
    <x v="10"/>
    <x v="0"/>
    <x v="150"/>
    <n v="2875"/>
    <x v="1"/>
  </r>
  <r>
    <x v="10"/>
    <x v="0"/>
    <x v="141"/>
    <n v="2244"/>
    <x v="1"/>
  </r>
  <r>
    <x v="11"/>
    <x v="0"/>
    <x v="65"/>
    <n v="2243"/>
    <x v="1"/>
  </r>
  <r>
    <x v="10"/>
    <x v="0"/>
    <x v="3"/>
    <n v="887"/>
    <x v="1"/>
  </r>
  <r>
    <x v="11"/>
    <x v="0"/>
    <x v="205"/>
    <n v="2"/>
    <x v="0"/>
  </r>
  <r>
    <x v="11"/>
    <x v="0"/>
    <x v="213"/>
    <n v="2"/>
    <x v="0"/>
  </r>
  <r>
    <x v="10"/>
    <x v="0"/>
    <x v="0"/>
    <n v="39"/>
    <x v="0"/>
  </r>
  <r>
    <x v="11"/>
    <x v="0"/>
    <x v="54"/>
    <n v="2798"/>
    <x v="1"/>
  </r>
  <r>
    <x v="11"/>
    <x v="0"/>
    <x v="137"/>
    <n v="1371"/>
    <x v="1"/>
  </r>
  <r>
    <x v="11"/>
    <x v="0"/>
    <x v="174"/>
    <n v="1"/>
    <x v="0"/>
  </r>
  <r>
    <x v="10"/>
    <x v="0"/>
    <x v="174"/>
    <n v="1"/>
    <x v="0"/>
  </r>
  <r>
    <x v="11"/>
    <x v="0"/>
    <x v="55"/>
    <n v="7"/>
    <x v="0"/>
  </r>
  <r>
    <x v="11"/>
    <x v="0"/>
    <x v="74"/>
    <n v="2156"/>
    <x v="1"/>
  </r>
  <r>
    <x v="10"/>
    <x v="0"/>
    <x v="73"/>
    <n v="673"/>
    <x v="1"/>
  </r>
  <r>
    <x v="11"/>
    <x v="0"/>
    <x v="211"/>
    <n v="1"/>
    <x v="0"/>
  </r>
  <r>
    <x v="10"/>
    <x v="0"/>
    <x v="183"/>
    <n v="3208"/>
    <x v="1"/>
  </r>
  <r>
    <x v="10"/>
    <x v="0"/>
    <x v="224"/>
    <n v="1"/>
    <x v="0"/>
  </r>
  <r>
    <x v="10"/>
    <x v="0"/>
    <x v="196"/>
    <n v="2"/>
    <x v="0"/>
  </r>
  <r>
    <x v="10"/>
    <x v="0"/>
    <x v="220"/>
    <n v="3200"/>
    <x v="1"/>
  </r>
  <r>
    <x v="10"/>
    <x v="0"/>
    <x v="162"/>
    <n v="2"/>
    <x v="0"/>
  </r>
  <r>
    <x v="11"/>
    <x v="0"/>
    <x v="60"/>
    <n v="1"/>
    <x v="0"/>
  </r>
  <r>
    <x v="10"/>
    <x v="0"/>
    <x v="24"/>
    <n v="13"/>
    <x v="0"/>
  </r>
  <r>
    <x v="10"/>
    <x v="0"/>
    <x v="11"/>
    <n v="2"/>
    <x v="0"/>
  </r>
  <r>
    <x v="11"/>
    <x v="0"/>
    <x v="88"/>
    <n v="2536"/>
    <x v="1"/>
  </r>
  <r>
    <x v="10"/>
    <x v="0"/>
    <x v="221"/>
    <n v="1"/>
    <x v="0"/>
  </r>
  <r>
    <x v="10"/>
    <x v="0"/>
    <x v="116"/>
    <n v="1857"/>
    <x v="1"/>
  </r>
  <r>
    <x v="11"/>
    <x v="0"/>
    <x v="84"/>
    <n v="20"/>
    <x v="0"/>
  </r>
  <r>
    <x v="10"/>
    <x v="0"/>
    <x v="20"/>
    <n v="3"/>
    <x v="0"/>
  </r>
  <r>
    <x v="10"/>
    <x v="0"/>
    <x v="191"/>
    <n v="2930"/>
    <x v="1"/>
  </r>
  <r>
    <x v="11"/>
    <x v="0"/>
    <x v="77"/>
    <n v="4"/>
    <x v="0"/>
  </r>
  <r>
    <x v="11"/>
    <x v="0"/>
    <x v="100"/>
    <n v="1"/>
    <x v="0"/>
  </r>
  <r>
    <x v="10"/>
    <x v="0"/>
    <x v="118"/>
    <n v="2801"/>
    <x v="1"/>
  </r>
  <r>
    <x v="10"/>
    <x v="0"/>
    <x v="212"/>
    <n v="4"/>
    <x v="0"/>
  </r>
  <r>
    <x v="10"/>
    <x v="0"/>
    <x v="215"/>
    <n v="1"/>
    <x v="0"/>
  </r>
  <r>
    <x v="11"/>
    <x v="0"/>
    <x v="13"/>
    <n v="3"/>
    <x v="0"/>
  </r>
  <r>
    <x v="10"/>
    <x v="0"/>
    <x v="117"/>
    <n v="2370"/>
    <x v="1"/>
  </r>
  <r>
    <x v="10"/>
    <x v="0"/>
    <x v="125"/>
    <n v="70"/>
    <x v="0"/>
  </r>
  <r>
    <x v="10"/>
    <x v="0"/>
    <x v="76"/>
    <n v="2"/>
    <x v="0"/>
  </r>
  <r>
    <x v="11"/>
    <x v="0"/>
    <x v="46"/>
    <n v="2648"/>
    <x v="1"/>
  </r>
  <r>
    <x v="11"/>
    <x v="0"/>
    <x v="109"/>
    <n v="10"/>
    <x v="0"/>
  </r>
  <r>
    <x v="11"/>
    <x v="0"/>
    <x v="172"/>
    <n v="1221"/>
    <x v="1"/>
  </r>
  <r>
    <x v="10"/>
    <x v="0"/>
    <x v="164"/>
    <n v="195"/>
    <x v="1"/>
  </r>
  <r>
    <x v="10"/>
    <x v="0"/>
    <x v="38"/>
    <n v="3289"/>
    <x v="1"/>
  </r>
  <r>
    <x v="11"/>
    <x v="0"/>
    <x v="169"/>
    <n v="1"/>
    <x v="0"/>
  </r>
  <r>
    <x v="11"/>
    <x v="0"/>
    <x v="146"/>
    <n v="2418"/>
    <x v="1"/>
  </r>
  <r>
    <x v="11"/>
    <x v="0"/>
    <x v="72"/>
    <n v="2768"/>
    <x v="1"/>
  </r>
  <r>
    <x v="10"/>
    <x v="0"/>
    <x v="18"/>
    <n v="1"/>
    <x v="0"/>
  </r>
  <r>
    <x v="11"/>
    <x v="0"/>
    <x v="32"/>
    <n v="14345"/>
    <x v="1"/>
  </r>
  <r>
    <x v="11"/>
    <x v="0"/>
    <x v="33"/>
    <n v="2151"/>
    <x v="1"/>
  </r>
  <r>
    <x v="11"/>
    <x v="0"/>
    <x v="108"/>
    <n v="527"/>
    <x v="1"/>
  </r>
  <r>
    <x v="10"/>
    <x v="0"/>
    <x v="59"/>
    <n v="210"/>
    <x v="1"/>
  </r>
  <r>
    <x v="10"/>
    <x v="0"/>
    <x v="52"/>
    <n v="2330"/>
    <x v="1"/>
  </r>
  <r>
    <x v="10"/>
    <x v="0"/>
    <x v="134"/>
    <n v="37"/>
    <x v="0"/>
  </r>
  <r>
    <x v="10"/>
    <x v="0"/>
    <x v="36"/>
    <n v="3"/>
    <x v="0"/>
  </r>
  <r>
    <x v="11"/>
    <x v="0"/>
    <x v="148"/>
    <n v="2626"/>
    <x v="1"/>
  </r>
  <r>
    <x v="11"/>
    <x v="0"/>
    <x v="21"/>
    <n v="2558"/>
    <x v="1"/>
  </r>
  <r>
    <x v="11"/>
    <x v="0"/>
    <x v="36"/>
    <n v="3"/>
    <x v="0"/>
  </r>
  <r>
    <x v="11"/>
    <x v="0"/>
    <x v="122"/>
    <n v="15"/>
    <x v="0"/>
  </r>
  <r>
    <x v="11"/>
    <x v="0"/>
    <x v="134"/>
    <n v="1137"/>
    <x v="1"/>
  </r>
  <r>
    <x v="10"/>
    <x v="0"/>
    <x v="88"/>
    <n v="2776"/>
    <x v="1"/>
  </r>
  <r>
    <x v="10"/>
    <x v="0"/>
    <x v="74"/>
    <n v="2066"/>
    <x v="1"/>
  </r>
  <r>
    <x v="11"/>
    <x v="0"/>
    <x v="83"/>
    <n v="3"/>
    <x v="0"/>
  </r>
  <r>
    <x v="10"/>
    <x v="0"/>
    <x v="144"/>
    <n v="2821"/>
    <x v="1"/>
  </r>
  <r>
    <x v="10"/>
    <x v="0"/>
    <x v="171"/>
    <n v="2199"/>
    <x v="1"/>
  </r>
  <r>
    <x v="10"/>
    <x v="0"/>
    <x v="135"/>
    <n v="2054"/>
    <x v="1"/>
  </r>
  <r>
    <x v="10"/>
    <x v="0"/>
    <x v="55"/>
    <n v="4"/>
    <x v="0"/>
  </r>
  <r>
    <x v="10"/>
    <x v="0"/>
    <x v="96"/>
    <n v="73"/>
    <x v="0"/>
  </r>
  <r>
    <x v="10"/>
    <x v="0"/>
    <x v="95"/>
    <n v="2712"/>
    <x v="1"/>
  </r>
  <r>
    <x v="11"/>
    <x v="0"/>
    <x v="204"/>
    <n v="1"/>
    <x v="0"/>
  </r>
  <r>
    <x v="10"/>
    <x v="0"/>
    <x v="26"/>
    <n v="2033"/>
    <x v="1"/>
  </r>
  <r>
    <x v="10"/>
    <x v="0"/>
    <x v="58"/>
    <n v="2557"/>
    <x v="1"/>
  </r>
  <r>
    <x v="10"/>
    <x v="0"/>
    <x v="51"/>
    <n v="2048"/>
    <x v="1"/>
  </r>
  <r>
    <x v="10"/>
    <x v="0"/>
    <x v="110"/>
    <n v="6"/>
    <x v="0"/>
  </r>
  <r>
    <x v="11"/>
    <x v="0"/>
    <x v="91"/>
    <n v="3851"/>
    <x v="1"/>
  </r>
  <r>
    <x v="10"/>
    <x v="0"/>
    <x v="189"/>
    <n v="2953"/>
    <x v="1"/>
  </r>
  <r>
    <x v="10"/>
    <x v="0"/>
    <x v="127"/>
    <n v="2753"/>
    <x v="1"/>
  </r>
  <r>
    <x v="11"/>
    <x v="0"/>
    <x v="73"/>
    <n v="617"/>
    <x v="1"/>
  </r>
  <r>
    <x v="11"/>
    <x v="0"/>
    <x v="118"/>
    <n v="2795"/>
    <x v="1"/>
  </r>
  <r>
    <x v="11"/>
    <x v="0"/>
    <x v="93"/>
    <n v="2645"/>
    <x v="1"/>
  </r>
  <r>
    <x v="10"/>
    <x v="0"/>
    <x v="179"/>
    <n v="4"/>
    <x v="0"/>
  </r>
  <r>
    <x v="10"/>
    <x v="0"/>
    <x v="79"/>
    <n v="8257"/>
    <x v="1"/>
  </r>
  <r>
    <x v="10"/>
    <x v="0"/>
    <x v="14"/>
    <n v="64"/>
    <x v="0"/>
  </r>
  <r>
    <x v="11"/>
    <x v="0"/>
    <x v="165"/>
    <n v="1"/>
    <x v="0"/>
  </r>
  <r>
    <x v="11"/>
    <x v="0"/>
    <x v="57"/>
    <n v="8"/>
    <x v="0"/>
  </r>
  <r>
    <x v="10"/>
    <x v="0"/>
    <x v="161"/>
    <n v="1"/>
    <x v="0"/>
  </r>
  <r>
    <x v="11"/>
    <x v="0"/>
    <x v="183"/>
    <n v="5"/>
    <x v="0"/>
  </r>
  <r>
    <x v="11"/>
    <x v="0"/>
    <x v="79"/>
    <n v="12074"/>
    <x v="1"/>
  </r>
  <r>
    <x v="11"/>
    <x v="0"/>
    <x v="111"/>
    <n v="2279"/>
    <x v="1"/>
  </r>
  <r>
    <x v="11"/>
    <x v="0"/>
    <x v="107"/>
    <n v="8"/>
    <x v="0"/>
  </r>
  <r>
    <x v="10"/>
    <x v="0"/>
    <x v="91"/>
    <n v="17"/>
    <x v="0"/>
  </r>
  <r>
    <x v="11"/>
    <x v="0"/>
    <x v="94"/>
    <n v="2468"/>
    <x v="1"/>
  </r>
  <r>
    <x v="10"/>
    <x v="0"/>
    <x v="105"/>
    <n v="2063"/>
    <x v="1"/>
  </r>
  <r>
    <x v="11"/>
    <x v="0"/>
    <x v="2"/>
    <n v="4347"/>
    <x v="1"/>
  </r>
  <r>
    <x v="11"/>
    <x v="0"/>
    <x v="14"/>
    <n v="96"/>
    <x v="0"/>
  </r>
  <r>
    <x v="10"/>
    <x v="0"/>
    <x v="27"/>
    <n v="1904"/>
    <x v="1"/>
  </r>
  <r>
    <x v="11"/>
    <x v="0"/>
    <x v="22"/>
    <n v="3321"/>
    <x v="1"/>
  </r>
  <r>
    <x v="10"/>
    <x v="0"/>
    <x v="45"/>
    <n v="97"/>
    <x v="0"/>
  </r>
  <r>
    <x v="11"/>
    <x v="0"/>
    <x v="209"/>
    <n v="1"/>
    <x v="0"/>
  </r>
  <r>
    <x v="12"/>
    <x v="0"/>
    <x v="128"/>
    <n v="77"/>
    <x v="0"/>
  </r>
  <r>
    <x v="12"/>
    <x v="0"/>
    <x v="160"/>
    <n v="2"/>
    <x v="0"/>
  </r>
  <r>
    <x v="12"/>
    <x v="0"/>
    <x v="79"/>
    <n v="11968"/>
    <x v="1"/>
  </r>
  <r>
    <x v="12"/>
    <x v="0"/>
    <x v="53"/>
    <n v="59"/>
    <x v="0"/>
  </r>
  <r>
    <x v="13"/>
    <x v="0"/>
    <x v="151"/>
    <n v="3632"/>
    <x v="1"/>
  </r>
  <r>
    <x v="12"/>
    <x v="0"/>
    <x v="19"/>
    <n v="161"/>
    <x v="1"/>
  </r>
  <r>
    <x v="13"/>
    <x v="0"/>
    <x v="108"/>
    <n v="339"/>
    <x v="1"/>
  </r>
  <r>
    <x v="13"/>
    <x v="0"/>
    <x v="50"/>
    <n v="348"/>
    <x v="1"/>
  </r>
  <r>
    <x v="12"/>
    <x v="0"/>
    <x v="207"/>
    <n v="10"/>
    <x v="0"/>
  </r>
  <r>
    <x v="12"/>
    <x v="0"/>
    <x v="31"/>
    <n v="2413"/>
    <x v="1"/>
  </r>
  <r>
    <x v="12"/>
    <x v="0"/>
    <x v="100"/>
    <n v="1"/>
    <x v="0"/>
  </r>
  <r>
    <x v="12"/>
    <x v="0"/>
    <x v="110"/>
    <n v="4"/>
    <x v="0"/>
  </r>
  <r>
    <x v="13"/>
    <x v="0"/>
    <x v="96"/>
    <n v="69"/>
    <x v="0"/>
  </r>
  <r>
    <x v="12"/>
    <x v="0"/>
    <x v="88"/>
    <n v="2535"/>
    <x v="1"/>
  </r>
  <r>
    <x v="13"/>
    <x v="0"/>
    <x v="69"/>
    <n v="2711"/>
    <x v="1"/>
  </r>
  <r>
    <x v="12"/>
    <x v="0"/>
    <x v="106"/>
    <n v="2103"/>
    <x v="1"/>
  </r>
  <r>
    <x v="13"/>
    <x v="0"/>
    <x v="2"/>
    <n v="2882"/>
    <x v="1"/>
  </r>
  <r>
    <x v="12"/>
    <x v="0"/>
    <x v="129"/>
    <n v="2472"/>
    <x v="1"/>
  </r>
  <r>
    <x v="12"/>
    <x v="0"/>
    <x v="175"/>
    <n v="1"/>
    <x v="0"/>
  </r>
  <r>
    <x v="12"/>
    <x v="0"/>
    <x v="135"/>
    <n v="2138"/>
    <x v="1"/>
  </r>
  <r>
    <x v="12"/>
    <x v="0"/>
    <x v="10"/>
    <n v="713"/>
    <x v="1"/>
  </r>
  <r>
    <x v="12"/>
    <x v="0"/>
    <x v="28"/>
    <n v="2248"/>
    <x v="1"/>
  </r>
  <r>
    <x v="13"/>
    <x v="0"/>
    <x v="158"/>
    <n v="1"/>
    <x v="0"/>
  </r>
  <r>
    <x v="13"/>
    <x v="0"/>
    <x v="53"/>
    <n v="103"/>
    <x v="1"/>
  </r>
  <r>
    <x v="12"/>
    <x v="0"/>
    <x v="155"/>
    <n v="1"/>
    <x v="0"/>
  </r>
  <r>
    <x v="13"/>
    <x v="0"/>
    <x v="12"/>
    <n v="2"/>
    <x v="0"/>
  </r>
  <r>
    <x v="12"/>
    <x v="0"/>
    <x v="23"/>
    <n v="3"/>
    <x v="0"/>
  </r>
  <r>
    <x v="13"/>
    <x v="0"/>
    <x v="86"/>
    <n v="3298"/>
    <x v="1"/>
  </r>
  <r>
    <x v="13"/>
    <x v="0"/>
    <x v="52"/>
    <n v="2680"/>
    <x v="1"/>
  </r>
  <r>
    <x v="13"/>
    <x v="0"/>
    <x v="171"/>
    <n v="2158"/>
    <x v="1"/>
  </r>
  <r>
    <x v="12"/>
    <x v="0"/>
    <x v="48"/>
    <n v="6"/>
    <x v="0"/>
  </r>
  <r>
    <x v="12"/>
    <x v="0"/>
    <x v="202"/>
    <n v="1"/>
    <x v="0"/>
  </r>
  <r>
    <x v="12"/>
    <x v="0"/>
    <x v="138"/>
    <n v="2894"/>
    <x v="1"/>
  </r>
  <r>
    <x v="13"/>
    <x v="0"/>
    <x v="132"/>
    <n v="1"/>
    <x v="0"/>
  </r>
  <r>
    <x v="12"/>
    <x v="0"/>
    <x v="12"/>
    <n v="44"/>
    <x v="0"/>
  </r>
  <r>
    <x v="12"/>
    <x v="0"/>
    <x v="5"/>
    <n v="1"/>
    <x v="0"/>
  </r>
  <r>
    <x v="12"/>
    <x v="0"/>
    <x v="208"/>
    <n v="4"/>
    <x v="0"/>
  </r>
  <r>
    <x v="12"/>
    <x v="0"/>
    <x v="196"/>
    <n v="1"/>
    <x v="0"/>
  </r>
  <r>
    <x v="13"/>
    <x v="0"/>
    <x v="135"/>
    <n v="2073"/>
    <x v="1"/>
  </r>
  <r>
    <x v="13"/>
    <x v="0"/>
    <x v="119"/>
    <n v="1"/>
    <x v="0"/>
  </r>
  <r>
    <x v="12"/>
    <x v="0"/>
    <x v="60"/>
    <n v="1"/>
    <x v="0"/>
  </r>
  <r>
    <x v="12"/>
    <x v="0"/>
    <x v="179"/>
    <n v="3"/>
    <x v="0"/>
  </r>
  <r>
    <x v="12"/>
    <x v="0"/>
    <x v="113"/>
    <n v="2461"/>
    <x v="1"/>
  </r>
  <r>
    <x v="12"/>
    <x v="0"/>
    <x v="34"/>
    <n v="2"/>
    <x v="0"/>
  </r>
  <r>
    <x v="12"/>
    <x v="0"/>
    <x v="127"/>
    <n v="2593"/>
    <x v="1"/>
  </r>
  <r>
    <x v="13"/>
    <x v="0"/>
    <x v="19"/>
    <n v="216"/>
    <x v="1"/>
  </r>
  <r>
    <x v="13"/>
    <x v="0"/>
    <x v="56"/>
    <n v="2374"/>
    <x v="1"/>
  </r>
  <r>
    <x v="13"/>
    <x v="0"/>
    <x v="126"/>
    <n v="56"/>
    <x v="0"/>
  </r>
  <r>
    <x v="12"/>
    <x v="0"/>
    <x v="186"/>
    <n v="13"/>
    <x v="0"/>
  </r>
  <r>
    <x v="13"/>
    <x v="0"/>
    <x v="181"/>
    <n v="750"/>
    <x v="1"/>
  </r>
  <r>
    <x v="12"/>
    <x v="0"/>
    <x v="75"/>
    <n v="1015"/>
    <x v="1"/>
  </r>
  <r>
    <x v="12"/>
    <x v="0"/>
    <x v="94"/>
    <n v="758"/>
    <x v="1"/>
  </r>
  <r>
    <x v="12"/>
    <x v="0"/>
    <x v="39"/>
    <n v="1"/>
    <x v="0"/>
  </r>
  <r>
    <x v="13"/>
    <x v="0"/>
    <x v="198"/>
    <n v="3326"/>
    <x v="1"/>
  </r>
  <r>
    <x v="12"/>
    <x v="0"/>
    <x v="98"/>
    <n v="1648"/>
    <x v="1"/>
  </r>
  <r>
    <x v="12"/>
    <x v="0"/>
    <x v="131"/>
    <n v="2865"/>
    <x v="1"/>
  </r>
  <r>
    <x v="12"/>
    <x v="0"/>
    <x v="90"/>
    <n v="1271"/>
    <x v="1"/>
  </r>
  <r>
    <x v="13"/>
    <x v="0"/>
    <x v="17"/>
    <n v="608"/>
    <x v="1"/>
  </r>
  <r>
    <x v="13"/>
    <x v="0"/>
    <x v="177"/>
    <n v="1"/>
    <x v="0"/>
  </r>
  <r>
    <x v="13"/>
    <x v="0"/>
    <x v="45"/>
    <n v="8"/>
    <x v="0"/>
  </r>
  <r>
    <x v="13"/>
    <x v="0"/>
    <x v="29"/>
    <n v="1"/>
    <x v="0"/>
  </r>
  <r>
    <x v="12"/>
    <x v="0"/>
    <x v="182"/>
    <n v="2304"/>
    <x v="1"/>
  </r>
  <r>
    <x v="13"/>
    <x v="0"/>
    <x v="10"/>
    <n v="663"/>
    <x v="1"/>
  </r>
  <r>
    <x v="13"/>
    <x v="0"/>
    <x v="66"/>
    <n v="3898"/>
    <x v="1"/>
  </r>
  <r>
    <x v="13"/>
    <x v="0"/>
    <x v="87"/>
    <n v="2868"/>
    <x v="1"/>
  </r>
  <r>
    <x v="12"/>
    <x v="0"/>
    <x v="101"/>
    <n v="1"/>
    <x v="0"/>
  </r>
  <r>
    <x v="12"/>
    <x v="0"/>
    <x v="15"/>
    <n v="5"/>
    <x v="0"/>
  </r>
  <r>
    <x v="13"/>
    <x v="0"/>
    <x v="157"/>
    <n v="1"/>
    <x v="0"/>
  </r>
  <r>
    <x v="13"/>
    <x v="0"/>
    <x v="30"/>
    <n v="1122"/>
    <x v="1"/>
  </r>
  <r>
    <x v="13"/>
    <x v="0"/>
    <x v="65"/>
    <n v="426"/>
    <x v="1"/>
  </r>
  <r>
    <x v="13"/>
    <x v="0"/>
    <x v="196"/>
    <n v="1"/>
    <x v="0"/>
  </r>
  <r>
    <x v="13"/>
    <x v="0"/>
    <x v="102"/>
    <n v="2725"/>
    <x v="1"/>
  </r>
  <r>
    <x v="12"/>
    <x v="0"/>
    <x v="87"/>
    <n v="22"/>
    <x v="0"/>
  </r>
  <r>
    <x v="12"/>
    <x v="0"/>
    <x v="176"/>
    <n v="1"/>
    <x v="0"/>
  </r>
  <r>
    <x v="13"/>
    <x v="0"/>
    <x v="114"/>
    <n v="97"/>
    <x v="0"/>
  </r>
  <r>
    <x v="12"/>
    <x v="0"/>
    <x v="139"/>
    <n v="2374"/>
    <x v="1"/>
  </r>
  <r>
    <x v="13"/>
    <x v="0"/>
    <x v="8"/>
    <n v="2290"/>
    <x v="1"/>
  </r>
  <r>
    <x v="13"/>
    <x v="0"/>
    <x v="143"/>
    <n v="3968"/>
    <x v="1"/>
  </r>
  <r>
    <x v="13"/>
    <x v="0"/>
    <x v="193"/>
    <n v="1581"/>
    <x v="1"/>
  </r>
  <r>
    <x v="13"/>
    <x v="0"/>
    <x v="104"/>
    <n v="2325"/>
    <x v="1"/>
  </r>
  <r>
    <x v="12"/>
    <x v="0"/>
    <x v="201"/>
    <n v="2"/>
    <x v="0"/>
  </r>
  <r>
    <x v="12"/>
    <x v="0"/>
    <x v="22"/>
    <n v="3288"/>
    <x v="1"/>
  </r>
  <r>
    <x v="13"/>
    <x v="0"/>
    <x v="131"/>
    <n v="3723"/>
    <x v="1"/>
  </r>
  <r>
    <x v="12"/>
    <x v="0"/>
    <x v="2"/>
    <n v="4077"/>
    <x v="1"/>
  </r>
  <r>
    <x v="13"/>
    <x v="0"/>
    <x v="75"/>
    <n v="145"/>
    <x v="1"/>
  </r>
  <r>
    <x v="13"/>
    <x v="0"/>
    <x v="189"/>
    <n v="3060"/>
    <x v="1"/>
  </r>
  <r>
    <x v="12"/>
    <x v="0"/>
    <x v="151"/>
    <n v="2355"/>
    <x v="1"/>
  </r>
  <r>
    <x v="13"/>
    <x v="0"/>
    <x v="145"/>
    <n v="1"/>
    <x v="0"/>
  </r>
  <r>
    <x v="12"/>
    <x v="0"/>
    <x v="96"/>
    <n v="89"/>
    <x v="0"/>
  </r>
  <r>
    <x v="13"/>
    <x v="0"/>
    <x v="93"/>
    <n v="77"/>
    <x v="0"/>
  </r>
  <r>
    <x v="13"/>
    <x v="0"/>
    <x v="164"/>
    <n v="49"/>
    <x v="0"/>
  </r>
  <r>
    <x v="13"/>
    <x v="0"/>
    <x v="188"/>
    <n v="2790"/>
    <x v="1"/>
  </r>
  <r>
    <x v="13"/>
    <x v="0"/>
    <x v="94"/>
    <n v="293"/>
    <x v="1"/>
  </r>
  <r>
    <x v="12"/>
    <x v="0"/>
    <x v="166"/>
    <n v="13"/>
    <x v="0"/>
  </r>
  <r>
    <x v="13"/>
    <x v="0"/>
    <x v="25"/>
    <n v="4"/>
    <x v="0"/>
  </r>
  <r>
    <x v="12"/>
    <x v="0"/>
    <x v="30"/>
    <n v="1165"/>
    <x v="1"/>
  </r>
  <r>
    <x v="12"/>
    <x v="0"/>
    <x v="181"/>
    <n v="13"/>
    <x v="0"/>
  </r>
  <r>
    <x v="13"/>
    <x v="0"/>
    <x v="57"/>
    <n v="2"/>
    <x v="0"/>
  </r>
  <r>
    <x v="13"/>
    <x v="0"/>
    <x v="183"/>
    <n v="3544"/>
    <x v="1"/>
  </r>
  <r>
    <x v="12"/>
    <x v="0"/>
    <x v="137"/>
    <n v="1379"/>
    <x v="1"/>
  </r>
  <r>
    <x v="12"/>
    <x v="0"/>
    <x v="17"/>
    <n v="291"/>
    <x v="1"/>
  </r>
  <r>
    <x v="13"/>
    <x v="0"/>
    <x v="153"/>
    <n v="2066"/>
    <x v="1"/>
  </r>
  <r>
    <x v="12"/>
    <x v="0"/>
    <x v="153"/>
    <n v="2185"/>
    <x v="1"/>
  </r>
  <r>
    <x v="13"/>
    <x v="0"/>
    <x v="168"/>
    <n v="1943"/>
    <x v="1"/>
  </r>
  <r>
    <x v="13"/>
    <x v="0"/>
    <x v="182"/>
    <n v="2411"/>
    <x v="1"/>
  </r>
  <r>
    <x v="13"/>
    <x v="0"/>
    <x v="63"/>
    <n v="664"/>
    <x v="1"/>
  </r>
  <r>
    <x v="12"/>
    <x v="0"/>
    <x v="188"/>
    <n v="11"/>
    <x v="0"/>
  </r>
  <r>
    <x v="12"/>
    <x v="0"/>
    <x v="20"/>
    <n v="3"/>
    <x v="0"/>
  </r>
  <r>
    <x v="12"/>
    <x v="0"/>
    <x v="132"/>
    <n v="3"/>
    <x v="0"/>
  </r>
  <r>
    <x v="12"/>
    <x v="0"/>
    <x v="157"/>
    <n v="1"/>
    <x v="0"/>
  </r>
  <r>
    <x v="12"/>
    <x v="0"/>
    <x v="4"/>
    <n v="3"/>
    <x v="0"/>
  </r>
  <r>
    <x v="13"/>
    <x v="0"/>
    <x v="175"/>
    <n v="1"/>
    <x v="0"/>
  </r>
  <r>
    <x v="13"/>
    <x v="0"/>
    <x v="92"/>
    <n v="3"/>
    <x v="0"/>
  </r>
  <r>
    <x v="13"/>
    <x v="0"/>
    <x v="222"/>
    <n v="1245"/>
    <x v="1"/>
  </r>
  <r>
    <x v="13"/>
    <x v="0"/>
    <x v="26"/>
    <n v="2534"/>
    <x v="1"/>
  </r>
  <r>
    <x v="12"/>
    <x v="0"/>
    <x v="123"/>
    <n v="3192"/>
    <x v="1"/>
  </r>
  <r>
    <x v="12"/>
    <x v="0"/>
    <x v="81"/>
    <n v="5"/>
    <x v="0"/>
  </r>
  <r>
    <x v="13"/>
    <x v="0"/>
    <x v="207"/>
    <n v="1"/>
    <x v="0"/>
  </r>
  <r>
    <x v="13"/>
    <x v="0"/>
    <x v="110"/>
    <n v="2"/>
    <x v="0"/>
  </r>
  <r>
    <x v="13"/>
    <x v="0"/>
    <x v="88"/>
    <n v="3479"/>
    <x v="1"/>
  </r>
  <r>
    <x v="13"/>
    <x v="0"/>
    <x v="172"/>
    <n v="2717"/>
    <x v="1"/>
  </r>
  <r>
    <x v="12"/>
    <x v="0"/>
    <x v="80"/>
    <n v="30"/>
    <x v="0"/>
  </r>
  <r>
    <x v="13"/>
    <x v="0"/>
    <x v="115"/>
    <n v="5166"/>
    <x v="1"/>
  </r>
  <r>
    <x v="13"/>
    <x v="0"/>
    <x v="78"/>
    <n v="4"/>
    <x v="0"/>
  </r>
  <r>
    <x v="12"/>
    <x v="0"/>
    <x v="62"/>
    <n v="2306"/>
    <x v="1"/>
  </r>
  <r>
    <x v="13"/>
    <x v="0"/>
    <x v="204"/>
    <n v="1"/>
    <x v="0"/>
  </r>
  <r>
    <x v="13"/>
    <x v="0"/>
    <x v="3"/>
    <n v="887"/>
    <x v="1"/>
  </r>
  <r>
    <x v="13"/>
    <x v="0"/>
    <x v="116"/>
    <n v="2123"/>
    <x v="1"/>
  </r>
  <r>
    <x v="13"/>
    <x v="0"/>
    <x v="154"/>
    <n v="1429"/>
    <x v="1"/>
  </r>
  <r>
    <x v="13"/>
    <x v="0"/>
    <x v="84"/>
    <n v="2"/>
    <x v="0"/>
  </r>
  <r>
    <x v="12"/>
    <x v="0"/>
    <x v="133"/>
    <n v="2798"/>
    <x v="1"/>
  </r>
  <r>
    <x v="12"/>
    <x v="0"/>
    <x v="64"/>
    <n v="1999"/>
    <x v="1"/>
  </r>
  <r>
    <x v="12"/>
    <x v="0"/>
    <x v="43"/>
    <n v="9"/>
    <x v="0"/>
  </r>
  <r>
    <x v="13"/>
    <x v="0"/>
    <x v="191"/>
    <n v="1977"/>
    <x v="1"/>
  </r>
  <r>
    <x v="13"/>
    <x v="0"/>
    <x v="73"/>
    <n v="700"/>
    <x v="1"/>
  </r>
  <r>
    <x v="13"/>
    <x v="0"/>
    <x v="117"/>
    <n v="2476"/>
    <x v="1"/>
  </r>
  <r>
    <x v="13"/>
    <x v="0"/>
    <x v="223"/>
    <n v="3"/>
    <x v="0"/>
  </r>
  <r>
    <x v="13"/>
    <x v="0"/>
    <x v="225"/>
    <n v="1"/>
    <x v="0"/>
  </r>
  <r>
    <x v="12"/>
    <x v="0"/>
    <x v="116"/>
    <n v="565"/>
    <x v="1"/>
  </r>
  <r>
    <x v="12"/>
    <x v="0"/>
    <x v="143"/>
    <n v="13"/>
    <x v="0"/>
  </r>
  <r>
    <x v="13"/>
    <x v="0"/>
    <x v="64"/>
    <n v="742"/>
    <x v="1"/>
  </r>
  <r>
    <x v="13"/>
    <x v="0"/>
    <x v="31"/>
    <n v="3025"/>
    <x v="1"/>
  </r>
  <r>
    <x v="12"/>
    <x v="0"/>
    <x v="56"/>
    <n v="2428"/>
    <x v="1"/>
  </r>
  <r>
    <x v="12"/>
    <x v="0"/>
    <x v="44"/>
    <n v="2655"/>
    <x v="1"/>
  </r>
  <r>
    <x v="12"/>
    <x v="0"/>
    <x v="29"/>
    <n v="11"/>
    <x v="0"/>
  </r>
  <r>
    <x v="13"/>
    <x v="0"/>
    <x v="61"/>
    <n v="178"/>
    <x v="1"/>
  </r>
  <r>
    <x v="13"/>
    <x v="0"/>
    <x v="136"/>
    <n v="3350"/>
    <x v="1"/>
  </r>
  <r>
    <x v="13"/>
    <x v="0"/>
    <x v="44"/>
    <n v="2669"/>
    <x v="1"/>
  </r>
  <r>
    <x v="12"/>
    <x v="0"/>
    <x v="71"/>
    <n v="3241"/>
    <x v="1"/>
  </r>
  <r>
    <x v="12"/>
    <x v="0"/>
    <x v="36"/>
    <n v="3"/>
    <x v="0"/>
  </r>
  <r>
    <x v="13"/>
    <x v="0"/>
    <x v="71"/>
    <n v="3547"/>
    <x v="1"/>
  </r>
  <r>
    <x v="12"/>
    <x v="0"/>
    <x v="108"/>
    <n v="522"/>
    <x v="1"/>
  </r>
  <r>
    <x v="13"/>
    <x v="0"/>
    <x v="28"/>
    <n v="2480"/>
    <x v="1"/>
  </r>
  <r>
    <x v="13"/>
    <x v="0"/>
    <x v="37"/>
    <n v="273"/>
    <x v="1"/>
  </r>
  <r>
    <x v="12"/>
    <x v="0"/>
    <x v="91"/>
    <n v="3802"/>
    <x v="1"/>
  </r>
  <r>
    <x v="13"/>
    <x v="0"/>
    <x v="129"/>
    <n v="1108"/>
    <x v="1"/>
  </r>
  <r>
    <x v="12"/>
    <x v="0"/>
    <x v="158"/>
    <n v="1"/>
    <x v="0"/>
  </r>
  <r>
    <x v="13"/>
    <x v="0"/>
    <x v="5"/>
    <n v="1"/>
    <x v="0"/>
  </r>
  <r>
    <x v="12"/>
    <x v="0"/>
    <x v="206"/>
    <n v="1"/>
    <x v="0"/>
  </r>
  <r>
    <x v="13"/>
    <x v="0"/>
    <x v="77"/>
    <n v="2"/>
    <x v="0"/>
  </r>
  <r>
    <x v="13"/>
    <x v="0"/>
    <x v="35"/>
    <n v="33"/>
    <x v="0"/>
  </r>
  <r>
    <x v="12"/>
    <x v="0"/>
    <x v="18"/>
    <n v="1"/>
    <x v="0"/>
  </r>
  <r>
    <x v="13"/>
    <x v="0"/>
    <x v="127"/>
    <n v="3725"/>
    <x v="1"/>
  </r>
  <r>
    <x v="12"/>
    <x v="0"/>
    <x v="142"/>
    <n v="2189"/>
    <x v="1"/>
  </r>
  <r>
    <x v="12"/>
    <x v="0"/>
    <x v="47"/>
    <n v="289"/>
    <x v="1"/>
  </r>
  <r>
    <x v="13"/>
    <x v="0"/>
    <x v="13"/>
    <n v="1"/>
    <x v="0"/>
  </r>
  <r>
    <x v="12"/>
    <x v="0"/>
    <x v="134"/>
    <n v="1140"/>
    <x v="1"/>
  </r>
  <r>
    <x v="13"/>
    <x v="0"/>
    <x v="120"/>
    <n v="10"/>
    <x v="0"/>
  </r>
  <r>
    <x v="13"/>
    <x v="0"/>
    <x v="85"/>
    <n v="352"/>
    <x v="1"/>
  </r>
  <r>
    <x v="12"/>
    <x v="0"/>
    <x v="25"/>
    <n v="4"/>
    <x v="0"/>
  </r>
  <r>
    <x v="12"/>
    <x v="0"/>
    <x v="27"/>
    <n v="2136"/>
    <x v="1"/>
  </r>
  <r>
    <x v="13"/>
    <x v="0"/>
    <x v="106"/>
    <n v="2060"/>
    <x v="1"/>
  </r>
  <r>
    <x v="13"/>
    <x v="0"/>
    <x v="221"/>
    <n v="1"/>
    <x v="0"/>
  </r>
  <r>
    <x v="12"/>
    <x v="0"/>
    <x v="148"/>
    <n v="2656"/>
    <x v="1"/>
  </r>
  <r>
    <x v="12"/>
    <x v="0"/>
    <x v="144"/>
    <n v="2546"/>
    <x v="1"/>
  </r>
  <r>
    <x v="13"/>
    <x v="0"/>
    <x v="179"/>
    <n v="1"/>
    <x v="0"/>
  </r>
  <r>
    <x v="12"/>
    <x v="0"/>
    <x v="168"/>
    <n v="85"/>
    <x v="0"/>
  </r>
  <r>
    <x v="12"/>
    <x v="0"/>
    <x v="9"/>
    <n v="2676"/>
    <x v="1"/>
  </r>
  <r>
    <x v="13"/>
    <x v="0"/>
    <x v="97"/>
    <n v="333"/>
    <x v="1"/>
  </r>
  <r>
    <x v="13"/>
    <x v="0"/>
    <x v="173"/>
    <n v="1"/>
    <x v="0"/>
  </r>
  <r>
    <x v="13"/>
    <x v="0"/>
    <x v="133"/>
    <n v="672"/>
    <x v="1"/>
  </r>
  <r>
    <x v="12"/>
    <x v="0"/>
    <x v="3"/>
    <n v="886"/>
    <x v="1"/>
  </r>
  <r>
    <x v="12"/>
    <x v="0"/>
    <x v="209"/>
    <n v="1"/>
    <x v="0"/>
  </r>
  <r>
    <x v="12"/>
    <x v="0"/>
    <x v="61"/>
    <n v="947"/>
    <x v="1"/>
  </r>
  <r>
    <x v="12"/>
    <x v="0"/>
    <x v="70"/>
    <n v="20"/>
    <x v="0"/>
  </r>
  <r>
    <x v="12"/>
    <x v="0"/>
    <x v="149"/>
    <n v="2256"/>
    <x v="1"/>
  </r>
  <r>
    <x v="13"/>
    <x v="0"/>
    <x v="99"/>
    <n v="2623"/>
    <x v="1"/>
  </r>
  <r>
    <x v="13"/>
    <x v="0"/>
    <x v="125"/>
    <n v="20"/>
    <x v="0"/>
  </r>
  <r>
    <x v="12"/>
    <x v="0"/>
    <x v="74"/>
    <n v="2151"/>
    <x v="1"/>
  </r>
  <r>
    <x v="13"/>
    <x v="0"/>
    <x v="220"/>
    <n v="4203"/>
    <x v="1"/>
  </r>
  <r>
    <x v="13"/>
    <x v="0"/>
    <x v="7"/>
    <n v="1070"/>
    <x v="1"/>
  </r>
  <r>
    <x v="12"/>
    <x v="0"/>
    <x v="140"/>
    <n v="3298"/>
    <x v="1"/>
  </r>
  <r>
    <x v="12"/>
    <x v="0"/>
    <x v="76"/>
    <n v="3"/>
    <x v="0"/>
  </r>
  <r>
    <x v="13"/>
    <x v="0"/>
    <x v="169"/>
    <n v="2"/>
    <x v="0"/>
  </r>
  <r>
    <x v="12"/>
    <x v="0"/>
    <x v="92"/>
    <n v="8"/>
    <x v="0"/>
  </r>
  <r>
    <x v="12"/>
    <x v="0"/>
    <x v="204"/>
    <n v="1"/>
    <x v="0"/>
  </r>
  <r>
    <x v="12"/>
    <x v="0"/>
    <x v="103"/>
    <n v="1314"/>
    <x v="1"/>
  </r>
  <r>
    <x v="12"/>
    <x v="0"/>
    <x v="146"/>
    <n v="2421"/>
    <x v="1"/>
  </r>
  <r>
    <x v="12"/>
    <x v="0"/>
    <x v="126"/>
    <n v="322"/>
    <x v="1"/>
  </r>
  <r>
    <x v="12"/>
    <x v="0"/>
    <x v="167"/>
    <n v="2203"/>
    <x v="1"/>
  </r>
  <r>
    <x v="12"/>
    <x v="0"/>
    <x v="41"/>
    <n v="3"/>
    <x v="0"/>
  </r>
  <r>
    <x v="12"/>
    <x v="0"/>
    <x v="217"/>
    <n v="1"/>
    <x v="0"/>
  </r>
  <r>
    <x v="13"/>
    <x v="0"/>
    <x v="140"/>
    <n v="2630"/>
    <x v="1"/>
  </r>
  <r>
    <x v="12"/>
    <x v="0"/>
    <x v="180"/>
    <n v="1"/>
    <x v="0"/>
  </r>
  <r>
    <x v="13"/>
    <x v="0"/>
    <x v="192"/>
    <n v="2776"/>
    <x v="1"/>
  </r>
  <r>
    <x v="12"/>
    <x v="0"/>
    <x v="213"/>
    <n v="2"/>
    <x v="0"/>
  </r>
  <r>
    <x v="13"/>
    <x v="0"/>
    <x v="109"/>
    <n v="3"/>
    <x v="0"/>
  </r>
  <r>
    <x v="13"/>
    <x v="0"/>
    <x v="11"/>
    <n v="1"/>
    <x v="0"/>
  </r>
  <r>
    <x v="12"/>
    <x v="0"/>
    <x v="1"/>
    <n v="30"/>
    <x v="0"/>
  </r>
  <r>
    <x v="12"/>
    <x v="0"/>
    <x v="170"/>
    <n v="2505"/>
    <x v="1"/>
  </r>
  <r>
    <x v="13"/>
    <x v="0"/>
    <x v="128"/>
    <n v="2"/>
    <x v="0"/>
  </r>
  <r>
    <x v="13"/>
    <x v="0"/>
    <x v="165"/>
    <n v="1"/>
    <x v="0"/>
  </r>
  <r>
    <x v="12"/>
    <x v="0"/>
    <x v="102"/>
    <n v="2263"/>
    <x v="1"/>
  </r>
  <r>
    <x v="12"/>
    <x v="0"/>
    <x v="119"/>
    <n v="7"/>
    <x v="0"/>
  </r>
  <r>
    <x v="12"/>
    <x v="0"/>
    <x v="165"/>
    <n v="1"/>
    <x v="0"/>
  </r>
  <r>
    <x v="12"/>
    <x v="0"/>
    <x v="66"/>
    <n v="3118"/>
    <x v="1"/>
  </r>
  <r>
    <x v="12"/>
    <x v="0"/>
    <x v="26"/>
    <n v="2182"/>
    <x v="1"/>
  </r>
  <r>
    <x v="12"/>
    <x v="0"/>
    <x v="11"/>
    <n v="2"/>
    <x v="0"/>
  </r>
  <r>
    <x v="12"/>
    <x v="0"/>
    <x v="164"/>
    <n v="42"/>
    <x v="0"/>
  </r>
  <r>
    <x v="12"/>
    <x v="0"/>
    <x v="73"/>
    <n v="603"/>
    <x v="1"/>
  </r>
  <r>
    <x v="12"/>
    <x v="0"/>
    <x v="7"/>
    <n v="3016"/>
    <x v="1"/>
  </r>
  <r>
    <x v="12"/>
    <x v="0"/>
    <x v="0"/>
    <n v="37"/>
    <x v="0"/>
  </r>
  <r>
    <x v="12"/>
    <x v="0"/>
    <x v="109"/>
    <n v="10"/>
    <x v="0"/>
  </r>
  <r>
    <x v="12"/>
    <x v="0"/>
    <x v="13"/>
    <n v="3"/>
    <x v="0"/>
  </r>
  <r>
    <x v="12"/>
    <x v="0"/>
    <x v="40"/>
    <n v="2"/>
    <x v="0"/>
  </r>
  <r>
    <x v="13"/>
    <x v="0"/>
    <x v="113"/>
    <n v="2579"/>
    <x v="1"/>
  </r>
  <r>
    <x v="12"/>
    <x v="0"/>
    <x v="107"/>
    <n v="8"/>
    <x v="0"/>
  </r>
  <r>
    <x v="12"/>
    <x v="0"/>
    <x v="85"/>
    <n v="638"/>
    <x v="1"/>
  </r>
  <r>
    <x v="13"/>
    <x v="0"/>
    <x v="38"/>
    <n v="3438"/>
    <x v="1"/>
  </r>
  <r>
    <x v="13"/>
    <x v="0"/>
    <x v="186"/>
    <n v="1664"/>
    <x v="1"/>
  </r>
  <r>
    <x v="13"/>
    <x v="0"/>
    <x v="98"/>
    <n v="1340"/>
    <x v="1"/>
  </r>
  <r>
    <x v="12"/>
    <x v="0"/>
    <x v="38"/>
    <n v="3222"/>
    <x v="1"/>
  </r>
  <r>
    <x v="13"/>
    <x v="0"/>
    <x v="147"/>
    <n v="676"/>
    <x v="1"/>
  </r>
  <r>
    <x v="13"/>
    <x v="0"/>
    <x v="167"/>
    <n v="2870"/>
    <x v="1"/>
  </r>
  <r>
    <x v="12"/>
    <x v="0"/>
    <x v="112"/>
    <n v="1"/>
    <x v="0"/>
  </r>
  <r>
    <x v="12"/>
    <x v="0"/>
    <x v="97"/>
    <n v="953"/>
    <x v="1"/>
  </r>
  <r>
    <x v="12"/>
    <x v="0"/>
    <x v="82"/>
    <n v="3392"/>
    <x v="1"/>
  </r>
  <r>
    <x v="13"/>
    <x v="0"/>
    <x v="83"/>
    <n v="3"/>
    <x v="0"/>
  </r>
  <r>
    <x v="12"/>
    <x v="0"/>
    <x v="24"/>
    <n v="4"/>
    <x v="0"/>
  </r>
  <r>
    <x v="13"/>
    <x v="0"/>
    <x v="159"/>
    <n v="1"/>
    <x v="0"/>
  </r>
  <r>
    <x v="13"/>
    <x v="0"/>
    <x v="90"/>
    <n v="813"/>
    <x v="1"/>
  </r>
  <r>
    <x v="13"/>
    <x v="0"/>
    <x v="9"/>
    <n v="3625"/>
    <x v="1"/>
  </r>
  <r>
    <x v="13"/>
    <x v="0"/>
    <x v="149"/>
    <n v="2935"/>
    <x v="1"/>
  </r>
  <r>
    <x v="13"/>
    <x v="0"/>
    <x v="95"/>
    <n v="3225"/>
    <x v="1"/>
  </r>
  <r>
    <x v="13"/>
    <x v="0"/>
    <x v="123"/>
    <n v="2342"/>
    <x v="1"/>
  </r>
  <r>
    <x v="13"/>
    <x v="0"/>
    <x v="59"/>
    <n v="16"/>
    <x v="0"/>
  </r>
  <r>
    <x v="12"/>
    <x v="0"/>
    <x v="54"/>
    <n v="2796"/>
    <x v="1"/>
  </r>
  <r>
    <x v="12"/>
    <x v="0"/>
    <x v="65"/>
    <n v="2222"/>
    <x v="1"/>
  </r>
  <r>
    <x v="13"/>
    <x v="0"/>
    <x v="139"/>
    <n v="3035"/>
    <x v="1"/>
  </r>
  <r>
    <x v="13"/>
    <x v="0"/>
    <x v="76"/>
    <n v="1"/>
    <x v="0"/>
  </r>
  <r>
    <x v="12"/>
    <x v="0"/>
    <x v="86"/>
    <n v="2344"/>
    <x v="1"/>
  </r>
  <r>
    <x v="12"/>
    <x v="0"/>
    <x v="35"/>
    <n v="104"/>
    <x v="1"/>
  </r>
  <r>
    <x v="13"/>
    <x v="0"/>
    <x v="33"/>
    <n v="64"/>
    <x v="0"/>
  </r>
  <r>
    <x v="13"/>
    <x v="0"/>
    <x v="107"/>
    <n v="4"/>
    <x v="0"/>
  </r>
  <r>
    <x v="13"/>
    <x v="0"/>
    <x v="162"/>
    <n v="1"/>
    <x v="0"/>
  </r>
  <r>
    <x v="13"/>
    <x v="0"/>
    <x v="205"/>
    <n v="2"/>
    <x v="0"/>
  </r>
  <r>
    <x v="13"/>
    <x v="0"/>
    <x v="0"/>
    <n v="39"/>
    <x v="0"/>
  </r>
  <r>
    <x v="12"/>
    <x v="0"/>
    <x v="99"/>
    <n v="2273"/>
    <x v="1"/>
  </r>
  <r>
    <x v="13"/>
    <x v="0"/>
    <x v="79"/>
    <n v="3073"/>
    <x v="1"/>
  </r>
  <r>
    <x v="13"/>
    <x v="0"/>
    <x v="82"/>
    <n v="2"/>
    <x v="0"/>
  </r>
  <r>
    <x v="13"/>
    <x v="0"/>
    <x v="152"/>
    <n v="3237"/>
    <x v="1"/>
  </r>
  <r>
    <x v="12"/>
    <x v="0"/>
    <x v="95"/>
    <n v="2517"/>
    <x v="1"/>
  </r>
  <r>
    <x v="12"/>
    <x v="0"/>
    <x v="205"/>
    <n v="2"/>
    <x v="0"/>
  </r>
  <r>
    <x v="12"/>
    <x v="0"/>
    <x v="218"/>
    <n v="1"/>
    <x v="0"/>
  </r>
  <r>
    <x v="13"/>
    <x v="0"/>
    <x v="15"/>
    <n v="1"/>
    <x v="0"/>
  </r>
  <r>
    <x v="13"/>
    <x v="0"/>
    <x v="185"/>
    <n v="3261"/>
    <x v="1"/>
  </r>
  <r>
    <x v="12"/>
    <x v="0"/>
    <x v="16"/>
    <n v="5"/>
    <x v="0"/>
  </r>
  <r>
    <x v="12"/>
    <x v="0"/>
    <x v="114"/>
    <n v="90"/>
    <x v="0"/>
  </r>
  <r>
    <x v="12"/>
    <x v="0"/>
    <x v="93"/>
    <n v="2618"/>
    <x v="1"/>
  </r>
  <r>
    <x v="12"/>
    <x v="0"/>
    <x v="115"/>
    <n v="3864"/>
    <x v="1"/>
  </r>
  <r>
    <x v="13"/>
    <x v="0"/>
    <x v="74"/>
    <n v="2467"/>
    <x v="1"/>
  </r>
  <r>
    <x v="12"/>
    <x v="0"/>
    <x v="78"/>
    <n v="131"/>
    <x v="1"/>
  </r>
  <r>
    <x v="12"/>
    <x v="0"/>
    <x v="55"/>
    <n v="8"/>
    <x v="0"/>
  </r>
  <r>
    <x v="12"/>
    <x v="0"/>
    <x v="63"/>
    <n v="437"/>
    <x v="1"/>
  </r>
  <r>
    <x v="12"/>
    <x v="0"/>
    <x v="83"/>
    <n v="3"/>
    <x v="0"/>
  </r>
  <r>
    <x v="12"/>
    <x v="0"/>
    <x v="121"/>
    <n v="2550"/>
    <x v="1"/>
  </r>
  <r>
    <x v="12"/>
    <x v="0"/>
    <x v="8"/>
    <n v="3104"/>
    <x v="1"/>
  </r>
  <r>
    <x v="12"/>
    <x v="0"/>
    <x v="187"/>
    <n v="24"/>
    <x v="0"/>
  </r>
  <r>
    <x v="12"/>
    <x v="0"/>
    <x v="117"/>
    <n v="2267"/>
    <x v="1"/>
  </r>
  <r>
    <x v="12"/>
    <x v="0"/>
    <x v="211"/>
    <n v="1"/>
    <x v="0"/>
  </r>
  <r>
    <x v="12"/>
    <x v="0"/>
    <x v="45"/>
    <n v="80"/>
    <x v="0"/>
  </r>
  <r>
    <x v="12"/>
    <x v="0"/>
    <x v="171"/>
    <n v="2155"/>
    <x v="1"/>
  </r>
  <r>
    <x v="13"/>
    <x v="0"/>
    <x v="118"/>
    <n v="2559"/>
    <x v="1"/>
  </r>
  <r>
    <x v="12"/>
    <x v="0"/>
    <x v="37"/>
    <n v="809"/>
    <x v="1"/>
  </r>
  <r>
    <x v="12"/>
    <x v="0"/>
    <x v="84"/>
    <n v="20"/>
    <x v="0"/>
  </r>
  <r>
    <x v="13"/>
    <x v="0"/>
    <x v="47"/>
    <n v="345"/>
    <x v="1"/>
  </r>
  <r>
    <x v="13"/>
    <x v="0"/>
    <x v="14"/>
    <n v="2"/>
    <x v="0"/>
  </r>
  <r>
    <x v="12"/>
    <x v="0"/>
    <x v="122"/>
    <n v="16"/>
    <x v="0"/>
  </r>
  <r>
    <x v="12"/>
    <x v="0"/>
    <x v="68"/>
    <n v="4"/>
    <x v="0"/>
  </r>
  <r>
    <x v="12"/>
    <x v="0"/>
    <x v="33"/>
    <n v="2149"/>
    <x v="1"/>
  </r>
  <r>
    <x v="13"/>
    <x v="0"/>
    <x v="80"/>
    <n v="1"/>
    <x v="0"/>
  </r>
  <r>
    <x v="13"/>
    <x v="0"/>
    <x v="18"/>
    <n v="1"/>
    <x v="0"/>
  </r>
  <r>
    <x v="13"/>
    <x v="0"/>
    <x v="212"/>
    <n v="3"/>
    <x v="0"/>
  </r>
  <r>
    <x v="13"/>
    <x v="0"/>
    <x v="197"/>
    <n v="2514"/>
    <x v="1"/>
  </r>
  <r>
    <x v="12"/>
    <x v="0"/>
    <x v="105"/>
    <n v="2384"/>
    <x v="1"/>
  </r>
  <r>
    <x v="13"/>
    <x v="0"/>
    <x v="214"/>
    <n v="2"/>
    <x v="0"/>
  </r>
  <r>
    <x v="12"/>
    <x v="0"/>
    <x v="190"/>
    <n v="50"/>
    <x v="0"/>
  </r>
  <r>
    <x v="13"/>
    <x v="0"/>
    <x v="111"/>
    <n v="2467"/>
    <x v="1"/>
  </r>
  <r>
    <x v="12"/>
    <x v="0"/>
    <x v="145"/>
    <n v="2450"/>
    <x v="1"/>
  </r>
  <r>
    <x v="12"/>
    <x v="0"/>
    <x v="136"/>
    <n v="2523"/>
    <x v="1"/>
  </r>
  <r>
    <x v="12"/>
    <x v="0"/>
    <x v="154"/>
    <n v="273"/>
    <x v="1"/>
  </r>
  <r>
    <x v="13"/>
    <x v="0"/>
    <x v="142"/>
    <n v="2382"/>
    <x v="1"/>
  </r>
  <r>
    <x v="12"/>
    <x v="0"/>
    <x v="58"/>
    <n v="2342"/>
    <x v="1"/>
  </r>
  <r>
    <x v="13"/>
    <x v="0"/>
    <x v="148"/>
    <n v="3339"/>
    <x v="1"/>
  </r>
  <r>
    <x v="13"/>
    <x v="0"/>
    <x v="16"/>
    <n v="1"/>
    <x v="0"/>
  </r>
  <r>
    <x v="12"/>
    <x v="0"/>
    <x v="169"/>
    <n v="1"/>
    <x v="0"/>
  </r>
  <r>
    <x v="13"/>
    <x v="0"/>
    <x v="170"/>
    <n v="3052"/>
    <x v="1"/>
  </r>
  <r>
    <x v="12"/>
    <x v="0"/>
    <x v="72"/>
    <n v="2752"/>
    <x v="1"/>
  </r>
  <r>
    <x v="12"/>
    <x v="0"/>
    <x v="77"/>
    <n v="4"/>
    <x v="0"/>
  </r>
  <r>
    <x v="12"/>
    <x v="0"/>
    <x v="124"/>
    <n v="2400"/>
    <x v="1"/>
  </r>
  <r>
    <x v="13"/>
    <x v="0"/>
    <x v="150"/>
    <n v="2894"/>
    <x v="1"/>
  </r>
  <r>
    <x v="12"/>
    <x v="0"/>
    <x v="125"/>
    <n v="120"/>
    <x v="1"/>
  </r>
  <r>
    <x v="13"/>
    <x v="0"/>
    <x v="190"/>
    <n v="1749"/>
    <x v="1"/>
  </r>
  <r>
    <x v="12"/>
    <x v="0"/>
    <x v="183"/>
    <n v="47"/>
    <x v="0"/>
  </r>
  <r>
    <x v="13"/>
    <x v="0"/>
    <x v="21"/>
    <n v="2900"/>
    <x v="1"/>
  </r>
  <r>
    <x v="12"/>
    <x v="0"/>
    <x v="152"/>
    <n v="2315"/>
    <x v="1"/>
  </r>
  <r>
    <x v="12"/>
    <x v="0"/>
    <x v="50"/>
    <n v="760"/>
    <x v="1"/>
  </r>
  <r>
    <x v="13"/>
    <x v="0"/>
    <x v="89"/>
    <n v="1884"/>
    <x v="1"/>
  </r>
  <r>
    <x v="13"/>
    <x v="0"/>
    <x v="121"/>
    <n v="2536"/>
    <x v="1"/>
  </r>
  <r>
    <x v="12"/>
    <x v="0"/>
    <x v="67"/>
    <n v="1"/>
    <x v="0"/>
  </r>
  <r>
    <x v="12"/>
    <x v="0"/>
    <x v="203"/>
    <n v="1"/>
    <x v="0"/>
  </r>
  <r>
    <x v="12"/>
    <x v="0"/>
    <x v="141"/>
    <n v="2161"/>
    <x v="1"/>
  </r>
  <r>
    <x v="12"/>
    <x v="0"/>
    <x v="159"/>
    <n v="1"/>
    <x v="0"/>
  </r>
  <r>
    <x v="13"/>
    <x v="0"/>
    <x v="91"/>
    <n v="7"/>
    <x v="0"/>
  </r>
  <r>
    <x v="12"/>
    <x v="0"/>
    <x v="111"/>
    <n v="2264"/>
    <x v="1"/>
  </r>
  <r>
    <x v="12"/>
    <x v="0"/>
    <x v="174"/>
    <n v="1"/>
    <x v="0"/>
  </r>
  <r>
    <x v="13"/>
    <x v="0"/>
    <x v="48"/>
    <n v="1"/>
    <x v="0"/>
  </r>
  <r>
    <x v="13"/>
    <x v="0"/>
    <x v="40"/>
    <n v="1"/>
    <x v="0"/>
  </r>
  <r>
    <x v="13"/>
    <x v="0"/>
    <x v="22"/>
    <n v="3548"/>
    <x v="1"/>
  </r>
  <r>
    <x v="13"/>
    <x v="0"/>
    <x v="58"/>
    <n v="3171"/>
    <x v="1"/>
  </r>
  <r>
    <x v="13"/>
    <x v="0"/>
    <x v="55"/>
    <n v="1"/>
    <x v="0"/>
  </r>
  <r>
    <x v="12"/>
    <x v="0"/>
    <x v="185"/>
    <n v="1707"/>
    <x v="1"/>
  </r>
  <r>
    <x v="13"/>
    <x v="0"/>
    <x v="103"/>
    <n v="4"/>
    <x v="0"/>
  </r>
  <r>
    <x v="13"/>
    <x v="0"/>
    <x v="187"/>
    <n v="1922"/>
    <x v="1"/>
  </r>
  <r>
    <x v="13"/>
    <x v="0"/>
    <x v="105"/>
    <n v="578"/>
    <x v="1"/>
  </r>
  <r>
    <x v="12"/>
    <x v="0"/>
    <x v="118"/>
    <n v="2697"/>
    <x v="1"/>
  </r>
  <r>
    <x v="12"/>
    <x v="0"/>
    <x v="162"/>
    <n v="1"/>
    <x v="0"/>
  </r>
  <r>
    <x v="13"/>
    <x v="0"/>
    <x v="46"/>
    <n v="2584"/>
    <x v="1"/>
  </r>
  <r>
    <x v="12"/>
    <x v="0"/>
    <x v="89"/>
    <n v="2540"/>
    <x v="1"/>
  </r>
  <r>
    <x v="13"/>
    <x v="0"/>
    <x v="137"/>
    <n v="1495"/>
    <x v="1"/>
  </r>
  <r>
    <x v="12"/>
    <x v="0"/>
    <x v="46"/>
    <n v="2651"/>
    <x v="1"/>
  </r>
  <r>
    <x v="12"/>
    <x v="0"/>
    <x v="49"/>
    <n v="2"/>
    <x v="0"/>
  </r>
  <r>
    <x v="12"/>
    <x v="0"/>
    <x v="120"/>
    <n v="469"/>
    <x v="1"/>
  </r>
  <r>
    <x v="13"/>
    <x v="0"/>
    <x v="54"/>
    <n v="4"/>
    <x v="0"/>
  </r>
  <r>
    <x v="13"/>
    <x v="0"/>
    <x v="141"/>
    <n v="1806"/>
    <x v="1"/>
  </r>
  <r>
    <x v="12"/>
    <x v="0"/>
    <x v="59"/>
    <n v="132"/>
    <x v="1"/>
  </r>
  <r>
    <x v="12"/>
    <x v="0"/>
    <x v="172"/>
    <n v="1249"/>
    <x v="1"/>
  </r>
  <r>
    <x v="13"/>
    <x v="0"/>
    <x v="144"/>
    <n v="2965"/>
    <x v="1"/>
  </r>
  <r>
    <x v="12"/>
    <x v="0"/>
    <x v="197"/>
    <n v="57"/>
    <x v="0"/>
  </r>
  <r>
    <x v="13"/>
    <x v="0"/>
    <x v="226"/>
    <n v="19"/>
    <x v="0"/>
  </r>
  <r>
    <x v="13"/>
    <x v="0"/>
    <x v="134"/>
    <n v="675"/>
    <x v="1"/>
  </r>
  <r>
    <x v="13"/>
    <x v="0"/>
    <x v="32"/>
    <n v="3175"/>
    <x v="1"/>
  </r>
  <r>
    <x v="13"/>
    <x v="0"/>
    <x v="1"/>
    <n v="27"/>
    <x v="0"/>
  </r>
  <r>
    <x v="12"/>
    <x v="0"/>
    <x v="21"/>
    <n v="2584"/>
    <x v="1"/>
  </r>
  <r>
    <x v="12"/>
    <x v="0"/>
    <x v="147"/>
    <n v="824"/>
    <x v="1"/>
  </r>
  <r>
    <x v="12"/>
    <x v="0"/>
    <x v="57"/>
    <n v="8"/>
    <x v="0"/>
  </r>
  <r>
    <x v="13"/>
    <x v="0"/>
    <x v="24"/>
    <n v="4"/>
    <x v="0"/>
  </r>
  <r>
    <x v="13"/>
    <x v="0"/>
    <x v="184"/>
    <n v="2378"/>
    <x v="1"/>
  </r>
  <r>
    <x v="13"/>
    <x v="0"/>
    <x v="23"/>
    <n v="1"/>
    <x v="0"/>
  </r>
  <r>
    <x v="12"/>
    <x v="0"/>
    <x v="32"/>
    <n v="12293"/>
    <x v="1"/>
  </r>
  <r>
    <x v="13"/>
    <x v="0"/>
    <x v="199"/>
    <n v="3373"/>
    <x v="1"/>
  </r>
  <r>
    <x v="12"/>
    <x v="0"/>
    <x v="14"/>
    <n v="91"/>
    <x v="0"/>
  </r>
  <r>
    <x v="12"/>
    <x v="0"/>
    <x v="51"/>
    <n v="2117"/>
    <x v="1"/>
  </r>
  <r>
    <x v="12"/>
    <x v="0"/>
    <x v="163"/>
    <n v="6"/>
    <x v="0"/>
  </r>
  <r>
    <x v="12"/>
    <x v="0"/>
    <x v="69"/>
    <n v="3026"/>
    <x v="1"/>
  </r>
  <r>
    <x v="13"/>
    <x v="0"/>
    <x v="70"/>
    <n v="7"/>
    <x v="0"/>
  </r>
  <r>
    <x v="12"/>
    <x v="0"/>
    <x v="52"/>
    <n v="2447"/>
    <x v="1"/>
  </r>
  <r>
    <x v="13"/>
    <x v="0"/>
    <x v="43"/>
    <n v="2"/>
    <x v="0"/>
  </r>
  <r>
    <x v="12"/>
    <x v="0"/>
    <x v="184"/>
    <n v="1934"/>
    <x v="1"/>
  </r>
  <r>
    <x v="13"/>
    <x v="0"/>
    <x v="124"/>
    <n v="2777"/>
    <x v="1"/>
  </r>
  <r>
    <x v="13"/>
    <x v="0"/>
    <x v="51"/>
    <n v="2319"/>
    <x v="1"/>
  </r>
  <r>
    <x v="12"/>
    <x v="0"/>
    <x v="189"/>
    <n v="15"/>
    <x v="0"/>
  </r>
  <r>
    <x v="13"/>
    <x v="0"/>
    <x v="27"/>
    <n v="2554"/>
    <x v="1"/>
  </r>
  <r>
    <x v="13"/>
    <x v="0"/>
    <x v="146"/>
    <n v="3080"/>
    <x v="1"/>
  </r>
  <r>
    <x v="13"/>
    <x v="0"/>
    <x v="62"/>
    <n v="619"/>
    <x v="1"/>
  </r>
  <r>
    <x v="13"/>
    <x v="0"/>
    <x v="227"/>
    <n v="1"/>
    <x v="0"/>
  </r>
  <r>
    <x v="12"/>
    <x v="0"/>
    <x v="161"/>
    <n v="2"/>
    <x v="0"/>
  </r>
  <r>
    <x v="13"/>
    <x v="0"/>
    <x v="228"/>
    <n v="1"/>
    <x v="0"/>
  </r>
  <r>
    <x v="12"/>
    <x v="0"/>
    <x v="150"/>
    <n v="532"/>
    <x v="1"/>
  </r>
  <r>
    <x v="12"/>
    <x v="0"/>
    <x v="104"/>
    <n v="3961"/>
    <x v="1"/>
  </r>
  <r>
    <x v="14"/>
    <x v="0"/>
    <x v="79"/>
    <n v="11866"/>
    <x v="1"/>
  </r>
  <r>
    <x v="14"/>
    <x v="0"/>
    <x v="0"/>
    <n v="37"/>
    <x v="0"/>
  </r>
  <r>
    <x v="15"/>
    <x v="0"/>
    <x v="151"/>
    <n v="3660"/>
    <x v="1"/>
  </r>
  <r>
    <x v="15"/>
    <x v="0"/>
    <x v="153"/>
    <n v="2068"/>
    <x v="1"/>
  </r>
  <r>
    <x v="14"/>
    <x v="0"/>
    <x v="83"/>
    <n v="3"/>
    <x v="0"/>
  </r>
  <r>
    <x v="14"/>
    <x v="0"/>
    <x v="11"/>
    <n v="2"/>
    <x v="0"/>
  </r>
  <r>
    <x v="14"/>
    <x v="0"/>
    <x v="37"/>
    <n v="798"/>
    <x v="1"/>
  </r>
  <r>
    <x v="15"/>
    <x v="0"/>
    <x v="162"/>
    <n v="2"/>
    <x v="0"/>
  </r>
  <r>
    <x v="14"/>
    <x v="0"/>
    <x v="78"/>
    <n v="137"/>
    <x v="1"/>
  </r>
  <r>
    <x v="15"/>
    <x v="0"/>
    <x v="188"/>
    <n v="2784"/>
    <x v="1"/>
  </r>
  <r>
    <x v="15"/>
    <x v="0"/>
    <x v="115"/>
    <n v="5178"/>
    <x v="1"/>
  </r>
  <r>
    <x v="14"/>
    <x v="0"/>
    <x v="186"/>
    <n v="49"/>
    <x v="0"/>
  </r>
  <r>
    <x v="15"/>
    <x v="0"/>
    <x v="27"/>
    <n v="2562"/>
    <x v="1"/>
  </r>
  <r>
    <x v="14"/>
    <x v="0"/>
    <x v="89"/>
    <n v="2531"/>
    <x v="1"/>
  </r>
  <r>
    <x v="14"/>
    <x v="0"/>
    <x v="208"/>
    <n v="4"/>
    <x v="0"/>
  </r>
  <r>
    <x v="14"/>
    <x v="0"/>
    <x v="103"/>
    <n v="1292"/>
    <x v="1"/>
  </r>
  <r>
    <x v="14"/>
    <x v="0"/>
    <x v="28"/>
    <n v="2311"/>
    <x v="1"/>
  </r>
  <r>
    <x v="15"/>
    <x v="0"/>
    <x v="56"/>
    <n v="2384"/>
    <x v="1"/>
  </r>
  <r>
    <x v="15"/>
    <x v="0"/>
    <x v="90"/>
    <n v="823"/>
    <x v="1"/>
  </r>
  <r>
    <x v="14"/>
    <x v="0"/>
    <x v="158"/>
    <n v="1"/>
    <x v="0"/>
  </r>
  <r>
    <x v="14"/>
    <x v="0"/>
    <x v="196"/>
    <n v="1"/>
    <x v="0"/>
  </r>
  <r>
    <x v="15"/>
    <x v="0"/>
    <x v="43"/>
    <n v="3"/>
    <x v="0"/>
  </r>
  <r>
    <x v="15"/>
    <x v="0"/>
    <x v="63"/>
    <n v="699"/>
    <x v="1"/>
  </r>
  <r>
    <x v="15"/>
    <x v="0"/>
    <x v="87"/>
    <n v="2859"/>
    <x v="1"/>
  </r>
  <r>
    <x v="14"/>
    <x v="0"/>
    <x v="19"/>
    <n v="239"/>
    <x v="1"/>
  </r>
  <r>
    <x v="15"/>
    <x v="0"/>
    <x v="8"/>
    <n v="2288"/>
    <x v="1"/>
  </r>
  <r>
    <x v="14"/>
    <x v="0"/>
    <x v="155"/>
    <n v="1"/>
    <x v="0"/>
  </r>
  <r>
    <x v="15"/>
    <x v="0"/>
    <x v="16"/>
    <n v="1"/>
    <x v="0"/>
  </r>
  <r>
    <x v="14"/>
    <x v="0"/>
    <x v="144"/>
    <n v="2531"/>
    <x v="1"/>
  </r>
  <r>
    <x v="15"/>
    <x v="0"/>
    <x v="67"/>
    <n v="1"/>
    <x v="0"/>
  </r>
  <r>
    <x v="15"/>
    <x v="0"/>
    <x v="40"/>
    <n v="1"/>
    <x v="0"/>
  </r>
  <r>
    <x v="15"/>
    <x v="0"/>
    <x v="57"/>
    <n v="2"/>
    <x v="0"/>
  </r>
  <r>
    <x v="14"/>
    <x v="0"/>
    <x v="176"/>
    <n v="1"/>
    <x v="0"/>
  </r>
  <r>
    <x v="15"/>
    <x v="0"/>
    <x v="30"/>
    <n v="1139"/>
    <x v="1"/>
  </r>
  <r>
    <x v="15"/>
    <x v="0"/>
    <x v="64"/>
    <n v="739"/>
    <x v="1"/>
  </r>
  <r>
    <x v="15"/>
    <x v="0"/>
    <x v="32"/>
    <n v="3166"/>
    <x v="1"/>
  </r>
  <r>
    <x v="14"/>
    <x v="0"/>
    <x v="66"/>
    <n v="3150"/>
    <x v="1"/>
  </r>
  <r>
    <x v="15"/>
    <x v="0"/>
    <x v="167"/>
    <n v="2883"/>
    <x v="1"/>
  </r>
  <r>
    <x v="15"/>
    <x v="0"/>
    <x v="108"/>
    <n v="338"/>
    <x v="1"/>
  </r>
  <r>
    <x v="15"/>
    <x v="0"/>
    <x v="159"/>
    <n v="1"/>
    <x v="0"/>
  </r>
  <r>
    <x v="15"/>
    <x v="0"/>
    <x v="88"/>
    <n v="3541"/>
    <x v="1"/>
  </r>
  <r>
    <x v="15"/>
    <x v="0"/>
    <x v="23"/>
    <n v="1"/>
    <x v="0"/>
  </r>
  <r>
    <x v="15"/>
    <x v="0"/>
    <x v="198"/>
    <n v="3377"/>
    <x v="1"/>
  </r>
  <r>
    <x v="15"/>
    <x v="0"/>
    <x v="192"/>
    <n v="2775"/>
    <x v="1"/>
  </r>
  <r>
    <x v="14"/>
    <x v="0"/>
    <x v="57"/>
    <n v="8"/>
    <x v="0"/>
  </r>
  <r>
    <x v="14"/>
    <x v="0"/>
    <x v="59"/>
    <n v="145"/>
    <x v="1"/>
  </r>
  <r>
    <x v="15"/>
    <x v="0"/>
    <x v="193"/>
    <n v="1582"/>
    <x v="1"/>
  </r>
  <r>
    <x v="15"/>
    <x v="0"/>
    <x v="126"/>
    <n v="63"/>
    <x v="0"/>
  </r>
  <r>
    <x v="14"/>
    <x v="0"/>
    <x v="114"/>
    <n v="95"/>
    <x v="0"/>
  </r>
  <r>
    <x v="14"/>
    <x v="0"/>
    <x v="3"/>
    <n v="883"/>
    <x v="1"/>
  </r>
  <r>
    <x v="14"/>
    <x v="0"/>
    <x v="174"/>
    <n v="1"/>
    <x v="0"/>
  </r>
  <r>
    <x v="15"/>
    <x v="0"/>
    <x v="44"/>
    <n v="2690"/>
    <x v="1"/>
  </r>
  <r>
    <x v="14"/>
    <x v="0"/>
    <x v="165"/>
    <n v="1"/>
    <x v="0"/>
  </r>
  <r>
    <x v="14"/>
    <x v="0"/>
    <x v="2"/>
    <n v="3719"/>
    <x v="1"/>
  </r>
  <r>
    <x v="14"/>
    <x v="0"/>
    <x v="26"/>
    <n v="2188"/>
    <x v="1"/>
  </r>
  <r>
    <x v="14"/>
    <x v="0"/>
    <x v="94"/>
    <n v="755"/>
    <x v="1"/>
  </r>
  <r>
    <x v="14"/>
    <x v="0"/>
    <x v="172"/>
    <n v="1254"/>
    <x v="1"/>
  </r>
  <r>
    <x v="15"/>
    <x v="0"/>
    <x v="131"/>
    <n v="3722"/>
    <x v="1"/>
  </r>
  <r>
    <x v="14"/>
    <x v="0"/>
    <x v="95"/>
    <n v="2488"/>
    <x v="1"/>
  </r>
  <r>
    <x v="14"/>
    <x v="0"/>
    <x v="148"/>
    <n v="2603"/>
    <x v="1"/>
  </r>
  <r>
    <x v="14"/>
    <x v="0"/>
    <x v="29"/>
    <n v="11"/>
    <x v="0"/>
  </r>
  <r>
    <x v="15"/>
    <x v="0"/>
    <x v="143"/>
    <n v="3964"/>
    <x v="1"/>
  </r>
  <r>
    <x v="15"/>
    <x v="0"/>
    <x v="204"/>
    <n v="1"/>
    <x v="0"/>
  </r>
  <r>
    <x v="15"/>
    <x v="0"/>
    <x v="26"/>
    <n v="2541"/>
    <x v="1"/>
  </r>
  <r>
    <x v="14"/>
    <x v="0"/>
    <x v="168"/>
    <n v="93"/>
    <x v="0"/>
  </r>
  <r>
    <x v="14"/>
    <x v="0"/>
    <x v="1"/>
    <n v="30"/>
    <x v="0"/>
  </r>
  <r>
    <x v="15"/>
    <x v="0"/>
    <x v="0"/>
    <n v="40"/>
    <x v="0"/>
  </r>
  <r>
    <x v="14"/>
    <x v="0"/>
    <x v="126"/>
    <n v="338"/>
    <x v="1"/>
  </r>
  <r>
    <x v="14"/>
    <x v="0"/>
    <x v="113"/>
    <n v="2465"/>
    <x v="1"/>
  </r>
  <r>
    <x v="15"/>
    <x v="0"/>
    <x v="66"/>
    <n v="3926"/>
    <x v="1"/>
  </r>
  <r>
    <x v="14"/>
    <x v="0"/>
    <x v="5"/>
    <n v="1"/>
    <x v="0"/>
  </r>
  <r>
    <x v="14"/>
    <x v="0"/>
    <x v="201"/>
    <n v="2"/>
    <x v="0"/>
  </r>
  <r>
    <x v="15"/>
    <x v="0"/>
    <x v="229"/>
    <n v="93"/>
    <x v="0"/>
  </r>
  <r>
    <x v="15"/>
    <x v="0"/>
    <x v="230"/>
    <n v="1"/>
    <x v="0"/>
  </r>
  <r>
    <x v="15"/>
    <x v="0"/>
    <x v="52"/>
    <n v="2683"/>
    <x v="1"/>
  </r>
  <r>
    <x v="15"/>
    <x v="0"/>
    <x v="172"/>
    <n v="2739"/>
    <x v="1"/>
  </r>
  <r>
    <x v="15"/>
    <x v="0"/>
    <x v="5"/>
    <n v="1"/>
    <x v="0"/>
  </r>
  <r>
    <x v="15"/>
    <x v="0"/>
    <x v="165"/>
    <n v="1"/>
    <x v="0"/>
  </r>
  <r>
    <x v="15"/>
    <x v="0"/>
    <x v="19"/>
    <n v="217"/>
    <x v="1"/>
  </r>
  <r>
    <x v="14"/>
    <x v="0"/>
    <x v="14"/>
    <n v="85"/>
    <x v="0"/>
  </r>
  <r>
    <x v="14"/>
    <x v="0"/>
    <x v="179"/>
    <n v="3"/>
    <x v="0"/>
  </r>
  <r>
    <x v="14"/>
    <x v="0"/>
    <x v="195"/>
    <n v="1"/>
    <x v="0"/>
  </r>
  <r>
    <x v="14"/>
    <x v="0"/>
    <x v="20"/>
    <n v="3"/>
    <x v="0"/>
  </r>
  <r>
    <x v="14"/>
    <x v="0"/>
    <x v="154"/>
    <n v="2737"/>
    <x v="1"/>
  </r>
  <r>
    <x v="15"/>
    <x v="0"/>
    <x v="197"/>
    <n v="2510"/>
    <x v="1"/>
  </r>
  <r>
    <x v="15"/>
    <x v="0"/>
    <x v="128"/>
    <n v="3"/>
    <x v="0"/>
  </r>
  <r>
    <x v="15"/>
    <x v="0"/>
    <x v="133"/>
    <n v="681"/>
    <x v="1"/>
  </r>
  <r>
    <x v="15"/>
    <x v="0"/>
    <x v="73"/>
    <n v="708"/>
    <x v="1"/>
  </r>
  <r>
    <x v="15"/>
    <x v="0"/>
    <x v="89"/>
    <n v="1899"/>
    <x v="1"/>
  </r>
  <r>
    <x v="14"/>
    <x v="0"/>
    <x v="166"/>
    <n v="14"/>
    <x v="0"/>
  </r>
  <r>
    <x v="15"/>
    <x v="0"/>
    <x v="59"/>
    <n v="19"/>
    <x v="0"/>
  </r>
  <r>
    <x v="14"/>
    <x v="0"/>
    <x v="71"/>
    <n v="3327"/>
    <x v="1"/>
  </r>
  <r>
    <x v="14"/>
    <x v="0"/>
    <x v="100"/>
    <n v="1"/>
    <x v="0"/>
  </r>
  <r>
    <x v="15"/>
    <x v="0"/>
    <x v="183"/>
    <n v="3555"/>
    <x v="1"/>
  </r>
  <r>
    <x v="14"/>
    <x v="0"/>
    <x v="112"/>
    <n v="1"/>
    <x v="0"/>
  </r>
  <r>
    <x v="15"/>
    <x v="0"/>
    <x v="222"/>
    <n v="1240"/>
    <x v="1"/>
  </r>
  <r>
    <x v="14"/>
    <x v="0"/>
    <x v="150"/>
    <n v="558"/>
    <x v="1"/>
  </r>
  <r>
    <x v="15"/>
    <x v="0"/>
    <x v="113"/>
    <n v="2602"/>
    <x v="1"/>
  </r>
  <r>
    <x v="15"/>
    <x v="0"/>
    <x v="17"/>
    <n v="624"/>
    <x v="1"/>
  </r>
  <r>
    <x v="15"/>
    <x v="0"/>
    <x v="158"/>
    <n v="1"/>
    <x v="0"/>
  </r>
  <r>
    <x v="14"/>
    <x v="0"/>
    <x v="207"/>
    <n v="10"/>
    <x v="0"/>
  </r>
  <r>
    <x v="14"/>
    <x v="0"/>
    <x v="93"/>
    <n v="2637"/>
    <x v="1"/>
  </r>
  <r>
    <x v="14"/>
    <x v="0"/>
    <x v="30"/>
    <n v="1169"/>
    <x v="1"/>
  </r>
  <r>
    <x v="15"/>
    <x v="0"/>
    <x v="119"/>
    <n v="1"/>
    <x v="0"/>
  </r>
  <r>
    <x v="14"/>
    <x v="0"/>
    <x v="151"/>
    <n v="2335"/>
    <x v="1"/>
  </r>
  <r>
    <x v="15"/>
    <x v="0"/>
    <x v="189"/>
    <n v="3142"/>
    <x v="1"/>
  </r>
  <r>
    <x v="14"/>
    <x v="0"/>
    <x v="187"/>
    <n v="35"/>
    <x v="0"/>
  </r>
  <r>
    <x v="15"/>
    <x v="0"/>
    <x v="51"/>
    <n v="2341"/>
    <x v="1"/>
  </r>
  <r>
    <x v="14"/>
    <x v="0"/>
    <x v="12"/>
    <n v="44"/>
    <x v="0"/>
  </r>
  <r>
    <x v="14"/>
    <x v="0"/>
    <x v="27"/>
    <n v="2147"/>
    <x v="1"/>
  </r>
  <r>
    <x v="15"/>
    <x v="0"/>
    <x v="91"/>
    <n v="7"/>
    <x v="0"/>
  </r>
  <r>
    <x v="14"/>
    <x v="0"/>
    <x v="181"/>
    <n v="28"/>
    <x v="0"/>
  </r>
  <r>
    <x v="14"/>
    <x v="0"/>
    <x v="111"/>
    <n v="2296"/>
    <x v="1"/>
  </r>
  <r>
    <x v="15"/>
    <x v="0"/>
    <x v="65"/>
    <n v="432"/>
    <x v="1"/>
  </r>
  <r>
    <x v="14"/>
    <x v="0"/>
    <x v="81"/>
    <n v="5"/>
    <x v="0"/>
  </r>
  <r>
    <x v="15"/>
    <x v="0"/>
    <x v="3"/>
    <n v="887"/>
    <x v="1"/>
  </r>
  <r>
    <x v="15"/>
    <x v="0"/>
    <x v="175"/>
    <n v="1"/>
    <x v="0"/>
  </r>
  <r>
    <x v="14"/>
    <x v="0"/>
    <x v="10"/>
    <n v="721"/>
    <x v="1"/>
  </r>
  <r>
    <x v="14"/>
    <x v="0"/>
    <x v="175"/>
    <n v="1"/>
    <x v="0"/>
  </r>
  <r>
    <x v="15"/>
    <x v="0"/>
    <x v="187"/>
    <n v="1922"/>
    <x v="1"/>
  </r>
  <r>
    <x v="15"/>
    <x v="0"/>
    <x v="173"/>
    <n v="1"/>
    <x v="0"/>
  </r>
  <r>
    <x v="15"/>
    <x v="0"/>
    <x v="28"/>
    <n v="2516"/>
    <x v="1"/>
  </r>
  <r>
    <x v="14"/>
    <x v="0"/>
    <x v="31"/>
    <n v="2434"/>
    <x v="1"/>
  </r>
  <r>
    <x v="14"/>
    <x v="0"/>
    <x v="167"/>
    <n v="2218"/>
    <x v="1"/>
  </r>
  <r>
    <x v="14"/>
    <x v="0"/>
    <x v="63"/>
    <n v="412"/>
    <x v="1"/>
  </r>
  <r>
    <x v="15"/>
    <x v="0"/>
    <x v="179"/>
    <n v="1"/>
    <x v="0"/>
  </r>
  <r>
    <x v="14"/>
    <x v="0"/>
    <x v="69"/>
    <n v="3062"/>
    <x v="1"/>
  </r>
  <r>
    <x v="15"/>
    <x v="0"/>
    <x v="157"/>
    <n v="1"/>
    <x v="0"/>
  </r>
  <r>
    <x v="14"/>
    <x v="0"/>
    <x v="122"/>
    <n v="16"/>
    <x v="0"/>
  </r>
  <r>
    <x v="15"/>
    <x v="0"/>
    <x v="226"/>
    <n v="82"/>
    <x v="0"/>
  </r>
  <r>
    <x v="15"/>
    <x v="0"/>
    <x v="168"/>
    <n v="1950"/>
    <x v="1"/>
  </r>
  <r>
    <x v="14"/>
    <x v="0"/>
    <x v="213"/>
    <n v="2"/>
    <x v="0"/>
  </r>
  <r>
    <x v="15"/>
    <x v="0"/>
    <x v="12"/>
    <n v="2"/>
    <x v="0"/>
  </r>
  <r>
    <x v="14"/>
    <x v="0"/>
    <x v="43"/>
    <n v="9"/>
    <x v="0"/>
  </r>
  <r>
    <x v="15"/>
    <x v="0"/>
    <x v="78"/>
    <n v="4"/>
    <x v="0"/>
  </r>
  <r>
    <x v="14"/>
    <x v="0"/>
    <x v="117"/>
    <n v="2280"/>
    <x v="1"/>
  </r>
  <r>
    <x v="15"/>
    <x v="0"/>
    <x v="207"/>
    <n v="1"/>
    <x v="0"/>
  </r>
  <r>
    <x v="15"/>
    <x v="0"/>
    <x v="98"/>
    <n v="1376"/>
    <x v="1"/>
  </r>
  <r>
    <x v="15"/>
    <x v="0"/>
    <x v="50"/>
    <n v="349"/>
    <x v="1"/>
  </r>
  <r>
    <x v="14"/>
    <x v="0"/>
    <x v="98"/>
    <n v="1638"/>
    <x v="1"/>
  </r>
  <r>
    <x v="15"/>
    <x v="0"/>
    <x v="154"/>
    <n v="1440"/>
    <x v="1"/>
  </r>
  <r>
    <x v="15"/>
    <x v="0"/>
    <x v="77"/>
    <n v="2"/>
    <x v="0"/>
  </r>
  <r>
    <x v="15"/>
    <x v="0"/>
    <x v="107"/>
    <n v="4"/>
    <x v="0"/>
  </r>
  <r>
    <x v="15"/>
    <x v="0"/>
    <x v="177"/>
    <n v="1"/>
    <x v="0"/>
  </r>
  <r>
    <x v="14"/>
    <x v="0"/>
    <x v="61"/>
    <n v="929"/>
    <x v="1"/>
  </r>
  <r>
    <x v="14"/>
    <x v="0"/>
    <x v="115"/>
    <n v="3869"/>
    <x v="1"/>
  </r>
  <r>
    <x v="14"/>
    <x v="0"/>
    <x v="44"/>
    <n v="2666"/>
    <x v="1"/>
  </r>
  <r>
    <x v="14"/>
    <x v="0"/>
    <x v="160"/>
    <n v="2"/>
    <x v="0"/>
  </r>
  <r>
    <x v="14"/>
    <x v="0"/>
    <x v="138"/>
    <n v="9"/>
    <x v="0"/>
  </r>
  <r>
    <x v="15"/>
    <x v="0"/>
    <x v="61"/>
    <n v="180"/>
    <x v="1"/>
  </r>
  <r>
    <x v="14"/>
    <x v="0"/>
    <x v="97"/>
    <n v="946"/>
    <x v="1"/>
  </r>
  <r>
    <x v="15"/>
    <x v="0"/>
    <x v="142"/>
    <n v="2398"/>
    <x v="1"/>
  </r>
  <r>
    <x v="14"/>
    <x v="0"/>
    <x v="188"/>
    <n v="2058"/>
    <x v="1"/>
  </r>
  <r>
    <x v="15"/>
    <x v="0"/>
    <x v="29"/>
    <n v="1"/>
    <x v="0"/>
  </r>
  <r>
    <x v="15"/>
    <x v="0"/>
    <x v="83"/>
    <n v="3"/>
    <x v="0"/>
  </r>
  <r>
    <x v="14"/>
    <x v="0"/>
    <x v="152"/>
    <n v="2320"/>
    <x v="1"/>
  </r>
  <r>
    <x v="14"/>
    <x v="0"/>
    <x v="206"/>
    <n v="2"/>
    <x v="0"/>
  </r>
  <r>
    <x v="14"/>
    <x v="0"/>
    <x v="50"/>
    <n v="764"/>
    <x v="1"/>
  </r>
  <r>
    <x v="15"/>
    <x v="0"/>
    <x v="97"/>
    <n v="334"/>
    <x v="1"/>
  </r>
  <r>
    <x v="14"/>
    <x v="0"/>
    <x v="36"/>
    <n v="3"/>
    <x v="0"/>
  </r>
  <r>
    <x v="15"/>
    <x v="0"/>
    <x v="10"/>
    <n v="661"/>
    <x v="1"/>
  </r>
  <r>
    <x v="15"/>
    <x v="0"/>
    <x v="71"/>
    <n v="3573"/>
    <x v="1"/>
  </r>
  <r>
    <x v="15"/>
    <x v="0"/>
    <x v="191"/>
    <n v="2010"/>
    <x v="1"/>
  </r>
  <r>
    <x v="15"/>
    <x v="0"/>
    <x v="69"/>
    <n v="2703"/>
    <x v="1"/>
  </r>
  <r>
    <x v="15"/>
    <x v="0"/>
    <x v="7"/>
    <n v="1059"/>
    <x v="1"/>
  </r>
  <r>
    <x v="15"/>
    <x v="0"/>
    <x v="86"/>
    <n v="3328"/>
    <x v="1"/>
  </r>
  <r>
    <x v="15"/>
    <x v="0"/>
    <x v="196"/>
    <n v="1"/>
    <x v="0"/>
  </r>
  <r>
    <x v="15"/>
    <x v="0"/>
    <x v="184"/>
    <n v="2423"/>
    <x v="1"/>
  </r>
  <r>
    <x v="14"/>
    <x v="0"/>
    <x v="87"/>
    <n v="22"/>
    <x v="0"/>
  </r>
  <r>
    <x v="14"/>
    <x v="0"/>
    <x v="101"/>
    <n v="1"/>
    <x v="0"/>
  </r>
  <r>
    <x v="14"/>
    <x v="0"/>
    <x v="116"/>
    <n v="570"/>
    <x v="1"/>
  </r>
  <r>
    <x v="14"/>
    <x v="0"/>
    <x v="54"/>
    <n v="6"/>
    <x v="0"/>
  </r>
  <r>
    <x v="15"/>
    <x v="0"/>
    <x v="223"/>
    <n v="3"/>
    <x v="0"/>
  </r>
  <r>
    <x v="14"/>
    <x v="0"/>
    <x v="96"/>
    <n v="88"/>
    <x v="0"/>
  </r>
  <r>
    <x v="15"/>
    <x v="0"/>
    <x v="164"/>
    <n v="62"/>
    <x v="0"/>
  </r>
  <r>
    <x v="14"/>
    <x v="0"/>
    <x v="110"/>
    <n v="4"/>
    <x v="0"/>
  </r>
  <r>
    <x v="14"/>
    <x v="0"/>
    <x v="41"/>
    <n v="3"/>
    <x v="0"/>
  </r>
  <r>
    <x v="14"/>
    <x v="0"/>
    <x v="218"/>
    <n v="1"/>
    <x v="0"/>
  </r>
  <r>
    <x v="14"/>
    <x v="0"/>
    <x v="90"/>
    <n v="1257"/>
    <x v="1"/>
  </r>
  <r>
    <x v="14"/>
    <x v="0"/>
    <x v="46"/>
    <n v="2682"/>
    <x v="1"/>
  </r>
  <r>
    <x v="14"/>
    <x v="0"/>
    <x v="18"/>
    <n v="1"/>
    <x v="0"/>
  </r>
  <r>
    <x v="14"/>
    <x v="0"/>
    <x v="60"/>
    <n v="1"/>
    <x v="0"/>
  </r>
  <r>
    <x v="15"/>
    <x v="0"/>
    <x v="129"/>
    <n v="1119"/>
    <x v="1"/>
  </r>
  <r>
    <x v="15"/>
    <x v="0"/>
    <x v="109"/>
    <n v="3"/>
    <x v="0"/>
  </r>
  <r>
    <x v="14"/>
    <x v="0"/>
    <x v="147"/>
    <n v="836"/>
    <x v="1"/>
  </r>
  <r>
    <x v="15"/>
    <x v="0"/>
    <x v="147"/>
    <n v="678"/>
    <x v="1"/>
  </r>
  <r>
    <x v="15"/>
    <x v="0"/>
    <x v="11"/>
    <n v="3"/>
    <x v="0"/>
  </r>
  <r>
    <x v="15"/>
    <x v="0"/>
    <x v="24"/>
    <n v="4"/>
    <x v="0"/>
  </r>
  <r>
    <x v="15"/>
    <x v="0"/>
    <x v="22"/>
    <n v="3572"/>
    <x v="1"/>
  </r>
  <r>
    <x v="15"/>
    <x v="0"/>
    <x v="122"/>
    <n v="3"/>
    <x v="0"/>
  </r>
  <r>
    <x v="14"/>
    <x v="0"/>
    <x v="13"/>
    <n v="3"/>
    <x v="0"/>
  </r>
  <r>
    <x v="14"/>
    <x v="0"/>
    <x v="131"/>
    <n v="2879"/>
    <x v="1"/>
  </r>
  <r>
    <x v="15"/>
    <x v="0"/>
    <x v="225"/>
    <n v="1"/>
    <x v="0"/>
  </r>
  <r>
    <x v="15"/>
    <x v="0"/>
    <x v="145"/>
    <n v="1"/>
    <x v="0"/>
  </r>
  <r>
    <x v="14"/>
    <x v="0"/>
    <x v="184"/>
    <n v="1971"/>
    <x v="1"/>
  </r>
  <r>
    <x v="14"/>
    <x v="0"/>
    <x v="7"/>
    <n v="3027"/>
    <x v="1"/>
  </r>
  <r>
    <x v="15"/>
    <x v="0"/>
    <x v="220"/>
    <n v="4237"/>
    <x v="1"/>
  </r>
  <r>
    <x v="14"/>
    <x v="0"/>
    <x v="142"/>
    <n v="2284"/>
    <x v="1"/>
  </r>
  <r>
    <x v="15"/>
    <x v="0"/>
    <x v="146"/>
    <n v="3087"/>
    <x v="1"/>
  </r>
  <r>
    <x v="14"/>
    <x v="0"/>
    <x v="104"/>
    <n v="3967"/>
    <x v="1"/>
  </r>
  <r>
    <x v="14"/>
    <x v="0"/>
    <x v="16"/>
    <n v="5"/>
    <x v="0"/>
  </r>
  <r>
    <x v="14"/>
    <x v="0"/>
    <x v="108"/>
    <n v="524"/>
    <x v="1"/>
  </r>
  <r>
    <x v="15"/>
    <x v="0"/>
    <x v="104"/>
    <n v="14"/>
    <x v="0"/>
  </r>
  <r>
    <x v="14"/>
    <x v="0"/>
    <x v="143"/>
    <n v="13"/>
    <x v="0"/>
  </r>
  <r>
    <x v="15"/>
    <x v="0"/>
    <x v="99"/>
    <n v="2627"/>
    <x v="1"/>
  </r>
  <r>
    <x v="15"/>
    <x v="0"/>
    <x v="218"/>
    <n v="1"/>
    <x v="0"/>
  </r>
  <r>
    <x v="15"/>
    <x v="0"/>
    <x v="182"/>
    <n v="2406"/>
    <x v="1"/>
  </r>
  <r>
    <x v="14"/>
    <x v="0"/>
    <x v="49"/>
    <n v="2"/>
    <x v="0"/>
  </r>
  <r>
    <x v="14"/>
    <x v="0"/>
    <x v="135"/>
    <n v="2108"/>
    <x v="1"/>
  </r>
  <r>
    <x v="14"/>
    <x v="0"/>
    <x v="120"/>
    <n v="712"/>
    <x v="1"/>
  </r>
  <r>
    <x v="15"/>
    <x v="0"/>
    <x v="150"/>
    <n v="2953"/>
    <x v="1"/>
  </r>
  <r>
    <x v="14"/>
    <x v="0"/>
    <x v="217"/>
    <n v="1"/>
    <x v="0"/>
  </r>
  <r>
    <x v="15"/>
    <x v="0"/>
    <x v="140"/>
    <n v="2656"/>
    <x v="1"/>
  </r>
  <r>
    <x v="14"/>
    <x v="0"/>
    <x v="185"/>
    <n v="1739"/>
    <x v="1"/>
  </r>
  <r>
    <x v="15"/>
    <x v="0"/>
    <x v="137"/>
    <n v="1539"/>
    <x v="1"/>
  </r>
  <r>
    <x v="14"/>
    <x v="0"/>
    <x v="53"/>
    <n v="62"/>
    <x v="0"/>
  </r>
  <r>
    <x v="15"/>
    <x v="0"/>
    <x v="95"/>
    <n v="3223"/>
    <x v="1"/>
  </r>
  <r>
    <x v="14"/>
    <x v="0"/>
    <x v="77"/>
    <n v="5"/>
    <x v="0"/>
  </r>
  <r>
    <x v="14"/>
    <x v="0"/>
    <x v="211"/>
    <n v="1"/>
    <x v="0"/>
  </r>
  <r>
    <x v="15"/>
    <x v="0"/>
    <x v="123"/>
    <n v="2345"/>
    <x v="1"/>
  </r>
  <r>
    <x v="14"/>
    <x v="0"/>
    <x v="170"/>
    <n v="2515"/>
    <x v="1"/>
  </r>
  <r>
    <x v="15"/>
    <x v="0"/>
    <x v="121"/>
    <n v="2457"/>
    <x v="1"/>
  </r>
  <r>
    <x v="14"/>
    <x v="0"/>
    <x v="70"/>
    <n v="20"/>
    <x v="0"/>
  </r>
  <r>
    <x v="14"/>
    <x v="0"/>
    <x v="64"/>
    <n v="1985"/>
    <x v="1"/>
  </r>
  <r>
    <x v="15"/>
    <x v="0"/>
    <x v="190"/>
    <n v="1758"/>
    <x v="1"/>
  </r>
  <r>
    <x v="15"/>
    <x v="0"/>
    <x v="132"/>
    <n v="1"/>
    <x v="0"/>
  </r>
  <r>
    <x v="15"/>
    <x v="0"/>
    <x v="15"/>
    <n v="1"/>
    <x v="0"/>
  </r>
  <r>
    <x v="15"/>
    <x v="0"/>
    <x v="111"/>
    <n v="2472"/>
    <x v="1"/>
  </r>
  <r>
    <x v="14"/>
    <x v="0"/>
    <x v="127"/>
    <n v="2598"/>
    <x v="1"/>
  </r>
  <r>
    <x v="14"/>
    <x v="0"/>
    <x v="80"/>
    <n v="30"/>
    <x v="0"/>
  </r>
  <r>
    <x v="14"/>
    <x v="0"/>
    <x v="67"/>
    <n v="1"/>
    <x v="0"/>
  </r>
  <r>
    <x v="15"/>
    <x v="0"/>
    <x v="103"/>
    <n v="11"/>
    <x v="0"/>
  </r>
  <r>
    <x v="15"/>
    <x v="0"/>
    <x v="114"/>
    <n v="103"/>
    <x v="1"/>
  </r>
  <r>
    <x v="15"/>
    <x v="0"/>
    <x v="181"/>
    <n v="731"/>
    <x v="1"/>
  </r>
  <r>
    <x v="14"/>
    <x v="0"/>
    <x v="119"/>
    <n v="7"/>
    <x v="0"/>
  </r>
  <r>
    <x v="14"/>
    <x v="0"/>
    <x v="82"/>
    <n v="3426"/>
    <x v="1"/>
  </r>
  <r>
    <x v="14"/>
    <x v="0"/>
    <x v="34"/>
    <n v="2"/>
    <x v="0"/>
  </r>
  <r>
    <x v="14"/>
    <x v="0"/>
    <x v="159"/>
    <n v="1"/>
    <x v="0"/>
  </r>
  <r>
    <x v="15"/>
    <x v="0"/>
    <x v="139"/>
    <n v="3059"/>
    <x v="1"/>
  </r>
  <r>
    <x v="14"/>
    <x v="0"/>
    <x v="149"/>
    <n v="2223"/>
    <x v="1"/>
  </r>
  <r>
    <x v="14"/>
    <x v="0"/>
    <x v="164"/>
    <n v="92"/>
    <x v="0"/>
  </r>
  <r>
    <x v="14"/>
    <x v="0"/>
    <x v="8"/>
    <n v="3101"/>
    <x v="1"/>
  </r>
  <r>
    <x v="15"/>
    <x v="0"/>
    <x v="85"/>
    <n v="353"/>
    <x v="1"/>
  </r>
  <r>
    <x v="15"/>
    <x v="0"/>
    <x v="2"/>
    <n v="2858"/>
    <x v="1"/>
  </r>
  <r>
    <x v="14"/>
    <x v="0"/>
    <x v="157"/>
    <n v="1"/>
    <x v="0"/>
  </r>
  <r>
    <x v="14"/>
    <x v="0"/>
    <x v="22"/>
    <n v="3303"/>
    <x v="1"/>
  </r>
  <r>
    <x v="14"/>
    <x v="0"/>
    <x v="33"/>
    <n v="50"/>
    <x v="0"/>
  </r>
  <r>
    <x v="14"/>
    <x v="0"/>
    <x v="99"/>
    <n v="2258"/>
    <x v="1"/>
  </r>
  <r>
    <x v="14"/>
    <x v="0"/>
    <x v="162"/>
    <n v="1"/>
    <x v="0"/>
  </r>
  <r>
    <x v="14"/>
    <x v="0"/>
    <x v="125"/>
    <n v="122"/>
    <x v="1"/>
  </r>
  <r>
    <x v="15"/>
    <x v="0"/>
    <x v="169"/>
    <n v="2"/>
    <x v="0"/>
  </r>
  <r>
    <x v="14"/>
    <x v="0"/>
    <x v="48"/>
    <n v="6"/>
    <x v="0"/>
  </r>
  <r>
    <x v="15"/>
    <x v="0"/>
    <x v="105"/>
    <n v="576"/>
    <x v="1"/>
  </r>
  <r>
    <x v="15"/>
    <x v="0"/>
    <x v="221"/>
    <n v="1"/>
    <x v="0"/>
  </r>
  <r>
    <x v="14"/>
    <x v="0"/>
    <x v="23"/>
    <n v="3"/>
    <x v="0"/>
  </r>
  <r>
    <x v="14"/>
    <x v="0"/>
    <x v="39"/>
    <n v="1"/>
    <x v="0"/>
  </r>
  <r>
    <x v="14"/>
    <x v="0"/>
    <x v="51"/>
    <n v="2148"/>
    <x v="1"/>
  </r>
  <r>
    <x v="15"/>
    <x v="0"/>
    <x v="116"/>
    <n v="2151"/>
    <x v="1"/>
  </r>
  <r>
    <x v="15"/>
    <x v="0"/>
    <x v="170"/>
    <n v="3090"/>
    <x v="1"/>
  </r>
  <r>
    <x v="14"/>
    <x v="0"/>
    <x v="180"/>
    <n v="2"/>
    <x v="0"/>
  </r>
  <r>
    <x v="15"/>
    <x v="0"/>
    <x v="38"/>
    <n v="3452"/>
    <x v="1"/>
  </r>
  <r>
    <x v="15"/>
    <x v="0"/>
    <x v="117"/>
    <n v="2500"/>
    <x v="1"/>
  </r>
  <r>
    <x v="14"/>
    <x v="0"/>
    <x v="24"/>
    <n v="4"/>
    <x v="0"/>
  </r>
  <r>
    <x v="14"/>
    <x v="0"/>
    <x v="86"/>
    <n v="2365"/>
    <x v="1"/>
  </r>
  <r>
    <x v="15"/>
    <x v="0"/>
    <x v="35"/>
    <n v="33"/>
    <x v="0"/>
  </r>
  <r>
    <x v="15"/>
    <x v="0"/>
    <x v="75"/>
    <n v="138"/>
    <x v="1"/>
  </r>
  <r>
    <x v="15"/>
    <x v="0"/>
    <x v="47"/>
    <n v="372"/>
    <x v="1"/>
  </r>
  <r>
    <x v="14"/>
    <x v="0"/>
    <x v="107"/>
    <n v="8"/>
    <x v="0"/>
  </r>
  <r>
    <x v="14"/>
    <x v="0"/>
    <x v="128"/>
    <n v="99"/>
    <x v="0"/>
  </r>
  <r>
    <x v="14"/>
    <x v="0"/>
    <x v="47"/>
    <n v="300"/>
    <x v="1"/>
  </r>
  <r>
    <x v="15"/>
    <x v="0"/>
    <x v="13"/>
    <n v="1"/>
    <x v="0"/>
  </r>
  <r>
    <x v="14"/>
    <x v="0"/>
    <x v="75"/>
    <n v="1019"/>
    <x v="1"/>
  </r>
  <r>
    <x v="14"/>
    <x v="0"/>
    <x v="182"/>
    <n v="2251"/>
    <x v="1"/>
  </r>
  <r>
    <x v="14"/>
    <x v="0"/>
    <x v="133"/>
    <n v="2825"/>
    <x v="1"/>
  </r>
  <r>
    <x v="14"/>
    <x v="0"/>
    <x v="35"/>
    <n v="104"/>
    <x v="1"/>
  </r>
  <r>
    <x v="15"/>
    <x v="0"/>
    <x v="18"/>
    <n v="1"/>
    <x v="0"/>
  </r>
  <r>
    <x v="14"/>
    <x v="0"/>
    <x v="153"/>
    <n v="2207"/>
    <x v="1"/>
  </r>
  <r>
    <x v="14"/>
    <x v="0"/>
    <x v="189"/>
    <n v="2768"/>
    <x v="1"/>
  </r>
  <r>
    <x v="15"/>
    <x v="0"/>
    <x v="228"/>
    <n v="1"/>
    <x v="0"/>
  </r>
  <r>
    <x v="14"/>
    <x v="0"/>
    <x v="85"/>
    <n v="649"/>
    <x v="1"/>
  </r>
  <r>
    <x v="14"/>
    <x v="0"/>
    <x v="68"/>
    <n v="4"/>
    <x v="0"/>
  </r>
  <r>
    <x v="14"/>
    <x v="0"/>
    <x v="25"/>
    <n v="4"/>
    <x v="0"/>
  </r>
  <r>
    <x v="15"/>
    <x v="0"/>
    <x v="45"/>
    <n v="9"/>
    <x v="0"/>
  </r>
  <r>
    <x v="15"/>
    <x v="0"/>
    <x v="125"/>
    <n v="21"/>
    <x v="0"/>
  </r>
  <r>
    <x v="15"/>
    <x v="0"/>
    <x v="124"/>
    <n v="2797"/>
    <x v="1"/>
  </r>
  <r>
    <x v="15"/>
    <x v="0"/>
    <x v="80"/>
    <n v="1"/>
    <x v="0"/>
  </r>
  <r>
    <x v="15"/>
    <x v="0"/>
    <x v="70"/>
    <n v="7"/>
    <x v="0"/>
  </r>
  <r>
    <x v="15"/>
    <x v="0"/>
    <x v="106"/>
    <n v="2062"/>
    <x v="1"/>
  </r>
  <r>
    <x v="14"/>
    <x v="0"/>
    <x v="140"/>
    <n v="3341"/>
    <x v="1"/>
  </r>
  <r>
    <x v="14"/>
    <x v="0"/>
    <x v="40"/>
    <n v="2"/>
    <x v="0"/>
  </r>
  <r>
    <x v="15"/>
    <x v="0"/>
    <x v="141"/>
    <n v="1859"/>
    <x v="1"/>
  </r>
  <r>
    <x v="15"/>
    <x v="0"/>
    <x v="54"/>
    <n v="6"/>
    <x v="0"/>
  </r>
  <r>
    <x v="15"/>
    <x v="0"/>
    <x v="93"/>
    <n v="116"/>
    <x v="1"/>
  </r>
  <r>
    <x v="15"/>
    <x v="0"/>
    <x v="46"/>
    <n v="2600"/>
    <x v="1"/>
  </r>
  <r>
    <x v="14"/>
    <x v="0"/>
    <x v="65"/>
    <n v="95"/>
    <x v="0"/>
  </r>
  <r>
    <x v="14"/>
    <x v="0"/>
    <x v="137"/>
    <n v="1359"/>
    <x v="1"/>
  </r>
  <r>
    <x v="15"/>
    <x v="0"/>
    <x v="231"/>
    <n v="2"/>
    <x v="0"/>
  </r>
  <r>
    <x v="14"/>
    <x v="0"/>
    <x v="215"/>
    <n v="2"/>
    <x v="0"/>
  </r>
  <r>
    <x v="14"/>
    <x v="0"/>
    <x v="52"/>
    <n v="2443"/>
    <x v="1"/>
  </r>
  <r>
    <x v="15"/>
    <x v="0"/>
    <x v="82"/>
    <n v="2"/>
    <x v="0"/>
  </r>
  <r>
    <x v="14"/>
    <x v="0"/>
    <x v="56"/>
    <n v="2445"/>
    <x v="1"/>
  </r>
  <r>
    <x v="14"/>
    <x v="0"/>
    <x v="55"/>
    <n v="8"/>
    <x v="0"/>
  </r>
  <r>
    <x v="14"/>
    <x v="0"/>
    <x v="209"/>
    <n v="1"/>
    <x v="0"/>
  </r>
  <r>
    <x v="14"/>
    <x v="0"/>
    <x v="161"/>
    <n v="2"/>
    <x v="0"/>
  </r>
  <r>
    <x v="15"/>
    <x v="0"/>
    <x v="232"/>
    <n v="2312"/>
    <x v="1"/>
  </r>
  <r>
    <x v="14"/>
    <x v="0"/>
    <x v="163"/>
    <n v="6"/>
    <x v="0"/>
  </r>
  <r>
    <x v="15"/>
    <x v="0"/>
    <x v="214"/>
    <n v="2"/>
    <x v="0"/>
  </r>
  <r>
    <x v="15"/>
    <x v="0"/>
    <x v="199"/>
    <n v="3405"/>
    <x v="1"/>
  </r>
  <r>
    <x v="15"/>
    <x v="0"/>
    <x v="152"/>
    <n v="3243"/>
    <x v="1"/>
  </r>
  <r>
    <x v="15"/>
    <x v="0"/>
    <x v="134"/>
    <n v="677"/>
    <x v="1"/>
  </r>
  <r>
    <x v="15"/>
    <x v="0"/>
    <x v="74"/>
    <n v="2470"/>
    <x v="1"/>
  </r>
  <r>
    <x v="15"/>
    <x v="0"/>
    <x v="53"/>
    <n v="110"/>
    <x v="1"/>
  </r>
  <r>
    <x v="14"/>
    <x v="0"/>
    <x v="72"/>
    <n v="2780"/>
    <x v="1"/>
  </r>
  <r>
    <x v="14"/>
    <x v="0"/>
    <x v="132"/>
    <n v="3"/>
    <x v="0"/>
  </r>
  <r>
    <x v="15"/>
    <x v="0"/>
    <x v="37"/>
    <n v="287"/>
    <x v="1"/>
  </r>
  <r>
    <x v="14"/>
    <x v="0"/>
    <x v="15"/>
    <n v="5"/>
    <x v="0"/>
  </r>
  <r>
    <x v="15"/>
    <x v="0"/>
    <x v="118"/>
    <n v="2600"/>
    <x v="1"/>
  </r>
  <r>
    <x v="15"/>
    <x v="0"/>
    <x v="110"/>
    <n v="2"/>
    <x v="0"/>
  </r>
  <r>
    <x v="15"/>
    <x v="0"/>
    <x v="102"/>
    <n v="2792"/>
    <x v="1"/>
  </r>
  <r>
    <x v="15"/>
    <x v="0"/>
    <x v="55"/>
    <n v="1"/>
    <x v="0"/>
  </r>
  <r>
    <x v="15"/>
    <x v="0"/>
    <x v="1"/>
    <n v="27"/>
    <x v="0"/>
  </r>
  <r>
    <x v="14"/>
    <x v="0"/>
    <x v="139"/>
    <n v="2411"/>
    <x v="1"/>
  </r>
  <r>
    <x v="15"/>
    <x v="0"/>
    <x v="120"/>
    <n v="64"/>
    <x v="0"/>
  </r>
  <r>
    <x v="14"/>
    <x v="0"/>
    <x v="45"/>
    <n v="87"/>
    <x v="0"/>
  </r>
  <r>
    <x v="15"/>
    <x v="0"/>
    <x v="186"/>
    <n v="1701"/>
    <x v="1"/>
  </r>
  <r>
    <x v="14"/>
    <x v="0"/>
    <x v="136"/>
    <n v="2555"/>
    <x v="1"/>
  </r>
  <r>
    <x v="14"/>
    <x v="0"/>
    <x v="146"/>
    <n v="2445"/>
    <x v="1"/>
  </r>
  <r>
    <x v="14"/>
    <x v="0"/>
    <x v="73"/>
    <n v="585"/>
    <x v="1"/>
  </r>
  <r>
    <x v="14"/>
    <x v="0"/>
    <x v="118"/>
    <n v="2719"/>
    <x v="1"/>
  </r>
  <r>
    <x v="15"/>
    <x v="0"/>
    <x v="21"/>
    <n v="2934"/>
    <x v="1"/>
  </r>
  <r>
    <x v="15"/>
    <x v="0"/>
    <x v="185"/>
    <n v="3286"/>
    <x v="1"/>
  </r>
  <r>
    <x v="14"/>
    <x v="0"/>
    <x v="32"/>
    <n v="12212"/>
    <x v="1"/>
  </r>
  <r>
    <x v="15"/>
    <x v="0"/>
    <x v="96"/>
    <n v="62"/>
    <x v="0"/>
  </r>
  <r>
    <x v="15"/>
    <x v="0"/>
    <x v="171"/>
    <n v="2192"/>
    <x v="1"/>
  </r>
  <r>
    <x v="14"/>
    <x v="0"/>
    <x v="102"/>
    <n v="2215"/>
    <x v="1"/>
  </r>
  <r>
    <x v="14"/>
    <x v="0"/>
    <x v="203"/>
    <n v="1"/>
    <x v="0"/>
  </r>
  <r>
    <x v="15"/>
    <x v="0"/>
    <x v="135"/>
    <n v="2088"/>
    <x v="1"/>
  </r>
  <r>
    <x v="14"/>
    <x v="0"/>
    <x v="129"/>
    <n v="2476"/>
    <x v="1"/>
  </r>
  <r>
    <x v="14"/>
    <x v="0"/>
    <x v="105"/>
    <n v="2384"/>
    <x v="1"/>
  </r>
  <r>
    <x v="14"/>
    <x v="0"/>
    <x v="202"/>
    <n v="1"/>
    <x v="0"/>
  </r>
  <r>
    <x v="15"/>
    <x v="0"/>
    <x v="31"/>
    <n v="3062"/>
    <x v="1"/>
  </r>
  <r>
    <x v="15"/>
    <x v="0"/>
    <x v="9"/>
    <n v="3646"/>
    <x v="1"/>
  </r>
  <r>
    <x v="14"/>
    <x v="0"/>
    <x v="109"/>
    <n v="10"/>
    <x v="0"/>
  </r>
  <r>
    <x v="14"/>
    <x v="0"/>
    <x v="106"/>
    <n v="2103"/>
    <x v="1"/>
  </r>
  <r>
    <x v="14"/>
    <x v="0"/>
    <x v="9"/>
    <n v="2704"/>
    <x v="1"/>
  </r>
  <r>
    <x v="15"/>
    <x v="0"/>
    <x v="148"/>
    <n v="3350"/>
    <x v="1"/>
  </r>
  <r>
    <x v="14"/>
    <x v="0"/>
    <x v="74"/>
    <n v="2159"/>
    <x v="1"/>
  </r>
  <r>
    <x v="15"/>
    <x v="0"/>
    <x v="144"/>
    <n v="2970"/>
    <x v="1"/>
  </r>
  <r>
    <x v="14"/>
    <x v="0"/>
    <x v="123"/>
    <n v="3235"/>
    <x v="1"/>
  </r>
  <r>
    <x v="15"/>
    <x v="0"/>
    <x v="127"/>
    <n v="3762"/>
    <x v="1"/>
  </r>
  <r>
    <x v="14"/>
    <x v="0"/>
    <x v="121"/>
    <n v="2419"/>
    <x v="1"/>
  </r>
  <r>
    <x v="14"/>
    <x v="0"/>
    <x v="4"/>
    <n v="3"/>
    <x v="0"/>
  </r>
  <r>
    <x v="15"/>
    <x v="0"/>
    <x v="33"/>
    <n v="127"/>
    <x v="1"/>
  </r>
  <r>
    <x v="14"/>
    <x v="0"/>
    <x v="204"/>
    <n v="1"/>
    <x v="0"/>
  </r>
  <r>
    <x v="15"/>
    <x v="0"/>
    <x v="212"/>
    <n v="3"/>
    <x v="0"/>
  </r>
  <r>
    <x v="15"/>
    <x v="0"/>
    <x v="205"/>
    <n v="2"/>
    <x v="0"/>
  </r>
  <r>
    <x v="14"/>
    <x v="0"/>
    <x v="38"/>
    <n v="3216"/>
    <x v="1"/>
  </r>
  <r>
    <x v="14"/>
    <x v="0"/>
    <x v="76"/>
    <n v="2"/>
    <x v="0"/>
  </r>
  <r>
    <x v="15"/>
    <x v="0"/>
    <x v="76"/>
    <n v="1"/>
    <x v="0"/>
  </r>
  <r>
    <x v="15"/>
    <x v="0"/>
    <x v="92"/>
    <n v="3"/>
    <x v="0"/>
  </r>
  <r>
    <x v="15"/>
    <x v="0"/>
    <x v="58"/>
    <n v="3202"/>
    <x v="1"/>
  </r>
  <r>
    <x v="15"/>
    <x v="0"/>
    <x v="227"/>
    <n v="1"/>
    <x v="0"/>
  </r>
  <r>
    <x v="14"/>
    <x v="0"/>
    <x v="92"/>
    <n v="8"/>
    <x v="0"/>
  </r>
  <r>
    <x v="14"/>
    <x v="0"/>
    <x v="134"/>
    <n v="1130"/>
    <x v="1"/>
  </r>
  <r>
    <x v="14"/>
    <x v="0"/>
    <x v="91"/>
    <n v="3804"/>
    <x v="1"/>
  </r>
  <r>
    <x v="14"/>
    <x v="0"/>
    <x v="58"/>
    <n v="2381"/>
    <x v="1"/>
  </r>
  <r>
    <x v="14"/>
    <x v="0"/>
    <x v="183"/>
    <n v="93"/>
    <x v="0"/>
  </r>
  <r>
    <x v="15"/>
    <x v="0"/>
    <x v="25"/>
    <n v="4"/>
    <x v="0"/>
  </r>
  <r>
    <x v="15"/>
    <x v="0"/>
    <x v="136"/>
    <n v="3378"/>
    <x v="1"/>
  </r>
  <r>
    <x v="14"/>
    <x v="0"/>
    <x v="21"/>
    <n v="2644"/>
    <x v="1"/>
  </r>
  <r>
    <x v="14"/>
    <x v="0"/>
    <x v="171"/>
    <n v="2164"/>
    <x v="1"/>
  </r>
  <r>
    <x v="15"/>
    <x v="0"/>
    <x v="149"/>
    <n v="2938"/>
    <x v="1"/>
  </r>
  <r>
    <x v="15"/>
    <x v="0"/>
    <x v="14"/>
    <n v="2"/>
    <x v="0"/>
  </r>
  <r>
    <x v="14"/>
    <x v="0"/>
    <x v="169"/>
    <n v="1"/>
    <x v="0"/>
  </r>
  <r>
    <x v="15"/>
    <x v="0"/>
    <x v="94"/>
    <n v="294"/>
    <x v="1"/>
  </r>
  <r>
    <x v="14"/>
    <x v="0"/>
    <x v="190"/>
    <n v="77"/>
    <x v="0"/>
  </r>
  <r>
    <x v="14"/>
    <x v="0"/>
    <x v="197"/>
    <n v="2214"/>
    <x v="1"/>
  </r>
  <r>
    <x v="15"/>
    <x v="0"/>
    <x v="84"/>
    <n v="3"/>
    <x v="0"/>
  </r>
  <r>
    <x v="14"/>
    <x v="0"/>
    <x v="17"/>
    <n v="313"/>
    <x v="1"/>
  </r>
  <r>
    <x v="14"/>
    <x v="0"/>
    <x v="84"/>
    <n v="20"/>
    <x v="0"/>
  </r>
  <r>
    <x v="14"/>
    <x v="0"/>
    <x v="205"/>
    <n v="2"/>
    <x v="0"/>
  </r>
  <r>
    <x v="14"/>
    <x v="0"/>
    <x v="191"/>
    <n v="2930"/>
    <x v="1"/>
  </r>
  <r>
    <x v="14"/>
    <x v="0"/>
    <x v="141"/>
    <n v="2108"/>
    <x v="1"/>
  </r>
  <r>
    <x v="14"/>
    <x v="0"/>
    <x v="124"/>
    <n v="2400"/>
    <x v="1"/>
  </r>
  <r>
    <x v="14"/>
    <x v="0"/>
    <x v="145"/>
    <n v="4"/>
    <x v="0"/>
  </r>
  <r>
    <x v="15"/>
    <x v="0"/>
    <x v="79"/>
    <n v="3069"/>
    <x v="1"/>
  </r>
  <r>
    <x v="15"/>
    <x v="0"/>
    <x v="62"/>
    <n v="622"/>
    <x v="1"/>
  </r>
  <r>
    <x v="14"/>
    <x v="0"/>
    <x v="88"/>
    <n v="2573"/>
    <x v="1"/>
  </r>
  <r>
    <x v="14"/>
    <x v="0"/>
    <x v="62"/>
    <n v="2302"/>
    <x v="1"/>
  </r>
  <r>
    <x v="16"/>
    <x v="0"/>
    <x v="117"/>
    <n v="2285"/>
    <x v="1"/>
  </r>
  <r>
    <x v="16"/>
    <x v="0"/>
    <x v="96"/>
    <n v="88"/>
    <x v="0"/>
  </r>
  <r>
    <x v="16"/>
    <x v="0"/>
    <x v="46"/>
    <n v="2720"/>
    <x v="1"/>
  </r>
  <r>
    <x v="17"/>
    <x v="0"/>
    <x v="23"/>
    <n v="1"/>
    <x v="0"/>
  </r>
  <r>
    <x v="17"/>
    <x v="0"/>
    <x v="131"/>
    <n v="3685"/>
    <x v="1"/>
  </r>
  <r>
    <x v="17"/>
    <x v="0"/>
    <x v="31"/>
    <n v="3055"/>
    <x v="1"/>
  </r>
  <r>
    <x v="17"/>
    <x v="0"/>
    <x v="27"/>
    <n v="2470"/>
    <x v="1"/>
  </r>
  <r>
    <x v="16"/>
    <x v="0"/>
    <x v="186"/>
    <n v="89"/>
    <x v="0"/>
  </r>
  <r>
    <x v="16"/>
    <x v="0"/>
    <x v="154"/>
    <n v="2743"/>
    <x v="1"/>
  </r>
  <r>
    <x v="16"/>
    <x v="0"/>
    <x v="1"/>
    <n v="29"/>
    <x v="0"/>
  </r>
  <r>
    <x v="17"/>
    <x v="0"/>
    <x v="113"/>
    <n v="2565"/>
    <x v="1"/>
  </r>
  <r>
    <x v="17"/>
    <x v="0"/>
    <x v="121"/>
    <n v="2423"/>
    <x v="1"/>
  </r>
  <r>
    <x v="16"/>
    <x v="0"/>
    <x v="187"/>
    <n v="69"/>
    <x v="0"/>
  </r>
  <r>
    <x v="16"/>
    <x v="0"/>
    <x v="148"/>
    <n v="2619"/>
    <x v="1"/>
  </r>
  <r>
    <x v="16"/>
    <x v="0"/>
    <x v="84"/>
    <n v="22"/>
    <x v="0"/>
  </r>
  <r>
    <x v="17"/>
    <x v="0"/>
    <x v="220"/>
    <n v="4214"/>
    <x v="1"/>
  </r>
  <r>
    <x v="17"/>
    <x v="0"/>
    <x v="193"/>
    <n v="1560"/>
    <x v="1"/>
  </r>
  <r>
    <x v="17"/>
    <x v="0"/>
    <x v="165"/>
    <n v="1"/>
    <x v="0"/>
  </r>
  <r>
    <x v="16"/>
    <x v="0"/>
    <x v="122"/>
    <n v="17"/>
    <x v="0"/>
  </r>
  <r>
    <x v="16"/>
    <x v="0"/>
    <x v="207"/>
    <n v="13"/>
    <x v="0"/>
  </r>
  <r>
    <x v="16"/>
    <x v="0"/>
    <x v="16"/>
    <n v="5"/>
    <x v="0"/>
  </r>
  <r>
    <x v="16"/>
    <x v="0"/>
    <x v="5"/>
    <n v="1"/>
    <x v="0"/>
  </r>
  <r>
    <x v="16"/>
    <x v="0"/>
    <x v="108"/>
    <n v="523"/>
    <x v="1"/>
  </r>
  <r>
    <x v="16"/>
    <x v="0"/>
    <x v="169"/>
    <n v="1"/>
    <x v="0"/>
  </r>
  <r>
    <x v="16"/>
    <x v="0"/>
    <x v="83"/>
    <n v="3"/>
    <x v="0"/>
  </r>
  <r>
    <x v="17"/>
    <x v="0"/>
    <x v="146"/>
    <n v="3105"/>
    <x v="1"/>
  </r>
  <r>
    <x v="16"/>
    <x v="0"/>
    <x v="53"/>
    <n v="63"/>
    <x v="0"/>
  </r>
  <r>
    <x v="16"/>
    <x v="0"/>
    <x v="23"/>
    <n v="3"/>
    <x v="0"/>
  </r>
  <r>
    <x v="17"/>
    <x v="0"/>
    <x v="32"/>
    <n v="3149"/>
    <x v="1"/>
  </r>
  <r>
    <x v="17"/>
    <x v="0"/>
    <x v="24"/>
    <n v="4"/>
    <x v="0"/>
  </r>
  <r>
    <x v="17"/>
    <x v="0"/>
    <x v="11"/>
    <n v="5"/>
    <x v="0"/>
  </r>
  <r>
    <x v="17"/>
    <x v="0"/>
    <x v="40"/>
    <n v="2"/>
    <x v="0"/>
  </r>
  <r>
    <x v="16"/>
    <x v="0"/>
    <x v="209"/>
    <n v="1"/>
    <x v="0"/>
  </r>
  <r>
    <x v="16"/>
    <x v="0"/>
    <x v="163"/>
    <n v="6"/>
    <x v="0"/>
  </r>
  <r>
    <x v="17"/>
    <x v="0"/>
    <x v="110"/>
    <n v="2"/>
    <x v="0"/>
  </r>
  <r>
    <x v="16"/>
    <x v="0"/>
    <x v="72"/>
    <n v="2802"/>
    <x v="1"/>
  </r>
  <r>
    <x v="16"/>
    <x v="0"/>
    <x v="214"/>
    <n v="1"/>
    <x v="0"/>
  </r>
  <r>
    <x v="17"/>
    <x v="0"/>
    <x v="162"/>
    <n v="2"/>
    <x v="0"/>
  </r>
  <r>
    <x v="17"/>
    <x v="0"/>
    <x v="62"/>
    <n v="616"/>
    <x v="1"/>
  </r>
  <r>
    <x v="17"/>
    <x v="0"/>
    <x v="95"/>
    <n v="3194"/>
    <x v="1"/>
  </r>
  <r>
    <x v="16"/>
    <x v="0"/>
    <x v="138"/>
    <n v="9"/>
    <x v="0"/>
  </r>
  <r>
    <x v="17"/>
    <x v="0"/>
    <x v="207"/>
    <n v="1"/>
    <x v="0"/>
  </r>
  <r>
    <x v="17"/>
    <x v="0"/>
    <x v="233"/>
    <n v="1"/>
    <x v="0"/>
  </r>
  <r>
    <x v="16"/>
    <x v="0"/>
    <x v="89"/>
    <n v="2521"/>
    <x v="1"/>
  </r>
  <r>
    <x v="16"/>
    <x v="0"/>
    <x v="184"/>
    <n v="1998"/>
    <x v="1"/>
  </r>
  <r>
    <x v="16"/>
    <x v="0"/>
    <x v="13"/>
    <n v="3"/>
    <x v="0"/>
  </r>
  <r>
    <x v="16"/>
    <x v="0"/>
    <x v="67"/>
    <n v="1"/>
    <x v="0"/>
  </r>
  <r>
    <x v="17"/>
    <x v="0"/>
    <x v="126"/>
    <n v="61"/>
    <x v="0"/>
  </r>
  <r>
    <x v="17"/>
    <x v="0"/>
    <x v="141"/>
    <n v="1882"/>
    <x v="1"/>
  </r>
  <r>
    <x v="17"/>
    <x v="0"/>
    <x v="78"/>
    <n v="4"/>
    <x v="0"/>
  </r>
  <r>
    <x v="16"/>
    <x v="0"/>
    <x v="133"/>
    <n v="2853"/>
    <x v="1"/>
  </r>
  <r>
    <x v="17"/>
    <x v="0"/>
    <x v="33"/>
    <n v="167"/>
    <x v="1"/>
  </r>
  <r>
    <x v="17"/>
    <x v="0"/>
    <x v="52"/>
    <n v="2676"/>
    <x v="1"/>
  </r>
  <r>
    <x v="16"/>
    <x v="0"/>
    <x v="95"/>
    <n v="2497"/>
    <x v="1"/>
  </r>
  <r>
    <x v="17"/>
    <x v="0"/>
    <x v="133"/>
    <n v="687"/>
    <x v="1"/>
  </r>
  <r>
    <x v="16"/>
    <x v="0"/>
    <x v="125"/>
    <n v="119"/>
    <x v="1"/>
  </r>
  <r>
    <x v="17"/>
    <x v="0"/>
    <x v="47"/>
    <n v="375"/>
    <x v="1"/>
  </r>
  <r>
    <x v="16"/>
    <x v="0"/>
    <x v="118"/>
    <n v="2737"/>
    <x v="1"/>
  </r>
  <r>
    <x v="17"/>
    <x v="0"/>
    <x v="65"/>
    <n v="436"/>
    <x v="1"/>
  </r>
  <r>
    <x v="16"/>
    <x v="0"/>
    <x v="60"/>
    <n v="1"/>
    <x v="0"/>
  </r>
  <r>
    <x v="16"/>
    <x v="0"/>
    <x v="77"/>
    <n v="5"/>
    <x v="0"/>
  </r>
  <r>
    <x v="16"/>
    <x v="0"/>
    <x v="197"/>
    <n v="2284"/>
    <x v="1"/>
  </r>
  <r>
    <x v="16"/>
    <x v="0"/>
    <x v="37"/>
    <n v="798"/>
    <x v="1"/>
  </r>
  <r>
    <x v="16"/>
    <x v="0"/>
    <x v="87"/>
    <n v="29"/>
    <x v="0"/>
  </r>
  <r>
    <x v="16"/>
    <x v="0"/>
    <x v="40"/>
    <n v="2"/>
    <x v="0"/>
  </r>
  <r>
    <x v="17"/>
    <x v="0"/>
    <x v="92"/>
    <n v="3"/>
    <x v="0"/>
  </r>
  <r>
    <x v="16"/>
    <x v="0"/>
    <x v="55"/>
    <n v="7"/>
    <x v="0"/>
  </r>
  <r>
    <x v="16"/>
    <x v="0"/>
    <x v="189"/>
    <n v="2788"/>
    <x v="1"/>
  </r>
  <r>
    <x v="16"/>
    <x v="0"/>
    <x v="139"/>
    <n v="2428"/>
    <x v="1"/>
  </r>
  <r>
    <x v="17"/>
    <x v="0"/>
    <x v="232"/>
    <n v="2286"/>
    <x v="1"/>
  </r>
  <r>
    <x v="17"/>
    <x v="0"/>
    <x v="26"/>
    <n v="2447"/>
    <x v="1"/>
  </r>
  <r>
    <x v="16"/>
    <x v="0"/>
    <x v="48"/>
    <n v="10"/>
    <x v="0"/>
  </r>
  <r>
    <x v="17"/>
    <x v="0"/>
    <x v="164"/>
    <n v="66"/>
    <x v="0"/>
  </r>
  <r>
    <x v="16"/>
    <x v="0"/>
    <x v="12"/>
    <n v="44"/>
    <x v="0"/>
  </r>
  <r>
    <x v="16"/>
    <x v="0"/>
    <x v="64"/>
    <n v="1952"/>
    <x v="1"/>
  </r>
  <r>
    <x v="17"/>
    <x v="0"/>
    <x v="137"/>
    <n v="1546"/>
    <x v="1"/>
  </r>
  <r>
    <x v="17"/>
    <x v="0"/>
    <x v="139"/>
    <n v="3063"/>
    <x v="1"/>
  </r>
  <r>
    <x v="17"/>
    <x v="0"/>
    <x v="179"/>
    <n v="2"/>
    <x v="0"/>
  </r>
  <r>
    <x v="17"/>
    <x v="0"/>
    <x v="170"/>
    <n v="3118"/>
    <x v="1"/>
  </r>
  <r>
    <x v="17"/>
    <x v="0"/>
    <x v="53"/>
    <n v="115"/>
    <x v="1"/>
  </r>
  <r>
    <x v="16"/>
    <x v="0"/>
    <x v="24"/>
    <n v="4"/>
    <x v="0"/>
  </r>
  <r>
    <x v="17"/>
    <x v="0"/>
    <x v="183"/>
    <n v="3572"/>
    <x v="1"/>
  </r>
  <r>
    <x v="16"/>
    <x v="0"/>
    <x v="8"/>
    <n v="3098"/>
    <x v="1"/>
  </r>
  <r>
    <x v="17"/>
    <x v="0"/>
    <x v="150"/>
    <n v="2980"/>
    <x v="1"/>
  </r>
  <r>
    <x v="17"/>
    <x v="0"/>
    <x v="116"/>
    <n v="2151"/>
    <x v="1"/>
  </r>
  <r>
    <x v="17"/>
    <x v="0"/>
    <x v="159"/>
    <n v="1"/>
    <x v="0"/>
  </r>
  <r>
    <x v="17"/>
    <x v="0"/>
    <x v="196"/>
    <n v="1"/>
    <x v="0"/>
  </r>
  <r>
    <x v="17"/>
    <x v="0"/>
    <x v="87"/>
    <n v="2834"/>
    <x v="1"/>
  </r>
  <r>
    <x v="16"/>
    <x v="0"/>
    <x v="107"/>
    <n v="8"/>
    <x v="0"/>
  </r>
  <r>
    <x v="17"/>
    <x v="0"/>
    <x v="128"/>
    <n v="3"/>
    <x v="0"/>
  </r>
  <r>
    <x v="16"/>
    <x v="0"/>
    <x v="141"/>
    <n v="2178"/>
    <x v="1"/>
  </r>
  <r>
    <x v="16"/>
    <x v="0"/>
    <x v="217"/>
    <n v="1"/>
    <x v="0"/>
  </r>
  <r>
    <x v="17"/>
    <x v="0"/>
    <x v="37"/>
    <n v="287"/>
    <x v="1"/>
  </r>
  <r>
    <x v="16"/>
    <x v="0"/>
    <x v="81"/>
    <n v="5"/>
    <x v="0"/>
  </r>
  <r>
    <x v="16"/>
    <x v="0"/>
    <x v="145"/>
    <n v="4"/>
    <x v="0"/>
  </r>
  <r>
    <x v="17"/>
    <x v="0"/>
    <x v="186"/>
    <n v="1695"/>
    <x v="1"/>
  </r>
  <r>
    <x v="16"/>
    <x v="0"/>
    <x v="49"/>
    <n v="2"/>
    <x v="0"/>
  </r>
  <r>
    <x v="16"/>
    <x v="0"/>
    <x v="211"/>
    <n v="1"/>
    <x v="0"/>
  </r>
  <r>
    <x v="16"/>
    <x v="0"/>
    <x v="33"/>
    <n v="81"/>
    <x v="0"/>
  </r>
  <r>
    <x v="17"/>
    <x v="0"/>
    <x v="63"/>
    <n v="691"/>
    <x v="1"/>
  </r>
  <r>
    <x v="16"/>
    <x v="0"/>
    <x v="167"/>
    <n v="2233"/>
    <x v="1"/>
  </r>
  <r>
    <x v="17"/>
    <x v="0"/>
    <x v="167"/>
    <n v="2878"/>
    <x v="1"/>
  </r>
  <r>
    <x v="17"/>
    <x v="0"/>
    <x v="83"/>
    <n v="3"/>
    <x v="0"/>
  </r>
  <r>
    <x v="16"/>
    <x v="0"/>
    <x v="161"/>
    <n v="2"/>
    <x v="0"/>
  </r>
  <r>
    <x v="17"/>
    <x v="0"/>
    <x v="103"/>
    <n v="22"/>
    <x v="0"/>
  </r>
  <r>
    <x v="17"/>
    <x v="0"/>
    <x v="142"/>
    <n v="2406"/>
    <x v="1"/>
  </r>
  <r>
    <x v="16"/>
    <x v="0"/>
    <x v="164"/>
    <n v="165"/>
    <x v="1"/>
  </r>
  <r>
    <x v="16"/>
    <x v="0"/>
    <x v="215"/>
    <n v="2"/>
    <x v="0"/>
  </r>
  <r>
    <x v="16"/>
    <x v="0"/>
    <x v="185"/>
    <n v="1769"/>
    <x v="1"/>
  </r>
  <r>
    <x v="16"/>
    <x v="0"/>
    <x v="85"/>
    <n v="652"/>
    <x v="1"/>
  </r>
  <r>
    <x v="16"/>
    <x v="0"/>
    <x v="34"/>
    <n v="2"/>
    <x v="0"/>
  </r>
  <r>
    <x v="17"/>
    <x v="0"/>
    <x v="175"/>
    <n v="1"/>
    <x v="0"/>
  </r>
  <r>
    <x v="16"/>
    <x v="0"/>
    <x v="137"/>
    <n v="1365"/>
    <x v="1"/>
  </r>
  <r>
    <x v="17"/>
    <x v="0"/>
    <x v="199"/>
    <n v="3397"/>
    <x v="1"/>
  </r>
  <r>
    <x v="16"/>
    <x v="0"/>
    <x v="183"/>
    <n v="132"/>
    <x v="1"/>
  </r>
  <r>
    <x v="17"/>
    <x v="0"/>
    <x v="46"/>
    <n v="2574"/>
    <x v="1"/>
  </r>
  <r>
    <x v="16"/>
    <x v="0"/>
    <x v="92"/>
    <n v="7"/>
    <x v="0"/>
  </r>
  <r>
    <x v="17"/>
    <x v="0"/>
    <x v="135"/>
    <n v="2100"/>
    <x v="1"/>
  </r>
  <r>
    <x v="16"/>
    <x v="0"/>
    <x v="58"/>
    <n v="2416"/>
    <x v="1"/>
  </r>
  <r>
    <x v="16"/>
    <x v="0"/>
    <x v="52"/>
    <n v="2446"/>
    <x v="1"/>
  </r>
  <r>
    <x v="16"/>
    <x v="0"/>
    <x v="63"/>
    <n v="420"/>
    <x v="1"/>
  </r>
  <r>
    <x v="16"/>
    <x v="0"/>
    <x v="65"/>
    <n v="51"/>
    <x v="0"/>
  </r>
  <r>
    <x v="17"/>
    <x v="0"/>
    <x v="54"/>
    <n v="10"/>
    <x v="0"/>
  </r>
  <r>
    <x v="16"/>
    <x v="0"/>
    <x v="11"/>
    <n v="2"/>
    <x v="0"/>
  </r>
  <r>
    <x v="17"/>
    <x v="0"/>
    <x v="188"/>
    <n v="2758"/>
    <x v="1"/>
  </r>
  <r>
    <x v="17"/>
    <x v="0"/>
    <x v="16"/>
    <n v="1"/>
    <x v="0"/>
  </r>
  <r>
    <x v="17"/>
    <x v="0"/>
    <x v="197"/>
    <n v="2483"/>
    <x v="1"/>
  </r>
  <r>
    <x v="16"/>
    <x v="0"/>
    <x v="4"/>
    <n v="3"/>
    <x v="0"/>
  </r>
  <r>
    <x v="17"/>
    <x v="0"/>
    <x v="89"/>
    <n v="1905"/>
    <x v="1"/>
  </r>
  <r>
    <x v="17"/>
    <x v="0"/>
    <x v="234"/>
    <n v="3"/>
    <x v="0"/>
  </r>
  <r>
    <x v="16"/>
    <x v="0"/>
    <x v="121"/>
    <n v="2449"/>
    <x v="1"/>
  </r>
  <r>
    <x v="16"/>
    <x v="0"/>
    <x v="98"/>
    <n v="1638"/>
    <x v="1"/>
  </r>
  <r>
    <x v="16"/>
    <x v="0"/>
    <x v="32"/>
    <n v="12172"/>
    <x v="1"/>
  </r>
  <r>
    <x v="17"/>
    <x v="0"/>
    <x v="96"/>
    <n v="58"/>
    <x v="0"/>
  </r>
  <r>
    <x v="16"/>
    <x v="0"/>
    <x v="165"/>
    <n v="1"/>
    <x v="0"/>
  </r>
  <r>
    <x v="16"/>
    <x v="0"/>
    <x v="30"/>
    <n v="1168"/>
    <x v="1"/>
  </r>
  <r>
    <x v="17"/>
    <x v="0"/>
    <x v="73"/>
    <n v="712"/>
    <x v="1"/>
  </r>
  <r>
    <x v="16"/>
    <x v="0"/>
    <x v="43"/>
    <n v="9"/>
    <x v="0"/>
  </r>
  <r>
    <x v="17"/>
    <x v="0"/>
    <x v="4"/>
    <n v="2"/>
    <x v="0"/>
  </r>
  <r>
    <x v="16"/>
    <x v="0"/>
    <x v="128"/>
    <n v="98"/>
    <x v="0"/>
  </r>
  <r>
    <x v="16"/>
    <x v="0"/>
    <x v="91"/>
    <n v="3804"/>
    <x v="1"/>
  </r>
  <r>
    <x v="16"/>
    <x v="0"/>
    <x v="74"/>
    <n v="2163"/>
    <x v="1"/>
  </r>
  <r>
    <x v="17"/>
    <x v="0"/>
    <x v="134"/>
    <n v="676"/>
    <x v="1"/>
  </r>
  <r>
    <x v="16"/>
    <x v="0"/>
    <x v="171"/>
    <n v="2177"/>
    <x v="1"/>
  </r>
  <r>
    <x v="16"/>
    <x v="0"/>
    <x v="170"/>
    <n v="2554"/>
    <x v="1"/>
  </r>
  <r>
    <x v="16"/>
    <x v="0"/>
    <x v="142"/>
    <n v="2297"/>
    <x v="1"/>
  </r>
  <r>
    <x v="16"/>
    <x v="0"/>
    <x v="191"/>
    <n v="2943"/>
    <x v="1"/>
  </r>
  <r>
    <x v="16"/>
    <x v="0"/>
    <x v="100"/>
    <n v="1"/>
    <x v="0"/>
  </r>
  <r>
    <x v="17"/>
    <x v="0"/>
    <x v="109"/>
    <n v="3"/>
    <x v="0"/>
  </r>
  <r>
    <x v="17"/>
    <x v="0"/>
    <x v="127"/>
    <n v="3789"/>
    <x v="1"/>
  </r>
  <r>
    <x v="17"/>
    <x v="0"/>
    <x v="169"/>
    <n v="2"/>
    <x v="0"/>
  </r>
  <r>
    <x v="16"/>
    <x v="0"/>
    <x v="75"/>
    <n v="1023"/>
    <x v="1"/>
  </r>
  <r>
    <x v="17"/>
    <x v="0"/>
    <x v="231"/>
    <n v="2"/>
    <x v="0"/>
  </r>
  <r>
    <x v="16"/>
    <x v="0"/>
    <x v="155"/>
    <n v="1"/>
    <x v="0"/>
  </r>
  <r>
    <x v="17"/>
    <x v="0"/>
    <x v="51"/>
    <n v="2357"/>
    <x v="1"/>
  </r>
  <r>
    <x v="17"/>
    <x v="0"/>
    <x v="191"/>
    <n v="2017"/>
    <x v="1"/>
  </r>
  <r>
    <x v="17"/>
    <x v="0"/>
    <x v="85"/>
    <n v="353"/>
    <x v="1"/>
  </r>
  <r>
    <x v="16"/>
    <x v="0"/>
    <x v="162"/>
    <n v="1"/>
    <x v="0"/>
  </r>
  <r>
    <x v="17"/>
    <x v="0"/>
    <x v="144"/>
    <n v="2972"/>
    <x v="1"/>
  </r>
  <r>
    <x v="16"/>
    <x v="0"/>
    <x v="101"/>
    <n v="1"/>
    <x v="0"/>
  </r>
  <r>
    <x v="17"/>
    <x v="0"/>
    <x v="111"/>
    <n v="2463"/>
    <x v="1"/>
  </r>
  <r>
    <x v="16"/>
    <x v="0"/>
    <x v="113"/>
    <n v="2463"/>
    <x v="1"/>
  </r>
  <r>
    <x v="17"/>
    <x v="0"/>
    <x v="28"/>
    <n v="2530"/>
    <x v="1"/>
  </r>
  <r>
    <x v="17"/>
    <x v="0"/>
    <x v="21"/>
    <n v="2942"/>
    <x v="1"/>
  </r>
  <r>
    <x v="17"/>
    <x v="0"/>
    <x v="211"/>
    <n v="1"/>
    <x v="0"/>
  </r>
  <r>
    <x v="17"/>
    <x v="0"/>
    <x v="122"/>
    <n v="3"/>
    <x v="0"/>
  </r>
  <r>
    <x v="17"/>
    <x v="0"/>
    <x v="124"/>
    <n v="2792"/>
    <x v="1"/>
  </r>
  <r>
    <x v="17"/>
    <x v="0"/>
    <x v="221"/>
    <n v="4"/>
    <x v="0"/>
  </r>
  <r>
    <x v="17"/>
    <x v="0"/>
    <x v="172"/>
    <n v="2774"/>
    <x v="1"/>
  </r>
  <r>
    <x v="17"/>
    <x v="0"/>
    <x v="184"/>
    <n v="2417"/>
    <x v="1"/>
  </r>
  <r>
    <x v="16"/>
    <x v="0"/>
    <x v="51"/>
    <n v="2159"/>
    <x v="1"/>
  </r>
  <r>
    <x v="17"/>
    <x v="0"/>
    <x v="115"/>
    <n v="5159"/>
    <x v="1"/>
  </r>
  <r>
    <x v="17"/>
    <x v="0"/>
    <x v="214"/>
    <n v="2"/>
    <x v="0"/>
  </r>
  <r>
    <x v="16"/>
    <x v="0"/>
    <x v="22"/>
    <n v="3343"/>
    <x v="1"/>
  </r>
  <r>
    <x v="17"/>
    <x v="0"/>
    <x v="173"/>
    <n v="1"/>
    <x v="0"/>
  </r>
  <r>
    <x v="16"/>
    <x v="0"/>
    <x v="201"/>
    <n v="2"/>
    <x v="0"/>
  </r>
  <r>
    <x v="16"/>
    <x v="0"/>
    <x v="102"/>
    <n v="2268"/>
    <x v="1"/>
  </r>
  <r>
    <x v="17"/>
    <x v="0"/>
    <x v="44"/>
    <n v="2689"/>
    <x v="1"/>
  </r>
  <r>
    <x v="17"/>
    <x v="0"/>
    <x v="10"/>
    <n v="666"/>
    <x v="1"/>
  </r>
  <r>
    <x v="17"/>
    <x v="0"/>
    <x v="70"/>
    <n v="8"/>
    <x v="0"/>
  </r>
  <r>
    <x v="16"/>
    <x v="0"/>
    <x v="38"/>
    <n v="3214"/>
    <x v="1"/>
  </r>
  <r>
    <x v="17"/>
    <x v="0"/>
    <x v="94"/>
    <n v="293"/>
    <x v="1"/>
  </r>
  <r>
    <x v="17"/>
    <x v="0"/>
    <x v="12"/>
    <n v="3"/>
    <x v="0"/>
  </r>
  <r>
    <x v="16"/>
    <x v="0"/>
    <x v="144"/>
    <n v="2549"/>
    <x v="1"/>
  </r>
  <r>
    <x v="16"/>
    <x v="0"/>
    <x v="109"/>
    <n v="10"/>
    <x v="0"/>
  </r>
  <r>
    <x v="17"/>
    <x v="0"/>
    <x v="189"/>
    <n v="3121"/>
    <x v="1"/>
  </r>
  <r>
    <x v="16"/>
    <x v="0"/>
    <x v="204"/>
    <n v="1"/>
    <x v="0"/>
  </r>
  <r>
    <x v="17"/>
    <x v="0"/>
    <x v="171"/>
    <n v="2203"/>
    <x v="1"/>
  </r>
  <r>
    <x v="17"/>
    <x v="0"/>
    <x v="190"/>
    <n v="1751"/>
    <x v="1"/>
  </r>
  <r>
    <x v="17"/>
    <x v="0"/>
    <x v="187"/>
    <n v="1897"/>
    <x v="1"/>
  </r>
  <r>
    <x v="17"/>
    <x v="0"/>
    <x v="14"/>
    <n v="2"/>
    <x v="0"/>
  </r>
  <r>
    <x v="17"/>
    <x v="0"/>
    <x v="57"/>
    <n v="2"/>
    <x v="0"/>
  </r>
  <r>
    <x v="17"/>
    <x v="0"/>
    <x v="13"/>
    <n v="1"/>
    <x v="0"/>
  </r>
  <r>
    <x v="16"/>
    <x v="0"/>
    <x v="29"/>
    <n v="12"/>
    <x v="0"/>
  </r>
  <r>
    <x v="17"/>
    <x v="0"/>
    <x v="223"/>
    <n v="3"/>
    <x v="0"/>
  </r>
  <r>
    <x v="17"/>
    <x v="0"/>
    <x v="125"/>
    <n v="23"/>
    <x v="0"/>
  </r>
  <r>
    <x v="17"/>
    <x v="0"/>
    <x v="86"/>
    <n v="3324"/>
    <x v="1"/>
  </r>
  <r>
    <x v="16"/>
    <x v="0"/>
    <x v="94"/>
    <n v="756"/>
    <x v="1"/>
  </r>
  <r>
    <x v="16"/>
    <x v="0"/>
    <x v="79"/>
    <n v="11806"/>
    <x v="1"/>
  </r>
  <r>
    <x v="16"/>
    <x v="0"/>
    <x v="111"/>
    <n v="2319"/>
    <x v="1"/>
  </r>
  <r>
    <x v="16"/>
    <x v="0"/>
    <x v="21"/>
    <n v="2658"/>
    <x v="1"/>
  </r>
  <r>
    <x v="17"/>
    <x v="0"/>
    <x v="195"/>
    <n v="1"/>
    <x v="0"/>
  </r>
  <r>
    <x v="17"/>
    <x v="0"/>
    <x v="75"/>
    <n v="138"/>
    <x v="1"/>
  </r>
  <r>
    <x v="16"/>
    <x v="0"/>
    <x v="131"/>
    <n v="2908"/>
    <x v="1"/>
  </r>
  <r>
    <x v="16"/>
    <x v="0"/>
    <x v="166"/>
    <n v="16"/>
    <x v="0"/>
  </r>
  <r>
    <x v="16"/>
    <x v="0"/>
    <x v="152"/>
    <n v="2332"/>
    <x v="1"/>
  </r>
  <r>
    <x v="17"/>
    <x v="0"/>
    <x v="147"/>
    <n v="675"/>
    <x v="1"/>
  </r>
  <r>
    <x v="17"/>
    <x v="0"/>
    <x v="84"/>
    <n v="4"/>
    <x v="0"/>
  </r>
  <r>
    <x v="16"/>
    <x v="0"/>
    <x v="143"/>
    <n v="13"/>
    <x v="0"/>
  </r>
  <r>
    <x v="17"/>
    <x v="0"/>
    <x v="99"/>
    <n v="2611"/>
    <x v="1"/>
  </r>
  <r>
    <x v="17"/>
    <x v="0"/>
    <x v="176"/>
    <n v="2"/>
    <x v="0"/>
  </r>
  <r>
    <x v="16"/>
    <x v="0"/>
    <x v="103"/>
    <n v="1287"/>
    <x v="1"/>
  </r>
  <r>
    <x v="17"/>
    <x v="0"/>
    <x v="107"/>
    <n v="4"/>
    <x v="0"/>
  </r>
  <r>
    <x v="16"/>
    <x v="0"/>
    <x v="116"/>
    <n v="598"/>
    <x v="1"/>
  </r>
  <r>
    <x v="17"/>
    <x v="0"/>
    <x v="64"/>
    <n v="726"/>
    <x v="1"/>
  </r>
  <r>
    <x v="16"/>
    <x v="0"/>
    <x v="135"/>
    <n v="2123"/>
    <x v="1"/>
  </r>
  <r>
    <x v="16"/>
    <x v="0"/>
    <x v="93"/>
    <n v="2678"/>
    <x v="1"/>
  </r>
  <r>
    <x v="16"/>
    <x v="0"/>
    <x v="57"/>
    <n v="9"/>
    <x v="0"/>
  </r>
  <r>
    <x v="16"/>
    <x v="0"/>
    <x v="73"/>
    <n v="592"/>
    <x v="1"/>
  </r>
  <r>
    <x v="17"/>
    <x v="0"/>
    <x v="38"/>
    <n v="3433"/>
    <x v="1"/>
  </r>
  <r>
    <x v="16"/>
    <x v="0"/>
    <x v="114"/>
    <n v="102"/>
    <x v="1"/>
  </r>
  <r>
    <x v="16"/>
    <x v="0"/>
    <x v="45"/>
    <n v="89"/>
    <x v="0"/>
  </r>
  <r>
    <x v="16"/>
    <x v="0"/>
    <x v="26"/>
    <n v="2192"/>
    <x v="1"/>
  </r>
  <r>
    <x v="17"/>
    <x v="0"/>
    <x v="45"/>
    <n v="9"/>
    <x v="0"/>
  </r>
  <r>
    <x v="16"/>
    <x v="0"/>
    <x v="82"/>
    <n v="3443"/>
    <x v="1"/>
  </r>
  <r>
    <x v="16"/>
    <x v="0"/>
    <x v="212"/>
    <n v="1"/>
    <x v="0"/>
  </r>
  <r>
    <x v="16"/>
    <x v="0"/>
    <x v="39"/>
    <n v="2"/>
    <x v="0"/>
  </r>
  <r>
    <x v="17"/>
    <x v="0"/>
    <x v="59"/>
    <n v="20"/>
    <x v="0"/>
  </r>
  <r>
    <x v="17"/>
    <x v="0"/>
    <x v="71"/>
    <n v="3563"/>
    <x v="1"/>
  </r>
  <r>
    <x v="16"/>
    <x v="0"/>
    <x v="157"/>
    <n v="1"/>
    <x v="0"/>
  </r>
  <r>
    <x v="17"/>
    <x v="0"/>
    <x v="9"/>
    <n v="3648"/>
    <x v="1"/>
  </r>
  <r>
    <x v="16"/>
    <x v="0"/>
    <x v="120"/>
    <n v="610"/>
    <x v="1"/>
  </r>
  <r>
    <x v="17"/>
    <x v="0"/>
    <x v="22"/>
    <n v="3542"/>
    <x v="1"/>
  </r>
  <r>
    <x v="16"/>
    <x v="0"/>
    <x v="15"/>
    <n v="5"/>
    <x v="0"/>
  </r>
  <r>
    <x v="16"/>
    <x v="0"/>
    <x v="3"/>
    <n v="884"/>
    <x v="1"/>
  </r>
  <r>
    <x v="16"/>
    <x v="0"/>
    <x v="69"/>
    <n v="3082"/>
    <x v="1"/>
  </r>
  <r>
    <x v="17"/>
    <x v="0"/>
    <x v="55"/>
    <n v="1"/>
    <x v="0"/>
  </r>
  <r>
    <x v="17"/>
    <x v="0"/>
    <x v="227"/>
    <n v="1"/>
    <x v="0"/>
  </r>
  <r>
    <x v="16"/>
    <x v="0"/>
    <x v="105"/>
    <n v="2378"/>
    <x v="1"/>
  </r>
  <r>
    <x v="17"/>
    <x v="0"/>
    <x v="152"/>
    <n v="3227"/>
    <x v="1"/>
  </r>
  <r>
    <x v="16"/>
    <x v="0"/>
    <x v="54"/>
    <n v="6"/>
    <x v="0"/>
  </r>
  <r>
    <x v="17"/>
    <x v="0"/>
    <x v="118"/>
    <n v="2628"/>
    <x v="1"/>
  </r>
  <r>
    <x v="17"/>
    <x v="0"/>
    <x v="226"/>
    <n v="142"/>
    <x v="1"/>
  </r>
  <r>
    <x v="17"/>
    <x v="0"/>
    <x v="79"/>
    <n v="3033"/>
    <x v="1"/>
  </r>
  <r>
    <x v="17"/>
    <x v="0"/>
    <x v="19"/>
    <n v="216"/>
    <x v="1"/>
  </r>
  <r>
    <x v="16"/>
    <x v="0"/>
    <x v="27"/>
    <n v="2161"/>
    <x v="1"/>
  </r>
  <r>
    <x v="16"/>
    <x v="0"/>
    <x v="180"/>
    <n v="2"/>
    <x v="0"/>
  </r>
  <r>
    <x v="16"/>
    <x v="0"/>
    <x v="0"/>
    <n v="38"/>
    <x v="0"/>
  </r>
  <r>
    <x v="16"/>
    <x v="0"/>
    <x v="31"/>
    <n v="2467"/>
    <x v="1"/>
  </r>
  <r>
    <x v="16"/>
    <x v="0"/>
    <x v="196"/>
    <n v="1"/>
    <x v="0"/>
  </r>
  <r>
    <x v="16"/>
    <x v="0"/>
    <x v="132"/>
    <n v="3"/>
    <x v="0"/>
  </r>
  <r>
    <x v="17"/>
    <x v="0"/>
    <x v="143"/>
    <n v="3930"/>
    <x v="1"/>
  </r>
  <r>
    <x v="17"/>
    <x v="0"/>
    <x v="117"/>
    <n v="2514"/>
    <x v="1"/>
  </r>
  <r>
    <x v="17"/>
    <x v="0"/>
    <x v="35"/>
    <n v="33"/>
    <x v="0"/>
  </r>
  <r>
    <x v="16"/>
    <x v="0"/>
    <x v="50"/>
    <n v="771"/>
    <x v="1"/>
  </r>
  <r>
    <x v="16"/>
    <x v="0"/>
    <x v="41"/>
    <n v="3"/>
    <x v="0"/>
  </r>
  <r>
    <x v="16"/>
    <x v="0"/>
    <x v="124"/>
    <n v="2413"/>
    <x v="1"/>
  </r>
  <r>
    <x v="16"/>
    <x v="0"/>
    <x v="129"/>
    <n v="2435"/>
    <x v="1"/>
  </r>
  <r>
    <x v="16"/>
    <x v="0"/>
    <x v="110"/>
    <n v="5"/>
    <x v="0"/>
  </r>
  <r>
    <x v="16"/>
    <x v="0"/>
    <x v="14"/>
    <n v="85"/>
    <x v="0"/>
  </r>
  <r>
    <x v="17"/>
    <x v="0"/>
    <x v="102"/>
    <n v="2801"/>
    <x v="1"/>
  </r>
  <r>
    <x v="16"/>
    <x v="0"/>
    <x v="203"/>
    <n v="1"/>
    <x v="0"/>
  </r>
  <r>
    <x v="17"/>
    <x v="0"/>
    <x v="212"/>
    <n v="5"/>
    <x v="0"/>
  </r>
  <r>
    <x v="17"/>
    <x v="0"/>
    <x v="149"/>
    <n v="2932"/>
    <x v="1"/>
  </r>
  <r>
    <x v="17"/>
    <x v="0"/>
    <x v="82"/>
    <n v="4"/>
    <x v="0"/>
  </r>
  <r>
    <x v="16"/>
    <x v="0"/>
    <x v="112"/>
    <n v="1"/>
    <x v="0"/>
  </r>
  <r>
    <x v="17"/>
    <x v="0"/>
    <x v="88"/>
    <n v="3593"/>
    <x v="1"/>
  </r>
  <r>
    <x v="16"/>
    <x v="0"/>
    <x v="159"/>
    <n v="1"/>
    <x v="0"/>
  </r>
  <r>
    <x v="17"/>
    <x v="0"/>
    <x v="132"/>
    <n v="1"/>
    <x v="0"/>
  </r>
  <r>
    <x v="16"/>
    <x v="0"/>
    <x v="17"/>
    <n v="319"/>
    <x v="1"/>
  </r>
  <r>
    <x v="16"/>
    <x v="0"/>
    <x v="190"/>
    <n v="102"/>
    <x v="1"/>
  </r>
  <r>
    <x v="17"/>
    <x v="0"/>
    <x v="148"/>
    <n v="3346"/>
    <x v="1"/>
  </r>
  <r>
    <x v="17"/>
    <x v="0"/>
    <x v="69"/>
    <n v="2706"/>
    <x v="1"/>
  </r>
  <r>
    <x v="17"/>
    <x v="0"/>
    <x v="77"/>
    <n v="2"/>
    <x v="0"/>
  </r>
  <r>
    <x v="16"/>
    <x v="0"/>
    <x v="158"/>
    <n v="1"/>
    <x v="0"/>
  </r>
  <r>
    <x v="16"/>
    <x v="0"/>
    <x v="160"/>
    <n v="3"/>
    <x v="0"/>
  </r>
  <r>
    <x v="16"/>
    <x v="0"/>
    <x v="126"/>
    <n v="318"/>
    <x v="1"/>
  </r>
  <r>
    <x v="16"/>
    <x v="0"/>
    <x v="62"/>
    <n v="2300"/>
    <x v="1"/>
  </r>
  <r>
    <x v="16"/>
    <x v="0"/>
    <x v="97"/>
    <n v="936"/>
    <x v="1"/>
  </r>
  <r>
    <x v="17"/>
    <x v="0"/>
    <x v="140"/>
    <n v="2640"/>
    <x v="1"/>
  </r>
  <r>
    <x v="17"/>
    <x v="0"/>
    <x v="8"/>
    <n v="2272"/>
    <x v="1"/>
  </r>
  <r>
    <x v="17"/>
    <x v="0"/>
    <x v="129"/>
    <n v="1133"/>
    <x v="1"/>
  </r>
  <r>
    <x v="16"/>
    <x v="0"/>
    <x v="44"/>
    <n v="2701"/>
    <x v="1"/>
  </r>
  <r>
    <x v="17"/>
    <x v="0"/>
    <x v="108"/>
    <n v="327"/>
    <x v="1"/>
  </r>
  <r>
    <x v="16"/>
    <x v="0"/>
    <x v="70"/>
    <n v="22"/>
    <x v="0"/>
  </r>
  <r>
    <x v="17"/>
    <x v="0"/>
    <x v="1"/>
    <n v="27"/>
    <x v="0"/>
  </r>
  <r>
    <x v="16"/>
    <x v="0"/>
    <x v="151"/>
    <n v="2340"/>
    <x v="1"/>
  </r>
  <r>
    <x v="16"/>
    <x v="0"/>
    <x v="181"/>
    <n v="64"/>
    <x v="0"/>
  </r>
  <r>
    <x v="17"/>
    <x v="0"/>
    <x v="91"/>
    <n v="11"/>
    <x v="0"/>
  </r>
  <r>
    <x v="16"/>
    <x v="0"/>
    <x v="10"/>
    <n v="728"/>
    <x v="1"/>
  </r>
  <r>
    <x v="16"/>
    <x v="0"/>
    <x v="136"/>
    <n v="2575"/>
    <x v="1"/>
  </r>
  <r>
    <x v="16"/>
    <x v="0"/>
    <x v="35"/>
    <n v="102"/>
    <x v="1"/>
  </r>
  <r>
    <x v="17"/>
    <x v="0"/>
    <x v="106"/>
    <n v="2022"/>
    <x v="1"/>
  </r>
  <r>
    <x v="17"/>
    <x v="0"/>
    <x v="25"/>
    <n v="5"/>
    <x v="0"/>
  </r>
  <r>
    <x v="16"/>
    <x v="0"/>
    <x v="2"/>
    <n v="3612"/>
    <x v="1"/>
  </r>
  <r>
    <x v="17"/>
    <x v="0"/>
    <x v="90"/>
    <n v="838"/>
    <x v="1"/>
  </r>
  <r>
    <x v="17"/>
    <x v="0"/>
    <x v="67"/>
    <n v="1"/>
    <x v="0"/>
  </r>
  <r>
    <x v="16"/>
    <x v="0"/>
    <x v="104"/>
    <n v="3963"/>
    <x v="1"/>
  </r>
  <r>
    <x v="16"/>
    <x v="0"/>
    <x v="202"/>
    <n v="1"/>
    <x v="0"/>
  </r>
  <r>
    <x v="17"/>
    <x v="0"/>
    <x v="205"/>
    <n v="2"/>
    <x v="0"/>
  </r>
  <r>
    <x v="16"/>
    <x v="0"/>
    <x v="176"/>
    <n v="1"/>
    <x v="0"/>
  </r>
  <r>
    <x v="16"/>
    <x v="0"/>
    <x v="76"/>
    <n v="2"/>
    <x v="0"/>
  </r>
  <r>
    <x v="17"/>
    <x v="0"/>
    <x v="50"/>
    <n v="344"/>
    <x v="1"/>
  </r>
  <r>
    <x v="16"/>
    <x v="0"/>
    <x v="9"/>
    <n v="2725"/>
    <x v="1"/>
  </r>
  <r>
    <x v="16"/>
    <x v="0"/>
    <x v="28"/>
    <n v="2327"/>
    <x v="1"/>
  </r>
  <r>
    <x v="16"/>
    <x v="0"/>
    <x v="140"/>
    <n v="3390"/>
    <x v="1"/>
  </r>
  <r>
    <x v="16"/>
    <x v="0"/>
    <x v="61"/>
    <n v="919"/>
    <x v="1"/>
  </r>
  <r>
    <x v="17"/>
    <x v="0"/>
    <x v="177"/>
    <n v="1"/>
    <x v="0"/>
  </r>
  <r>
    <x v="17"/>
    <x v="0"/>
    <x v="66"/>
    <n v="3925"/>
    <x v="1"/>
  </r>
  <r>
    <x v="16"/>
    <x v="0"/>
    <x v="195"/>
    <n v="1"/>
    <x v="0"/>
  </r>
  <r>
    <x v="16"/>
    <x v="0"/>
    <x v="18"/>
    <n v="1"/>
    <x v="0"/>
  </r>
  <r>
    <x v="16"/>
    <x v="0"/>
    <x v="80"/>
    <n v="32"/>
    <x v="0"/>
  </r>
  <r>
    <x v="16"/>
    <x v="0"/>
    <x v="88"/>
    <n v="2596"/>
    <x v="1"/>
  </r>
  <r>
    <x v="16"/>
    <x v="0"/>
    <x v="47"/>
    <n v="308"/>
    <x v="1"/>
  </r>
  <r>
    <x v="16"/>
    <x v="0"/>
    <x v="179"/>
    <n v="3"/>
    <x v="0"/>
  </r>
  <r>
    <x v="17"/>
    <x v="0"/>
    <x v="222"/>
    <n v="1227"/>
    <x v="1"/>
  </r>
  <r>
    <x v="16"/>
    <x v="0"/>
    <x v="78"/>
    <n v="138"/>
    <x v="1"/>
  </r>
  <r>
    <x v="17"/>
    <x v="0"/>
    <x v="145"/>
    <n v="1"/>
    <x v="0"/>
  </r>
  <r>
    <x v="17"/>
    <x v="0"/>
    <x v="18"/>
    <n v="1"/>
    <x v="0"/>
  </r>
  <r>
    <x v="17"/>
    <x v="0"/>
    <x v="74"/>
    <n v="2456"/>
    <x v="1"/>
  </r>
  <r>
    <x v="17"/>
    <x v="0"/>
    <x v="5"/>
    <n v="1"/>
    <x v="0"/>
  </r>
  <r>
    <x v="17"/>
    <x v="0"/>
    <x v="120"/>
    <n v="71"/>
    <x v="0"/>
  </r>
  <r>
    <x v="17"/>
    <x v="0"/>
    <x v="76"/>
    <n v="1"/>
    <x v="0"/>
  </r>
  <r>
    <x v="16"/>
    <x v="0"/>
    <x v="86"/>
    <n v="2403"/>
    <x v="1"/>
  </r>
  <r>
    <x v="17"/>
    <x v="0"/>
    <x v="58"/>
    <n v="3192"/>
    <x v="1"/>
  </r>
  <r>
    <x v="16"/>
    <x v="0"/>
    <x v="127"/>
    <n v="2616"/>
    <x v="1"/>
  </r>
  <r>
    <x v="17"/>
    <x v="0"/>
    <x v="123"/>
    <n v="2313"/>
    <x v="1"/>
  </r>
  <r>
    <x v="17"/>
    <x v="0"/>
    <x v="93"/>
    <n v="139"/>
    <x v="1"/>
  </r>
  <r>
    <x v="16"/>
    <x v="0"/>
    <x v="206"/>
    <n v="2"/>
    <x v="0"/>
  </r>
  <r>
    <x v="17"/>
    <x v="0"/>
    <x v="235"/>
    <n v="5"/>
    <x v="0"/>
  </r>
  <r>
    <x v="16"/>
    <x v="0"/>
    <x v="213"/>
    <n v="2"/>
    <x v="0"/>
  </r>
  <r>
    <x v="17"/>
    <x v="0"/>
    <x v="119"/>
    <n v="1"/>
    <x v="0"/>
  </r>
  <r>
    <x v="17"/>
    <x v="0"/>
    <x v="3"/>
    <n v="885"/>
    <x v="1"/>
  </r>
  <r>
    <x v="16"/>
    <x v="0"/>
    <x v="188"/>
    <n v="2083"/>
    <x v="1"/>
  </r>
  <r>
    <x v="17"/>
    <x v="0"/>
    <x v="17"/>
    <n v="604"/>
    <x v="1"/>
  </r>
  <r>
    <x v="16"/>
    <x v="0"/>
    <x v="90"/>
    <n v="1261"/>
    <x v="1"/>
  </r>
  <r>
    <x v="17"/>
    <x v="0"/>
    <x v="105"/>
    <n v="573"/>
    <x v="1"/>
  </r>
  <r>
    <x v="16"/>
    <x v="0"/>
    <x v="205"/>
    <n v="2"/>
    <x v="0"/>
  </r>
  <r>
    <x v="17"/>
    <x v="0"/>
    <x v="168"/>
    <n v="1949"/>
    <x v="1"/>
  </r>
  <r>
    <x v="17"/>
    <x v="0"/>
    <x v="198"/>
    <n v="3401"/>
    <x v="1"/>
  </r>
  <r>
    <x v="17"/>
    <x v="0"/>
    <x v="229"/>
    <n v="211"/>
    <x v="1"/>
  </r>
  <r>
    <x v="17"/>
    <x v="0"/>
    <x v="97"/>
    <n v="330"/>
    <x v="1"/>
  </r>
  <r>
    <x v="16"/>
    <x v="0"/>
    <x v="115"/>
    <n v="3877"/>
    <x v="1"/>
  </r>
  <r>
    <x v="17"/>
    <x v="0"/>
    <x v="136"/>
    <n v="3389"/>
    <x v="1"/>
  </r>
  <r>
    <x v="16"/>
    <x v="0"/>
    <x v="20"/>
    <n v="3"/>
    <x v="0"/>
  </r>
  <r>
    <x v="16"/>
    <x v="0"/>
    <x v="36"/>
    <n v="3"/>
    <x v="0"/>
  </r>
  <r>
    <x v="16"/>
    <x v="0"/>
    <x v="168"/>
    <n v="111"/>
    <x v="1"/>
  </r>
  <r>
    <x v="16"/>
    <x v="0"/>
    <x v="149"/>
    <n v="2242"/>
    <x v="1"/>
  </r>
  <r>
    <x v="17"/>
    <x v="0"/>
    <x v="192"/>
    <n v="2784"/>
    <x v="1"/>
  </r>
  <r>
    <x v="16"/>
    <x v="0"/>
    <x v="134"/>
    <n v="1127"/>
    <x v="1"/>
  </r>
  <r>
    <x v="16"/>
    <x v="0"/>
    <x v="147"/>
    <n v="836"/>
    <x v="1"/>
  </r>
  <r>
    <x v="17"/>
    <x v="0"/>
    <x v="30"/>
    <n v="1135"/>
    <x v="1"/>
  </r>
  <r>
    <x v="17"/>
    <x v="0"/>
    <x v="104"/>
    <n v="3"/>
    <x v="0"/>
  </r>
  <r>
    <x v="16"/>
    <x v="0"/>
    <x v="71"/>
    <n v="3347"/>
    <x v="1"/>
  </r>
  <r>
    <x v="16"/>
    <x v="0"/>
    <x v="174"/>
    <n v="1"/>
    <x v="0"/>
  </r>
  <r>
    <x v="16"/>
    <x v="0"/>
    <x v="208"/>
    <n v="4"/>
    <x v="0"/>
  </r>
  <r>
    <x v="16"/>
    <x v="0"/>
    <x v="68"/>
    <n v="4"/>
    <x v="0"/>
  </r>
  <r>
    <x v="17"/>
    <x v="0"/>
    <x v="157"/>
    <n v="1"/>
    <x v="0"/>
  </r>
  <r>
    <x v="16"/>
    <x v="0"/>
    <x v="218"/>
    <n v="1"/>
    <x v="0"/>
  </r>
  <r>
    <x v="16"/>
    <x v="0"/>
    <x v="25"/>
    <n v="4"/>
    <x v="0"/>
  </r>
  <r>
    <x v="17"/>
    <x v="0"/>
    <x v="56"/>
    <n v="2370"/>
    <x v="1"/>
  </r>
  <r>
    <x v="17"/>
    <x v="0"/>
    <x v="204"/>
    <n v="1"/>
    <x v="0"/>
  </r>
  <r>
    <x v="16"/>
    <x v="0"/>
    <x v="66"/>
    <n v="3187"/>
    <x v="1"/>
  </r>
  <r>
    <x v="17"/>
    <x v="0"/>
    <x v="182"/>
    <n v="2390"/>
    <x v="1"/>
  </r>
  <r>
    <x v="17"/>
    <x v="0"/>
    <x v="151"/>
    <n v="3656"/>
    <x v="1"/>
  </r>
  <r>
    <x v="17"/>
    <x v="0"/>
    <x v="98"/>
    <n v="1335"/>
    <x v="1"/>
  </r>
  <r>
    <x v="17"/>
    <x v="0"/>
    <x v="153"/>
    <n v="2104"/>
    <x v="1"/>
  </r>
  <r>
    <x v="17"/>
    <x v="0"/>
    <x v="2"/>
    <n v="2855"/>
    <x v="1"/>
  </r>
  <r>
    <x v="16"/>
    <x v="0"/>
    <x v="175"/>
    <n v="1"/>
    <x v="0"/>
  </r>
  <r>
    <x v="17"/>
    <x v="0"/>
    <x v="15"/>
    <n v="1"/>
    <x v="0"/>
  </r>
  <r>
    <x v="17"/>
    <x v="0"/>
    <x v="154"/>
    <n v="1436"/>
    <x v="1"/>
  </r>
  <r>
    <x v="17"/>
    <x v="0"/>
    <x v="225"/>
    <n v="1"/>
    <x v="0"/>
  </r>
  <r>
    <x v="17"/>
    <x v="0"/>
    <x v="0"/>
    <n v="39"/>
    <x v="0"/>
  </r>
  <r>
    <x v="17"/>
    <x v="0"/>
    <x v="80"/>
    <n v="1"/>
    <x v="0"/>
  </r>
  <r>
    <x v="16"/>
    <x v="0"/>
    <x v="123"/>
    <n v="3103"/>
    <x v="1"/>
  </r>
  <r>
    <x v="16"/>
    <x v="0"/>
    <x v="146"/>
    <n v="2460"/>
    <x v="1"/>
  </r>
  <r>
    <x v="17"/>
    <x v="0"/>
    <x v="185"/>
    <n v="3297"/>
    <x v="1"/>
  </r>
  <r>
    <x v="17"/>
    <x v="0"/>
    <x v="61"/>
    <n v="178"/>
    <x v="1"/>
  </r>
  <r>
    <x v="17"/>
    <x v="0"/>
    <x v="228"/>
    <n v="1"/>
    <x v="0"/>
  </r>
  <r>
    <x v="17"/>
    <x v="0"/>
    <x v="114"/>
    <n v="108"/>
    <x v="1"/>
  </r>
  <r>
    <x v="16"/>
    <x v="0"/>
    <x v="182"/>
    <n v="2255"/>
    <x v="1"/>
  </r>
  <r>
    <x v="16"/>
    <x v="0"/>
    <x v="106"/>
    <n v="2111"/>
    <x v="1"/>
  </r>
  <r>
    <x v="16"/>
    <x v="0"/>
    <x v="99"/>
    <n v="2269"/>
    <x v="1"/>
  </r>
  <r>
    <x v="16"/>
    <x v="0"/>
    <x v="153"/>
    <n v="2218"/>
    <x v="1"/>
  </r>
  <r>
    <x v="16"/>
    <x v="0"/>
    <x v="7"/>
    <n v="3023"/>
    <x v="1"/>
  </r>
  <r>
    <x v="17"/>
    <x v="0"/>
    <x v="7"/>
    <n v="1042"/>
    <x v="1"/>
  </r>
  <r>
    <x v="17"/>
    <x v="0"/>
    <x v="236"/>
    <n v="66"/>
    <x v="0"/>
  </r>
  <r>
    <x v="16"/>
    <x v="0"/>
    <x v="119"/>
    <n v="9"/>
    <x v="0"/>
  </r>
  <r>
    <x v="16"/>
    <x v="0"/>
    <x v="56"/>
    <n v="2456"/>
    <x v="1"/>
  </r>
  <r>
    <x v="16"/>
    <x v="0"/>
    <x v="172"/>
    <n v="1269"/>
    <x v="1"/>
  </r>
  <r>
    <x v="17"/>
    <x v="0"/>
    <x v="29"/>
    <n v="1"/>
    <x v="0"/>
  </r>
  <r>
    <x v="17"/>
    <x v="0"/>
    <x v="181"/>
    <n v="738"/>
    <x v="1"/>
  </r>
  <r>
    <x v="16"/>
    <x v="0"/>
    <x v="150"/>
    <n v="587"/>
    <x v="1"/>
  </r>
  <r>
    <x v="16"/>
    <x v="0"/>
    <x v="19"/>
    <n v="238"/>
    <x v="1"/>
  </r>
  <r>
    <x v="17"/>
    <x v="0"/>
    <x v="158"/>
    <n v="1"/>
    <x v="0"/>
  </r>
  <r>
    <x v="17"/>
    <x v="0"/>
    <x v="218"/>
    <n v="2"/>
    <x v="0"/>
  </r>
  <r>
    <x v="16"/>
    <x v="0"/>
    <x v="59"/>
    <n v="156"/>
    <x v="1"/>
  </r>
  <r>
    <x v="17"/>
    <x v="0"/>
    <x v="43"/>
    <n v="5"/>
    <x v="0"/>
  </r>
  <r>
    <x v="18"/>
    <x v="0"/>
    <x v="109"/>
    <n v="10"/>
    <x v="0"/>
  </r>
  <r>
    <x v="18"/>
    <x v="0"/>
    <x v="81"/>
    <n v="5"/>
    <x v="0"/>
  </r>
  <r>
    <x v="19"/>
    <x v="0"/>
    <x v="162"/>
    <n v="7"/>
    <x v="0"/>
  </r>
  <r>
    <x v="18"/>
    <x v="0"/>
    <x v="139"/>
    <n v="2397"/>
    <x v="1"/>
  </r>
  <r>
    <x v="18"/>
    <x v="0"/>
    <x v="46"/>
    <n v="2710"/>
    <x v="1"/>
  </r>
  <r>
    <x v="18"/>
    <x v="0"/>
    <x v="163"/>
    <n v="6"/>
    <x v="0"/>
  </r>
  <r>
    <x v="19"/>
    <x v="0"/>
    <x v="55"/>
    <n v="1"/>
    <x v="0"/>
  </r>
  <r>
    <x v="18"/>
    <x v="0"/>
    <x v="197"/>
    <n v="2140"/>
    <x v="1"/>
  </r>
  <r>
    <x v="19"/>
    <x v="0"/>
    <x v="79"/>
    <n v="3003"/>
    <x v="1"/>
  </r>
  <r>
    <x v="19"/>
    <x v="0"/>
    <x v="118"/>
    <n v="2614"/>
    <x v="1"/>
  </r>
  <r>
    <x v="18"/>
    <x v="0"/>
    <x v="74"/>
    <n v="2136"/>
    <x v="1"/>
  </r>
  <r>
    <x v="18"/>
    <x v="0"/>
    <x v="136"/>
    <n v="2527"/>
    <x v="1"/>
  </r>
  <r>
    <x v="18"/>
    <x v="0"/>
    <x v="162"/>
    <n v="1"/>
    <x v="0"/>
  </r>
  <r>
    <x v="18"/>
    <x v="0"/>
    <x v="51"/>
    <n v="2127"/>
    <x v="1"/>
  </r>
  <r>
    <x v="19"/>
    <x v="0"/>
    <x v="187"/>
    <n v="2008"/>
    <x v="1"/>
  </r>
  <r>
    <x v="18"/>
    <x v="0"/>
    <x v="143"/>
    <n v="13"/>
    <x v="0"/>
  </r>
  <r>
    <x v="19"/>
    <x v="0"/>
    <x v="24"/>
    <n v="4"/>
    <x v="0"/>
  </r>
  <r>
    <x v="18"/>
    <x v="0"/>
    <x v="155"/>
    <n v="1"/>
    <x v="0"/>
  </r>
  <r>
    <x v="18"/>
    <x v="0"/>
    <x v="119"/>
    <n v="10"/>
    <x v="0"/>
  </r>
  <r>
    <x v="19"/>
    <x v="0"/>
    <x v="46"/>
    <n v="2598"/>
    <x v="1"/>
  </r>
  <r>
    <x v="19"/>
    <x v="0"/>
    <x v="54"/>
    <n v="30"/>
    <x v="0"/>
  </r>
  <r>
    <x v="19"/>
    <x v="0"/>
    <x v="197"/>
    <n v="2467"/>
    <x v="1"/>
  </r>
  <r>
    <x v="18"/>
    <x v="0"/>
    <x v="120"/>
    <n v="573"/>
    <x v="1"/>
  </r>
  <r>
    <x v="18"/>
    <x v="0"/>
    <x v="128"/>
    <n v="98"/>
    <x v="0"/>
  </r>
  <r>
    <x v="18"/>
    <x v="0"/>
    <x v="93"/>
    <n v="2667"/>
    <x v="1"/>
  </r>
  <r>
    <x v="19"/>
    <x v="0"/>
    <x v="150"/>
    <n v="3056"/>
    <x v="1"/>
  </r>
  <r>
    <x v="18"/>
    <x v="0"/>
    <x v="88"/>
    <n v="2568"/>
    <x v="1"/>
  </r>
  <r>
    <x v="19"/>
    <x v="0"/>
    <x v="16"/>
    <n v="1"/>
    <x v="0"/>
  </r>
  <r>
    <x v="19"/>
    <x v="0"/>
    <x v="140"/>
    <n v="2625"/>
    <x v="1"/>
  </r>
  <r>
    <x v="18"/>
    <x v="0"/>
    <x v="92"/>
    <n v="7"/>
    <x v="0"/>
  </r>
  <r>
    <x v="18"/>
    <x v="0"/>
    <x v="32"/>
    <n v="11906"/>
    <x v="1"/>
  </r>
  <r>
    <x v="18"/>
    <x v="0"/>
    <x v="146"/>
    <n v="2434"/>
    <x v="1"/>
  </r>
  <r>
    <x v="18"/>
    <x v="0"/>
    <x v="8"/>
    <n v="3030"/>
    <x v="1"/>
  </r>
  <r>
    <x v="19"/>
    <x v="0"/>
    <x v="26"/>
    <n v="2411"/>
    <x v="1"/>
  </r>
  <r>
    <x v="19"/>
    <x v="0"/>
    <x v="148"/>
    <n v="3339"/>
    <x v="1"/>
  </r>
  <r>
    <x v="18"/>
    <x v="0"/>
    <x v="95"/>
    <n v="2510"/>
    <x v="1"/>
  </r>
  <r>
    <x v="19"/>
    <x v="0"/>
    <x v="172"/>
    <n v="2766"/>
    <x v="1"/>
  </r>
  <r>
    <x v="19"/>
    <x v="0"/>
    <x v="149"/>
    <n v="2958"/>
    <x v="1"/>
  </r>
  <r>
    <x v="19"/>
    <x v="0"/>
    <x v="225"/>
    <n v="2"/>
    <x v="0"/>
  </r>
  <r>
    <x v="19"/>
    <x v="0"/>
    <x v="191"/>
    <n v="2013"/>
    <x v="1"/>
  </r>
  <r>
    <x v="18"/>
    <x v="0"/>
    <x v="97"/>
    <n v="954"/>
    <x v="1"/>
  </r>
  <r>
    <x v="19"/>
    <x v="0"/>
    <x v="168"/>
    <n v="1955"/>
    <x v="1"/>
  </r>
  <r>
    <x v="18"/>
    <x v="0"/>
    <x v="167"/>
    <n v="2224"/>
    <x v="1"/>
  </r>
  <r>
    <x v="18"/>
    <x v="0"/>
    <x v="106"/>
    <n v="2068"/>
    <x v="1"/>
  </r>
  <r>
    <x v="19"/>
    <x v="0"/>
    <x v="190"/>
    <n v="1732"/>
    <x v="1"/>
  </r>
  <r>
    <x v="19"/>
    <x v="0"/>
    <x v="176"/>
    <n v="1"/>
    <x v="0"/>
  </r>
  <r>
    <x v="19"/>
    <x v="0"/>
    <x v="73"/>
    <n v="696"/>
    <x v="1"/>
  </r>
  <r>
    <x v="18"/>
    <x v="0"/>
    <x v="57"/>
    <n v="8"/>
    <x v="0"/>
  </r>
  <r>
    <x v="19"/>
    <x v="0"/>
    <x v="103"/>
    <n v="21"/>
    <x v="0"/>
  </r>
  <r>
    <x v="19"/>
    <x v="0"/>
    <x v="227"/>
    <n v="1"/>
    <x v="0"/>
  </r>
  <r>
    <x v="19"/>
    <x v="0"/>
    <x v="87"/>
    <n v="2794"/>
    <x v="1"/>
  </r>
  <r>
    <x v="19"/>
    <x v="0"/>
    <x v="211"/>
    <n v="1"/>
    <x v="0"/>
  </r>
  <r>
    <x v="19"/>
    <x v="0"/>
    <x v="182"/>
    <n v="2343"/>
    <x v="1"/>
  </r>
  <r>
    <x v="19"/>
    <x v="0"/>
    <x v="38"/>
    <n v="3409"/>
    <x v="1"/>
  </r>
  <r>
    <x v="19"/>
    <x v="0"/>
    <x v="110"/>
    <n v="1"/>
    <x v="0"/>
  </r>
  <r>
    <x v="19"/>
    <x v="0"/>
    <x v="175"/>
    <n v="1"/>
    <x v="0"/>
  </r>
  <r>
    <x v="18"/>
    <x v="0"/>
    <x v="179"/>
    <n v="3"/>
    <x v="0"/>
  </r>
  <r>
    <x v="18"/>
    <x v="0"/>
    <x v="149"/>
    <n v="2222"/>
    <x v="1"/>
  </r>
  <r>
    <x v="19"/>
    <x v="0"/>
    <x v="193"/>
    <n v="1520"/>
    <x v="1"/>
  </r>
  <r>
    <x v="19"/>
    <x v="0"/>
    <x v="233"/>
    <n v="1"/>
    <x v="0"/>
  </r>
  <r>
    <x v="18"/>
    <x v="0"/>
    <x v="40"/>
    <n v="3"/>
    <x v="0"/>
  </r>
  <r>
    <x v="19"/>
    <x v="0"/>
    <x v="96"/>
    <n v="52"/>
    <x v="0"/>
  </r>
  <r>
    <x v="19"/>
    <x v="0"/>
    <x v="167"/>
    <n v="2852"/>
    <x v="1"/>
  </r>
  <r>
    <x v="19"/>
    <x v="0"/>
    <x v="234"/>
    <n v="1394"/>
    <x v="1"/>
  </r>
  <r>
    <x v="19"/>
    <x v="0"/>
    <x v="21"/>
    <n v="2916"/>
    <x v="1"/>
  </r>
  <r>
    <x v="19"/>
    <x v="0"/>
    <x v="134"/>
    <n v="681"/>
    <x v="1"/>
  </r>
  <r>
    <x v="18"/>
    <x v="0"/>
    <x v="165"/>
    <n v="1"/>
    <x v="0"/>
  </r>
  <r>
    <x v="19"/>
    <x v="0"/>
    <x v="58"/>
    <n v="3158"/>
    <x v="1"/>
  </r>
  <r>
    <x v="18"/>
    <x v="0"/>
    <x v="132"/>
    <n v="4"/>
    <x v="0"/>
  </r>
  <r>
    <x v="19"/>
    <x v="0"/>
    <x v="117"/>
    <n v="2515"/>
    <x v="1"/>
  </r>
  <r>
    <x v="18"/>
    <x v="0"/>
    <x v="148"/>
    <n v="2616"/>
    <x v="1"/>
  </r>
  <r>
    <x v="18"/>
    <x v="0"/>
    <x v="41"/>
    <n v="3"/>
    <x v="0"/>
  </r>
  <r>
    <x v="18"/>
    <x v="0"/>
    <x v="135"/>
    <n v="2114"/>
    <x v="1"/>
  </r>
  <r>
    <x v="19"/>
    <x v="0"/>
    <x v="71"/>
    <n v="3528"/>
    <x v="1"/>
  </r>
  <r>
    <x v="19"/>
    <x v="0"/>
    <x v="68"/>
    <n v="1"/>
    <x v="0"/>
  </r>
  <r>
    <x v="18"/>
    <x v="0"/>
    <x v="172"/>
    <n v="1285"/>
    <x v="1"/>
  </r>
  <r>
    <x v="19"/>
    <x v="0"/>
    <x v="1"/>
    <n v="27"/>
    <x v="0"/>
  </r>
  <r>
    <x v="18"/>
    <x v="0"/>
    <x v="37"/>
    <n v="774"/>
    <x v="1"/>
  </r>
  <r>
    <x v="19"/>
    <x v="0"/>
    <x v="97"/>
    <n v="331"/>
    <x v="1"/>
  </r>
  <r>
    <x v="19"/>
    <x v="0"/>
    <x v="199"/>
    <n v="3381"/>
    <x v="1"/>
  </r>
  <r>
    <x v="19"/>
    <x v="0"/>
    <x v="92"/>
    <n v="3"/>
    <x v="0"/>
  </r>
  <r>
    <x v="18"/>
    <x v="0"/>
    <x v="108"/>
    <n v="514"/>
    <x v="1"/>
  </r>
  <r>
    <x v="18"/>
    <x v="0"/>
    <x v="54"/>
    <n v="7"/>
    <x v="0"/>
  </r>
  <r>
    <x v="19"/>
    <x v="0"/>
    <x v="124"/>
    <n v="2774"/>
    <x v="1"/>
  </r>
  <r>
    <x v="18"/>
    <x v="0"/>
    <x v="87"/>
    <n v="30"/>
    <x v="0"/>
  </r>
  <r>
    <x v="19"/>
    <x v="0"/>
    <x v="9"/>
    <n v="3607"/>
    <x v="1"/>
  </r>
  <r>
    <x v="19"/>
    <x v="0"/>
    <x v="56"/>
    <n v="2351"/>
    <x v="1"/>
  </r>
  <r>
    <x v="18"/>
    <x v="0"/>
    <x v="89"/>
    <n v="2448"/>
    <x v="1"/>
  </r>
  <r>
    <x v="18"/>
    <x v="0"/>
    <x v="184"/>
    <n v="2004"/>
    <x v="1"/>
  </r>
  <r>
    <x v="18"/>
    <x v="0"/>
    <x v="38"/>
    <n v="3234"/>
    <x v="1"/>
  </r>
  <r>
    <x v="18"/>
    <x v="0"/>
    <x v="86"/>
    <n v="2327"/>
    <x v="1"/>
  </r>
  <r>
    <x v="19"/>
    <x v="0"/>
    <x v="220"/>
    <n v="4171"/>
    <x v="1"/>
  </r>
  <r>
    <x v="19"/>
    <x v="0"/>
    <x v="63"/>
    <n v="690"/>
    <x v="1"/>
  </r>
  <r>
    <x v="18"/>
    <x v="0"/>
    <x v="84"/>
    <n v="22"/>
    <x v="0"/>
  </r>
  <r>
    <x v="18"/>
    <x v="0"/>
    <x v="26"/>
    <n v="2142"/>
    <x v="1"/>
  </r>
  <r>
    <x v="19"/>
    <x v="0"/>
    <x v="95"/>
    <n v="3141"/>
    <x v="1"/>
  </r>
  <r>
    <x v="18"/>
    <x v="0"/>
    <x v="212"/>
    <n v="1"/>
    <x v="0"/>
  </r>
  <r>
    <x v="18"/>
    <x v="0"/>
    <x v="214"/>
    <n v="1"/>
    <x v="0"/>
  </r>
  <r>
    <x v="19"/>
    <x v="0"/>
    <x v="37"/>
    <n v="285"/>
    <x v="1"/>
  </r>
  <r>
    <x v="18"/>
    <x v="0"/>
    <x v="48"/>
    <n v="10"/>
    <x v="0"/>
  </r>
  <r>
    <x v="18"/>
    <x v="0"/>
    <x v="77"/>
    <n v="5"/>
    <x v="0"/>
  </r>
  <r>
    <x v="18"/>
    <x v="0"/>
    <x v="127"/>
    <n v="2607"/>
    <x v="1"/>
  </r>
  <r>
    <x v="19"/>
    <x v="0"/>
    <x v="13"/>
    <n v="1"/>
    <x v="0"/>
  </r>
  <r>
    <x v="18"/>
    <x v="0"/>
    <x v="170"/>
    <n v="2544"/>
    <x v="1"/>
  </r>
  <r>
    <x v="19"/>
    <x v="0"/>
    <x v="170"/>
    <n v="3095"/>
    <x v="1"/>
  </r>
  <r>
    <x v="18"/>
    <x v="0"/>
    <x v="36"/>
    <n v="3"/>
    <x v="0"/>
  </r>
  <r>
    <x v="19"/>
    <x v="0"/>
    <x v="135"/>
    <n v="2098"/>
    <x v="1"/>
  </r>
  <r>
    <x v="18"/>
    <x v="0"/>
    <x v="207"/>
    <n v="13"/>
    <x v="0"/>
  </r>
  <r>
    <x v="19"/>
    <x v="0"/>
    <x v="142"/>
    <n v="2374"/>
    <x v="1"/>
  </r>
  <r>
    <x v="18"/>
    <x v="0"/>
    <x v="11"/>
    <n v="2"/>
    <x v="0"/>
  </r>
  <r>
    <x v="18"/>
    <x v="0"/>
    <x v="16"/>
    <n v="5"/>
    <x v="0"/>
  </r>
  <r>
    <x v="18"/>
    <x v="0"/>
    <x v="71"/>
    <n v="3359"/>
    <x v="1"/>
  </r>
  <r>
    <x v="18"/>
    <x v="0"/>
    <x v="34"/>
    <n v="2"/>
    <x v="0"/>
  </r>
  <r>
    <x v="19"/>
    <x v="0"/>
    <x v="53"/>
    <n v="117"/>
    <x v="1"/>
  </r>
  <r>
    <x v="18"/>
    <x v="0"/>
    <x v="39"/>
    <n v="2"/>
    <x v="0"/>
  </r>
  <r>
    <x v="18"/>
    <x v="0"/>
    <x v="142"/>
    <n v="2264"/>
    <x v="1"/>
  </r>
  <r>
    <x v="18"/>
    <x v="0"/>
    <x v="82"/>
    <n v="3383"/>
    <x v="1"/>
  </r>
  <r>
    <x v="18"/>
    <x v="0"/>
    <x v="60"/>
    <n v="1"/>
    <x v="0"/>
  </r>
  <r>
    <x v="18"/>
    <x v="0"/>
    <x v="202"/>
    <n v="1"/>
    <x v="0"/>
  </r>
  <r>
    <x v="19"/>
    <x v="0"/>
    <x v="137"/>
    <n v="1533"/>
    <x v="1"/>
  </r>
  <r>
    <x v="19"/>
    <x v="0"/>
    <x v="111"/>
    <n v="2458"/>
    <x v="1"/>
  </r>
  <r>
    <x v="19"/>
    <x v="0"/>
    <x v="237"/>
    <n v="2"/>
    <x v="0"/>
  </r>
  <r>
    <x v="19"/>
    <x v="0"/>
    <x v="129"/>
    <n v="1059"/>
    <x v="1"/>
  </r>
  <r>
    <x v="18"/>
    <x v="0"/>
    <x v="59"/>
    <n v="165"/>
    <x v="1"/>
  </r>
  <r>
    <x v="19"/>
    <x v="0"/>
    <x v="23"/>
    <n v="3"/>
    <x v="0"/>
  </r>
  <r>
    <x v="18"/>
    <x v="0"/>
    <x v="110"/>
    <n v="6"/>
    <x v="0"/>
  </r>
  <r>
    <x v="19"/>
    <x v="0"/>
    <x v="65"/>
    <n v="434"/>
    <x v="1"/>
  </r>
  <r>
    <x v="19"/>
    <x v="0"/>
    <x v="57"/>
    <n v="3"/>
    <x v="0"/>
  </r>
  <r>
    <x v="19"/>
    <x v="0"/>
    <x v="11"/>
    <n v="9"/>
    <x v="0"/>
  </r>
  <r>
    <x v="18"/>
    <x v="0"/>
    <x v="169"/>
    <n v="1"/>
    <x v="0"/>
  </r>
  <r>
    <x v="18"/>
    <x v="0"/>
    <x v="33"/>
    <n v="68"/>
    <x v="0"/>
  </r>
  <r>
    <x v="19"/>
    <x v="0"/>
    <x v="89"/>
    <n v="1907"/>
    <x v="1"/>
  </r>
  <r>
    <x v="18"/>
    <x v="0"/>
    <x v="23"/>
    <n v="1"/>
    <x v="0"/>
  </r>
  <r>
    <x v="19"/>
    <x v="0"/>
    <x v="184"/>
    <n v="2423"/>
    <x v="1"/>
  </r>
  <r>
    <x v="18"/>
    <x v="0"/>
    <x v="83"/>
    <n v="4"/>
    <x v="0"/>
  </r>
  <r>
    <x v="19"/>
    <x v="0"/>
    <x v="93"/>
    <n v="185"/>
    <x v="1"/>
  </r>
  <r>
    <x v="19"/>
    <x v="0"/>
    <x v="146"/>
    <n v="3115"/>
    <x v="1"/>
  </r>
  <r>
    <x v="18"/>
    <x v="0"/>
    <x v="196"/>
    <n v="2"/>
    <x v="0"/>
  </r>
  <r>
    <x v="18"/>
    <x v="0"/>
    <x v="217"/>
    <n v="1"/>
    <x v="0"/>
  </r>
  <r>
    <x v="19"/>
    <x v="0"/>
    <x v="109"/>
    <n v="3"/>
    <x v="0"/>
  </r>
  <r>
    <x v="19"/>
    <x v="0"/>
    <x v="74"/>
    <n v="2419"/>
    <x v="1"/>
  </r>
  <r>
    <x v="19"/>
    <x v="0"/>
    <x v="33"/>
    <n v="258"/>
    <x v="1"/>
  </r>
  <r>
    <x v="18"/>
    <x v="0"/>
    <x v="103"/>
    <n v="1229"/>
    <x v="1"/>
  </r>
  <r>
    <x v="19"/>
    <x v="0"/>
    <x v="76"/>
    <n v="1"/>
    <x v="0"/>
  </r>
  <r>
    <x v="19"/>
    <x v="0"/>
    <x v="31"/>
    <n v="3009"/>
    <x v="1"/>
  </r>
  <r>
    <x v="19"/>
    <x v="0"/>
    <x v="235"/>
    <n v="6"/>
    <x v="0"/>
  </r>
  <r>
    <x v="19"/>
    <x v="0"/>
    <x v="139"/>
    <n v="3041"/>
    <x v="1"/>
  </r>
  <r>
    <x v="19"/>
    <x v="0"/>
    <x v="165"/>
    <n v="1"/>
    <x v="0"/>
  </r>
  <r>
    <x v="18"/>
    <x v="0"/>
    <x v="10"/>
    <n v="744"/>
    <x v="1"/>
  </r>
  <r>
    <x v="18"/>
    <x v="0"/>
    <x v="69"/>
    <n v="3031"/>
    <x v="1"/>
  </r>
  <r>
    <x v="18"/>
    <x v="0"/>
    <x v="104"/>
    <n v="3852"/>
    <x v="1"/>
  </r>
  <r>
    <x v="19"/>
    <x v="0"/>
    <x v="121"/>
    <n v="2489"/>
    <x v="1"/>
  </r>
  <r>
    <x v="19"/>
    <x v="0"/>
    <x v="152"/>
    <n v="3215"/>
    <x v="1"/>
  </r>
  <r>
    <x v="19"/>
    <x v="0"/>
    <x v="50"/>
    <n v="341"/>
    <x v="1"/>
  </r>
  <r>
    <x v="19"/>
    <x v="0"/>
    <x v="128"/>
    <n v="3"/>
    <x v="0"/>
  </r>
  <r>
    <x v="19"/>
    <x v="0"/>
    <x v="136"/>
    <n v="3401"/>
    <x v="1"/>
  </r>
  <r>
    <x v="18"/>
    <x v="0"/>
    <x v="53"/>
    <n v="65"/>
    <x v="0"/>
  </r>
  <r>
    <x v="18"/>
    <x v="0"/>
    <x v="96"/>
    <n v="87"/>
    <x v="0"/>
  </r>
  <r>
    <x v="18"/>
    <x v="0"/>
    <x v="211"/>
    <n v="1"/>
    <x v="0"/>
  </r>
  <r>
    <x v="18"/>
    <x v="0"/>
    <x v="161"/>
    <n v="2"/>
    <x v="0"/>
  </r>
  <r>
    <x v="19"/>
    <x v="0"/>
    <x v="83"/>
    <n v="3"/>
    <x v="0"/>
  </r>
  <r>
    <x v="19"/>
    <x v="0"/>
    <x v="141"/>
    <n v="1892"/>
    <x v="1"/>
  </r>
  <r>
    <x v="19"/>
    <x v="0"/>
    <x v="232"/>
    <n v="2274"/>
    <x v="1"/>
  </r>
  <r>
    <x v="19"/>
    <x v="0"/>
    <x v="159"/>
    <n v="1"/>
    <x v="0"/>
  </r>
  <r>
    <x v="18"/>
    <x v="0"/>
    <x v="1"/>
    <n v="28"/>
    <x v="0"/>
  </r>
  <r>
    <x v="18"/>
    <x v="0"/>
    <x v="105"/>
    <n v="2356"/>
    <x v="1"/>
  </r>
  <r>
    <x v="19"/>
    <x v="0"/>
    <x v="84"/>
    <n v="6"/>
    <x v="0"/>
  </r>
  <r>
    <x v="18"/>
    <x v="0"/>
    <x v="80"/>
    <n v="29"/>
    <x v="0"/>
  </r>
  <r>
    <x v="18"/>
    <x v="0"/>
    <x v="117"/>
    <n v="2266"/>
    <x v="1"/>
  </r>
  <r>
    <x v="18"/>
    <x v="0"/>
    <x v="206"/>
    <n v="2"/>
    <x v="0"/>
  </r>
  <r>
    <x v="18"/>
    <x v="0"/>
    <x v="45"/>
    <n v="91"/>
    <x v="0"/>
  </r>
  <r>
    <x v="19"/>
    <x v="0"/>
    <x v="188"/>
    <n v="2743"/>
    <x v="1"/>
  </r>
  <r>
    <x v="19"/>
    <x v="0"/>
    <x v="86"/>
    <n v="3315"/>
    <x v="1"/>
  </r>
  <r>
    <x v="19"/>
    <x v="0"/>
    <x v="12"/>
    <n v="3"/>
    <x v="0"/>
  </r>
  <r>
    <x v="18"/>
    <x v="0"/>
    <x v="24"/>
    <n v="4"/>
    <x v="0"/>
  </r>
  <r>
    <x v="19"/>
    <x v="0"/>
    <x v="7"/>
    <n v="1037"/>
    <x v="1"/>
  </r>
  <r>
    <x v="18"/>
    <x v="0"/>
    <x v="55"/>
    <n v="7"/>
    <x v="0"/>
  </r>
  <r>
    <x v="19"/>
    <x v="0"/>
    <x v="157"/>
    <n v="2"/>
    <x v="0"/>
  </r>
  <r>
    <x v="19"/>
    <x v="0"/>
    <x v="108"/>
    <n v="323"/>
    <x v="1"/>
  </r>
  <r>
    <x v="19"/>
    <x v="0"/>
    <x v="40"/>
    <n v="3"/>
    <x v="0"/>
  </r>
  <r>
    <x v="19"/>
    <x v="0"/>
    <x v="204"/>
    <n v="1"/>
    <x v="0"/>
  </r>
  <r>
    <x v="18"/>
    <x v="0"/>
    <x v="113"/>
    <n v="2449"/>
    <x v="1"/>
  </r>
  <r>
    <x v="18"/>
    <x v="0"/>
    <x v="73"/>
    <n v="690"/>
    <x v="1"/>
  </r>
  <r>
    <x v="19"/>
    <x v="0"/>
    <x v="145"/>
    <n v="1"/>
    <x v="0"/>
  </r>
  <r>
    <x v="18"/>
    <x v="0"/>
    <x v="4"/>
    <n v="3"/>
    <x v="0"/>
  </r>
  <r>
    <x v="19"/>
    <x v="0"/>
    <x v="94"/>
    <n v="291"/>
    <x v="1"/>
  </r>
  <r>
    <x v="19"/>
    <x v="0"/>
    <x v="158"/>
    <n v="1"/>
    <x v="0"/>
  </r>
  <r>
    <x v="19"/>
    <x v="0"/>
    <x v="153"/>
    <n v="2087"/>
    <x v="1"/>
  </r>
  <r>
    <x v="19"/>
    <x v="0"/>
    <x v="52"/>
    <n v="2655"/>
    <x v="1"/>
  </r>
  <r>
    <x v="19"/>
    <x v="0"/>
    <x v="22"/>
    <n v="3502"/>
    <x v="1"/>
  </r>
  <r>
    <x v="18"/>
    <x v="0"/>
    <x v="209"/>
    <n v="1"/>
    <x v="0"/>
  </r>
  <r>
    <x v="18"/>
    <x v="0"/>
    <x v="66"/>
    <n v="3060"/>
    <x v="1"/>
  </r>
  <r>
    <x v="18"/>
    <x v="0"/>
    <x v="204"/>
    <n v="1"/>
    <x v="0"/>
  </r>
  <r>
    <x v="18"/>
    <x v="0"/>
    <x v="107"/>
    <n v="7"/>
    <x v="0"/>
  </r>
  <r>
    <x v="19"/>
    <x v="0"/>
    <x v="126"/>
    <n v="58"/>
    <x v="0"/>
  </r>
  <r>
    <x v="18"/>
    <x v="0"/>
    <x v="18"/>
    <n v="1"/>
    <x v="0"/>
  </r>
  <r>
    <x v="19"/>
    <x v="0"/>
    <x v="59"/>
    <n v="36"/>
    <x v="0"/>
  </r>
  <r>
    <x v="19"/>
    <x v="0"/>
    <x v="106"/>
    <n v="1991"/>
    <x v="1"/>
  </r>
  <r>
    <x v="19"/>
    <x v="0"/>
    <x v="105"/>
    <n v="566"/>
    <x v="1"/>
  </r>
  <r>
    <x v="18"/>
    <x v="0"/>
    <x v="152"/>
    <n v="2277"/>
    <x v="1"/>
  </r>
  <r>
    <x v="19"/>
    <x v="0"/>
    <x v="51"/>
    <n v="2326"/>
    <x v="1"/>
  </r>
  <r>
    <x v="19"/>
    <x v="0"/>
    <x v="77"/>
    <n v="2"/>
    <x v="0"/>
  </r>
  <r>
    <x v="18"/>
    <x v="0"/>
    <x v="157"/>
    <n v="1"/>
    <x v="0"/>
  </r>
  <r>
    <x v="19"/>
    <x v="0"/>
    <x v="115"/>
    <n v="5141"/>
    <x v="1"/>
  </r>
  <r>
    <x v="19"/>
    <x v="0"/>
    <x v="171"/>
    <n v="2204"/>
    <x v="1"/>
  </r>
  <r>
    <x v="18"/>
    <x v="0"/>
    <x v="52"/>
    <n v="2380"/>
    <x v="1"/>
  </r>
  <r>
    <x v="19"/>
    <x v="0"/>
    <x v="151"/>
    <n v="3633"/>
    <x v="1"/>
  </r>
  <r>
    <x v="18"/>
    <x v="0"/>
    <x v="90"/>
    <n v="1256"/>
    <x v="1"/>
  </r>
  <r>
    <x v="19"/>
    <x v="0"/>
    <x v="154"/>
    <n v="1415"/>
    <x v="1"/>
  </r>
  <r>
    <x v="19"/>
    <x v="0"/>
    <x v="45"/>
    <n v="9"/>
    <x v="0"/>
  </r>
  <r>
    <x v="18"/>
    <x v="0"/>
    <x v="94"/>
    <n v="746"/>
    <x v="1"/>
  </r>
  <r>
    <x v="18"/>
    <x v="0"/>
    <x v="13"/>
    <n v="3"/>
    <x v="0"/>
  </r>
  <r>
    <x v="19"/>
    <x v="0"/>
    <x v="25"/>
    <n v="6"/>
    <x v="0"/>
  </r>
  <r>
    <x v="18"/>
    <x v="0"/>
    <x v="78"/>
    <n v="136"/>
    <x v="1"/>
  </r>
  <r>
    <x v="19"/>
    <x v="0"/>
    <x v="229"/>
    <n v="285"/>
    <x v="1"/>
  </r>
  <r>
    <x v="19"/>
    <x v="0"/>
    <x v="4"/>
    <n v="10"/>
    <x v="0"/>
  </r>
  <r>
    <x v="18"/>
    <x v="0"/>
    <x v="91"/>
    <n v="3725"/>
    <x v="1"/>
  </r>
  <r>
    <x v="18"/>
    <x v="0"/>
    <x v="35"/>
    <n v="100"/>
    <x v="1"/>
  </r>
  <r>
    <x v="18"/>
    <x v="0"/>
    <x v="189"/>
    <n v="2685"/>
    <x v="1"/>
  </r>
  <r>
    <x v="18"/>
    <x v="0"/>
    <x v="29"/>
    <n v="12"/>
    <x v="0"/>
  </r>
  <r>
    <x v="19"/>
    <x v="0"/>
    <x v="186"/>
    <n v="1718"/>
    <x v="1"/>
  </r>
  <r>
    <x v="19"/>
    <x v="0"/>
    <x v="17"/>
    <n v="627"/>
    <x v="1"/>
  </r>
  <r>
    <x v="19"/>
    <x v="0"/>
    <x v="143"/>
    <n v="3917"/>
    <x v="1"/>
  </r>
  <r>
    <x v="18"/>
    <x v="0"/>
    <x v="118"/>
    <n v="2722"/>
    <x v="1"/>
  </r>
  <r>
    <x v="18"/>
    <x v="0"/>
    <x v="133"/>
    <n v="2799"/>
    <x v="1"/>
  </r>
  <r>
    <x v="19"/>
    <x v="0"/>
    <x v="27"/>
    <n v="2438"/>
    <x v="1"/>
  </r>
  <r>
    <x v="19"/>
    <x v="0"/>
    <x v="66"/>
    <n v="3954"/>
    <x v="1"/>
  </r>
  <r>
    <x v="18"/>
    <x v="0"/>
    <x v="5"/>
    <n v="1"/>
    <x v="0"/>
  </r>
  <r>
    <x v="18"/>
    <x v="0"/>
    <x v="171"/>
    <n v="2154"/>
    <x v="1"/>
  </r>
  <r>
    <x v="18"/>
    <x v="0"/>
    <x v="125"/>
    <n v="124"/>
    <x v="1"/>
  </r>
  <r>
    <x v="19"/>
    <x v="0"/>
    <x v="32"/>
    <n v="3105"/>
    <x v="1"/>
  </r>
  <r>
    <x v="19"/>
    <x v="0"/>
    <x v="3"/>
    <n v="883"/>
    <x v="1"/>
  </r>
  <r>
    <x v="19"/>
    <x v="0"/>
    <x v="173"/>
    <n v="1"/>
    <x v="0"/>
  </r>
  <r>
    <x v="19"/>
    <x v="0"/>
    <x v="85"/>
    <n v="354"/>
    <x v="1"/>
  </r>
  <r>
    <x v="18"/>
    <x v="0"/>
    <x v="154"/>
    <n v="2730"/>
    <x v="1"/>
  </r>
  <r>
    <x v="18"/>
    <x v="0"/>
    <x v="164"/>
    <n v="174"/>
    <x v="1"/>
  </r>
  <r>
    <x v="18"/>
    <x v="0"/>
    <x v="159"/>
    <n v="1"/>
    <x v="0"/>
  </r>
  <r>
    <x v="18"/>
    <x v="0"/>
    <x v="79"/>
    <n v="11606"/>
    <x v="1"/>
  </r>
  <r>
    <x v="19"/>
    <x v="0"/>
    <x v="125"/>
    <n v="21"/>
    <x v="0"/>
  </r>
  <r>
    <x v="18"/>
    <x v="0"/>
    <x v="111"/>
    <n v="2299"/>
    <x v="1"/>
  </r>
  <r>
    <x v="19"/>
    <x v="0"/>
    <x v="99"/>
    <n v="2598"/>
    <x v="1"/>
  </r>
  <r>
    <x v="18"/>
    <x v="0"/>
    <x v="101"/>
    <n v="1"/>
    <x v="0"/>
  </r>
  <r>
    <x v="18"/>
    <x v="0"/>
    <x v="181"/>
    <n v="77"/>
    <x v="0"/>
  </r>
  <r>
    <x v="19"/>
    <x v="0"/>
    <x v="169"/>
    <n v="2"/>
    <x v="0"/>
  </r>
  <r>
    <x v="18"/>
    <x v="0"/>
    <x v="70"/>
    <n v="22"/>
    <x v="0"/>
  </r>
  <r>
    <x v="19"/>
    <x v="0"/>
    <x v="64"/>
    <n v="697"/>
    <x v="1"/>
  </r>
  <r>
    <x v="18"/>
    <x v="0"/>
    <x v="160"/>
    <n v="4"/>
    <x v="0"/>
  </r>
  <r>
    <x v="18"/>
    <x v="0"/>
    <x v="175"/>
    <n v="1"/>
    <x v="0"/>
  </r>
  <r>
    <x v="19"/>
    <x v="0"/>
    <x v="185"/>
    <n v="3301"/>
    <x v="1"/>
  </r>
  <r>
    <x v="19"/>
    <x v="0"/>
    <x v="236"/>
    <n v="134"/>
    <x v="1"/>
  </r>
  <r>
    <x v="18"/>
    <x v="0"/>
    <x v="153"/>
    <n v="2198"/>
    <x v="1"/>
  </r>
  <r>
    <x v="18"/>
    <x v="0"/>
    <x v="99"/>
    <n v="2273"/>
    <x v="1"/>
  </r>
  <r>
    <x v="19"/>
    <x v="0"/>
    <x v="120"/>
    <n v="29"/>
    <x v="0"/>
  </r>
  <r>
    <x v="18"/>
    <x v="0"/>
    <x v="138"/>
    <n v="9"/>
    <x v="0"/>
  </r>
  <r>
    <x v="19"/>
    <x v="0"/>
    <x v="147"/>
    <n v="673"/>
    <x v="1"/>
  </r>
  <r>
    <x v="18"/>
    <x v="0"/>
    <x v="187"/>
    <n v="211"/>
    <x v="1"/>
  </r>
  <r>
    <x v="18"/>
    <x v="0"/>
    <x v="22"/>
    <n v="3294"/>
    <x v="1"/>
  </r>
  <r>
    <x v="18"/>
    <x v="0"/>
    <x v="137"/>
    <n v="1378"/>
    <x v="1"/>
  </r>
  <r>
    <x v="19"/>
    <x v="0"/>
    <x v="127"/>
    <n v="3750"/>
    <x v="1"/>
  </r>
  <r>
    <x v="19"/>
    <x v="0"/>
    <x v="196"/>
    <n v="1"/>
    <x v="0"/>
  </r>
  <r>
    <x v="18"/>
    <x v="0"/>
    <x v="131"/>
    <n v="2800"/>
    <x v="1"/>
  </r>
  <r>
    <x v="18"/>
    <x v="0"/>
    <x v="43"/>
    <n v="9"/>
    <x v="0"/>
  </r>
  <r>
    <x v="18"/>
    <x v="0"/>
    <x v="56"/>
    <n v="2442"/>
    <x v="1"/>
  </r>
  <r>
    <x v="19"/>
    <x v="0"/>
    <x v="80"/>
    <n v="1"/>
    <x v="0"/>
  </r>
  <r>
    <x v="18"/>
    <x v="0"/>
    <x v="62"/>
    <n v="2263"/>
    <x v="1"/>
  </r>
  <r>
    <x v="19"/>
    <x v="0"/>
    <x v="107"/>
    <n v="4"/>
    <x v="0"/>
  </r>
  <r>
    <x v="19"/>
    <x v="0"/>
    <x v="104"/>
    <n v="3"/>
    <x v="0"/>
  </r>
  <r>
    <x v="18"/>
    <x v="0"/>
    <x v="190"/>
    <n v="135"/>
    <x v="1"/>
  </r>
  <r>
    <x v="18"/>
    <x v="0"/>
    <x v="174"/>
    <n v="1"/>
    <x v="0"/>
  </r>
  <r>
    <x v="18"/>
    <x v="0"/>
    <x v="17"/>
    <n v="349"/>
    <x v="1"/>
  </r>
  <r>
    <x v="18"/>
    <x v="0"/>
    <x v="76"/>
    <n v="2"/>
    <x v="0"/>
  </r>
  <r>
    <x v="19"/>
    <x v="0"/>
    <x v="30"/>
    <n v="1119"/>
    <x v="1"/>
  </r>
  <r>
    <x v="19"/>
    <x v="0"/>
    <x v="144"/>
    <n v="2965"/>
    <x v="1"/>
  </r>
  <r>
    <x v="19"/>
    <x v="0"/>
    <x v="116"/>
    <n v="2133"/>
    <x v="1"/>
  </r>
  <r>
    <x v="19"/>
    <x v="0"/>
    <x v="177"/>
    <n v="1"/>
    <x v="0"/>
  </r>
  <r>
    <x v="18"/>
    <x v="0"/>
    <x v="63"/>
    <n v="429"/>
    <x v="1"/>
  </r>
  <r>
    <x v="18"/>
    <x v="0"/>
    <x v="21"/>
    <n v="2658"/>
    <x v="1"/>
  </r>
  <r>
    <x v="19"/>
    <x v="0"/>
    <x v="18"/>
    <n v="1"/>
    <x v="0"/>
  </r>
  <r>
    <x v="18"/>
    <x v="0"/>
    <x v="134"/>
    <n v="1127"/>
    <x v="1"/>
  </r>
  <r>
    <x v="19"/>
    <x v="0"/>
    <x v="231"/>
    <n v="2"/>
    <x v="0"/>
  </r>
  <r>
    <x v="18"/>
    <x v="0"/>
    <x v="27"/>
    <n v="2114"/>
    <x v="1"/>
  </r>
  <r>
    <x v="18"/>
    <x v="0"/>
    <x v="58"/>
    <n v="2451"/>
    <x v="1"/>
  </r>
  <r>
    <x v="18"/>
    <x v="0"/>
    <x v="121"/>
    <n v="2395"/>
    <x v="1"/>
  </r>
  <r>
    <x v="18"/>
    <x v="0"/>
    <x v="50"/>
    <n v="776"/>
    <x v="1"/>
  </r>
  <r>
    <x v="19"/>
    <x v="0"/>
    <x v="228"/>
    <n v="1"/>
    <x v="0"/>
  </r>
  <r>
    <x v="18"/>
    <x v="0"/>
    <x v="180"/>
    <n v="2"/>
    <x v="0"/>
  </r>
  <r>
    <x v="19"/>
    <x v="0"/>
    <x v="88"/>
    <n v="3607"/>
    <x v="1"/>
  </r>
  <r>
    <x v="18"/>
    <x v="0"/>
    <x v="12"/>
    <n v="43"/>
    <x v="0"/>
  </r>
  <r>
    <x v="19"/>
    <x v="0"/>
    <x v="14"/>
    <n v="2"/>
    <x v="0"/>
  </r>
  <r>
    <x v="19"/>
    <x v="0"/>
    <x v="218"/>
    <n v="6"/>
    <x v="0"/>
  </r>
  <r>
    <x v="19"/>
    <x v="0"/>
    <x v="70"/>
    <n v="8"/>
    <x v="0"/>
  </r>
  <r>
    <x v="19"/>
    <x v="0"/>
    <x v="179"/>
    <n v="2"/>
    <x v="0"/>
  </r>
  <r>
    <x v="18"/>
    <x v="0"/>
    <x v="31"/>
    <n v="2489"/>
    <x v="1"/>
  </r>
  <r>
    <x v="18"/>
    <x v="0"/>
    <x v="30"/>
    <n v="1144"/>
    <x v="1"/>
  </r>
  <r>
    <x v="19"/>
    <x v="0"/>
    <x v="78"/>
    <n v="3"/>
    <x v="0"/>
  </r>
  <r>
    <x v="18"/>
    <x v="0"/>
    <x v="64"/>
    <n v="1929"/>
    <x v="1"/>
  </r>
  <r>
    <x v="18"/>
    <x v="0"/>
    <x v="15"/>
    <n v="5"/>
    <x v="0"/>
  </r>
  <r>
    <x v="18"/>
    <x v="0"/>
    <x v="166"/>
    <n v="15"/>
    <x v="0"/>
  </r>
  <r>
    <x v="18"/>
    <x v="0"/>
    <x v="67"/>
    <n v="1"/>
    <x v="0"/>
  </r>
  <r>
    <x v="19"/>
    <x v="0"/>
    <x v="8"/>
    <n v="2222"/>
    <x v="1"/>
  </r>
  <r>
    <x v="18"/>
    <x v="0"/>
    <x v="65"/>
    <n v="380"/>
    <x v="1"/>
  </r>
  <r>
    <x v="19"/>
    <x v="0"/>
    <x v="82"/>
    <n v="7"/>
    <x v="0"/>
  </r>
  <r>
    <x v="18"/>
    <x v="0"/>
    <x v="218"/>
    <n v="1"/>
    <x v="0"/>
  </r>
  <r>
    <x v="18"/>
    <x v="0"/>
    <x v="14"/>
    <n v="84"/>
    <x v="0"/>
  </r>
  <r>
    <x v="18"/>
    <x v="0"/>
    <x v="151"/>
    <n v="2339"/>
    <x v="1"/>
  </r>
  <r>
    <x v="19"/>
    <x v="0"/>
    <x v="123"/>
    <n v="2275"/>
    <x v="1"/>
  </r>
  <r>
    <x v="18"/>
    <x v="0"/>
    <x v="176"/>
    <n v="1"/>
    <x v="0"/>
  </r>
  <r>
    <x v="18"/>
    <x v="0"/>
    <x v="188"/>
    <n v="2080"/>
    <x v="1"/>
  </r>
  <r>
    <x v="19"/>
    <x v="0"/>
    <x v="43"/>
    <n v="5"/>
    <x v="0"/>
  </r>
  <r>
    <x v="19"/>
    <x v="0"/>
    <x v="0"/>
    <n v="43"/>
    <x v="0"/>
  </r>
  <r>
    <x v="19"/>
    <x v="0"/>
    <x v="192"/>
    <n v="2799"/>
    <x v="1"/>
  </r>
  <r>
    <x v="19"/>
    <x v="0"/>
    <x v="47"/>
    <n v="405"/>
    <x v="1"/>
  </r>
  <r>
    <x v="18"/>
    <x v="0"/>
    <x v="75"/>
    <n v="1019"/>
    <x v="1"/>
  </r>
  <r>
    <x v="19"/>
    <x v="0"/>
    <x v="119"/>
    <n v="1"/>
    <x v="0"/>
  </r>
  <r>
    <x v="19"/>
    <x v="0"/>
    <x v="67"/>
    <n v="1"/>
    <x v="0"/>
  </r>
  <r>
    <x v="18"/>
    <x v="0"/>
    <x v="185"/>
    <n v="1763"/>
    <x v="1"/>
  </r>
  <r>
    <x v="18"/>
    <x v="0"/>
    <x v="147"/>
    <n v="840"/>
    <x v="1"/>
  </r>
  <r>
    <x v="19"/>
    <x v="0"/>
    <x v="75"/>
    <n v="141"/>
    <x v="1"/>
  </r>
  <r>
    <x v="19"/>
    <x v="0"/>
    <x v="222"/>
    <n v="1211"/>
    <x v="1"/>
  </r>
  <r>
    <x v="18"/>
    <x v="0"/>
    <x v="116"/>
    <n v="643"/>
    <x v="1"/>
  </r>
  <r>
    <x v="18"/>
    <x v="0"/>
    <x v="145"/>
    <n v="4"/>
    <x v="0"/>
  </r>
  <r>
    <x v="18"/>
    <x v="0"/>
    <x v="213"/>
    <n v="2"/>
    <x v="0"/>
  </r>
  <r>
    <x v="19"/>
    <x v="0"/>
    <x v="214"/>
    <n v="2"/>
    <x v="0"/>
  </r>
  <r>
    <x v="19"/>
    <x v="0"/>
    <x v="198"/>
    <n v="3387"/>
    <x v="1"/>
  </r>
  <r>
    <x v="19"/>
    <x v="0"/>
    <x v="28"/>
    <n v="2528"/>
    <x v="1"/>
  </r>
  <r>
    <x v="18"/>
    <x v="0"/>
    <x v="183"/>
    <n v="148"/>
    <x v="1"/>
  </r>
  <r>
    <x v="19"/>
    <x v="0"/>
    <x v="164"/>
    <n v="71"/>
    <x v="0"/>
  </r>
  <r>
    <x v="18"/>
    <x v="0"/>
    <x v="72"/>
    <n v="2813"/>
    <x v="1"/>
  </r>
  <r>
    <x v="18"/>
    <x v="0"/>
    <x v="194"/>
    <n v="1"/>
    <x v="0"/>
  </r>
  <r>
    <x v="19"/>
    <x v="0"/>
    <x v="207"/>
    <n v="1"/>
    <x v="0"/>
  </r>
  <r>
    <x v="18"/>
    <x v="0"/>
    <x v="114"/>
    <n v="103"/>
    <x v="1"/>
  </r>
  <r>
    <x v="18"/>
    <x v="0"/>
    <x v="85"/>
    <n v="654"/>
    <x v="1"/>
  </r>
  <r>
    <x v="18"/>
    <x v="0"/>
    <x v="100"/>
    <n v="1"/>
    <x v="0"/>
  </r>
  <r>
    <x v="19"/>
    <x v="0"/>
    <x v="29"/>
    <n v="2"/>
    <x v="0"/>
  </r>
  <r>
    <x v="18"/>
    <x v="0"/>
    <x v="141"/>
    <n v="2189"/>
    <x v="1"/>
  </r>
  <r>
    <x v="19"/>
    <x v="0"/>
    <x v="205"/>
    <n v="2"/>
    <x v="0"/>
  </r>
  <r>
    <x v="18"/>
    <x v="0"/>
    <x v="195"/>
    <n v="1"/>
    <x v="0"/>
  </r>
  <r>
    <x v="18"/>
    <x v="0"/>
    <x v="186"/>
    <n v="131"/>
    <x v="1"/>
  </r>
  <r>
    <x v="18"/>
    <x v="0"/>
    <x v="215"/>
    <n v="2"/>
    <x v="0"/>
  </r>
  <r>
    <x v="18"/>
    <x v="0"/>
    <x v="168"/>
    <n v="116"/>
    <x v="1"/>
  </r>
  <r>
    <x v="18"/>
    <x v="0"/>
    <x v="25"/>
    <n v="4"/>
    <x v="0"/>
  </r>
  <r>
    <x v="18"/>
    <x v="0"/>
    <x v="98"/>
    <n v="1621"/>
    <x v="1"/>
  </r>
  <r>
    <x v="18"/>
    <x v="0"/>
    <x v="44"/>
    <n v="2660"/>
    <x v="1"/>
  </r>
  <r>
    <x v="18"/>
    <x v="0"/>
    <x v="102"/>
    <n v="2304"/>
    <x v="1"/>
  </r>
  <r>
    <x v="18"/>
    <x v="0"/>
    <x v="3"/>
    <n v="883"/>
    <x v="1"/>
  </r>
  <r>
    <x v="19"/>
    <x v="0"/>
    <x v="189"/>
    <n v="3110"/>
    <x v="1"/>
  </r>
  <r>
    <x v="19"/>
    <x v="0"/>
    <x v="221"/>
    <n v="7"/>
    <x v="0"/>
  </r>
  <r>
    <x v="19"/>
    <x v="0"/>
    <x v="91"/>
    <n v="10"/>
    <x v="0"/>
  </r>
  <r>
    <x v="18"/>
    <x v="0"/>
    <x v="7"/>
    <n v="2993"/>
    <x v="1"/>
  </r>
  <r>
    <x v="18"/>
    <x v="0"/>
    <x v="124"/>
    <n v="2387"/>
    <x v="1"/>
  </r>
  <r>
    <x v="18"/>
    <x v="0"/>
    <x v="49"/>
    <n v="2"/>
    <x v="0"/>
  </r>
  <r>
    <x v="18"/>
    <x v="0"/>
    <x v="112"/>
    <n v="1"/>
    <x v="0"/>
  </r>
  <r>
    <x v="19"/>
    <x v="0"/>
    <x v="226"/>
    <n v="176"/>
    <x v="1"/>
  </r>
  <r>
    <x v="18"/>
    <x v="0"/>
    <x v="28"/>
    <n v="2354"/>
    <x v="1"/>
  </r>
  <r>
    <x v="19"/>
    <x v="0"/>
    <x v="102"/>
    <n v="2765"/>
    <x v="1"/>
  </r>
  <r>
    <x v="19"/>
    <x v="0"/>
    <x v="114"/>
    <n v="111"/>
    <x v="1"/>
  </r>
  <r>
    <x v="18"/>
    <x v="0"/>
    <x v="9"/>
    <n v="2716"/>
    <x v="1"/>
  </r>
  <r>
    <x v="19"/>
    <x v="0"/>
    <x v="131"/>
    <n v="3641"/>
    <x v="1"/>
  </r>
  <r>
    <x v="18"/>
    <x v="0"/>
    <x v="150"/>
    <n v="630"/>
    <x v="1"/>
  </r>
  <r>
    <x v="19"/>
    <x v="0"/>
    <x v="212"/>
    <n v="5"/>
    <x v="0"/>
  </r>
  <r>
    <x v="18"/>
    <x v="0"/>
    <x v="129"/>
    <n v="2387"/>
    <x v="1"/>
  </r>
  <r>
    <x v="19"/>
    <x v="0"/>
    <x v="69"/>
    <n v="2700"/>
    <x v="1"/>
  </r>
  <r>
    <x v="18"/>
    <x v="0"/>
    <x v="115"/>
    <n v="3838"/>
    <x v="1"/>
  </r>
  <r>
    <x v="18"/>
    <x v="0"/>
    <x v="19"/>
    <n v="239"/>
    <x v="1"/>
  </r>
  <r>
    <x v="18"/>
    <x v="0"/>
    <x v="123"/>
    <n v="3210"/>
    <x v="1"/>
  </r>
  <r>
    <x v="18"/>
    <x v="0"/>
    <x v="126"/>
    <n v="331"/>
    <x v="1"/>
  </r>
  <r>
    <x v="19"/>
    <x v="0"/>
    <x v="19"/>
    <n v="216"/>
    <x v="1"/>
  </r>
  <r>
    <x v="19"/>
    <x v="0"/>
    <x v="15"/>
    <n v="1"/>
    <x v="0"/>
  </r>
  <r>
    <x v="19"/>
    <x v="0"/>
    <x v="132"/>
    <n v="1"/>
    <x v="0"/>
  </r>
  <r>
    <x v="19"/>
    <x v="0"/>
    <x v="44"/>
    <n v="2684"/>
    <x v="1"/>
  </r>
  <r>
    <x v="18"/>
    <x v="0"/>
    <x v="158"/>
    <n v="1"/>
    <x v="0"/>
  </r>
  <r>
    <x v="19"/>
    <x v="0"/>
    <x v="5"/>
    <n v="1"/>
    <x v="0"/>
  </r>
  <r>
    <x v="18"/>
    <x v="0"/>
    <x v="68"/>
    <n v="4"/>
    <x v="0"/>
  </r>
  <r>
    <x v="18"/>
    <x v="0"/>
    <x v="208"/>
    <n v="4"/>
    <x v="0"/>
  </r>
  <r>
    <x v="19"/>
    <x v="0"/>
    <x v="133"/>
    <n v="685"/>
    <x v="1"/>
  </r>
  <r>
    <x v="19"/>
    <x v="0"/>
    <x v="113"/>
    <n v="2551"/>
    <x v="1"/>
  </r>
  <r>
    <x v="18"/>
    <x v="0"/>
    <x v="61"/>
    <n v="916"/>
    <x v="1"/>
  </r>
  <r>
    <x v="18"/>
    <x v="0"/>
    <x v="0"/>
    <n v="38"/>
    <x v="0"/>
  </r>
  <r>
    <x v="19"/>
    <x v="0"/>
    <x v="183"/>
    <n v="3563"/>
    <x v="1"/>
  </r>
  <r>
    <x v="18"/>
    <x v="0"/>
    <x v="144"/>
    <n v="2541"/>
    <x v="1"/>
  </r>
  <r>
    <x v="19"/>
    <x v="0"/>
    <x v="10"/>
    <n v="654"/>
    <x v="1"/>
  </r>
  <r>
    <x v="19"/>
    <x v="0"/>
    <x v="35"/>
    <n v="33"/>
    <x v="0"/>
  </r>
  <r>
    <x v="19"/>
    <x v="0"/>
    <x v="90"/>
    <n v="869"/>
    <x v="1"/>
  </r>
  <r>
    <x v="18"/>
    <x v="0"/>
    <x v="47"/>
    <n v="320"/>
    <x v="1"/>
  </r>
  <r>
    <x v="19"/>
    <x v="0"/>
    <x v="62"/>
    <n v="611"/>
    <x v="1"/>
  </r>
  <r>
    <x v="19"/>
    <x v="0"/>
    <x v="98"/>
    <n v="21"/>
    <x v="0"/>
  </r>
  <r>
    <x v="19"/>
    <x v="0"/>
    <x v="20"/>
    <n v="7"/>
    <x v="0"/>
  </r>
  <r>
    <x v="18"/>
    <x v="0"/>
    <x v="201"/>
    <n v="2"/>
    <x v="0"/>
  </r>
  <r>
    <x v="19"/>
    <x v="0"/>
    <x v="61"/>
    <n v="176"/>
    <x v="1"/>
  </r>
  <r>
    <x v="18"/>
    <x v="0"/>
    <x v="122"/>
    <n v="17"/>
    <x v="0"/>
  </r>
  <r>
    <x v="18"/>
    <x v="0"/>
    <x v="182"/>
    <n v="2271"/>
    <x v="1"/>
  </r>
  <r>
    <x v="18"/>
    <x v="0"/>
    <x v="2"/>
    <n v="3583"/>
    <x v="1"/>
  </r>
  <r>
    <x v="18"/>
    <x v="0"/>
    <x v="205"/>
    <n v="2"/>
    <x v="0"/>
  </r>
  <r>
    <x v="18"/>
    <x v="0"/>
    <x v="140"/>
    <n v="3342"/>
    <x v="1"/>
  </r>
  <r>
    <x v="19"/>
    <x v="0"/>
    <x v="2"/>
    <n v="2795"/>
    <x v="1"/>
  </r>
  <r>
    <x v="18"/>
    <x v="0"/>
    <x v="20"/>
    <n v="3"/>
    <x v="0"/>
  </r>
  <r>
    <x v="19"/>
    <x v="0"/>
    <x v="195"/>
    <n v="1"/>
    <x v="0"/>
  </r>
  <r>
    <x v="18"/>
    <x v="0"/>
    <x v="191"/>
    <n v="2868"/>
    <x v="1"/>
  </r>
  <r>
    <x v="19"/>
    <x v="0"/>
    <x v="181"/>
    <n v="696"/>
    <x v="1"/>
  </r>
  <r>
    <x v="19"/>
    <x v="0"/>
    <x v="223"/>
    <n v="3"/>
    <x v="0"/>
  </r>
  <r>
    <x v="20"/>
    <x v="0"/>
    <x v="53"/>
    <n v="74"/>
    <x v="0"/>
  </r>
  <r>
    <x v="20"/>
    <x v="0"/>
    <x v="122"/>
    <n v="18"/>
    <x v="0"/>
  </r>
  <r>
    <x v="20"/>
    <x v="0"/>
    <x v="213"/>
    <n v="2"/>
    <x v="0"/>
  </r>
  <r>
    <x v="21"/>
    <x v="0"/>
    <x v="35"/>
    <n v="32"/>
    <x v="0"/>
  </r>
  <r>
    <x v="20"/>
    <x v="0"/>
    <x v="107"/>
    <n v="7"/>
    <x v="0"/>
  </r>
  <r>
    <x v="21"/>
    <x v="0"/>
    <x v="131"/>
    <n v="3623"/>
    <x v="1"/>
  </r>
  <r>
    <x v="21"/>
    <x v="0"/>
    <x v="106"/>
    <n v="1962"/>
    <x v="1"/>
  </r>
  <r>
    <x v="21"/>
    <x v="0"/>
    <x v="62"/>
    <n v="606"/>
    <x v="1"/>
  </r>
  <r>
    <x v="21"/>
    <x v="0"/>
    <x v="172"/>
    <n v="2792"/>
    <x v="1"/>
  </r>
  <r>
    <x v="21"/>
    <x v="0"/>
    <x v="26"/>
    <n v="2405"/>
    <x v="1"/>
  </r>
  <r>
    <x v="21"/>
    <x v="0"/>
    <x v="54"/>
    <n v="9"/>
    <x v="0"/>
  </r>
  <r>
    <x v="20"/>
    <x v="0"/>
    <x v="100"/>
    <n v="1"/>
    <x v="0"/>
  </r>
  <r>
    <x v="20"/>
    <x v="0"/>
    <x v="206"/>
    <n v="2"/>
    <x v="0"/>
  </r>
  <r>
    <x v="21"/>
    <x v="0"/>
    <x v="23"/>
    <n v="3"/>
    <x v="0"/>
  </r>
  <r>
    <x v="20"/>
    <x v="0"/>
    <x v="182"/>
    <n v="2290"/>
    <x v="1"/>
  </r>
  <r>
    <x v="20"/>
    <x v="0"/>
    <x v="183"/>
    <n v="160"/>
    <x v="1"/>
  </r>
  <r>
    <x v="21"/>
    <x v="0"/>
    <x v="53"/>
    <n v="119"/>
    <x v="1"/>
  </r>
  <r>
    <x v="21"/>
    <x v="0"/>
    <x v="51"/>
    <n v="2333"/>
    <x v="1"/>
  </r>
  <r>
    <x v="20"/>
    <x v="0"/>
    <x v="2"/>
    <n v="3482"/>
    <x v="1"/>
  </r>
  <r>
    <x v="20"/>
    <x v="0"/>
    <x v="179"/>
    <n v="4"/>
    <x v="0"/>
  </r>
  <r>
    <x v="21"/>
    <x v="0"/>
    <x v="128"/>
    <n v="2"/>
    <x v="0"/>
  </r>
  <r>
    <x v="20"/>
    <x v="0"/>
    <x v="131"/>
    <n v="3008"/>
    <x v="1"/>
  </r>
  <r>
    <x v="20"/>
    <x v="0"/>
    <x v="19"/>
    <n v="239"/>
    <x v="1"/>
  </r>
  <r>
    <x v="20"/>
    <x v="0"/>
    <x v="109"/>
    <n v="10"/>
    <x v="0"/>
  </r>
  <r>
    <x v="20"/>
    <x v="0"/>
    <x v="102"/>
    <n v="2510"/>
    <x v="1"/>
  </r>
  <r>
    <x v="20"/>
    <x v="0"/>
    <x v="30"/>
    <n v="1153"/>
    <x v="1"/>
  </r>
  <r>
    <x v="21"/>
    <x v="0"/>
    <x v="88"/>
    <n v="3563"/>
    <x v="1"/>
  </r>
  <r>
    <x v="20"/>
    <x v="0"/>
    <x v="20"/>
    <n v="3"/>
    <x v="0"/>
  </r>
  <r>
    <x v="21"/>
    <x v="0"/>
    <x v="96"/>
    <n v="52"/>
    <x v="0"/>
  </r>
  <r>
    <x v="21"/>
    <x v="0"/>
    <x v="179"/>
    <n v="2"/>
    <x v="0"/>
  </r>
  <r>
    <x v="20"/>
    <x v="0"/>
    <x v="145"/>
    <n v="4"/>
    <x v="0"/>
  </r>
  <r>
    <x v="20"/>
    <x v="0"/>
    <x v="91"/>
    <n v="3882"/>
    <x v="1"/>
  </r>
  <r>
    <x v="20"/>
    <x v="0"/>
    <x v="27"/>
    <n v="2132"/>
    <x v="1"/>
  </r>
  <r>
    <x v="21"/>
    <x v="0"/>
    <x v="69"/>
    <n v="2692"/>
    <x v="1"/>
  </r>
  <r>
    <x v="20"/>
    <x v="0"/>
    <x v="64"/>
    <n v="1929"/>
    <x v="1"/>
  </r>
  <r>
    <x v="20"/>
    <x v="0"/>
    <x v="89"/>
    <n v="2453"/>
    <x v="1"/>
  </r>
  <r>
    <x v="21"/>
    <x v="0"/>
    <x v="196"/>
    <n v="1"/>
    <x v="0"/>
  </r>
  <r>
    <x v="20"/>
    <x v="0"/>
    <x v="151"/>
    <n v="2336"/>
    <x v="1"/>
  </r>
  <r>
    <x v="21"/>
    <x v="0"/>
    <x v="57"/>
    <n v="4"/>
    <x v="0"/>
  </r>
  <r>
    <x v="20"/>
    <x v="0"/>
    <x v="168"/>
    <n v="137"/>
    <x v="1"/>
  </r>
  <r>
    <x v="21"/>
    <x v="0"/>
    <x v="76"/>
    <n v="1"/>
    <x v="0"/>
  </r>
  <r>
    <x v="21"/>
    <x v="0"/>
    <x v="111"/>
    <n v="2498"/>
    <x v="1"/>
  </r>
  <r>
    <x v="21"/>
    <x v="0"/>
    <x v="68"/>
    <n v="1"/>
    <x v="0"/>
  </r>
  <r>
    <x v="21"/>
    <x v="0"/>
    <x v="235"/>
    <n v="6"/>
    <x v="0"/>
  </r>
  <r>
    <x v="21"/>
    <x v="0"/>
    <x v="56"/>
    <n v="2333"/>
    <x v="1"/>
  </r>
  <r>
    <x v="21"/>
    <x v="0"/>
    <x v="59"/>
    <n v="38"/>
    <x v="0"/>
  </r>
  <r>
    <x v="21"/>
    <x v="0"/>
    <x v="94"/>
    <n v="285"/>
    <x v="1"/>
  </r>
  <r>
    <x v="20"/>
    <x v="0"/>
    <x v="50"/>
    <n v="784"/>
    <x v="1"/>
  </r>
  <r>
    <x v="20"/>
    <x v="0"/>
    <x v="35"/>
    <n v="98"/>
    <x v="0"/>
  </r>
  <r>
    <x v="20"/>
    <x v="0"/>
    <x v="14"/>
    <n v="84"/>
    <x v="0"/>
  </r>
  <r>
    <x v="21"/>
    <x v="0"/>
    <x v="133"/>
    <n v="673"/>
    <x v="1"/>
  </r>
  <r>
    <x v="21"/>
    <x v="0"/>
    <x v="117"/>
    <n v="2538"/>
    <x v="1"/>
  </r>
  <r>
    <x v="20"/>
    <x v="0"/>
    <x v="138"/>
    <n v="9"/>
    <x v="0"/>
  </r>
  <r>
    <x v="20"/>
    <x v="0"/>
    <x v="147"/>
    <n v="841"/>
    <x v="1"/>
  </r>
  <r>
    <x v="21"/>
    <x v="0"/>
    <x v="238"/>
    <n v="1"/>
    <x v="0"/>
  </r>
  <r>
    <x v="20"/>
    <x v="0"/>
    <x v="166"/>
    <n v="21"/>
    <x v="0"/>
  </r>
  <r>
    <x v="21"/>
    <x v="0"/>
    <x v="52"/>
    <n v="2643"/>
    <x v="1"/>
  </r>
  <r>
    <x v="20"/>
    <x v="0"/>
    <x v="196"/>
    <n v="2"/>
    <x v="0"/>
  </r>
  <r>
    <x v="20"/>
    <x v="0"/>
    <x v="218"/>
    <n v="1"/>
    <x v="0"/>
  </r>
  <r>
    <x v="21"/>
    <x v="0"/>
    <x v="10"/>
    <n v="636"/>
    <x v="1"/>
  </r>
  <r>
    <x v="20"/>
    <x v="0"/>
    <x v="0"/>
    <n v="41"/>
    <x v="0"/>
  </r>
  <r>
    <x v="20"/>
    <x v="0"/>
    <x v="77"/>
    <n v="5"/>
    <x v="0"/>
  </r>
  <r>
    <x v="21"/>
    <x v="0"/>
    <x v="236"/>
    <n v="142"/>
    <x v="1"/>
  </r>
  <r>
    <x v="21"/>
    <x v="0"/>
    <x v="64"/>
    <n v="328"/>
    <x v="1"/>
  </r>
  <r>
    <x v="21"/>
    <x v="0"/>
    <x v="147"/>
    <n v="665"/>
    <x v="1"/>
  </r>
  <r>
    <x v="20"/>
    <x v="0"/>
    <x v="153"/>
    <n v="2234"/>
    <x v="1"/>
  </r>
  <r>
    <x v="21"/>
    <x v="0"/>
    <x v="229"/>
    <n v="308"/>
    <x v="1"/>
  </r>
  <r>
    <x v="21"/>
    <x v="0"/>
    <x v="31"/>
    <n v="3047"/>
    <x v="1"/>
  </r>
  <r>
    <x v="20"/>
    <x v="0"/>
    <x v="17"/>
    <n v="378"/>
    <x v="1"/>
  </r>
  <r>
    <x v="20"/>
    <x v="0"/>
    <x v="68"/>
    <n v="4"/>
    <x v="0"/>
  </r>
  <r>
    <x v="20"/>
    <x v="0"/>
    <x v="98"/>
    <n v="1576"/>
    <x v="1"/>
  </r>
  <r>
    <x v="20"/>
    <x v="0"/>
    <x v="45"/>
    <n v="92"/>
    <x v="0"/>
  </r>
  <r>
    <x v="21"/>
    <x v="0"/>
    <x v="97"/>
    <n v="328"/>
    <x v="1"/>
  </r>
  <r>
    <x v="21"/>
    <x v="0"/>
    <x v="95"/>
    <n v="3139"/>
    <x v="1"/>
  </r>
  <r>
    <x v="21"/>
    <x v="0"/>
    <x v="115"/>
    <n v="5132"/>
    <x v="1"/>
  </r>
  <r>
    <x v="20"/>
    <x v="0"/>
    <x v="165"/>
    <n v="1"/>
    <x v="0"/>
  </r>
  <r>
    <x v="20"/>
    <x v="0"/>
    <x v="132"/>
    <n v="4"/>
    <x v="0"/>
  </r>
  <r>
    <x v="20"/>
    <x v="0"/>
    <x v="37"/>
    <n v="857"/>
    <x v="1"/>
  </r>
  <r>
    <x v="21"/>
    <x v="0"/>
    <x v="184"/>
    <n v="2426"/>
    <x v="1"/>
  </r>
  <r>
    <x v="21"/>
    <x v="0"/>
    <x v="55"/>
    <n v="1"/>
    <x v="0"/>
  </r>
  <r>
    <x v="20"/>
    <x v="0"/>
    <x v="180"/>
    <n v="2"/>
    <x v="0"/>
  </r>
  <r>
    <x v="21"/>
    <x v="0"/>
    <x v="176"/>
    <n v="1"/>
    <x v="0"/>
  </r>
  <r>
    <x v="21"/>
    <x v="0"/>
    <x v="28"/>
    <n v="2552"/>
    <x v="1"/>
  </r>
  <r>
    <x v="21"/>
    <x v="0"/>
    <x v="50"/>
    <n v="339"/>
    <x v="1"/>
  </r>
  <r>
    <x v="20"/>
    <x v="0"/>
    <x v="39"/>
    <n v="2"/>
    <x v="0"/>
  </r>
  <r>
    <x v="20"/>
    <x v="0"/>
    <x v="158"/>
    <n v="1"/>
    <x v="0"/>
  </r>
  <r>
    <x v="21"/>
    <x v="0"/>
    <x v="104"/>
    <n v="3"/>
    <x v="0"/>
  </r>
  <r>
    <x v="20"/>
    <x v="0"/>
    <x v="209"/>
    <n v="1"/>
    <x v="0"/>
  </r>
  <r>
    <x v="21"/>
    <x v="0"/>
    <x v="91"/>
    <n v="11"/>
    <x v="0"/>
  </r>
  <r>
    <x v="20"/>
    <x v="0"/>
    <x v="3"/>
    <n v="883"/>
    <x v="1"/>
  </r>
  <r>
    <x v="21"/>
    <x v="0"/>
    <x v="145"/>
    <n v="1"/>
    <x v="0"/>
  </r>
  <r>
    <x v="21"/>
    <x v="0"/>
    <x v="153"/>
    <n v="2087"/>
    <x v="1"/>
  </r>
  <r>
    <x v="21"/>
    <x v="0"/>
    <x v="87"/>
    <n v="2772"/>
    <x v="1"/>
  </r>
  <r>
    <x v="21"/>
    <x v="0"/>
    <x v="11"/>
    <n v="9"/>
    <x v="0"/>
  </r>
  <r>
    <x v="21"/>
    <x v="0"/>
    <x v="120"/>
    <n v="39"/>
    <x v="0"/>
  </r>
  <r>
    <x v="20"/>
    <x v="0"/>
    <x v="78"/>
    <n v="133"/>
    <x v="1"/>
  </r>
  <r>
    <x v="20"/>
    <x v="0"/>
    <x v="79"/>
    <n v="11732"/>
    <x v="1"/>
  </r>
  <r>
    <x v="20"/>
    <x v="0"/>
    <x v="81"/>
    <n v="5"/>
    <x v="0"/>
  </r>
  <r>
    <x v="21"/>
    <x v="0"/>
    <x v="109"/>
    <n v="3"/>
    <x v="0"/>
  </r>
  <r>
    <x v="20"/>
    <x v="0"/>
    <x v="212"/>
    <n v="1"/>
    <x v="0"/>
  </r>
  <r>
    <x v="20"/>
    <x v="0"/>
    <x v="7"/>
    <n v="3124"/>
    <x v="1"/>
  </r>
  <r>
    <x v="21"/>
    <x v="0"/>
    <x v="18"/>
    <n v="1"/>
    <x v="0"/>
  </r>
  <r>
    <x v="20"/>
    <x v="0"/>
    <x v="205"/>
    <n v="2"/>
    <x v="0"/>
  </r>
  <r>
    <x v="20"/>
    <x v="0"/>
    <x v="185"/>
    <n v="1848"/>
    <x v="1"/>
  </r>
  <r>
    <x v="20"/>
    <x v="0"/>
    <x v="195"/>
    <n v="1"/>
    <x v="0"/>
  </r>
  <r>
    <x v="21"/>
    <x v="0"/>
    <x v="110"/>
    <n v="1"/>
    <x v="0"/>
  </r>
  <r>
    <x v="21"/>
    <x v="0"/>
    <x v="44"/>
    <n v="2680"/>
    <x v="1"/>
  </r>
  <r>
    <x v="20"/>
    <x v="0"/>
    <x v="57"/>
    <n v="8"/>
    <x v="0"/>
  </r>
  <r>
    <x v="20"/>
    <x v="0"/>
    <x v="119"/>
    <n v="10"/>
    <x v="0"/>
  </r>
  <r>
    <x v="21"/>
    <x v="0"/>
    <x v="75"/>
    <n v="139"/>
    <x v="1"/>
  </r>
  <r>
    <x v="20"/>
    <x v="0"/>
    <x v="31"/>
    <n v="2563"/>
    <x v="1"/>
  </r>
  <r>
    <x v="21"/>
    <x v="0"/>
    <x v="61"/>
    <n v="176"/>
    <x v="1"/>
  </r>
  <r>
    <x v="21"/>
    <x v="0"/>
    <x v="1"/>
    <n v="27"/>
    <x v="0"/>
  </r>
  <r>
    <x v="21"/>
    <x v="0"/>
    <x v="113"/>
    <n v="2546"/>
    <x v="1"/>
  </r>
  <r>
    <x v="21"/>
    <x v="0"/>
    <x v="7"/>
    <n v="1029"/>
    <x v="1"/>
  </r>
  <r>
    <x v="20"/>
    <x v="0"/>
    <x v="18"/>
    <n v="1"/>
    <x v="0"/>
  </r>
  <r>
    <x v="20"/>
    <x v="0"/>
    <x v="133"/>
    <n v="2994"/>
    <x v="1"/>
  </r>
  <r>
    <x v="20"/>
    <x v="0"/>
    <x v="44"/>
    <n v="2870"/>
    <x v="1"/>
  </r>
  <r>
    <x v="20"/>
    <x v="0"/>
    <x v="115"/>
    <n v="3867"/>
    <x v="1"/>
  </r>
  <r>
    <x v="20"/>
    <x v="0"/>
    <x v="75"/>
    <n v="1028"/>
    <x v="1"/>
  </r>
  <r>
    <x v="21"/>
    <x v="0"/>
    <x v="126"/>
    <n v="67"/>
    <x v="0"/>
  </r>
  <r>
    <x v="20"/>
    <x v="0"/>
    <x v="12"/>
    <n v="43"/>
    <x v="0"/>
  </r>
  <r>
    <x v="21"/>
    <x v="0"/>
    <x v="188"/>
    <n v="2734"/>
    <x v="1"/>
  </r>
  <r>
    <x v="20"/>
    <x v="0"/>
    <x v="94"/>
    <n v="755"/>
    <x v="1"/>
  </r>
  <r>
    <x v="21"/>
    <x v="0"/>
    <x v="3"/>
    <n v="887"/>
    <x v="1"/>
  </r>
  <r>
    <x v="21"/>
    <x v="0"/>
    <x v="79"/>
    <n v="2982"/>
    <x v="1"/>
  </r>
  <r>
    <x v="20"/>
    <x v="0"/>
    <x v="114"/>
    <n v="107"/>
    <x v="1"/>
  </r>
  <r>
    <x v="21"/>
    <x v="0"/>
    <x v="2"/>
    <n v="2741"/>
    <x v="1"/>
  </r>
  <r>
    <x v="20"/>
    <x v="0"/>
    <x v="167"/>
    <n v="2300"/>
    <x v="1"/>
  </r>
  <r>
    <x v="21"/>
    <x v="0"/>
    <x v="198"/>
    <n v="3386"/>
    <x v="1"/>
  </r>
  <r>
    <x v="20"/>
    <x v="0"/>
    <x v="188"/>
    <n v="2128"/>
    <x v="1"/>
  </r>
  <r>
    <x v="21"/>
    <x v="0"/>
    <x v="192"/>
    <n v="2841"/>
    <x v="1"/>
  </r>
  <r>
    <x v="21"/>
    <x v="0"/>
    <x v="98"/>
    <n v="22"/>
    <x v="0"/>
  </r>
  <r>
    <x v="21"/>
    <x v="0"/>
    <x v="30"/>
    <n v="1112"/>
    <x v="1"/>
  </r>
  <r>
    <x v="21"/>
    <x v="0"/>
    <x v="15"/>
    <n v="1"/>
    <x v="0"/>
  </r>
  <r>
    <x v="20"/>
    <x v="0"/>
    <x v="25"/>
    <n v="4"/>
    <x v="0"/>
  </r>
  <r>
    <x v="21"/>
    <x v="0"/>
    <x v="222"/>
    <n v="1199"/>
    <x v="1"/>
  </r>
  <r>
    <x v="21"/>
    <x v="0"/>
    <x v="17"/>
    <n v="647"/>
    <x v="1"/>
  </r>
  <r>
    <x v="20"/>
    <x v="0"/>
    <x v="104"/>
    <n v="4133"/>
    <x v="1"/>
  </r>
  <r>
    <x v="21"/>
    <x v="0"/>
    <x v="167"/>
    <n v="2859"/>
    <x v="1"/>
  </r>
  <r>
    <x v="21"/>
    <x v="0"/>
    <x v="168"/>
    <n v="1969"/>
    <x v="1"/>
  </r>
  <r>
    <x v="21"/>
    <x v="0"/>
    <x v="204"/>
    <n v="1"/>
    <x v="0"/>
  </r>
  <r>
    <x v="21"/>
    <x v="0"/>
    <x v="146"/>
    <n v="3127"/>
    <x v="1"/>
  </r>
  <r>
    <x v="20"/>
    <x v="0"/>
    <x v="56"/>
    <n v="2560"/>
    <x v="1"/>
  </r>
  <r>
    <x v="21"/>
    <x v="0"/>
    <x v="171"/>
    <n v="2242"/>
    <x v="1"/>
  </r>
  <r>
    <x v="21"/>
    <x v="0"/>
    <x v="159"/>
    <n v="1"/>
    <x v="0"/>
  </r>
  <r>
    <x v="21"/>
    <x v="0"/>
    <x v="89"/>
    <n v="1927"/>
    <x v="1"/>
  </r>
  <r>
    <x v="21"/>
    <x v="0"/>
    <x v="78"/>
    <n v="2"/>
    <x v="0"/>
  </r>
  <r>
    <x v="20"/>
    <x v="0"/>
    <x v="111"/>
    <n v="2340"/>
    <x v="1"/>
  </r>
  <r>
    <x v="21"/>
    <x v="0"/>
    <x v="84"/>
    <n v="7"/>
    <x v="0"/>
  </r>
  <r>
    <x v="20"/>
    <x v="0"/>
    <x v="33"/>
    <n v="112"/>
    <x v="1"/>
  </r>
  <r>
    <x v="20"/>
    <x v="0"/>
    <x v="88"/>
    <n v="2683"/>
    <x v="1"/>
  </r>
  <r>
    <x v="20"/>
    <x v="0"/>
    <x v="126"/>
    <n v="332"/>
    <x v="1"/>
  </r>
  <r>
    <x v="21"/>
    <x v="0"/>
    <x v="9"/>
    <n v="3583"/>
    <x v="1"/>
  </r>
  <r>
    <x v="21"/>
    <x v="0"/>
    <x v="199"/>
    <n v="3392"/>
    <x v="1"/>
  </r>
  <r>
    <x v="20"/>
    <x v="0"/>
    <x v="5"/>
    <n v="1"/>
    <x v="0"/>
  </r>
  <r>
    <x v="20"/>
    <x v="0"/>
    <x v="59"/>
    <n v="168"/>
    <x v="1"/>
  </r>
  <r>
    <x v="21"/>
    <x v="0"/>
    <x v="154"/>
    <n v="1412"/>
    <x v="1"/>
  </r>
  <r>
    <x v="20"/>
    <x v="0"/>
    <x v="62"/>
    <n v="2328"/>
    <x v="1"/>
  </r>
  <r>
    <x v="21"/>
    <x v="0"/>
    <x v="143"/>
    <n v="3853"/>
    <x v="1"/>
  </r>
  <r>
    <x v="20"/>
    <x v="0"/>
    <x v="160"/>
    <n v="4"/>
    <x v="0"/>
  </r>
  <r>
    <x v="21"/>
    <x v="0"/>
    <x v="195"/>
    <n v="1"/>
    <x v="0"/>
  </r>
  <r>
    <x v="21"/>
    <x v="0"/>
    <x v="158"/>
    <n v="1"/>
    <x v="0"/>
  </r>
  <r>
    <x v="20"/>
    <x v="0"/>
    <x v="186"/>
    <n v="158"/>
    <x v="1"/>
  </r>
  <r>
    <x v="21"/>
    <x v="0"/>
    <x v="185"/>
    <n v="3267"/>
    <x v="1"/>
  </r>
  <r>
    <x v="21"/>
    <x v="0"/>
    <x v="102"/>
    <n v="2807"/>
    <x v="1"/>
  </r>
  <r>
    <x v="20"/>
    <x v="0"/>
    <x v="121"/>
    <n v="2391"/>
    <x v="1"/>
  </r>
  <r>
    <x v="21"/>
    <x v="0"/>
    <x v="129"/>
    <n v="1064"/>
    <x v="1"/>
  </r>
  <r>
    <x v="20"/>
    <x v="0"/>
    <x v="90"/>
    <n v="1268"/>
    <x v="1"/>
  </r>
  <r>
    <x v="20"/>
    <x v="0"/>
    <x v="11"/>
    <n v="2"/>
    <x v="0"/>
  </r>
  <r>
    <x v="21"/>
    <x v="0"/>
    <x v="20"/>
    <n v="7"/>
    <x v="0"/>
  </r>
  <r>
    <x v="21"/>
    <x v="0"/>
    <x v="187"/>
    <n v="2010"/>
    <x v="1"/>
  </r>
  <r>
    <x v="21"/>
    <x v="0"/>
    <x v="165"/>
    <n v="1"/>
    <x v="0"/>
  </r>
  <r>
    <x v="21"/>
    <x v="0"/>
    <x v="141"/>
    <n v="1929"/>
    <x v="1"/>
  </r>
  <r>
    <x v="21"/>
    <x v="0"/>
    <x v="186"/>
    <n v="1723"/>
    <x v="1"/>
  </r>
  <r>
    <x v="20"/>
    <x v="0"/>
    <x v="97"/>
    <n v="948"/>
    <x v="1"/>
  </r>
  <r>
    <x v="21"/>
    <x v="0"/>
    <x v="105"/>
    <n v="573"/>
    <x v="1"/>
  </r>
  <r>
    <x v="20"/>
    <x v="0"/>
    <x v="135"/>
    <n v="2160"/>
    <x v="1"/>
  </r>
  <r>
    <x v="21"/>
    <x v="0"/>
    <x v="99"/>
    <n v="2594"/>
    <x v="1"/>
  </r>
  <r>
    <x v="20"/>
    <x v="0"/>
    <x v="32"/>
    <n v="12099"/>
    <x v="1"/>
  </r>
  <r>
    <x v="21"/>
    <x v="0"/>
    <x v="43"/>
    <n v="6"/>
    <x v="0"/>
  </r>
  <r>
    <x v="21"/>
    <x v="0"/>
    <x v="221"/>
    <n v="7"/>
    <x v="0"/>
  </r>
  <r>
    <x v="20"/>
    <x v="0"/>
    <x v="26"/>
    <n v="2168"/>
    <x v="1"/>
  </r>
  <r>
    <x v="21"/>
    <x v="0"/>
    <x v="181"/>
    <n v="684"/>
    <x v="1"/>
  </r>
  <r>
    <x v="21"/>
    <x v="0"/>
    <x v="13"/>
    <n v="1"/>
    <x v="0"/>
  </r>
  <r>
    <x v="20"/>
    <x v="0"/>
    <x v="217"/>
    <n v="1"/>
    <x v="0"/>
  </r>
  <r>
    <x v="21"/>
    <x v="0"/>
    <x v="148"/>
    <n v="3359"/>
    <x v="1"/>
  </r>
  <r>
    <x v="20"/>
    <x v="0"/>
    <x v="51"/>
    <n v="2178"/>
    <x v="1"/>
  </r>
  <r>
    <x v="20"/>
    <x v="0"/>
    <x v="159"/>
    <n v="1"/>
    <x v="0"/>
  </r>
  <r>
    <x v="20"/>
    <x v="0"/>
    <x v="177"/>
    <n v="1"/>
    <x v="0"/>
  </r>
  <r>
    <x v="21"/>
    <x v="0"/>
    <x v="86"/>
    <n v="3301"/>
    <x v="1"/>
  </r>
  <r>
    <x v="20"/>
    <x v="0"/>
    <x v="123"/>
    <n v="2918"/>
    <x v="1"/>
  </r>
  <r>
    <x v="20"/>
    <x v="0"/>
    <x v="10"/>
    <n v="748"/>
    <x v="1"/>
  </r>
  <r>
    <x v="20"/>
    <x v="0"/>
    <x v="9"/>
    <n v="2825"/>
    <x v="1"/>
  </r>
  <r>
    <x v="20"/>
    <x v="0"/>
    <x v="99"/>
    <n v="2287"/>
    <x v="1"/>
  </r>
  <r>
    <x v="20"/>
    <x v="0"/>
    <x v="86"/>
    <n v="2680"/>
    <x v="1"/>
  </r>
  <r>
    <x v="21"/>
    <x v="0"/>
    <x v="212"/>
    <n v="5"/>
    <x v="0"/>
  </r>
  <r>
    <x v="21"/>
    <x v="0"/>
    <x v="4"/>
    <n v="10"/>
    <x v="0"/>
  </r>
  <r>
    <x v="20"/>
    <x v="0"/>
    <x v="129"/>
    <n v="2442"/>
    <x v="1"/>
  </r>
  <r>
    <x v="20"/>
    <x v="0"/>
    <x v="184"/>
    <n v="2040"/>
    <x v="1"/>
  </r>
  <r>
    <x v="20"/>
    <x v="0"/>
    <x v="128"/>
    <n v="102"/>
    <x v="1"/>
  </r>
  <r>
    <x v="20"/>
    <x v="0"/>
    <x v="150"/>
    <n v="675"/>
    <x v="1"/>
  </r>
  <r>
    <x v="20"/>
    <x v="0"/>
    <x v="194"/>
    <n v="1"/>
    <x v="0"/>
  </r>
  <r>
    <x v="20"/>
    <x v="0"/>
    <x v="4"/>
    <n v="3"/>
    <x v="0"/>
  </r>
  <r>
    <x v="20"/>
    <x v="0"/>
    <x v="127"/>
    <n v="2717"/>
    <x v="1"/>
  </r>
  <r>
    <x v="20"/>
    <x v="0"/>
    <x v="93"/>
    <n v="2796"/>
    <x v="1"/>
  </r>
  <r>
    <x v="21"/>
    <x v="0"/>
    <x v="123"/>
    <n v="2213"/>
    <x v="1"/>
  </r>
  <r>
    <x v="20"/>
    <x v="0"/>
    <x v="106"/>
    <n v="2104"/>
    <x v="1"/>
  </r>
  <r>
    <x v="20"/>
    <x v="0"/>
    <x v="214"/>
    <n v="1"/>
    <x v="0"/>
  </r>
  <r>
    <x v="21"/>
    <x v="0"/>
    <x v="239"/>
    <n v="2678"/>
    <x v="1"/>
  </r>
  <r>
    <x v="20"/>
    <x v="0"/>
    <x v="175"/>
    <n v="1"/>
    <x v="0"/>
  </r>
  <r>
    <x v="20"/>
    <x v="0"/>
    <x v="101"/>
    <n v="1"/>
    <x v="0"/>
  </r>
  <r>
    <x v="20"/>
    <x v="0"/>
    <x v="164"/>
    <n v="182"/>
    <x v="1"/>
  </r>
  <r>
    <x v="20"/>
    <x v="0"/>
    <x v="36"/>
    <n v="3"/>
    <x v="0"/>
  </r>
  <r>
    <x v="21"/>
    <x v="0"/>
    <x v="37"/>
    <n v="287"/>
    <x v="1"/>
  </r>
  <r>
    <x v="21"/>
    <x v="0"/>
    <x v="207"/>
    <n v="1"/>
    <x v="0"/>
  </r>
  <r>
    <x v="20"/>
    <x v="0"/>
    <x v="169"/>
    <n v="1"/>
    <x v="0"/>
  </r>
  <r>
    <x v="21"/>
    <x v="0"/>
    <x v="233"/>
    <n v="1"/>
    <x v="0"/>
  </r>
  <r>
    <x v="20"/>
    <x v="0"/>
    <x v="65"/>
    <n v="394"/>
    <x v="1"/>
  </r>
  <r>
    <x v="21"/>
    <x v="0"/>
    <x v="211"/>
    <n v="1"/>
    <x v="0"/>
  </r>
  <r>
    <x v="20"/>
    <x v="0"/>
    <x v="137"/>
    <n v="1390"/>
    <x v="1"/>
  </r>
  <r>
    <x v="20"/>
    <x v="0"/>
    <x v="54"/>
    <n v="12"/>
    <x v="0"/>
  </r>
  <r>
    <x v="21"/>
    <x v="0"/>
    <x v="218"/>
    <n v="6"/>
    <x v="0"/>
  </r>
  <r>
    <x v="21"/>
    <x v="0"/>
    <x v="73"/>
    <n v="710"/>
    <x v="1"/>
  </r>
  <r>
    <x v="20"/>
    <x v="0"/>
    <x v="148"/>
    <n v="2670"/>
    <x v="1"/>
  </r>
  <r>
    <x v="21"/>
    <x v="0"/>
    <x v="139"/>
    <n v="3056"/>
    <x v="1"/>
  </r>
  <r>
    <x v="20"/>
    <x v="0"/>
    <x v="144"/>
    <n v="2737"/>
    <x v="1"/>
  </r>
  <r>
    <x v="20"/>
    <x v="0"/>
    <x v="110"/>
    <n v="6"/>
    <x v="0"/>
  </r>
  <r>
    <x v="20"/>
    <x v="0"/>
    <x v="66"/>
    <n v="3377"/>
    <x v="1"/>
  </r>
  <r>
    <x v="21"/>
    <x v="0"/>
    <x v="177"/>
    <n v="1"/>
    <x v="0"/>
  </r>
  <r>
    <x v="20"/>
    <x v="0"/>
    <x v="85"/>
    <n v="656"/>
    <x v="1"/>
  </r>
  <r>
    <x v="21"/>
    <x v="0"/>
    <x v="8"/>
    <n v="2217"/>
    <x v="1"/>
  </r>
  <r>
    <x v="21"/>
    <x v="0"/>
    <x v="234"/>
    <n v="1376"/>
    <x v="1"/>
  </r>
  <r>
    <x v="21"/>
    <x v="0"/>
    <x v="71"/>
    <n v="3533"/>
    <x v="1"/>
  </r>
  <r>
    <x v="21"/>
    <x v="0"/>
    <x v="175"/>
    <n v="1"/>
    <x v="0"/>
  </r>
  <r>
    <x v="21"/>
    <x v="0"/>
    <x v="140"/>
    <n v="2615"/>
    <x v="1"/>
  </r>
  <r>
    <x v="20"/>
    <x v="0"/>
    <x v="113"/>
    <n v="2455"/>
    <x v="1"/>
  </r>
  <r>
    <x v="20"/>
    <x v="0"/>
    <x v="46"/>
    <n v="2936"/>
    <x v="1"/>
  </r>
  <r>
    <x v="20"/>
    <x v="0"/>
    <x v="207"/>
    <n v="13"/>
    <x v="0"/>
  </r>
  <r>
    <x v="21"/>
    <x v="0"/>
    <x v="170"/>
    <n v="3087"/>
    <x v="1"/>
  </r>
  <r>
    <x v="21"/>
    <x v="0"/>
    <x v="65"/>
    <n v="434"/>
    <x v="1"/>
  </r>
  <r>
    <x v="21"/>
    <x v="0"/>
    <x v="82"/>
    <n v="7"/>
    <x v="0"/>
  </r>
  <r>
    <x v="21"/>
    <x v="0"/>
    <x v="83"/>
    <n v="3"/>
    <x v="0"/>
  </r>
  <r>
    <x v="20"/>
    <x v="0"/>
    <x v="161"/>
    <n v="2"/>
    <x v="0"/>
  </r>
  <r>
    <x v="21"/>
    <x v="0"/>
    <x v="173"/>
    <n v="1"/>
    <x v="0"/>
  </r>
  <r>
    <x v="20"/>
    <x v="0"/>
    <x v="181"/>
    <n v="96"/>
    <x v="0"/>
  </r>
  <r>
    <x v="21"/>
    <x v="0"/>
    <x v="193"/>
    <n v="1491"/>
    <x v="1"/>
  </r>
  <r>
    <x v="21"/>
    <x v="0"/>
    <x v="124"/>
    <n v="764"/>
    <x v="1"/>
  </r>
  <r>
    <x v="21"/>
    <x v="0"/>
    <x v="107"/>
    <n v="4"/>
    <x v="0"/>
  </r>
  <r>
    <x v="20"/>
    <x v="0"/>
    <x v="8"/>
    <n v="3051"/>
    <x v="1"/>
  </r>
  <r>
    <x v="21"/>
    <x v="0"/>
    <x v="136"/>
    <n v="3409"/>
    <x v="1"/>
  </r>
  <r>
    <x v="21"/>
    <x v="0"/>
    <x v="90"/>
    <n v="893"/>
    <x v="1"/>
  </r>
  <r>
    <x v="20"/>
    <x v="0"/>
    <x v="43"/>
    <n v="10"/>
    <x v="0"/>
  </r>
  <r>
    <x v="21"/>
    <x v="0"/>
    <x v="58"/>
    <n v="3165"/>
    <x v="1"/>
  </r>
  <r>
    <x v="20"/>
    <x v="0"/>
    <x v="87"/>
    <n v="32"/>
    <x v="0"/>
  </r>
  <r>
    <x v="20"/>
    <x v="0"/>
    <x v="108"/>
    <n v="521"/>
    <x v="1"/>
  </r>
  <r>
    <x v="21"/>
    <x v="0"/>
    <x v="182"/>
    <n v="2341"/>
    <x v="1"/>
  </r>
  <r>
    <x v="21"/>
    <x v="0"/>
    <x v="19"/>
    <n v="214"/>
    <x v="1"/>
  </r>
  <r>
    <x v="20"/>
    <x v="0"/>
    <x v="176"/>
    <n v="1"/>
    <x v="0"/>
  </r>
  <r>
    <x v="20"/>
    <x v="0"/>
    <x v="202"/>
    <n v="1"/>
    <x v="0"/>
  </r>
  <r>
    <x v="21"/>
    <x v="0"/>
    <x v="149"/>
    <n v="2942"/>
    <x v="1"/>
  </r>
  <r>
    <x v="21"/>
    <x v="0"/>
    <x v="5"/>
    <n v="1"/>
    <x v="0"/>
  </r>
  <r>
    <x v="21"/>
    <x v="0"/>
    <x v="228"/>
    <n v="1"/>
    <x v="0"/>
  </r>
  <r>
    <x v="21"/>
    <x v="0"/>
    <x v="0"/>
    <n v="41"/>
    <x v="0"/>
  </r>
  <r>
    <x v="20"/>
    <x v="0"/>
    <x v="61"/>
    <n v="931"/>
    <x v="1"/>
  </r>
  <r>
    <x v="20"/>
    <x v="0"/>
    <x v="28"/>
    <n v="2398"/>
    <x v="1"/>
  </r>
  <r>
    <x v="20"/>
    <x v="0"/>
    <x v="201"/>
    <n v="2"/>
    <x v="0"/>
  </r>
  <r>
    <x v="20"/>
    <x v="0"/>
    <x v="63"/>
    <n v="466"/>
    <x v="1"/>
  </r>
  <r>
    <x v="20"/>
    <x v="0"/>
    <x v="197"/>
    <n v="2164"/>
    <x v="1"/>
  </r>
  <r>
    <x v="21"/>
    <x v="0"/>
    <x v="114"/>
    <n v="113"/>
    <x v="1"/>
  </r>
  <r>
    <x v="21"/>
    <x v="0"/>
    <x v="46"/>
    <n v="2586"/>
    <x v="1"/>
  </r>
  <r>
    <x v="21"/>
    <x v="0"/>
    <x v="32"/>
    <n v="3087"/>
    <x v="1"/>
  </r>
  <r>
    <x v="20"/>
    <x v="0"/>
    <x v="22"/>
    <n v="3357"/>
    <x v="1"/>
  </r>
  <r>
    <x v="20"/>
    <x v="0"/>
    <x v="24"/>
    <n v="4"/>
    <x v="0"/>
  </r>
  <r>
    <x v="20"/>
    <x v="0"/>
    <x v="215"/>
    <n v="2"/>
    <x v="0"/>
  </r>
  <r>
    <x v="21"/>
    <x v="0"/>
    <x v="137"/>
    <n v="1543"/>
    <x v="1"/>
  </r>
  <r>
    <x v="20"/>
    <x v="0"/>
    <x v="96"/>
    <n v="85"/>
    <x v="0"/>
  </r>
  <r>
    <x v="21"/>
    <x v="0"/>
    <x v="63"/>
    <n v="713"/>
    <x v="1"/>
  </r>
  <r>
    <x v="20"/>
    <x v="0"/>
    <x v="71"/>
    <n v="3444"/>
    <x v="1"/>
  </r>
  <r>
    <x v="20"/>
    <x v="0"/>
    <x v="143"/>
    <n v="13"/>
    <x v="0"/>
  </r>
  <r>
    <x v="20"/>
    <x v="0"/>
    <x v="172"/>
    <n v="1380"/>
    <x v="1"/>
  </r>
  <r>
    <x v="20"/>
    <x v="0"/>
    <x v="208"/>
    <n v="4"/>
    <x v="0"/>
  </r>
  <r>
    <x v="21"/>
    <x v="0"/>
    <x v="226"/>
    <n v="222"/>
    <x v="1"/>
  </r>
  <r>
    <x v="20"/>
    <x v="0"/>
    <x v="155"/>
    <n v="1"/>
    <x v="0"/>
  </r>
  <r>
    <x v="21"/>
    <x v="0"/>
    <x v="157"/>
    <n v="2"/>
    <x v="0"/>
  </r>
  <r>
    <x v="21"/>
    <x v="0"/>
    <x v="190"/>
    <n v="1727"/>
    <x v="1"/>
  </r>
  <r>
    <x v="21"/>
    <x v="0"/>
    <x v="164"/>
    <n v="75"/>
    <x v="0"/>
  </r>
  <r>
    <x v="21"/>
    <x v="0"/>
    <x v="14"/>
    <n v="2"/>
    <x v="0"/>
  </r>
  <r>
    <x v="20"/>
    <x v="0"/>
    <x v="80"/>
    <n v="28"/>
    <x v="0"/>
  </r>
  <r>
    <x v="21"/>
    <x v="0"/>
    <x v="169"/>
    <n v="2"/>
    <x v="0"/>
  </r>
  <r>
    <x v="21"/>
    <x v="0"/>
    <x v="24"/>
    <n v="4"/>
    <x v="0"/>
  </r>
  <r>
    <x v="20"/>
    <x v="0"/>
    <x v="55"/>
    <n v="6"/>
    <x v="0"/>
  </r>
  <r>
    <x v="21"/>
    <x v="0"/>
    <x v="92"/>
    <n v="3"/>
    <x v="0"/>
  </r>
  <r>
    <x v="20"/>
    <x v="0"/>
    <x v="171"/>
    <n v="2224"/>
    <x v="1"/>
  </r>
  <r>
    <x v="21"/>
    <x v="0"/>
    <x v="223"/>
    <n v="3"/>
    <x v="0"/>
  </r>
  <r>
    <x v="21"/>
    <x v="0"/>
    <x v="74"/>
    <n v="2432"/>
    <x v="1"/>
  </r>
  <r>
    <x v="21"/>
    <x v="0"/>
    <x v="21"/>
    <n v="2924"/>
    <x v="1"/>
  </r>
  <r>
    <x v="21"/>
    <x v="0"/>
    <x v="232"/>
    <n v="2247"/>
    <x v="1"/>
  </r>
  <r>
    <x v="20"/>
    <x v="0"/>
    <x v="149"/>
    <n v="2421"/>
    <x v="1"/>
  </r>
  <r>
    <x v="21"/>
    <x v="0"/>
    <x v="38"/>
    <n v="3434"/>
    <x v="1"/>
  </r>
  <r>
    <x v="20"/>
    <x v="0"/>
    <x v="141"/>
    <n v="2194"/>
    <x v="1"/>
  </r>
  <r>
    <x v="20"/>
    <x v="0"/>
    <x v="58"/>
    <n v="2492"/>
    <x v="1"/>
  </r>
  <r>
    <x v="21"/>
    <x v="0"/>
    <x v="70"/>
    <n v="8"/>
    <x v="0"/>
  </r>
  <r>
    <x v="20"/>
    <x v="0"/>
    <x v="40"/>
    <n v="4"/>
    <x v="0"/>
  </r>
  <r>
    <x v="20"/>
    <x v="0"/>
    <x v="105"/>
    <n v="2408"/>
    <x v="1"/>
  </r>
  <r>
    <x v="20"/>
    <x v="0"/>
    <x v="157"/>
    <n v="1"/>
    <x v="0"/>
  </r>
  <r>
    <x v="21"/>
    <x v="0"/>
    <x v="189"/>
    <n v="3120"/>
    <x v="1"/>
  </r>
  <r>
    <x v="20"/>
    <x v="0"/>
    <x v="146"/>
    <n v="2626"/>
    <x v="1"/>
  </r>
  <r>
    <x v="21"/>
    <x v="0"/>
    <x v="77"/>
    <n v="3"/>
    <x v="0"/>
  </r>
  <r>
    <x v="21"/>
    <x v="0"/>
    <x v="45"/>
    <n v="9"/>
    <x v="0"/>
  </r>
  <r>
    <x v="21"/>
    <x v="0"/>
    <x v="240"/>
    <n v="7"/>
    <x v="0"/>
  </r>
  <r>
    <x v="20"/>
    <x v="0"/>
    <x v="142"/>
    <n v="2324"/>
    <x v="1"/>
  </r>
  <r>
    <x v="21"/>
    <x v="0"/>
    <x v="142"/>
    <n v="2370"/>
    <x v="1"/>
  </r>
  <r>
    <x v="21"/>
    <x v="0"/>
    <x v="125"/>
    <n v="22"/>
    <x v="0"/>
  </r>
  <r>
    <x v="20"/>
    <x v="0"/>
    <x v="15"/>
    <n v="5"/>
    <x v="0"/>
  </r>
  <r>
    <x v="20"/>
    <x v="0"/>
    <x v="170"/>
    <n v="2615"/>
    <x v="1"/>
  </r>
  <r>
    <x v="21"/>
    <x v="0"/>
    <x v="150"/>
    <n v="3083"/>
    <x v="1"/>
  </r>
  <r>
    <x v="21"/>
    <x v="0"/>
    <x v="22"/>
    <n v="3518"/>
    <x v="1"/>
  </r>
  <r>
    <x v="20"/>
    <x v="0"/>
    <x v="67"/>
    <n v="1"/>
    <x v="0"/>
  </r>
  <r>
    <x v="20"/>
    <x v="0"/>
    <x v="117"/>
    <n v="2380"/>
    <x v="1"/>
  </r>
  <r>
    <x v="21"/>
    <x v="0"/>
    <x v="227"/>
    <n v="1"/>
    <x v="0"/>
  </r>
  <r>
    <x v="20"/>
    <x v="0"/>
    <x v="116"/>
    <n v="682"/>
    <x v="1"/>
  </r>
  <r>
    <x v="20"/>
    <x v="0"/>
    <x v="48"/>
    <n v="10"/>
    <x v="0"/>
  </r>
  <r>
    <x v="21"/>
    <x v="0"/>
    <x v="118"/>
    <n v="2623"/>
    <x v="1"/>
  </r>
  <r>
    <x v="21"/>
    <x v="0"/>
    <x v="33"/>
    <n v="284"/>
    <x v="1"/>
  </r>
  <r>
    <x v="20"/>
    <x v="0"/>
    <x v="16"/>
    <n v="8"/>
    <x v="0"/>
  </r>
  <r>
    <x v="21"/>
    <x v="0"/>
    <x v="66"/>
    <n v="3966"/>
    <x v="1"/>
  </r>
  <r>
    <x v="21"/>
    <x v="0"/>
    <x v="134"/>
    <n v="670"/>
    <x v="1"/>
  </r>
  <r>
    <x v="20"/>
    <x v="0"/>
    <x v="1"/>
    <n v="27"/>
    <x v="0"/>
  </r>
  <r>
    <x v="20"/>
    <x v="0"/>
    <x v="92"/>
    <n v="7"/>
    <x v="0"/>
  </r>
  <r>
    <x v="21"/>
    <x v="0"/>
    <x v="205"/>
    <n v="2"/>
    <x v="0"/>
  </r>
  <r>
    <x v="21"/>
    <x v="0"/>
    <x v="191"/>
    <n v="2028"/>
    <x v="1"/>
  </r>
  <r>
    <x v="20"/>
    <x v="0"/>
    <x v="83"/>
    <n v="4"/>
    <x v="0"/>
  </r>
  <r>
    <x v="21"/>
    <x v="0"/>
    <x v="40"/>
    <n v="3"/>
    <x v="0"/>
  </r>
  <r>
    <x v="20"/>
    <x v="0"/>
    <x v="38"/>
    <n v="3350"/>
    <x v="1"/>
  </r>
  <r>
    <x v="20"/>
    <x v="0"/>
    <x v="190"/>
    <n v="170"/>
    <x v="1"/>
  </r>
  <r>
    <x v="21"/>
    <x v="0"/>
    <x v="27"/>
    <n v="2449"/>
    <x v="1"/>
  </r>
  <r>
    <x v="21"/>
    <x v="0"/>
    <x v="29"/>
    <n v="2"/>
    <x v="0"/>
  </r>
  <r>
    <x v="20"/>
    <x v="0"/>
    <x v="34"/>
    <n v="2"/>
    <x v="0"/>
  </r>
  <r>
    <x v="20"/>
    <x v="0"/>
    <x v="139"/>
    <n v="2584"/>
    <x v="1"/>
  </r>
  <r>
    <x v="20"/>
    <x v="0"/>
    <x v="47"/>
    <n v="338"/>
    <x v="1"/>
  </r>
  <r>
    <x v="21"/>
    <x v="0"/>
    <x v="67"/>
    <n v="1"/>
    <x v="0"/>
  </r>
  <r>
    <x v="20"/>
    <x v="0"/>
    <x v="69"/>
    <n v="3205"/>
    <x v="1"/>
  </r>
  <r>
    <x v="20"/>
    <x v="0"/>
    <x v="162"/>
    <n v="2"/>
    <x v="0"/>
  </r>
  <r>
    <x v="20"/>
    <x v="0"/>
    <x v="52"/>
    <n v="2428"/>
    <x v="1"/>
  </r>
  <r>
    <x v="21"/>
    <x v="0"/>
    <x v="231"/>
    <n v="2"/>
    <x v="0"/>
  </r>
  <r>
    <x v="21"/>
    <x v="0"/>
    <x v="135"/>
    <n v="2095"/>
    <x v="1"/>
  </r>
  <r>
    <x v="21"/>
    <x v="0"/>
    <x v="183"/>
    <n v="3573"/>
    <x v="1"/>
  </r>
  <r>
    <x v="20"/>
    <x v="0"/>
    <x v="136"/>
    <n v="2766"/>
    <x v="1"/>
  </r>
  <r>
    <x v="21"/>
    <x v="0"/>
    <x v="197"/>
    <n v="2465"/>
    <x v="1"/>
  </r>
  <r>
    <x v="20"/>
    <x v="0"/>
    <x v="29"/>
    <n v="12"/>
    <x v="0"/>
  </r>
  <r>
    <x v="21"/>
    <x v="0"/>
    <x v="237"/>
    <n v="2"/>
    <x v="0"/>
  </r>
  <r>
    <x v="20"/>
    <x v="0"/>
    <x v="187"/>
    <n v="482"/>
    <x v="1"/>
  </r>
  <r>
    <x v="20"/>
    <x v="0"/>
    <x v="103"/>
    <n v="1079"/>
    <x v="1"/>
  </r>
  <r>
    <x v="21"/>
    <x v="0"/>
    <x v="85"/>
    <n v="351"/>
    <x v="1"/>
  </r>
  <r>
    <x v="20"/>
    <x v="0"/>
    <x v="125"/>
    <n v="124"/>
    <x v="1"/>
  </r>
  <r>
    <x v="21"/>
    <x v="0"/>
    <x v="127"/>
    <n v="3703"/>
    <x v="1"/>
  </r>
  <r>
    <x v="20"/>
    <x v="0"/>
    <x v="41"/>
    <n v="3"/>
    <x v="0"/>
  </r>
  <r>
    <x v="20"/>
    <x v="0"/>
    <x v="74"/>
    <n v="2155"/>
    <x v="1"/>
  </r>
  <r>
    <x v="21"/>
    <x v="0"/>
    <x v="152"/>
    <n v="3215"/>
    <x v="1"/>
  </r>
  <r>
    <x v="21"/>
    <x v="0"/>
    <x v="225"/>
    <n v="2"/>
    <x v="0"/>
  </r>
  <r>
    <x v="21"/>
    <x v="0"/>
    <x v="93"/>
    <n v="218"/>
    <x v="1"/>
  </r>
  <r>
    <x v="20"/>
    <x v="0"/>
    <x v="60"/>
    <n v="1"/>
    <x v="0"/>
  </r>
  <r>
    <x v="20"/>
    <x v="0"/>
    <x v="140"/>
    <n v="3772"/>
    <x v="1"/>
  </r>
  <r>
    <x v="21"/>
    <x v="0"/>
    <x v="16"/>
    <n v="1"/>
    <x v="0"/>
  </r>
  <r>
    <x v="21"/>
    <x v="0"/>
    <x v="220"/>
    <n v="4140"/>
    <x v="1"/>
  </r>
  <r>
    <x v="20"/>
    <x v="0"/>
    <x v="70"/>
    <n v="23"/>
    <x v="0"/>
  </r>
  <r>
    <x v="21"/>
    <x v="0"/>
    <x v="151"/>
    <n v="3640"/>
    <x v="1"/>
  </r>
  <r>
    <x v="20"/>
    <x v="0"/>
    <x v="95"/>
    <n v="2579"/>
    <x v="1"/>
  </r>
  <r>
    <x v="20"/>
    <x v="0"/>
    <x v="76"/>
    <n v="2"/>
    <x v="0"/>
  </r>
  <r>
    <x v="20"/>
    <x v="0"/>
    <x v="82"/>
    <n v="3423"/>
    <x v="1"/>
  </r>
  <r>
    <x v="21"/>
    <x v="0"/>
    <x v="80"/>
    <n v="1"/>
    <x v="0"/>
  </r>
  <r>
    <x v="21"/>
    <x v="0"/>
    <x v="144"/>
    <n v="2958"/>
    <x v="1"/>
  </r>
  <r>
    <x v="20"/>
    <x v="0"/>
    <x v="21"/>
    <n v="2892"/>
    <x v="1"/>
  </r>
  <r>
    <x v="20"/>
    <x v="0"/>
    <x v="211"/>
    <n v="1"/>
    <x v="0"/>
  </r>
  <r>
    <x v="20"/>
    <x v="0"/>
    <x v="189"/>
    <n v="2849"/>
    <x v="1"/>
  </r>
  <r>
    <x v="20"/>
    <x v="0"/>
    <x v="112"/>
    <n v="1"/>
    <x v="0"/>
  </r>
  <r>
    <x v="21"/>
    <x v="0"/>
    <x v="47"/>
    <n v="431"/>
    <x v="1"/>
  </r>
  <r>
    <x v="20"/>
    <x v="0"/>
    <x v="163"/>
    <n v="6"/>
    <x v="0"/>
  </r>
  <r>
    <x v="21"/>
    <x v="0"/>
    <x v="12"/>
    <n v="3"/>
    <x v="0"/>
  </r>
  <r>
    <x v="20"/>
    <x v="0"/>
    <x v="84"/>
    <n v="26"/>
    <x v="0"/>
  </r>
  <r>
    <x v="20"/>
    <x v="0"/>
    <x v="154"/>
    <n v="2815"/>
    <x v="1"/>
  </r>
  <r>
    <x v="21"/>
    <x v="0"/>
    <x v="214"/>
    <n v="2"/>
    <x v="0"/>
  </r>
  <r>
    <x v="20"/>
    <x v="0"/>
    <x v="49"/>
    <n v="2"/>
    <x v="0"/>
  </r>
  <r>
    <x v="21"/>
    <x v="0"/>
    <x v="25"/>
    <n v="6"/>
    <x v="0"/>
  </r>
  <r>
    <x v="20"/>
    <x v="0"/>
    <x v="120"/>
    <n v="577"/>
    <x v="1"/>
  </r>
  <r>
    <x v="21"/>
    <x v="0"/>
    <x v="103"/>
    <n v="21"/>
    <x v="0"/>
  </r>
  <r>
    <x v="20"/>
    <x v="0"/>
    <x v="13"/>
    <n v="3"/>
    <x v="0"/>
  </r>
  <r>
    <x v="21"/>
    <x v="0"/>
    <x v="121"/>
    <n v="2487"/>
    <x v="1"/>
  </r>
  <r>
    <x v="20"/>
    <x v="0"/>
    <x v="72"/>
    <n v="2859"/>
    <x v="1"/>
  </r>
  <r>
    <x v="20"/>
    <x v="0"/>
    <x v="134"/>
    <n v="1132"/>
    <x v="1"/>
  </r>
  <r>
    <x v="21"/>
    <x v="0"/>
    <x v="162"/>
    <n v="7"/>
    <x v="0"/>
  </r>
  <r>
    <x v="20"/>
    <x v="0"/>
    <x v="23"/>
    <n v="1"/>
    <x v="0"/>
  </r>
  <r>
    <x v="20"/>
    <x v="0"/>
    <x v="152"/>
    <n v="2374"/>
    <x v="1"/>
  </r>
  <r>
    <x v="20"/>
    <x v="0"/>
    <x v="174"/>
    <n v="1"/>
    <x v="0"/>
  </r>
  <r>
    <x v="21"/>
    <x v="0"/>
    <x v="116"/>
    <n v="2168"/>
    <x v="1"/>
  </r>
  <r>
    <x v="20"/>
    <x v="0"/>
    <x v="118"/>
    <n v="2813"/>
    <x v="1"/>
  </r>
  <r>
    <x v="20"/>
    <x v="0"/>
    <x v="124"/>
    <n v="2682"/>
    <x v="1"/>
  </r>
  <r>
    <x v="20"/>
    <x v="0"/>
    <x v="73"/>
    <n v="719"/>
    <x v="1"/>
  </r>
  <r>
    <x v="20"/>
    <x v="0"/>
    <x v="204"/>
    <n v="1"/>
    <x v="0"/>
  </r>
  <r>
    <x v="20"/>
    <x v="0"/>
    <x v="191"/>
    <n v="2904"/>
    <x v="1"/>
  </r>
  <r>
    <x v="22"/>
    <x v="0"/>
    <x v="134"/>
    <n v="1134"/>
    <x v="1"/>
  </r>
  <r>
    <x v="22"/>
    <x v="0"/>
    <x v="80"/>
    <n v="27"/>
    <x v="0"/>
  </r>
  <r>
    <x v="22"/>
    <x v="0"/>
    <x v="4"/>
    <n v="2"/>
    <x v="0"/>
  </r>
  <r>
    <x v="22"/>
    <x v="0"/>
    <x v="215"/>
    <n v="2"/>
    <x v="0"/>
  </r>
  <r>
    <x v="22"/>
    <x v="0"/>
    <x v="3"/>
    <n v="884"/>
    <x v="1"/>
  </r>
  <r>
    <x v="22"/>
    <x v="0"/>
    <x v="98"/>
    <n v="1619"/>
    <x v="1"/>
  </r>
  <r>
    <x v="22"/>
    <x v="0"/>
    <x v="121"/>
    <n v="2472"/>
    <x v="1"/>
  </r>
  <r>
    <x v="22"/>
    <x v="0"/>
    <x v="158"/>
    <n v="1"/>
    <x v="0"/>
  </r>
  <r>
    <x v="23"/>
    <x v="0"/>
    <x v="134"/>
    <n v="670"/>
    <x v="1"/>
  </r>
  <r>
    <x v="22"/>
    <x v="0"/>
    <x v="79"/>
    <n v="11546"/>
    <x v="1"/>
  </r>
  <r>
    <x v="22"/>
    <x v="0"/>
    <x v="150"/>
    <n v="708"/>
    <x v="1"/>
  </r>
  <r>
    <x v="22"/>
    <x v="0"/>
    <x v="72"/>
    <n v="2831"/>
    <x v="1"/>
  </r>
  <r>
    <x v="23"/>
    <x v="0"/>
    <x v="74"/>
    <n v="2405"/>
    <x v="1"/>
  </r>
  <r>
    <x v="23"/>
    <x v="0"/>
    <x v="121"/>
    <n v="2372"/>
    <x v="1"/>
  </r>
  <r>
    <x v="23"/>
    <x v="0"/>
    <x v="99"/>
    <n v="2555"/>
    <x v="1"/>
  </r>
  <r>
    <x v="22"/>
    <x v="0"/>
    <x v="58"/>
    <n v="2509"/>
    <x v="1"/>
  </r>
  <r>
    <x v="22"/>
    <x v="0"/>
    <x v="176"/>
    <n v="1"/>
    <x v="0"/>
  </r>
  <r>
    <x v="22"/>
    <x v="0"/>
    <x v="11"/>
    <n v="2"/>
    <x v="0"/>
  </r>
  <r>
    <x v="22"/>
    <x v="0"/>
    <x v="114"/>
    <n v="107"/>
    <x v="1"/>
  </r>
  <r>
    <x v="22"/>
    <x v="0"/>
    <x v="32"/>
    <n v="11937"/>
    <x v="1"/>
  </r>
  <r>
    <x v="23"/>
    <x v="0"/>
    <x v="70"/>
    <n v="8"/>
    <x v="0"/>
  </r>
  <r>
    <x v="22"/>
    <x v="0"/>
    <x v="24"/>
    <n v="4"/>
    <x v="0"/>
  </r>
  <r>
    <x v="23"/>
    <x v="0"/>
    <x v="21"/>
    <n v="2918"/>
    <x v="1"/>
  </r>
  <r>
    <x v="23"/>
    <x v="0"/>
    <x v="79"/>
    <n v="2966"/>
    <x v="1"/>
  </r>
  <r>
    <x v="22"/>
    <x v="0"/>
    <x v="196"/>
    <n v="2"/>
    <x v="0"/>
  </r>
  <r>
    <x v="23"/>
    <x v="0"/>
    <x v="226"/>
    <n v="240"/>
    <x v="1"/>
  </r>
  <r>
    <x v="23"/>
    <x v="0"/>
    <x v="177"/>
    <n v="1"/>
    <x v="0"/>
  </r>
  <r>
    <x v="23"/>
    <x v="0"/>
    <x v="214"/>
    <n v="2"/>
    <x v="0"/>
  </r>
  <r>
    <x v="22"/>
    <x v="0"/>
    <x v="104"/>
    <n v="4092"/>
    <x v="1"/>
  </r>
  <r>
    <x v="23"/>
    <x v="0"/>
    <x v="147"/>
    <n v="662"/>
    <x v="1"/>
  </r>
  <r>
    <x v="22"/>
    <x v="0"/>
    <x v="25"/>
    <n v="4"/>
    <x v="0"/>
  </r>
  <r>
    <x v="22"/>
    <x v="0"/>
    <x v="173"/>
    <n v="1"/>
    <x v="0"/>
  </r>
  <r>
    <x v="23"/>
    <x v="0"/>
    <x v="241"/>
    <n v="1"/>
    <x v="0"/>
  </r>
  <r>
    <x v="22"/>
    <x v="0"/>
    <x v="48"/>
    <n v="10"/>
    <x v="0"/>
  </r>
  <r>
    <x v="23"/>
    <x v="0"/>
    <x v="52"/>
    <n v="2623"/>
    <x v="1"/>
  </r>
  <r>
    <x v="22"/>
    <x v="0"/>
    <x v="197"/>
    <n v="2133"/>
    <x v="1"/>
  </r>
  <r>
    <x v="23"/>
    <x v="0"/>
    <x v="218"/>
    <n v="6"/>
    <x v="0"/>
  </r>
  <r>
    <x v="23"/>
    <x v="0"/>
    <x v="124"/>
    <n v="746"/>
    <x v="1"/>
  </r>
  <r>
    <x v="22"/>
    <x v="0"/>
    <x v="7"/>
    <n v="3116"/>
    <x v="1"/>
  </r>
  <r>
    <x v="22"/>
    <x v="0"/>
    <x v="41"/>
    <n v="3"/>
    <x v="0"/>
  </r>
  <r>
    <x v="22"/>
    <x v="0"/>
    <x v="100"/>
    <n v="1"/>
    <x v="0"/>
  </r>
  <r>
    <x v="23"/>
    <x v="0"/>
    <x v="164"/>
    <n v="82"/>
    <x v="0"/>
  </r>
  <r>
    <x v="23"/>
    <x v="0"/>
    <x v="84"/>
    <n v="10"/>
    <x v="0"/>
  </r>
  <r>
    <x v="22"/>
    <x v="0"/>
    <x v="154"/>
    <n v="2818"/>
    <x v="1"/>
  </r>
  <r>
    <x v="23"/>
    <x v="0"/>
    <x v="141"/>
    <n v="1909"/>
    <x v="1"/>
  </r>
  <r>
    <x v="22"/>
    <x v="0"/>
    <x v="99"/>
    <n v="2290"/>
    <x v="1"/>
  </r>
  <r>
    <x v="22"/>
    <x v="0"/>
    <x v="70"/>
    <n v="24"/>
    <x v="0"/>
  </r>
  <r>
    <x v="22"/>
    <x v="0"/>
    <x v="52"/>
    <n v="2407"/>
    <x v="1"/>
  </r>
  <r>
    <x v="22"/>
    <x v="0"/>
    <x v="17"/>
    <n v="446"/>
    <x v="1"/>
  </r>
  <r>
    <x v="23"/>
    <x v="0"/>
    <x v="87"/>
    <n v="2734"/>
    <x v="1"/>
  </r>
  <r>
    <x v="22"/>
    <x v="0"/>
    <x v="69"/>
    <n v="3178"/>
    <x v="1"/>
  </r>
  <r>
    <x v="22"/>
    <x v="0"/>
    <x v="87"/>
    <n v="2372"/>
    <x v="1"/>
  </r>
  <r>
    <x v="23"/>
    <x v="0"/>
    <x v="240"/>
    <n v="81"/>
    <x v="0"/>
  </r>
  <r>
    <x v="22"/>
    <x v="0"/>
    <x v="105"/>
    <n v="2375"/>
    <x v="1"/>
  </r>
  <r>
    <x v="23"/>
    <x v="0"/>
    <x v="22"/>
    <n v="3526"/>
    <x v="1"/>
  </r>
  <r>
    <x v="23"/>
    <x v="0"/>
    <x v="184"/>
    <n v="2433"/>
    <x v="1"/>
  </r>
  <r>
    <x v="22"/>
    <x v="0"/>
    <x v="40"/>
    <n v="4"/>
    <x v="0"/>
  </r>
  <r>
    <x v="22"/>
    <x v="0"/>
    <x v="191"/>
    <n v="2874"/>
    <x v="1"/>
  </r>
  <r>
    <x v="22"/>
    <x v="0"/>
    <x v="163"/>
    <n v="1"/>
    <x v="0"/>
  </r>
  <r>
    <x v="23"/>
    <x v="0"/>
    <x v="44"/>
    <n v="2656"/>
    <x v="1"/>
  </r>
  <r>
    <x v="23"/>
    <x v="0"/>
    <x v="145"/>
    <n v="1"/>
    <x v="0"/>
  </r>
  <r>
    <x v="22"/>
    <x v="0"/>
    <x v="205"/>
    <n v="2"/>
    <x v="0"/>
  </r>
  <r>
    <x v="23"/>
    <x v="0"/>
    <x v="242"/>
    <n v="12"/>
    <x v="0"/>
  </r>
  <r>
    <x v="22"/>
    <x v="0"/>
    <x v="28"/>
    <n v="2453"/>
    <x v="1"/>
  </r>
  <r>
    <x v="22"/>
    <x v="0"/>
    <x v="47"/>
    <n v="377"/>
    <x v="1"/>
  </r>
  <r>
    <x v="22"/>
    <x v="0"/>
    <x v="13"/>
    <n v="3"/>
    <x v="0"/>
  </r>
  <r>
    <x v="22"/>
    <x v="0"/>
    <x v="95"/>
    <n v="2591"/>
    <x v="1"/>
  </r>
  <r>
    <x v="22"/>
    <x v="0"/>
    <x v="212"/>
    <n v="1"/>
    <x v="0"/>
  </r>
  <r>
    <x v="22"/>
    <x v="0"/>
    <x v="146"/>
    <n v="2614"/>
    <x v="1"/>
  </r>
  <r>
    <x v="23"/>
    <x v="0"/>
    <x v="139"/>
    <n v="3073"/>
    <x v="1"/>
  </r>
  <r>
    <x v="23"/>
    <x v="0"/>
    <x v="154"/>
    <n v="1434"/>
    <x v="1"/>
  </r>
  <r>
    <x v="22"/>
    <x v="0"/>
    <x v="129"/>
    <n v="2401"/>
    <x v="1"/>
  </r>
  <r>
    <x v="22"/>
    <x v="0"/>
    <x v="64"/>
    <n v="1902"/>
    <x v="1"/>
  </r>
  <r>
    <x v="22"/>
    <x v="0"/>
    <x v="137"/>
    <n v="1403"/>
    <x v="1"/>
  </r>
  <r>
    <x v="23"/>
    <x v="0"/>
    <x v="63"/>
    <n v="679"/>
    <x v="1"/>
  </r>
  <r>
    <x v="23"/>
    <x v="0"/>
    <x v="64"/>
    <n v="324"/>
    <x v="1"/>
  </r>
  <r>
    <x v="23"/>
    <x v="0"/>
    <x v="231"/>
    <n v="2"/>
    <x v="0"/>
  </r>
  <r>
    <x v="22"/>
    <x v="0"/>
    <x v="91"/>
    <n v="15"/>
    <x v="0"/>
  </r>
  <r>
    <x v="22"/>
    <x v="0"/>
    <x v="160"/>
    <n v="4"/>
    <x v="0"/>
  </r>
  <r>
    <x v="22"/>
    <x v="0"/>
    <x v="34"/>
    <n v="4"/>
    <x v="0"/>
  </r>
  <r>
    <x v="23"/>
    <x v="0"/>
    <x v="93"/>
    <n v="265"/>
    <x v="1"/>
  </r>
  <r>
    <x v="22"/>
    <x v="0"/>
    <x v="107"/>
    <n v="7"/>
    <x v="0"/>
  </r>
  <r>
    <x v="22"/>
    <x v="0"/>
    <x v="162"/>
    <n v="2"/>
    <x v="0"/>
  </r>
  <r>
    <x v="23"/>
    <x v="0"/>
    <x v="207"/>
    <n v="1"/>
    <x v="0"/>
  </r>
  <r>
    <x v="23"/>
    <x v="0"/>
    <x v="117"/>
    <n v="2528"/>
    <x v="1"/>
  </r>
  <r>
    <x v="23"/>
    <x v="0"/>
    <x v="76"/>
    <n v="1"/>
    <x v="0"/>
  </r>
  <r>
    <x v="22"/>
    <x v="0"/>
    <x v="165"/>
    <n v="1"/>
    <x v="0"/>
  </r>
  <r>
    <x v="23"/>
    <x v="0"/>
    <x v="152"/>
    <n v="3202"/>
    <x v="1"/>
  </r>
  <r>
    <x v="22"/>
    <x v="0"/>
    <x v="211"/>
    <n v="1"/>
    <x v="0"/>
  </r>
  <r>
    <x v="22"/>
    <x v="0"/>
    <x v="131"/>
    <n v="2993"/>
    <x v="1"/>
  </r>
  <r>
    <x v="23"/>
    <x v="0"/>
    <x v="135"/>
    <n v="2079"/>
    <x v="1"/>
  </r>
  <r>
    <x v="23"/>
    <x v="0"/>
    <x v="58"/>
    <n v="3156"/>
    <x v="1"/>
  </r>
  <r>
    <x v="23"/>
    <x v="0"/>
    <x v="69"/>
    <n v="2667"/>
    <x v="1"/>
  </r>
  <r>
    <x v="23"/>
    <x v="0"/>
    <x v="176"/>
    <n v="1"/>
    <x v="0"/>
  </r>
  <r>
    <x v="22"/>
    <x v="0"/>
    <x v="59"/>
    <n v="182"/>
    <x v="1"/>
  </r>
  <r>
    <x v="22"/>
    <x v="0"/>
    <x v="190"/>
    <n v="226"/>
    <x v="1"/>
  </r>
  <r>
    <x v="23"/>
    <x v="0"/>
    <x v="238"/>
    <n v="1"/>
    <x v="0"/>
  </r>
  <r>
    <x v="23"/>
    <x v="0"/>
    <x v="120"/>
    <n v="37"/>
    <x v="0"/>
  </r>
  <r>
    <x v="22"/>
    <x v="0"/>
    <x v="214"/>
    <n v="1"/>
    <x v="0"/>
  </r>
  <r>
    <x v="23"/>
    <x v="0"/>
    <x v="144"/>
    <n v="2946"/>
    <x v="1"/>
  </r>
  <r>
    <x v="23"/>
    <x v="0"/>
    <x v="168"/>
    <n v="1958"/>
    <x v="1"/>
  </r>
  <r>
    <x v="23"/>
    <x v="0"/>
    <x v="110"/>
    <n v="2"/>
    <x v="0"/>
  </r>
  <r>
    <x v="23"/>
    <x v="0"/>
    <x v="103"/>
    <n v="24"/>
    <x v="0"/>
  </r>
  <r>
    <x v="22"/>
    <x v="0"/>
    <x v="82"/>
    <n v="3383"/>
    <x v="1"/>
  </r>
  <r>
    <x v="22"/>
    <x v="0"/>
    <x v="33"/>
    <n v="135"/>
    <x v="1"/>
  </r>
  <r>
    <x v="22"/>
    <x v="0"/>
    <x v="187"/>
    <n v="549"/>
    <x v="1"/>
  </r>
  <r>
    <x v="23"/>
    <x v="0"/>
    <x v="31"/>
    <n v="3061"/>
    <x v="1"/>
  </r>
  <r>
    <x v="22"/>
    <x v="0"/>
    <x v="93"/>
    <n v="9"/>
    <x v="0"/>
  </r>
  <r>
    <x v="22"/>
    <x v="0"/>
    <x v="180"/>
    <n v="2"/>
    <x v="0"/>
  </r>
  <r>
    <x v="23"/>
    <x v="0"/>
    <x v="171"/>
    <n v="2211"/>
    <x v="1"/>
  </r>
  <r>
    <x v="23"/>
    <x v="0"/>
    <x v="192"/>
    <n v="2848"/>
    <x v="1"/>
  </r>
  <r>
    <x v="22"/>
    <x v="0"/>
    <x v="127"/>
    <n v="2703"/>
    <x v="1"/>
  </r>
  <r>
    <x v="22"/>
    <x v="0"/>
    <x v="174"/>
    <n v="1"/>
    <x v="0"/>
  </r>
  <r>
    <x v="23"/>
    <x v="0"/>
    <x v="88"/>
    <n v="3574"/>
    <x v="1"/>
  </r>
  <r>
    <x v="23"/>
    <x v="0"/>
    <x v="78"/>
    <n v="2"/>
    <x v="0"/>
  </r>
  <r>
    <x v="22"/>
    <x v="0"/>
    <x v="29"/>
    <n v="12"/>
    <x v="0"/>
  </r>
  <r>
    <x v="22"/>
    <x v="0"/>
    <x v="144"/>
    <n v="2755"/>
    <x v="1"/>
  </r>
  <r>
    <x v="23"/>
    <x v="0"/>
    <x v="126"/>
    <n v="64"/>
    <x v="0"/>
  </r>
  <r>
    <x v="22"/>
    <x v="0"/>
    <x v="159"/>
    <n v="1"/>
    <x v="0"/>
  </r>
  <r>
    <x v="23"/>
    <x v="0"/>
    <x v="92"/>
    <n v="3"/>
    <x v="0"/>
  </r>
  <r>
    <x v="23"/>
    <x v="0"/>
    <x v="83"/>
    <n v="3"/>
    <x v="0"/>
  </r>
  <r>
    <x v="23"/>
    <x v="0"/>
    <x v="32"/>
    <n v="3063"/>
    <x v="1"/>
  </r>
  <r>
    <x v="23"/>
    <x v="0"/>
    <x v="175"/>
    <n v="1"/>
    <x v="0"/>
  </r>
  <r>
    <x v="23"/>
    <x v="0"/>
    <x v="1"/>
    <n v="27"/>
    <x v="0"/>
  </r>
  <r>
    <x v="22"/>
    <x v="0"/>
    <x v="133"/>
    <n v="3000"/>
    <x v="1"/>
  </r>
  <r>
    <x v="22"/>
    <x v="0"/>
    <x v="115"/>
    <n v="3817"/>
    <x v="1"/>
  </r>
  <r>
    <x v="22"/>
    <x v="0"/>
    <x v="73"/>
    <n v="724"/>
    <x v="1"/>
  </r>
  <r>
    <x v="22"/>
    <x v="0"/>
    <x v="56"/>
    <n v="2521"/>
    <x v="1"/>
  </r>
  <r>
    <x v="23"/>
    <x v="0"/>
    <x v="159"/>
    <n v="1"/>
    <x v="0"/>
  </r>
  <r>
    <x v="23"/>
    <x v="0"/>
    <x v="38"/>
    <n v="3454"/>
    <x v="1"/>
  </r>
  <r>
    <x v="23"/>
    <x v="0"/>
    <x v="165"/>
    <n v="1"/>
    <x v="0"/>
  </r>
  <r>
    <x v="23"/>
    <x v="0"/>
    <x v="185"/>
    <n v="3285"/>
    <x v="1"/>
  </r>
  <r>
    <x v="22"/>
    <x v="0"/>
    <x v="152"/>
    <n v="2345"/>
    <x v="1"/>
  </r>
  <r>
    <x v="23"/>
    <x v="0"/>
    <x v="233"/>
    <n v="1"/>
    <x v="0"/>
  </r>
  <r>
    <x v="22"/>
    <x v="0"/>
    <x v="170"/>
    <n v="2630"/>
    <x v="1"/>
  </r>
  <r>
    <x v="22"/>
    <x v="0"/>
    <x v="145"/>
    <n v="3"/>
    <x v="0"/>
  </r>
  <r>
    <x v="22"/>
    <x v="0"/>
    <x v="36"/>
    <n v="3"/>
    <x v="0"/>
  </r>
  <r>
    <x v="23"/>
    <x v="0"/>
    <x v="173"/>
    <n v="1"/>
    <x v="0"/>
  </r>
  <r>
    <x v="22"/>
    <x v="0"/>
    <x v="0"/>
    <n v="39"/>
    <x v="0"/>
  </r>
  <r>
    <x v="22"/>
    <x v="0"/>
    <x v="14"/>
    <n v="83"/>
    <x v="0"/>
  </r>
  <r>
    <x v="23"/>
    <x v="0"/>
    <x v="136"/>
    <n v="3408"/>
    <x v="1"/>
  </r>
  <r>
    <x v="23"/>
    <x v="0"/>
    <x v="127"/>
    <n v="3714"/>
    <x v="1"/>
  </r>
  <r>
    <x v="22"/>
    <x v="0"/>
    <x v="136"/>
    <n v="2751"/>
    <x v="1"/>
  </r>
  <r>
    <x v="23"/>
    <x v="0"/>
    <x v="170"/>
    <n v="3016"/>
    <x v="1"/>
  </r>
  <r>
    <x v="23"/>
    <x v="0"/>
    <x v="55"/>
    <n v="1"/>
    <x v="0"/>
  </r>
  <r>
    <x v="22"/>
    <x v="0"/>
    <x v="164"/>
    <n v="183"/>
    <x v="1"/>
  </r>
  <r>
    <x v="23"/>
    <x v="0"/>
    <x v="220"/>
    <n v="4123"/>
    <x v="1"/>
  </r>
  <r>
    <x v="23"/>
    <x v="0"/>
    <x v="205"/>
    <n v="2"/>
    <x v="0"/>
  </r>
  <r>
    <x v="23"/>
    <x v="0"/>
    <x v="62"/>
    <n v="606"/>
    <x v="1"/>
  </r>
  <r>
    <x v="23"/>
    <x v="0"/>
    <x v="243"/>
    <n v="38"/>
    <x v="0"/>
  </r>
  <r>
    <x v="22"/>
    <x v="0"/>
    <x v="138"/>
    <n v="7"/>
    <x v="0"/>
  </r>
  <r>
    <x v="22"/>
    <x v="0"/>
    <x v="124"/>
    <n v="2701"/>
    <x v="1"/>
  </r>
  <r>
    <x v="22"/>
    <x v="0"/>
    <x v="117"/>
    <n v="2388"/>
    <x v="1"/>
  </r>
  <r>
    <x v="23"/>
    <x v="0"/>
    <x v="113"/>
    <n v="2516"/>
    <x v="1"/>
  </r>
  <r>
    <x v="22"/>
    <x v="0"/>
    <x v="44"/>
    <n v="2874"/>
    <x v="1"/>
  </r>
  <r>
    <x v="22"/>
    <x v="0"/>
    <x v="125"/>
    <n v="125"/>
    <x v="1"/>
  </r>
  <r>
    <x v="22"/>
    <x v="0"/>
    <x v="208"/>
    <n v="4"/>
    <x v="0"/>
  </r>
  <r>
    <x v="22"/>
    <x v="0"/>
    <x v="55"/>
    <n v="6"/>
    <x v="0"/>
  </r>
  <r>
    <x v="22"/>
    <x v="0"/>
    <x v="61"/>
    <n v="928"/>
    <x v="1"/>
  </r>
  <r>
    <x v="22"/>
    <x v="0"/>
    <x v="141"/>
    <n v="2204"/>
    <x v="1"/>
  </r>
  <r>
    <x v="23"/>
    <x v="0"/>
    <x v="244"/>
    <n v="4"/>
    <x v="0"/>
  </r>
  <r>
    <x v="23"/>
    <x v="0"/>
    <x v="19"/>
    <n v="211"/>
    <x v="1"/>
  </r>
  <r>
    <x v="23"/>
    <x v="0"/>
    <x v="57"/>
    <n v="6"/>
    <x v="0"/>
  </r>
  <r>
    <x v="23"/>
    <x v="0"/>
    <x v="14"/>
    <n v="2"/>
    <x v="0"/>
  </r>
  <r>
    <x v="22"/>
    <x v="0"/>
    <x v="185"/>
    <n v="1859"/>
    <x v="1"/>
  </r>
  <r>
    <x v="23"/>
    <x v="0"/>
    <x v="80"/>
    <n v="1"/>
    <x v="0"/>
  </r>
  <r>
    <x v="23"/>
    <x v="0"/>
    <x v="189"/>
    <n v="3157"/>
    <x v="1"/>
  </r>
  <r>
    <x v="23"/>
    <x v="0"/>
    <x v="212"/>
    <n v="4"/>
    <x v="0"/>
  </r>
  <r>
    <x v="23"/>
    <x v="0"/>
    <x v="95"/>
    <n v="3125"/>
    <x v="1"/>
  </r>
  <r>
    <x v="23"/>
    <x v="0"/>
    <x v="190"/>
    <n v="1712"/>
    <x v="1"/>
  </r>
  <r>
    <x v="23"/>
    <x v="0"/>
    <x v="131"/>
    <n v="3582"/>
    <x v="1"/>
  </r>
  <r>
    <x v="22"/>
    <x v="0"/>
    <x v="206"/>
    <n v="2"/>
    <x v="0"/>
  </r>
  <r>
    <x v="23"/>
    <x v="0"/>
    <x v="191"/>
    <n v="2032"/>
    <x v="1"/>
  </r>
  <r>
    <x v="22"/>
    <x v="0"/>
    <x v="109"/>
    <n v="10"/>
    <x v="0"/>
  </r>
  <r>
    <x v="23"/>
    <x v="0"/>
    <x v="151"/>
    <n v="3601"/>
    <x v="1"/>
  </r>
  <r>
    <x v="23"/>
    <x v="0"/>
    <x v="182"/>
    <n v="2322"/>
    <x v="1"/>
  </r>
  <r>
    <x v="22"/>
    <x v="0"/>
    <x v="15"/>
    <n v="5"/>
    <x v="0"/>
  </r>
  <r>
    <x v="23"/>
    <x v="0"/>
    <x v="137"/>
    <n v="1553"/>
    <x v="1"/>
  </r>
  <r>
    <x v="22"/>
    <x v="0"/>
    <x v="27"/>
    <n v="2130"/>
    <x v="1"/>
  </r>
  <r>
    <x v="23"/>
    <x v="0"/>
    <x v="47"/>
    <n v="441"/>
    <x v="1"/>
  </r>
  <r>
    <x v="22"/>
    <x v="0"/>
    <x v="195"/>
    <n v="1"/>
    <x v="0"/>
  </r>
  <r>
    <x v="23"/>
    <x v="0"/>
    <x v="227"/>
    <n v="1"/>
    <x v="0"/>
  </r>
  <r>
    <x v="23"/>
    <x v="0"/>
    <x v="109"/>
    <n v="3"/>
    <x v="0"/>
  </r>
  <r>
    <x v="23"/>
    <x v="0"/>
    <x v="25"/>
    <n v="6"/>
    <x v="0"/>
  </r>
  <r>
    <x v="23"/>
    <x v="0"/>
    <x v="27"/>
    <n v="2425"/>
    <x v="1"/>
  </r>
  <r>
    <x v="22"/>
    <x v="0"/>
    <x v="62"/>
    <n v="2288"/>
    <x v="1"/>
  </r>
  <r>
    <x v="22"/>
    <x v="0"/>
    <x v="153"/>
    <n v="2239"/>
    <x v="1"/>
  </r>
  <r>
    <x v="23"/>
    <x v="0"/>
    <x v="11"/>
    <n v="8"/>
    <x v="0"/>
  </r>
  <r>
    <x v="22"/>
    <x v="0"/>
    <x v="204"/>
    <n v="1"/>
    <x v="0"/>
  </r>
  <r>
    <x v="23"/>
    <x v="0"/>
    <x v="133"/>
    <n v="667"/>
    <x v="1"/>
  </r>
  <r>
    <x v="23"/>
    <x v="0"/>
    <x v="104"/>
    <n v="3"/>
    <x v="0"/>
  </r>
  <r>
    <x v="23"/>
    <x v="0"/>
    <x v="28"/>
    <n v="2591"/>
    <x v="1"/>
  </r>
  <r>
    <x v="23"/>
    <x v="0"/>
    <x v="245"/>
    <n v="3557"/>
    <x v="1"/>
  </r>
  <r>
    <x v="23"/>
    <x v="0"/>
    <x v="107"/>
    <n v="4"/>
    <x v="0"/>
  </r>
  <r>
    <x v="23"/>
    <x v="0"/>
    <x v="75"/>
    <n v="141"/>
    <x v="1"/>
  </r>
  <r>
    <x v="22"/>
    <x v="0"/>
    <x v="39"/>
    <n v="2"/>
    <x v="0"/>
  </r>
  <r>
    <x v="22"/>
    <x v="0"/>
    <x v="139"/>
    <n v="2576"/>
    <x v="1"/>
  </r>
  <r>
    <x v="23"/>
    <x v="0"/>
    <x v="246"/>
    <n v="10"/>
    <x v="0"/>
  </r>
  <r>
    <x v="22"/>
    <x v="0"/>
    <x v="45"/>
    <n v="93"/>
    <x v="0"/>
  </r>
  <r>
    <x v="22"/>
    <x v="0"/>
    <x v="143"/>
    <n v="3824"/>
    <x v="1"/>
  </r>
  <r>
    <x v="23"/>
    <x v="0"/>
    <x v="82"/>
    <n v="8"/>
    <x v="0"/>
  </r>
  <r>
    <x v="22"/>
    <x v="0"/>
    <x v="89"/>
    <n v="2477"/>
    <x v="1"/>
  </r>
  <r>
    <x v="23"/>
    <x v="0"/>
    <x v="146"/>
    <n v="3139"/>
    <x v="1"/>
  </r>
  <r>
    <x v="23"/>
    <x v="0"/>
    <x v="73"/>
    <n v="642"/>
    <x v="1"/>
  </r>
  <r>
    <x v="23"/>
    <x v="0"/>
    <x v="53"/>
    <n v="122"/>
    <x v="1"/>
  </r>
  <r>
    <x v="22"/>
    <x v="0"/>
    <x v="209"/>
    <n v="1"/>
    <x v="0"/>
  </r>
  <r>
    <x v="22"/>
    <x v="0"/>
    <x v="166"/>
    <n v="22"/>
    <x v="0"/>
  </r>
  <r>
    <x v="23"/>
    <x v="0"/>
    <x v="3"/>
    <n v="885"/>
    <x v="1"/>
  </r>
  <r>
    <x v="22"/>
    <x v="0"/>
    <x v="179"/>
    <n v="5"/>
    <x v="0"/>
  </r>
  <r>
    <x v="23"/>
    <x v="0"/>
    <x v="204"/>
    <n v="1"/>
    <x v="0"/>
  </r>
  <r>
    <x v="22"/>
    <x v="0"/>
    <x v="106"/>
    <n v="2068"/>
    <x v="1"/>
  </r>
  <r>
    <x v="23"/>
    <x v="0"/>
    <x v="111"/>
    <n v="2521"/>
    <x v="1"/>
  </r>
  <r>
    <x v="23"/>
    <x v="0"/>
    <x v="94"/>
    <n v="282"/>
    <x v="1"/>
  </r>
  <r>
    <x v="23"/>
    <x v="0"/>
    <x v="12"/>
    <n v="3"/>
    <x v="0"/>
  </r>
  <r>
    <x v="22"/>
    <x v="0"/>
    <x v="51"/>
    <n v="2191"/>
    <x v="1"/>
  </r>
  <r>
    <x v="22"/>
    <x v="0"/>
    <x v="168"/>
    <n v="151"/>
    <x v="1"/>
  </r>
  <r>
    <x v="22"/>
    <x v="0"/>
    <x v="88"/>
    <n v="2666"/>
    <x v="1"/>
  </r>
  <r>
    <x v="23"/>
    <x v="0"/>
    <x v="105"/>
    <n v="586"/>
    <x v="1"/>
  </r>
  <r>
    <x v="23"/>
    <x v="0"/>
    <x v="118"/>
    <n v="2631"/>
    <x v="1"/>
  </r>
  <r>
    <x v="22"/>
    <x v="0"/>
    <x v="54"/>
    <n v="16"/>
    <x v="0"/>
  </r>
  <r>
    <x v="23"/>
    <x v="0"/>
    <x v="65"/>
    <n v="443"/>
    <x v="1"/>
  </r>
  <r>
    <x v="22"/>
    <x v="0"/>
    <x v="102"/>
    <n v="2593"/>
    <x v="1"/>
  </r>
  <r>
    <x v="22"/>
    <x v="0"/>
    <x v="120"/>
    <n v="600"/>
    <x v="1"/>
  </r>
  <r>
    <x v="22"/>
    <x v="0"/>
    <x v="86"/>
    <n v="2697"/>
    <x v="1"/>
  </r>
  <r>
    <x v="23"/>
    <x v="0"/>
    <x v="183"/>
    <n v="3561"/>
    <x v="1"/>
  </r>
  <r>
    <x v="22"/>
    <x v="0"/>
    <x v="66"/>
    <n v="3373"/>
    <x v="1"/>
  </r>
  <r>
    <x v="23"/>
    <x v="0"/>
    <x v="229"/>
    <n v="785"/>
    <x v="1"/>
  </r>
  <r>
    <x v="22"/>
    <x v="0"/>
    <x v="18"/>
    <n v="1"/>
    <x v="0"/>
  </r>
  <r>
    <x v="23"/>
    <x v="0"/>
    <x v="33"/>
    <n v="343"/>
    <x v="1"/>
  </r>
  <r>
    <x v="23"/>
    <x v="0"/>
    <x v="179"/>
    <n v="2"/>
    <x v="0"/>
  </r>
  <r>
    <x v="23"/>
    <x v="0"/>
    <x v="13"/>
    <n v="1"/>
    <x v="0"/>
  </r>
  <r>
    <x v="23"/>
    <x v="0"/>
    <x v="46"/>
    <n v="2582"/>
    <x v="1"/>
  </r>
  <r>
    <x v="22"/>
    <x v="0"/>
    <x v="126"/>
    <n v="342"/>
    <x v="1"/>
  </r>
  <r>
    <x v="22"/>
    <x v="0"/>
    <x v="22"/>
    <n v="3370"/>
    <x v="1"/>
  </r>
  <r>
    <x v="22"/>
    <x v="0"/>
    <x v="194"/>
    <n v="1"/>
    <x v="0"/>
  </r>
  <r>
    <x v="22"/>
    <x v="0"/>
    <x v="92"/>
    <n v="8"/>
    <x v="0"/>
  </r>
  <r>
    <x v="23"/>
    <x v="0"/>
    <x v="4"/>
    <n v="12"/>
    <x v="0"/>
  </r>
  <r>
    <x v="22"/>
    <x v="0"/>
    <x v="84"/>
    <n v="29"/>
    <x v="0"/>
  </r>
  <r>
    <x v="22"/>
    <x v="0"/>
    <x v="81"/>
    <n v="5"/>
    <x v="0"/>
  </r>
  <r>
    <x v="23"/>
    <x v="0"/>
    <x v="17"/>
    <n v="644"/>
    <x v="1"/>
  </r>
  <r>
    <x v="23"/>
    <x v="0"/>
    <x v="158"/>
    <n v="1"/>
    <x v="0"/>
  </r>
  <r>
    <x v="22"/>
    <x v="0"/>
    <x v="147"/>
    <n v="834"/>
    <x v="1"/>
  </r>
  <r>
    <x v="23"/>
    <x v="0"/>
    <x v="129"/>
    <n v="1043"/>
    <x v="1"/>
  </r>
  <r>
    <x v="23"/>
    <x v="0"/>
    <x v="68"/>
    <n v="1"/>
    <x v="0"/>
  </r>
  <r>
    <x v="22"/>
    <x v="0"/>
    <x v="183"/>
    <n v="189"/>
    <x v="1"/>
  </r>
  <r>
    <x v="22"/>
    <x v="0"/>
    <x v="2"/>
    <n v="3242"/>
    <x v="1"/>
  </r>
  <r>
    <x v="22"/>
    <x v="0"/>
    <x v="76"/>
    <n v="2"/>
    <x v="0"/>
  </r>
  <r>
    <x v="22"/>
    <x v="0"/>
    <x v="38"/>
    <n v="3389"/>
    <x v="1"/>
  </r>
  <r>
    <x v="23"/>
    <x v="0"/>
    <x v="172"/>
    <n v="2827"/>
    <x v="1"/>
  </r>
  <r>
    <x v="23"/>
    <x v="0"/>
    <x v="149"/>
    <n v="2917"/>
    <x v="1"/>
  </r>
  <r>
    <x v="23"/>
    <x v="0"/>
    <x v="51"/>
    <n v="2333"/>
    <x v="1"/>
  </r>
  <r>
    <x v="23"/>
    <x v="0"/>
    <x v="59"/>
    <n v="37"/>
    <x v="0"/>
  </r>
  <r>
    <x v="23"/>
    <x v="0"/>
    <x v="5"/>
    <n v="1"/>
    <x v="0"/>
  </r>
  <r>
    <x v="22"/>
    <x v="0"/>
    <x v="30"/>
    <n v="1150"/>
    <x v="1"/>
  </r>
  <r>
    <x v="22"/>
    <x v="0"/>
    <x v="31"/>
    <n v="2584"/>
    <x v="1"/>
  </r>
  <r>
    <x v="23"/>
    <x v="0"/>
    <x v="43"/>
    <n v="7"/>
    <x v="0"/>
  </r>
  <r>
    <x v="23"/>
    <x v="0"/>
    <x v="91"/>
    <n v="11"/>
    <x v="0"/>
  </r>
  <r>
    <x v="22"/>
    <x v="0"/>
    <x v="182"/>
    <n v="2312"/>
    <x v="1"/>
  </r>
  <r>
    <x v="23"/>
    <x v="0"/>
    <x v="102"/>
    <n v="2830"/>
    <x v="1"/>
  </r>
  <r>
    <x v="22"/>
    <x v="0"/>
    <x v="188"/>
    <n v="2146"/>
    <x v="1"/>
  </r>
  <r>
    <x v="22"/>
    <x v="0"/>
    <x v="53"/>
    <n v="83"/>
    <x v="0"/>
  </r>
  <r>
    <x v="23"/>
    <x v="0"/>
    <x v="148"/>
    <n v="3364"/>
    <x v="1"/>
  </r>
  <r>
    <x v="22"/>
    <x v="0"/>
    <x v="207"/>
    <n v="13"/>
    <x v="0"/>
  </r>
  <r>
    <x v="22"/>
    <x v="0"/>
    <x v="149"/>
    <n v="2435"/>
    <x v="1"/>
  </r>
  <r>
    <x v="22"/>
    <x v="0"/>
    <x v="201"/>
    <n v="2"/>
    <x v="0"/>
  </r>
  <r>
    <x v="23"/>
    <x v="0"/>
    <x v="106"/>
    <n v="1929"/>
    <x v="1"/>
  </r>
  <r>
    <x v="23"/>
    <x v="0"/>
    <x v="232"/>
    <n v="2229"/>
    <x v="1"/>
  </r>
  <r>
    <x v="22"/>
    <x v="0"/>
    <x v="161"/>
    <n v="2"/>
    <x v="0"/>
  </r>
  <r>
    <x v="22"/>
    <x v="0"/>
    <x v="101"/>
    <n v="1"/>
    <x v="0"/>
  </r>
  <r>
    <x v="23"/>
    <x v="0"/>
    <x v="30"/>
    <n v="1105"/>
    <x v="1"/>
  </r>
  <r>
    <x v="23"/>
    <x v="0"/>
    <x v="2"/>
    <n v="2530"/>
    <x v="1"/>
  </r>
  <r>
    <x v="22"/>
    <x v="0"/>
    <x v="184"/>
    <n v="2068"/>
    <x v="1"/>
  </r>
  <r>
    <x v="23"/>
    <x v="0"/>
    <x v="196"/>
    <n v="1"/>
    <x v="0"/>
  </r>
  <r>
    <x v="22"/>
    <x v="0"/>
    <x v="49"/>
    <n v="2"/>
    <x v="0"/>
  </r>
  <r>
    <x v="22"/>
    <x v="0"/>
    <x v="116"/>
    <n v="706"/>
    <x v="1"/>
  </r>
  <r>
    <x v="23"/>
    <x v="0"/>
    <x v="15"/>
    <n v="1"/>
    <x v="0"/>
  </r>
  <r>
    <x v="23"/>
    <x v="0"/>
    <x v="45"/>
    <n v="10"/>
    <x v="0"/>
  </r>
  <r>
    <x v="22"/>
    <x v="0"/>
    <x v="132"/>
    <n v="4"/>
    <x v="0"/>
  </r>
  <r>
    <x v="22"/>
    <x v="0"/>
    <x v="140"/>
    <n v="3820"/>
    <x v="1"/>
  </r>
  <r>
    <x v="23"/>
    <x v="0"/>
    <x v="125"/>
    <n v="21"/>
    <x v="0"/>
  </r>
  <r>
    <x v="22"/>
    <x v="0"/>
    <x v="16"/>
    <n v="8"/>
    <x v="0"/>
  </r>
  <r>
    <x v="23"/>
    <x v="0"/>
    <x v="195"/>
    <n v="1"/>
    <x v="0"/>
  </r>
  <r>
    <x v="22"/>
    <x v="0"/>
    <x v="151"/>
    <n v="2804"/>
    <x v="1"/>
  </r>
  <r>
    <x v="22"/>
    <x v="0"/>
    <x v="8"/>
    <n v="3028"/>
    <x v="1"/>
  </r>
  <r>
    <x v="22"/>
    <x v="0"/>
    <x v="118"/>
    <n v="2829"/>
    <x v="1"/>
  </r>
  <r>
    <x v="23"/>
    <x v="0"/>
    <x v="188"/>
    <n v="2692"/>
    <x v="1"/>
  </r>
  <r>
    <x v="23"/>
    <x v="0"/>
    <x v="237"/>
    <n v="2"/>
    <x v="0"/>
  </r>
  <r>
    <x v="23"/>
    <x v="0"/>
    <x v="235"/>
    <n v="7"/>
    <x v="0"/>
  </r>
  <r>
    <x v="22"/>
    <x v="0"/>
    <x v="169"/>
    <n v="1"/>
    <x v="0"/>
  </r>
  <r>
    <x v="22"/>
    <x v="0"/>
    <x v="148"/>
    <n v="2686"/>
    <x v="1"/>
  </r>
  <r>
    <x v="23"/>
    <x v="0"/>
    <x v="116"/>
    <n v="2192"/>
    <x v="1"/>
  </r>
  <r>
    <x v="23"/>
    <x v="0"/>
    <x v="198"/>
    <n v="3394"/>
    <x v="1"/>
  </r>
  <r>
    <x v="23"/>
    <x v="0"/>
    <x v="114"/>
    <n v="115"/>
    <x v="1"/>
  </r>
  <r>
    <x v="23"/>
    <x v="0"/>
    <x v="132"/>
    <n v="5"/>
    <x v="0"/>
  </r>
  <r>
    <x v="23"/>
    <x v="0"/>
    <x v="140"/>
    <n v="2599"/>
    <x v="1"/>
  </r>
  <r>
    <x v="22"/>
    <x v="0"/>
    <x v="202"/>
    <n v="1"/>
    <x v="0"/>
  </r>
  <r>
    <x v="22"/>
    <x v="0"/>
    <x v="142"/>
    <n v="2379"/>
    <x v="1"/>
  </r>
  <r>
    <x v="23"/>
    <x v="0"/>
    <x v="98"/>
    <n v="21"/>
    <x v="0"/>
  </r>
  <r>
    <x v="23"/>
    <x v="0"/>
    <x v="186"/>
    <n v="1688"/>
    <x v="1"/>
  </r>
  <r>
    <x v="22"/>
    <x v="0"/>
    <x v="19"/>
    <n v="242"/>
    <x v="1"/>
  </r>
  <r>
    <x v="23"/>
    <x v="0"/>
    <x v="247"/>
    <n v="11"/>
    <x v="0"/>
  </r>
  <r>
    <x v="23"/>
    <x v="0"/>
    <x v="26"/>
    <n v="2388"/>
    <x v="1"/>
  </r>
  <r>
    <x v="22"/>
    <x v="0"/>
    <x v="157"/>
    <n v="1"/>
    <x v="0"/>
  </r>
  <r>
    <x v="23"/>
    <x v="0"/>
    <x v="97"/>
    <n v="334"/>
    <x v="1"/>
  </r>
  <r>
    <x v="23"/>
    <x v="0"/>
    <x v="35"/>
    <n v="32"/>
    <x v="0"/>
  </r>
  <r>
    <x v="22"/>
    <x v="0"/>
    <x v="103"/>
    <n v="1066"/>
    <x v="1"/>
  </r>
  <r>
    <x v="23"/>
    <x v="0"/>
    <x v="162"/>
    <n v="7"/>
    <x v="0"/>
  </r>
  <r>
    <x v="23"/>
    <x v="0"/>
    <x v="67"/>
    <n v="1"/>
    <x v="0"/>
  </r>
  <r>
    <x v="22"/>
    <x v="0"/>
    <x v="12"/>
    <n v="44"/>
    <x v="0"/>
  </r>
  <r>
    <x v="23"/>
    <x v="0"/>
    <x v="24"/>
    <n v="4"/>
    <x v="0"/>
  </r>
  <r>
    <x v="22"/>
    <x v="0"/>
    <x v="189"/>
    <n v="2968"/>
    <x v="1"/>
  </r>
  <r>
    <x v="22"/>
    <x v="0"/>
    <x v="171"/>
    <n v="2212"/>
    <x v="1"/>
  </r>
  <r>
    <x v="23"/>
    <x v="0"/>
    <x v="128"/>
    <n v="2"/>
    <x v="0"/>
  </r>
  <r>
    <x v="23"/>
    <x v="0"/>
    <x v="29"/>
    <n v="4"/>
    <x v="0"/>
  </r>
  <r>
    <x v="23"/>
    <x v="0"/>
    <x v="236"/>
    <n v="159"/>
    <x v="1"/>
  </r>
  <r>
    <x v="22"/>
    <x v="0"/>
    <x v="181"/>
    <n v="109"/>
    <x v="1"/>
  </r>
  <r>
    <x v="22"/>
    <x v="0"/>
    <x v="175"/>
    <n v="1"/>
    <x v="0"/>
  </r>
  <r>
    <x v="23"/>
    <x v="0"/>
    <x v="18"/>
    <n v="1"/>
    <x v="0"/>
  </r>
  <r>
    <x v="22"/>
    <x v="0"/>
    <x v="78"/>
    <n v="126"/>
    <x v="1"/>
  </r>
  <r>
    <x v="23"/>
    <x v="0"/>
    <x v="8"/>
    <n v="2185"/>
    <x v="1"/>
  </r>
  <r>
    <x v="22"/>
    <x v="0"/>
    <x v="94"/>
    <n v="745"/>
    <x v="1"/>
  </r>
  <r>
    <x v="22"/>
    <x v="0"/>
    <x v="37"/>
    <n v="856"/>
    <x v="1"/>
  </r>
  <r>
    <x v="22"/>
    <x v="0"/>
    <x v="20"/>
    <n v="3"/>
    <x v="0"/>
  </r>
  <r>
    <x v="22"/>
    <x v="0"/>
    <x v="23"/>
    <n v="1"/>
    <x v="0"/>
  </r>
  <r>
    <x v="23"/>
    <x v="0"/>
    <x v="90"/>
    <n v="922"/>
    <x v="1"/>
  </r>
  <r>
    <x v="23"/>
    <x v="0"/>
    <x v="115"/>
    <n v="5124"/>
    <x v="1"/>
  </r>
  <r>
    <x v="23"/>
    <x v="0"/>
    <x v="20"/>
    <n v="7"/>
    <x v="0"/>
  </r>
  <r>
    <x v="22"/>
    <x v="0"/>
    <x v="119"/>
    <n v="12"/>
    <x v="0"/>
  </r>
  <r>
    <x v="23"/>
    <x v="0"/>
    <x v="10"/>
    <n v="641"/>
    <x v="1"/>
  </r>
  <r>
    <x v="22"/>
    <x v="0"/>
    <x v="217"/>
    <n v="1"/>
    <x v="0"/>
  </r>
  <r>
    <x v="23"/>
    <x v="0"/>
    <x v="86"/>
    <n v="3301"/>
    <x v="1"/>
  </r>
  <r>
    <x v="22"/>
    <x v="0"/>
    <x v="43"/>
    <n v="10"/>
    <x v="0"/>
  </r>
  <r>
    <x v="23"/>
    <x v="0"/>
    <x v="23"/>
    <n v="3"/>
    <x v="0"/>
  </r>
  <r>
    <x v="23"/>
    <x v="0"/>
    <x v="222"/>
    <n v="1184"/>
    <x v="1"/>
  </r>
  <r>
    <x v="22"/>
    <x v="0"/>
    <x v="10"/>
    <n v="748"/>
    <x v="1"/>
  </r>
  <r>
    <x v="22"/>
    <x v="0"/>
    <x v="90"/>
    <n v="1270"/>
    <x v="1"/>
  </r>
  <r>
    <x v="22"/>
    <x v="0"/>
    <x v="123"/>
    <n v="2872"/>
    <x v="1"/>
  </r>
  <r>
    <x v="23"/>
    <x v="0"/>
    <x v="150"/>
    <n v="3074"/>
    <x v="1"/>
  </r>
  <r>
    <x v="22"/>
    <x v="0"/>
    <x v="67"/>
    <n v="1"/>
    <x v="0"/>
  </r>
  <r>
    <x v="23"/>
    <x v="0"/>
    <x v="123"/>
    <n v="2057"/>
    <x v="1"/>
  </r>
  <r>
    <x v="22"/>
    <x v="0"/>
    <x v="57"/>
    <n v="9"/>
    <x v="0"/>
  </r>
  <r>
    <x v="22"/>
    <x v="0"/>
    <x v="9"/>
    <n v="2819"/>
    <x v="1"/>
  </r>
  <r>
    <x v="22"/>
    <x v="0"/>
    <x v="113"/>
    <n v="2485"/>
    <x v="1"/>
  </r>
  <r>
    <x v="22"/>
    <x v="0"/>
    <x v="110"/>
    <n v="6"/>
    <x v="0"/>
  </r>
  <r>
    <x v="22"/>
    <x v="0"/>
    <x v="128"/>
    <n v="103"/>
    <x v="1"/>
  </r>
  <r>
    <x v="23"/>
    <x v="0"/>
    <x v="228"/>
    <n v="1"/>
    <x v="0"/>
  </r>
  <r>
    <x v="22"/>
    <x v="0"/>
    <x v="21"/>
    <n v="2920"/>
    <x v="1"/>
  </r>
  <r>
    <x v="22"/>
    <x v="0"/>
    <x v="85"/>
    <n v="645"/>
    <x v="1"/>
  </r>
  <r>
    <x v="22"/>
    <x v="0"/>
    <x v="186"/>
    <n v="191"/>
    <x v="1"/>
  </r>
  <r>
    <x v="23"/>
    <x v="0"/>
    <x v="153"/>
    <n v="2064"/>
    <x v="1"/>
  </r>
  <r>
    <x v="23"/>
    <x v="0"/>
    <x v="234"/>
    <n v="1393"/>
    <x v="1"/>
  </r>
  <r>
    <x v="23"/>
    <x v="0"/>
    <x v="71"/>
    <n v="3554"/>
    <x v="1"/>
  </r>
  <r>
    <x v="22"/>
    <x v="0"/>
    <x v="74"/>
    <n v="2132"/>
    <x v="1"/>
  </r>
  <r>
    <x v="22"/>
    <x v="0"/>
    <x v="155"/>
    <n v="1"/>
    <x v="0"/>
  </r>
  <r>
    <x v="22"/>
    <x v="0"/>
    <x v="177"/>
    <n v="1"/>
    <x v="0"/>
  </r>
  <r>
    <x v="23"/>
    <x v="0"/>
    <x v="167"/>
    <n v="2847"/>
    <x v="1"/>
  </r>
  <r>
    <x v="23"/>
    <x v="0"/>
    <x v="85"/>
    <n v="351"/>
    <x v="1"/>
  </r>
  <r>
    <x v="22"/>
    <x v="0"/>
    <x v="122"/>
    <n v="17"/>
    <x v="0"/>
  </r>
  <r>
    <x v="23"/>
    <x v="0"/>
    <x v="143"/>
    <n v="3870"/>
    <x v="1"/>
  </r>
  <r>
    <x v="22"/>
    <x v="0"/>
    <x v="68"/>
    <n v="4"/>
    <x v="0"/>
  </r>
  <r>
    <x v="23"/>
    <x v="0"/>
    <x v="225"/>
    <n v="2"/>
    <x v="0"/>
  </r>
  <r>
    <x v="23"/>
    <x v="0"/>
    <x v="54"/>
    <n v="9"/>
    <x v="0"/>
  </r>
  <r>
    <x v="22"/>
    <x v="0"/>
    <x v="26"/>
    <n v="2176"/>
    <x v="1"/>
  </r>
  <r>
    <x v="22"/>
    <x v="0"/>
    <x v="35"/>
    <n v="92"/>
    <x v="0"/>
  </r>
  <r>
    <x v="23"/>
    <x v="0"/>
    <x v="181"/>
    <n v="689"/>
    <x v="1"/>
  </r>
  <r>
    <x v="23"/>
    <x v="0"/>
    <x v="199"/>
    <n v="3417"/>
    <x v="1"/>
  </r>
  <r>
    <x v="23"/>
    <x v="0"/>
    <x v="239"/>
    <n v="2666"/>
    <x v="1"/>
  </r>
  <r>
    <x v="23"/>
    <x v="0"/>
    <x v="169"/>
    <n v="2"/>
    <x v="0"/>
  </r>
  <r>
    <x v="22"/>
    <x v="0"/>
    <x v="172"/>
    <n v="1407"/>
    <x v="1"/>
  </r>
  <r>
    <x v="23"/>
    <x v="0"/>
    <x v="197"/>
    <n v="2435"/>
    <x v="1"/>
  </r>
  <r>
    <x v="23"/>
    <x v="0"/>
    <x v="56"/>
    <n v="2241"/>
    <x v="1"/>
  </r>
  <r>
    <x v="23"/>
    <x v="0"/>
    <x v="7"/>
    <n v="1035"/>
    <x v="1"/>
  </r>
  <r>
    <x v="22"/>
    <x v="0"/>
    <x v="83"/>
    <n v="4"/>
    <x v="0"/>
  </r>
  <r>
    <x v="22"/>
    <x v="0"/>
    <x v="65"/>
    <n v="398"/>
    <x v="1"/>
  </r>
  <r>
    <x v="23"/>
    <x v="0"/>
    <x v="0"/>
    <n v="41"/>
    <x v="0"/>
  </r>
  <r>
    <x v="23"/>
    <x v="0"/>
    <x v="89"/>
    <n v="1932"/>
    <x v="1"/>
  </r>
  <r>
    <x v="22"/>
    <x v="0"/>
    <x v="50"/>
    <n v="786"/>
    <x v="1"/>
  </r>
  <r>
    <x v="22"/>
    <x v="0"/>
    <x v="135"/>
    <n v="2183"/>
    <x v="1"/>
  </r>
  <r>
    <x v="22"/>
    <x v="0"/>
    <x v="96"/>
    <n v="82"/>
    <x v="0"/>
  </r>
  <r>
    <x v="23"/>
    <x v="0"/>
    <x v="66"/>
    <n v="3935"/>
    <x v="1"/>
  </r>
  <r>
    <x v="23"/>
    <x v="0"/>
    <x v="211"/>
    <n v="2"/>
    <x v="0"/>
  </r>
  <r>
    <x v="23"/>
    <x v="0"/>
    <x v="77"/>
    <n v="4"/>
    <x v="0"/>
  </r>
  <r>
    <x v="22"/>
    <x v="0"/>
    <x v="75"/>
    <n v="1018"/>
    <x v="1"/>
  </r>
  <r>
    <x v="22"/>
    <x v="0"/>
    <x v="71"/>
    <n v="3449"/>
    <x v="1"/>
  </r>
  <r>
    <x v="22"/>
    <x v="0"/>
    <x v="213"/>
    <n v="2"/>
    <x v="0"/>
  </r>
  <r>
    <x v="22"/>
    <x v="0"/>
    <x v="218"/>
    <n v="1"/>
    <x v="0"/>
  </r>
  <r>
    <x v="22"/>
    <x v="0"/>
    <x v="108"/>
    <n v="501"/>
    <x v="1"/>
  </r>
  <r>
    <x v="23"/>
    <x v="0"/>
    <x v="157"/>
    <n v="2"/>
    <x v="0"/>
  </r>
  <r>
    <x v="23"/>
    <x v="0"/>
    <x v="61"/>
    <n v="175"/>
    <x v="1"/>
  </r>
  <r>
    <x v="22"/>
    <x v="0"/>
    <x v="112"/>
    <n v="1"/>
    <x v="0"/>
  </r>
  <r>
    <x v="23"/>
    <x v="0"/>
    <x v="96"/>
    <n v="50"/>
    <x v="0"/>
  </r>
  <r>
    <x v="23"/>
    <x v="0"/>
    <x v="248"/>
    <n v="43"/>
    <x v="0"/>
  </r>
  <r>
    <x v="22"/>
    <x v="0"/>
    <x v="167"/>
    <n v="2268"/>
    <x v="1"/>
  </r>
  <r>
    <x v="22"/>
    <x v="0"/>
    <x v="5"/>
    <n v="1"/>
    <x v="0"/>
  </r>
  <r>
    <x v="23"/>
    <x v="0"/>
    <x v="50"/>
    <n v="328"/>
    <x v="1"/>
  </r>
  <r>
    <x v="23"/>
    <x v="0"/>
    <x v="37"/>
    <n v="286"/>
    <x v="1"/>
  </r>
  <r>
    <x v="23"/>
    <x v="0"/>
    <x v="16"/>
    <n v="1"/>
    <x v="0"/>
  </r>
  <r>
    <x v="23"/>
    <x v="0"/>
    <x v="221"/>
    <n v="7"/>
    <x v="0"/>
  </r>
  <r>
    <x v="22"/>
    <x v="0"/>
    <x v="60"/>
    <n v="1"/>
    <x v="0"/>
  </r>
  <r>
    <x v="23"/>
    <x v="0"/>
    <x v="187"/>
    <n v="1994"/>
    <x v="1"/>
  </r>
  <r>
    <x v="22"/>
    <x v="0"/>
    <x v="77"/>
    <n v="5"/>
    <x v="0"/>
  </r>
  <r>
    <x v="22"/>
    <x v="0"/>
    <x v="63"/>
    <n v="479"/>
    <x v="1"/>
  </r>
  <r>
    <x v="23"/>
    <x v="0"/>
    <x v="142"/>
    <n v="2362"/>
    <x v="1"/>
  </r>
  <r>
    <x v="22"/>
    <x v="0"/>
    <x v="97"/>
    <n v="948"/>
    <x v="1"/>
  </r>
  <r>
    <x v="22"/>
    <x v="0"/>
    <x v="46"/>
    <n v="2973"/>
    <x v="1"/>
  </r>
  <r>
    <x v="23"/>
    <x v="0"/>
    <x v="193"/>
    <n v="1482"/>
    <x v="1"/>
  </r>
  <r>
    <x v="22"/>
    <x v="0"/>
    <x v="111"/>
    <n v="2349"/>
    <x v="1"/>
  </r>
  <r>
    <x v="22"/>
    <x v="0"/>
    <x v="1"/>
    <n v="27"/>
    <x v="0"/>
  </r>
  <r>
    <x v="24"/>
    <x v="0"/>
    <x v="123"/>
    <n v="2107"/>
    <x v="1"/>
  </r>
  <r>
    <x v="24"/>
    <x v="0"/>
    <x v="19"/>
    <n v="211"/>
    <x v="1"/>
  </r>
  <r>
    <x v="2"/>
    <x v="0"/>
    <x v="217"/>
    <n v="1"/>
    <x v="0"/>
  </r>
  <r>
    <x v="2"/>
    <x v="0"/>
    <x v="52"/>
    <n v="2409"/>
    <x v="1"/>
  </r>
  <r>
    <x v="2"/>
    <x v="0"/>
    <x v="98"/>
    <n v="1520"/>
    <x v="1"/>
  </r>
  <r>
    <x v="2"/>
    <x v="0"/>
    <x v="91"/>
    <n v="16"/>
    <x v="0"/>
  </r>
  <r>
    <x v="24"/>
    <x v="0"/>
    <x v="204"/>
    <n v="1"/>
    <x v="0"/>
  </r>
  <r>
    <x v="2"/>
    <x v="0"/>
    <x v="59"/>
    <n v="187"/>
    <x v="1"/>
  </r>
  <r>
    <x v="2"/>
    <x v="0"/>
    <x v="60"/>
    <n v="1"/>
    <x v="0"/>
  </r>
  <r>
    <x v="24"/>
    <x v="0"/>
    <x v="84"/>
    <n v="10"/>
    <x v="0"/>
  </r>
  <r>
    <x v="24"/>
    <x v="0"/>
    <x v="125"/>
    <n v="22"/>
    <x v="0"/>
  </r>
  <r>
    <x v="2"/>
    <x v="0"/>
    <x v="140"/>
    <n v="3849"/>
    <x v="1"/>
  </r>
  <r>
    <x v="2"/>
    <x v="0"/>
    <x v="93"/>
    <n v="20"/>
    <x v="0"/>
  </r>
  <r>
    <x v="24"/>
    <x v="0"/>
    <x v="1"/>
    <n v="27"/>
    <x v="0"/>
  </r>
  <r>
    <x v="24"/>
    <x v="0"/>
    <x v="144"/>
    <n v="190"/>
    <x v="1"/>
  </r>
  <r>
    <x v="24"/>
    <x v="0"/>
    <x v="226"/>
    <n v="270"/>
    <x v="1"/>
  </r>
  <r>
    <x v="2"/>
    <x v="0"/>
    <x v="55"/>
    <n v="6"/>
    <x v="0"/>
  </r>
  <r>
    <x v="2"/>
    <x v="0"/>
    <x v="212"/>
    <n v="1"/>
    <x v="0"/>
  </r>
  <r>
    <x v="24"/>
    <x v="0"/>
    <x v="82"/>
    <n v="8"/>
    <x v="0"/>
  </r>
  <r>
    <x v="24"/>
    <x v="0"/>
    <x v="54"/>
    <n v="9"/>
    <x v="0"/>
  </r>
  <r>
    <x v="24"/>
    <x v="0"/>
    <x v="207"/>
    <n v="1"/>
    <x v="0"/>
  </r>
  <r>
    <x v="24"/>
    <x v="0"/>
    <x v="135"/>
    <n v="2096"/>
    <x v="1"/>
  </r>
  <r>
    <x v="2"/>
    <x v="0"/>
    <x v="137"/>
    <n v="1407"/>
    <x v="1"/>
  </r>
  <r>
    <x v="24"/>
    <x v="0"/>
    <x v="92"/>
    <n v="3"/>
    <x v="0"/>
  </r>
  <r>
    <x v="2"/>
    <x v="0"/>
    <x v="116"/>
    <n v="2140"/>
    <x v="1"/>
  </r>
  <r>
    <x v="24"/>
    <x v="0"/>
    <x v="249"/>
    <n v="1"/>
    <x v="0"/>
  </r>
  <r>
    <x v="2"/>
    <x v="0"/>
    <x v="195"/>
    <n v="1"/>
    <x v="0"/>
  </r>
  <r>
    <x v="2"/>
    <x v="0"/>
    <x v="39"/>
    <n v="2"/>
    <x v="0"/>
  </r>
  <r>
    <x v="2"/>
    <x v="0"/>
    <x v="51"/>
    <n v="2130"/>
    <x v="1"/>
  </r>
  <r>
    <x v="2"/>
    <x v="0"/>
    <x v="184"/>
    <n v="2000"/>
    <x v="1"/>
  </r>
  <r>
    <x v="2"/>
    <x v="0"/>
    <x v="173"/>
    <n v="1"/>
    <x v="0"/>
  </r>
  <r>
    <x v="2"/>
    <x v="0"/>
    <x v="125"/>
    <n v="137"/>
    <x v="1"/>
  </r>
  <r>
    <x v="2"/>
    <x v="0"/>
    <x v="32"/>
    <n v="8428"/>
    <x v="1"/>
  </r>
  <r>
    <x v="24"/>
    <x v="0"/>
    <x v="164"/>
    <n v="100"/>
    <x v="1"/>
  </r>
  <r>
    <x v="24"/>
    <x v="0"/>
    <x v="250"/>
    <n v="28"/>
    <x v="0"/>
  </r>
  <r>
    <x v="24"/>
    <x v="0"/>
    <x v="51"/>
    <n v="2341"/>
    <x v="1"/>
  </r>
  <r>
    <x v="2"/>
    <x v="0"/>
    <x v="180"/>
    <n v="2"/>
    <x v="0"/>
  </r>
  <r>
    <x v="2"/>
    <x v="0"/>
    <x v="146"/>
    <n v="326"/>
    <x v="1"/>
  </r>
  <r>
    <x v="2"/>
    <x v="0"/>
    <x v="127"/>
    <n v="2726"/>
    <x v="1"/>
  </r>
  <r>
    <x v="24"/>
    <x v="0"/>
    <x v="132"/>
    <n v="5"/>
    <x v="0"/>
  </r>
  <r>
    <x v="2"/>
    <x v="0"/>
    <x v="211"/>
    <n v="1"/>
    <x v="0"/>
  </r>
  <r>
    <x v="24"/>
    <x v="0"/>
    <x v="173"/>
    <n v="1"/>
    <x v="0"/>
  </r>
  <r>
    <x v="24"/>
    <x v="0"/>
    <x v="70"/>
    <n v="7"/>
    <x v="0"/>
  </r>
  <r>
    <x v="2"/>
    <x v="0"/>
    <x v="205"/>
    <n v="2"/>
    <x v="0"/>
  </r>
  <r>
    <x v="2"/>
    <x v="0"/>
    <x v="161"/>
    <n v="2"/>
    <x v="0"/>
  </r>
  <r>
    <x v="24"/>
    <x v="0"/>
    <x v="45"/>
    <n v="10"/>
    <x v="0"/>
  </r>
  <r>
    <x v="24"/>
    <x v="0"/>
    <x v="14"/>
    <n v="2"/>
    <x v="0"/>
  </r>
  <r>
    <x v="2"/>
    <x v="0"/>
    <x v="135"/>
    <n v="2185"/>
    <x v="1"/>
  </r>
  <r>
    <x v="2"/>
    <x v="0"/>
    <x v="8"/>
    <n v="3041"/>
    <x v="1"/>
  </r>
  <r>
    <x v="24"/>
    <x v="0"/>
    <x v="232"/>
    <n v="2228"/>
    <x v="1"/>
  </r>
  <r>
    <x v="2"/>
    <x v="0"/>
    <x v="36"/>
    <n v="3"/>
    <x v="0"/>
  </r>
  <r>
    <x v="2"/>
    <x v="0"/>
    <x v="118"/>
    <n v="2799"/>
    <x v="1"/>
  </r>
  <r>
    <x v="2"/>
    <x v="0"/>
    <x v="214"/>
    <n v="1"/>
    <x v="0"/>
  </r>
  <r>
    <x v="2"/>
    <x v="0"/>
    <x v="3"/>
    <n v="883"/>
    <x v="1"/>
  </r>
  <r>
    <x v="24"/>
    <x v="0"/>
    <x v="170"/>
    <n v="3015"/>
    <x v="1"/>
  </r>
  <r>
    <x v="24"/>
    <x v="0"/>
    <x v="188"/>
    <n v="2681"/>
    <x v="1"/>
  </r>
  <r>
    <x v="2"/>
    <x v="0"/>
    <x v="61"/>
    <n v="913"/>
    <x v="1"/>
  </r>
  <r>
    <x v="24"/>
    <x v="0"/>
    <x v="124"/>
    <n v="741"/>
    <x v="1"/>
  </r>
  <r>
    <x v="2"/>
    <x v="0"/>
    <x v="4"/>
    <n v="2"/>
    <x v="0"/>
  </r>
  <r>
    <x v="24"/>
    <x v="0"/>
    <x v="158"/>
    <n v="1"/>
    <x v="0"/>
  </r>
  <r>
    <x v="2"/>
    <x v="0"/>
    <x v="129"/>
    <n v="2378"/>
    <x v="1"/>
  </r>
  <r>
    <x v="2"/>
    <x v="0"/>
    <x v="80"/>
    <n v="26"/>
    <x v="0"/>
  </r>
  <r>
    <x v="2"/>
    <x v="0"/>
    <x v="193"/>
    <n v="7"/>
    <x v="0"/>
  </r>
  <r>
    <x v="24"/>
    <x v="0"/>
    <x v="134"/>
    <n v="674"/>
    <x v="1"/>
  </r>
  <r>
    <x v="24"/>
    <x v="0"/>
    <x v="198"/>
    <n v="3397"/>
    <x v="1"/>
  </r>
  <r>
    <x v="24"/>
    <x v="0"/>
    <x v="94"/>
    <n v="282"/>
    <x v="1"/>
  </r>
  <r>
    <x v="2"/>
    <x v="0"/>
    <x v="9"/>
    <n v="2809"/>
    <x v="1"/>
  </r>
  <r>
    <x v="2"/>
    <x v="0"/>
    <x v="57"/>
    <n v="11"/>
    <x v="0"/>
  </r>
  <r>
    <x v="24"/>
    <x v="0"/>
    <x v="244"/>
    <n v="64"/>
    <x v="0"/>
  </r>
  <r>
    <x v="24"/>
    <x v="0"/>
    <x v="105"/>
    <n v="569"/>
    <x v="1"/>
  </r>
  <r>
    <x v="24"/>
    <x v="0"/>
    <x v="103"/>
    <n v="24"/>
    <x v="0"/>
  </r>
  <r>
    <x v="2"/>
    <x v="0"/>
    <x v="30"/>
    <n v="1146"/>
    <x v="1"/>
  </r>
  <r>
    <x v="24"/>
    <x v="0"/>
    <x v="13"/>
    <n v="1"/>
    <x v="0"/>
  </r>
  <r>
    <x v="2"/>
    <x v="0"/>
    <x v="117"/>
    <n v="2392"/>
    <x v="1"/>
  </r>
  <r>
    <x v="24"/>
    <x v="0"/>
    <x v="2"/>
    <n v="2568"/>
    <x v="1"/>
  </r>
  <r>
    <x v="2"/>
    <x v="0"/>
    <x v="166"/>
    <n v="22"/>
    <x v="0"/>
  </r>
  <r>
    <x v="24"/>
    <x v="0"/>
    <x v="251"/>
    <n v="3"/>
    <x v="0"/>
  </r>
  <r>
    <x v="24"/>
    <x v="0"/>
    <x v="78"/>
    <n v="2"/>
    <x v="0"/>
  </r>
  <r>
    <x v="2"/>
    <x v="0"/>
    <x v="199"/>
    <n v="2180"/>
    <x v="1"/>
  </r>
  <r>
    <x v="24"/>
    <x v="0"/>
    <x v="220"/>
    <n v="4087"/>
    <x v="1"/>
  </r>
  <r>
    <x v="2"/>
    <x v="0"/>
    <x v="189"/>
    <n v="2919"/>
    <x v="1"/>
  </r>
  <r>
    <x v="24"/>
    <x v="0"/>
    <x v="252"/>
    <n v="2604"/>
    <x v="1"/>
  </r>
  <r>
    <x v="24"/>
    <x v="0"/>
    <x v="25"/>
    <n v="7"/>
    <x v="0"/>
  </r>
  <r>
    <x v="2"/>
    <x v="0"/>
    <x v="143"/>
    <n v="3817"/>
    <x v="1"/>
  </r>
  <r>
    <x v="24"/>
    <x v="0"/>
    <x v="5"/>
    <n v="1"/>
    <x v="0"/>
  </r>
  <r>
    <x v="2"/>
    <x v="0"/>
    <x v="120"/>
    <n v="598"/>
    <x v="1"/>
  </r>
  <r>
    <x v="2"/>
    <x v="0"/>
    <x v="48"/>
    <n v="10"/>
    <x v="0"/>
  </r>
  <r>
    <x v="2"/>
    <x v="0"/>
    <x v="109"/>
    <n v="10"/>
    <x v="0"/>
  </r>
  <r>
    <x v="24"/>
    <x v="0"/>
    <x v="228"/>
    <n v="1"/>
    <x v="0"/>
  </r>
  <r>
    <x v="2"/>
    <x v="0"/>
    <x v="95"/>
    <n v="2593"/>
    <x v="1"/>
  </r>
  <r>
    <x v="24"/>
    <x v="0"/>
    <x v="38"/>
    <n v="3435"/>
    <x v="1"/>
  </r>
  <r>
    <x v="24"/>
    <x v="0"/>
    <x v="31"/>
    <n v="3066"/>
    <x v="1"/>
  </r>
  <r>
    <x v="24"/>
    <x v="0"/>
    <x v="231"/>
    <n v="2"/>
    <x v="0"/>
  </r>
  <r>
    <x v="24"/>
    <x v="0"/>
    <x v="120"/>
    <n v="33"/>
    <x v="0"/>
  </r>
  <r>
    <x v="2"/>
    <x v="0"/>
    <x v="186"/>
    <n v="1051"/>
    <x v="1"/>
  </r>
  <r>
    <x v="2"/>
    <x v="0"/>
    <x v="67"/>
    <n v="1"/>
    <x v="0"/>
  </r>
  <r>
    <x v="2"/>
    <x v="0"/>
    <x v="115"/>
    <n v="3813"/>
    <x v="1"/>
  </r>
  <r>
    <x v="24"/>
    <x v="0"/>
    <x v="142"/>
    <n v="2375"/>
    <x v="1"/>
  </r>
  <r>
    <x v="2"/>
    <x v="0"/>
    <x v="179"/>
    <n v="5"/>
    <x v="0"/>
  </r>
  <r>
    <x v="2"/>
    <x v="0"/>
    <x v="113"/>
    <n v="2495"/>
    <x v="1"/>
  </r>
  <r>
    <x v="2"/>
    <x v="0"/>
    <x v="82"/>
    <n v="3384"/>
    <x v="1"/>
  </r>
  <r>
    <x v="2"/>
    <x v="0"/>
    <x v="19"/>
    <n v="245"/>
    <x v="1"/>
  </r>
  <r>
    <x v="24"/>
    <x v="0"/>
    <x v="190"/>
    <n v="1720"/>
    <x v="1"/>
  </r>
  <r>
    <x v="2"/>
    <x v="0"/>
    <x v="202"/>
    <n v="1"/>
    <x v="0"/>
  </r>
  <r>
    <x v="24"/>
    <x v="0"/>
    <x v="79"/>
    <n v="2948"/>
    <x v="1"/>
  </r>
  <r>
    <x v="2"/>
    <x v="0"/>
    <x v="105"/>
    <n v="2370"/>
    <x v="1"/>
  </r>
  <r>
    <x v="24"/>
    <x v="0"/>
    <x v="136"/>
    <n v="3427"/>
    <x v="1"/>
  </r>
  <r>
    <x v="24"/>
    <x v="0"/>
    <x v="58"/>
    <n v="3189"/>
    <x v="1"/>
  </r>
  <r>
    <x v="24"/>
    <x v="0"/>
    <x v="153"/>
    <n v="2091"/>
    <x v="1"/>
  </r>
  <r>
    <x v="2"/>
    <x v="0"/>
    <x v="208"/>
    <n v="5"/>
    <x v="0"/>
  </r>
  <r>
    <x v="2"/>
    <x v="0"/>
    <x v="204"/>
    <n v="1"/>
    <x v="0"/>
  </r>
  <r>
    <x v="2"/>
    <x v="0"/>
    <x v="71"/>
    <n v="3426"/>
    <x v="1"/>
  </r>
  <r>
    <x v="24"/>
    <x v="0"/>
    <x v="62"/>
    <n v="602"/>
    <x v="1"/>
  </r>
  <r>
    <x v="24"/>
    <x v="0"/>
    <x v="32"/>
    <n v="3042"/>
    <x v="1"/>
  </r>
  <r>
    <x v="24"/>
    <x v="0"/>
    <x v="53"/>
    <n v="126"/>
    <x v="1"/>
  </r>
  <r>
    <x v="2"/>
    <x v="0"/>
    <x v="100"/>
    <n v="1"/>
    <x v="0"/>
  </r>
  <r>
    <x v="2"/>
    <x v="0"/>
    <x v="152"/>
    <n v="2415"/>
    <x v="1"/>
  </r>
  <r>
    <x v="24"/>
    <x v="0"/>
    <x v="175"/>
    <n v="1"/>
    <x v="0"/>
  </r>
  <r>
    <x v="24"/>
    <x v="0"/>
    <x v="55"/>
    <n v="1"/>
    <x v="0"/>
  </r>
  <r>
    <x v="2"/>
    <x v="0"/>
    <x v="144"/>
    <n v="2776"/>
    <x v="1"/>
  </r>
  <r>
    <x v="24"/>
    <x v="0"/>
    <x v="74"/>
    <n v="2413"/>
    <x v="1"/>
  </r>
  <r>
    <x v="24"/>
    <x v="0"/>
    <x v="162"/>
    <n v="7"/>
    <x v="0"/>
  </r>
  <r>
    <x v="24"/>
    <x v="0"/>
    <x v="117"/>
    <n v="2507"/>
    <x v="1"/>
  </r>
  <r>
    <x v="24"/>
    <x v="0"/>
    <x v="75"/>
    <n v="139"/>
    <x v="1"/>
  </r>
  <r>
    <x v="24"/>
    <x v="0"/>
    <x v="11"/>
    <n v="8"/>
    <x v="0"/>
  </r>
  <r>
    <x v="24"/>
    <x v="0"/>
    <x v="96"/>
    <n v="49"/>
    <x v="0"/>
  </r>
  <r>
    <x v="24"/>
    <x v="0"/>
    <x v="176"/>
    <n v="1"/>
    <x v="0"/>
  </r>
  <r>
    <x v="24"/>
    <x v="0"/>
    <x v="8"/>
    <n v="2184"/>
    <x v="1"/>
  </r>
  <r>
    <x v="24"/>
    <x v="0"/>
    <x v="214"/>
    <n v="2"/>
    <x v="0"/>
  </r>
  <r>
    <x v="2"/>
    <x v="0"/>
    <x v="25"/>
    <n v="3"/>
    <x v="0"/>
  </r>
  <r>
    <x v="2"/>
    <x v="0"/>
    <x v="73"/>
    <n v="679"/>
    <x v="1"/>
  </r>
  <r>
    <x v="2"/>
    <x v="0"/>
    <x v="176"/>
    <n v="1"/>
    <x v="0"/>
  </r>
  <r>
    <x v="2"/>
    <x v="0"/>
    <x v="169"/>
    <n v="1"/>
    <x v="0"/>
  </r>
  <r>
    <x v="2"/>
    <x v="0"/>
    <x v="31"/>
    <n v="2616"/>
    <x v="1"/>
  </r>
  <r>
    <x v="2"/>
    <x v="0"/>
    <x v="44"/>
    <n v="2919"/>
    <x v="1"/>
  </r>
  <r>
    <x v="2"/>
    <x v="0"/>
    <x v="147"/>
    <n v="854"/>
    <x v="1"/>
  </r>
  <r>
    <x v="2"/>
    <x v="0"/>
    <x v="164"/>
    <n v="183"/>
    <x v="1"/>
  </r>
  <r>
    <x v="2"/>
    <x v="0"/>
    <x v="106"/>
    <n v="2066"/>
    <x v="1"/>
  </r>
  <r>
    <x v="2"/>
    <x v="0"/>
    <x v="131"/>
    <n v="3021"/>
    <x v="1"/>
  </r>
  <r>
    <x v="2"/>
    <x v="0"/>
    <x v="89"/>
    <n v="2499"/>
    <x v="1"/>
  </r>
  <r>
    <x v="2"/>
    <x v="0"/>
    <x v="41"/>
    <n v="3"/>
    <x v="0"/>
  </r>
  <r>
    <x v="2"/>
    <x v="0"/>
    <x v="64"/>
    <n v="1890"/>
    <x v="1"/>
  </r>
  <r>
    <x v="24"/>
    <x v="0"/>
    <x v="171"/>
    <n v="2212"/>
    <x v="1"/>
  </r>
  <r>
    <x v="2"/>
    <x v="0"/>
    <x v="139"/>
    <n v="2594"/>
    <x v="1"/>
  </r>
  <r>
    <x v="24"/>
    <x v="0"/>
    <x v="184"/>
    <n v="2446"/>
    <x v="1"/>
  </r>
  <r>
    <x v="24"/>
    <x v="0"/>
    <x v="20"/>
    <n v="7"/>
    <x v="0"/>
  </r>
  <r>
    <x v="2"/>
    <x v="0"/>
    <x v="197"/>
    <n v="2129"/>
    <x v="1"/>
  </r>
  <r>
    <x v="2"/>
    <x v="0"/>
    <x v="190"/>
    <n v="253"/>
    <x v="1"/>
  </r>
  <r>
    <x v="24"/>
    <x v="0"/>
    <x v="212"/>
    <n v="4"/>
    <x v="0"/>
  </r>
  <r>
    <x v="24"/>
    <x v="0"/>
    <x v="107"/>
    <n v="4"/>
    <x v="0"/>
  </r>
  <r>
    <x v="24"/>
    <x v="0"/>
    <x v="98"/>
    <n v="20"/>
    <x v="0"/>
  </r>
  <r>
    <x v="2"/>
    <x v="0"/>
    <x v="38"/>
    <n v="3413"/>
    <x v="1"/>
  </r>
  <r>
    <x v="2"/>
    <x v="0"/>
    <x v="62"/>
    <n v="2286"/>
    <x v="1"/>
  </r>
  <r>
    <x v="24"/>
    <x v="0"/>
    <x v="133"/>
    <n v="677"/>
    <x v="1"/>
  </r>
  <r>
    <x v="2"/>
    <x v="0"/>
    <x v="72"/>
    <n v="2842"/>
    <x v="1"/>
  </r>
  <r>
    <x v="2"/>
    <x v="0"/>
    <x v="121"/>
    <n v="2457"/>
    <x v="1"/>
  </r>
  <r>
    <x v="2"/>
    <x v="0"/>
    <x v="97"/>
    <n v="918"/>
    <x v="1"/>
  </r>
  <r>
    <x v="2"/>
    <x v="0"/>
    <x v="12"/>
    <n v="44"/>
    <x v="0"/>
  </r>
  <r>
    <x v="24"/>
    <x v="0"/>
    <x v="4"/>
    <n v="12"/>
    <x v="0"/>
  </r>
  <r>
    <x v="2"/>
    <x v="0"/>
    <x v="124"/>
    <n v="2706"/>
    <x v="1"/>
  </r>
  <r>
    <x v="24"/>
    <x v="0"/>
    <x v="165"/>
    <n v="1"/>
    <x v="0"/>
  </r>
  <r>
    <x v="2"/>
    <x v="0"/>
    <x v="45"/>
    <n v="92"/>
    <x v="0"/>
  </r>
  <r>
    <x v="24"/>
    <x v="0"/>
    <x v="52"/>
    <n v="2621"/>
    <x v="1"/>
  </r>
  <r>
    <x v="24"/>
    <x v="0"/>
    <x v="240"/>
    <n v="168"/>
    <x v="1"/>
  </r>
  <r>
    <x v="2"/>
    <x v="0"/>
    <x v="21"/>
    <n v="2934"/>
    <x v="1"/>
  </r>
  <r>
    <x v="24"/>
    <x v="0"/>
    <x v="247"/>
    <n v="21"/>
    <x v="0"/>
  </r>
  <r>
    <x v="24"/>
    <x v="0"/>
    <x v="168"/>
    <n v="1925"/>
    <x v="1"/>
  </r>
  <r>
    <x v="24"/>
    <x v="0"/>
    <x v="191"/>
    <n v="2042"/>
    <x v="1"/>
  </r>
  <r>
    <x v="24"/>
    <x v="0"/>
    <x v="68"/>
    <n v="1"/>
    <x v="0"/>
  </r>
  <r>
    <x v="24"/>
    <x v="0"/>
    <x v="238"/>
    <n v="1"/>
    <x v="0"/>
  </r>
  <r>
    <x v="24"/>
    <x v="0"/>
    <x v="89"/>
    <n v="1938"/>
    <x v="1"/>
  </r>
  <r>
    <x v="2"/>
    <x v="0"/>
    <x v="149"/>
    <n v="2427"/>
    <x v="1"/>
  </r>
  <r>
    <x v="24"/>
    <x v="0"/>
    <x v="199"/>
    <n v="3421"/>
    <x v="1"/>
  </r>
  <r>
    <x v="24"/>
    <x v="0"/>
    <x v="69"/>
    <n v="2668"/>
    <x v="1"/>
  </r>
  <r>
    <x v="24"/>
    <x v="0"/>
    <x v="23"/>
    <n v="5"/>
    <x v="0"/>
  </r>
  <r>
    <x v="2"/>
    <x v="0"/>
    <x v="69"/>
    <n v="3207"/>
    <x v="1"/>
  </r>
  <r>
    <x v="2"/>
    <x v="0"/>
    <x v="155"/>
    <n v="1"/>
    <x v="0"/>
  </r>
  <r>
    <x v="2"/>
    <x v="0"/>
    <x v="107"/>
    <n v="7"/>
    <x v="0"/>
  </r>
  <r>
    <x v="2"/>
    <x v="0"/>
    <x v="70"/>
    <n v="24"/>
    <x v="0"/>
  </r>
  <r>
    <x v="24"/>
    <x v="0"/>
    <x v="87"/>
    <n v="2717"/>
    <x v="1"/>
  </r>
  <r>
    <x v="24"/>
    <x v="0"/>
    <x v="22"/>
    <n v="3536"/>
    <x v="1"/>
  </r>
  <r>
    <x v="2"/>
    <x v="0"/>
    <x v="148"/>
    <n v="2659"/>
    <x v="1"/>
  </r>
  <r>
    <x v="2"/>
    <x v="0"/>
    <x v="174"/>
    <n v="1"/>
    <x v="0"/>
  </r>
  <r>
    <x v="24"/>
    <x v="0"/>
    <x v="71"/>
    <n v="3569"/>
    <x v="1"/>
  </r>
  <r>
    <x v="24"/>
    <x v="0"/>
    <x v="10"/>
    <n v="658"/>
    <x v="1"/>
  </r>
  <r>
    <x v="2"/>
    <x v="0"/>
    <x v="1"/>
    <n v="27"/>
    <x v="0"/>
  </r>
  <r>
    <x v="2"/>
    <x v="0"/>
    <x v="68"/>
    <n v="4"/>
    <x v="0"/>
  </r>
  <r>
    <x v="24"/>
    <x v="0"/>
    <x v="95"/>
    <n v="3116"/>
    <x v="1"/>
  </r>
  <r>
    <x v="2"/>
    <x v="0"/>
    <x v="65"/>
    <n v="409"/>
    <x v="1"/>
  </r>
  <r>
    <x v="24"/>
    <x v="0"/>
    <x v="189"/>
    <n v="3179"/>
    <x v="1"/>
  </r>
  <r>
    <x v="2"/>
    <x v="0"/>
    <x v="142"/>
    <n v="2389"/>
    <x v="1"/>
  </r>
  <r>
    <x v="24"/>
    <x v="0"/>
    <x v="205"/>
    <n v="2"/>
    <x v="0"/>
  </r>
  <r>
    <x v="2"/>
    <x v="0"/>
    <x v="0"/>
    <n v="39"/>
    <x v="0"/>
  </r>
  <r>
    <x v="24"/>
    <x v="0"/>
    <x v="236"/>
    <n v="353"/>
    <x v="1"/>
  </r>
  <r>
    <x v="24"/>
    <x v="0"/>
    <x v="0"/>
    <n v="42"/>
    <x v="0"/>
  </r>
  <r>
    <x v="2"/>
    <x v="0"/>
    <x v="153"/>
    <n v="2178"/>
    <x v="1"/>
  </r>
  <r>
    <x v="2"/>
    <x v="0"/>
    <x v="87"/>
    <n v="2351"/>
    <x v="1"/>
  </r>
  <r>
    <x v="24"/>
    <x v="0"/>
    <x v="127"/>
    <n v="3724"/>
    <x v="1"/>
  </r>
  <r>
    <x v="24"/>
    <x v="0"/>
    <x v="242"/>
    <n v="53"/>
    <x v="0"/>
  </r>
  <r>
    <x v="2"/>
    <x v="0"/>
    <x v="183"/>
    <n v="243"/>
    <x v="1"/>
  </r>
  <r>
    <x v="24"/>
    <x v="0"/>
    <x v="154"/>
    <n v="1489"/>
    <x v="1"/>
  </r>
  <r>
    <x v="2"/>
    <x v="0"/>
    <x v="198"/>
    <n v="2317"/>
    <x v="1"/>
  </r>
  <r>
    <x v="24"/>
    <x v="0"/>
    <x v="67"/>
    <n v="1"/>
    <x v="0"/>
  </r>
  <r>
    <x v="2"/>
    <x v="0"/>
    <x v="177"/>
    <n v="1"/>
    <x v="0"/>
  </r>
  <r>
    <x v="2"/>
    <x v="0"/>
    <x v="157"/>
    <n v="2"/>
    <x v="0"/>
  </r>
  <r>
    <x v="24"/>
    <x v="0"/>
    <x v="115"/>
    <n v="5106"/>
    <x v="1"/>
  </r>
  <r>
    <x v="2"/>
    <x v="0"/>
    <x v="46"/>
    <n v="3010"/>
    <x v="1"/>
  </r>
  <r>
    <x v="2"/>
    <x v="0"/>
    <x v="181"/>
    <n v="122"/>
    <x v="1"/>
  </r>
  <r>
    <x v="24"/>
    <x v="0"/>
    <x v="80"/>
    <n v="1"/>
    <x v="0"/>
  </r>
  <r>
    <x v="24"/>
    <x v="0"/>
    <x v="21"/>
    <n v="2905"/>
    <x v="1"/>
  </r>
  <r>
    <x v="2"/>
    <x v="0"/>
    <x v="74"/>
    <n v="2140"/>
    <x v="1"/>
  </r>
  <r>
    <x v="24"/>
    <x v="0"/>
    <x v="137"/>
    <n v="1540"/>
    <x v="1"/>
  </r>
  <r>
    <x v="24"/>
    <x v="0"/>
    <x v="43"/>
    <n v="7"/>
    <x v="0"/>
  </r>
  <r>
    <x v="2"/>
    <x v="0"/>
    <x v="160"/>
    <n v="4"/>
    <x v="0"/>
  </r>
  <r>
    <x v="2"/>
    <x v="0"/>
    <x v="136"/>
    <n v="2769"/>
    <x v="1"/>
  </r>
  <r>
    <x v="2"/>
    <x v="0"/>
    <x v="126"/>
    <n v="360"/>
    <x v="1"/>
  </r>
  <r>
    <x v="2"/>
    <x v="0"/>
    <x v="133"/>
    <n v="799"/>
    <x v="1"/>
  </r>
  <r>
    <x v="2"/>
    <x v="0"/>
    <x v="86"/>
    <n v="4704"/>
    <x v="1"/>
  </r>
  <r>
    <x v="24"/>
    <x v="0"/>
    <x v="227"/>
    <n v="1"/>
    <x v="0"/>
  </r>
  <r>
    <x v="24"/>
    <x v="0"/>
    <x v="17"/>
    <n v="675"/>
    <x v="1"/>
  </r>
  <r>
    <x v="24"/>
    <x v="0"/>
    <x v="64"/>
    <n v="330"/>
    <x v="1"/>
  </r>
  <r>
    <x v="24"/>
    <x v="0"/>
    <x v="15"/>
    <n v="1"/>
    <x v="0"/>
  </r>
  <r>
    <x v="24"/>
    <x v="0"/>
    <x v="116"/>
    <n v="2229"/>
    <x v="1"/>
  </r>
  <r>
    <x v="24"/>
    <x v="0"/>
    <x v="211"/>
    <n v="3"/>
    <x v="0"/>
  </r>
  <r>
    <x v="2"/>
    <x v="0"/>
    <x v="17"/>
    <n v="472"/>
    <x v="1"/>
  </r>
  <r>
    <x v="2"/>
    <x v="0"/>
    <x v="16"/>
    <n v="8"/>
    <x v="0"/>
  </r>
  <r>
    <x v="24"/>
    <x v="0"/>
    <x v="3"/>
    <n v="883"/>
    <x v="1"/>
  </r>
  <r>
    <x v="2"/>
    <x v="0"/>
    <x v="37"/>
    <n v="847"/>
    <x v="1"/>
  </r>
  <r>
    <x v="2"/>
    <x v="0"/>
    <x v="194"/>
    <n v="1"/>
    <x v="0"/>
  </r>
  <r>
    <x v="24"/>
    <x v="0"/>
    <x v="76"/>
    <n v="2"/>
    <x v="0"/>
  </r>
  <r>
    <x v="2"/>
    <x v="0"/>
    <x v="215"/>
    <n v="2"/>
    <x v="0"/>
  </r>
  <r>
    <x v="24"/>
    <x v="0"/>
    <x v="28"/>
    <n v="2661"/>
    <x v="1"/>
  </r>
  <r>
    <x v="2"/>
    <x v="0"/>
    <x v="78"/>
    <n v="126"/>
    <x v="1"/>
  </r>
  <r>
    <x v="24"/>
    <x v="0"/>
    <x v="65"/>
    <n v="499"/>
    <x v="1"/>
  </r>
  <r>
    <x v="24"/>
    <x v="0"/>
    <x v="102"/>
    <n v="2870"/>
    <x v="1"/>
  </r>
  <r>
    <x v="24"/>
    <x v="0"/>
    <x v="35"/>
    <n v="30"/>
    <x v="0"/>
  </r>
  <r>
    <x v="24"/>
    <x v="0"/>
    <x v="121"/>
    <n v="2468"/>
    <x v="1"/>
  </r>
  <r>
    <x v="24"/>
    <x v="0"/>
    <x v="139"/>
    <n v="3083"/>
    <x v="1"/>
  </r>
  <r>
    <x v="2"/>
    <x v="0"/>
    <x v="58"/>
    <n v="2586"/>
    <x v="1"/>
  </r>
  <r>
    <x v="2"/>
    <x v="0"/>
    <x v="47"/>
    <n v="389"/>
    <x v="1"/>
  </r>
  <r>
    <x v="2"/>
    <x v="0"/>
    <x v="99"/>
    <n v="2285"/>
    <x v="1"/>
  </r>
  <r>
    <x v="2"/>
    <x v="0"/>
    <x v="154"/>
    <n v="667"/>
    <x v="1"/>
  </r>
  <r>
    <x v="24"/>
    <x v="0"/>
    <x v="172"/>
    <n v="2860"/>
    <x v="1"/>
  </r>
  <r>
    <x v="24"/>
    <x v="0"/>
    <x v="241"/>
    <n v="1"/>
    <x v="0"/>
  </r>
  <r>
    <x v="24"/>
    <x v="0"/>
    <x v="140"/>
    <n v="2604"/>
    <x v="1"/>
  </r>
  <r>
    <x v="24"/>
    <x v="0"/>
    <x v="192"/>
    <n v="2863"/>
    <x v="1"/>
  </r>
  <r>
    <x v="24"/>
    <x v="0"/>
    <x v="85"/>
    <n v="352"/>
    <x v="1"/>
  </r>
  <r>
    <x v="24"/>
    <x v="0"/>
    <x v="18"/>
    <n v="1"/>
    <x v="0"/>
  </r>
  <r>
    <x v="2"/>
    <x v="0"/>
    <x v="26"/>
    <n v="2191"/>
    <x v="1"/>
  </r>
  <r>
    <x v="2"/>
    <x v="0"/>
    <x v="14"/>
    <n v="71"/>
    <x v="0"/>
  </r>
  <r>
    <x v="2"/>
    <x v="0"/>
    <x v="138"/>
    <n v="7"/>
    <x v="0"/>
  </r>
  <r>
    <x v="24"/>
    <x v="0"/>
    <x v="29"/>
    <n v="3"/>
    <x v="0"/>
  </r>
  <r>
    <x v="2"/>
    <x v="0"/>
    <x v="33"/>
    <n v="148"/>
    <x v="1"/>
  </r>
  <r>
    <x v="2"/>
    <x v="0"/>
    <x v="76"/>
    <n v="2"/>
    <x v="0"/>
  </r>
  <r>
    <x v="2"/>
    <x v="0"/>
    <x v="122"/>
    <n v="21"/>
    <x v="0"/>
  </r>
  <r>
    <x v="24"/>
    <x v="0"/>
    <x v="104"/>
    <n v="3"/>
    <x v="0"/>
  </r>
  <r>
    <x v="2"/>
    <x v="0"/>
    <x v="20"/>
    <n v="3"/>
    <x v="0"/>
  </r>
  <r>
    <x v="24"/>
    <x v="0"/>
    <x v="143"/>
    <n v="3873"/>
    <x v="1"/>
  </r>
  <r>
    <x v="2"/>
    <x v="0"/>
    <x v="83"/>
    <n v="6"/>
    <x v="0"/>
  </r>
  <r>
    <x v="2"/>
    <x v="0"/>
    <x v="168"/>
    <n v="186"/>
    <x v="1"/>
  </r>
  <r>
    <x v="2"/>
    <x v="0"/>
    <x v="150"/>
    <n v="2689"/>
    <x v="1"/>
  </r>
  <r>
    <x v="24"/>
    <x v="0"/>
    <x v="97"/>
    <n v="357"/>
    <x v="1"/>
  </r>
  <r>
    <x v="24"/>
    <x v="0"/>
    <x v="44"/>
    <n v="2769"/>
    <x v="1"/>
  </r>
  <r>
    <x v="2"/>
    <x v="0"/>
    <x v="170"/>
    <n v="2669"/>
    <x v="1"/>
  </r>
  <r>
    <x v="2"/>
    <x v="0"/>
    <x v="119"/>
    <n v="14"/>
    <x v="0"/>
  </r>
  <r>
    <x v="2"/>
    <x v="0"/>
    <x v="185"/>
    <n v="1883"/>
    <x v="1"/>
  </r>
  <r>
    <x v="2"/>
    <x v="0"/>
    <x v="84"/>
    <n v="28"/>
    <x v="0"/>
  </r>
  <r>
    <x v="2"/>
    <x v="0"/>
    <x v="101"/>
    <n v="1"/>
    <x v="0"/>
  </r>
  <r>
    <x v="24"/>
    <x v="0"/>
    <x v="196"/>
    <n v="1"/>
    <x v="0"/>
  </r>
  <r>
    <x v="2"/>
    <x v="0"/>
    <x v="196"/>
    <n v="2"/>
    <x v="0"/>
  </r>
  <r>
    <x v="24"/>
    <x v="0"/>
    <x v="57"/>
    <n v="6"/>
    <x v="0"/>
  </r>
  <r>
    <x v="24"/>
    <x v="0"/>
    <x v="37"/>
    <n v="285"/>
    <x v="1"/>
  </r>
  <r>
    <x v="2"/>
    <x v="0"/>
    <x v="192"/>
    <n v="3020"/>
    <x v="1"/>
  </r>
  <r>
    <x v="2"/>
    <x v="0"/>
    <x v="50"/>
    <n v="14"/>
    <x v="0"/>
  </r>
  <r>
    <x v="2"/>
    <x v="0"/>
    <x v="29"/>
    <n v="13"/>
    <x v="0"/>
  </r>
  <r>
    <x v="2"/>
    <x v="0"/>
    <x v="141"/>
    <n v="2168"/>
    <x v="1"/>
  </r>
  <r>
    <x v="24"/>
    <x v="0"/>
    <x v="177"/>
    <n v="5"/>
    <x v="0"/>
  </r>
  <r>
    <x v="24"/>
    <x v="0"/>
    <x v="90"/>
    <n v="948"/>
    <x v="1"/>
  </r>
  <r>
    <x v="24"/>
    <x v="0"/>
    <x v="141"/>
    <n v="1935"/>
    <x v="1"/>
  </r>
  <r>
    <x v="24"/>
    <x v="0"/>
    <x v="73"/>
    <n v="674"/>
    <x v="1"/>
  </r>
  <r>
    <x v="2"/>
    <x v="0"/>
    <x v="175"/>
    <n v="1"/>
    <x v="0"/>
  </r>
  <r>
    <x v="2"/>
    <x v="0"/>
    <x v="40"/>
    <n v="4"/>
    <x v="0"/>
  </r>
  <r>
    <x v="24"/>
    <x v="0"/>
    <x v="195"/>
    <n v="2"/>
    <x v="0"/>
  </r>
  <r>
    <x v="2"/>
    <x v="0"/>
    <x v="182"/>
    <n v="2297"/>
    <x v="1"/>
  </r>
  <r>
    <x v="2"/>
    <x v="0"/>
    <x v="15"/>
    <n v="5"/>
    <x v="0"/>
  </r>
  <r>
    <x v="24"/>
    <x v="0"/>
    <x v="222"/>
    <n v="1218"/>
    <x v="1"/>
  </r>
  <r>
    <x v="24"/>
    <x v="0"/>
    <x v="145"/>
    <n v="1"/>
    <x v="0"/>
  </r>
  <r>
    <x v="24"/>
    <x v="0"/>
    <x v="114"/>
    <n v="113"/>
    <x v="1"/>
  </r>
  <r>
    <x v="24"/>
    <x v="0"/>
    <x v="186"/>
    <n v="1685"/>
    <x v="1"/>
  </r>
  <r>
    <x v="2"/>
    <x v="0"/>
    <x v="10"/>
    <n v="751"/>
    <x v="1"/>
  </r>
  <r>
    <x v="24"/>
    <x v="0"/>
    <x v="183"/>
    <n v="3574"/>
    <x v="1"/>
  </r>
  <r>
    <x v="24"/>
    <x v="0"/>
    <x v="118"/>
    <n v="2645"/>
    <x v="1"/>
  </r>
  <r>
    <x v="24"/>
    <x v="0"/>
    <x v="46"/>
    <n v="2589"/>
    <x v="1"/>
  </r>
  <r>
    <x v="24"/>
    <x v="0"/>
    <x v="187"/>
    <n v="1984"/>
    <x v="1"/>
  </r>
  <r>
    <x v="2"/>
    <x v="0"/>
    <x v="114"/>
    <n v="113"/>
    <x v="1"/>
  </r>
  <r>
    <x v="24"/>
    <x v="0"/>
    <x v="91"/>
    <n v="11"/>
    <x v="0"/>
  </r>
  <r>
    <x v="2"/>
    <x v="0"/>
    <x v="22"/>
    <n v="3281"/>
    <x v="1"/>
  </r>
  <r>
    <x v="24"/>
    <x v="0"/>
    <x v="237"/>
    <n v="2"/>
    <x v="0"/>
  </r>
  <r>
    <x v="2"/>
    <x v="0"/>
    <x v="191"/>
    <n v="2909"/>
    <x v="1"/>
  </r>
  <r>
    <x v="2"/>
    <x v="0"/>
    <x v="63"/>
    <n v="517"/>
    <x v="1"/>
  </r>
  <r>
    <x v="2"/>
    <x v="0"/>
    <x v="5"/>
    <n v="1"/>
    <x v="0"/>
  </r>
  <r>
    <x v="2"/>
    <x v="0"/>
    <x v="158"/>
    <n v="1"/>
    <x v="0"/>
  </r>
  <r>
    <x v="2"/>
    <x v="0"/>
    <x v="167"/>
    <n v="2288"/>
    <x v="1"/>
  </r>
  <r>
    <x v="2"/>
    <x v="0"/>
    <x v="35"/>
    <n v="87"/>
    <x v="0"/>
  </r>
  <r>
    <x v="24"/>
    <x v="0"/>
    <x v="126"/>
    <n v="63"/>
    <x v="0"/>
  </r>
  <r>
    <x v="2"/>
    <x v="0"/>
    <x v="94"/>
    <n v="745"/>
    <x v="1"/>
  </r>
  <r>
    <x v="24"/>
    <x v="0"/>
    <x v="147"/>
    <n v="659"/>
    <x v="1"/>
  </r>
  <r>
    <x v="24"/>
    <x v="0"/>
    <x v="157"/>
    <n v="2"/>
    <x v="0"/>
  </r>
  <r>
    <x v="24"/>
    <x v="0"/>
    <x v="229"/>
    <n v="896"/>
    <x v="1"/>
  </r>
  <r>
    <x v="24"/>
    <x v="0"/>
    <x v="99"/>
    <n v="2551"/>
    <x v="1"/>
  </r>
  <r>
    <x v="2"/>
    <x v="0"/>
    <x v="134"/>
    <n v="1093"/>
    <x v="1"/>
  </r>
  <r>
    <x v="24"/>
    <x v="0"/>
    <x v="24"/>
    <n v="4"/>
    <x v="0"/>
  </r>
  <r>
    <x v="2"/>
    <x v="0"/>
    <x v="88"/>
    <n v="2695"/>
    <x v="1"/>
  </r>
  <r>
    <x v="24"/>
    <x v="0"/>
    <x v="59"/>
    <n v="41"/>
    <x v="0"/>
  </r>
  <r>
    <x v="2"/>
    <x v="0"/>
    <x v="96"/>
    <n v="81"/>
    <x v="0"/>
  </r>
  <r>
    <x v="2"/>
    <x v="0"/>
    <x v="178"/>
    <n v="1"/>
    <x v="0"/>
  </r>
  <r>
    <x v="24"/>
    <x v="0"/>
    <x v="16"/>
    <n v="1"/>
    <x v="0"/>
  </r>
  <r>
    <x v="24"/>
    <x v="0"/>
    <x v="27"/>
    <n v="2431"/>
    <x v="1"/>
  </r>
  <r>
    <x v="2"/>
    <x v="0"/>
    <x v="207"/>
    <n v="13"/>
    <x v="0"/>
  </r>
  <r>
    <x v="2"/>
    <x v="0"/>
    <x v="92"/>
    <n v="8"/>
    <x v="0"/>
  </r>
  <r>
    <x v="24"/>
    <x v="0"/>
    <x v="150"/>
    <n v="3090"/>
    <x v="1"/>
  </r>
  <r>
    <x v="24"/>
    <x v="0"/>
    <x v="110"/>
    <n v="2"/>
    <x v="0"/>
  </r>
  <r>
    <x v="24"/>
    <x v="0"/>
    <x v="30"/>
    <n v="1106"/>
    <x v="1"/>
  </r>
  <r>
    <x v="2"/>
    <x v="0"/>
    <x v="28"/>
    <n v="2423"/>
    <x v="1"/>
  </r>
  <r>
    <x v="2"/>
    <x v="0"/>
    <x v="81"/>
    <n v="5"/>
    <x v="0"/>
  </r>
  <r>
    <x v="2"/>
    <x v="0"/>
    <x v="18"/>
    <n v="1"/>
    <x v="0"/>
  </r>
  <r>
    <x v="2"/>
    <x v="0"/>
    <x v="206"/>
    <n v="2"/>
    <x v="0"/>
  </r>
  <r>
    <x v="24"/>
    <x v="0"/>
    <x v="148"/>
    <n v="3355"/>
    <x v="1"/>
  </r>
  <r>
    <x v="24"/>
    <x v="0"/>
    <x v="63"/>
    <n v="706"/>
    <x v="1"/>
  </r>
  <r>
    <x v="24"/>
    <x v="0"/>
    <x v="221"/>
    <n v="8"/>
    <x v="0"/>
  </r>
  <r>
    <x v="2"/>
    <x v="0"/>
    <x v="13"/>
    <n v="3"/>
    <x v="0"/>
  </r>
  <r>
    <x v="2"/>
    <x v="0"/>
    <x v="132"/>
    <n v="4"/>
    <x v="0"/>
  </r>
  <r>
    <x v="2"/>
    <x v="0"/>
    <x v="159"/>
    <n v="2"/>
    <x v="0"/>
  </r>
  <r>
    <x v="24"/>
    <x v="0"/>
    <x v="47"/>
    <n v="464"/>
    <x v="1"/>
  </r>
  <r>
    <x v="2"/>
    <x v="0"/>
    <x v="108"/>
    <n v="503"/>
    <x v="1"/>
  </r>
  <r>
    <x v="24"/>
    <x v="0"/>
    <x v="235"/>
    <n v="8"/>
    <x v="0"/>
  </r>
  <r>
    <x v="24"/>
    <x v="0"/>
    <x v="56"/>
    <n v="2104"/>
    <x v="1"/>
  </r>
  <r>
    <x v="24"/>
    <x v="0"/>
    <x v="93"/>
    <n v="302"/>
    <x v="1"/>
  </r>
  <r>
    <x v="2"/>
    <x v="0"/>
    <x v="75"/>
    <n v="1021"/>
    <x v="1"/>
  </r>
  <r>
    <x v="24"/>
    <x v="0"/>
    <x v="159"/>
    <n v="1"/>
    <x v="0"/>
  </r>
  <r>
    <x v="2"/>
    <x v="0"/>
    <x v="56"/>
    <n v="2524"/>
    <x v="1"/>
  </r>
  <r>
    <x v="2"/>
    <x v="0"/>
    <x v="27"/>
    <n v="2138"/>
    <x v="1"/>
  </r>
  <r>
    <x v="24"/>
    <x v="0"/>
    <x v="106"/>
    <n v="1911"/>
    <x v="1"/>
  </r>
  <r>
    <x v="2"/>
    <x v="0"/>
    <x v="85"/>
    <n v="647"/>
    <x v="1"/>
  </r>
  <r>
    <x v="24"/>
    <x v="0"/>
    <x v="152"/>
    <n v="3203"/>
    <x v="1"/>
  </r>
  <r>
    <x v="2"/>
    <x v="0"/>
    <x v="201"/>
    <n v="2"/>
    <x v="0"/>
  </r>
  <r>
    <x v="2"/>
    <x v="0"/>
    <x v="43"/>
    <n v="10"/>
    <x v="0"/>
  </r>
  <r>
    <x v="2"/>
    <x v="0"/>
    <x v="53"/>
    <n v="85"/>
    <x v="0"/>
  </r>
  <r>
    <x v="24"/>
    <x v="0"/>
    <x v="233"/>
    <n v="1"/>
    <x v="0"/>
  </r>
  <r>
    <x v="24"/>
    <x v="0"/>
    <x v="109"/>
    <n v="3"/>
    <x v="0"/>
  </r>
  <r>
    <x v="24"/>
    <x v="0"/>
    <x v="128"/>
    <n v="2"/>
    <x v="0"/>
  </r>
  <r>
    <x v="24"/>
    <x v="0"/>
    <x v="181"/>
    <n v="793"/>
    <x v="1"/>
  </r>
  <r>
    <x v="24"/>
    <x v="0"/>
    <x v="86"/>
    <n v="3308"/>
    <x v="1"/>
  </r>
  <r>
    <x v="24"/>
    <x v="0"/>
    <x v="7"/>
    <n v="1037"/>
    <x v="1"/>
  </r>
  <r>
    <x v="24"/>
    <x v="0"/>
    <x v="88"/>
    <n v="3557"/>
    <x v="1"/>
  </r>
  <r>
    <x v="24"/>
    <x v="0"/>
    <x v="239"/>
    <n v="2657"/>
    <x v="1"/>
  </r>
  <r>
    <x v="2"/>
    <x v="0"/>
    <x v="188"/>
    <n v="2128"/>
    <x v="1"/>
  </r>
  <r>
    <x v="24"/>
    <x v="0"/>
    <x v="253"/>
    <n v="34"/>
    <x v="0"/>
  </r>
  <r>
    <x v="2"/>
    <x v="0"/>
    <x v="111"/>
    <n v="2353"/>
    <x v="1"/>
  </r>
  <r>
    <x v="24"/>
    <x v="0"/>
    <x v="248"/>
    <n v="3676"/>
    <x v="1"/>
  </r>
  <r>
    <x v="24"/>
    <x v="0"/>
    <x v="246"/>
    <n v="24"/>
    <x v="0"/>
  </r>
  <r>
    <x v="24"/>
    <x v="0"/>
    <x v="26"/>
    <n v="2374"/>
    <x v="1"/>
  </r>
  <r>
    <x v="24"/>
    <x v="0"/>
    <x v="179"/>
    <n v="2"/>
    <x v="0"/>
  </r>
  <r>
    <x v="2"/>
    <x v="0"/>
    <x v="23"/>
    <n v="1"/>
    <x v="0"/>
  </r>
  <r>
    <x v="24"/>
    <x v="0"/>
    <x v="146"/>
    <n v="3130"/>
    <x v="1"/>
  </r>
  <r>
    <x v="2"/>
    <x v="0"/>
    <x v="54"/>
    <n v="16"/>
    <x v="0"/>
  </r>
  <r>
    <x v="24"/>
    <x v="0"/>
    <x v="169"/>
    <n v="2"/>
    <x v="0"/>
  </r>
  <r>
    <x v="24"/>
    <x v="0"/>
    <x v="167"/>
    <n v="2852"/>
    <x v="1"/>
  </r>
  <r>
    <x v="2"/>
    <x v="0"/>
    <x v="90"/>
    <n v="1252"/>
    <x v="1"/>
  </r>
  <r>
    <x v="24"/>
    <x v="0"/>
    <x v="225"/>
    <n v="2"/>
    <x v="0"/>
  </r>
  <r>
    <x v="24"/>
    <x v="0"/>
    <x v="197"/>
    <n v="2440"/>
    <x v="1"/>
  </r>
  <r>
    <x v="2"/>
    <x v="0"/>
    <x v="145"/>
    <n v="3"/>
    <x v="0"/>
  </r>
  <r>
    <x v="2"/>
    <x v="0"/>
    <x v="123"/>
    <n v="2894"/>
    <x v="1"/>
  </r>
  <r>
    <x v="2"/>
    <x v="0"/>
    <x v="24"/>
    <n v="4"/>
    <x v="0"/>
  </r>
  <r>
    <x v="24"/>
    <x v="0"/>
    <x v="218"/>
    <n v="7"/>
    <x v="0"/>
  </r>
  <r>
    <x v="2"/>
    <x v="0"/>
    <x v="218"/>
    <n v="1"/>
    <x v="0"/>
  </r>
  <r>
    <x v="2"/>
    <x v="0"/>
    <x v="66"/>
    <n v="3380"/>
    <x v="1"/>
  </r>
  <r>
    <x v="24"/>
    <x v="0"/>
    <x v="61"/>
    <n v="172"/>
    <x v="1"/>
  </r>
  <r>
    <x v="2"/>
    <x v="0"/>
    <x v="171"/>
    <n v="2232"/>
    <x v="1"/>
  </r>
  <r>
    <x v="24"/>
    <x v="0"/>
    <x v="129"/>
    <n v="1065"/>
    <x v="1"/>
  </r>
  <r>
    <x v="2"/>
    <x v="0"/>
    <x v="165"/>
    <n v="1"/>
    <x v="0"/>
  </r>
  <r>
    <x v="2"/>
    <x v="0"/>
    <x v="172"/>
    <n v="1460"/>
    <x v="1"/>
  </r>
  <r>
    <x v="2"/>
    <x v="0"/>
    <x v="11"/>
    <n v="2"/>
    <x v="0"/>
  </r>
  <r>
    <x v="24"/>
    <x v="0"/>
    <x v="83"/>
    <n v="3"/>
    <x v="0"/>
  </r>
  <r>
    <x v="2"/>
    <x v="0"/>
    <x v="187"/>
    <n v="643"/>
    <x v="1"/>
  </r>
  <r>
    <x v="2"/>
    <x v="0"/>
    <x v="103"/>
    <n v="898"/>
    <x v="1"/>
  </r>
  <r>
    <x v="2"/>
    <x v="0"/>
    <x v="7"/>
    <n v="3129"/>
    <x v="1"/>
  </r>
  <r>
    <x v="24"/>
    <x v="0"/>
    <x v="245"/>
    <n v="3569"/>
    <x v="1"/>
  </r>
  <r>
    <x v="2"/>
    <x v="0"/>
    <x v="49"/>
    <n v="1"/>
    <x v="0"/>
  </r>
  <r>
    <x v="24"/>
    <x v="0"/>
    <x v="66"/>
    <n v="3935"/>
    <x v="1"/>
  </r>
  <r>
    <x v="24"/>
    <x v="0"/>
    <x v="234"/>
    <n v="1400"/>
    <x v="1"/>
  </r>
  <r>
    <x v="2"/>
    <x v="0"/>
    <x v="112"/>
    <n v="1"/>
    <x v="0"/>
  </r>
  <r>
    <x v="24"/>
    <x v="0"/>
    <x v="182"/>
    <n v="2316"/>
    <x v="1"/>
  </r>
  <r>
    <x v="2"/>
    <x v="0"/>
    <x v="213"/>
    <n v="2"/>
    <x v="0"/>
  </r>
  <r>
    <x v="24"/>
    <x v="0"/>
    <x v="149"/>
    <n v="2954"/>
    <x v="1"/>
  </r>
  <r>
    <x v="24"/>
    <x v="0"/>
    <x v="131"/>
    <n v="3563"/>
    <x v="1"/>
  </r>
  <r>
    <x v="2"/>
    <x v="0"/>
    <x v="162"/>
    <n v="2"/>
    <x v="0"/>
  </r>
  <r>
    <x v="24"/>
    <x v="0"/>
    <x v="243"/>
    <n v="71"/>
    <x v="0"/>
  </r>
  <r>
    <x v="2"/>
    <x v="0"/>
    <x v="77"/>
    <n v="4"/>
    <x v="0"/>
  </r>
  <r>
    <x v="2"/>
    <x v="0"/>
    <x v="79"/>
    <n v="8681"/>
    <x v="1"/>
  </r>
  <r>
    <x v="2"/>
    <x v="0"/>
    <x v="151"/>
    <n v="2846"/>
    <x v="1"/>
  </r>
  <r>
    <x v="2"/>
    <x v="0"/>
    <x v="104"/>
    <n v="4102"/>
    <x v="1"/>
  </r>
  <r>
    <x v="24"/>
    <x v="0"/>
    <x v="77"/>
    <n v="4"/>
    <x v="0"/>
  </r>
  <r>
    <x v="2"/>
    <x v="0"/>
    <x v="34"/>
    <n v="3"/>
    <x v="0"/>
  </r>
  <r>
    <x v="24"/>
    <x v="0"/>
    <x v="33"/>
    <n v="373"/>
    <x v="1"/>
  </r>
  <r>
    <x v="24"/>
    <x v="0"/>
    <x v="185"/>
    <n v="3295"/>
    <x v="1"/>
  </r>
  <r>
    <x v="2"/>
    <x v="0"/>
    <x v="110"/>
    <n v="6"/>
    <x v="0"/>
  </r>
  <r>
    <x v="2"/>
    <x v="0"/>
    <x v="102"/>
    <n v="2613"/>
    <x v="1"/>
  </r>
  <r>
    <x v="24"/>
    <x v="0"/>
    <x v="193"/>
    <n v="1488"/>
    <x v="1"/>
  </r>
  <r>
    <x v="24"/>
    <x v="0"/>
    <x v="113"/>
    <n v="2531"/>
    <x v="1"/>
  </r>
  <r>
    <x v="2"/>
    <x v="0"/>
    <x v="2"/>
    <n v="3240"/>
    <x v="1"/>
  </r>
  <r>
    <x v="24"/>
    <x v="0"/>
    <x v="12"/>
    <n v="3"/>
    <x v="0"/>
  </r>
  <r>
    <x v="24"/>
    <x v="0"/>
    <x v="111"/>
    <n v="2519"/>
    <x v="1"/>
  </r>
  <r>
    <x v="2"/>
    <x v="0"/>
    <x v="128"/>
    <n v="98"/>
    <x v="0"/>
  </r>
  <r>
    <x v="24"/>
    <x v="0"/>
    <x v="50"/>
    <n v="324"/>
    <x v="1"/>
  </r>
  <r>
    <x v="3"/>
    <x v="0"/>
    <x v="60"/>
    <n v="1"/>
    <x v="0"/>
  </r>
  <r>
    <x v="25"/>
    <x v="0"/>
    <x v="242"/>
    <n v="61"/>
    <x v="0"/>
  </r>
  <r>
    <x v="25"/>
    <x v="0"/>
    <x v="176"/>
    <n v="1"/>
    <x v="0"/>
  </r>
  <r>
    <x v="3"/>
    <x v="0"/>
    <x v="72"/>
    <n v="2857"/>
    <x v="1"/>
  </r>
  <r>
    <x v="3"/>
    <x v="0"/>
    <x v="83"/>
    <n v="7"/>
    <x v="0"/>
  </r>
  <r>
    <x v="3"/>
    <x v="0"/>
    <x v="20"/>
    <n v="3"/>
    <x v="0"/>
  </r>
  <r>
    <x v="25"/>
    <x v="0"/>
    <x v="227"/>
    <n v="1"/>
    <x v="0"/>
  </r>
  <r>
    <x v="25"/>
    <x v="0"/>
    <x v="254"/>
    <n v="13"/>
    <x v="0"/>
  </r>
  <r>
    <x v="25"/>
    <x v="0"/>
    <x v="115"/>
    <n v="5009"/>
    <x v="1"/>
  </r>
  <r>
    <x v="3"/>
    <x v="0"/>
    <x v="58"/>
    <n v="2621"/>
    <x v="1"/>
  </r>
  <r>
    <x v="25"/>
    <x v="0"/>
    <x v="107"/>
    <n v="4"/>
    <x v="0"/>
  </r>
  <r>
    <x v="3"/>
    <x v="0"/>
    <x v="155"/>
    <n v="1"/>
    <x v="0"/>
  </r>
  <r>
    <x v="3"/>
    <x v="0"/>
    <x v="76"/>
    <n v="2"/>
    <x v="0"/>
  </r>
  <r>
    <x v="3"/>
    <x v="0"/>
    <x v="170"/>
    <n v="2686"/>
    <x v="1"/>
  </r>
  <r>
    <x v="25"/>
    <x v="0"/>
    <x v="109"/>
    <n v="3"/>
    <x v="0"/>
  </r>
  <r>
    <x v="25"/>
    <x v="0"/>
    <x v="1"/>
    <n v="27"/>
    <x v="0"/>
  </r>
  <r>
    <x v="25"/>
    <x v="0"/>
    <x v="98"/>
    <n v="20"/>
    <x v="0"/>
  </r>
  <r>
    <x v="3"/>
    <x v="0"/>
    <x v="119"/>
    <n v="14"/>
    <x v="0"/>
  </r>
  <r>
    <x v="25"/>
    <x v="0"/>
    <x v="168"/>
    <n v="1883"/>
    <x v="1"/>
  </r>
  <r>
    <x v="3"/>
    <x v="0"/>
    <x v="199"/>
    <n v="2203"/>
    <x v="1"/>
  </r>
  <r>
    <x v="25"/>
    <x v="0"/>
    <x v="190"/>
    <n v="1643"/>
    <x v="1"/>
  </r>
  <r>
    <x v="25"/>
    <x v="0"/>
    <x v="134"/>
    <n v="667"/>
    <x v="1"/>
  </r>
  <r>
    <x v="3"/>
    <x v="0"/>
    <x v="23"/>
    <n v="1"/>
    <x v="0"/>
  </r>
  <r>
    <x v="25"/>
    <x v="0"/>
    <x v="92"/>
    <n v="4"/>
    <x v="0"/>
  </r>
  <r>
    <x v="3"/>
    <x v="0"/>
    <x v="10"/>
    <n v="769"/>
    <x v="1"/>
  </r>
  <r>
    <x v="25"/>
    <x v="0"/>
    <x v="237"/>
    <n v="2"/>
    <x v="0"/>
  </r>
  <r>
    <x v="25"/>
    <x v="0"/>
    <x v="159"/>
    <n v="1"/>
    <x v="0"/>
  </r>
  <r>
    <x v="25"/>
    <x v="0"/>
    <x v="7"/>
    <n v="1025"/>
    <x v="1"/>
  </r>
  <r>
    <x v="25"/>
    <x v="0"/>
    <x v="255"/>
    <n v="2"/>
    <x v="0"/>
  </r>
  <r>
    <x v="25"/>
    <x v="0"/>
    <x v="0"/>
    <n v="42"/>
    <x v="0"/>
  </r>
  <r>
    <x v="3"/>
    <x v="0"/>
    <x v="110"/>
    <n v="7"/>
    <x v="0"/>
  </r>
  <r>
    <x v="3"/>
    <x v="0"/>
    <x v="33"/>
    <n v="150"/>
    <x v="1"/>
  </r>
  <r>
    <x v="25"/>
    <x v="0"/>
    <x v="195"/>
    <n v="2"/>
    <x v="0"/>
  </r>
  <r>
    <x v="3"/>
    <x v="0"/>
    <x v="152"/>
    <n v="2449"/>
    <x v="1"/>
  </r>
  <r>
    <x v="25"/>
    <x v="0"/>
    <x v="78"/>
    <n v="2"/>
    <x v="0"/>
  </r>
  <r>
    <x v="25"/>
    <x v="0"/>
    <x v="179"/>
    <n v="3"/>
    <x v="0"/>
  </r>
  <r>
    <x v="3"/>
    <x v="0"/>
    <x v="71"/>
    <n v="3403"/>
    <x v="1"/>
  </r>
  <r>
    <x v="25"/>
    <x v="0"/>
    <x v="147"/>
    <n v="651"/>
    <x v="1"/>
  </r>
  <r>
    <x v="3"/>
    <x v="0"/>
    <x v="43"/>
    <n v="11"/>
    <x v="0"/>
  </r>
  <r>
    <x v="25"/>
    <x v="0"/>
    <x v="169"/>
    <n v="2"/>
    <x v="0"/>
  </r>
  <r>
    <x v="3"/>
    <x v="0"/>
    <x v="64"/>
    <n v="1872"/>
    <x v="1"/>
  </r>
  <r>
    <x v="3"/>
    <x v="0"/>
    <x v="166"/>
    <n v="22"/>
    <x v="0"/>
  </r>
  <r>
    <x v="25"/>
    <x v="0"/>
    <x v="114"/>
    <n v="116"/>
    <x v="1"/>
  </r>
  <r>
    <x v="25"/>
    <x v="0"/>
    <x v="61"/>
    <n v="170"/>
    <x v="1"/>
  </r>
  <r>
    <x v="25"/>
    <x v="0"/>
    <x v="171"/>
    <n v="2843"/>
    <x v="1"/>
  </r>
  <r>
    <x v="25"/>
    <x v="0"/>
    <x v="106"/>
    <n v="1806"/>
    <x v="1"/>
  </r>
  <r>
    <x v="25"/>
    <x v="0"/>
    <x v="256"/>
    <n v="2"/>
    <x v="0"/>
  </r>
  <r>
    <x v="25"/>
    <x v="0"/>
    <x v="71"/>
    <n v="3391"/>
    <x v="1"/>
  </r>
  <r>
    <x v="25"/>
    <x v="0"/>
    <x v="80"/>
    <n v="1"/>
    <x v="0"/>
  </r>
  <r>
    <x v="25"/>
    <x v="0"/>
    <x v="12"/>
    <n v="3"/>
    <x v="0"/>
  </r>
  <r>
    <x v="25"/>
    <x v="0"/>
    <x v="77"/>
    <n v="4"/>
    <x v="0"/>
  </r>
  <r>
    <x v="25"/>
    <x v="0"/>
    <x v="11"/>
    <n v="8"/>
    <x v="0"/>
  </r>
  <r>
    <x v="3"/>
    <x v="0"/>
    <x v="62"/>
    <n v="2244"/>
    <x v="1"/>
  </r>
  <r>
    <x v="25"/>
    <x v="0"/>
    <x v="18"/>
    <n v="1"/>
    <x v="0"/>
  </r>
  <r>
    <x v="3"/>
    <x v="0"/>
    <x v="102"/>
    <n v="2674"/>
    <x v="1"/>
  </r>
  <r>
    <x v="3"/>
    <x v="0"/>
    <x v="74"/>
    <n v="2082"/>
    <x v="1"/>
  </r>
  <r>
    <x v="25"/>
    <x v="0"/>
    <x v="205"/>
    <n v="3"/>
    <x v="0"/>
  </r>
  <r>
    <x v="25"/>
    <x v="0"/>
    <x v="67"/>
    <n v="1"/>
    <x v="0"/>
  </r>
  <r>
    <x v="3"/>
    <x v="0"/>
    <x v="159"/>
    <n v="2"/>
    <x v="0"/>
  </r>
  <r>
    <x v="25"/>
    <x v="0"/>
    <x v="128"/>
    <n v="1"/>
    <x v="0"/>
  </r>
  <r>
    <x v="25"/>
    <x v="0"/>
    <x v="172"/>
    <n v="2704"/>
    <x v="1"/>
  </r>
  <r>
    <x v="3"/>
    <x v="0"/>
    <x v="35"/>
    <n v="85"/>
    <x v="0"/>
  </r>
  <r>
    <x v="3"/>
    <x v="0"/>
    <x v="112"/>
    <n v="1"/>
    <x v="0"/>
  </r>
  <r>
    <x v="25"/>
    <x v="0"/>
    <x v="211"/>
    <n v="2"/>
    <x v="0"/>
  </r>
  <r>
    <x v="25"/>
    <x v="0"/>
    <x v="20"/>
    <n v="7"/>
    <x v="0"/>
  </r>
  <r>
    <x v="3"/>
    <x v="0"/>
    <x v="5"/>
    <n v="1"/>
    <x v="0"/>
  </r>
  <r>
    <x v="3"/>
    <x v="0"/>
    <x v="61"/>
    <n v="903"/>
    <x v="1"/>
  </r>
  <r>
    <x v="3"/>
    <x v="0"/>
    <x v="96"/>
    <n v="79"/>
    <x v="0"/>
  </r>
  <r>
    <x v="3"/>
    <x v="0"/>
    <x v="98"/>
    <n v="1581"/>
    <x v="1"/>
  </r>
  <r>
    <x v="3"/>
    <x v="0"/>
    <x v="66"/>
    <n v="3383"/>
    <x v="1"/>
  </r>
  <r>
    <x v="3"/>
    <x v="0"/>
    <x v="67"/>
    <n v="1"/>
    <x v="0"/>
  </r>
  <r>
    <x v="3"/>
    <x v="0"/>
    <x v="122"/>
    <n v="21"/>
    <x v="0"/>
  </r>
  <r>
    <x v="25"/>
    <x v="0"/>
    <x v="235"/>
    <n v="8"/>
    <x v="0"/>
  </r>
  <r>
    <x v="25"/>
    <x v="0"/>
    <x v="17"/>
    <n v="728"/>
    <x v="1"/>
  </r>
  <r>
    <x v="25"/>
    <x v="0"/>
    <x v="37"/>
    <n v="277"/>
    <x v="1"/>
  </r>
  <r>
    <x v="3"/>
    <x v="0"/>
    <x v="104"/>
    <n v="4097"/>
    <x v="1"/>
  </r>
  <r>
    <x v="25"/>
    <x v="0"/>
    <x v="4"/>
    <n v="12"/>
    <x v="0"/>
  </r>
  <r>
    <x v="25"/>
    <x v="0"/>
    <x v="82"/>
    <n v="7"/>
    <x v="0"/>
  </r>
  <r>
    <x v="25"/>
    <x v="0"/>
    <x v="234"/>
    <n v="1389"/>
    <x v="1"/>
  </r>
  <r>
    <x v="25"/>
    <x v="0"/>
    <x v="90"/>
    <n v="948"/>
    <x v="1"/>
  </r>
  <r>
    <x v="25"/>
    <x v="0"/>
    <x v="86"/>
    <n v="3139"/>
    <x v="1"/>
  </r>
  <r>
    <x v="25"/>
    <x v="0"/>
    <x v="214"/>
    <n v="2"/>
    <x v="0"/>
  </r>
  <r>
    <x v="25"/>
    <x v="0"/>
    <x v="188"/>
    <n v="2570"/>
    <x v="1"/>
  </r>
  <r>
    <x v="25"/>
    <x v="0"/>
    <x v="113"/>
    <n v="2444"/>
    <x v="1"/>
  </r>
  <r>
    <x v="25"/>
    <x v="0"/>
    <x v="79"/>
    <n v="2903"/>
    <x v="1"/>
  </r>
  <r>
    <x v="3"/>
    <x v="0"/>
    <x v="177"/>
    <n v="1"/>
    <x v="0"/>
  </r>
  <r>
    <x v="25"/>
    <x v="0"/>
    <x v="150"/>
    <n v="3077"/>
    <x v="1"/>
  </r>
  <r>
    <x v="3"/>
    <x v="0"/>
    <x v="47"/>
    <n v="230"/>
    <x v="1"/>
  </r>
  <r>
    <x v="3"/>
    <x v="0"/>
    <x v="41"/>
    <n v="3"/>
    <x v="0"/>
  </r>
  <r>
    <x v="3"/>
    <x v="0"/>
    <x v="138"/>
    <n v="7"/>
    <x v="0"/>
  </r>
  <r>
    <x v="3"/>
    <x v="0"/>
    <x v="142"/>
    <n v="2410"/>
    <x v="1"/>
  </r>
  <r>
    <x v="3"/>
    <x v="0"/>
    <x v="136"/>
    <n v="2784"/>
    <x v="1"/>
  </r>
  <r>
    <x v="3"/>
    <x v="0"/>
    <x v="40"/>
    <n v="4"/>
    <x v="0"/>
  </r>
  <r>
    <x v="3"/>
    <x v="0"/>
    <x v="55"/>
    <n v="6"/>
    <x v="0"/>
  </r>
  <r>
    <x v="25"/>
    <x v="0"/>
    <x v="26"/>
    <n v="2298"/>
    <x v="1"/>
  </r>
  <r>
    <x v="25"/>
    <x v="0"/>
    <x v="170"/>
    <n v="2771"/>
    <x v="1"/>
  </r>
  <r>
    <x v="25"/>
    <x v="0"/>
    <x v="50"/>
    <n v="323"/>
    <x v="1"/>
  </r>
  <r>
    <x v="25"/>
    <x v="0"/>
    <x v="65"/>
    <n v="486"/>
    <x v="1"/>
  </r>
  <r>
    <x v="3"/>
    <x v="0"/>
    <x v="12"/>
    <n v="44"/>
    <x v="0"/>
  </r>
  <r>
    <x v="3"/>
    <x v="0"/>
    <x v="11"/>
    <n v="2"/>
    <x v="0"/>
  </r>
  <r>
    <x v="25"/>
    <x v="0"/>
    <x v="240"/>
    <n v="268"/>
    <x v="1"/>
  </r>
  <r>
    <x v="25"/>
    <x v="0"/>
    <x v="95"/>
    <n v="2931"/>
    <x v="1"/>
  </r>
  <r>
    <x v="3"/>
    <x v="0"/>
    <x v="182"/>
    <n v="2301"/>
    <x v="1"/>
  </r>
  <r>
    <x v="3"/>
    <x v="0"/>
    <x v="121"/>
    <n v="2277"/>
    <x v="1"/>
  </r>
  <r>
    <x v="25"/>
    <x v="0"/>
    <x v="207"/>
    <n v="2"/>
    <x v="0"/>
  </r>
  <r>
    <x v="3"/>
    <x v="0"/>
    <x v="133"/>
    <n v="833"/>
    <x v="1"/>
  </r>
  <r>
    <x v="25"/>
    <x v="0"/>
    <x v="15"/>
    <n v="1"/>
    <x v="0"/>
  </r>
  <r>
    <x v="3"/>
    <x v="0"/>
    <x v="45"/>
    <n v="92"/>
    <x v="0"/>
  </r>
  <r>
    <x v="25"/>
    <x v="0"/>
    <x v="248"/>
    <n v="3649"/>
    <x v="1"/>
  </r>
  <r>
    <x v="25"/>
    <x v="0"/>
    <x v="229"/>
    <n v="896"/>
    <x v="1"/>
  </r>
  <r>
    <x v="3"/>
    <x v="0"/>
    <x v="151"/>
    <n v="2907"/>
    <x v="1"/>
  </r>
  <r>
    <x v="3"/>
    <x v="0"/>
    <x v="106"/>
    <n v="2062"/>
    <x v="1"/>
  </r>
  <r>
    <x v="3"/>
    <x v="0"/>
    <x v="210"/>
    <n v="1"/>
    <x v="0"/>
  </r>
  <r>
    <x v="3"/>
    <x v="0"/>
    <x v="21"/>
    <n v="2952"/>
    <x v="1"/>
  </r>
  <r>
    <x v="25"/>
    <x v="0"/>
    <x v="231"/>
    <n v="2"/>
    <x v="0"/>
  </r>
  <r>
    <x v="3"/>
    <x v="0"/>
    <x v="65"/>
    <n v="419"/>
    <x v="1"/>
  </r>
  <r>
    <x v="3"/>
    <x v="0"/>
    <x v="38"/>
    <n v="3438"/>
    <x v="1"/>
  </r>
  <r>
    <x v="3"/>
    <x v="0"/>
    <x v="145"/>
    <n v="3"/>
    <x v="0"/>
  </r>
  <r>
    <x v="25"/>
    <x v="0"/>
    <x v="140"/>
    <n v="2430"/>
    <x v="1"/>
  </r>
  <r>
    <x v="3"/>
    <x v="0"/>
    <x v="207"/>
    <n v="14"/>
    <x v="0"/>
  </r>
  <r>
    <x v="3"/>
    <x v="0"/>
    <x v="161"/>
    <n v="1"/>
    <x v="0"/>
  </r>
  <r>
    <x v="25"/>
    <x v="0"/>
    <x v="47"/>
    <n v="517"/>
    <x v="1"/>
  </r>
  <r>
    <x v="25"/>
    <x v="0"/>
    <x v="167"/>
    <n v="2624"/>
    <x v="1"/>
  </r>
  <r>
    <x v="3"/>
    <x v="0"/>
    <x v="169"/>
    <n v="1"/>
    <x v="0"/>
  </r>
  <r>
    <x v="25"/>
    <x v="0"/>
    <x v="30"/>
    <n v="1085"/>
    <x v="1"/>
  </r>
  <r>
    <x v="3"/>
    <x v="0"/>
    <x v="56"/>
    <n v="2495"/>
    <x v="1"/>
  </r>
  <r>
    <x v="25"/>
    <x v="0"/>
    <x v="127"/>
    <n v="3562"/>
    <x v="1"/>
  </r>
  <r>
    <x v="25"/>
    <x v="0"/>
    <x v="102"/>
    <n v="2827"/>
    <x v="1"/>
  </r>
  <r>
    <x v="25"/>
    <x v="0"/>
    <x v="225"/>
    <n v="2"/>
    <x v="0"/>
  </r>
  <r>
    <x v="3"/>
    <x v="0"/>
    <x v="162"/>
    <n v="2"/>
    <x v="0"/>
  </r>
  <r>
    <x v="3"/>
    <x v="0"/>
    <x v="197"/>
    <n v="2119"/>
    <x v="1"/>
  </r>
  <r>
    <x v="25"/>
    <x v="0"/>
    <x v="85"/>
    <n v="349"/>
    <x v="1"/>
  </r>
  <r>
    <x v="3"/>
    <x v="0"/>
    <x v="115"/>
    <n v="3754"/>
    <x v="1"/>
  </r>
  <r>
    <x v="3"/>
    <x v="0"/>
    <x v="126"/>
    <n v="309"/>
    <x v="1"/>
  </r>
  <r>
    <x v="25"/>
    <x v="0"/>
    <x v="129"/>
    <n v="1016"/>
    <x v="1"/>
  </r>
  <r>
    <x v="25"/>
    <x v="0"/>
    <x v="181"/>
    <n v="788"/>
    <x v="1"/>
  </r>
  <r>
    <x v="3"/>
    <x v="0"/>
    <x v="39"/>
    <n v="2"/>
    <x v="0"/>
  </r>
  <r>
    <x v="3"/>
    <x v="0"/>
    <x v="202"/>
    <n v="1"/>
    <x v="0"/>
  </r>
  <r>
    <x v="3"/>
    <x v="0"/>
    <x v="27"/>
    <n v="2159"/>
    <x v="1"/>
  </r>
  <r>
    <x v="3"/>
    <x v="0"/>
    <x v="97"/>
    <n v="927"/>
    <x v="1"/>
  </r>
  <r>
    <x v="25"/>
    <x v="0"/>
    <x v="66"/>
    <n v="3723"/>
    <x v="1"/>
  </r>
  <r>
    <x v="25"/>
    <x v="0"/>
    <x v="110"/>
    <n v="3"/>
    <x v="0"/>
  </r>
  <r>
    <x v="25"/>
    <x v="0"/>
    <x v="157"/>
    <n v="2"/>
    <x v="0"/>
  </r>
  <r>
    <x v="25"/>
    <x v="0"/>
    <x v="184"/>
    <n v="2433"/>
    <x v="1"/>
  </r>
  <r>
    <x v="3"/>
    <x v="0"/>
    <x v="48"/>
    <n v="10"/>
    <x v="0"/>
  </r>
  <r>
    <x v="3"/>
    <x v="0"/>
    <x v="179"/>
    <n v="5"/>
    <x v="0"/>
  </r>
  <r>
    <x v="3"/>
    <x v="0"/>
    <x v="113"/>
    <n v="2541"/>
    <x v="1"/>
  </r>
  <r>
    <x v="25"/>
    <x v="0"/>
    <x v="27"/>
    <n v="2388"/>
    <x v="1"/>
  </r>
  <r>
    <x v="25"/>
    <x v="0"/>
    <x v="177"/>
    <n v="5"/>
    <x v="0"/>
  </r>
  <r>
    <x v="25"/>
    <x v="0"/>
    <x v="123"/>
    <n v="2098"/>
    <x v="1"/>
  </r>
  <r>
    <x v="3"/>
    <x v="0"/>
    <x v="149"/>
    <n v="2438"/>
    <x v="1"/>
  </r>
  <r>
    <x v="3"/>
    <x v="0"/>
    <x v="46"/>
    <n v="3007"/>
    <x v="1"/>
  </r>
  <r>
    <x v="3"/>
    <x v="0"/>
    <x v="165"/>
    <n v="1"/>
    <x v="0"/>
  </r>
  <r>
    <x v="3"/>
    <x v="0"/>
    <x v="150"/>
    <n v="2694"/>
    <x v="1"/>
  </r>
  <r>
    <x v="3"/>
    <x v="0"/>
    <x v="53"/>
    <n v="87"/>
    <x v="0"/>
  </r>
  <r>
    <x v="3"/>
    <x v="0"/>
    <x v="117"/>
    <n v="2396"/>
    <x v="1"/>
  </r>
  <r>
    <x v="25"/>
    <x v="0"/>
    <x v="187"/>
    <n v="1955"/>
    <x v="1"/>
  </r>
  <r>
    <x v="3"/>
    <x v="0"/>
    <x v="123"/>
    <n v="2652"/>
    <x v="1"/>
  </r>
  <r>
    <x v="25"/>
    <x v="0"/>
    <x v="204"/>
    <n v="1"/>
    <x v="0"/>
  </r>
  <r>
    <x v="25"/>
    <x v="0"/>
    <x v="59"/>
    <n v="44"/>
    <x v="0"/>
  </r>
  <r>
    <x v="3"/>
    <x v="0"/>
    <x v="86"/>
    <n v="4708"/>
    <x v="1"/>
  </r>
  <r>
    <x v="3"/>
    <x v="0"/>
    <x v="114"/>
    <n v="116"/>
    <x v="1"/>
  </r>
  <r>
    <x v="25"/>
    <x v="0"/>
    <x v="96"/>
    <n v="48"/>
    <x v="0"/>
  </r>
  <r>
    <x v="25"/>
    <x v="0"/>
    <x v="221"/>
    <n v="9"/>
    <x v="0"/>
  </r>
  <r>
    <x v="3"/>
    <x v="0"/>
    <x v="147"/>
    <n v="857"/>
    <x v="1"/>
  </r>
  <r>
    <x v="3"/>
    <x v="0"/>
    <x v="37"/>
    <n v="845"/>
    <x v="1"/>
  </r>
  <r>
    <x v="3"/>
    <x v="0"/>
    <x v="18"/>
    <n v="1"/>
    <x v="0"/>
  </r>
  <r>
    <x v="25"/>
    <x v="0"/>
    <x v="249"/>
    <n v="12"/>
    <x v="0"/>
  </r>
  <r>
    <x v="3"/>
    <x v="0"/>
    <x v="125"/>
    <n v="113"/>
    <x v="1"/>
  </r>
  <r>
    <x v="25"/>
    <x v="0"/>
    <x v="99"/>
    <n v="2455"/>
    <x v="1"/>
  </r>
  <r>
    <x v="25"/>
    <x v="0"/>
    <x v="105"/>
    <n v="526"/>
    <x v="1"/>
  </r>
  <r>
    <x v="25"/>
    <x v="0"/>
    <x v="197"/>
    <n v="2381"/>
    <x v="1"/>
  </r>
  <r>
    <x v="25"/>
    <x v="0"/>
    <x v="193"/>
    <n v="1485"/>
    <x v="1"/>
  </r>
  <r>
    <x v="25"/>
    <x v="0"/>
    <x v="111"/>
    <n v="2449"/>
    <x v="1"/>
  </r>
  <r>
    <x v="25"/>
    <x v="0"/>
    <x v="233"/>
    <n v="1"/>
    <x v="0"/>
  </r>
  <r>
    <x v="3"/>
    <x v="0"/>
    <x v="13"/>
    <n v="3"/>
    <x v="0"/>
  </r>
  <r>
    <x v="25"/>
    <x v="0"/>
    <x v="45"/>
    <n v="10"/>
    <x v="0"/>
  </r>
  <r>
    <x v="25"/>
    <x v="0"/>
    <x v="22"/>
    <n v="3521"/>
    <x v="1"/>
  </r>
  <r>
    <x v="3"/>
    <x v="0"/>
    <x v="171"/>
    <n v="2216"/>
    <x v="1"/>
  </r>
  <r>
    <x v="3"/>
    <x v="0"/>
    <x v="167"/>
    <n v="2305"/>
    <x v="1"/>
  </r>
  <r>
    <x v="3"/>
    <x v="0"/>
    <x v="31"/>
    <n v="2673"/>
    <x v="1"/>
  </r>
  <r>
    <x v="25"/>
    <x v="0"/>
    <x v="186"/>
    <n v="1679"/>
    <x v="1"/>
  </r>
  <r>
    <x v="25"/>
    <x v="0"/>
    <x v="153"/>
    <n v="2058"/>
    <x v="1"/>
  </r>
  <r>
    <x v="3"/>
    <x v="0"/>
    <x v="195"/>
    <n v="1"/>
    <x v="0"/>
  </r>
  <r>
    <x v="3"/>
    <x v="0"/>
    <x v="153"/>
    <n v="2178"/>
    <x v="1"/>
  </r>
  <r>
    <x v="3"/>
    <x v="0"/>
    <x v="22"/>
    <n v="3345"/>
    <x v="1"/>
  </r>
  <r>
    <x v="3"/>
    <x v="0"/>
    <x v="204"/>
    <n v="1"/>
    <x v="0"/>
  </r>
  <r>
    <x v="3"/>
    <x v="0"/>
    <x v="36"/>
    <n v="3"/>
    <x v="0"/>
  </r>
  <r>
    <x v="3"/>
    <x v="0"/>
    <x v="30"/>
    <n v="1138"/>
    <x v="1"/>
  </r>
  <r>
    <x v="3"/>
    <x v="0"/>
    <x v="176"/>
    <n v="1"/>
    <x v="0"/>
  </r>
  <r>
    <x v="25"/>
    <x v="0"/>
    <x v="142"/>
    <n v="2323"/>
    <x v="1"/>
  </r>
  <r>
    <x v="3"/>
    <x v="0"/>
    <x v="103"/>
    <n v="842"/>
    <x v="1"/>
  </r>
  <r>
    <x v="3"/>
    <x v="0"/>
    <x v="73"/>
    <n v="695"/>
    <x v="1"/>
  </r>
  <r>
    <x v="3"/>
    <x v="0"/>
    <x v="201"/>
    <n v="1"/>
    <x v="0"/>
  </r>
  <r>
    <x v="3"/>
    <x v="0"/>
    <x v="134"/>
    <n v="1089"/>
    <x v="1"/>
  </r>
  <r>
    <x v="25"/>
    <x v="0"/>
    <x v="222"/>
    <n v="1211"/>
    <x v="1"/>
  </r>
  <r>
    <x v="3"/>
    <x v="0"/>
    <x v="109"/>
    <n v="9"/>
    <x v="0"/>
  </r>
  <r>
    <x v="25"/>
    <x v="0"/>
    <x v="116"/>
    <n v="2219"/>
    <x v="1"/>
  </r>
  <r>
    <x v="25"/>
    <x v="0"/>
    <x v="252"/>
    <n v="2589"/>
    <x v="1"/>
  </r>
  <r>
    <x v="3"/>
    <x v="0"/>
    <x v="154"/>
    <n v="711"/>
    <x v="1"/>
  </r>
  <r>
    <x v="25"/>
    <x v="0"/>
    <x v="118"/>
    <n v="2605"/>
    <x v="1"/>
  </r>
  <r>
    <x v="25"/>
    <x v="0"/>
    <x v="244"/>
    <n v="75"/>
    <x v="0"/>
  </r>
  <r>
    <x v="25"/>
    <x v="0"/>
    <x v="57"/>
    <n v="6"/>
    <x v="0"/>
  </r>
  <r>
    <x v="25"/>
    <x v="0"/>
    <x v="246"/>
    <n v="81"/>
    <x v="0"/>
  </r>
  <r>
    <x v="25"/>
    <x v="0"/>
    <x v="245"/>
    <n v="3355"/>
    <x v="1"/>
  </r>
  <r>
    <x v="3"/>
    <x v="0"/>
    <x v="16"/>
    <n v="7"/>
    <x v="0"/>
  </r>
  <r>
    <x v="25"/>
    <x v="0"/>
    <x v="31"/>
    <n v="3001"/>
    <x v="1"/>
  </r>
  <r>
    <x v="3"/>
    <x v="0"/>
    <x v="127"/>
    <n v="2740"/>
    <x v="1"/>
  </r>
  <r>
    <x v="3"/>
    <x v="0"/>
    <x v="24"/>
    <n v="14"/>
    <x v="0"/>
  </r>
  <r>
    <x v="3"/>
    <x v="0"/>
    <x v="193"/>
    <n v="13"/>
    <x v="0"/>
  </r>
  <r>
    <x v="25"/>
    <x v="0"/>
    <x v="126"/>
    <n v="56"/>
    <x v="0"/>
  </r>
  <r>
    <x v="3"/>
    <x v="0"/>
    <x v="15"/>
    <n v="5"/>
    <x v="0"/>
  </r>
  <r>
    <x v="3"/>
    <x v="0"/>
    <x v="8"/>
    <n v="3018"/>
    <x v="1"/>
  </r>
  <r>
    <x v="25"/>
    <x v="0"/>
    <x v="52"/>
    <n v="2565"/>
    <x v="1"/>
  </r>
  <r>
    <x v="25"/>
    <x v="0"/>
    <x v="69"/>
    <n v="2516"/>
    <x v="1"/>
  </r>
  <r>
    <x v="25"/>
    <x v="0"/>
    <x v="243"/>
    <n v="114"/>
    <x v="1"/>
  </r>
  <r>
    <x v="25"/>
    <x v="0"/>
    <x v="199"/>
    <n v="3257"/>
    <x v="1"/>
  </r>
  <r>
    <x v="3"/>
    <x v="0"/>
    <x v="183"/>
    <n v="292"/>
    <x v="1"/>
  </r>
  <r>
    <x v="25"/>
    <x v="0"/>
    <x v="51"/>
    <n v="2311"/>
    <x v="1"/>
  </r>
  <r>
    <x v="3"/>
    <x v="0"/>
    <x v="75"/>
    <n v="989"/>
    <x v="1"/>
  </r>
  <r>
    <x v="3"/>
    <x v="0"/>
    <x v="51"/>
    <n v="2121"/>
    <x v="1"/>
  </r>
  <r>
    <x v="25"/>
    <x v="0"/>
    <x v="247"/>
    <n v="29"/>
    <x v="0"/>
  </r>
  <r>
    <x v="25"/>
    <x v="0"/>
    <x v="63"/>
    <n v="725"/>
    <x v="1"/>
  </r>
  <r>
    <x v="3"/>
    <x v="0"/>
    <x v="140"/>
    <n v="3861"/>
    <x v="1"/>
  </r>
  <r>
    <x v="25"/>
    <x v="0"/>
    <x v="133"/>
    <n v="5"/>
    <x v="0"/>
  </r>
  <r>
    <x v="3"/>
    <x v="0"/>
    <x v="50"/>
    <n v="24"/>
    <x v="0"/>
  </r>
  <r>
    <x v="25"/>
    <x v="0"/>
    <x v="149"/>
    <n v="53"/>
    <x v="0"/>
  </r>
  <r>
    <x v="3"/>
    <x v="0"/>
    <x v="92"/>
    <n v="8"/>
    <x v="0"/>
  </r>
  <r>
    <x v="3"/>
    <x v="0"/>
    <x v="174"/>
    <n v="1"/>
    <x v="0"/>
  </r>
  <r>
    <x v="25"/>
    <x v="0"/>
    <x v="162"/>
    <n v="8"/>
    <x v="0"/>
  </r>
  <r>
    <x v="25"/>
    <x v="0"/>
    <x v="64"/>
    <n v="333"/>
    <x v="1"/>
  </r>
  <r>
    <x v="25"/>
    <x v="0"/>
    <x v="148"/>
    <n v="3164"/>
    <x v="1"/>
  </r>
  <r>
    <x v="25"/>
    <x v="0"/>
    <x v="104"/>
    <n v="2"/>
    <x v="0"/>
  </r>
  <r>
    <x v="3"/>
    <x v="0"/>
    <x v="172"/>
    <n v="1514"/>
    <x v="1"/>
  </r>
  <r>
    <x v="25"/>
    <x v="0"/>
    <x v="139"/>
    <n v="2866"/>
    <x v="1"/>
  </r>
  <r>
    <x v="25"/>
    <x v="0"/>
    <x v="53"/>
    <n v="127"/>
    <x v="1"/>
  </r>
  <r>
    <x v="3"/>
    <x v="0"/>
    <x v="173"/>
    <n v="1"/>
    <x v="0"/>
  </r>
  <r>
    <x v="25"/>
    <x v="0"/>
    <x v="33"/>
    <n v="427"/>
    <x v="1"/>
  </r>
  <r>
    <x v="25"/>
    <x v="0"/>
    <x v="76"/>
    <n v="2"/>
    <x v="0"/>
  </r>
  <r>
    <x v="25"/>
    <x v="0"/>
    <x v="54"/>
    <n v="8"/>
    <x v="0"/>
  </r>
  <r>
    <x v="3"/>
    <x v="0"/>
    <x v="180"/>
    <n v="2"/>
    <x v="0"/>
  </r>
  <r>
    <x v="3"/>
    <x v="0"/>
    <x v="148"/>
    <n v="2659"/>
    <x v="1"/>
  </r>
  <r>
    <x v="3"/>
    <x v="0"/>
    <x v="82"/>
    <n v="3361"/>
    <x v="1"/>
  </r>
  <r>
    <x v="3"/>
    <x v="0"/>
    <x v="181"/>
    <n v="131"/>
    <x v="1"/>
  </r>
  <r>
    <x v="25"/>
    <x v="0"/>
    <x v="131"/>
    <n v="3298"/>
    <x v="1"/>
  </r>
  <r>
    <x v="3"/>
    <x v="0"/>
    <x v="168"/>
    <n v="238"/>
    <x v="1"/>
  </r>
  <r>
    <x v="3"/>
    <x v="0"/>
    <x v="184"/>
    <n v="2033"/>
    <x v="1"/>
  </r>
  <r>
    <x v="25"/>
    <x v="0"/>
    <x v="14"/>
    <n v="2"/>
    <x v="0"/>
  </r>
  <r>
    <x v="25"/>
    <x v="0"/>
    <x v="35"/>
    <n v="31"/>
    <x v="0"/>
  </r>
  <r>
    <x v="25"/>
    <x v="0"/>
    <x v="182"/>
    <n v="2248"/>
    <x v="1"/>
  </r>
  <r>
    <x v="25"/>
    <x v="0"/>
    <x v="135"/>
    <n v="2088"/>
    <x v="1"/>
  </r>
  <r>
    <x v="3"/>
    <x v="0"/>
    <x v="211"/>
    <n v="1"/>
    <x v="0"/>
  </r>
  <r>
    <x v="25"/>
    <x v="0"/>
    <x v="192"/>
    <n v="2624"/>
    <x v="1"/>
  </r>
  <r>
    <x v="3"/>
    <x v="0"/>
    <x v="80"/>
    <n v="26"/>
    <x v="0"/>
  </r>
  <r>
    <x v="3"/>
    <x v="0"/>
    <x v="81"/>
    <n v="5"/>
    <x v="0"/>
  </r>
  <r>
    <x v="3"/>
    <x v="0"/>
    <x v="160"/>
    <n v="3"/>
    <x v="0"/>
  </r>
  <r>
    <x v="3"/>
    <x v="0"/>
    <x v="95"/>
    <n v="2595"/>
    <x v="1"/>
  </r>
  <r>
    <x v="3"/>
    <x v="0"/>
    <x v="132"/>
    <n v="4"/>
    <x v="0"/>
  </r>
  <r>
    <x v="3"/>
    <x v="0"/>
    <x v="2"/>
    <n v="2970"/>
    <x v="1"/>
  </r>
  <r>
    <x v="3"/>
    <x v="0"/>
    <x v="57"/>
    <n v="9"/>
    <x v="0"/>
  </r>
  <r>
    <x v="3"/>
    <x v="0"/>
    <x v="1"/>
    <n v="27"/>
    <x v="0"/>
  </r>
  <r>
    <x v="25"/>
    <x v="0"/>
    <x v="141"/>
    <n v="1951"/>
    <x v="1"/>
  </r>
  <r>
    <x v="3"/>
    <x v="0"/>
    <x v="185"/>
    <n v="1900"/>
    <x v="1"/>
  </r>
  <r>
    <x v="3"/>
    <x v="0"/>
    <x v="212"/>
    <n v="1"/>
    <x v="0"/>
  </r>
  <r>
    <x v="25"/>
    <x v="0"/>
    <x v="238"/>
    <n v="1"/>
    <x v="0"/>
  </r>
  <r>
    <x v="3"/>
    <x v="0"/>
    <x v="196"/>
    <n v="2"/>
    <x v="0"/>
  </r>
  <r>
    <x v="3"/>
    <x v="0"/>
    <x v="85"/>
    <n v="643"/>
    <x v="1"/>
  </r>
  <r>
    <x v="25"/>
    <x v="0"/>
    <x v="28"/>
    <n v="2422"/>
    <x v="1"/>
  </r>
  <r>
    <x v="25"/>
    <x v="0"/>
    <x v="8"/>
    <n v="2162"/>
    <x v="1"/>
  </r>
  <r>
    <x v="3"/>
    <x v="0"/>
    <x v="9"/>
    <n v="2815"/>
    <x v="1"/>
  </r>
  <r>
    <x v="3"/>
    <x v="0"/>
    <x v="87"/>
    <n v="2340"/>
    <x v="1"/>
  </r>
  <r>
    <x v="3"/>
    <x v="0"/>
    <x v="128"/>
    <n v="100"/>
    <x v="1"/>
  </r>
  <r>
    <x v="3"/>
    <x v="0"/>
    <x v="135"/>
    <n v="2200"/>
    <x v="1"/>
  </r>
  <r>
    <x v="25"/>
    <x v="0"/>
    <x v="87"/>
    <n v="2596"/>
    <x v="1"/>
  </r>
  <r>
    <x v="3"/>
    <x v="0"/>
    <x v="79"/>
    <n v="8627"/>
    <x v="1"/>
  </r>
  <r>
    <x v="3"/>
    <x v="0"/>
    <x v="187"/>
    <n v="782"/>
    <x v="1"/>
  </r>
  <r>
    <x v="25"/>
    <x v="0"/>
    <x v="43"/>
    <n v="7"/>
    <x v="0"/>
  </r>
  <r>
    <x v="25"/>
    <x v="0"/>
    <x v="228"/>
    <n v="1"/>
    <x v="0"/>
  </r>
  <r>
    <x v="3"/>
    <x v="0"/>
    <x v="78"/>
    <n v="122"/>
    <x v="1"/>
  </r>
  <r>
    <x v="25"/>
    <x v="0"/>
    <x v="24"/>
    <n v="4"/>
    <x v="0"/>
  </r>
  <r>
    <x v="3"/>
    <x v="0"/>
    <x v="146"/>
    <n v="327"/>
    <x v="1"/>
  </r>
  <r>
    <x v="3"/>
    <x v="0"/>
    <x v="77"/>
    <n v="4"/>
    <x v="0"/>
  </r>
  <r>
    <x v="3"/>
    <x v="0"/>
    <x v="213"/>
    <n v="2"/>
    <x v="0"/>
  </r>
  <r>
    <x v="25"/>
    <x v="0"/>
    <x v="239"/>
    <n v="2458"/>
    <x v="1"/>
  </r>
  <r>
    <x v="25"/>
    <x v="0"/>
    <x v="2"/>
    <n v="2542"/>
    <x v="1"/>
  </r>
  <r>
    <x v="25"/>
    <x v="0"/>
    <x v="56"/>
    <n v="1931"/>
    <x v="1"/>
  </r>
  <r>
    <x v="25"/>
    <x v="0"/>
    <x v="241"/>
    <n v="1"/>
    <x v="0"/>
  </r>
  <r>
    <x v="3"/>
    <x v="0"/>
    <x v="141"/>
    <n v="2197"/>
    <x v="1"/>
  </r>
  <r>
    <x v="25"/>
    <x v="0"/>
    <x v="196"/>
    <n v="1"/>
    <x v="0"/>
  </r>
  <r>
    <x v="3"/>
    <x v="0"/>
    <x v="178"/>
    <n v="1"/>
    <x v="0"/>
  </r>
  <r>
    <x v="25"/>
    <x v="0"/>
    <x v="62"/>
    <n v="594"/>
    <x v="1"/>
  </r>
  <r>
    <x v="25"/>
    <x v="0"/>
    <x v="232"/>
    <n v="2106"/>
    <x v="1"/>
  </r>
  <r>
    <x v="3"/>
    <x v="0"/>
    <x v="32"/>
    <n v="8380"/>
    <x v="1"/>
  </r>
  <r>
    <x v="25"/>
    <x v="0"/>
    <x v="103"/>
    <n v="25"/>
    <x v="0"/>
  </r>
  <r>
    <x v="3"/>
    <x v="0"/>
    <x v="49"/>
    <n v="1"/>
    <x v="0"/>
  </r>
  <r>
    <x v="25"/>
    <x v="0"/>
    <x v="32"/>
    <n v="2956"/>
    <x v="1"/>
  </r>
  <r>
    <x v="25"/>
    <x v="0"/>
    <x v="236"/>
    <n v="351"/>
    <x v="1"/>
  </r>
  <r>
    <x v="25"/>
    <x v="0"/>
    <x v="73"/>
    <n v="678"/>
    <x v="1"/>
  </r>
  <r>
    <x v="3"/>
    <x v="0"/>
    <x v="214"/>
    <n v="2"/>
    <x v="0"/>
  </r>
  <r>
    <x v="25"/>
    <x v="0"/>
    <x v="5"/>
    <n v="1"/>
    <x v="0"/>
  </r>
  <r>
    <x v="3"/>
    <x v="0"/>
    <x v="28"/>
    <n v="2462"/>
    <x v="1"/>
  </r>
  <r>
    <x v="3"/>
    <x v="0"/>
    <x v="101"/>
    <n v="1"/>
    <x v="0"/>
  </r>
  <r>
    <x v="25"/>
    <x v="0"/>
    <x v="46"/>
    <n v="2360"/>
    <x v="1"/>
  </r>
  <r>
    <x v="3"/>
    <x v="0"/>
    <x v="68"/>
    <n v="3"/>
    <x v="0"/>
  </r>
  <r>
    <x v="25"/>
    <x v="0"/>
    <x v="3"/>
    <n v="883"/>
    <x v="1"/>
  </r>
  <r>
    <x v="25"/>
    <x v="0"/>
    <x v="152"/>
    <n v="3010"/>
    <x v="1"/>
  </r>
  <r>
    <x v="3"/>
    <x v="0"/>
    <x v="108"/>
    <n v="512"/>
    <x v="1"/>
  </r>
  <r>
    <x v="25"/>
    <x v="0"/>
    <x v="83"/>
    <n v="3"/>
    <x v="0"/>
  </r>
  <r>
    <x v="25"/>
    <x v="0"/>
    <x v="191"/>
    <n v="2037"/>
    <x v="1"/>
  </r>
  <r>
    <x v="3"/>
    <x v="0"/>
    <x v="26"/>
    <n v="2195"/>
    <x v="1"/>
  </r>
  <r>
    <x v="3"/>
    <x v="0"/>
    <x v="129"/>
    <n v="2373"/>
    <x v="1"/>
  </r>
  <r>
    <x v="25"/>
    <x v="0"/>
    <x v="158"/>
    <n v="1"/>
    <x v="0"/>
  </r>
  <r>
    <x v="3"/>
    <x v="0"/>
    <x v="206"/>
    <n v="2"/>
    <x v="0"/>
  </r>
  <r>
    <x v="3"/>
    <x v="0"/>
    <x v="190"/>
    <n v="488"/>
    <x v="1"/>
  </r>
  <r>
    <x v="3"/>
    <x v="0"/>
    <x v="19"/>
    <n v="242"/>
    <x v="1"/>
  </r>
  <r>
    <x v="25"/>
    <x v="0"/>
    <x v="21"/>
    <n v="2665"/>
    <x v="1"/>
  </r>
  <r>
    <x v="3"/>
    <x v="0"/>
    <x v="44"/>
    <n v="2947"/>
    <x v="1"/>
  </r>
  <r>
    <x v="3"/>
    <x v="0"/>
    <x v="111"/>
    <n v="2360"/>
    <x v="1"/>
  </r>
  <r>
    <x v="25"/>
    <x v="0"/>
    <x v="84"/>
    <n v="10"/>
    <x v="0"/>
  </r>
  <r>
    <x v="3"/>
    <x v="0"/>
    <x v="3"/>
    <n v="888"/>
    <x v="1"/>
  </r>
  <r>
    <x v="3"/>
    <x v="0"/>
    <x v="208"/>
    <n v="5"/>
    <x v="0"/>
  </r>
  <r>
    <x v="25"/>
    <x v="0"/>
    <x v="251"/>
    <n v="17"/>
    <x v="0"/>
  </r>
  <r>
    <x v="3"/>
    <x v="0"/>
    <x v="25"/>
    <n v="3"/>
    <x v="0"/>
  </r>
  <r>
    <x v="3"/>
    <x v="0"/>
    <x v="89"/>
    <n v="2513"/>
    <x v="1"/>
  </r>
  <r>
    <x v="25"/>
    <x v="0"/>
    <x v="146"/>
    <n v="3006"/>
    <x v="1"/>
  </r>
  <r>
    <x v="25"/>
    <x v="0"/>
    <x v="125"/>
    <n v="22"/>
    <x v="0"/>
  </r>
  <r>
    <x v="3"/>
    <x v="0"/>
    <x v="84"/>
    <n v="27"/>
    <x v="0"/>
  </r>
  <r>
    <x v="25"/>
    <x v="0"/>
    <x v="75"/>
    <n v="140"/>
    <x v="1"/>
  </r>
  <r>
    <x v="25"/>
    <x v="0"/>
    <x v="218"/>
    <n v="7"/>
    <x v="0"/>
  </r>
  <r>
    <x v="25"/>
    <x v="0"/>
    <x v="137"/>
    <n v="1528"/>
    <x v="1"/>
  </r>
  <r>
    <x v="25"/>
    <x v="0"/>
    <x v="154"/>
    <n v="1483"/>
    <x v="1"/>
  </r>
  <r>
    <x v="3"/>
    <x v="0"/>
    <x v="215"/>
    <n v="1"/>
    <x v="0"/>
  </r>
  <r>
    <x v="3"/>
    <x v="0"/>
    <x v="139"/>
    <n v="2631"/>
    <x v="1"/>
  </r>
  <r>
    <x v="25"/>
    <x v="0"/>
    <x v="189"/>
    <n v="3088"/>
    <x v="1"/>
  </r>
  <r>
    <x v="25"/>
    <x v="0"/>
    <x v="38"/>
    <n v="3376"/>
    <x v="1"/>
  </r>
  <r>
    <x v="25"/>
    <x v="0"/>
    <x v="120"/>
    <n v="62"/>
    <x v="0"/>
  </r>
  <r>
    <x v="25"/>
    <x v="0"/>
    <x v="185"/>
    <n v="3145"/>
    <x v="1"/>
  </r>
  <r>
    <x v="25"/>
    <x v="0"/>
    <x v="212"/>
    <n v="4"/>
    <x v="0"/>
  </r>
  <r>
    <x v="3"/>
    <x v="0"/>
    <x v="52"/>
    <n v="2409"/>
    <x v="1"/>
  </r>
  <r>
    <x v="3"/>
    <x v="0"/>
    <x v="143"/>
    <n v="3829"/>
    <x v="1"/>
  </r>
  <r>
    <x v="25"/>
    <x v="0"/>
    <x v="164"/>
    <n v="108"/>
    <x v="1"/>
  </r>
  <r>
    <x v="3"/>
    <x v="0"/>
    <x v="116"/>
    <n v="2147"/>
    <x v="1"/>
  </r>
  <r>
    <x v="25"/>
    <x v="0"/>
    <x v="257"/>
    <n v="27"/>
    <x v="0"/>
  </r>
  <r>
    <x v="3"/>
    <x v="0"/>
    <x v="90"/>
    <n v="1274"/>
    <x v="1"/>
  </r>
  <r>
    <x v="25"/>
    <x v="0"/>
    <x v="124"/>
    <n v="728"/>
    <x v="1"/>
  </r>
  <r>
    <x v="25"/>
    <x v="0"/>
    <x v="70"/>
    <n v="7"/>
    <x v="0"/>
  </r>
  <r>
    <x v="3"/>
    <x v="0"/>
    <x v="63"/>
    <n v="550"/>
    <x v="1"/>
  </r>
  <r>
    <x v="25"/>
    <x v="0"/>
    <x v="13"/>
    <n v="1"/>
    <x v="0"/>
  </r>
  <r>
    <x v="3"/>
    <x v="0"/>
    <x v="198"/>
    <n v="2338"/>
    <x v="1"/>
  </r>
  <r>
    <x v="3"/>
    <x v="0"/>
    <x v="164"/>
    <n v="173"/>
    <x v="1"/>
  </r>
  <r>
    <x v="3"/>
    <x v="0"/>
    <x v="54"/>
    <n v="20"/>
    <x v="0"/>
  </r>
  <r>
    <x v="25"/>
    <x v="0"/>
    <x v="173"/>
    <n v="1"/>
    <x v="0"/>
  </r>
  <r>
    <x v="3"/>
    <x v="0"/>
    <x v="99"/>
    <n v="2289"/>
    <x v="1"/>
  </r>
  <r>
    <x v="3"/>
    <x v="0"/>
    <x v="4"/>
    <n v="2"/>
    <x v="0"/>
  </r>
  <r>
    <x v="25"/>
    <x v="0"/>
    <x v="16"/>
    <n v="1"/>
    <x v="0"/>
  </r>
  <r>
    <x v="3"/>
    <x v="0"/>
    <x v="188"/>
    <n v="2107"/>
    <x v="1"/>
  </r>
  <r>
    <x v="3"/>
    <x v="0"/>
    <x v="7"/>
    <n v="3126"/>
    <x v="1"/>
  </r>
  <r>
    <x v="3"/>
    <x v="0"/>
    <x v="157"/>
    <n v="2"/>
    <x v="0"/>
  </r>
  <r>
    <x v="3"/>
    <x v="0"/>
    <x v="192"/>
    <n v="3063"/>
    <x v="1"/>
  </r>
  <r>
    <x v="3"/>
    <x v="0"/>
    <x v="91"/>
    <n v="15"/>
    <x v="0"/>
  </r>
  <r>
    <x v="3"/>
    <x v="0"/>
    <x v="189"/>
    <n v="2928"/>
    <x v="1"/>
  </r>
  <r>
    <x v="25"/>
    <x v="0"/>
    <x v="89"/>
    <n v="1925"/>
    <x v="1"/>
  </r>
  <r>
    <x v="25"/>
    <x v="0"/>
    <x v="253"/>
    <n v="69"/>
    <x v="0"/>
  </r>
  <r>
    <x v="3"/>
    <x v="0"/>
    <x v="93"/>
    <n v="42"/>
    <x v="0"/>
  </r>
  <r>
    <x v="25"/>
    <x v="0"/>
    <x v="132"/>
    <n v="5"/>
    <x v="0"/>
  </r>
  <r>
    <x v="3"/>
    <x v="0"/>
    <x v="120"/>
    <n v="420"/>
    <x v="1"/>
  </r>
  <r>
    <x v="25"/>
    <x v="0"/>
    <x v="93"/>
    <n v="349"/>
    <x v="1"/>
  </r>
  <r>
    <x v="3"/>
    <x v="0"/>
    <x v="34"/>
    <n v="2"/>
    <x v="0"/>
  </r>
  <r>
    <x v="25"/>
    <x v="0"/>
    <x v="165"/>
    <n v="1"/>
    <x v="0"/>
  </r>
  <r>
    <x v="3"/>
    <x v="0"/>
    <x v="94"/>
    <n v="744"/>
    <x v="1"/>
  </r>
  <r>
    <x v="25"/>
    <x v="0"/>
    <x v="220"/>
    <n v="4005"/>
    <x v="1"/>
  </r>
  <r>
    <x v="3"/>
    <x v="0"/>
    <x v="124"/>
    <n v="2742"/>
    <x v="1"/>
  </r>
  <r>
    <x v="25"/>
    <x v="0"/>
    <x v="258"/>
    <n v="2792"/>
    <x v="1"/>
  </r>
  <r>
    <x v="3"/>
    <x v="0"/>
    <x v="186"/>
    <n v="1051"/>
    <x v="1"/>
  </r>
  <r>
    <x v="25"/>
    <x v="0"/>
    <x v="250"/>
    <n v="75"/>
    <x v="0"/>
  </r>
  <r>
    <x v="3"/>
    <x v="0"/>
    <x v="137"/>
    <n v="1475"/>
    <x v="1"/>
  </r>
  <r>
    <x v="25"/>
    <x v="0"/>
    <x v="97"/>
    <n v="361"/>
    <x v="1"/>
  </r>
  <r>
    <x v="3"/>
    <x v="0"/>
    <x v="175"/>
    <n v="1"/>
    <x v="0"/>
  </r>
  <r>
    <x v="25"/>
    <x v="0"/>
    <x v="29"/>
    <n v="4"/>
    <x v="0"/>
  </r>
  <r>
    <x v="3"/>
    <x v="0"/>
    <x v="194"/>
    <n v="1"/>
    <x v="0"/>
  </r>
  <r>
    <x v="25"/>
    <x v="0"/>
    <x v="226"/>
    <n v="278"/>
    <x v="1"/>
  </r>
  <r>
    <x v="3"/>
    <x v="0"/>
    <x v="118"/>
    <n v="2817"/>
    <x v="1"/>
  </r>
  <r>
    <x v="25"/>
    <x v="0"/>
    <x v="121"/>
    <n v="2418"/>
    <x v="1"/>
  </r>
  <r>
    <x v="25"/>
    <x v="0"/>
    <x v="58"/>
    <n v="3175"/>
    <x v="1"/>
  </r>
  <r>
    <x v="3"/>
    <x v="0"/>
    <x v="29"/>
    <n v="1"/>
    <x v="0"/>
  </r>
  <r>
    <x v="25"/>
    <x v="0"/>
    <x v="143"/>
    <n v="3587"/>
    <x v="1"/>
  </r>
  <r>
    <x v="25"/>
    <x v="0"/>
    <x v="10"/>
    <n v="659"/>
    <x v="1"/>
  </r>
  <r>
    <x v="3"/>
    <x v="0"/>
    <x v="217"/>
    <n v="1"/>
    <x v="0"/>
  </r>
  <r>
    <x v="25"/>
    <x v="0"/>
    <x v="74"/>
    <n v="2334"/>
    <x v="1"/>
  </r>
  <r>
    <x v="3"/>
    <x v="0"/>
    <x v="191"/>
    <n v="2930"/>
    <x v="1"/>
  </r>
  <r>
    <x v="3"/>
    <x v="0"/>
    <x v="70"/>
    <n v="23"/>
    <x v="0"/>
  </r>
  <r>
    <x v="3"/>
    <x v="0"/>
    <x v="17"/>
    <n v="498"/>
    <x v="1"/>
  </r>
  <r>
    <x v="3"/>
    <x v="0"/>
    <x v="0"/>
    <n v="38"/>
    <x v="0"/>
  </r>
  <r>
    <x v="25"/>
    <x v="0"/>
    <x v="68"/>
    <n v="1"/>
    <x v="0"/>
  </r>
  <r>
    <x v="3"/>
    <x v="0"/>
    <x v="88"/>
    <n v="2723"/>
    <x v="1"/>
  </r>
  <r>
    <x v="25"/>
    <x v="0"/>
    <x v="23"/>
    <n v="6"/>
    <x v="0"/>
  </r>
  <r>
    <x v="25"/>
    <x v="0"/>
    <x v="44"/>
    <n v="2573"/>
    <x v="1"/>
  </r>
  <r>
    <x v="25"/>
    <x v="0"/>
    <x v="88"/>
    <n v="3372"/>
    <x v="1"/>
  </r>
  <r>
    <x v="25"/>
    <x v="0"/>
    <x v="198"/>
    <n v="3200"/>
    <x v="1"/>
  </r>
  <r>
    <x v="3"/>
    <x v="0"/>
    <x v="131"/>
    <n v="3039"/>
    <x v="1"/>
  </r>
  <r>
    <x v="25"/>
    <x v="0"/>
    <x v="94"/>
    <n v="280"/>
    <x v="1"/>
  </r>
  <r>
    <x v="3"/>
    <x v="0"/>
    <x v="105"/>
    <n v="2363"/>
    <x v="1"/>
  </r>
  <r>
    <x v="25"/>
    <x v="0"/>
    <x v="144"/>
    <n v="184"/>
    <x v="1"/>
  </r>
  <r>
    <x v="25"/>
    <x v="0"/>
    <x v="91"/>
    <n v="11"/>
    <x v="0"/>
  </r>
  <r>
    <x v="3"/>
    <x v="0"/>
    <x v="59"/>
    <n v="186"/>
    <x v="1"/>
  </r>
  <r>
    <x v="25"/>
    <x v="0"/>
    <x v="19"/>
    <n v="209"/>
    <x v="1"/>
  </r>
  <r>
    <x v="25"/>
    <x v="0"/>
    <x v="25"/>
    <n v="8"/>
    <x v="0"/>
  </r>
  <r>
    <x v="3"/>
    <x v="0"/>
    <x v="69"/>
    <n v="3223"/>
    <x v="1"/>
  </r>
  <r>
    <x v="3"/>
    <x v="0"/>
    <x v="107"/>
    <n v="7"/>
    <x v="0"/>
  </r>
  <r>
    <x v="3"/>
    <x v="0"/>
    <x v="158"/>
    <n v="1"/>
    <x v="0"/>
  </r>
  <r>
    <x v="25"/>
    <x v="0"/>
    <x v="55"/>
    <n v="1"/>
    <x v="0"/>
  </r>
  <r>
    <x v="25"/>
    <x v="0"/>
    <x v="136"/>
    <n v="3201"/>
    <x v="1"/>
  </r>
  <r>
    <x v="25"/>
    <x v="0"/>
    <x v="175"/>
    <n v="1"/>
    <x v="0"/>
  </r>
  <r>
    <x v="3"/>
    <x v="0"/>
    <x v="205"/>
    <n v="2"/>
    <x v="0"/>
  </r>
  <r>
    <x v="3"/>
    <x v="0"/>
    <x v="14"/>
    <n v="69"/>
    <x v="0"/>
  </r>
  <r>
    <x v="25"/>
    <x v="0"/>
    <x v="117"/>
    <n v="2442"/>
    <x v="1"/>
  </r>
  <r>
    <x v="25"/>
    <x v="0"/>
    <x v="183"/>
    <n v="3381"/>
    <x v="1"/>
  </r>
  <r>
    <x v="3"/>
    <x v="0"/>
    <x v="144"/>
    <n v="2785"/>
    <x v="1"/>
  </r>
  <r>
    <x v="3"/>
    <x v="0"/>
    <x v="100"/>
    <n v="1"/>
    <x v="0"/>
  </r>
  <r>
    <x v="25"/>
    <x v="0"/>
    <x v="166"/>
    <n v="1"/>
    <x v="0"/>
  </r>
  <r>
    <x v="26"/>
    <x v="0"/>
    <x v="152"/>
    <n v="3022"/>
    <x v="1"/>
  </r>
  <r>
    <x v="26"/>
    <x v="0"/>
    <x v="254"/>
    <n v="30"/>
    <x v="0"/>
  </r>
  <r>
    <x v="26"/>
    <x v="0"/>
    <x v="242"/>
    <n v="70"/>
    <x v="0"/>
  </r>
  <r>
    <x v="26"/>
    <x v="0"/>
    <x v="246"/>
    <n v="136"/>
    <x v="1"/>
  </r>
  <r>
    <x v="26"/>
    <x v="0"/>
    <x v="9"/>
    <n v="1"/>
    <x v="0"/>
  </r>
  <r>
    <x v="26"/>
    <x v="0"/>
    <x v="229"/>
    <n v="978"/>
    <x v="1"/>
  </r>
  <r>
    <x v="26"/>
    <x v="0"/>
    <x v="251"/>
    <n v="36"/>
    <x v="0"/>
  </r>
  <r>
    <x v="26"/>
    <x v="0"/>
    <x v="59"/>
    <n v="44"/>
    <x v="0"/>
  </r>
  <r>
    <x v="26"/>
    <x v="0"/>
    <x v="73"/>
    <n v="681"/>
    <x v="1"/>
  </r>
  <r>
    <x v="26"/>
    <x v="0"/>
    <x v="124"/>
    <n v="723"/>
    <x v="1"/>
  </r>
  <r>
    <x v="26"/>
    <x v="0"/>
    <x v="96"/>
    <n v="47"/>
    <x v="0"/>
  </r>
  <r>
    <x v="26"/>
    <x v="0"/>
    <x v="211"/>
    <n v="2"/>
    <x v="0"/>
  </r>
  <r>
    <x v="26"/>
    <x v="0"/>
    <x v="13"/>
    <n v="1"/>
    <x v="0"/>
  </r>
  <r>
    <x v="26"/>
    <x v="0"/>
    <x v="106"/>
    <n v="1799"/>
    <x v="1"/>
  </r>
  <r>
    <x v="26"/>
    <x v="0"/>
    <x v="259"/>
    <n v="1"/>
    <x v="0"/>
  </r>
  <r>
    <x v="26"/>
    <x v="0"/>
    <x v="65"/>
    <n v="483"/>
    <x v="1"/>
  </r>
  <r>
    <x v="26"/>
    <x v="0"/>
    <x v="146"/>
    <n v="3029"/>
    <x v="1"/>
  </r>
  <r>
    <x v="26"/>
    <x v="0"/>
    <x v="23"/>
    <n v="8"/>
    <x v="0"/>
  </r>
  <r>
    <x v="26"/>
    <x v="0"/>
    <x v="16"/>
    <n v="1"/>
    <x v="0"/>
  </r>
  <r>
    <x v="26"/>
    <x v="0"/>
    <x v="127"/>
    <n v="3566"/>
    <x v="1"/>
  </r>
  <r>
    <x v="26"/>
    <x v="0"/>
    <x v="47"/>
    <n v="544"/>
    <x v="1"/>
  </r>
  <r>
    <x v="26"/>
    <x v="0"/>
    <x v="240"/>
    <n v="305"/>
    <x v="1"/>
  </r>
  <r>
    <x v="26"/>
    <x v="0"/>
    <x v="162"/>
    <n v="7"/>
    <x v="0"/>
  </r>
  <r>
    <x v="26"/>
    <x v="0"/>
    <x v="104"/>
    <n v="2"/>
    <x v="0"/>
  </r>
  <r>
    <x v="26"/>
    <x v="0"/>
    <x v="169"/>
    <n v="2"/>
    <x v="0"/>
  </r>
  <r>
    <x v="26"/>
    <x v="0"/>
    <x v="113"/>
    <n v="2460"/>
    <x v="1"/>
  </r>
  <r>
    <x v="26"/>
    <x v="0"/>
    <x v="237"/>
    <n v="2"/>
    <x v="0"/>
  </r>
  <r>
    <x v="26"/>
    <x v="0"/>
    <x v="165"/>
    <n v="1"/>
    <x v="0"/>
  </r>
  <r>
    <x v="26"/>
    <x v="0"/>
    <x v="15"/>
    <n v="1"/>
    <x v="0"/>
  </r>
  <r>
    <x v="26"/>
    <x v="0"/>
    <x v="181"/>
    <n v="803"/>
    <x v="1"/>
  </r>
  <r>
    <x v="26"/>
    <x v="0"/>
    <x v="150"/>
    <n v="3116"/>
    <x v="1"/>
  </r>
  <r>
    <x v="26"/>
    <x v="0"/>
    <x v="142"/>
    <n v="2352"/>
    <x v="1"/>
  </r>
  <r>
    <x v="26"/>
    <x v="0"/>
    <x v="55"/>
    <n v="1"/>
    <x v="0"/>
  </r>
  <r>
    <x v="26"/>
    <x v="0"/>
    <x v="247"/>
    <n v="64"/>
    <x v="0"/>
  </r>
  <r>
    <x v="26"/>
    <x v="0"/>
    <x v="257"/>
    <n v="74"/>
    <x v="0"/>
  </r>
  <r>
    <x v="26"/>
    <x v="0"/>
    <x v="231"/>
    <n v="2"/>
    <x v="0"/>
  </r>
  <r>
    <x v="26"/>
    <x v="0"/>
    <x v="27"/>
    <n v="2390"/>
    <x v="1"/>
  </r>
  <r>
    <x v="26"/>
    <x v="0"/>
    <x v="78"/>
    <n v="2"/>
    <x v="0"/>
  </r>
  <r>
    <x v="26"/>
    <x v="0"/>
    <x v="115"/>
    <n v="5006"/>
    <x v="1"/>
  </r>
  <r>
    <x v="26"/>
    <x v="0"/>
    <x v="182"/>
    <n v="2381"/>
    <x v="1"/>
  </r>
  <r>
    <x v="26"/>
    <x v="0"/>
    <x v="90"/>
    <n v="933"/>
    <x v="1"/>
  </r>
  <r>
    <x v="26"/>
    <x v="0"/>
    <x v="176"/>
    <n v="1"/>
    <x v="0"/>
  </r>
  <r>
    <x v="26"/>
    <x v="0"/>
    <x v="147"/>
    <n v="645"/>
    <x v="1"/>
  </r>
  <r>
    <x v="26"/>
    <x v="0"/>
    <x v="71"/>
    <n v="3409"/>
    <x v="1"/>
  </r>
  <r>
    <x v="26"/>
    <x v="0"/>
    <x v="75"/>
    <n v="136"/>
    <x v="1"/>
  </r>
  <r>
    <x v="26"/>
    <x v="0"/>
    <x v="245"/>
    <n v="3393"/>
    <x v="1"/>
  </r>
  <r>
    <x v="26"/>
    <x v="0"/>
    <x v="88"/>
    <n v="3403"/>
    <x v="1"/>
  </r>
  <r>
    <x v="26"/>
    <x v="0"/>
    <x v="80"/>
    <n v="1"/>
    <x v="0"/>
  </r>
  <r>
    <x v="26"/>
    <x v="0"/>
    <x v="12"/>
    <n v="8"/>
    <x v="0"/>
  </r>
  <r>
    <x v="26"/>
    <x v="0"/>
    <x v="167"/>
    <n v="2645"/>
    <x v="1"/>
  </r>
  <r>
    <x v="26"/>
    <x v="0"/>
    <x v="21"/>
    <n v="3026"/>
    <x v="1"/>
  </r>
  <r>
    <x v="26"/>
    <x v="0"/>
    <x v="46"/>
    <n v="2376"/>
    <x v="1"/>
  </r>
  <r>
    <x v="26"/>
    <x v="0"/>
    <x v="140"/>
    <n v="2465"/>
    <x v="1"/>
  </r>
  <r>
    <x v="26"/>
    <x v="0"/>
    <x v="128"/>
    <n v="1"/>
    <x v="0"/>
  </r>
  <r>
    <x v="26"/>
    <x v="0"/>
    <x v="98"/>
    <n v="20"/>
    <x v="0"/>
  </r>
  <r>
    <x v="26"/>
    <x v="0"/>
    <x v="221"/>
    <n v="10"/>
    <x v="0"/>
  </r>
  <r>
    <x v="26"/>
    <x v="0"/>
    <x v="220"/>
    <n v="4014"/>
    <x v="1"/>
  </r>
  <r>
    <x v="26"/>
    <x v="0"/>
    <x v="99"/>
    <n v="2455"/>
    <x v="1"/>
  </r>
  <r>
    <x v="26"/>
    <x v="0"/>
    <x v="137"/>
    <n v="1576"/>
    <x v="1"/>
  </r>
  <r>
    <x v="26"/>
    <x v="0"/>
    <x v="91"/>
    <n v="11"/>
    <x v="0"/>
  </r>
  <r>
    <x v="26"/>
    <x v="0"/>
    <x v="61"/>
    <n v="167"/>
    <x v="1"/>
  </r>
  <r>
    <x v="26"/>
    <x v="0"/>
    <x v="102"/>
    <n v="2858"/>
    <x v="1"/>
  </r>
  <r>
    <x v="26"/>
    <x v="0"/>
    <x v="234"/>
    <n v="1461"/>
    <x v="1"/>
  </r>
  <r>
    <x v="26"/>
    <x v="0"/>
    <x v="97"/>
    <n v="362"/>
    <x v="1"/>
  </r>
  <r>
    <x v="26"/>
    <x v="0"/>
    <x v="14"/>
    <n v="2"/>
    <x v="0"/>
  </r>
  <r>
    <x v="26"/>
    <x v="0"/>
    <x v="186"/>
    <n v="1696"/>
    <x v="1"/>
  </r>
  <r>
    <x v="26"/>
    <x v="0"/>
    <x v="190"/>
    <n v="1655"/>
    <x v="1"/>
  </r>
  <r>
    <x v="26"/>
    <x v="0"/>
    <x v="191"/>
    <n v="2079"/>
    <x v="1"/>
  </r>
  <r>
    <x v="26"/>
    <x v="0"/>
    <x v="0"/>
    <n v="43"/>
    <x v="0"/>
  </r>
  <r>
    <x v="26"/>
    <x v="0"/>
    <x v="172"/>
    <n v="2766"/>
    <x v="1"/>
  </r>
  <r>
    <x v="26"/>
    <x v="0"/>
    <x v="195"/>
    <n v="3"/>
    <x v="0"/>
  </r>
  <r>
    <x v="26"/>
    <x v="0"/>
    <x v="83"/>
    <n v="3"/>
    <x v="0"/>
  </r>
  <r>
    <x v="26"/>
    <x v="0"/>
    <x v="235"/>
    <n v="8"/>
    <x v="0"/>
  </r>
  <r>
    <x v="26"/>
    <x v="0"/>
    <x v="116"/>
    <n v="2265"/>
    <x v="1"/>
  </r>
  <r>
    <x v="26"/>
    <x v="0"/>
    <x v="45"/>
    <n v="10"/>
    <x v="0"/>
  </r>
  <r>
    <x v="26"/>
    <x v="0"/>
    <x v="28"/>
    <n v="2424"/>
    <x v="1"/>
  </r>
  <r>
    <x v="26"/>
    <x v="0"/>
    <x v="157"/>
    <n v="3"/>
    <x v="0"/>
  </r>
  <r>
    <x v="26"/>
    <x v="0"/>
    <x v="179"/>
    <n v="4"/>
    <x v="0"/>
  </r>
  <r>
    <x v="26"/>
    <x v="0"/>
    <x v="11"/>
    <n v="8"/>
    <x v="0"/>
  </r>
  <r>
    <x v="26"/>
    <x v="0"/>
    <x v="177"/>
    <n v="5"/>
    <x v="0"/>
  </r>
  <r>
    <x v="26"/>
    <x v="0"/>
    <x v="114"/>
    <n v="117"/>
    <x v="1"/>
  </r>
  <r>
    <x v="26"/>
    <x v="0"/>
    <x v="26"/>
    <n v="2268"/>
    <x v="1"/>
  </r>
  <r>
    <x v="26"/>
    <x v="0"/>
    <x v="43"/>
    <n v="9"/>
    <x v="0"/>
  </r>
  <r>
    <x v="26"/>
    <x v="0"/>
    <x v="103"/>
    <n v="25"/>
    <x v="0"/>
  </r>
  <r>
    <x v="26"/>
    <x v="0"/>
    <x v="8"/>
    <n v="2178"/>
    <x v="1"/>
  </r>
  <r>
    <x v="26"/>
    <x v="0"/>
    <x v="109"/>
    <n v="3"/>
    <x v="0"/>
  </r>
  <r>
    <x v="26"/>
    <x v="0"/>
    <x v="212"/>
    <n v="4"/>
    <x v="0"/>
  </r>
  <r>
    <x v="26"/>
    <x v="0"/>
    <x v="20"/>
    <n v="7"/>
    <x v="0"/>
  </r>
  <r>
    <x v="26"/>
    <x v="0"/>
    <x v="18"/>
    <n v="1"/>
    <x v="0"/>
  </r>
  <r>
    <x v="26"/>
    <x v="0"/>
    <x v="77"/>
    <n v="4"/>
    <x v="0"/>
  </r>
  <r>
    <x v="26"/>
    <x v="0"/>
    <x v="56"/>
    <n v="1895"/>
    <x v="1"/>
  </r>
  <r>
    <x v="26"/>
    <x v="0"/>
    <x v="136"/>
    <n v="3198"/>
    <x v="1"/>
  </r>
  <r>
    <x v="26"/>
    <x v="0"/>
    <x v="123"/>
    <n v="2071"/>
    <x v="1"/>
  </r>
  <r>
    <x v="26"/>
    <x v="0"/>
    <x v="205"/>
    <n v="3"/>
    <x v="0"/>
  </r>
  <r>
    <x v="26"/>
    <x v="0"/>
    <x v="225"/>
    <n v="2"/>
    <x v="0"/>
  </r>
  <r>
    <x v="26"/>
    <x v="0"/>
    <x v="131"/>
    <n v="3274"/>
    <x v="1"/>
  </r>
  <r>
    <x v="26"/>
    <x v="0"/>
    <x v="7"/>
    <n v="1038"/>
    <x v="1"/>
  </r>
  <r>
    <x v="26"/>
    <x v="0"/>
    <x v="31"/>
    <n v="8"/>
    <x v="0"/>
  </r>
  <r>
    <x v="26"/>
    <x v="0"/>
    <x v="67"/>
    <n v="1"/>
    <x v="0"/>
  </r>
  <r>
    <x v="26"/>
    <x v="0"/>
    <x v="32"/>
    <n v="2259"/>
    <x v="1"/>
  </r>
  <r>
    <x v="26"/>
    <x v="0"/>
    <x v="226"/>
    <n v="298"/>
    <x v="1"/>
  </r>
  <r>
    <x v="26"/>
    <x v="0"/>
    <x v="203"/>
    <n v="1"/>
    <x v="0"/>
  </r>
  <r>
    <x v="26"/>
    <x v="0"/>
    <x v="38"/>
    <n v="3380"/>
    <x v="1"/>
  </r>
  <r>
    <x v="26"/>
    <x v="0"/>
    <x v="1"/>
    <n v="27"/>
    <x v="0"/>
  </r>
  <r>
    <x v="26"/>
    <x v="0"/>
    <x v="70"/>
    <n v="6"/>
    <x v="0"/>
  </r>
  <r>
    <x v="26"/>
    <x v="0"/>
    <x v="66"/>
    <n v="3710"/>
    <x v="1"/>
  </r>
  <r>
    <x v="26"/>
    <x v="0"/>
    <x v="236"/>
    <n v="353"/>
    <x v="1"/>
  </r>
  <r>
    <x v="26"/>
    <x v="0"/>
    <x v="144"/>
    <n v="184"/>
    <x v="1"/>
  </r>
  <r>
    <x v="26"/>
    <x v="0"/>
    <x v="197"/>
    <n v="2394"/>
    <x v="1"/>
  </r>
  <r>
    <x v="26"/>
    <x v="0"/>
    <x v="62"/>
    <n v="592"/>
    <x v="1"/>
  </r>
  <r>
    <x v="26"/>
    <x v="0"/>
    <x v="241"/>
    <n v="1"/>
    <x v="0"/>
  </r>
  <r>
    <x v="26"/>
    <x v="0"/>
    <x v="183"/>
    <n v="3397"/>
    <x v="1"/>
  </r>
  <r>
    <x v="26"/>
    <x v="0"/>
    <x v="125"/>
    <n v="40"/>
    <x v="0"/>
  </r>
  <r>
    <x v="26"/>
    <x v="0"/>
    <x v="110"/>
    <n v="3"/>
    <x v="0"/>
  </r>
  <r>
    <x v="26"/>
    <x v="0"/>
    <x v="188"/>
    <n v="2578"/>
    <x v="1"/>
  </r>
  <r>
    <x v="26"/>
    <x v="0"/>
    <x v="25"/>
    <n v="8"/>
    <x v="0"/>
  </r>
  <r>
    <x v="26"/>
    <x v="0"/>
    <x v="87"/>
    <n v="2576"/>
    <x v="1"/>
  </r>
  <r>
    <x v="26"/>
    <x v="0"/>
    <x v="233"/>
    <n v="1"/>
    <x v="0"/>
  </r>
  <r>
    <x v="26"/>
    <x v="0"/>
    <x v="111"/>
    <n v="2463"/>
    <x v="1"/>
  </r>
  <r>
    <x v="26"/>
    <x v="0"/>
    <x v="170"/>
    <n v="2791"/>
    <x v="1"/>
  </r>
  <r>
    <x v="26"/>
    <x v="0"/>
    <x v="48"/>
    <n v="1"/>
    <x v="0"/>
  </r>
  <r>
    <x v="26"/>
    <x v="0"/>
    <x v="141"/>
    <n v="1979"/>
    <x v="1"/>
  </r>
  <r>
    <x v="26"/>
    <x v="0"/>
    <x v="134"/>
    <n v="656"/>
    <x v="1"/>
  </r>
  <r>
    <x v="26"/>
    <x v="0"/>
    <x v="260"/>
    <n v="14"/>
    <x v="0"/>
  </r>
  <r>
    <x v="26"/>
    <x v="0"/>
    <x v="105"/>
    <n v="520"/>
    <x v="1"/>
  </r>
  <r>
    <x v="26"/>
    <x v="0"/>
    <x v="148"/>
    <n v="3186"/>
    <x v="1"/>
  </r>
  <r>
    <x v="26"/>
    <x v="0"/>
    <x v="238"/>
    <n v="1"/>
    <x v="0"/>
  </r>
  <r>
    <x v="26"/>
    <x v="0"/>
    <x v="193"/>
    <n v="1420"/>
    <x v="1"/>
  </r>
  <r>
    <x v="26"/>
    <x v="0"/>
    <x v="244"/>
    <n v="79"/>
    <x v="0"/>
  </r>
  <r>
    <x v="26"/>
    <x v="0"/>
    <x v="227"/>
    <n v="1"/>
    <x v="0"/>
  </r>
  <r>
    <x v="26"/>
    <x v="0"/>
    <x v="86"/>
    <n v="3156"/>
    <x v="1"/>
  </r>
  <r>
    <x v="26"/>
    <x v="0"/>
    <x v="232"/>
    <n v="2126"/>
    <x v="1"/>
  </r>
  <r>
    <x v="26"/>
    <x v="0"/>
    <x v="76"/>
    <n v="3"/>
    <x v="0"/>
  </r>
  <r>
    <x v="26"/>
    <x v="0"/>
    <x v="187"/>
    <n v="1937"/>
    <x v="1"/>
  </r>
  <r>
    <x v="26"/>
    <x v="0"/>
    <x v="175"/>
    <n v="2"/>
    <x v="0"/>
  </r>
  <r>
    <x v="26"/>
    <x v="0"/>
    <x v="22"/>
    <n v="3596"/>
    <x v="1"/>
  </r>
  <r>
    <x v="26"/>
    <x v="0"/>
    <x v="222"/>
    <n v="1203"/>
    <x v="1"/>
  </r>
  <r>
    <x v="26"/>
    <x v="0"/>
    <x v="218"/>
    <n v="9"/>
    <x v="0"/>
  </r>
  <r>
    <x v="26"/>
    <x v="0"/>
    <x v="207"/>
    <n v="2"/>
    <x v="0"/>
  </r>
  <r>
    <x v="26"/>
    <x v="0"/>
    <x v="82"/>
    <n v="7"/>
    <x v="0"/>
  </r>
  <r>
    <x v="26"/>
    <x v="0"/>
    <x v="35"/>
    <n v="31"/>
    <x v="0"/>
  </r>
  <r>
    <x v="26"/>
    <x v="0"/>
    <x v="85"/>
    <n v="349"/>
    <x v="1"/>
  </r>
  <r>
    <x v="26"/>
    <x v="0"/>
    <x v="249"/>
    <n v="33"/>
    <x v="0"/>
  </r>
  <r>
    <x v="26"/>
    <x v="0"/>
    <x v="94"/>
    <n v="280"/>
    <x v="1"/>
  </r>
  <r>
    <x v="26"/>
    <x v="0"/>
    <x v="17"/>
    <n v="847"/>
    <x v="1"/>
  </r>
  <r>
    <x v="26"/>
    <x v="0"/>
    <x v="57"/>
    <n v="7"/>
    <x v="0"/>
  </r>
  <r>
    <x v="26"/>
    <x v="0"/>
    <x v="258"/>
    <n v="2815"/>
    <x v="1"/>
  </r>
  <r>
    <x v="26"/>
    <x v="0"/>
    <x v="248"/>
    <n v="3662"/>
    <x v="1"/>
  </r>
  <r>
    <x v="26"/>
    <x v="0"/>
    <x v="185"/>
    <n v="3168"/>
    <x v="1"/>
  </r>
  <r>
    <x v="26"/>
    <x v="0"/>
    <x v="159"/>
    <n v="1"/>
    <x v="0"/>
  </r>
  <r>
    <x v="26"/>
    <x v="0"/>
    <x v="44"/>
    <n v="2967"/>
    <x v="1"/>
  </r>
  <r>
    <x v="26"/>
    <x v="0"/>
    <x v="139"/>
    <n v="2894"/>
    <x v="1"/>
  </r>
  <r>
    <x v="26"/>
    <x v="0"/>
    <x v="33"/>
    <n v="455"/>
    <x v="1"/>
  </r>
  <r>
    <x v="26"/>
    <x v="0"/>
    <x v="37"/>
    <n v="282"/>
    <x v="1"/>
  </r>
  <r>
    <x v="26"/>
    <x v="0"/>
    <x v="74"/>
    <n v="2351"/>
    <x v="1"/>
  </r>
  <r>
    <x v="26"/>
    <x v="0"/>
    <x v="118"/>
    <n v="2632"/>
    <x v="1"/>
  </r>
  <r>
    <x v="26"/>
    <x v="0"/>
    <x v="153"/>
    <n v="2141"/>
    <x v="1"/>
  </r>
  <r>
    <x v="26"/>
    <x v="0"/>
    <x v="84"/>
    <n v="13"/>
    <x v="0"/>
  </r>
  <r>
    <x v="26"/>
    <x v="0"/>
    <x v="19"/>
    <n v="209"/>
    <x v="1"/>
  </r>
  <r>
    <x v="26"/>
    <x v="0"/>
    <x v="214"/>
    <n v="2"/>
    <x v="0"/>
  </r>
  <r>
    <x v="26"/>
    <x v="0"/>
    <x v="54"/>
    <n v="8"/>
    <x v="0"/>
  </r>
  <r>
    <x v="26"/>
    <x v="0"/>
    <x v="68"/>
    <n v="1"/>
    <x v="0"/>
  </r>
  <r>
    <x v="26"/>
    <x v="0"/>
    <x v="143"/>
    <n v="3591"/>
    <x v="1"/>
  </r>
  <r>
    <x v="26"/>
    <x v="0"/>
    <x v="256"/>
    <n v="11"/>
    <x v="0"/>
  </r>
  <r>
    <x v="26"/>
    <x v="0"/>
    <x v="164"/>
    <n v="108"/>
    <x v="1"/>
  </r>
  <r>
    <x v="26"/>
    <x v="0"/>
    <x v="243"/>
    <n v="159"/>
    <x v="1"/>
  </r>
  <r>
    <x v="26"/>
    <x v="0"/>
    <x v="53"/>
    <n v="128"/>
    <x v="1"/>
  </r>
  <r>
    <x v="26"/>
    <x v="0"/>
    <x v="93"/>
    <n v="386"/>
    <x v="1"/>
  </r>
  <r>
    <x v="26"/>
    <x v="0"/>
    <x v="50"/>
    <n v="323"/>
    <x v="1"/>
  </r>
  <r>
    <x v="26"/>
    <x v="0"/>
    <x v="250"/>
    <n v="99"/>
    <x v="0"/>
  </r>
  <r>
    <x v="26"/>
    <x v="0"/>
    <x v="199"/>
    <n v="3306"/>
    <x v="1"/>
  </r>
  <r>
    <x v="26"/>
    <x v="0"/>
    <x v="107"/>
    <n v="4"/>
    <x v="0"/>
  </r>
  <r>
    <x v="26"/>
    <x v="0"/>
    <x v="92"/>
    <n v="5"/>
    <x v="0"/>
  </r>
  <r>
    <x v="26"/>
    <x v="0"/>
    <x v="24"/>
    <n v="4"/>
    <x v="0"/>
  </r>
  <r>
    <x v="26"/>
    <x v="0"/>
    <x v="51"/>
    <n v="2304"/>
    <x v="1"/>
  </r>
  <r>
    <x v="26"/>
    <x v="0"/>
    <x v="133"/>
    <n v="6"/>
    <x v="0"/>
  </r>
  <r>
    <x v="26"/>
    <x v="0"/>
    <x v="255"/>
    <n v="2"/>
    <x v="0"/>
  </r>
  <r>
    <x v="26"/>
    <x v="0"/>
    <x v="10"/>
    <n v="663"/>
    <x v="1"/>
  </r>
  <r>
    <x v="26"/>
    <x v="0"/>
    <x v="129"/>
    <n v="974"/>
    <x v="1"/>
  </r>
  <r>
    <x v="26"/>
    <x v="0"/>
    <x v="2"/>
    <n v="2502"/>
    <x v="1"/>
  </r>
  <r>
    <x v="26"/>
    <x v="0"/>
    <x v="252"/>
    <n v="2670"/>
    <x v="1"/>
  </r>
  <r>
    <x v="26"/>
    <x v="0"/>
    <x v="79"/>
    <n v="2567"/>
    <x v="1"/>
  </r>
  <r>
    <x v="26"/>
    <x v="0"/>
    <x v="239"/>
    <n v="2840"/>
    <x v="1"/>
  </r>
  <r>
    <x v="26"/>
    <x v="0"/>
    <x v="117"/>
    <n v="2470"/>
    <x v="1"/>
  </r>
  <r>
    <x v="26"/>
    <x v="0"/>
    <x v="126"/>
    <n v="82"/>
    <x v="0"/>
  </r>
  <r>
    <x v="26"/>
    <x v="0"/>
    <x v="135"/>
    <n v="2164"/>
    <x v="1"/>
  </r>
  <r>
    <x v="26"/>
    <x v="0"/>
    <x v="5"/>
    <n v="1"/>
    <x v="0"/>
  </r>
  <r>
    <x v="26"/>
    <x v="0"/>
    <x v="171"/>
    <n v="2826"/>
    <x v="1"/>
  </r>
  <r>
    <x v="26"/>
    <x v="0"/>
    <x v="158"/>
    <n v="1"/>
    <x v="0"/>
  </r>
  <r>
    <x v="26"/>
    <x v="0"/>
    <x v="58"/>
    <n v="3211"/>
    <x v="1"/>
  </r>
  <r>
    <x v="26"/>
    <x v="0"/>
    <x v="52"/>
    <n v="2571"/>
    <x v="1"/>
  </r>
  <r>
    <x v="26"/>
    <x v="0"/>
    <x v="95"/>
    <n v="2957"/>
    <x v="1"/>
  </r>
  <r>
    <x v="26"/>
    <x v="0"/>
    <x v="196"/>
    <n v="1"/>
    <x v="0"/>
  </r>
  <r>
    <x v="26"/>
    <x v="0"/>
    <x v="168"/>
    <n v="1894"/>
    <x v="1"/>
  </r>
  <r>
    <x v="26"/>
    <x v="0"/>
    <x v="30"/>
    <n v="1094"/>
    <x v="1"/>
  </r>
  <r>
    <x v="26"/>
    <x v="0"/>
    <x v="253"/>
    <n v="3114"/>
    <x v="1"/>
  </r>
  <r>
    <x v="26"/>
    <x v="0"/>
    <x v="63"/>
    <n v="798"/>
    <x v="1"/>
  </r>
  <r>
    <x v="26"/>
    <x v="0"/>
    <x v="192"/>
    <n v="2654"/>
    <x v="1"/>
  </r>
  <r>
    <x v="26"/>
    <x v="0"/>
    <x v="149"/>
    <n v="52"/>
    <x v="0"/>
  </r>
  <r>
    <x v="26"/>
    <x v="0"/>
    <x v="189"/>
    <n v="3109"/>
    <x v="1"/>
  </r>
  <r>
    <x v="26"/>
    <x v="0"/>
    <x v="154"/>
    <n v="1477"/>
    <x v="1"/>
  </r>
  <r>
    <x v="26"/>
    <x v="0"/>
    <x v="89"/>
    <n v="1935"/>
    <x v="1"/>
  </r>
  <r>
    <x v="26"/>
    <x v="0"/>
    <x v="120"/>
    <n v="47"/>
    <x v="0"/>
  </r>
  <r>
    <x v="26"/>
    <x v="0"/>
    <x v="121"/>
    <n v="2456"/>
    <x v="1"/>
  </r>
  <r>
    <x v="26"/>
    <x v="0"/>
    <x v="173"/>
    <n v="1"/>
    <x v="0"/>
  </r>
  <r>
    <x v="26"/>
    <x v="0"/>
    <x v="3"/>
    <n v="880"/>
    <x v="1"/>
  </r>
  <r>
    <x v="26"/>
    <x v="0"/>
    <x v="4"/>
    <n v="1"/>
    <x v="0"/>
  </r>
  <r>
    <x v="26"/>
    <x v="0"/>
    <x v="69"/>
    <n v="2523"/>
    <x v="1"/>
  </r>
  <r>
    <x v="26"/>
    <x v="0"/>
    <x v="64"/>
    <n v="341"/>
    <x v="1"/>
  </r>
  <r>
    <x v="26"/>
    <x v="0"/>
    <x v="204"/>
    <n v="1"/>
    <x v="0"/>
  </r>
  <r>
    <x v="26"/>
    <x v="0"/>
    <x v="198"/>
    <n v="3251"/>
    <x v="1"/>
  </r>
  <r>
    <x v="26"/>
    <x v="0"/>
    <x v="29"/>
    <n v="3"/>
    <x v="0"/>
  </r>
  <r>
    <x v="26"/>
    <x v="0"/>
    <x v="132"/>
    <n v="5"/>
    <x v="0"/>
  </r>
  <r>
    <x v="26"/>
    <x v="0"/>
    <x v="184"/>
    <n v="2485"/>
    <x v="1"/>
  </r>
  <r>
    <x v="27"/>
    <x v="0"/>
    <x v="193"/>
    <n v="1429"/>
    <x v="1"/>
  </r>
  <r>
    <x v="27"/>
    <x v="0"/>
    <x v="69"/>
    <n v="2530"/>
    <x v="1"/>
  </r>
  <r>
    <x v="27"/>
    <x v="0"/>
    <x v="24"/>
    <n v="4"/>
    <x v="0"/>
  </r>
  <r>
    <x v="27"/>
    <x v="0"/>
    <x v="203"/>
    <n v="1"/>
    <x v="0"/>
  </r>
  <r>
    <x v="27"/>
    <x v="0"/>
    <x v="258"/>
    <n v="2829"/>
    <x v="1"/>
  </r>
  <r>
    <x v="27"/>
    <x v="0"/>
    <x v="232"/>
    <n v="2149"/>
    <x v="1"/>
  </r>
  <r>
    <x v="27"/>
    <x v="0"/>
    <x v="63"/>
    <n v="817"/>
    <x v="1"/>
  </r>
  <r>
    <x v="27"/>
    <x v="0"/>
    <x v="176"/>
    <n v="1"/>
    <x v="0"/>
  </r>
  <r>
    <x v="27"/>
    <x v="0"/>
    <x v="68"/>
    <n v="2"/>
    <x v="0"/>
  </r>
  <r>
    <x v="27"/>
    <x v="0"/>
    <x v="77"/>
    <n v="4"/>
    <x v="0"/>
  </r>
  <r>
    <x v="27"/>
    <x v="0"/>
    <x v="229"/>
    <n v="952"/>
    <x v="1"/>
  </r>
  <r>
    <x v="27"/>
    <x v="0"/>
    <x v="162"/>
    <n v="6"/>
    <x v="0"/>
  </r>
  <r>
    <x v="27"/>
    <x v="0"/>
    <x v="204"/>
    <n v="1"/>
    <x v="0"/>
  </r>
  <r>
    <x v="27"/>
    <x v="0"/>
    <x v="146"/>
    <n v="3043"/>
    <x v="1"/>
  </r>
  <r>
    <x v="27"/>
    <x v="0"/>
    <x v="245"/>
    <n v="3513"/>
    <x v="1"/>
  </r>
  <r>
    <x v="27"/>
    <x v="0"/>
    <x v="48"/>
    <n v="1"/>
    <x v="0"/>
  </r>
  <r>
    <x v="27"/>
    <x v="0"/>
    <x v="136"/>
    <n v="3192"/>
    <x v="1"/>
  </r>
  <r>
    <x v="27"/>
    <x v="0"/>
    <x v="13"/>
    <n v="1"/>
    <x v="0"/>
  </r>
  <r>
    <x v="27"/>
    <x v="0"/>
    <x v="233"/>
    <n v="1"/>
    <x v="0"/>
  </r>
  <r>
    <x v="27"/>
    <x v="0"/>
    <x v="2"/>
    <n v="2582"/>
    <x v="1"/>
  </r>
  <r>
    <x v="27"/>
    <x v="0"/>
    <x v="251"/>
    <n v="700"/>
    <x v="1"/>
  </r>
  <r>
    <x v="27"/>
    <x v="0"/>
    <x v="64"/>
    <n v="347"/>
    <x v="1"/>
  </r>
  <r>
    <x v="27"/>
    <x v="0"/>
    <x v="82"/>
    <n v="7"/>
    <x v="0"/>
  </r>
  <r>
    <x v="27"/>
    <x v="0"/>
    <x v="187"/>
    <n v="1948"/>
    <x v="1"/>
  </r>
  <r>
    <x v="27"/>
    <x v="0"/>
    <x v="41"/>
    <n v="1"/>
    <x v="0"/>
  </r>
  <r>
    <x v="27"/>
    <x v="0"/>
    <x v="256"/>
    <n v="1818"/>
    <x v="1"/>
  </r>
  <r>
    <x v="27"/>
    <x v="0"/>
    <x v="121"/>
    <n v="2519"/>
    <x v="1"/>
  </r>
  <r>
    <x v="27"/>
    <x v="0"/>
    <x v="141"/>
    <n v="2038"/>
    <x v="1"/>
  </r>
  <r>
    <x v="27"/>
    <x v="0"/>
    <x v="182"/>
    <n v="2394"/>
    <x v="1"/>
  </r>
  <r>
    <x v="27"/>
    <x v="0"/>
    <x v="186"/>
    <n v="1708"/>
    <x v="1"/>
  </r>
  <r>
    <x v="27"/>
    <x v="0"/>
    <x v="0"/>
    <n v="43"/>
    <x v="0"/>
  </r>
  <r>
    <x v="27"/>
    <x v="0"/>
    <x v="249"/>
    <n v="41"/>
    <x v="0"/>
  </r>
  <r>
    <x v="27"/>
    <x v="0"/>
    <x v="218"/>
    <n v="10"/>
    <x v="0"/>
  </r>
  <r>
    <x v="27"/>
    <x v="0"/>
    <x v="248"/>
    <n v="3657"/>
    <x v="1"/>
  </r>
  <r>
    <x v="27"/>
    <x v="0"/>
    <x v="96"/>
    <n v="45"/>
    <x v="0"/>
  </r>
  <r>
    <x v="27"/>
    <x v="0"/>
    <x v="167"/>
    <n v="2644"/>
    <x v="1"/>
  </r>
  <r>
    <x v="27"/>
    <x v="0"/>
    <x v="104"/>
    <n v="2"/>
    <x v="0"/>
  </r>
  <r>
    <x v="27"/>
    <x v="0"/>
    <x v="220"/>
    <n v="4041"/>
    <x v="1"/>
  </r>
  <r>
    <x v="27"/>
    <x v="0"/>
    <x v="7"/>
    <n v="1016"/>
    <x v="1"/>
  </r>
  <r>
    <x v="27"/>
    <x v="0"/>
    <x v="190"/>
    <n v="1695"/>
    <x v="1"/>
  </r>
  <r>
    <x v="27"/>
    <x v="0"/>
    <x v="110"/>
    <n v="6"/>
    <x v="0"/>
  </r>
  <r>
    <x v="27"/>
    <x v="0"/>
    <x v="261"/>
    <n v="10"/>
    <x v="0"/>
  </r>
  <r>
    <x v="27"/>
    <x v="0"/>
    <x v="221"/>
    <n v="11"/>
    <x v="0"/>
  </r>
  <r>
    <x v="27"/>
    <x v="0"/>
    <x v="197"/>
    <n v="2396"/>
    <x v="1"/>
  </r>
  <r>
    <x v="27"/>
    <x v="0"/>
    <x v="22"/>
    <n v="3640"/>
    <x v="1"/>
  </r>
  <r>
    <x v="27"/>
    <x v="0"/>
    <x v="47"/>
    <n v="617"/>
    <x v="1"/>
  </r>
  <r>
    <x v="27"/>
    <x v="0"/>
    <x v="109"/>
    <n v="3"/>
    <x v="0"/>
  </r>
  <r>
    <x v="27"/>
    <x v="0"/>
    <x v="12"/>
    <n v="9"/>
    <x v="0"/>
  </r>
  <r>
    <x v="27"/>
    <x v="0"/>
    <x v="234"/>
    <n v="1523"/>
    <x v="1"/>
  </r>
  <r>
    <x v="27"/>
    <x v="0"/>
    <x v="231"/>
    <n v="3"/>
    <x v="0"/>
  </r>
  <r>
    <x v="27"/>
    <x v="0"/>
    <x v="1"/>
    <n v="27"/>
    <x v="0"/>
  </r>
  <r>
    <x v="27"/>
    <x v="0"/>
    <x v="152"/>
    <n v="3066"/>
    <x v="1"/>
  </r>
  <r>
    <x v="27"/>
    <x v="0"/>
    <x v="132"/>
    <n v="5"/>
    <x v="0"/>
  </r>
  <r>
    <x v="27"/>
    <x v="0"/>
    <x v="259"/>
    <n v="1"/>
    <x v="0"/>
  </r>
  <r>
    <x v="27"/>
    <x v="0"/>
    <x v="54"/>
    <n v="10"/>
    <x v="0"/>
  </r>
  <r>
    <x v="27"/>
    <x v="0"/>
    <x v="240"/>
    <n v="2203"/>
    <x v="1"/>
  </r>
  <r>
    <x v="27"/>
    <x v="0"/>
    <x v="140"/>
    <n v="2521"/>
    <x v="1"/>
  </r>
  <r>
    <x v="27"/>
    <x v="0"/>
    <x v="105"/>
    <n v="523"/>
    <x v="1"/>
  </r>
  <r>
    <x v="27"/>
    <x v="0"/>
    <x v="88"/>
    <n v="3461"/>
    <x v="1"/>
  </r>
  <r>
    <x v="27"/>
    <x v="0"/>
    <x v="236"/>
    <n v="372"/>
    <x v="1"/>
  </r>
  <r>
    <x v="27"/>
    <x v="0"/>
    <x v="83"/>
    <n v="3"/>
    <x v="0"/>
  </r>
  <r>
    <x v="27"/>
    <x v="0"/>
    <x v="25"/>
    <n v="9"/>
    <x v="0"/>
  </r>
  <r>
    <x v="27"/>
    <x v="0"/>
    <x v="139"/>
    <n v="2947"/>
    <x v="1"/>
  </r>
  <r>
    <x v="27"/>
    <x v="0"/>
    <x v="252"/>
    <n v="2683"/>
    <x v="1"/>
  </r>
  <r>
    <x v="27"/>
    <x v="0"/>
    <x v="125"/>
    <n v="28"/>
    <x v="0"/>
  </r>
  <r>
    <x v="27"/>
    <x v="0"/>
    <x v="150"/>
    <n v="3151"/>
    <x v="1"/>
  </r>
  <r>
    <x v="27"/>
    <x v="0"/>
    <x v="191"/>
    <n v="2124"/>
    <x v="1"/>
  </r>
  <r>
    <x v="27"/>
    <x v="0"/>
    <x v="205"/>
    <n v="3"/>
    <x v="0"/>
  </r>
  <r>
    <x v="27"/>
    <x v="0"/>
    <x v="51"/>
    <n v="2335"/>
    <x v="1"/>
  </r>
  <r>
    <x v="27"/>
    <x v="0"/>
    <x v="154"/>
    <n v="1487"/>
    <x v="1"/>
  </r>
  <r>
    <x v="27"/>
    <x v="0"/>
    <x v="153"/>
    <n v="2150"/>
    <x v="1"/>
  </r>
  <r>
    <x v="27"/>
    <x v="0"/>
    <x v="148"/>
    <n v="3197"/>
    <x v="1"/>
  </r>
  <r>
    <x v="27"/>
    <x v="0"/>
    <x v="3"/>
    <n v="884"/>
    <x v="1"/>
  </r>
  <r>
    <x v="27"/>
    <x v="0"/>
    <x v="262"/>
    <n v="1"/>
    <x v="0"/>
  </r>
  <r>
    <x v="27"/>
    <x v="0"/>
    <x v="10"/>
    <n v="668"/>
    <x v="1"/>
  </r>
  <r>
    <x v="27"/>
    <x v="0"/>
    <x v="263"/>
    <n v="80"/>
    <x v="0"/>
  </r>
  <r>
    <x v="27"/>
    <x v="0"/>
    <x v="135"/>
    <n v="5460"/>
    <x v="1"/>
  </r>
  <r>
    <x v="27"/>
    <x v="0"/>
    <x v="31"/>
    <n v="8"/>
    <x v="0"/>
  </r>
  <r>
    <x v="27"/>
    <x v="0"/>
    <x v="250"/>
    <n v="150"/>
    <x v="1"/>
  </r>
  <r>
    <x v="27"/>
    <x v="0"/>
    <x v="102"/>
    <n v="2912"/>
    <x v="1"/>
  </r>
  <r>
    <x v="27"/>
    <x v="0"/>
    <x v="243"/>
    <n v="267"/>
    <x v="1"/>
  </r>
  <r>
    <x v="27"/>
    <x v="0"/>
    <x v="93"/>
    <n v="441"/>
    <x v="1"/>
  </r>
  <r>
    <x v="27"/>
    <x v="0"/>
    <x v="129"/>
    <n v="967"/>
    <x v="1"/>
  </r>
  <r>
    <x v="27"/>
    <x v="0"/>
    <x v="184"/>
    <n v="2487"/>
    <x v="1"/>
  </r>
  <r>
    <x v="27"/>
    <x v="0"/>
    <x v="46"/>
    <n v="2410"/>
    <x v="1"/>
  </r>
  <r>
    <x v="27"/>
    <x v="0"/>
    <x v="264"/>
    <n v="1"/>
    <x v="0"/>
  </r>
  <r>
    <x v="27"/>
    <x v="0"/>
    <x v="126"/>
    <n v="68"/>
    <x v="0"/>
  </r>
  <r>
    <x v="27"/>
    <x v="0"/>
    <x v="11"/>
    <n v="8"/>
    <x v="0"/>
  </r>
  <r>
    <x v="27"/>
    <x v="0"/>
    <x v="124"/>
    <n v="676"/>
    <x v="1"/>
  </r>
  <r>
    <x v="27"/>
    <x v="0"/>
    <x v="45"/>
    <n v="11"/>
    <x v="0"/>
  </r>
  <r>
    <x v="27"/>
    <x v="0"/>
    <x v="103"/>
    <n v="26"/>
    <x v="0"/>
  </r>
  <r>
    <x v="27"/>
    <x v="0"/>
    <x v="198"/>
    <n v="3259"/>
    <x v="1"/>
  </r>
  <r>
    <x v="27"/>
    <x v="0"/>
    <x v="4"/>
    <n v="4"/>
    <x v="0"/>
  </r>
  <r>
    <x v="27"/>
    <x v="0"/>
    <x v="238"/>
    <n v="1"/>
    <x v="0"/>
  </r>
  <r>
    <x v="27"/>
    <x v="0"/>
    <x v="89"/>
    <n v="1947"/>
    <x v="1"/>
  </r>
  <r>
    <x v="27"/>
    <x v="0"/>
    <x v="195"/>
    <n v="3"/>
    <x v="0"/>
  </r>
  <r>
    <x v="27"/>
    <x v="0"/>
    <x v="58"/>
    <n v="3243"/>
    <x v="1"/>
  </r>
  <r>
    <x v="27"/>
    <x v="0"/>
    <x v="170"/>
    <n v="2801"/>
    <x v="1"/>
  </r>
  <r>
    <x v="27"/>
    <x v="0"/>
    <x v="165"/>
    <n v="1"/>
    <x v="0"/>
  </r>
  <r>
    <x v="27"/>
    <x v="0"/>
    <x v="71"/>
    <n v="3417"/>
    <x v="1"/>
  </r>
  <r>
    <x v="27"/>
    <x v="0"/>
    <x v="227"/>
    <n v="2"/>
    <x v="0"/>
  </r>
  <r>
    <x v="27"/>
    <x v="0"/>
    <x v="254"/>
    <n v="74"/>
    <x v="0"/>
  </r>
  <r>
    <x v="27"/>
    <x v="0"/>
    <x v="134"/>
    <n v="660"/>
    <x v="1"/>
  </r>
  <r>
    <x v="27"/>
    <x v="0"/>
    <x v="246"/>
    <n v="2463"/>
    <x v="1"/>
  </r>
  <r>
    <x v="27"/>
    <x v="0"/>
    <x v="78"/>
    <n v="3"/>
    <x v="0"/>
  </r>
  <r>
    <x v="27"/>
    <x v="0"/>
    <x v="113"/>
    <n v="2455"/>
    <x v="1"/>
  </r>
  <r>
    <x v="27"/>
    <x v="0"/>
    <x v="117"/>
    <n v="2505"/>
    <x v="1"/>
  </r>
  <r>
    <x v="27"/>
    <x v="0"/>
    <x v="30"/>
    <n v="1101"/>
    <x v="1"/>
  </r>
  <r>
    <x v="27"/>
    <x v="0"/>
    <x v="159"/>
    <n v="1"/>
    <x v="0"/>
  </r>
  <r>
    <x v="27"/>
    <x v="0"/>
    <x v="95"/>
    <n v="3021"/>
    <x v="1"/>
  </r>
  <r>
    <x v="27"/>
    <x v="0"/>
    <x v="97"/>
    <n v="375"/>
    <x v="1"/>
  </r>
  <r>
    <x v="27"/>
    <x v="0"/>
    <x v="128"/>
    <n v="1"/>
    <x v="0"/>
  </r>
  <r>
    <x v="27"/>
    <x v="0"/>
    <x v="142"/>
    <n v="2394"/>
    <x v="1"/>
  </r>
  <r>
    <x v="27"/>
    <x v="0"/>
    <x v="214"/>
    <n v="2"/>
    <x v="0"/>
  </r>
  <r>
    <x v="27"/>
    <x v="0"/>
    <x v="212"/>
    <n v="4"/>
    <x v="0"/>
  </r>
  <r>
    <x v="27"/>
    <x v="0"/>
    <x v="57"/>
    <n v="10"/>
    <x v="0"/>
  </r>
  <r>
    <x v="27"/>
    <x v="0"/>
    <x v="18"/>
    <n v="1"/>
    <x v="0"/>
  </r>
  <r>
    <x v="27"/>
    <x v="0"/>
    <x v="164"/>
    <n v="111"/>
    <x v="1"/>
  </r>
  <r>
    <x v="27"/>
    <x v="0"/>
    <x v="94"/>
    <n v="275"/>
    <x v="1"/>
  </r>
  <r>
    <x v="27"/>
    <x v="0"/>
    <x v="84"/>
    <n v="13"/>
    <x v="0"/>
  </r>
  <r>
    <x v="27"/>
    <x v="0"/>
    <x v="75"/>
    <n v="147"/>
    <x v="1"/>
  </r>
  <r>
    <x v="27"/>
    <x v="0"/>
    <x v="237"/>
    <n v="3"/>
    <x v="0"/>
  </r>
  <r>
    <x v="27"/>
    <x v="0"/>
    <x v="226"/>
    <n v="300"/>
    <x v="1"/>
  </r>
  <r>
    <x v="27"/>
    <x v="0"/>
    <x v="107"/>
    <n v="4"/>
    <x v="0"/>
  </r>
  <r>
    <x v="27"/>
    <x v="0"/>
    <x v="244"/>
    <n v="85"/>
    <x v="0"/>
  </r>
  <r>
    <x v="27"/>
    <x v="0"/>
    <x v="260"/>
    <n v="73"/>
    <x v="0"/>
  </r>
  <r>
    <x v="27"/>
    <x v="0"/>
    <x v="73"/>
    <n v="682"/>
    <x v="1"/>
  </r>
  <r>
    <x v="27"/>
    <x v="0"/>
    <x v="90"/>
    <n v="922"/>
    <x v="1"/>
  </r>
  <r>
    <x v="27"/>
    <x v="0"/>
    <x v="59"/>
    <n v="49"/>
    <x v="0"/>
  </r>
  <r>
    <x v="27"/>
    <x v="0"/>
    <x v="185"/>
    <n v="3206"/>
    <x v="1"/>
  </r>
  <r>
    <x v="27"/>
    <x v="0"/>
    <x v="23"/>
    <n v="10"/>
    <x v="0"/>
  </r>
  <r>
    <x v="27"/>
    <x v="0"/>
    <x v="33"/>
    <n v="522"/>
    <x v="1"/>
  </r>
  <r>
    <x v="27"/>
    <x v="0"/>
    <x v="188"/>
    <n v="2570"/>
    <x v="1"/>
  </r>
  <r>
    <x v="27"/>
    <x v="0"/>
    <x v="144"/>
    <n v="184"/>
    <x v="1"/>
  </r>
  <r>
    <x v="27"/>
    <x v="0"/>
    <x v="5"/>
    <n v="1"/>
    <x v="0"/>
  </r>
  <r>
    <x v="27"/>
    <x v="0"/>
    <x v="133"/>
    <n v="9"/>
    <x v="0"/>
  </r>
  <r>
    <x v="27"/>
    <x v="0"/>
    <x v="160"/>
    <n v="2"/>
    <x v="0"/>
  </r>
  <r>
    <x v="27"/>
    <x v="0"/>
    <x v="181"/>
    <n v="799"/>
    <x v="1"/>
  </r>
  <r>
    <x v="27"/>
    <x v="0"/>
    <x v="28"/>
    <n v="2455"/>
    <x v="1"/>
  </r>
  <r>
    <x v="27"/>
    <x v="0"/>
    <x v="189"/>
    <n v="3151"/>
    <x v="1"/>
  </r>
  <r>
    <x v="27"/>
    <x v="0"/>
    <x v="74"/>
    <n v="2369"/>
    <x v="1"/>
  </r>
  <r>
    <x v="27"/>
    <x v="0"/>
    <x v="87"/>
    <n v="2550"/>
    <x v="1"/>
  </r>
  <r>
    <x v="27"/>
    <x v="0"/>
    <x v="99"/>
    <n v="2452"/>
    <x v="1"/>
  </r>
  <r>
    <x v="27"/>
    <x v="0"/>
    <x v="15"/>
    <n v="1"/>
    <x v="0"/>
  </r>
  <r>
    <x v="27"/>
    <x v="0"/>
    <x v="222"/>
    <n v="1212"/>
    <x v="1"/>
  </r>
  <r>
    <x v="27"/>
    <x v="0"/>
    <x v="55"/>
    <n v="1"/>
    <x v="0"/>
  </r>
  <r>
    <x v="27"/>
    <x v="0"/>
    <x v="235"/>
    <n v="8"/>
    <x v="0"/>
  </r>
  <r>
    <x v="27"/>
    <x v="0"/>
    <x v="111"/>
    <n v="2480"/>
    <x v="1"/>
  </r>
  <r>
    <x v="27"/>
    <x v="0"/>
    <x v="16"/>
    <n v="1"/>
    <x v="0"/>
  </r>
  <r>
    <x v="27"/>
    <x v="0"/>
    <x v="143"/>
    <n v="3602"/>
    <x v="1"/>
  </r>
  <r>
    <x v="27"/>
    <x v="0"/>
    <x v="239"/>
    <n v="2949"/>
    <x v="1"/>
  </r>
  <r>
    <x v="27"/>
    <x v="0"/>
    <x v="32"/>
    <n v="1164"/>
    <x v="1"/>
  </r>
  <r>
    <x v="27"/>
    <x v="0"/>
    <x v="70"/>
    <n v="6"/>
    <x v="0"/>
  </r>
  <r>
    <x v="27"/>
    <x v="0"/>
    <x v="44"/>
    <n v="2988"/>
    <x v="1"/>
  </r>
  <r>
    <x v="27"/>
    <x v="0"/>
    <x v="253"/>
    <n v="3193"/>
    <x v="1"/>
  </r>
  <r>
    <x v="27"/>
    <x v="0"/>
    <x v="177"/>
    <n v="6"/>
    <x v="0"/>
  </r>
  <r>
    <x v="27"/>
    <x v="0"/>
    <x v="92"/>
    <n v="6"/>
    <x v="0"/>
  </r>
  <r>
    <x v="27"/>
    <x v="0"/>
    <x v="52"/>
    <n v="2585"/>
    <x v="1"/>
  </r>
  <r>
    <x v="27"/>
    <x v="0"/>
    <x v="8"/>
    <n v="2207"/>
    <x v="1"/>
  </r>
  <r>
    <x v="27"/>
    <x v="0"/>
    <x v="137"/>
    <n v="1596"/>
    <x v="1"/>
  </r>
  <r>
    <x v="27"/>
    <x v="0"/>
    <x v="211"/>
    <n v="5"/>
    <x v="0"/>
  </r>
  <r>
    <x v="27"/>
    <x v="0"/>
    <x v="207"/>
    <n v="1"/>
    <x v="0"/>
  </r>
  <r>
    <x v="27"/>
    <x v="0"/>
    <x v="114"/>
    <n v="119"/>
    <x v="1"/>
  </r>
  <r>
    <x v="27"/>
    <x v="0"/>
    <x v="14"/>
    <n v="2"/>
    <x v="0"/>
  </r>
  <r>
    <x v="27"/>
    <x v="0"/>
    <x v="255"/>
    <n v="1"/>
    <x v="0"/>
  </r>
  <r>
    <x v="27"/>
    <x v="0"/>
    <x v="225"/>
    <n v="3"/>
    <x v="0"/>
  </r>
  <r>
    <x v="27"/>
    <x v="0"/>
    <x v="85"/>
    <n v="349"/>
    <x v="1"/>
  </r>
  <r>
    <x v="27"/>
    <x v="0"/>
    <x v="86"/>
    <n v="3159"/>
    <x v="1"/>
  </r>
  <r>
    <x v="27"/>
    <x v="0"/>
    <x v="157"/>
    <n v="3"/>
    <x v="0"/>
  </r>
  <r>
    <x v="27"/>
    <x v="0"/>
    <x v="66"/>
    <n v="3725"/>
    <x v="1"/>
  </r>
  <r>
    <x v="27"/>
    <x v="0"/>
    <x v="169"/>
    <n v="2"/>
    <x v="0"/>
  </r>
  <r>
    <x v="27"/>
    <x v="0"/>
    <x v="179"/>
    <n v="6"/>
    <x v="0"/>
  </r>
  <r>
    <x v="27"/>
    <x v="0"/>
    <x v="127"/>
    <n v="3614"/>
    <x v="1"/>
  </r>
  <r>
    <x v="27"/>
    <x v="0"/>
    <x v="265"/>
    <n v="1"/>
    <x v="0"/>
  </r>
  <r>
    <x v="27"/>
    <x v="0"/>
    <x v="192"/>
    <n v="2703"/>
    <x v="1"/>
  </r>
  <r>
    <x v="27"/>
    <x v="0"/>
    <x v="91"/>
    <n v="11"/>
    <x v="0"/>
  </r>
  <r>
    <x v="27"/>
    <x v="0"/>
    <x v="171"/>
    <n v="2824"/>
    <x v="1"/>
  </r>
  <r>
    <x v="27"/>
    <x v="0"/>
    <x v="53"/>
    <n v="149"/>
    <x v="1"/>
  </r>
  <r>
    <x v="27"/>
    <x v="0"/>
    <x v="241"/>
    <n v="1"/>
    <x v="0"/>
  </r>
  <r>
    <x v="27"/>
    <x v="0"/>
    <x v="266"/>
    <n v="1"/>
    <x v="0"/>
  </r>
  <r>
    <x v="27"/>
    <x v="0"/>
    <x v="118"/>
    <n v="2633"/>
    <x v="1"/>
  </r>
  <r>
    <x v="27"/>
    <x v="0"/>
    <x v="35"/>
    <n v="30"/>
    <x v="0"/>
  </r>
  <r>
    <x v="27"/>
    <x v="0"/>
    <x v="172"/>
    <n v="2794"/>
    <x v="1"/>
  </r>
  <r>
    <x v="27"/>
    <x v="0"/>
    <x v="67"/>
    <n v="1"/>
    <x v="0"/>
  </r>
  <r>
    <x v="27"/>
    <x v="0"/>
    <x v="17"/>
    <n v="887"/>
    <x v="1"/>
  </r>
  <r>
    <x v="27"/>
    <x v="0"/>
    <x v="168"/>
    <n v="1910"/>
    <x v="1"/>
  </r>
  <r>
    <x v="27"/>
    <x v="0"/>
    <x v="76"/>
    <n v="5"/>
    <x v="0"/>
  </r>
  <r>
    <x v="27"/>
    <x v="0"/>
    <x v="242"/>
    <n v="88"/>
    <x v="0"/>
  </r>
  <r>
    <x v="27"/>
    <x v="0"/>
    <x v="43"/>
    <n v="9"/>
    <x v="0"/>
  </r>
  <r>
    <x v="27"/>
    <x v="0"/>
    <x v="196"/>
    <n v="1"/>
    <x v="0"/>
  </r>
  <r>
    <x v="27"/>
    <x v="0"/>
    <x v="38"/>
    <n v="3378"/>
    <x v="1"/>
  </r>
  <r>
    <x v="27"/>
    <x v="0"/>
    <x v="62"/>
    <n v="593"/>
    <x v="1"/>
  </r>
  <r>
    <x v="27"/>
    <x v="0"/>
    <x v="29"/>
    <n v="3"/>
    <x v="0"/>
  </r>
  <r>
    <x v="27"/>
    <x v="0"/>
    <x v="257"/>
    <n v="125"/>
    <x v="1"/>
  </r>
  <r>
    <x v="27"/>
    <x v="0"/>
    <x v="37"/>
    <n v="282"/>
    <x v="1"/>
  </r>
  <r>
    <x v="27"/>
    <x v="0"/>
    <x v="21"/>
    <n v="3047"/>
    <x v="1"/>
  </r>
  <r>
    <x v="27"/>
    <x v="0"/>
    <x v="123"/>
    <n v="2121"/>
    <x v="1"/>
  </r>
  <r>
    <x v="27"/>
    <x v="0"/>
    <x v="120"/>
    <n v="56"/>
    <x v="0"/>
  </r>
  <r>
    <x v="27"/>
    <x v="0"/>
    <x v="61"/>
    <n v="167"/>
    <x v="1"/>
  </r>
  <r>
    <x v="27"/>
    <x v="0"/>
    <x v="247"/>
    <n v="1276"/>
    <x v="1"/>
  </r>
  <r>
    <x v="27"/>
    <x v="0"/>
    <x v="19"/>
    <n v="207"/>
    <x v="1"/>
  </r>
  <r>
    <x v="27"/>
    <x v="0"/>
    <x v="183"/>
    <n v="3440"/>
    <x v="1"/>
  </r>
  <r>
    <x v="27"/>
    <x v="0"/>
    <x v="9"/>
    <n v="1"/>
    <x v="0"/>
  </r>
  <r>
    <x v="27"/>
    <x v="0"/>
    <x v="27"/>
    <n v="2458"/>
    <x v="1"/>
  </r>
  <r>
    <x v="27"/>
    <x v="0"/>
    <x v="65"/>
    <n v="485"/>
    <x v="1"/>
  </r>
  <r>
    <x v="27"/>
    <x v="0"/>
    <x v="79"/>
    <n v="2558"/>
    <x v="1"/>
  </r>
  <r>
    <x v="27"/>
    <x v="0"/>
    <x v="199"/>
    <n v="3363"/>
    <x v="1"/>
  </r>
  <r>
    <x v="27"/>
    <x v="0"/>
    <x v="115"/>
    <n v="5024"/>
    <x v="1"/>
  </r>
  <r>
    <x v="27"/>
    <x v="0"/>
    <x v="50"/>
    <n v="321"/>
    <x v="1"/>
  </r>
  <r>
    <x v="27"/>
    <x v="0"/>
    <x v="131"/>
    <n v="6"/>
    <x v="0"/>
  </r>
  <r>
    <x v="27"/>
    <x v="0"/>
    <x v="175"/>
    <n v="2"/>
    <x v="0"/>
  </r>
  <r>
    <x v="27"/>
    <x v="0"/>
    <x v="116"/>
    <n v="2310"/>
    <x v="1"/>
  </r>
  <r>
    <x v="27"/>
    <x v="0"/>
    <x v="98"/>
    <n v="19"/>
    <x v="0"/>
  </r>
  <r>
    <x v="28"/>
    <x v="0"/>
    <x v="95"/>
    <n v="2987"/>
    <x v="1"/>
  </r>
  <r>
    <x v="28"/>
    <x v="0"/>
    <x v="61"/>
    <n v="167"/>
    <x v="1"/>
  </r>
  <r>
    <x v="28"/>
    <x v="0"/>
    <x v="152"/>
    <n v="3037"/>
    <x v="1"/>
  </r>
  <r>
    <x v="28"/>
    <x v="0"/>
    <x v="196"/>
    <n v="1"/>
    <x v="0"/>
  </r>
  <r>
    <x v="28"/>
    <x v="0"/>
    <x v="198"/>
    <n v="3257"/>
    <x v="1"/>
  </r>
  <r>
    <x v="28"/>
    <x v="0"/>
    <x v="137"/>
    <n v="1583"/>
    <x v="1"/>
  </r>
  <r>
    <x v="28"/>
    <x v="0"/>
    <x v="107"/>
    <n v="4"/>
    <x v="0"/>
  </r>
  <r>
    <x v="28"/>
    <x v="0"/>
    <x v="55"/>
    <n v="1"/>
    <x v="0"/>
  </r>
  <r>
    <x v="28"/>
    <x v="0"/>
    <x v="135"/>
    <n v="2185"/>
    <x v="1"/>
  </r>
  <r>
    <x v="28"/>
    <x v="0"/>
    <x v="125"/>
    <n v="30"/>
    <x v="0"/>
  </r>
  <r>
    <x v="28"/>
    <x v="0"/>
    <x v="167"/>
    <n v="2652"/>
    <x v="1"/>
  </r>
  <r>
    <x v="28"/>
    <x v="0"/>
    <x v="4"/>
    <n v="4"/>
    <x v="0"/>
  </r>
  <r>
    <x v="28"/>
    <x v="0"/>
    <x v="256"/>
    <n v="1808"/>
    <x v="1"/>
  </r>
  <r>
    <x v="28"/>
    <x v="0"/>
    <x v="10"/>
    <n v="666"/>
    <x v="1"/>
  </r>
  <r>
    <x v="28"/>
    <x v="0"/>
    <x v="236"/>
    <n v="360"/>
    <x v="1"/>
  </r>
  <r>
    <x v="28"/>
    <x v="0"/>
    <x v="118"/>
    <n v="2650"/>
    <x v="1"/>
  </r>
  <r>
    <x v="28"/>
    <x v="0"/>
    <x v="74"/>
    <n v="2358"/>
    <x v="1"/>
  </r>
  <r>
    <x v="28"/>
    <x v="0"/>
    <x v="126"/>
    <n v="67"/>
    <x v="0"/>
  </r>
  <r>
    <x v="28"/>
    <x v="0"/>
    <x v="64"/>
    <n v="341"/>
    <x v="1"/>
  </r>
  <r>
    <x v="28"/>
    <x v="0"/>
    <x v="222"/>
    <n v="1213"/>
    <x v="1"/>
  </r>
  <r>
    <x v="28"/>
    <x v="0"/>
    <x v="19"/>
    <n v="209"/>
    <x v="1"/>
  </r>
  <r>
    <x v="28"/>
    <x v="0"/>
    <x v="35"/>
    <n v="30"/>
    <x v="0"/>
  </r>
  <r>
    <x v="28"/>
    <x v="0"/>
    <x v="184"/>
    <n v="2495"/>
    <x v="1"/>
  </r>
  <r>
    <x v="28"/>
    <x v="0"/>
    <x v="205"/>
    <n v="3"/>
    <x v="0"/>
  </r>
  <r>
    <x v="28"/>
    <x v="0"/>
    <x v="67"/>
    <n v="1"/>
    <x v="0"/>
  </r>
  <r>
    <x v="28"/>
    <x v="0"/>
    <x v="173"/>
    <n v="1"/>
    <x v="0"/>
  </r>
  <r>
    <x v="28"/>
    <x v="0"/>
    <x v="183"/>
    <n v="3403"/>
    <x v="1"/>
  </r>
  <r>
    <x v="28"/>
    <x v="0"/>
    <x v="94"/>
    <n v="278"/>
    <x v="1"/>
  </r>
  <r>
    <x v="28"/>
    <x v="0"/>
    <x v="189"/>
    <n v="3122"/>
    <x v="1"/>
  </r>
  <r>
    <x v="28"/>
    <x v="0"/>
    <x v="124"/>
    <n v="721"/>
    <x v="1"/>
  </r>
  <r>
    <x v="28"/>
    <x v="0"/>
    <x v="99"/>
    <n v="2449"/>
    <x v="1"/>
  </r>
  <r>
    <x v="28"/>
    <x v="0"/>
    <x v="1"/>
    <n v="27"/>
    <x v="0"/>
  </r>
  <r>
    <x v="28"/>
    <x v="0"/>
    <x v="117"/>
    <n v="2488"/>
    <x v="1"/>
  </r>
  <r>
    <x v="28"/>
    <x v="0"/>
    <x v="199"/>
    <n v="3337"/>
    <x v="1"/>
  </r>
  <r>
    <x v="28"/>
    <x v="0"/>
    <x v="58"/>
    <n v="3230"/>
    <x v="1"/>
  </r>
  <r>
    <x v="28"/>
    <x v="0"/>
    <x v="110"/>
    <n v="4"/>
    <x v="0"/>
  </r>
  <r>
    <x v="28"/>
    <x v="0"/>
    <x v="93"/>
    <n v="411"/>
    <x v="1"/>
  </r>
  <r>
    <x v="28"/>
    <x v="0"/>
    <x v="14"/>
    <n v="2"/>
    <x v="0"/>
  </r>
  <r>
    <x v="28"/>
    <x v="0"/>
    <x v="25"/>
    <n v="9"/>
    <x v="0"/>
  </r>
  <r>
    <x v="28"/>
    <x v="0"/>
    <x v="32"/>
    <n v="2260"/>
    <x v="1"/>
  </r>
  <r>
    <x v="28"/>
    <x v="0"/>
    <x v="86"/>
    <n v="3165"/>
    <x v="1"/>
  </r>
  <r>
    <x v="28"/>
    <x v="0"/>
    <x v="179"/>
    <n v="5"/>
    <x v="0"/>
  </r>
  <r>
    <x v="28"/>
    <x v="0"/>
    <x v="170"/>
    <n v="2799"/>
    <x v="1"/>
  </r>
  <r>
    <x v="28"/>
    <x v="0"/>
    <x v="211"/>
    <n v="4"/>
    <x v="0"/>
  </r>
  <r>
    <x v="28"/>
    <x v="0"/>
    <x v="120"/>
    <n v="53"/>
    <x v="0"/>
  </r>
  <r>
    <x v="28"/>
    <x v="0"/>
    <x v="143"/>
    <n v="3600"/>
    <x v="1"/>
  </r>
  <r>
    <x v="28"/>
    <x v="0"/>
    <x v="5"/>
    <n v="1"/>
    <x v="0"/>
  </r>
  <r>
    <x v="28"/>
    <x v="0"/>
    <x v="21"/>
    <n v="3035"/>
    <x v="1"/>
  </r>
  <r>
    <x v="28"/>
    <x v="0"/>
    <x v="0"/>
    <n v="45"/>
    <x v="0"/>
  </r>
  <r>
    <x v="28"/>
    <x v="0"/>
    <x v="85"/>
    <n v="348"/>
    <x v="1"/>
  </r>
  <r>
    <x v="28"/>
    <x v="0"/>
    <x v="250"/>
    <n v="104"/>
    <x v="1"/>
  </r>
  <r>
    <x v="28"/>
    <x v="0"/>
    <x v="113"/>
    <n v="2455"/>
    <x v="1"/>
  </r>
  <r>
    <x v="28"/>
    <x v="0"/>
    <x v="121"/>
    <n v="2470"/>
    <x v="1"/>
  </r>
  <r>
    <x v="28"/>
    <x v="0"/>
    <x v="134"/>
    <n v="655"/>
    <x v="1"/>
  </r>
  <r>
    <x v="28"/>
    <x v="0"/>
    <x v="237"/>
    <n v="3"/>
    <x v="0"/>
  </r>
  <r>
    <x v="28"/>
    <x v="0"/>
    <x v="13"/>
    <n v="1"/>
    <x v="0"/>
  </r>
  <r>
    <x v="28"/>
    <x v="0"/>
    <x v="253"/>
    <n v="3129"/>
    <x v="1"/>
  </r>
  <r>
    <x v="28"/>
    <x v="0"/>
    <x v="231"/>
    <n v="3"/>
    <x v="0"/>
  </r>
  <r>
    <x v="28"/>
    <x v="0"/>
    <x v="89"/>
    <n v="1943"/>
    <x v="1"/>
  </r>
  <r>
    <x v="28"/>
    <x v="0"/>
    <x v="249"/>
    <n v="33"/>
    <x v="0"/>
  </r>
  <r>
    <x v="28"/>
    <x v="0"/>
    <x v="97"/>
    <n v="374"/>
    <x v="1"/>
  </r>
  <r>
    <x v="28"/>
    <x v="0"/>
    <x v="191"/>
    <n v="2102"/>
    <x v="1"/>
  </r>
  <r>
    <x v="28"/>
    <x v="0"/>
    <x v="221"/>
    <n v="11"/>
    <x v="0"/>
  </r>
  <r>
    <x v="28"/>
    <x v="0"/>
    <x v="195"/>
    <n v="3"/>
    <x v="0"/>
  </r>
  <r>
    <x v="28"/>
    <x v="0"/>
    <x v="22"/>
    <n v="3602"/>
    <x v="1"/>
  </r>
  <r>
    <x v="28"/>
    <x v="0"/>
    <x v="127"/>
    <n v="3587"/>
    <x v="1"/>
  </r>
  <r>
    <x v="28"/>
    <x v="0"/>
    <x v="157"/>
    <n v="3"/>
    <x v="0"/>
  </r>
  <r>
    <x v="28"/>
    <x v="0"/>
    <x v="80"/>
    <n v="1"/>
    <x v="0"/>
  </r>
  <r>
    <x v="28"/>
    <x v="0"/>
    <x v="38"/>
    <n v="3377"/>
    <x v="1"/>
  </r>
  <r>
    <x v="28"/>
    <x v="0"/>
    <x v="241"/>
    <n v="1"/>
    <x v="0"/>
  </r>
  <r>
    <x v="28"/>
    <x v="0"/>
    <x v="41"/>
    <n v="1"/>
    <x v="0"/>
  </r>
  <r>
    <x v="28"/>
    <x v="0"/>
    <x v="136"/>
    <n v="3195"/>
    <x v="1"/>
  </r>
  <r>
    <x v="28"/>
    <x v="0"/>
    <x v="29"/>
    <n v="2"/>
    <x v="0"/>
  </r>
  <r>
    <x v="28"/>
    <x v="0"/>
    <x v="11"/>
    <n v="8"/>
    <x v="0"/>
  </r>
  <r>
    <x v="28"/>
    <x v="0"/>
    <x v="82"/>
    <n v="7"/>
    <x v="0"/>
  </r>
  <r>
    <x v="28"/>
    <x v="0"/>
    <x v="244"/>
    <n v="82"/>
    <x v="0"/>
  </r>
  <r>
    <x v="28"/>
    <x v="0"/>
    <x v="220"/>
    <n v="4025"/>
    <x v="1"/>
  </r>
  <r>
    <x v="28"/>
    <x v="0"/>
    <x v="24"/>
    <n v="4"/>
    <x v="0"/>
  </r>
  <r>
    <x v="28"/>
    <x v="0"/>
    <x v="70"/>
    <n v="6"/>
    <x v="0"/>
  </r>
  <r>
    <x v="28"/>
    <x v="0"/>
    <x v="62"/>
    <n v="589"/>
    <x v="1"/>
  </r>
  <r>
    <x v="28"/>
    <x v="0"/>
    <x v="225"/>
    <n v="2"/>
    <x v="0"/>
  </r>
  <r>
    <x v="28"/>
    <x v="0"/>
    <x v="233"/>
    <n v="1"/>
    <x v="0"/>
  </r>
  <r>
    <x v="28"/>
    <x v="0"/>
    <x v="232"/>
    <n v="2139"/>
    <x v="1"/>
  </r>
  <r>
    <x v="28"/>
    <x v="0"/>
    <x v="23"/>
    <n v="10"/>
    <x v="0"/>
  </r>
  <r>
    <x v="28"/>
    <x v="0"/>
    <x v="245"/>
    <n v="3419"/>
    <x v="1"/>
  </r>
  <r>
    <x v="28"/>
    <x v="0"/>
    <x v="172"/>
    <n v="2788"/>
    <x v="1"/>
  </r>
  <r>
    <x v="28"/>
    <x v="0"/>
    <x v="132"/>
    <n v="5"/>
    <x v="0"/>
  </r>
  <r>
    <x v="28"/>
    <x v="0"/>
    <x v="162"/>
    <n v="7"/>
    <x v="0"/>
  </r>
  <r>
    <x v="28"/>
    <x v="0"/>
    <x v="84"/>
    <n v="13"/>
    <x v="0"/>
  </r>
  <r>
    <x v="28"/>
    <x v="0"/>
    <x v="116"/>
    <n v="2282"/>
    <x v="1"/>
  </r>
  <r>
    <x v="28"/>
    <x v="0"/>
    <x v="71"/>
    <n v="3429"/>
    <x v="1"/>
  </r>
  <r>
    <x v="28"/>
    <x v="0"/>
    <x v="79"/>
    <n v="2562"/>
    <x v="1"/>
  </r>
  <r>
    <x v="28"/>
    <x v="0"/>
    <x v="78"/>
    <n v="3"/>
    <x v="0"/>
  </r>
  <r>
    <x v="28"/>
    <x v="0"/>
    <x v="53"/>
    <n v="128"/>
    <x v="1"/>
  </r>
  <r>
    <x v="28"/>
    <x v="0"/>
    <x v="169"/>
    <n v="2"/>
    <x v="0"/>
  </r>
  <r>
    <x v="28"/>
    <x v="0"/>
    <x v="197"/>
    <n v="2394"/>
    <x v="1"/>
  </r>
  <r>
    <x v="28"/>
    <x v="0"/>
    <x v="259"/>
    <n v="1"/>
    <x v="0"/>
  </r>
  <r>
    <x v="28"/>
    <x v="0"/>
    <x v="59"/>
    <n v="46"/>
    <x v="0"/>
  </r>
  <r>
    <x v="28"/>
    <x v="0"/>
    <x v="204"/>
    <n v="1"/>
    <x v="0"/>
  </r>
  <r>
    <x v="28"/>
    <x v="0"/>
    <x v="258"/>
    <n v="2818"/>
    <x v="1"/>
  </r>
  <r>
    <x v="28"/>
    <x v="0"/>
    <x v="260"/>
    <n v="38"/>
    <x v="0"/>
  </r>
  <r>
    <x v="28"/>
    <x v="0"/>
    <x v="91"/>
    <n v="11"/>
    <x v="0"/>
  </r>
  <r>
    <x v="28"/>
    <x v="0"/>
    <x v="20"/>
    <n v="7"/>
    <x v="0"/>
  </r>
  <r>
    <x v="28"/>
    <x v="0"/>
    <x v="252"/>
    <n v="2679"/>
    <x v="1"/>
  </r>
  <r>
    <x v="28"/>
    <x v="0"/>
    <x v="214"/>
    <n v="2"/>
    <x v="0"/>
  </r>
  <r>
    <x v="28"/>
    <x v="0"/>
    <x v="2"/>
    <n v="2561"/>
    <x v="1"/>
  </r>
  <r>
    <x v="28"/>
    <x v="0"/>
    <x v="240"/>
    <n v="2196"/>
    <x v="1"/>
  </r>
  <r>
    <x v="28"/>
    <x v="0"/>
    <x v="142"/>
    <n v="2367"/>
    <x v="1"/>
  </r>
  <r>
    <x v="28"/>
    <x v="0"/>
    <x v="154"/>
    <n v="1483"/>
    <x v="1"/>
  </r>
  <r>
    <x v="28"/>
    <x v="0"/>
    <x v="37"/>
    <n v="283"/>
    <x v="1"/>
  </r>
  <r>
    <x v="28"/>
    <x v="0"/>
    <x v="115"/>
    <n v="5014"/>
    <x v="1"/>
  </r>
  <r>
    <x v="28"/>
    <x v="0"/>
    <x v="44"/>
    <n v="2977"/>
    <x v="1"/>
  </r>
  <r>
    <x v="28"/>
    <x v="0"/>
    <x v="83"/>
    <n v="4"/>
    <x v="0"/>
  </r>
  <r>
    <x v="28"/>
    <x v="0"/>
    <x v="171"/>
    <n v="2825"/>
    <x v="1"/>
  </r>
  <r>
    <x v="28"/>
    <x v="0"/>
    <x v="123"/>
    <n v="2123"/>
    <x v="1"/>
  </r>
  <r>
    <x v="28"/>
    <x v="0"/>
    <x v="175"/>
    <n v="2"/>
    <x v="0"/>
  </r>
  <r>
    <x v="28"/>
    <x v="0"/>
    <x v="50"/>
    <n v="321"/>
    <x v="1"/>
  </r>
  <r>
    <x v="28"/>
    <x v="0"/>
    <x v="190"/>
    <n v="1666"/>
    <x v="1"/>
  </r>
  <r>
    <x v="28"/>
    <x v="0"/>
    <x v="57"/>
    <n v="10"/>
    <x v="0"/>
  </r>
  <r>
    <x v="28"/>
    <x v="0"/>
    <x v="159"/>
    <n v="1"/>
    <x v="0"/>
  </r>
  <r>
    <x v="28"/>
    <x v="0"/>
    <x v="27"/>
    <n v="2438"/>
    <x v="1"/>
  </r>
  <r>
    <x v="28"/>
    <x v="0"/>
    <x v="88"/>
    <n v="3423"/>
    <x v="1"/>
  </r>
  <r>
    <x v="28"/>
    <x v="0"/>
    <x v="15"/>
    <n v="1"/>
    <x v="0"/>
  </r>
  <r>
    <x v="28"/>
    <x v="0"/>
    <x v="192"/>
    <n v="2672"/>
    <x v="1"/>
  </r>
  <r>
    <x v="28"/>
    <x v="0"/>
    <x v="235"/>
    <n v="8"/>
    <x v="0"/>
  </r>
  <r>
    <x v="28"/>
    <x v="0"/>
    <x v="114"/>
    <n v="120"/>
    <x v="1"/>
  </r>
  <r>
    <x v="28"/>
    <x v="0"/>
    <x v="218"/>
    <n v="10"/>
    <x v="0"/>
  </r>
  <r>
    <x v="28"/>
    <x v="0"/>
    <x v="73"/>
    <n v="681"/>
    <x v="1"/>
  </r>
  <r>
    <x v="28"/>
    <x v="0"/>
    <x v="131"/>
    <n v="3273"/>
    <x v="1"/>
  </r>
  <r>
    <x v="28"/>
    <x v="0"/>
    <x v="92"/>
    <n v="6"/>
    <x v="0"/>
  </r>
  <r>
    <x v="28"/>
    <x v="0"/>
    <x v="75"/>
    <n v="141"/>
    <x v="1"/>
  </r>
  <r>
    <x v="28"/>
    <x v="0"/>
    <x v="43"/>
    <n v="9"/>
    <x v="0"/>
  </r>
  <r>
    <x v="28"/>
    <x v="0"/>
    <x v="144"/>
    <n v="183"/>
    <x v="1"/>
  </r>
  <r>
    <x v="28"/>
    <x v="0"/>
    <x v="28"/>
    <n v="2435"/>
    <x v="1"/>
  </r>
  <r>
    <x v="28"/>
    <x v="0"/>
    <x v="168"/>
    <n v="1905"/>
    <x v="1"/>
  </r>
  <r>
    <x v="28"/>
    <x v="0"/>
    <x v="30"/>
    <n v="1098"/>
    <x v="1"/>
  </r>
  <r>
    <x v="28"/>
    <x v="0"/>
    <x v="52"/>
    <n v="2570"/>
    <x v="1"/>
  </r>
  <r>
    <x v="28"/>
    <x v="0"/>
    <x v="104"/>
    <n v="2"/>
    <x v="0"/>
  </r>
  <r>
    <x v="28"/>
    <x v="0"/>
    <x v="17"/>
    <n v="871"/>
    <x v="1"/>
  </r>
  <r>
    <x v="28"/>
    <x v="0"/>
    <x v="226"/>
    <n v="303"/>
    <x v="1"/>
  </r>
  <r>
    <x v="28"/>
    <x v="0"/>
    <x v="267"/>
    <n v="1"/>
    <x v="0"/>
  </r>
  <r>
    <x v="28"/>
    <x v="0"/>
    <x v="66"/>
    <n v="3723"/>
    <x v="1"/>
  </r>
  <r>
    <x v="28"/>
    <x v="0"/>
    <x v="48"/>
    <n v="1"/>
    <x v="0"/>
  </r>
  <r>
    <x v="28"/>
    <x v="0"/>
    <x v="238"/>
    <n v="1"/>
    <x v="0"/>
  </r>
  <r>
    <x v="28"/>
    <x v="0"/>
    <x v="227"/>
    <n v="2"/>
    <x v="0"/>
  </r>
  <r>
    <x v="28"/>
    <x v="0"/>
    <x v="109"/>
    <n v="3"/>
    <x v="0"/>
  </r>
  <r>
    <x v="28"/>
    <x v="0"/>
    <x v="69"/>
    <n v="2521"/>
    <x v="1"/>
  </r>
  <r>
    <x v="28"/>
    <x v="0"/>
    <x v="160"/>
    <n v="2"/>
    <x v="0"/>
  </r>
  <r>
    <x v="28"/>
    <x v="0"/>
    <x v="46"/>
    <n v="2386"/>
    <x v="1"/>
  </r>
  <r>
    <x v="28"/>
    <x v="0"/>
    <x v="146"/>
    <n v="3029"/>
    <x v="1"/>
  </r>
  <r>
    <x v="28"/>
    <x v="0"/>
    <x v="3"/>
    <n v="879"/>
    <x v="1"/>
  </r>
  <r>
    <x v="28"/>
    <x v="0"/>
    <x v="68"/>
    <n v="1"/>
    <x v="0"/>
  </r>
  <r>
    <x v="28"/>
    <x v="0"/>
    <x v="141"/>
    <n v="2015"/>
    <x v="1"/>
  </r>
  <r>
    <x v="28"/>
    <x v="0"/>
    <x v="140"/>
    <n v="2489"/>
    <x v="1"/>
  </r>
  <r>
    <x v="28"/>
    <x v="0"/>
    <x v="103"/>
    <n v="25"/>
    <x v="0"/>
  </r>
  <r>
    <x v="28"/>
    <x v="0"/>
    <x v="87"/>
    <n v="2565"/>
    <x v="1"/>
  </r>
  <r>
    <x v="28"/>
    <x v="0"/>
    <x v="176"/>
    <n v="1"/>
    <x v="0"/>
  </r>
  <r>
    <x v="28"/>
    <x v="0"/>
    <x v="147"/>
    <n v="643"/>
    <x v="1"/>
  </r>
  <r>
    <x v="28"/>
    <x v="0"/>
    <x v="177"/>
    <n v="6"/>
    <x v="0"/>
  </r>
  <r>
    <x v="28"/>
    <x v="0"/>
    <x v="12"/>
    <n v="9"/>
    <x v="0"/>
  </r>
  <r>
    <x v="28"/>
    <x v="0"/>
    <x v="8"/>
    <n v="2198"/>
    <x v="1"/>
  </r>
  <r>
    <x v="28"/>
    <x v="0"/>
    <x v="153"/>
    <n v="2149"/>
    <x v="1"/>
  </r>
  <r>
    <x v="28"/>
    <x v="0"/>
    <x v="212"/>
    <n v="4"/>
    <x v="0"/>
  </r>
  <r>
    <x v="28"/>
    <x v="0"/>
    <x v="263"/>
    <n v="27"/>
    <x v="0"/>
  </r>
  <r>
    <x v="28"/>
    <x v="0"/>
    <x v="105"/>
    <n v="521"/>
    <x v="1"/>
  </r>
  <r>
    <x v="28"/>
    <x v="0"/>
    <x v="18"/>
    <n v="1"/>
    <x v="0"/>
  </r>
  <r>
    <x v="28"/>
    <x v="0"/>
    <x v="229"/>
    <n v="947"/>
    <x v="1"/>
  </r>
  <r>
    <x v="28"/>
    <x v="0"/>
    <x v="246"/>
    <n v="2453"/>
    <x v="1"/>
  </r>
  <r>
    <x v="28"/>
    <x v="0"/>
    <x v="90"/>
    <n v="928"/>
    <x v="1"/>
  </r>
  <r>
    <x v="28"/>
    <x v="0"/>
    <x v="247"/>
    <n v="92"/>
    <x v="0"/>
  </r>
  <r>
    <x v="28"/>
    <x v="0"/>
    <x v="239"/>
    <n v="2924"/>
    <x v="1"/>
  </r>
  <r>
    <x v="28"/>
    <x v="0"/>
    <x v="181"/>
    <n v="805"/>
    <x v="1"/>
  </r>
  <r>
    <x v="28"/>
    <x v="0"/>
    <x v="164"/>
    <n v="110"/>
    <x v="1"/>
  </r>
  <r>
    <x v="28"/>
    <x v="0"/>
    <x v="165"/>
    <n v="1"/>
    <x v="0"/>
  </r>
  <r>
    <x v="28"/>
    <x v="0"/>
    <x v="51"/>
    <n v="2302"/>
    <x v="1"/>
  </r>
  <r>
    <x v="28"/>
    <x v="0"/>
    <x v="158"/>
    <n v="2"/>
    <x v="0"/>
  </r>
  <r>
    <x v="28"/>
    <x v="0"/>
    <x v="45"/>
    <n v="10"/>
    <x v="0"/>
  </r>
  <r>
    <x v="28"/>
    <x v="0"/>
    <x v="257"/>
    <n v="91"/>
    <x v="0"/>
  </r>
  <r>
    <x v="28"/>
    <x v="0"/>
    <x v="76"/>
    <n v="5"/>
    <x v="0"/>
  </r>
  <r>
    <x v="28"/>
    <x v="0"/>
    <x v="133"/>
    <n v="6"/>
    <x v="0"/>
  </r>
  <r>
    <x v="28"/>
    <x v="0"/>
    <x v="139"/>
    <n v="2910"/>
    <x v="1"/>
  </r>
  <r>
    <x v="28"/>
    <x v="0"/>
    <x v="254"/>
    <n v="44"/>
    <x v="0"/>
  </r>
  <r>
    <x v="28"/>
    <x v="0"/>
    <x v="248"/>
    <n v="3659"/>
    <x v="1"/>
  </r>
  <r>
    <x v="28"/>
    <x v="0"/>
    <x v="65"/>
    <n v="483"/>
    <x v="1"/>
  </r>
  <r>
    <x v="28"/>
    <x v="0"/>
    <x v="63"/>
    <n v="797"/>
    <x v="1"/>
  </r>
  <r>
    <x v="28"/>
    <x v="0"/>
    <x v="47"/>
    <n v="589"/>
    <x v="1"/>
  </r>
  <r>
    <x v="28"/>
    <x v="0"/>
    <x v="9"/>
    <n v="1"/>
    <x v="0"/>
  </r>
  <r>
    <x v="28"/>
    <x v="0"/>
    <x v="98"/>
    <n v="20"/>
    <x v="0"/>
  </r>
  <r>
    <x v="28"/>
    <x v="0"/>
    <x v="111"/>
    <n v="2469"/>
    <x v="1"/>
  </r>
  <r>
    <x v="28"/>
    <x v="0"/>
    <x v="188"/>
    <n v="2567"/>
    <x v="1"/>
  </r>
  <r>
    <x v="28"/>
    <x v="0"/>
    <x v="185"/>
    <n v="3170"/>
    <x v="1"/>
  </r>
  <r>
    <x v="28"/>
    <x v="0"/>
    <x v="102"/>
    <n v="2891"/>
    <x v="1"/>
  </r>
  <r>
    <x v="28"/>
    <x v="0"/>
    <x v="182"/>
    <n v="2382"/>
    <x v="1"/>
  </r>
  <r>
    <x v="28"/>
    <x v="0"/>
    <x v="16"/>
    <n v="1"/>
    <x v="0"/>
  </r>
  <r>
    <x v="28"/>
    <x v="0"/>
    <x v="186"/>
    <n v="1695"/>
    <x v="1"/>
  </r>
  <r>
    <x v="28"/>
    <x v="0"/>
    <x v="234"/>
    <n v="1484"/>
    <x v="1"/>
  </r>
  <r>
    <x v="28"/>
    <x v="0"/>
    <x v="7"/>
    <n v="1010"/>
    <x v="1"/>
  </r>
  <r>
    <x v="28"/>
    <x v="0"/>
    <x v="243"/>
    <n v="193"/>
    <x v="1"/>
  </r>
  <r>
    <x v="28"/>
    <x v="0"/>
    <x v="255"/>
    <n v="1"/>
    <x v="0"/>
  </r>
  <r>
    <x v="28"/>
    <x v="0"/>
    <x v="187"/>
    <n v="1948"/>
    <x v="1"/>
  </r>
  <r>
    <x v="28"/>
    <x v="0"/>
    <x v="150"/>
    <n v="3122"/>
    <x v="1"/>
  </r>
  <r>
    <x v="28"/>
    <x v="0"/>
    <x v="242"/>
    <n v="80"/>
    <x v="0"/>
  </r>
  <r>
    <x v="28"/>
    <x v="0"/>
    <x v="203"/>
    <n v="1"/>
    <x v="0"/>
  </r>
  <r>
    <x v="28"/>
    <x v="0"/>
    <x v="264"/>
    <n v="1"/>
    <x v="0"/>
  </r>
  <r>
    <x v="28"/>
    <x v="0"/>
    <x v="193"/>
    <n v="1409"/>
    <x v="1"/>
  </r>
  <r>
    <x v="28"/>
    <x v="0"/>
    <x v="148"/>
    <n v="3194"/>
    <x v="1"/>
  </r>
  <r>
    <x v="28"/>
    <x v="0"/>
    <x v="129"/>
    <n v="967"/>
    <x v="1"/>
  </r>
  <r>
    <x v="28"/>
    <x v="0"/>
    <x v="207"/>
    <n v="2"/>
    <x v="0"/>
  </r>
  <r>
    <x v="28"/>
    <x v="0"/>
    <x v="54"/>
    <n v="8"/>
    <x v="0"/>
  </r>
  <r>
    <x v="28"/>
    <x v="0"/>
    <x v="31"/>
    <n v="8"/>
    <x v="0"/>
  </r>
  <r>
    <x v="28"/>
    <x v="0"/>
    <x v="96"/>
    <n v="47"/>
    <x v="0"/>
  </r>
  <r>
    <x v="28"/>
    <x v="0"/>
    <x v="251"/>
    <n v="48"/>
    <x v="0"/>
  </r>
  <r>
    <x v="28"/>
    <x v="0"/>
    <x v="33"/>
    <n v="483"/>
    <x v="1"/>
  </r>
  <r>
    <x v="28"/>
    <x v="0"/>
    <x v="77"/>
    <n v="4"/>
    <x v="0"/>
  </r>
  <r>
    <x v="28"/>
    <x v="0"/>
    <x v="128"/>
    <n v="1"/>
    <x v="0"/>
  </r>
  <r>
    <x v="29"/>
    <x v="0"/>
    <x v="183"/>
    <n v="3414"/>
    <x v="1"/>
  </r>
  <r>
    <x v="29"/>
    <x v="0"/>
    <x v="126"/>
    <n v="75"/>
    <x v="0"/>
  </r>
  <r>
    <x v="29"/>
    <x v="0"/>
    <x v="153"/>
    <n v="19"/>
    <x v="0"/>
  </r>
  <r>
    <x v="29"/>
    <x v="0"/>
    <x v="257"/>
    <n v="136"/>
    <x v="1"/>
  </r>
  <r>
    <x v="29"/>
    <x v="0"/>
    <x v="131"/>
    <n v="6"/>
    <x v="0"/>
  </r>
  <r>
    <x v="29"/>
    <x v="0"/>
    <x v="7"/>
    <n v="1010"/>
    <x v="1"/>
  </r>
  <r>
    <x v="29"/>
    <x v="0"/>
    <x v="67"/>
    <n v="1"/>
    <x v="0"/>
  </r>
  <r>
    <x v="29"/>
    <x v="0"/>
    <x v="89"/>
    <n v="1946"/>
    <x v="1"/>
  </r>
  <r>
    <x v="29"/>
    <x v="0"/>
    <x v="88"/>
    <n v="3441"/>
    <x v="1"/>
  </r>
  <r>
    <x v="29"/>
    <x v="0"/>
    <x v="191"/>
    <n v="2124"/>
    <x v="1"/>
  </r>
  <r>
    <x v="29"/>
    <x v="0"/>
    <x v="252"/>
    <n v="2669"/>
    <x v="1"/>
  </r>
  <r>
    <x v="29"/>
    <x v="0"/>
    <x v="87"/>
    <n v="2536"/>
    <x v="1"/>
  </r>
  <r>
    <x v="29"/>
    <x v="0"/>
    <x v="265"/>
    <n v="1"/>
    <x v="0"/>
  </r>
  <r>
    <x v="29"/>
    <x v="0"/>
    <x v="9"/>
    <n v="1"/>
    <x v="0"/>
  </r>
  <r>
    <x v="29"/>
    <x v="0"/>
    <x v="30"/>
    <n v="1094"/>
    <x v="1"/>
  </r>
  <r>
    <x v="29"/>
    <x v="0"/>
    <x v="0"/>
    <n v="45"/>
    <x v="0"/>
  </r>
  <r>
    <x v="29"/>
    <x v="0"/>
    <x v="238"/>
    <n v="1"/>
    <x v="0"/>
  </r>
  <r>
    <x v="29"/>
    <x v="0"/>
    <x v="91"/>
    <n v="10"/>
    <x v="0"/>
  </r>
  <r>
    <x v="29"/>
    <x v="0"/>
    <x v="253"/>
    <n v="3249"/>
    <x v="1"/>
  </r>
  <r>
    <x v="29"/>
    <x v="0"/>
    <x v="181"/>
    <n v="791"/>
    <x v="1"/>
  </r>
  <r>
    <x v="29"/>
    <x v="0"/>
    <x v="268"/>
    <n v="6"/>
    <x v="0"/>
  </r>
  <r>
    <x v="29"/>
    <x v="0"/>
    <x v="251"/>
    <n v="708"/>
    <x v="1"/>
  </r>
  <r>
    <x v="29"/>
    <x v="0"/>
    <x v="77"/>
    <n v="4"/>
    <x v="0"/>
  </r>
  <r>
    <x v="29"/>
    <x v="0"/>
    <x v="5"/>
    <n v="1"/>
    <x v="0"/>
  </r>
  <r>
    <x v="29"/>
    <x v="0"/>
    <x v="51"/>
    <n v="2307"/>
    <x v="1"/>
  </r>
  <r>
    <x v="29"/>
    <x v="0"/>
    <x v="43"/>
    <n v="9"/>
    <x v="0"/>
  </r>
  <r>
    <x v="29"/>
    <x v="0"/>
    <x v="64"/>
    <n v="349"/>
    <x v="1"/>
  </r>
  <r>
    <x v="29"/>
    <x v="0"/>
    <x v="12"/>
    <n v="9"/>
    <x v="0"/>
  </r>
  <r>
    <x v="29"/>
    <x v="0"/>
    <x v="71"/>
    <n v="3425"/>
    <x v="1"/>
  </r>
  <r>
    <x v="29"/>
    <x v="0"/>
    <x v="212"/>
    <n v="4"/>
    <x v="0"/>
  </r>
  <r>
    <x v="29"/>
    <x v="0"/>
    <x v="247"/>
    <n v="1303"/>
    <x v="1"/>
  </r>
  <r>
    <x v="29"/>
    <x v="0"/>
    <x v="123"/>
    <n v="2128"/>
    <x v="1"/>
  </r>
  <r>
    <x v="29"/>
    <x v="0"/>
    <x v="232"/>
    <n v="2228"/>
    <x v="1"/>
  </r>
  <r>
    <x v="29"/>
    <x v="0"/>
    <x v="236"/>
    <n v="371"/>
    <x v="1"/>
  </r>
  <r>
    <x v="29"/>
    <x v="0"/>
    <x v="35"/>
    <n v="30"/>
    <x v="0"/>
  </r>
  <r>
    <x v="29"/>
    <x v="0"/>
    <x v="113"/>
    <n v="2110"/>
    <x v="1"/>
  </r>
  <r>
    <x v="29"/>
    <x v="0"/>
    <x v="242"/>
    <n v="94"/>
    <x v="0"/>
  </r>
  <r>
    <x v="29"/>
    <x v="0"/>
    <x v="177"/>
    <n v="6"/>
    <x v="0"/>
  </r>
  <r>
    <x v="29"/>
    <x v="0"/>
    <x v="11"/>
    <n v="8"/>
    <x v="0"/>
  </r>
  <r>
    <x v="29"/>
    <x v="0"/>
    <x v="44"/>
    <n v="2975"/>
    <x v="1"/>
  </r>
  <r>
    <x v="29"/>
    <x v="0"/>
    <x v="168"/>
    <n v="1907"/>
    <x v="1"/>
  </r>
  <r>
    <x v="29"/>
    <x v="0"/>
    <x v="94"/>
    <n v="272"/>
    <x v="1"/>
  </r>
  <r>
    <x v="29"/>
    <x v="0"/>
    <x v="237"/>
    <n v="3"/>
    <x v="0"/>
  </r>
  <r>
    <x v="29"/>
    <x v="0"/>
    <x v="75"/>
    <n v="146"/>
    <x v="1"/>
  </r>
  <r>
    <x v="29"/>
    <x v="0"/>
    <x v="59"/>
    <n v="47"/>
    <x v="0"/>
  </r>
  <r>
    <x v="29"/>
    <x v="0"/>
    <x v="102"/>
    <n v="2925"/>
    <x v="1"/>
  </r>
  <r>
    <x v="29"/>
    <x v="0"/>
    <x v="233"/>
    <n v="1"/>
    <x v="0"/>
  </r>
  <r>
    <x v="29"/>
    <x v="0"/>
    <x v="196"/>
    <n v="1"/>
    <x v="0"/>
  </r>
  <r>
    <x v="29"/>
    <x v="0"/>
    <x v="31"/>
    <n v="8"/>
    <x v="0"/>
  </r>
  <r>
    <x v="29"/>
    <x v="0"/>
    <x v="254"/>
    <n v="79"/>
    <x v="0"/>
  </r>
  <r>
    <x v="29"/>
    <x v="0"/>
    <x v="29"/>
    <n v="2"/>
    <x v="0"/>
  </r>
  <r>
    <x v="29"/>
    <x v="0"/>
    <x v="225"/>
    <n v="3"/>
    <x v="0"/>
  </r>
  <r>
    <x v="29"/>
    <x v="0"/>
    <x v="2"/>
    <n v="2594"/>
    <x v="1"/>
  </r>
  <r>
    <x v="29"/>
    <x v="0"/>
    <x v="239"/>
    <n v="2939"/>
    <x v="1"/>
  </r>
  <r>
    <x v="29"/>
    <x v="0"/>
    <x v="109"/>
    <n v="3"/>
    <x v="0"/>
  </r>
  <r>
    <x v="29"/>
    <x v="0"/>
    <x v="259"/>
    <n v="1"/>
    <x v="0"/>
  </r>
  <r>
    <x v="29"/>
    <x v="0"/>
    <x v="143"/>
    <n v="3546"/>
    <x v="1"/>
  </r>
  <r>
    <x v="29"/>
    <x v="0"/>
    <x v="128"/>
    <n v="2"/>
    <x v="0"/>
  </r>
  <r>
    <x v="29"/>
    <x v="0"/>
    <x v="62"/>
    <n v="586"/>
    <x v="1"/>
  </r>
  <r>
    <x v="29"/>
    <x v="0"/>
    <x v="248"/>
    <n v="3655"/>
    <x v="1"/>
  </r>
  <r>
    <x v="29"/>
    <x v="0"/>
    <x v="146"/>
    <n v="3021"/>
    <x v="1"/>
  </r>
  <r>
    <x v="29"/>
    <x v="0"/>
    <x v="10"/>
    <n v="661"/>
    <x v="1"/>
  </r>
  <r>
    <x v="29"/>
    <x v="0"/>
    <x v="3"/>
    <n v="882"/>
    <x v="1"/>
  </r>
  <r>
    <x v="29"/>
    <x v="0"/>
    <x v="68"/>
    <n v="4"/>
    <x v="0"/>
  </r>
  <r>
    <x v="29"/>
    <x v="0"/>
    <x v="269"/>
    <n v="1"/>
    <x v="0"/>
  </r>
  <r>
    <x v="29"/>
    <x v="0"/>
    <x v="47"/>
    <n v="634"/>
    <x v="1"/>
  </r>
  <r>
    <x v="29"/>
    <x v="0"/>
    <x v="13"/>
    <n v="1"/>
    <x v="0"/>
  </r>
  <r>
    <x v="29"/>
    <x v="0"/>
    <x v="241"/>
    <n v="1"/>
    <x v="0"/>
  </r>
  <r>
    <x v="29"/>
    <x v="0"/>
    <x v="171"/>
    <n v="652"/>
    <x v="1"/>
  </r>
  <r>
    <x v="29"/>
    <x v="0"/>
    <x v="184"/>
    <n v="2483"/>
    <x v="1"/>
  </r>
  <r>
    <x v="29"/>
    <x v="0"/>
    <x v="175"/>
    <n v="2"/>
    <x v="0"/>
  </r>
  <r>
    <x v="29"/>
    <x v="0"/>
    <x v="207"/>
    <n v="1"/>
    <x v="0"/>
  </r>
  <r>
    <x v="29"/>
    <x v="0"/>
    <x v="19"/>
    <n v="207"/>
    <x v="1"/>
  </r>
  <r>
    <x v="29"/>
    <x v="0"/>
    <x v="90"/>
    <n v="916"/>
    <x v="1"/>
  </r>
  <r>
    <x v="29"/>
    <x v="0"/>
    <x v="17"/>
    <n v="907"/>
    <x v="1"/>
  </r>
  <r>
    <x v="29"/>
    <x v="0"/>
    <x v="198"/>
    <n v="3221"/>
    <x v="1"/>
  </r>
  <r>
    <x v="29"/>
    <x v="0"/>
    <x v="220"/>
    <n v="3990"/>
    <x v="1"/>
  </r>
  <r>
    <x v="29"/>
    <x v="0"/>
    <x v="195"/>
    <n v="3"/>
    <x v="0"/>
  </r>
  <r>
    <x v="29"/>
    <x v="0"/>
    <x v="162"/>
    <n v="6"/>
    <x v="0"/>
  </r>
  <r>
    <x v="29"/>
    <x v="0"/>
    <x v="270"/>
    <n v="4"/>
    <x v="0"/>
  </r>
  <r>
    <x v="29"/>
    <x v="0"/>
    <x v="133"/>
    <n v="11"/>
    <x v="0"/>
  </r>
  <r>
    <x v="29"/>
    <x v="0"/>
    <x v="8"/>
    <n v="2217"/>
    <x v="1"/>
  </r>
  <r>
    <x v="29"/>
    <x v="0"/>
    <x v="83"/>
    <n v="3"/>
    <x v="0"/>
  </r>
  <r>
    <x v="29"/>
    <x v="0"/>
    <x v="157"/>
    <n v="3"/>
    <x v="0"/>
  </r>
  <r>
    <x v="29"/>
    <x v="0"/>
    <x v="179"/>
    <n v="8"/>
    <x v="0"/>
  </r>
  <r>
    <x v="29"/>
    <x v="0"/>
    <x v="57"/>
    <n v="10"/>
    <x v="0"/>
  </r>
  <r>
    <x v="29"/>
    <x v="0"/>
    <x v="234"/>
    <n v="1526"/>
    <x v="1"/>
  </r>
  <r>
    <x v="29"/>
    <x v="0"/>
    <x v="115"/>
    <n v="4992"/>
    <x v="1"/>
  </r>
  <r>
    <x v="29"/>
    <x v="0"/>
    <x v="1"/>
    <n v="27"/>
    <x v="0"/>
  </r>
  <r>
    <x v="29"/>
    <x v="0"/>
    <x v="61"/>
    <n v="166"/>
    <x v="1"/>
  </r>
  <r>
    <x v="29"/>
    <x v="0"/>
    <x v="46"/>
    <n v="2428"/>
    <x v="1"/>
  </r>
  <r>
    <x v="29"/>
    <x v="0"/>
    <x v="18"/>
    <n v="1"/>
    <x v="0"/>
  </r>
  <r>
    <x v="29"/>
    <x v="0"/>
    <x v="129"/>
    <n v="953"/>
    <x v="1"/>
  </r>
  <r>
    <x v="29"/>
    <x v="0"/>
    <x v="70"/>
    <n v="6"/>
    <x v="0"/>
  </r>
  <r>
    <x v="29"/>
    <x v="0"/>
    <x v="22"/>
    <n v="3645"/>
    <x v="1"/>
  </r>
  <r>
    <x v="29"/>
    <x v="0"/>
    <x v="23"/>
    <n v="10"/>
    <x v="0"/>
  </r>
  <r>
    <x v="29"/>
    <x v="0"/>
    <x v="110"/>
    <n v="29"/>
    <x v="0"/>
  </r>
  <r>
    <x v="29"/>
    <x v="0"/>
    <x v="117"/>
    <n v="2496"/>
    <x v="1"/>
  </r>
  <r>
    <x v="29"/>
    <x v="0"/>
    <x v="176"/>
    <n v="2"/>
    <x v="0"/>
  </r>
  <r>
    <x v="29"/>
    <x v="0"/>
    <x v="16"/>
    <n v="1"/>
    <x v="0"/>
  </r>
  <r>
    <x v="29"/>
    <x v="0"/>
    <x v="140"/>
    <n v="2504"/>
    <x v="1"/>
  </r>
  <r>
    <x v="29"/>
    <x v="0"/>
    <x v="136"/>
    <n v="17"/>
    <x v="0"/>
  </r>
  <r>
    <x v="29"/>
    <x v="0"/>
    <x v="182"/>
    <n v="2384"/>
    <x v="1"/>
  </r>
  <r>
    <x v="29"/>
    <x v="0"/>
    <x v="33"/>
    <n v="535"/>
    <x v="1"/>
  </r>
  <r>
    <x v="29"/>
    <x v="0"/>
    <x v="258"/>
    <n v="2829"/>
    <x v="1"/>
  </r>
  <r>
    <x v="29"/>
    <x v="0"/>
    <x v="188"/>
    <n v="2558"/>
    <x v="1"/>
  </r>
  <r>
    <x v="29"/>
    <x v="0"/>
    <x v="240"/>
    <n v="2183"/>
    <x v="1"/>
  </r>
  <r>
    <x v="29"/>
    <x v="0"/>
    <x v="211"/>
    <n v="5"/>
    <x v="0"/>
  </r>
  <r>
    <x v="29"/>
    <x v="0"/>
    <x v="76"/>
    <n v="5"/>
    <x v="0"/>
  </r>
  <r>
    <x v="29"/>
    <x v="0"/>
    <x v="249"/>
    <n v="58"/>
    <x v="0"/>
  </r>
  <r>
    <x v="29"/>
    <x v="0"/>
    <x v="266"/>
    <n v="1"/>
    <x v="0"/>
  </r>
  <r>
    <x v="29"/>
    <x v="0"/>
    <x v="235"/>
    <n v="7"/>
    <x v="0"/>
  </r>
  <r>
    <x v="29"/>
    <x v="0"/>
    <x v="190"/>
    <n v="1737"/>
    <x v="1"/>
  </r>
  <r>
    <x v="29"/>
    <x v="0"/>
    <x v="271"/>
    <n v="4"/>
    <x v="0"/>
  </r>
  <r>
    <x v="29"/>
    <x v="0"/>
    <x v="144"/>
    <n v="184"/>
    <x v="1"/>
  </r>
  <r>
    <x v="29"/>
    <x v="0"/>
    <x v="107"/>
    <n v="4"/>
    <x v="0"/>
  </r>
  <r>
    <x v="29"/>
    <x v="0"/>
    <x v="218"/>
    <n v="10"/>
    <x v="0"/>
  </r>
  <r>
    <x v="29"/>
    <x v="0"/>
    <x v="244"/>
    <n v="93"/>
    <x v="0"/>
  </r>
  <r>
    <x v="29"/>
    <x v="0"/>
    <x v="135"/>
    <n v="5394"/>
    <x v="1"/>
  </r>
  <r>
    <x v="29"/>
    <x v="0"/>
    <x v="105"/>
    <n v="520"/>
    <x v="1"/>
  </r>
  <r>
    <x v="29"/>
    <x v="0"/>
    <x v="114"/>
    <n v="124"/>
    <x v="1"/>
  </r>
  <r>
    <x v="29"/>
    <x v="0"/>
    <x v="222"/>
    <n v="1198"/>
    <x v="1"/>
  </r>
  <r>
    <x v="29"/>
    <x v="0"/>
    <x v="272"/>
    <n v="6"/>
    <x v="0"/>
  </r>
  <r>
    <x v="29"/>
    <x v="0"/>
    <x v="141"/>
    <n v="2039"/>
    <x v="1"/>
  </r>
  <r>
    <x v="29"/>
    <x v="0"/>
    <x v="263"/>
    <n v="140"/>
    <x v="1"/>
  </r>
  <r>
    <x v="29"/>
    <x v="0"/>
    <x v="127"/>
    <n v="3638"/>
    <x v="1"/>
  </r>
  <r>
    <x v="29"/>
    <x v="0"/>
    <x v="187"/>
    <n v="1931"/>
    <x v="1"/>
  </r>
  <r>
    <x v="29"/>
    <x v="0"/>
    <x v="186"/>
    <n v="1696"/>
    <x v="1"/>
  </r>
  <r>
    <x v="29"/>
    <x v="0"/>
    <x v="273"/>
    <n v="14"/>
    <x v="0"/>
  </r>
  <r>
    <x v="29"/>
    <x v="0"/>
    <x v="160"/>
    <n v="2"/>
    <x v="0"/>
  </r>
  <r>
    <x v="29"/>
    <x v="0"/>
    <x v="27"/>
    <n v="2447"/>
    <x v="1"/>
  </r>
  <r>
    <x v="29"/>
    <x v="0"/>
    <x v="193"/>
    <n v="1431"/>
    <x v="1"/>
  </r>
  <r>
    <x v="29"/>
    <x v="0"/>
    <x v="85"/>
    <n v="347"/>
    <x v="1"/>
  </r>
  <r>
    <x v="29"/>
    <x v="0"/>
    <x v="148"/>
    <n v="3193"/>
    <x v="1"/>
  </r>
  <r>
    <x v="29"/>
    <x v="0"/>
    <x v="229"/>
    <n v="961"/>
    <x v="1"/>
  </r>
  <r>
    <x v="29"/>
    <x v="0"/>
    <x v="274"/>
    <n v="3166"/>
    <x v="1"/>
  </r>
  <r>
    <x v="29"/>
    <x v="0"/>
    <x v="260"/>
    <n v="108"/>
    <x v="1"/>
  </r>
  <r>
    <x v="29"/>
    <x v="0"/>
    <x v="38"/>
    <n v="3299"/>
    <x v="1"/>
  </r>
  <r>
    <x v="29"/>
    <x v="0"/>
    <x v="167"/>
    <n v="2631"/>
    <x v="1"/>
  </r>
  <r>
    <x v="29"/>
    <x v="0"/>
    <x v="275"/>
    <n v="6"/>
    <x v="0"/>
  </r>
  <r>
    <x v="29"/>
    <x v="0"/>
    <x v="226"/>
    <n v="258"/>
    <x v="1"/>
  </r>
  <r>
    <x v="29"/>
    <x v="0"/>
    <x v="192"/>
    <n v="2699"/>
    <x v="1"/>
  </r>
  <r>
    <x v="29"/>
    <x v="0"/>
    <x v="97"/>
    <n v="378"/>
    <x v="1"/>
  </r>
  <r>
    <x v="29"/>
    <x v="0"/>
    <x v="172"/>
    <n v="2792"/>
    <x v="1"/>
  </r>
  <r>
    <x v="29"/>
    <x v="0"/>
    <x v="50"/>
    <n v="321"/>
    <x v="1"/>
  </r>
  <r>
    <x v="29"/>
    <x v="0"/>
    <x v="93"/>
    <n v="461"/>
    <x v="1"/>
  </r>
  <r>
    <x v="29"/>
    <x v="0"/>
    <x v="111"/>
    <n v="2479"/>
    <x v="1"/>
  </r>
  <r>
    <x v="29"/>
    <x v="0"/>
    <x v="25"/>
    <n v="9"/>
    <x v="0"/>
  </r>
  <r>
    <x v="29"/>
    <x v="0"/>
    <x v="41"/>
    <n v="1"/>
    <x v="0"/>
  </r>
  <r>
    <x v="29"/>
    <x v="0"/>
    <x v="159"/>
    <n v="1"/>
    <x v="0"/>
  </r>
  <r>
    <x v="29"/>
    <x v="0"/>
    <x v="98"/>
    <n v="19"/>
    <x v="0"/>
  </r>
  <r>
    <x v="29"/>
    <x v="0"/>
    <x v="28"/>
    <n v="2456"/>
    <x v="1"/>
  </r>
  <r>
    <x v="29"/>
    <x v="0"/>
    <x v="14"/>
    <n v="2"/>
    <x v="0"/>
  </r>
  <r>
    <x v="29"/>
    <x v="0"/>
    <x v="152"/>
    <n v="3063"/>
    <x v="1"/>
  </r>
  <r>
    <x v="29"/>
    <x v="0"/>
    <x v="221"/>
    <n v="11"/>
    <x v="0"/>
  </r>
  <r>
    <x v="29"/>
    <x v="0"/>
    <x v="203"/>
    <n v="1"/>
    <x v="0"/>
  </r>
  <r>
    <x v="29"/>
    <x v="0"/>
    <x v="15"/>
    <n v="1"/>
    <x v="0"/>
  </r>
  <r>
    <x v="29"/>
    <x v="0"/>
    <x v="246"/>
    <n v="2473"/>
    <x v="1"/>
  </r>
  <r>
    <x v="29"/>
    <x v="0"/>
    <x v="154"/>
    <n v="1479"/>
    <x v="1"/>
  </r>
  <r>
    <x v="29"/>
    <x v="0"/>
    <x v="58"/>
    <n v="3248"/>
    <x v="1"/>
  </r>
  <r>
    <x v="29"/>
    <x v="0"/>
    <x v="250"/>
    <n v="214"/>
    <x v="1"/>
  </r>
  <r>
    <x v="29"/>
    <x v="0"/>
    <x v="63"/>
    <n v="816"/>
    <x v="1"/>
  </r>
  <r>
    <x v="29"/>
    <x v="0"/>
    <x v="21"/>
    <n v="3020"/>
    <x v="1"/>
  </r>
  <r>
    <x v="29"/>
    <x v="0"/>
    <x v="24"/>
    <n v="4"/>
    <x v="0"/>
  </r>
  <r>
    <x v="29"/>
    <x v="0"/>
    <x v="48"/>
    <n v="1"/>
    <x v="0"/>
  </r>
  <r>
    <x v="29"/>
    <x v="0"/>
    <x v="185"/>
    <n v="3217"/>
    <x v="1"/>
  </r>
  <r>
    <x v="29"/>
    <x v="0"/>
    <x v="53"/>
    <n v="152"/>
    <x v="1"/>
  </r>
  <r>
    <x v="29"/>
    <x v="0"/>
    <x v="82"/>
    <n v="7"/>
    <x v="0"/>
  </r>
  <r>
    <x v="29"/>
    <x v="0"/>
    <x v="4"/>
    <n v="4"/>
    <x v="0"/>
  </r>
  <r>
    <x v="29"/>
    <x v="0"/>
    <x v="227"/>
    <n v="3"/>
    <x v="0"/>
  </r>
  <r>
    <x v="29"/>
    <x v="0"/>
    <x v="96"/>
    <n v="44"/>
    <x v="0"/>
  </r>
  <r>
    <x v="29"/>
    <x v="0"/>
    <x v="189"/>
    <n v="3150"/>
    <x v="1"/>
  </r>
  <r>
    <x v="29"/>
    <x v="0"/>
    <x v="52"/>
    <n v="2582"/>
    <x v="1"/>
  </r>
  <r>
    <x v="29"/>
    <x v="0"/>
    <x v="134"/>
    <n v="657"/>
    <x v="1"/>
  </r>
  <r>
    <x v="29"/>
    <x v="0"/>
    <x v="261"/>
    <n v="2153"/>
    <x v="1"/>
  </r>
  <r>
    <x v="29"/>
    <x v="0"/>
    <x v="164"/>
    <n v="111"/>
    <x v="1"/>
  </r>
  <r>
    <x v="29"/>
    <x v="0"/>
    <x v="65"/>
    <n v="483"/>
    <x v="1"/>
  </r>
  <r>
    <x v="29"/>
    <x v="0"/>
    <x v="124"/>
    <n v="673"/>
    <x v="1"/>
  </r>
  <r>
    <x v="29"/>
    <x v="0"/>
    <x v="86"/>
    <n v="3141"/>
    <x v="1"/>
  </r>
  <r>
    <x v="29"/>
    <x v="0"/>
    <x v="231"/>
    <n v="3"/>
    <x v="0"/>
  </r>
  <r>
    <x v="29"/>
    <x v="0"/>
    <x v="139"/>
    <n v="2947"/>
    <x v="1"/>
  </r>
  <r>
    <x v="29"/>
    <x v="0"/>
    <x v="276"/>
    <n v="2118"/>
    <x v="1"/>
  </r>
  <r>
    <x v="29"/>
    <x v="0"/>
    <x v="199"/>
    <n v="3360"/>
    <x v="1"/>
  </r>
  <r>
    <x v="29"/>
    <x v="0"/>
    <x v="205"/>
    <n v="3"/>
    <x v="0"/>
  </r>
  <r>
    <x v="29"/>
    <x v="0"/>
    <x v="118"/>
    <n v="2635"/>
    <x v="1"/>
  </r>
  <r>
    <x v="29"/>
    <x v="0"/>
    <x v="277"/>
    <n v="3"/>
    <x v="0"/>
  </r>
  <r>
    <x v="29"/>
    <x v="0"/>
    <x v="78"/>
    <n v="3"/>
    <x v="0"/>
  </r>
  <r>
    <x v="29"/>
    <x v="0"/>
    <x v="92"/>
    <n v="6"/>
    <x v="0"/>
  </r>
  <r>
    <x v="29"/>
    <x v="0"/>
    <x v="169"/>
    <n v="2"/>
    <x v="0"/>
  </r>
  <r>
    <x v="29"/>
    <x v="0"/>
    <x v="125"/>
    <n v="30"/>
    <x v="0"/>
  </r>
  <r>
    <x v="29"/>
    <x v="0"/>
    <x v="214"/>
    <n v="2"/>
    <x v="0"/>
  </r>
  <r>
    <x v="29"/>
    <x v="0"/>
    <x v="120"/>
    <n v="71"/>
    <x v="0"/>
  </r>
  <r>
    <x v="29"/>
    <x v="0"/>
    <x v="104"/>
    <n v="2"/>
    <x v="0"/>
  </r>
  <r>
    <x v="29"/>
    <x v="0"/>
    <x v="54"/>
    <n v="11"/>
    <x v="0"/>
  </r>
  <r>
    <x v="29"/>
    <x v="0"/>
    <x v="255"/>
    <n v="1"/>
    <x v="0"/>
  </r>
  <r>
    <x v="29"/>
    <x v="0"/>
    <x v="264"/>
    <n v="1"/>
    <x v="0"/>
  </r>
  <r>
    <x v="29"/>
    <x v="0"/>
    <x v="73"/>
    <n v="656"/>
    <x v="1"/>
  </r>
  <r>
    <x v="29"/>
    <x v="0"/>
    <x v="170"/>
    <n v="2781"/>
    <x v="1"/>
  </r>
  <r>
    <x v="29"/>
    <x v="0"/>
    <x v="55"/>
    <n v="1"/>
    <x v="0"/>
  </r>
  <r>
    <x v="29"/>
    <x v="0"/>
    <x v="142"/>
    <n v="2413"/>
    <x v="1"/>
  </r>
  <r>
    <x v="29"/>
    <x v="0"/>
    <x v="137"/>
    <n v="1590"/>
    <x v="1"/>
  </r>
  <r>
    <x v="29"/>
    <x v="0"/>
    <x v="79"/>
    <n v="2536"/>
    <x v="1"/>
  </r>
  <r>
    <x v="29"/>
    <x v="0"/>
    <x v="256"/>
    <n v="1921"/>
    <x v="1"/>
  </r>
  <r>
    <x v="29"/>
    <x v="0"/>
    <x v="69"/>
    <n v="2498"/>
    <x v="1"/>
  </r>
  <r>
    <x v="29"/>
    <x v="0"/>
    <x v="32"/>
    <n v="1161"/>
    <x v="1"/>
  </r>
  <r>
    <x v="29"/>
    <x v="0"/>
    <x v="99"/>
    <n v="2444"/>
    <x v="1"/>
  </r>
  <r>
    <x v="29"/>
    <x v="0"/>
    <x v="245"/>
    <n v="3541"/>
    <x v="1"/>
  </r>
  <r>
    <x v="29"/>
    <x v="0"/>
    <x v="278"/>
    <n v="20"/>
    <x v="0"/>
  </r>
  <r>
    <x v="29"/>
    <x v="0"/>
    <x v="74"/>
    <n v="2453"/>
    <x v="1"/>
  </r>
  <r>
    <x v="29"/>
    <x v="0"/>
    <x v="95"/>
    <n v="3032"/>
    <x v="1"/>
  </r>
  <r>
    <x v="29"/>
    <x v="0"/>
    <x v="243"/>
    <n v="344"/>
    <x v="1"/>
  </r>
  <r>
    <x v="29"/>
    <x v="0"/>
    <x v="204"/>
    <n v="1"/>
    <x v="0"/>
  </r>
  <r>
    <x v="29"/>
    <x v="0"/>
    <x v="84"/>
    <n v="12"/>
    <x v="0"/>
  </r>
  <r>
    <x v="29"/>
    <x v="0"/>
    <x v="45"/>
    <n v="12"/>
    <x v="0"/>
  </r>
  <r>
    <x v="29"/>
    <x v="0"/>
    <x v="103"/>
    <n v="19"/>
    <x v="0"/>
  </r>
  <r>
    <x v="29"/>
    <x v="0"/>
    <x v="116"/>
    <n v="2298"/>
    <x v="1"/>
  </r>
  <r>
    <x v="29"/>
    <x v="0"/>
    <x v="66"/>
    <n v="3695"/>
    <x v="1"/>
  </r>
  <r>
    <x v="29"/>
    <x v="0"/>
    <x v="132"/>
    <n v="5"/>
    <x v="0"/>
  </r>
  <r>
    <x v="29"/>
    <x v="0"/>
    <x v="150"/>
    <n v="3125"/>
    <x v="1"/>
  </r>
  <r>
    <x v="29"/>
    <x v="0"/>
    <x v="197"/>
    <n v="2392"/>
    <x v="1"/>
  </r>
  <r>
    <x v="29"/>
    <x v="0"/>
    <x v="37"/>
    <n v="281"/>
    <x v="1"/>
  </r>
  <r>
    <x v="29"/>
    <x v="0"/>
    <x v="121"/>
    <n v="2488"/>
    <x v="1"/>
  </r>
  <r>
    <x v="30"/>
    <x v="0"/>
    <x v="71"/>
    <n v="3449"/>
    <x v="1"/>
  </r>
  <r>
    <x v="30"/>
    <x v="0"/>
    <x v="193"/>
    <n v="670"/>
    <x v="1"/>
  </r>
  <r>
    <x v="30"/>
    <x v="0"/>
    <x v="78"/>
    <n v="3"/>
    <x v="0"/>
  </r>
  <r>
    <x v="30"/>
    <x v="0"/>
    <x v="188"/>
    <n v="2551"/>
    <x v="1"/>
  </r>
  <r>
    <x v="30"/>
    <x v="0"/>
    <x v="203"/>
    <n v="1"/>
    <x v="0"/>
  </r>
  <r>
    <x v="30"/>
    <x v="0"/>
    <x v="185"/>
    <n v="3240"/>
    <x v="1"/>
  </r>
  <r>
    <x v="30"/>
    <x v="0"/>
    <x v="31"/>
    <n v="8"/>
    <x v="0"/>
  </r>
  <r>
    <x v="30"/>
    <x v="0"/>
    <x v="271"/>
    <n v="24"/>
    <x v="0"/>
  </r>
  <r>
    <x v="30"/>
    <x v="0"/>
    <x v="44"/>
    <n v="2990"/>
    <x v="1"/>
  </r>
  <r>
    <x v="30"/>
    <x v="0"/>
    <x v="268"/>
    <n v="18"/>
    <x v="0"/>
  </r>
  <r>
    <x v="30"/>
    <x v="0"/>
    <x v="57"/>
    <n v="11"/>
    <x v="0"/>
  </r>
  <r>
    <x v="30"/>
    <x v="0"/>
    <x v="23"/>
    <n v="10"/>
    <x v="0"/>
  </r>
  <r>
    <x v="30"/>
    <x v="0"/>
    <x v="164"/>
    <n v="128"/>
    <x v="1"/>
  </r>
  <r>
    <x v="30"/>
    <x v="0"/>
    <x v="99"/>
    <n v="2467"/>
    <x v="1"/>
  </r>
  <r>
    <x v="30"/>
    <x v="0"/>
    <x v="176"/>
    <n v="2"/>
    <x v="0"/>
  </r>
  <r>
    <x v="30"/>
    <x v="0"/>
    <x v="7"/>
    <n v="1025"/>
    <x v="1"/>
  </r>
  <r>
    <x v="30"/>
    <x v="0"/>
    <x v="17"/>
    <n v="943"/>
    <x v="1"/>
  </r>
  <r>
    <x v="30"/>
    <x v="0"/>
    <x v="263"/>
    <n v="178"/>
    <x v="1"/>
  </r>
  <r>
    <x v="30"/>
    <x v="0"/>
    <x v="139"/>
    <n v="2971"/>
    <x v="1"/>
  </r>
  <r>
    <x v="30"/>
    <x v="0"/>
    <x v="272"/>
    <n v="659"/>
    <x v="1"/>
  </r>
  <r>
    <x v="30"/>
    <x v="0"/>
    <x v="252"/>
    <n v="2688"/>
    <x v="1"/>
  </r>
  <r>
    <x v="30"/>
    <x v="0"/>
    <x v="131"/>
    <n v="6"/>
    <x v="0"/>
  </r>
  <r>
    <x v="30"/>
    <x v="0"/>
    <x v="277"/>
    <n v="6"/>
    <x v="0"/>
  </r>
  <r>
    <x v="30"/>
    <x v="0"/>
    <x v="154"/>
    <n v="1477"/>
    <x v="1"/>
  </r>
  <r>
    <x v="30"/>
    <x v="0"/>
    <x v="235"/>
    <n v="7"/>
    <x v="0"/>
  </r>
  <r>
    <x v="30"/>
    <x v="0"/>
    <x v="179"/>
    <n v="8"/>
    <x v="0"/>
  </r>
  <r>
    <x v="30"/>
    <x v="0"/>
    <x v="12"/>
    <n v="9"/>
    <x v="0"/>
  </r>
  <r>
    <x v="30"/>
    <x v="0"/>
    <x v="97"/>
    <n v="385"/>
    <x v="1"/>
  </r>
  <r>
    <x v="30"/>
    <x v="0"/>
    <x v="167"/>
    <n v="2679"/>
    <x v="1"/>
  </r>
  <r>
    <x v="30"/>
    <x v="0"/>
    <x v="177"/>
    <n v="6"/>
    <x v="0"/>
  </r>
  <r>
    <x v="30"/>
    <x v="0"/>
    <x v="26"/>
    <n v="1"/>
    <x v="0"/>
  </r>
  <r>
    <x v="30"/>
    <x v="0"/>
    <x v="233"/>
    <n v="1"/>
    <x v="0"/>
  </r>
  <r>
    <x v="30"/>
    <x v="0"/>
    <x v="30"/>
    <n v="1092"/>
    <x v="1"/>
  </r>
  <r>
    <x v="30"/>
    <x v="0"/>
    <x v="175"/>
    <n v="2"/>
    <x v="0"/>
  </r>
  <r>
    <x v="30"/>
    <x v="0"/>
    <x v="229"/>
    <n v="994"/>
    <x v="1"/>
  </r>
  <r>
    <x v="30"/>
    <x v="0"/>
    <x v="260"/>
    <n v="158"/>
    <x v="1"/>
  </r>
  <r>
    <x v="30"/>
    <x v="0"/>
    <x v="93"/>
    <n v="519"/>
    <x v="1"/>
  </r>
  <r>
    <x v="30"/>
    <x v="0"/>
    <x v="69"/>
    <n v="2512"/>
    <x v="1"/>
  </r>
  <r>
    <x v="30"/>
    <x v="0"/>
    <x v="43"/>
    <n v="9"/>
    <x v="0"/>
  </r>
  <r>
    <x v="30"/>
    <x v="0"/>
    <x v="86"/>
    <n v="3161"/>
    <x v="1"/>
  </r>
  <r>
    <x v="30"/>
    <x v="0"/>
    <x v="222"/>
    <n v="1197"/>
    <x v="1"/>
  </r>
  <r>
    <x v="30"/>
    <x v="0"/>
    <x v="18"/>
    <n v="1"/>
    <x v="0"/>
  </r>
  <r>
    <x v="30"/>
    <x v="0"/>
    <x v="249"/>
    <n v="87"/>
    <x v="0"/>
  </r>
  <r>
    <x v="30"/>
    <x v="0"/>
    <x v="220"/>
    <n v="4003"/>
    <x v="1"/>
  </r>
  <r>
    <x v="30"/>
    <x v="0"/>
    <x v="157"/>
    <n v="3"/>
    <x v="0"/>
  </r>
  <r>
    <x v="30"/>
    <x v="0"/>
    <x v="226"/>
    <n v="256"/>
    <x v="1"/>
  </r>
  <r>
    <x v="30"/>
    <x v="0"/>
    <x v="5"/>
    <n v="1"/>
    <x v="0"/>
  </r>
  <r>
    <x v="30"/>
    <x v="0"/>
    <x v="232"/>
    <n v="2448"/>
    <x v="1"/>
  </r>
  <r>
    <x v="30"/>
    <x v="0"/>
    <x v="136"/>
    <n v="17"/>
    <x v="0"/>
  </r>
  <r>
    <x v="30"/>
    <x v="0"/>
    <x v="19"/>
    <n v="208"/>
    <x v="1"/>
  </r>
  <r>
    <x v="30"/>
    <x v="0"/>
    <x v="279"/>
    <n v="14"/>
    <x v="0"/>
  </r>
  <r>
    <x v="30"/>
    <x v="0"/>
    <x v="251"/>
    <n v="716"/>
    <x v="1"/>
  </r>
  <r>
    <x v="30"/>
    <x v="0"/>
    <x v="37"/>
    <n v="283"/>
    <x v="1"/>
  </r>
  <r>
    <x v="30"/>
    <x v="0"/>
    <x v="120"/>
    <n v="68"/>
    <x v="0"/>
  </r>
  <r>
    <x v="30"/>
    <x v="0"/>
    <x v="10"/>
    <n v="14"/>
    <x v="0"/>
  </r>
  <r>
    <x v="30"/>
    <x v="0"/>
    <x v="192"/>
    <n v="2737"/>
    <x v="1"/>
  </r>
  <r>
    <x v="30"/>
    <x v="0"/>
    <x v="133"/>
    <n v="12"/>
    <x v="0"/>
  </r>
  <r>
    <x v="30"/>
    <x v="0"/>
    <x v="3"/>
    <n v="883"/>
    <x v="1"/>
  </r>
  <r>
    <x v="30"/>
    <x v="0"/>
    <x v="253"/>
    <n v="3272"/>
    <x v="1"/>
  </r>
  <r>
    <x v="30"/>
    <x v="0"/>
    <x v="67"/>
    <n v="1"/>
    <x v="0"/>
  </r>
  <r>
    <x v="30"/>
    <x v="0"/>
    <x v="75"/>
    <n v="177"/>
    <x v="1"/>
  </r>
  <r>
    <x v="30"/>
    <x v="0"/>
    <x v="258"/>
    <n v="2842"/>
    <x v="1"/>
  </r>
  <r>
    <x v="30"/>
    <x v="0"/>
    <x v="183"/>
    <n v="3436"/>
    <x v="1"/>
  </r>
  <r>
    <x v="30"/>
    <x v="0"/>
    <x v="116"/>
    <n v="2322"/>
    <x v="1"/>
  </r>
  <r>
    <x v="30"/>
    <x v="0"/>
    <x v="2"/>
    <n v="2629"/>
    <x v="1"/>
  </r>
  <r>
    <x v="30"/>
    <x v="0"/>
    <x v="29"/>
    <n v="2"/>
    <x v="0"/>
  </r>
  <r>
    <x v="30"/>
    <x v="0"/>
    <x v="28"/>
    <n v="2477"/>
    <x v="1"/>
  </r>
  <r>
    <x v="30"/>
    <x v="0"/>
    <x v="168"/>
    <n v="1972"/>
    <x v="1"/>
  </r>
  <r>
    <x v="30"/>
    <x v="0"/>
    <x v="153"/>
    <n v="41"/>
    <x v="0"/>
  </r>
  <r>
    <x v="30"/>
    <x v="0"/>
    <x v="102"/>
    <n v="2958"/>
    <x v="1"/>
  </r>
  <r>
    <x v="30"/>
    <x v="0"/>
    <x v="94"/>
    <n v="272"/>
    <x v="1"/>
  </r>
  <r>
    <x v="30"/>
    <x v="0"/>
    <x v="98"/>
    <n v="18"/>
    <x v="0"/>
  </r>
  <r>
    <x v="30"/>
    <x v="0"/>
    <x v="218"/>
    <n v="10"/>
    <x v="0"/>
  </r>
  <r>
    <x v="30"/>
    <x v="0"/>
    <x v="66"/>
    <n v="3702"/>
    <x v="1"/>
  </r>
  <r>
    <x v="30"/>
    <x v="0"/>
    <x v="87"/>
    <n v="2520"/>
    <x v="1"/>
  </r>
  <r>
    <x v="30"/>
    <x v="0"/>
    <x v="207"/>
    <n v="1"/>
    <x v="0"/>
  </r>
  <r>
    <x v="30"/>
    <x v="0"/>
    <x v="198"/>
    <n v="3304"/>
    <x v="1"/>
  </r>
  <r>
    <x v="30"/>
    <x v="0"/>
    <x v="191"/>
    <n v="2153"/>
    <x v="1"/>
  </r>
  <r>
    <x v="30"/>
    <x v="0"/>
    <x v="32"/>
    <n v="1159"/>
    <x v="1"/>
  </r>
  <r>
    <x v="30"/>
    <x v="0"/>
    <x v="22"/>
    <n v="3692"/>
    <x v="1"/>
  </r>
  <r>
    <x v="30"/>
    <x v="0"/>
    <x v="250"/>
    <n v="2158"/>
    <x v="1"/>
  </r>
  <r>
    <x v="30"/>
    <x v="0"/>
    <x v="25"/>
    <n v="9"/>
    <x v="0"/>
  </r>
  <r>
    <x v="30"/>
    <x v="0"/>
    <x v="241"/>
    <n v="1"/>
    <x v="0"/>
  </r>
  <r>
    <x v="30"/>
    <x v="0"/>
    <x v="115"/>
    <n v="4994"/>
    <x v="1"/>
  </r>
  <r>
    <x v="30"/>
    <x v="0"/>
    <x v="225"/>
    <n v="4"/>
    <x v="0"/>
  </r>
  <r>
    <x v="30"/>
    <x v="0"/>
    <x v="1"/>
    <n v="27"/>
    <x v="0"/>
  </r>
  <r>
    <x v="30"/>
    <x v="0"/>
    <x v="64"/>
    <n v="351"/>
    <x v="1"/>
  </r>
  <r>
    <x v="30"/>
    <x v="0"/>
    <x v="59"/>
    <n v="51"/>
    <x v="0"/>
  </r>
  <r>
    <x v="30"/>
    <x v="0"/>
    <x v="85"/>
    <n v="339"/>
    <x v="1"/>
  </r>
  <r>
    <x v="30"/>
    <x v="0"/>
    <x v="50"/>
    <n v="326"/>
    <x v="1"/>
  </r>
  <r>
    <x v="30"/>
    <x v="0"/>
    <x v="124"/>
    <n v="668"/>
    <x v="1"/>
  </r>
  <r>
    <x v="30"/>
    <x v="0"/>
    <x v="196"/>
    <n v="1"/>
    <x v="0"/>
  </r>
  <r>
    <x v="30"/>
    <x v="0"/>
    <x v="35"/>
    <n v="30"/>
    <x v="0"/>
  </r>
  <r>
    <x v="30"/>
    <x v="0"/>
    <x v="91"/>
    <n v="11"/>
    <x v="0"/>
  </r>
  <r>
    <x v="30"/>
    <x v="0"/>
    <x v="142"/>
    <n v="2462"/>
    <x v="1"/>
  </r>
  <r>
    <x v="30"/>
    <x v="0"/>
    <x v="89"/>
    <n v="1946"/>
    <x v="1"/>
  </r>
  <r>
    <x v="30"/>
    <x v="0"/>
    <x v="79"/>
    <n v="2533"/>
    <x v="1"/>
  </r>
  <r>
    <x v="30"/>
    <x v="0"/>
    <x v="126"/>
    <n v="79"/>
    <x v="0"/>
  </r>
  <r>
    <x v="30"/>
    <x v="0"/>
    <x v="48"/>
    <n v="1"/>
    <x v="0"/>
  </r>
  <r>
    <x v="30"/>
    <x v="0"/>
    <x v="197"/>
    <n v="2409"/>
    <x v="1"/>
  </r>
  <r>
    <x v="30"/>
    <x v="0"/>
    <x v="242"/>
    <n v="104"/>
    <x v="1"/>
  </r>
  <r>
    <x v="30"/>
    <x v="0"/>
    <x v="244"/>
    <n v="101"/>
    <x v="1"/>
  </r>
  <r>
    <x v="30"/>
    <x v="0"/>
    <x v="103"/>
    <n v="19"/>
    <x v="0"/>
  </r>
  <r>
    <x v="30"/>
    <x v="0"/>
    <x v="227"/>
    <n v="3"/>
    <x v="0"/>
  </r>
  <r>
    <x v="30"/>
    <x v="0"/>
    <x v="118"/>
    <n v="2674"/>
    <x v="1"/>
  </r>
  <r>
    <x v="30"/>
    <x v="0"/>
    <x v="264"/>
    <n v="1"/>
    <x v="0"/>
  </r>
  <r>
    <x v="30"/>
    <x v="0"/>
    <x v="61"/>
    <n v="164"/>
    <x v="1"/>
  </r>
  <r>
    <x v="30"/>
    <x v="0"/>
    <x v="15"/>
    <n v="1"/>
    <x v="0"/>
  </r>
  <r>
    <x v="30"/>
    <x v="0"/>
    <x v="74"/>
    <n v="2650"/>
    <x v="1"/>
  </r>
  <r>
    <x v="30"/>
    <x v="0"/>
    <x v="182"/>
    <n v="2403"/>
    <x v="1"/>
  </r>
  <r>
    <x v="30"/>
    <x v="0"/>
    <x v="62"/>
    <n v="585"/>
    <x v="1"/>
  </r>
  <r>
    <x v="30"/>
    <x v="0"/>
    <x v="172"/>
    <n v="2826"/>
    <x v="1"/>
  </r>
  <r>
    <x v="30"/>
    <x v="0"/>
    <x v="92"/>
    <n v="6"/>
    <x v="0"/>
  </r>
  <r>
    <x v="30"/>
    <x v="0"/>
    <x v="9"/>
    <n v="1"/>
    <x v="0"/>
  </r>
  <r>
    <x v="30"/>
    <x v="0"/>
    <x v="38"/>
    <n v="3303"/>
    <x v="1"/>
  </r>
  <r>
    <x v="30"/>
    <x v="0"/>
    <x v="273"/>
    <n v="53"/>
    <x v="0"/>
  </r>
  <r>
    <x v="30"/>
    <x v="0"/>
    <x v="159"/>
    <n v="1"/>
    <x v="0"/>
  </r>
  <r>
    <x v="30"/>
    <x v="0"/>
    <x v="132"/>
    <n v="5"/>
    <x v="0"/>
  </r>
  <r>
    <x v="30"/>
    <x v="0"/>
    <x v="190"/>
    <n v="3237"/>
    <x v="1"/>
  </r>
  <r>
    <x v="30"/>
    <x v="0"/>
    <x v="186"/>
    <n v="1701"/>
    <x v="1"/>
  </r>
  <r>
    <x v="30"/>
    <x v="0"/>
    <x v="261"/>
    <n v="2175"/>
    <x v="1"/>
  </r>
  <r>
    <x v="30"/>
    <x v="0"/>
    <x v="63"/>
    <n v="842"/>
    <x v="1"/>
  </r>
  <r>
    <x v="30"/>
    <x v="0"/>
    <x v="114"/>
    <n v="122"/>
    <x v="1"/>
  </r>
  <r>
    <x v="30"/>
    <x v="0"/>
    <x v="90"/>
    <n v="233"/>
    <x v="1"/>
  </r>
  <r>
    <x v="30"/>
    <x v="0"/>
    <x v="237"/>
    <n v="58"/>
    <x v="0"/>
  </r>
  <r>
    <x v="30"/>
    <x v="0"/>
    <x v="259"/>
    <n v="1"/>
    <x v="0"/>
  </r>
  <r>
    <x v="30"/>
    <x v="0"/>
    <x v="121"/>
    <n v="2514"/>
    <x v="1"/>
  </r>
  <r>
    <x v="30"/>
    <x v="0"/>
    <x v="11"/>
    <n v="8"/>
    <x v="0"/>
  </r>
  <r>
    <x v="30"/>
    <x v="0"/>
    <x v="68"/>
    <n v="5"/>
    <x v="0"/>
  </r>
  <r>
    <x v="30"/>
    <x v="0"/>
    <x v="143"/>
    <n v="3552"/>
    <x v="1"/>
  </r>
  <r>
    <x v="30"/>
    <x v="0"/>
    <x v="189"/>
    <n v="3189"/>
    <x v="1"/>
  </r>
  <r>
    <x v="30"/>
    <x v="0"/>
    <x v="246"/>
    <n v="2486"/>
    <x v="1"/>
  </r>
  <r>
    <x v="30"/>
    <x v="0"/>
    <x v="280"/>
    <n v="1"/>
    <x v="0"/>
  </r>
  <r>
    <x v="30"/>
    <x v="0"/>
    <x v="254"/>
    <n v="117"/>
    <x v="1"/>
  </r>
  <r>
    <x v="30"/>
    <x v="0"/>
    <x v="129"/>
    <n v="953"/>
    <x v="1"/>
  </r>
  <r>
    <x v="30"/>
    <x v="0"/>
    <x v="148"/>
    <n v="3214"/>
    <x v="1"/>
  </r>
  <r>
    <x v="30"/>
    <x v="0"/>
    <x v="270"/>
    <n v="30"/>
    <x v="0"/>
  </r>
  <r>
    <x v="30"/>
    <x v="0"/>
    <x v="265"/>
    <n v="1"/>
    <x v="0"/>
  </r>
  <r>
    <x v="30"/>
    <x v="0"/>
    <x v="247"/>
    <n v="1343"/>
    <x v="1"/>
  </r>
  <r>
    <x v="30"/>
    <x v="0"/>
    <x v="195"/>
    <n v="3"/>
    <x v="0"/>
  </r>
  <r>
    <x v="30"/>
    <x v="0"/>
    <x v="88"/>
    <n v="3465"/>
    <x v="1"/>
  </r>
  <r>
    <x v="30"/>
    <x v="0"/>
    <x v="8"/>
    <n v="2215"/>
    <x v="1"/>
  </r>
  <r>
    <x v="30"/>
    <x v="0"/>
    <x v="104"/>
    <n v="1"/>
    <x v="0"/>
  </r>
  <r>
    <x v="30"/>
    <x v="0"/>
    <x v="46"/>
    <n v="2451"/>
    <x v="1"/>
  </r>
  <r>
    <x v="30"/>
    <x v="0"/>
    <x v="234"/>
    <n v="1563"/>
    <x v="1"/>
  </r>
  <r>
    <x v="30"/>
    <x v="0"/>
    <x v="113"/>
    <n v="3"/>
    <x v="0"/>
  </r>
  <r>
    <x v="30"/>
    <x v="0"/>
    <x v="83"/>
    <n v="3"/>
    <x v="0"/>
  </r>
  <r>
    <x v="30"/>
    <x v="0"/>
    <x v="275"/>
    <n v="20"/>
    <x v="0"/>
  </r>
  <r>
    <x v="30"/>
    <x v="0"/>
    <x v="211"/>
    <n v="5"/>
    <x v="0"/>
  </r>
  <r>
    <x v="30"/>
    <x v="0"/>
    <x v="243"/>
    <n v="413"/>
    <x v="1"/>
  </r>
  <r>
    <x v="30"/>
    <x v="0"/>
    <x v="144"/>
    <n v="185"/>
    <x v="1"/>
  </r>
  <r>
    <x v="30"/>
    <x v="0"/>
    <x v="162"/>
    <n v="6"/>
    <x v="0"/>
  </r>
  <r>
    <x v="30"/>
    <x v="0"/>
    <x v="77"/>
    <n v="4"/>
    <x v="0"/>
  </r>
  <r>
    <x v="30"/>
    <x v="0"/>
    <x v="245"/>
    <n v="3559"/>
    <x v="1"/>
  </r>
  <r>
    <x v="30"/>
    <x v="0"/>
    <x v="70"/>
    <n v="6"/>
    <x v="0"/>
  </r>
  <r>
    <x v="30"/>
    <x v="0"/>
    <x v="170"/>
    <n v="2821"/>
    <x v="1"/>
  </r>
  <r>
    <x v="30"/>
    <x v="0"/>
    <x v="65"/>
    <n v="484"/>
    <x v="1"/>
  </r>
  <r>
    <x v="30"/>
    <x v="0"/>
    <x v="51"/>
    <n v="2320"/>
    <x v="1"/>
  </r>
  <r>
    <x v="30"/>
    <x v="0"/>
    <x v="169"/>
    <n v="2"/>
    <x v="0"/>
  </r>
  <r>
    <x v="30"/>
    <x v="0"/>
    <x v="160"/>
    <n v="2"/>
    <x v="0"/>
  </r>
  <r>
    <x v="30"/>
    <x v="0"/>
    <x v="125"/>
    <n v="30"/>
    <x v="0"/>
  </r>
  <r>
    <x v="30"/>
    <x v="0"/>
    <x v="21"/>
    <n v="3013"/>
    <x v="1"/>
  </r>
  <r>
    <x v="30"/>
    <x v="0"/>
    <x v="269"/>
    <n v="1"/>
    <x v="0"/>
  </r>
  <r>
    <x v="30"/>
    <x v="0"/>
    <x v="54"/>
    <n v="12"/>
    <x v="0"/>
  </r>
  <r>
    <x v="30"/>
    <x v="0"/>
    <x v="110"/>
    <n v="22"/>
    <x v="0"/>
  </r>
  <r>
    <x v="30"/>
    <x v="0"/>
    <x v="109"/>
    <n v="3"/>
    <x v="0"/>
  </r>
  <r>
    <x v="30"/>
    <x v="0"/>
    <x v="45"/>
    <n v="12"/>
    <x v="0"/>
  </r>
  <r>
    <x v="30"/>
    <x v="0"/>
    <x v="96"/>
    <n v="35"/>
    <x v="0"/>
  </r>
  <r>
    <x v="30"/>
    <x v="0"/>
    <x v="84"/>
    <n v="12"/>
    <x v="0"/>
  </r>
  <r>
    <x v="30"/>
    <x v="0"/>
    <x v="278"/>
    <n v="49"/>
    <x v="0"/>
  </r>
  <r>
    <x v="30"/>
    <x v="0"/>
    <x v="76"/>
    <n v="5"/>
    <x v="0"/>
  </r>
  <r>
    <x v="30"/>
    <x v="0"/>
    <x v="140"/>
    <n v="2550"/>
    <x v="1"/>
  </r>
  <r>
    <x v="30"/>
    <x v="0"/>
    <x v="16"/>
    <n v="1"/>
    <x v="0"/>
  </r>
  <r>
    <x v="30"/>
    <x v="0"/>
    <x v="0"/>
    <n v="47"/>
    <x v="0"/>
  </r>
  <r>
    <x v="30"/>
    <x v="0"/>
    <x v="171"/>
    <n v="1430"/>
    <x v="1"/>
  </r>
  <r>
    <x v="30"/>
    <x v="0"/>
    <x v="41"/>
    <n v="1"/>
    <x v="0"/>
  </r>
  <r>
    <x v="30"/>
    <x v="0"/>
    <x v="152"/>
    <n v="3083"/>
    <x v="1"/>
  </r>
  <r>
    <x v="30"/>
    <x v="0"/>
    <x v="255"/>
    <n v="1"/>
    <x v="0"/>
  </r>
  <r>
    <x v="30"/>
    <x v="0"/>
    <x v="52"/>
    <n v="2586"/>
    <x v="1"/>
  </r>
  <r>
    <x v="30"/>
    <x v="0"/>
    <x v="4"/>
    <n v="4"/>
    <x v="0"/>
  </r>
  <r>
    <x v="30"/>
    <x v="0"/>
    <x v="105"/>
    <n v="521"/>
    <x v="1"/>
  </r>
  <r>
    <x v="30"/>
    <x v="0"/>
    <x v="212"/>
    <n v="4"/>
    <x v="0"/>
  </r>
  <r>
    <x v="30"/>
    <x v="0"/>
    <x v="53"/>
    <n v="163"/>
    <x v="1"/>
  </r>
  <r>
    <x v="30"/>
    <x v="0"/>
    <x v="276"/>
    <n v="2136"/>
    <x v="1"/>
  </r>
  <r>
    <x v="30"/>
    <x v="0"/>
    <x v="134"/>
    <n v="403"/>
    <x v="1"/>
  </r>
  <r>
    <x v="30"/>
    <x v="0"/>
    <x v="123"/>
    <n v="2167"/>
    <x v="1"/>
  </r>
  <r>
    <x v="30"/>
    <x v="0"/>
    <x v="187"/>
    <n v="1929"/>
    <x v="1"/>
  </r>
  <r>
    <x v="30"/>
    <x v="0"/>
    <x v="47"/>
    <n v="659"/>
    <x v="1"/>
  </r>
  <r>
    <x v="30"/>
    <x v="0"/>
    <x v="137"/>
    <n v="1639"/>
    <x v="1"/>
  </r>
  <r>
    <x v="30"/>
    <x v="0"/>
    <x v="181"/>
    <n v="1591"/>
    <x v="1"/>
  </r>
  <r>
    <x v="30"/>
    <x v="0"/>
    <x v="141"/>
    <n v="2093"/>
    <x v="1"/>
  </r>
  <r>
    <x v="30"/>
    <x v="0"/>
    <x v="117"/>
    <n v="2518"/>
    <x v="1"/>
  </r>
  <r>
    <x v="30"/>
    <x v="0"/>
    <x v="24"/>
    <n v="4"/>
    <x v="0"/>
  </r>
  <r>
    <x v="30"/>
    <x v="0"/>
    <x v="13"/>
    <n v="1"/>
    <x v="0"/>
  </r>
  <r>
    <x v="30"/>
    <x v="0"/>
    <x v="111"/>
    <n v="2495"/>
    <x v="1"/>
  </r>
  <r>
    <x v="30"/>
    <x v="0"/>
    <x v="150"/>
    <n v="3141"/>
    <x v="1"/>
  </r>
  <r>
    <x v="30"/>
    <x v="0"/>
    <x v="257"/>
    <n v="153"/>
    <x v="1"/>
  </r>
  <r>
    <x v="30"/>
    <x v="0"/>
    <x v="236"/>
    <n v="373"/>
    <x v="1"/>
  </r>
  <r>
    <x v="30"/>
    <x v="0"/>
    <x v="127"/>
    <n v="3664"/>
    <x v="1"/>
  </r>
  <r>
    <x v="30"/>
    <x v="0"/>
    <x v="128"/>
    <n v="6"/>
    <x v="0"/>
  </r>
  <r>
    <x v="30"/>
    <x v="0"/>
    <x v="240"/>
    <n v="2217"/>
    <x v="1"/>
  </r>
  <r>
    <x v="30"/>
    <x v="0"/>
    <x v="199"/>
    <n v="3396"/>
    <x v="1"/>
  </r>
  <r>
    <x v="30"/>
    <x v="0"/>
    <x v="27"/>
    <n v="2470"/>
    <x v="1"/>
  </r>
  <r>
    <x v="30"/>
    <x v="0"/>
    <x v="73"/>
    <n v="660"/>
    <x v="1"/>
  </r>
  <r>
    <x v="30"/>
    <x v="0"/>
    <x v="256"/>
    <n v="2154"/>
    <x v="1"/>
  </r>
  <r>
    <x v="30"/>
    <x v="0"/>
    <x v="107"/>
    <n v="4"/>
    <x v="0"/>
  </r>
  <r>
    <x v="30"/>
    <x v="0"/>
    <x v="214"/>
    <n v="2"/>
    <x v="0"/>
  </r>
  <r>
    <x v="30"/>
    <x v="0"/>
    <x v="95"/>
    <n v="3035"/>
    <x v="1"/>
  </r>
  <r>
    <x v="30"/>
    <x v="0"/>
    <x v="221"/>
    <n v="11"/>
    <x v="0"/>
  </r>
  <r>
    <x v="30"/>
    <x v="0"/>
    <x v="146"/>
    <n v="3032"/>
    <x v="1"/>
  </r>
  <r>
    <x v="30"/>
    <x v="0"/>
    <x v="82"/>
    <n v="7"/>
    <x v="0"/>
  </r>
  <r>
    <x v="30"/>
    <x v="0"/>
    <x v="135"/>
    <n v="3504"/>
    <x v="1"/>
  </r>
  <r>
    <x v="30"/>
    <x v="0"/>
    <x v="248"/>
    <n v="3694"/>
    <x v="1"/>
  </r>
  <r>
    <x v="30"/>
    <x v="0"/>
    <x v="204"/>
    <n v="1"/>
    <x v="0"/>
  </r>
  <r>
    <x v="30"/>
    <x v="0"/>
    <x v="33"/>
    <n v="561"/>
    <x v="1"/>
  </r>
  <r>
    <x v="30"/>
    <x v="0"/>
    <x v="58"/>
    <n v="3259"/>
    <x v="1"/>
  </r>
  <r>
    <x v="30"/>
    <x v="0"/>
    <x v="274"/>
    <n v="3185"/>
    <x v="1"/>
  </r>
  <r>
    <x v="30"/>
    <x v="0"/>
    <x v="239"/>
    <n v="2955"/>
    <x v="1"/>
  </r>
  <r>
    <x v="30"/>
    <x v="0"/>
    <x v="205"/>
    <n v="3"/>
    <x v="0"/>
  </r>
  <r>
    <x v="30"/>
    <x v="0"/>
    <x v="72"/>
    <n v="1"/>
    <x v="0"/>
  </r>
  <r>
    <x v="30"/>
    <x v="0"/>
    <x v="14"/>
    <n v="2"/>
    <x v="0"/>
  </r>
  <r>
    <x v="30"/>
    <x v="0"/>
    <x v="184"/>
    <n v="2529"/>
    <x v="1"/>
  </r>
  <r>
    <x v="30"/>
    <x v="0"/>
    <x v="231"/>
    <n v="3"/>
    <x v="0"/>
  </r>
  <r>
    <x v="30"/>
    <x v="0"/>
    <x v="238"/>
    <n v="1"/>
    <x v="0"/>
  </r>
  <r>
    <x v="30"/>
    <x v="0"/>
    <x v="55"/>
    <n v="1"/>
    <x v="0"/>
  </r>
  <r>
    <x v="31"/>
    <x v="0"/>
    <x v="27"/>
    <n v="2502"/>
    <x v="1"/>
  </r>
  <r>
    <x v="31"/>
    <x v="0"/>
    <x v="166"/>
    <n v="1"/>
    <x v="0"/>
  </r>
  <r>
    <x v="31"/>
    <x v="0"/>
    <x v="196"/>
    <n v="1"/>
    <x v="0"/>
  </r>
  <r>
    <x v="31"/>
    <x v="0"/>
    <x v="46"/>
    <n v="2462"/>
    <x v="1"/>
  </r>
  <r>
    <x v="31"/>
    <x v="0"/>
    <x v="241"/>
    <n v="1"/>
    <x v="0"/>
  </r>
  <r>
    <x v="31"/>
    <x v="0"/>
    <x v="41"/>
    <n v="1"/>
    <x v="0"/>
  </r>
  <r>
    <x v="31"/>
    <x v="0"/>
    <x v="111"/>
    <n v="2512"/>
    <x v="1"/>
  </r>
  <r>
    <x v="31"/>
    <x v="0"/>
    <x v="233"/>
    <n v="1"/>
    <x v="0"/>
  </r>
  <r>
    <x v="31"/>
    <x v="0"/>
    <x v="191"/>
    <n v="2177"/>
    <x v="1"/>
  </r>
  <r>
    <x v="31"/>
    <x v="0"/>
    <x v="179"/>
    <n v="8"/>
    <x v="0"/>
  </r>
  <r>
    <x v="31"/>
    <x v="0"/>
    <x v="57"/>
    <n v="11"/>
    <x v="0"/>
  </r>
  <r>
    <x v="31"/>
    <x v="0"/>
    <x v="17"/>
    <n v="967"/>
    <x v="1"/>
  </r>
  <r>
    <x v="31"/>
    <x v="0"/>
    <x v="235"/>
    <n v="7"/>
    <x v="0"/>
  </r>
  <r>
    <x v="31"/>
    <x v="0"/>
    <x v="261"/>
    <n v="2181"/>
    <x v="1"/>
  </r>
  <r>
    <x v="31"/>
    <x v="0"/>
    <x v="11"/>
    <n v="8"/>
    <x v="0"/>
  </r>
  <r>
    <x v="31"/>
    <x v="0"/>
    <x v="198"/>
    <n v="3323"/>
    <x v="1"/>
  </r>
  <r>
    <x v="31"/>
    <x v="0"/>
    <x v="258"/>
    <n v="2871"/>
    <x v="1"/>
  </r>
  <r>
    <x v="31"/>
    <x v="0"/>
    <x v="144"/>
    <n v="183"/>
    <x v="1"/>
  </r>
  <r>
    <x v="31"/>
    <x v="0"/>
    <x v="276"/>
    <n v="2146"/>
    <x v="1"/>
  </r>
  <r>
    <x v="31"/>
    <x v="0"/>
    <x v="245"/>
    <n v="3580"/>
    <x v="1"/>
  </r>
  <r>
    <x v="31"/>
    <x v="0"/>
    <x v="64"/>
    <n v="354"/>
    <x v="1"/>
  </r>
  <r>
    <x v="31"/>
    <x v="0"/>
    <x v="19"/>
    <n v="209"/>
    <x v="1"/>
  </r>
  <r>
    <x v="31"/>
    <x v="0"/>
    <x v="68"/>
    <n v="6"/>
    <x v="0"/>
  </r>
  <r>
    <x v="31"/>
    <x v="0"/>
    <x v="126"/>
    <n v="90"/>
    <x v="0"/>
  </r>
  <r>
    <x v="31"/>
    <x v="0"/>
    <x v="168"/>
    <n v="1997"/>
    <x v="1"/>
  </r>
  <r>
    <x v="31"/>
    <x v="0"/>
    <x v="99"/>
    <n v="2477"/>
    <x v="1"/>
  </r>
  <r>
    <x v="31"/>
    <x v="0"/>
    <x v="182"/>
    <n v="2421"/>
    <x v="1"/>
  </r>
  <r>
    <x v="31"/>
    <x v="0"/>
    <x v="275"/>
    <n v="43"/>
    <x v="0"/>
  </r>
  <r>
    <x v="31"/>
    <x v="0"/>
    <x v="253"/>
    <n v="3322"/>
    <x v="1"/>
  </r>
  <r>
    <x v="31"/>
    <x v="0"/>
    <x v="103"/>
    <n v="19"/>
    <x v="0"/>
  </r>
  <r>
    <x v="31"/>
    <x v="0"/>
    <x v="13"/>
    <n v="1"/>
    <x v="0"/>
  </r>
  <r>
    <x v="31"/>
    <x v="0"/>
    <x v="226"/>
    <n v="253"/>
    <x v="1"/>
  </r>
  <r>
    <x v="31"/>
    <x v="0"/>
    <x v="195"/>
    <n v="3"/>
    <x v="0"/>
  </r>
  <r>
    <x v="31"/>
    <x v="0"/>
    <x v="222"/>
    <n v="1208"/>
    <x v="1"/>
  </r>
  <r>
    <x v="31"/>
    <x v="0"/>
    <x v="252"/>
    <n v="2707"/>
    <x v="1"/>
  </r>
  <r>
    <x v="31"/>
    <x v="0"/>
    <x v="26"/>
    <n v="1"/>
    <x v="0"/>
  </r>
  <r>
    <x v="31"/>
    <x v="0"/>
    <x v="15"/>
    <n v="1"/>
    <x v="0"/>
  </r>
  <r>
    <x v="31"/>
    <x v="0"/>
    <x v="5"/>
    <n v="1"/>
    <x v="0"/>
  </r>
  <r>
    <x v="31"/>
    <x v="0"/>
    <x v="132"/>
    <n v="5"/>
    <x v="0"/>
  </r>
  <r>
    <x v="31"/>
    <x v="0"/>
    <x v="62"/>
    <n v="587"/>
    <x v="1"/>
  </r>
  <r>
    <x v="31"/>
    <x v="0"/>
    <x v="87"/>
    <n v="2507"/>
    <x v="1"/>
  </r>
  <r>
    <x v="31"/>
    <x v="0"/>
    <x v="106"/>
    <n v="2"/>
    <x v="0"/>
  </r>
  <r>
    <x v="31"/>
    <x v="0"/>
    <x v="63"/>
    <n v="872"/>
    <x v="1"/>
  </r>
  <r>
    <x v="31"/>
    <x v="0"/>
    <x v="23"/>
    <n v="10"/>
    <x v="0"/>
  </r>
  <r>
    <x v="31"/>
    <x v="0"/>
    <x v="30"/>
    <n v="1089"/>
    <x v="1"/>
  </r>
  <r>
    <x v="31"/>
    <x v="0"/>
    <x v="91"/>
    <n v="11"/>
    <x v="0"/>
  </r>
  <r>
    <x v="31"/>
    <x v="0"/>
    <x v="28"/>
    <n v="2486"/>
    <x v="1"/>
  </r>
  <r>
    <x v="31"/>
    <x v="0"/>
    <x v="59"/>
    <n v="54"/>
    <x v="0"/>
  </r>
  <r>
    <x v="31"/>
    <x v="0"/>
    <x v="177"/>
    <n v="7"/>
    <x v="0"/>
  </r>
  <r>
    <x v="31"/>
    <x v="0"/>
    <x v="93"/>
    <n v="533"/>
    <x v="1"/>
  </r>
  <r>
    <x v="31"/>
    <x v="0"/>
    <x v="255"/>
    <n v="1"/>
    <x v="0"/>
  </r>
  <r>
    <x v="31"/>
    <x v="0"/>
    <x v="44"/>
    <n v="2992"/>
    <x v="1"/>
  </r>
  <r>
    <x v="31"/>
    <x v="0"/>
    <x v="120"/>
    <n v="81"/>
    <x v="0"/>
  </r>
  <r>
    <x v="31"/>
    <x v="0"/>
    <x v="114"/>
    <n v="130"/>
    <x v="1"/>
  </r>
  <r>
    <x v="31"/>
    <x v="0"/>
    <x v="34"/>
    <n v="1"/>
    <x v="0"/>
  </r>
  <r>
    <x v="31"/>
    <x v="0"/>
    <x v="207"/>
    <n v="1"/>
    <x v="0"/>
  </r>
  <r>
    <x v="31"/>
    <x v="0"/>
    <x v="10"/>
    <n v="178"/>
    <x v="1"/>
  </r>
  <r>
    <x v="31"/>
    <x v="0"/>
    <x v="24"/>
    <n v="4"/>
    <x v="0"/>
  </r>
  <r>
    <x v="31"/>
    <x v="0"/>
    <x v="203"/>
    <n v="1"/>
    <x v="0"/>
  </r>
  <r>
    <x v="31"/>
    <x v="0"/>
    <x v="150"/>
    <n v="3165"/>
    <x v="1"/>
  </r>
  <r>
    <x v="31"/>
    <x v="0"/>
    <x v="66"/>
    <n v="3793"/>
    <x v="1"/>
  </r>
  <r>
    <x v="31"/>
    <x v="0"/>
    <x v="12"/>
    <n v="9"/>
    <x v="0"/>
  </r>
  <r>
    <x v="31"/>
    <x v="0"/>
    <x v="277"/>
    <n v="674"/>
    <x v="1"/>
  </r>
  <r>
    <x v="31"/>
    <x v="0"/>
    <x v="272"/>
    <n v="670"/>
    <x v="1"/>
  </r>
  <r>
    <x v="31"/>
    <x v="0"/>
    <x v="94"/>
    <n v="272"/>
    <x v="1"/>
  </r>
  <r>
    <x v="31"/>
    <x v="0"/>
    <x v="175"/>
    <n v="2"/>
    <x v="0"/>
  </r>
  <r>
    <x v="31"/>
    <x v="0"/>
    <x v="35"/>
    <n v="29"/>
    <x v="0"/>
  </r>
  <r>
    <x v="31"/>
    <x v="0"/>
    <x v="247"/>
    <n v="1373"/>
    <x v="1"/>
  </r>
  <r>
    <x v="31"/>
    <x v="0"/>
    <x v="133"/>
    <n v="13"/>
    <x v="0"/>
  </r>
  <r>
    <x v="31"/>
    <x v="0"/>
    <x v="270"/>
    <n v="60"/>
    <x v="0"/>
  </r>
  <r>
    <x v="31"/>
    <x v="0"/>
    <x v="181"/>
    <n v="1580"/>
    <x v="1"/>
  </r>
  <r>
    <x v="31"/>
    <x v="0"/>
    <x v="263"/>
    <n v="1781"/>
    <x v="1"/>
  </r>
  <r>
    <x v="31"/>
    <x v="0"/>
    <x v="157"/>
    <n v="3"/>
    <x v="0"/>
  </r>
  <r>
    <x v="31"/>
    <x v="0"/>
    <x v="131"/>
    <n v="6"/>
    <x v="0"/>
  </r>
  <r>
    <x v="31"/>
    <x v="0"/>
    <x v="29"/>
    <n v="2"/>
    <x v="0"/>
  </r>
  <r>
    <x v="31"/>
    <x v="0"/>
    <x v="47"/>
    <n v="669"/>
    <x v="1"/>
  </r>
  <r>
    <x v="31"/>
    <x v="0"/>
    <x v="248"/>
    <n v="3726"/>
    <x v="1"/>
  </r>
  <r>
    <x v="31"/>
    <x v="0"/>
    <x v="88"/>
    <n v="3455"/>
    <x v="1"/>
  </r>
  <r>
    <x v="31"/>
    <x v="0"/>
    <x v="237"/>
    <n v="53"/>
    <x v="0"/>
  </r>
  <r>
    <x v="31"/>
    <x v="0"/>
    <x v="154"/>
    <n v="1472"/>
    <x v="1"/>
  </r>
  <r>
    <x v="31"/>
    <x v="0"/>
    <x v="2"/>
    <n v="2627"/>
    <x v="1"/>
  </r>
  <r>
    <x v="31"/>
    <x v="0"/>
    <x v="265"/>
    <n v="1"/>
    <x v="0"/>
  </r>
  <r>
    <x v="31"/>
    <x v="0"/>
    <x v="31"/>
    <n v="7"/>
    <x v="0"/>
  </r>
  <r>
    <x v="31"/>
    <x v="0"/>
    <x v="234"/>
    <n v="1627"/>
    <x v="1"/>
  </r>
  <r>
    <x v="31"/>
    <x v="0"/>
    <x v="274"/>
    <n v="3199"/>
    <x v="1"/>
  </r>
  <r>
    <x v="31"/>
    <x v="0"/>
    <x v="109"/>
    <n v="3"/>
    <x v="0"/>
  </r>
  <r>
    <x v="31"/>
    <x v="0"/>
    <x v="141"/>
    <n v="2100"/>
    <x v="1"/>
  </r>
  <r>
    <x v="31"/>
    <x v="0"/>
    <x v="243"/>
    <n v="456"/>
    <x v="1"/>
  </r>
  <r>
    <x v="31"/>
    <x v="0"/>
    <x v="176"/>
    <n v="2"/>
    <x v="0"/>
  </r>
  <r>
    <x v="31"/>
    <x v="0"/>
    <x v="254"/>
    <n v="186"/>
    <x v="1"/>
  </r>
  <r>
    <x v="31"/>
    <x v="0"/>
    <x v="3"/>
    <n v="880"/>
    <x v="1"/>
  </r>
  <r>
    <x v="31"/>
    <x v="0"/>
    <x v="192"/>
    <n v="2759"/>
    <x v="1"/>
  </r>
  <r>
    <x v="31"/>
    <x v="0"/>
    <x v="220"/>
    <n v="4000"/>
    <x v="1"/>
  </r>
  <r>
    <x v="31"/>
    <x v="0"/>
    <x v="85"/>
    <n v="333"/>
    <x v="1"/>
  </r>
  <r>
    <x v="31"/>
    <x v="0"/>
    <x v="53"/>
    <n v="164"/>
    <x v="1"/>
  </r>
  <r>
    <x v="31"/>
    <x v="0"/>
    <x v="186"/>
    <n v="1715"/>
    <x v="1"/>
  </r>
  <r>
    <x v="31"/>
    <x v="0"/>
    <x v="148"/>
    <n v="3225"/>
    <x v="1"/>
  </r>
  <r>
    <x v="31"/>
    <x v="0"/>
    <x v="218"/>
    <n v="10"/>
    <x v="0"/>
  </r>
  <r>
    <x v="31"/>
    <x v="0"/>
    <x v="225"/>
    <n v="4"/>
    <x v="0"/>
  </r>
  <r>
    <x v="31"/>
    <x v="0"/>
    <x v="172"/>
    <n v="2857"/>
    <x v="1"/>
  </r>
  <r>
    <x v="31"/>
    <x v="0"/>
    <x v="260"/>
    <n v="174"/>
    <x v="1"/>
  </r>
  <r>
    <x v="31"/>
    <x v="0"/>
    <x v="71"/>
    <n v="3461"/>
    <x v="1"/>
  </r>
  <r>
    <x v="31"/>
    <x v="0"/>
    <x v="95"/>
    <n v="3057"/>
    <x v="1"/>
  </r>
  <r>
    <x v="31"/>
    <x v="0"/>
    <x v="204"/>
    <n v="1"/>
    <x v="0"/>
  </r>
  <r>
    <x v="31"/>
    <x v="0"/>
    <x v="185"/>
    <n v="3262"/>
    <x v="1"/>
  </r>
  <r>
    <x v="31"/>
    <x v="0"/>
    <x v="184"/>
    <n v="2554"/>
    <x v="1"/>
  </r>
  <r>
    <x v="31"/>
    <x v="0"/>
    <x v="92"/>
    <n v="6"/>
    <x v="0"/>
  </r>
  <r>
    <x v="31"/>
    <x v="0"/>
    <x v="82"/>
    <n v="7"/>
    <x v="0"/>
  </r>
  <r>
    <x v="31"/>
    <x v="0"/>
    <x v="110"/>
    <n v="21"/>
    <x v="0"/>
  </r>
  <r>
    <x v="31"/>
    <x v="0"/>
    <x v="229"/>
    <n v="1008"/>
    <x v="1"/>
  </r>
  <r>
    <x v="31"/>
    <x v="0"/>
    <x v="69"/>
    <n v="2520"/>
    <x v="1"/>
  </r>
  <r>
    <x v="31"/>
    <x v="0"/>
    <x v="268"/>
    <n v="29"/>
    <x v="0"/>
  </r>
  <r>
    <x v="31"/>
    <x v="0"/>
    <x v="251"/>
    <n v="722"/>
    <x v="1"/>
  </r>
  <r>
    <x v="31"/>
    <x v="0"/>
    <x v="137"/>
    <n v="1674"/>
    <x v="1"/>
  </r>
  <r>
    <x v="31"/>
    <x v="0"/>
    <x v="67"/>
    <n v="1"/>
    <x v="0"/>
  </r>
  <r>
    <x v="31"/>
    <x v="0"/>
    <x v="170"/>
    <n v="2822"/>
    <x v="1"/>
  </r>
  <r>
    <x v="31"/>
    <x v="0"/>
    <x v="271"/>
    <n v="30"/>
    <x v="0"/>
  </r>
  <r>
    <x v="31"/>
    <x v="0"/>
    <x v="18"/>
    <n v="1"/>
    <x v="0"/>
  </r>
  <r>
    <x v="31"/>
    <x v="0"/>
    <x v="139"/>
    <n v="2983"/>
    <x v="1"/>
  </r>
  <r>
    <x v="31"/>
    <x v="0"/>
    <x v="227"/>
    <n v="3"/>
    <x v="0"/>
  </r>
  <r>
    <x v="31"/>
    <x v="0"/>
    <x v="105"/>
    <n v="523"/>
    <x v="1"/>
  </r>
  <r>
    <x v="31"/>
    <x v="0"/>
    <x v="70"/>
    <n v="6"/>
    <x v="0"/>
  </r>
  <r>
    <x v="31"/>
    <x v="0"/>
    <x v="249"/>
    <n v="99"/>
    <x v="0"/>
  </r>
  <r>
    <x v="31"/>
    <x v="0"/>
    <x v="115"/>
    <n v="5003"/>
    <x v="1"/>
  </r>
  <r>
    <x v="31"/>
    <x v="0"/>
    <x v="37"/>
    <n v="282"/>
    <x v="1"/>
  </r>
  <r>
    <x v="31"/>
    <x v="0"/>
    <x v="136"/>
    <n v="17"/>
    <x v="0"/>
  </r>
  <r>
    <x v="31"/>
    <x v="0"/>
    <x v="58"/>
    <n v="3272"/>
    <x v="1"/>
  </r>
  <r>
    <x v="31"/>
    <x v="0"/>
    <x v="1"/>
    <n v="27"/>
    <x v="0"/>
  </r>
  <r>
    <x v="31"/>
    <x v="0"/>
    <x v="269"/>
    <n v="1"/>
    <x v="0"/>
  </r>
  <r>
    <x v="31"/>
    <x v="0"/>
    <x v="55"/>
    <n v="1"/>
    <x v="0"/>
  </r>
  <r>
    <x v="31"/>
    <x v="0"/>
    <x v="123"/>
    <n v="2155"/>
    <x v="1"/>
  </r>
  <r>
    <x v="31"/>
    <x v="0"/>
    <x v="160"/>
    <n v="2"/>
    <x v="0"/>
  </r>
  <r>
    <x v="31"/>
    <x v="0"/>
    <x v="118"/>
    <n v="2678"/>
    <x v="1"/>
  </r>
  <r>
    <x v="31"/>
    <x v="0"/>
    <x v="78"/>
    <n v="1"/>
    <x v="0"/>
  </r>
  <r>
    <x v="31"/>
    <x v="0"/>
    <x v="113"/>
    <n v="4"/>
    <x v="0"/>
  </r>
  <r>
    <x v="31"/>
    <x v="0"/>
    <x v="33"/>
    <n v="600"/>
    <x v="1"/>
  </r>
  <r>
    <x v="31"/>
    <x v="0"/>
    <x v="188"/>
    <n v="2553"/>
    <x v="1"/>
  </r>
  <r>
    <x v="31"/>
    <x v="0"/>
    <x v="242"/>
    <n v="118"/>
    <x v="1"/>
  </r>
  <r>
    <x v="31"/>
    <x v="0"/>
    <x v="7"/>
    <n v="1025"/>
    <x v="1"/>
  </r>
  <r>
    <x v="31"/>
    <x v="0"/>
    <x v="98"/>
    <n v="18"/>
    <x v="0"/>
  </r>
  <r>
    <x v="31"/>
    <x v="0"/>
    <x v="279"/>
    <n v="27"/>
    <x v="0"/>
  </r>
  <r>
    <x v="31"/>
    <x v="0"/>
    <x v="140"/>
    <n v="2557"/>
    <x v="1"/>
  </r>
  <r>
    <x v="31"/>
    <x v="0"/>
    <x v="129"/>
    <n v="951"/>
    <x v="1"/>
  </r>
  <r>
    <x v="31"/>
    <x v="0"/>
    <x v="143"/>
    <n v="3560"/>
    <x v="1"/>
  </r>
  <r>
    <x v="31"/>
    <x v="0"/>
    <x v="8"/>
    <n v="2228"/>
    <x v="1"/>
  </r>
  <r>
    <x v="31"/>
    <x v="0"/>
    <x v="278"/>
    <n v="64"/>
    <x v="0"/>
  </r>
  <r>
    <x v="31"/>
    <x v="0"/>
    <x v="51"/>
    <n v="2312"/>
    <x v="1"/>
  </r>
  <r>
    <x v="31"/>
    <x v="0"/>
    <x v="104"/>
    <n v="1"/>
    <x v="0"/>
  </r>
  <r>
    <x v="31"/>
    <x v="0"/>
    <x v="50"/>
    <n v="333"/>
    <x v="1"/>
  </r>
  <r>
    <x v="31"/>
    <x v="0"/>
    <x v="280"/>
    <n v="6"/>
    <x v="0"/>
  </r>
  <r>
    <x v="31"/>
    <x v="0"/>
    <x v="246"/>
    <n v="2512"/>
    <x v="1"/>
  </r>
  <r>
    <x v="31"/>
    <x v="0"/>
    <x v="281"/>
    <n v="82"/>
    <x v="0"/>
  </r>
  <r>
    <x v="31"/>
    <x v="0"/>
    <x v="264"/>
    <n v="1"/>
    <x v="0"/>
  </r>
  <r>
    <x v="31"/>
    <x v="0"/>
    <x v="97"/>
    <n v="390"/>
    <x v="1"/>
  </r>
  <r>
    <x v="31"/>
    <x v="0"/>
    <x v="257"/>
    <n v="191"/>
    <x v="1"/>
  </r>
  <r>
    <x v="31"/>
    <x v="0"/>
    <x v="240"/>
    <n v="2234"/>
    <x v="1"/>
  </r>
  <r>
    <x v="31"/>
    <x v="0"/>
    <x v="25"/>
    <n v="8"/>
    <x v="0"/>
  </r>
  <r>
    <x v="31"/>
    <x v="0"/>
    <x v="183"/>
    <n v="3456"/>
    <x v="1"/>
  </r>
  <r>
    <x v="31"/>
    <x v="0"/>
    <x v="83"/>
    <n v="3"/>
    <x v="0"/>
  </r>
  <r>
    <x v="31"/>
    <x v="0"/>
    <x v="127"/>
    <n v="3675"/>
    <x v="1"/>
  </r>
  <r>
    <x v="31"/>
    <x v="0"/>
    <x v="193"/>
    <n v="588"/>
    <x v="1"/>
  </r>
  <r>
    <x v="31"/>
    <x v="0"/>
    <x v="231"/>
    <n v="3"/>
    <x v="0"/>
  </r>
  <r>
    <x v="31"/>
    <x v="0"/>
    <x v="86"/>
    <n v="3160"/>
    <x v="1"/>
  </r>
  <r>
    <x v="31"/>
    <x v="0"/>
    <x v="153"/>
    <n v="57"/>
    <x v="0"/>
  </r>
  <r>
    <x v="31"/>
    <x v="0"/>
    <x v="45"/>
    <n v="22"/>
    <x v="0"/>
  </r>
  <r>
    <x v="31"/>
    <x v="0"/>
    <x v="159"/>
    <n v="1"/>
    <x v="0"/>
  </r>
  <r>
    <x v="31"/>
    <x v="0"/>
    <x v="167"/>
    <n v="2692"/>
    <x v="1"/>
  </r>
  <r>
    <x v="31"/>
    <x v="0"/>
    <x v="52"/>
    <n v="2585"/>
    <x v="1"/>
  </r>
  <r>
    <x v="31"/>
    <x v="0"/>
    <x v="102"/>
    <n v="2984"/>
    <x v="1"/>
  </r>
  <r>
    <x v="31"/>
    <x v="0"/>
    <x v="190"/>
    <n v="3266"/>
    <x v="1"/>
  </r>
  <r>
    <x v="31"/>
    <x v="0"/>
    <x v="74"/>
    <n v="2647"/>
    <x v="1"/>
  </r>
  <r>
    <x v="31"/>
    <x v="0"/>
    <x v="134"/>
    <n v="379"/>
    <x v="1"/>
  </r>
  <r>
    <x v="31"/>
    <x v="0"/>
    <x v="135"/>
    <n v="3537"/>
    <x v="1"/>
  </r>
  <r>
    <x v="31"/>
    <x v="0"/>
    <x v="189"/>
    <n v="3200"/>
    <x v="1"/>
  </r>
  <r>
    <x v="31"/>
    <x v="0"/>
    <x v="282"/>
    <n v="24"/>
    <x v="0"/>
  </r>
  <r>
    <x v="31"/>
    <x v="0"/>
    <x v="16"/>
    <n v="1"/>
    <x v="0"/>
  </r>
  <r>
    <x v="31"/>
    <x v="0"/>
    <x v="128"/>
    <n v="7"/>
    <x v="0"/>
  </r>
  <r>
    <x v="31"/>
    <x v="0"/>
    <x v="76"/>
    <n v="5"/>
    <x v="0"/>
  </r>
  <r>
    <x v="31"/>
    <x v="0"/>
    <x v="232"/>
    <n v="2471"/>
    <x v="1"/>
  </r>
  <r>
    <x v="31"/>
    <x v="0"/>
    <x v="75"/>
    <n v="177"/>
    <x v="1"/>
  </r>
  <r>
    <x v="31"/>
    <x v="0"/>
    <x v="4"/>
    <n v="4"/>
    <x v="0"/>
  </r>
  <r>
    <x v="31"/>
    <x v="0"/>
    <x v="212"/>
    <n v="4"/>
    <x v="0"/>
  </r>
  <r>
    <x v="31"/>
    <x v="0"/>
    <x v="125"/>
    <n v="36"/>
    <x v="0"/>
  </r>
  <r>
    <x v="31"/>
    <x v="0"/>
    <x v="38"/>
    <n v="1740"/>
    <x v="1"/>
  </r>
  <r>
    <x v="31"/>
    <x v="0"/>
    <x v="65"/>
    <n v="482"/>
    <x v="1"/>
  </r>
  <r>
    <x v="31"/>
    <x v="0"/>
    <x v="121"/>
    <n v="2534"/>
    <x v="1"/>
  </r>
  <r>
    <x v="31"/>
    <x v="0"/>
    <x v="197"/>
    <n v="2404"/>
    <x v="1"/>
  </r>
  <r>
    <x v="31"/>
    <x v="0"/>
    <x v="90"/>
    <n v="224"/>
    <x v="1"/>
  </r>
  <r>
    <x v="31"/>
    <x v="0"/>
    <x v="14"/>
    <n v="2"/>
    <x v="0"/>
  </r>
  <r>
    <x v="31"/>
    <x v="0"/>
    <x v="162"/>
    <n v="6"/>
    <x v="0"/>
  </r>
  <r>
    <x v="31"/>
    <x v="0"/>
    <x v="259"/>
    <n v="1"/>
    <x v="0"/>
  </r>
  <r>
    <x v="31"/>
    <x v="0"/>
    <x v="54"/>
    <n v="12"/>
    <x v="0"/>
  </r>
  <r>
    <x v="31"/>
    <x v="0"/>
    <x v="250"/>
    <n v="2179"/>
    <x v="1"/>
  </r>
  <r>
    <x v="31"/>
    <x v="0"/>
    <x v="116"/>
    <n v="2332"/>
    <x v="1"/>
  </r>
  <r>
    <x v="31"/>
    <x v="0"/>
    <x v="256"/>
    <n v="2171"/>
    <x v="1"/>
  </r>
  <r>
    <x v="31"/>
    <x v="0"/>
    <x v="221"/>
    <n v="11"/>
    <x v="0"/>
  </r>
  <r>
    <x v="31"/>
    <x v="0"/>
    <x v="169"/>
    <n v="2"/>
    <x v="0"/>
  </r>
  <r>
    <x v="31"/>
    <x v="0"/>
    <x v="107"/>
    <n v="4"/>
    <x v="0"/>
  </r>
  <r>
    <x v="31"/>
    <x v="0"/>
    <x v="9"/>
    <n v="1"/>
    <x v="0"/>
  </r>
  <r>
    <x v="31"/>
    <x v="0"/>
    <x v="164"/>
    <n v="128"/>
    <x v="1"/>
  </r>
  <r>
    <x v="31"/>
    <x v="0"/>
    <x v="117"/>
    <n v="2546"/>
    <x v="1"/>
  </r>
  <r>
    <x v="31"/>
    <x v="0"/>
    <x v="21"/>
    <n v="3005"/>
    <x v="1"/>
  </r>
  <r>
    <x v="31"/>
    <x v="0"/>
    <x v="142"/>
    <n v="2480"/>
    <x v="1"/>
  </r>
  <r>
    <x v="31"/>
    <x v="0"/>
    <x v="187"/>
    <n v="1928"/>
    <x v="1"/>
  </r>
  <r>
    <x v="31"/>
    <x v="0"/>
    <x v="146"/>
    <n v="3089"/>
    <x v="1"/>
  </r>
  <r>
    <x v="31"/>
    <x v="0"/>
    <x v="238"/>
    <n v="1"/>
    <x v="0"/>
  </r>
  <r>
    <x v="31"/>
    <x v="0"/>
    <x v="171"/>
    <n v="1381"/>
    <x v="1"/>
  </r>
  <r>
    <x v="31"/>
    <x v="0"/>
    <x v="244"/>
    <n v="106"/>
    <x v="1"/>
  </r>
  <r>
    <x v="31"/>
    <x v="0"/>
    <x v="96"/>
    <n v="35"/>
    <x v="0"/>
  </r>
  <r>
    <x v="31"/>
    <x v="0"/>
    <x v="89"/>
    <n v="1950"/>
    <x v="1"/>
  </r>
  <r>
    <x v="31"/>
    <x v="0"/>
    <x v="48"/>
    <n v="1"/>
    <x v="0"/>
  </r>
  <r>
    <x v="31"/>
    <x v="0"/>
    <x v="214"/>
    <n v="2"/>
    <x v="0"/>
  </r>
  <r>
    <x v="31"/>
    <x v="0"/>
    <x v="236"/>
    <n v="360"/>
    <x v="1"/>
  </r>
  <r>
    <x v="31"/>
    <x v="0"/>
    <x v="77"/>
    <n v="4"/>
    <x v="0"/>
  </r>
  <r>
    <x v="31"/>
    <x v="0"/>
    <x v="124"/>
    <n v="1"/>
    <x v="0"/>
  </r>
  <r>
    <x v="31"/>
    <x v="0"/>
    <x v="205"/>
    <n v="3"/>
    <x v="0"/>
  </r>
  <r>
    <x v="31"/>
    <x v="0"/>
    <x v="152"/>
    <n v="3103"/>
    <x v="1"/>
  </r>
  <r>
    <x v="31"/>
    <x v="0"/>
    <x v="79"/>
    <n v="2520"/>
    <x v="1"/>
  </r>
  <r>
    <x v="31"/>
    <x v="0"/>
    <x v="73"/>
    <n v="661"/>
    <x v="1"/>
  </r>
  <r>
    <x v="31"/>
    <x v="0"/>
    <x v="0"/>
    <n v="47"/>
    <x v="0"/>
  </r>
  <r>
    <x v="31"/>
    <x v="0"/>
    <x v="22"/>
    <n v="3705"/>
    <x v="1"/>
  </r>
  <r>
    <x v="31"/>
    <x v="0"/>
    <x v="273"/>
    <n v="89"/>
    <x v="0"/>
  </r>
  <r>
    <x v="31"/>
    <x v="0"/>
    <x v="211"/>
    <n v="5"/>
    <x v="0"/>
  </r>
  <r>
    <x v="31"/>
    <x v="0"/>
    <x v="199"/>
    <n v="3429"/>
    <x v="1"/>
  </r>
  <r>
    <x v="31"/>
    <x v="0"/>
    <x v="72"/>
    <n v="1"/>
    <x v="0"/>
  </r>
  <r>
    <x v="31"/>
    <x v="0"/>
    <x v="239"/>
    <n v="2972"/>
    <x v="1"/>
  </r>
  <r>
    <x v="31"/>
    <x v="0"/>
    <x v="84"/>
    <n v="12"/>
    <x v="0"/>
  </r>
  <r>
    <x v="31"/>
    <x v="0"/>
    <x v="32"/>
    <n v="1152"/>
    <x v="1"/>
  </r>
  <r>
    <x v="32"/>
    <x v="0"/>
    <x v="79"/>
    <n v="2143"/>
    <x v="1"/>
  </r>
  <r>
    <x v="32"/>
    <x v="0"/>
    <x v="159"/>
    <n v="1"/>
    <x v="0"/>
  </r>
  <r>
    <x v="32"/>
    <x v="0"/>
    <x v="83"/>
    <n v="3"/>
    <x v="0"/>
  </r>
  <r>
    <x v="32"/>
    <x v="0"/>
    <x v="124"/>
    <n v="1"/>
    <x v="0"/>
  </r>
  <r>
    <x v="32"/>
    <x v="0"/>
    <x v="11"/>
    <n v="8"/>
    <x v="0"/>
  </r>
  <r>
    <x v="32"/>
    <x v="0"/>
    <x v="249"/>
    <n v="114"/>
    <x v="1"/>
  </r>
  <r>
    <x v="32"/>
    <x v="0"/>
    <x v="4"/>
    <n v="4"/>
    <x v="0"/>
  </r>
  <r>
    <x v="32"/>
    <x v="0"/>
    <x v="102"/>
    <n v="3003"/>
    <x v="1"/>
  </r>
  <r>
    <x v="32"/>
    <x v="0"/>
    <x v="279"/>
    <n v="40"/>
    <x v="0"/>
  </r>
  <r>
    <x v="32"/>
    <x v="0"/>
    <x v="256"/>
    <n v="2183"/>
    <x v="1"/>
  </r>
  <r>
    <x v="32"/>
    <x v="0"/>
    <x v="16"/>
    <n v="1"/>
    <x v="0"/>
  </r>
  <r>
    <x v="32"/>
    <x v="0"/>
    <x v="55"/>
    <n v="1"/>
    <x v="0"/>
  </r>
  <r>
    <x v="32"/>
    <x v="0"/>
    <x v="152"/>
    <n v="3109"/>
    <x v="1"/>
  </r>
  <r>
    <x v="32"/>
    <x v="0"/>
    <x v="241"/>
    <n v="1"/>
    <x v="0"/>
  </r>
  <r>
    <x v="32"/>
    <x v="0"/>
    <x v="234"/>
    <n v="1650"/>
    <x v="1"/>
  </r>
  <r>
    <x v="32"/>
    <x v="0"/>
    <x v="183"/>
    <n v="3480"/>
    <x v="1"/>
  </r>
  <r>
    <x v="32"/>
    <x v="0"/>
    <x v="280"/>
    <n v="17"/>
    <x v="0"/>
  </r>
  <r>
    <x v="32"/>
    <x v="0"/>
    <x v="19"/>
    <n v="209"/>
    <x v="1"/>
  </r>
  <r>
    <x v="32"/>
    <x v="0"/>
    <x v="172"/>
    <n v="2921"/>
    <x v="1"/>
  </r>
  <r>
    <x v="32"/>
    <x v="0"/>
    <x v="58"/>
    <n v="3261"/>
    <x v="1"/>
  </r>
  <r>
    <x v="32"/>
    <x v="0"/>
    <x v="7"/>
    <n v="1014"/>
    <x v="1"/>
  </r>
  <r>
    <x v="32"/>
    <x v="0"/>
    <x v="43"/>
    <n v="1"/>
    <x v="0"/>
  </r>
  <r>
    <x v="32"/>
    <x v="0"/>
    <x v="184"/>
    <n v="2588"/>
    <x v="1"/>
  </r>
  <r>
    <x v="32"/>
    <x v="0"/>
    <x v="52"/>
    <n v="2592"/>
    <x v="1"/>
  </r>
  <r>
    <x v="32"/>
    <x v="0"/>
    <x v="34"/>
    <n v="1"/>
    <x v="0"/>
  </r>
  <r>
    <x v="32"/>
    <x v="0"/>
    <x v="44"/>
    <n v="3024"/>
    <x v="1"/>
  </r>
  <r>
    <x v="32"/>
    <x v="0"/>
    <x v="193"/>
    <n v="550"/>
    <x v="1"/>
  </r>
  <r>
    <x v="32"/>
    <x v="0"/>
    <x v="126"/>
    <n v="91"/>
    <x v="0"/>
  </r>
  <r>
    <x v="32"/>
    <x v="0"/>
    <x v="134"/>
    <n v="318"/>
    <x v="1"/>
  </r>
  <r>
    <x v="32"/>
    <x v="0"/>
    <x v="63"/>
    <n v="908"/>
    <x v="1"/>
  </r>
  <r>
    <x v="32"/>
    <x v="0"/>
    <x v="171"/>
    <n v="1373"/>
    <x v="1"/>
  </r>
  <r>
    <x v="32"/>
    <x v="0"/>
    <x v="74"/>
    <n v="2651"/>
    <x v="1"/>
  </r>
  <r>
    <x v="32"/>
    <x v="0"/>
    <x v="24"/>
    <n v="4"/>
    <x v="0"/>
  </r>
  <r>
    <x v="32"/>
    <x v="0"/>
    <x v="214"/>
    <n v="2"/>
    <x v="0"/>
  </r>
  <r>
    <x v="32"/>
    <x v="0"/>
    <x v="111"/>
    <n v="2530"/>
    <x v="1"/>
  </r>
  <r>
    <x v="32"/>
    <x v="0"/>
    <x v="282"/>
    <n v="57"/>
    <x v="0"/>
  </r>
  <r>
    <x v="32"/>
    <x v="0"/>
    <x v="123"/>
    <n v="2164"/>
    <x v="1"/>
  </r>
  <r>
    <x v="32"/>
    <x v="0"/>
    <x v="187"/>
    <n v="1927"/>
    <x v="1"/>
  </r>
  <r>
    <x v="32"/>
    <x v="0"/>
    <x v="162"/>
    <n v="6"/>
    <x v="0"/>
  </r>
  <r>
    <x v="32"/>
    <x v="0"/>
    <x v="21"/>
    <n v="3001"/>
    <x v="1"/>
  </r>
  <r>
    <x v="32"/>
    <x v="0"/>
    <x v="91"/>
    <n v="10"/>
    <x v="0"/>
  </r>
  <r>
    <x v="32"/>
    <x v="0"/>
    <x v="128"/>
    <n v="9"/>
    <x v="0"/>
  </r>
  <r>
    <x v="32"/>
    <x v="0"/>
    <x v="26"/>
    <n v="1"/>
    <x v="0"/>
  </r>
  <r>
    <x v="32"/>
    <x v="0"/>
    <x v="82"/>
    <n v="7"/>
    <x v="0"/>
  </r>
  <r>
    <x v="32"/>
    <x v="0"/>
    <x v="22"/>
    <n v="3729"/>
    <x v="1"/>
  </r>
  <r>
    <x v="32"/>
    <x v="0"/>
    <x v="103"/>
    <n v="19"/>
    <x v="0"/>
  </r>
  <r>
    <x v="32"/>
    <x v="0"/>
    <x v="248"/>
    <n v="3757"/>
    <x v="1"/>
  </r>
  <r>
    <x v="32"/>
    <x v="0"/>
    <x v="150"/>
    <n v="3185"/>
    <x v="1"/>
  </r>
  <r>
    <x v="32"/>
    <x v="0"/>
    <x v="259"/>
    <n v="1"/>
    <x v="0"/>
  </r>
  <r>
    <x v="32"/>
    <x v="0"/>
    <x v="99"/>
    <n v="2489"/>
    <x v="1"/>
  </r>
  <r>
    <x v="32"/>
    <x v="0"/>
    <x v="243"/>
    <n v="501"/>
    <x v="1"/>
  </r>
  <r>
    <x v="32"/>
    <x v="0"/>
    <x v="45"/>
    <n v="22"/>
    <x v="0"/>
  </r>
  <r>
    <x v="32"/>
    <x v="0"/>
    <x v="96"/>
    <n v="33"/>
    <x v="0"/>
  </r>
  <r>
    <x v="32"/>
    <x v="0"/>
    <x v="92"/>
    <n v="6"/>
    <x v="0"/>
  </r>
  <r>
    <x v="32"/>
    <x v="0"/>
    <x v="57"/>
    <n v="11"/>
    <x v="0"/>
  </r>
  <r>
    <x v="32"/>
    <x v="0"/>
    <x v="276"/>
    <n v="2163"/>
    <x v="1"/>
  </r>
  <r>
    <x v="32"/>
    <x v="0"/>
    <x v="72"/>
    <n v="1"/>
    <x v="0"/>
  </r>
  <r>
    <x v="32"/>
    <x v="0"/>
    <x v="263"/>
    <n v="1800"/>
    <x v="1"/>
  </r>
  <r>
    <x v="32"/>
    <x v="0"/>
    <x v="133"/>
    <n v="14"/>
    <x v="0"/>
  </r>
  <r>
    <x v="32"/>
    <x v="0"/>
    <x v="140"/>
    <n v="2590"/>
    <x v="1"/>
  </r>
  <r>
    <x v="32"/>
    <x v="0"/>
    <x v="76"/>
    <n v="5"/>
    <x v="0"/>
  </r>
  <r>
    <x v="32"/>
    <x v="0"/>
    <x v="30"/>
    <n v="1099"/>
    <x v="1"/>
  </r>
  <r>
    <x v="32"/>
    <x v="0"/>
    <x v="189"/>
    <n v="3222"/>
    <x v="1"/>
  </r>
  <r>
    <x v="32"/>
    <x v="0"/>
    <x v="95"/>
    <n v="3092"/>
    <x v="1"/>
  </r>
  <r>
    <x v="32"/>
    <x v="0"/>
    <x v="260"/>
    <n v="182"/>
    <x v="1"/>
  </r>
  <r>
    <x v="32"/>
    <x v="0"/>
    <x v="70"/>
    <n v="7"/>
    <x v="0"/>
  </r>
  <r>
    <x v="32"/>
    <x v="0"/>
    <x v="148"/>
    <n v="3240"/>
    <x v="1"/>
  </r>
  <r>
    <x v="32"/>
    <x v="0"/>
    <x v="77"/>
    <n v="5"/>
    <x v="0"/>
  </r>
  <r>
    <x v="32"/>
    <x v="0"/>
    <x v="65"/>
    <n v="485"/>
    <x v="1"/>
  </r>
  <r>
    <x v="32"/>
    <x v="0"/>
    <x v="191"/>
    <n v="2189"/>
    <x v="1"/>
  </r>
  <r>
    <x v="32"/>
    <x v="0"/>
    <x v="89"/>
    <n v="1955"/>
    <x v="1"/>
  </r>
  <r>
    <x v="32"/>
    <x v="0"/>
    <x v="46"/>
    <n v="2534"/>
    <x v="1"/>
  </r>
  <r>
    <x v="32"/>
    <x v="0"/>
    <x v="127"/>
    <n v="3688"/>
    <x v="1"/>
  </r>
  <r>
    <x v="32"/>
    <x v="0"/>
    <x v="261"/>
    <n v="2190"/>
    <x v="1"/>
  </r>
  <r>
    <x v="32"/>
    <x v="0"/>
    <x v="196"/>
    <n v="1"/>
    <x v="0"/>
  </r>
  <r>
    <x v="32"/>
    <x v="0"/>
    <x v="197"/>
    <n v="2407"/>
    <x v="1"/>
  </r>
  <r>
    <x v="32"/>
    <x v="0"/>
    <x v="204"/>
    <n v="1"/>
    <x v="0"/>
  </r>
  <r>
    <x v="32"/>
    <x v="0"/>
    <x v="139"/>
    <n v="3006"/>
    <x v="1"/>
  </r>
  <r>
    <x v="32"/>
    <x v="0"/>
    <x v="29"/>
    <n v="2"/>
    <x v="0"/>
  </r>
  <r>
    <x v="32"/>
    <x v="0"/>
    <x v="220"/>
    <n v="4037"/>
    <x v="1"/>
  </r>
  <r>
    <x v="32"/>
    <x v="0"/>
    <x v="170"/>
    <n v="2826"/>
    <x v="1"/>
  </r>
  <r>
    <x v="32"/>
    <x v="0"/>
    <x v="264"/>
    <n v="1"/>
    <x v="0"/>
  </r>
  <r>
    <x v="32"/>
    <x v="0"/>
    <x v="252"/>
    <n v="2730"/>
    <x v="1"/>
  </r>
  <r>
    <x v="32"/>
    <x v="0"/>
    <x v="48"/>
    <n v="1"/>
    <x v="0"/>
  </r>
  <r>
    <x v="32"/>
    <x v="0"/>
    <x v="251"/>
    <n v="741"/>
    <x v="1"/>
  </r>
  <r>
    <x v="32"/>
    <x v="0"/>
    <x v="107"/>
    <n v="4"/>
    <x v="0"/>
  </r>
  <r>
    <x v="32"/>
    <x v="0"/>
    <x v="283"/>
    <n v="3642"/>
    <x v="1"/>
  </r>
  <r>
    <x v="32"/>
    <x v="0"/>
    <x v="281"/>
    <n v="102"/>
    <x v="1"/>
  </r>
  <r>
    <x v="32"/>
    <x v="0"/>
    <x v="118"/>
    <n v="2706"/>
    <x v="1"/>
  </r>
  <r>
    <x v="32"/>
    <x v="0"/>
    <x v="199"/>
    <n v="3482"/>
    <x v="1"/>
  </r>
  <r>
    <x v="32"/>
    <x v="0"/>
    <x v="135"/>
    <n v="3574"/>
    <x v="1"/>
  </r>
  <r>
    <x v="32"/>
    <x v="0"/>
    <x v="137"/>
    <n v="1701"/>
    <x v="1"/>
  </r>
  <r>
    <x v="32"/>
    <x v="0"/>
    <x v="203"/>
    <n v="1"/>
    <x v="0"/>
  </r>
  <r>
    <x v="32"/>
    <x v="0"/>
    <x v="50"/>
    <n v="333"/>
    <x v="1"/>
  </r>
  <r>
    <x v="32"/>
    <x v="0"/>
    <x v="106"/>
    <n v="2"/>
    <x v="0"/>
  </r>
  <r>
    <x v="32"/>
    <x v="0"/>
    <x v="250"/>
    <n v="2203"/>
    <x v="1"/>
  </r>
  <r>
    <x v="32"/>
    <x v="0"/>
    <x v="212"/>
    <n v="4"/>
    <x v="0"/>
  </r>
  <r>
    <x v="32"/>
    <x v="0"/>
    <x v="277"/>
    <n v="677"/>
    <x v="1"/>
  </r>
  <r>
    <x v="32"/>
    <x v="0"/>
    <x v="131"/>
    <n v="6"/>
    <x v="0"/>
  </r>
  <r>
    <x v="32"/>
    <x v="0"/>
    <x v="231"/>
    <n v="3"/>
    <x v="0"/>
  </r>
  <r>
    <x v="32"/>
    <x v="0"/>
    <x v="254"/>
    <n v="184"/>
    <x v="1"/>
  </r>
  <r>
    <x v="32"/>
    <x v="0"/>
    <x v="168"/>
    <n v="2004"/>
    <x v="1"/>
  </r>
  <r>
    <x v="32"/>
    <x v="0"/>
    <x v="154"/>
    <n v="1480"/>
    <x v="1"/>
  </r>
  <r>
    <x v="32"/>
    <x v="0"/>
    <x v="32"/>
    <n v="1150"/>
    <x v="1"/>
  </r>
  <r>
    <x v="32"/>
    <x v="0"/>
    <x v="146"/>
    <n v="3139"/>
    <x v="1"/>
  </r>
  <r>
    <x v="32"/>
    <x v="0"/>
    <x v="142"/>
    <n v="2490"/>
    <x v="1"/>
  </r>
  <r>
    <x v="32"/>
    <x v="0"/>
    <x v="240"/>
    <n v="2239"/>
    <x v="1"/>
  </r>
  <r>
    <x v="32"/>
    <x v="0"/>
    <x v="125"/>
    <n v="37"/>
    <x v="0"/>
  </r>
  <r>
    <x v="32"/>
    <x v="0"/>
    <x v="110"/>
    <n v="2"/>
    <x v="0"/>
  </r>
  <r>
    <x v="32"/>
    <x v="0"/>
    <x v="41"/>
    <n v="1"/>
    <x v="0"/>
  </r>
  <r>
    <x v="32"/>
    <x v="0"/>
    <x v="14"/>
    <n v="2"/>
    <x v="0"/>
  </r>
  <r>
    <x v="32"/>
    <x v="0"/>
    <x v="237"/>
    <n v="52"/>
    <x v="0"/>
  </r>
  <r>
    <x v="32"/>
    <x v="0"/>
    <x v="141"/>
    <n v="2147"/>
    <x v="1"/>
  </r>
  <r>
    <x v="32"/>
    <x v="0"/>
    <x v="238"/>
    <n v="1"/>
    <x v="0"/>
  </r>
  <r>
    <x v="32"/>
    <x v="0"/>
    <x v="236"/>
    <n v="344"/>
    <x v="1"/>
  </r>
  <r>
    <x v="32"/>
    <x v="0"/>
    <x v="265"/>
    <n v="1"/>
    <x v="0"/>
  </r>
  <r>
    <x v="32"/>
    <x v="0"/>
    <x v="195"/>
    <n v="4"/>
    <x v="0"/>
  </r>
  <r>
    <x v="32"/>
    <x v="0"/>
    <x v="164"/>
    <n v="131"/>
    <x v="1"/>
  </r>
  <r>
    <x v="32"/>
    <x v="0"/>
    <x v="273"/>
    <n v="3297"/>
    <x v="1"/>
  </r>
  <r>
    <x v="32"/>
    <x v="0"/>
    <x v="59"/>
    <n v="59"/>
    <x v="0"/>
  </r>
  <r>
    <x v="32"/>
    <x v="0"/>
    <x v="73"/>
    <n v="659"/>
    <x v="1"/>
  </r>
  <r>
    <x v="32"/>
    <x v="0"/>
    <x v="3"/>
    <n v="879"/>
    <x v="1"/>
  </r>
  <r>
    <x v="32"/>
    <x v="0"/>
    <x v="221"/>
    <n v="11"/>
    <x v="0"/>
  </r>
  <r>
    <x v="32"/>
    <x v="0"/>
    <x v="64"/>
    <n v="358"/>
    <x v="1"/>
  </r>
  <r>
    <x v="32"/>
    <x v="0"/>
    <x v="33"/>
    <n v="611"/>
    <x v="1"/>
  </r>
  <r>
    <x v="32"/>
    <x v="0"/>
    <x v="275"/>
    <n v="10"/>
    <x v="0"/>
  </r>
  <r>
    <x v="32"/>
    <x v="0"/>
    <x v="227"/>
    <n v="3"/>
    <x v="0"/>
  </r>
  <r>
    <x v="32"/>
    <x v="0"/>
    <x v="120"/>
    <n v="81"/>
    <x v="0"/>
  </r>
  <r>
    <x v="32"/>
    <x v="0"/>
    <x v="53"/>
    <n v="166"/>
    <x v="1"/>
  </r>
  <r>
    <x v="32"/>
    <x v="0"/>
    <x v="190"/>
    <n v="3294"/>
    <x v="1"/>
  </r>
  <r>
    <x v="32"/>
    <x v="0"/>
    <x v="105"/>
    <n v="527"/>
    <x v="1"/>
  </r>
  <r>
    <x v="32"/>
    <x v="0"/>
    <x v="255"/>
    <n v="1"/>
    <x v="0"/>
  </r>
  <r>
    <x v="32"/>
    <x v="0"/>
    <x v="246"/>
    <n v="2516"/>
    <x v="1"/>
  </r>
  <r>
    <x v="32"/>
    <x v="0"/>
    <x v="8"/>
    <n v="2235"/>
    <x v="1"/>
  </r>
  <r>
    <x v="32"/>
    <x v="0"/>
    <x v="278"/>
    <n v="101"/>
    <x v="1"/>
  </r>
  <r>
    <x v="32"/>
    <x v="0"/>
    <x v="109"/>
    <n v="3"/>
    <x v="0"/>
  </r>
  <r>
    <x v="32"/>
    <x v="0"/>
    <x v="232"/>
    <n v="2503"/>
    <x v="1"/>
  </r>
  <r>
    <x v="32"/>
    <x v="0"/>
    <x v="258"/>
    <n v="2887"/>
    <x v="1"/>
  </r>
  <r>
    <x v="32"/>
    <x v="0"/>
    <x v="186"/>
    <n v="1720"/>
    <x v="1"/>
  </r>
  <r>
    <x v="32"/>
    <x v="0"/>
    <x v="269"/>
    <n v="1"/>
    <x v="0"/>
  </r>
  <r>
    <x v="32"/>
    <x v="0"/>
    <x v="90"/>
    <n v="199"/>
    <x v="1"/>
  </r>
  <r>
    <x v="32"/>
    <x v="0"/>
    <x v="247"/>
    <n v="1408"/>
    <x v="1"/>
  </r>
  <r>
    <x v="32"/>
    <x v="0"/>
    <x v="10"/>
    <n v="180"/>
    <x v="1"/>
  </r>
  <r>
    <x v="32"/>
    <x v="0"/>
    <x v="257"/>
    <n v="212"/>
    <x v="1"/>
  </r>
  <r>
    <x v="32"/>
    <x v="0"/>
    <x v="38"/>
    <n v="1746"/>
    <x v="1"/>
  </r>
  <r>
    <x v="32"/>
    <x v="0"/>
    <x v="2"/>
    <n v="2594"/>
    <x v="1"/>
  </r>
  <r>
    <x v="32"/>
    <x v="0"/>
    <x v="1"/>
    <n v="27"/>
    <x v="0"/>
  </r>
  <r>
    <x v="32"/>
    <x v="0"/>
    <x v="114"/>
    <n v="133"/>
    <x v="1"/>
  </r>
  <r>
    <x v="32"/>
    <x v="0"/>
    <x v="211"/>
    <n v="5"/>
    <x v="0"/>
  </r>
  <r>
    <x v="32"/>
    <x v="0"/>
    <x v="229"/>
    <n v="1029"/>
    <x v="1"/>
  </r>
  <r>
    <x v="32"/>
    <x v="0"/>
    <x v="121"/>
    <n v="2540"/>
    <x v="1"/>
  </r>
  <r>
    <x v="32"/>
    <x v="0"/>
    <x v="245"/>
    <n v="3591"/>
    <x v="1"/>
  </r>
  <r>
    <x v="32"/>
    <x v="0"/>
    <x v="157"/>
    <n v="4"/>
    <x v="0"/>
  </r>
  <r>
    <x v="32"/>
    <x v="0"/>
    <x v="136"/>
    <n v="17"/>
    <x v="0"/>
  </r>
  <r>
    <x v="32"/>
    <x v="0"/>
    <x v="71"/>
    <n v="3499"/>
    <x v="1"/>
  </r>
  <r>
    <x v="32"/>
    <x v="0"/>
    <x v="235"/>
    <n v="7"/>
    <x v="0"/>
  </r>
  <r>
    <x v="32"/>
    <x v="0"/>
    <x v="169"/>
    <n v="2"/>
    <x v="0"/>
  </r>
  <r>
    <x v="32"/>
    <x v="0"/>
    <x v="98"/>
    <n v="18"/>
    <x v="0"/>
  </r>
  <r>
    <x v="32"/>
    <x v="0"/>
    <x v="205"/>
    <n v="3"/>
    <x v="0"/>
  </r>
  <r>
    <x v="32"/>
    <x v="0"/>
    <x v="9"/>
    <n v="1"/>
    <x v="0"/>
  </r>
  <r>
    <x v="32"/>
    <x v="0"/>
    <x v="160"/>
    <n v="2"/>
    <x v="0"/>
  </r>
  <r>
    <x v="32"/>
    <x v="0"/>
    <x v="69"/>
    <n v="2523"/>
    <x v="1"/>
  </r>
  <r>
    <x v="32"/>
    <x v="0"/>
    <x v="117"/>
    <n v="2573"/>
    <x v="1"/>
  </r>
  <r>
    <x v="32"/>
    <x v="0"/>
    <x v="93"/>
    <n v="554"/>
    <x v="1"/>
  </r>
  <r>
    <x v="32"/>
    <x v="0"/>
    <x v="28"/>
    <n v="2512"/>
    <x v="1"/>
  </r>
  <r>
    <x v="32"/>
    <x v="0"/>
    <x v="66"/>
    <n v="188"/>
    <x v="1"/>
  </r>
  <r>
    <x v="32"/>
    <x v="0"/>
    <x v="75"/>
    <n v="179"/>
    <x v="1"/>
  </r>
  <r>
    <x v="32"/>
    <x v="0"/>
    <x v="218"/>
    <n v="10"/>
    <x v="0"/>
  </r>
  <r>
    <x v="32"/>
    <x v="0"/>
    <x v="115"/>
    <n v="5012"/>
    <x v="1"/>
  </r>
  <r>
    <x v="32"/>
    <x v="0"/>
    <x v="129"/>
    <n v="954"/>
    <x v="1"/>
  </r>
  <r>
    <x v="32"/>
    <x v="0"/>
    <x v="68"/>
    <n v="6"/>
    <x v="0"/>
  </r>
  <r>
    <x v="32"/>
    <x v="0"/>
    <x v="207"/>
    <n v="1"/>
    <x v="0"/>
  </r>
  <r>
    <x v="32"/>
    <x v="0"/>
    <x v="153"/>
    <n v="81"/>
    <x v="0"/>
  </r>
  <r>
    <x v="32"/>
    <x v="0"/>
    <x v="192"/>
    <n v="2785"/>
    <x v="1"/>
  </r>
  <r>
    <x v="32"/>
    <x v="0"/>
    <x v="179"/>
    <n v="8"/>
    <x v="0"/>
  </r>
  <r>
    <x v="32"/>
    <x v="0"/>
    <x v="268"/>
    <n v="68"/>
    <x v="0"/>
  </r>
  <r>
    <x v="32"/>
    <x v="0"/>
    <x v="40"/>
    <n v="1"/>
    <x v="0"/>
  </r>
  <r>
    <x v="32"/>
    <x v="0"/>
    <x v="27"/>
    <n v="2511"/>
    <x v="1"/>
  </r>
  <r>
    <x v="32"/>
    <x v="0"/>
    <x v="67"/>
    <n v="1"/>
    <x v="0"/>
  </r>
  <r>
    <x v="32"/>
    <x v="0"/>
    <x v="113"/>
    <n v="4"/>
    <x v="0"/>
  </r>
  <r>
    <x v="32"/>
    <x v="0"/>
    <x v="62"/>
    <n v="588"/>
    <x v="1"/>
  </r>
  <r>
    <x v="32"/>
    <x v="0"/>
    <x v="143"/>
    <n v="3573"/>
    <x v="1"/>
  </r>
  <r>
    <x v="32"/>
    <x v="0"/>
    <x v="116"/>
    <n v="2370"/>
    <x v="1"/>
  </r>
  <r>
    <x v="32"/>
    <x v="0"/>
    <x v="25"/>
    <n v="9"/>
    <x v="0"/>
  </r>
  <r>
    <x v="32"/>
    <x v="0"/>
    <x v="175"/>
    <n v="2"/>
    <x v="0"/>
  </r>
  <r>
    <x v="32"/>
    <x v="0"/>
    <x v="15"/>
    <n v="1"/>
    <x v="0"/>
  </r>
  <r>
    <x v="32"/>
    <x v="0"/>
    <x v="242"/>
    <n v="127"/>
    <x v="1"/>
  </r>
  <r>
    <x v="32"/>
    <x v="0"/>
    <x v="54"/>
    <n v="13"/>
    <x v="0"/>
  </r>
  <r>
    <x v="32"/>
    <x v="0"/>
    <x v="244"/>
    <n v="119"/>
    <x v="1"/>
  </r>
  <r>
    <x v="32"/>
    <x v="0"/>
    <x v="87"/>
    <n v="2502"/>
    <x v="1"/>
  </r>
  <r>
    <x v="32"/>
    <x v="0"/>
    <x v="13"/>
    <n v="1"/>
    <x v="0"/>
  </r>
  <r>
    <x v="32"/>
    <x v="0"/>
    <x v="239"/>
    <n v="3000"/>
    <x v="1"/>
  </r>
  <r>
    <x v="32"/>
    <x v="0"/>
    <x v="84"/>
    <n v="12"/>
    <x v="0"/>
  </r>
  <r>
    <x v="32"/>
    <x v="0"/>
    <x v="31"/>
    <n v="7"/>
    <x v="0"/>
  </r>
  <r>
    <x v="32"/>
    <x v="0"/>
    <x v="144"/>
    <n v="183"/>
    <x v="1"/>
  </r>
  <r>
    <x v="32"/>
    <x v="0"/>
    <x v="86"/>
    <n v="3163"/>
    <x v="1"/>
  </r>
  <r>
    <x v="32"/>
    <x v="0"/>
    <x v="274"/>
    <n v="3209"/>
    <x v="1"/>
  </r>
  <r>
    <x v="32"/>
    <x v="0"/>
    <x v="272"/>
    <n v="682"/>
    <x v="1"/>
  </r>
  <r>
    <x v="32"/>
    <x v="0"/>
    <x v="182"/>
    <n v="2454"/>
    <x v="1"/>
  </r>
  <r>
    <x v="32"/>
    <x v="0"/>
    <x v="233"/>
    <n v="1"/>
    <x v="0"/>
  </r>
  <r>
    <x v="32"/>
    <x v="0"/>
    <x v="23"/>
    <n v="10"/>
    <x v="0"/>
  </r>
  <r>
    <x v="32"/>
    <x v="0"/>
    <x v="270"/>
    <n v="392"/>
    <x v="1"/>
  </r>
  <r>
    <x v="32"/>
    <x v="0"/>
    <x v="37"/>
    <n v="281"/>
    <x v="1"/>
  </r>
  <r>
    <x v="32"/>
    <x v="0"/>
    <x v="181"/>
    <n v="1582"/>
    <x v="1"/>
  </r>
  <r>
    <x v="32"/>
    <x v="0"/>
    <x v="85"/>
    <n v="330"/>
    <x v="1"/>
  </r>
  <r>
    <x v="32"/>
    <x v="0"/>
    <x v="253"/>
    <n v="3744"/>
    <x v="1"/>
  </r>
  <r>
    <x v="32"/>
    <x v="0"/>
    <x v="47"/>
    <n v="695"/>
    <x v="1"/>
  </r>
  <r>
    <x v="32"/>
    <x v="0"/>
    <x v="198"/>
    <n v="139"/>
    <x v="1"/>
  </r>
  <r>
    <x v="32"/>
    <x v="0"/>
    <x v="222"/>
    <n v="1226"/>
    <x v="1"/>
  </r>
  <r>
    <x v="32"/>
    <x v="0"/>
    <x v="17"/>
    <n v="981"/>
    <x v="1"/>
  </r>
  <r>
    <x v="32"/>
    <x v="0"/>
    <x v="97"/>
    <n v="395"/>
    <x v="1"/>
  </r>
  <r>
    <x v="32"/>
    <x v="0"/>
    <x v="185"/>
    <n v="3260"/>
    <x v="1"/>
  </r>
  <r>
    <x v="32"/>
    <x v="0"/>
    <x v="88"/>
    <n v="3488"/>
    <x v="1"/>
  </r>
  <r>
    <x v="32"/>
    <x v="0"/>
    <x v="177"/>
    <n v="7"/>
    <x v="0"/>
  </r>
  <r>
    <x v="32"/>
    <x v="0"/>
    <x v="188"/>
    <n v="2567"/>
    <x v="1"/>
  </r>
  <r>
    <x v="32"/>
    <x v="0"/>
    <x v="51"/>
    <n v="2326"/>
    <x v="1"/>
  </r>
  <r>
    <x v="32"/>
    <x v="0"/>
    <x v="18"/>
    <n v="1"/>
    <x v="0"/>
  </r>
  <r>
    <x v="32"/>
    <x v="0"/>
    <x v="271"/>
    <n v="44"/>
    <x v="0"/>
  </r>
  <r>
    <x v="32"/>
    <x v="0"/>
    <x v="5"/>
    <n v="1"/>
    <x v="0"/>
  </r>
  <r>
    <x v="32"/>
    <x v="0"/>
    <x v="176"/>
    <n v="2"/>
    <x v="0"/>
  </r>
  <r>
    <x v="32"/>
    <x v="0"/>
    <x v="94"/>
    <n v="272"/>
    <x v="1"/>
  </r>
  <r>
    <x v="32"/>
    <x v="0"/>
    <x v="35"/>
    <n v="29"/>
    <x v="0"/>
  </r>
  <r>
    <x v="32"/>
    <x v="0"/>
    <x v="12"/>
    <n v="9"/>
    <x v="0"/>
  </r>
  <r>
    <x v="32"/>
    <x v="0"/>
    <x v="284"/>
    <n v="1"/>
    <x v="0"/>
  </r>
  <r>
    <x v="32"/>
    <x v="0"/>
    <x v="167"/>
    <n v="2699"/>
    <x v="1"/>
  </r>
  <r>
    <x v="32"/>
    <x v="0"/>
    <x v="225"/>
    <n v="4"/>
    <x v="0"/>
  </r>
  <r>
    <x v="32"/>
    <x v="0"/>
    <x v="132"/>
    <n v="5"/>
    <x v="0"/>
  </r>
  <r>
    <x v="32"/>
    <x v="0"/>
    <x v="0"/>
    <n v="49"/>
    <x v="0"/>
  </r>
  <r>
    <x v="33"/>
    <x v="0"/>
    <x v="241"/>
    <n v="1"/>
    <x v="0"/>
  </r>
  <r>
    <x v="33"/>
    <x v="0"/>
    <x v="190"/>
    <n v="3260"/>
    <x v="1"/>
  </r>
  <r>
    <x v="33"/>
    <x v="0"/>
    <x v="89"/>
    <n v="1950"/>
    <x v="1"/>
  </r>
  <r>
    <x v="33"/>
    <x v="0"/>
    <x v="9"/>
    <n v="1"/>
    <x v="0"/>
  </r>
  <r>
    <x v="33"/>
    <x v="0"/>
    <x v="279"/>
    <n v="55"/>
    <x v="0"/>
  </r>
  <r>
    <x v="33"/>
    <x v="0"/>
    <x v="221"/>
    <n v="11"/>
    <x v="0"/>
  </r>
  <r>
    <x v="33"/>
    <x v="0"/>
    <x v="229"/>
    <n v="1044"/>
    <x v="1"/>
  </r>
  <r>
    <x v="33"/>
    <x v="0"/>
    <x v="246"/>
    <n v="2527"/>
    <x v="1"/>
  </r>
  <r>
    <x v="33"/>
    <x v="0"/>
    <x v="116"/>
    <n v="2365"/>
    <x v="1"/>
  </r>
  <r>
    <x v="33"/>
    <x v="0"/>
    <x v="234"/>
    <n v="1652"/>
    <x v="1"/>
  </r>
  <r>
    <x v="33"/>
    <x v="0"/>
    <x v="34"/>
    <n v="1"/>
    <x v="0"/>
  </r>
  <r>
    <x v="33"/>
    <x v="0"/>
    <x v="160"/>
    <n v="2"/>
    <x v="0"/>
  </r>
  <r>
    <x v="33"/>
    <x v="0"/>
    <x v="276"/>
    <n v="2167"/>
    <x v="1"/>
  </r>
  <r>
    <x v="33"/>
    <x v="0"/>
    <x v="106"/>
    <n v="2"/>
    <x v="0"/>
  </r>
  <r>
    <x v="33"/>
    <x v="0"/>
    <x v="124"/>
    <n v="1"/>
    <x v="0"/>
  </r>
  <r>
    <x v="33"/>
    <x v="0"/>
    <x v="231"/>
    <n v="3"/>
    <x v="0"/>
  </r>
  <r>
    <x v="33"/>
    <x v="0"/>
    <x v="203"/>
    <n v="1"/>
    <x v="0"/>
  </r>
  <r>
    <x v="33"/>
    <x v="0"/>
    <x v="135"/>
    <n v="3578"/>
    <x v="1"/>
  </r>
  <r>
    <x v="33"/>
    <x v="0"/>
    <x v="259"/>
    <n v="1"/>
    <x v="0"/>
  </r>
  <r>
    <x v="33"/>
    <x v="0"/>
    <x v="63"/>
    <n v="891"/>
    <x v="1"/>
  </r>
  <r>
    <x v="33"/>
    <x v="0"/>
    <x v="110"/>
    <n v="2"/>
    <x v="0"/>
  </r>
  <r>
    <x v="33"/>
    <x v="0"/>
    <x v="103"/>
    <n v="19"/>
    <x v="0"/>
  </r>
  <r>
    <x v="33"/>
    <x v="0"/>
    <x v="8"/>
    <n v="2244"/>
    <x v="1"/>
  </r>
  <r>
    <x v="33"/>
    <x v="0"/>
    <x v="238"/>
    <n v="1"/>
    <x v="0"/>
  </r>
  <r>
    <x v="33"/>
    <x v="0"/>
    <x v="111"/>
    <n v="2503"/>
    <x v="1"/>
  </r>
  <r>
    <x v="33"/>
    <x v="0"/>
    <x v="102"/>
    <n v="3007"/>
    <x v="1"/>
  </r>
  <r>
    <x v="33"/>
    <x v="0"/>
    <x v="150"/>
    <n v="3145"/>
    <x v="1"/>
  </r>
  <r>
    <x v="33"/>
    <x v="0"/>
    <x v="88"/>
    <n v="3418"/>
    <x v="1"/>
  </r>
  <r>
    <x v="33"/>
    <x v="0"/>
    <x v="17"/>
    <n v="1025"/>
    <x v="1"/>
  </r>
  <r>
    <x v="33"/>
    <x v="0"/>
    <x v="140"/>
    <n v="2569"/>
    <x v="1"/>
  </r>
  <r>
    <x v="33"/>
    <x v="0"/>
    <x v="58"/>
    <n v="3170"/>
    <x v="1"/>
  </r>
  <r>
    <x v="33"/>
    <x v="0"/>
    <x v="220"/>
    <n v="4032"/>
    <x v="1"/>
  </r>
  <r>
    <x v="33"/>
    <x v="0"/>
    <x v="77"/>
    <n v="5"/>
    <x v="0"/>
  </r>
  <r>
    <x v="33"/>
    <x v="0"/>
    <x v="195"/>
    <n v="4"/>
    <x v="0"/>
  </r>
  <r>
    <x v="33"/>
    <x v="0"/>
    <x v="73"/>
    <n v="611"/>
    <x v="1"/>
  </r>
  <r>
    <x v="33"/>
    <x v="0"/>
    <x v="139"/>
    <n v="3008"/>
    <x v="1"/>
  </r>
  <r>
    <x v="33"/>
    <x v="0"/>
    <x v="222"/>
    <n v="1231"/>
    <x v="1"/>
  </r>
  <r>
    <x v="33"/>
    <x v="0"/>
    <x v="187"/>
    <n v="1905"/>
    <x v="1"/>
  </r>
  <r>
    <x v="33"/>
    <x v="0"/>
    <x v="105"/>
    <n v="522"/>
    <x v="1"/>
  </r>
  <r>
    <x v="33"/>
    <x v="0"/>
    <x v="168"/>
    <n v="2015"/>
    <x v="1"/>
  </r>
  <r>
    <x v="33"/>
    <x v="0"/>
    <x v="148"/>
    <n v="3234"/>
    <x v="1"/>
  </r>
  <r>
    <x v="33"/>
    <x v="0"/>
    <x v="96"/>
    <n v="32"/>
    <x v="0"/>
  </r>
  <r>
    <x v="33"/>
    <x v="0"/>
    <x v="85"/>
    <n v="331"/>
    <x v="1"/>
  </r>
  <r>
    <x v="33"/>
    <x v="0"/>
    <x v="248"/>
    <n v="3728"/>
    <x v="1"/>
  </r>
  <r>
    <x v="33"/>
    <x v="0"/>
    <x v="249"/>
    <n v="72"/>
    <x v="0"/>
  </r>
  <r>
    <x v="33"/>
    <x v="0"/>
    <x v="4"/>
    <n v="4"/>
    <x v="0"/>
  </r>
  <r>
    <x v="33"/>
    <x v="0"/>
    <x v="69"/>
    <n v="2512"/>
    <x v="1"/>
  </r>
  <r>
    <x v="33"/>
    <x v="0"/>
    <x v="40"/>
    <n v="1"/>
    <x v="0"/>
  </r>
  <r>
    <x v="33"/>
    <x v="0"/>
    <x v="153"/>
    <n v="89"/>
    <x v="0"/>
  </r>
  <r>
    <x v="33"/>
    <x v="0"/>
    <x v="22"/>
    <n v="3702"/>
    <x v="1"/>
  </r>
  <r>
    <x v="33"/>
    <x v="0"/>
    <x v="65"/>
    <n v="484"/>
    <x v="1"/>
  </r>
  <r>
    <x v="33"/>
    <x v="0"/>
    <x v="141"/>
    <n v="2119"/>
    <x v="1"/>
  </r>
  <r>
    <x v="33"/>
    <x v="0"/>
    <x v="31"/>
    <n v="7"/>
    <x v="0"/>
  </r>
  <r>
    <x v="33"/>
    <x v="0"/>
    <x v="281"/>
    <n v="108"/>
    <x v="1"/>
  </r>
  <r>
    <x v="33"/>
    <x v="0"/>
    <x v="114"/>
    <n v="138"/>
    <x v="1"/>
  </r>
  <r>
    <x v="33"/>
    <x v="0"/>
    <x v="33"/>
    <n v="559"/>
    <x v="1"/>
  </r>
  <r>
    <x v="33"/>
    <x v="0"/>
    <x v="193"/>
    <n v="544"/>
    <x v="1"/>
  </r>
  <r>
    <x v="33"/>
    <x v="0"/>
    <x v="159"/>
    <n v="1"/>
    <x v="0"/>
  </r>
  <r>
    <x v="33"/>
    <x v="0"/>
    <x v="240"/>
    <n v="2280"/>
    <x v="1"/>
  </r>
  <r>
    <x v="33"/>
    <x v="0"/>
    <x v="98"/>
    <n v="18"/>
    <x v="0"/>
  </r>
  <r>
    <x v="33"/>
    <x v="0"/>
    <x v="7"/>
    <n v="1011"/>
    <x v="1"/>
  </r>
  <r>
    <x v="33"/>
    <x v="0"/>
    <x v="18"/>
    <n v="1"/>
    <x v="0"/>
  </r>
  <r>
    <x v="33"/>
    <x v="0"/>
    <x v="255"/>
    <n v="1"/>
    <x v="0"/>
  </r>
  <r>
    <x v="33"/>
    <x v="0"/>
    <x v="92"/>
    <n v="6"/>
    <x v="0"/>
  </r>
  <r>
    <x v="33"/>
    <x v="0"/>
    <x v="170"/>
    <n v="2804"/>
    <x v="1"/>
  </r>
  <r>
    <x v="33"/>
    <x v="0"/>
    <x v="273"/>
    <n v="3306"/>
    <x v="1"/>
  </r>
  <r>
    <x v="33"/>
    <x v="0"/>
    <x v="258"/>
    <n v="2891"/>
    <x v="1"/>
  </r>
  <r>
    <x v="33"/>
    <x v="0"/>
    <x v="260"/>
    <n v="204"/>
    <x v="1"/>
  </r>
  <r>
    <x v="33"/>
    <x v="0"/>
    <x v="283"/>
    <n v="3620"/>
    <x v="1"/>
  </r>
  <r>
    <x v="33"/>
    <x v="0"/>
    <x v="264"/>
    <n v="1"/>
    <x v="0"/>
  </r>
  <r>
    <x v="33"/>
    <x v="0"/>
    <x v="123"/>
    <n v="2177"/>
    <x v="1"/>
  </r>
  <r>
    <x v="33"/>
    <x v="0"/>
    <x v="132"/>
    <n v="5"/>
    <x v="0"/>
  </r>
  <r>
    <x v="33"/>
    <x v="0"/>
    <x v="169"/>
    <n v="1"/>
    <x v="0"/>
  </r>
  <r>
    <x v="33"/>
    <x v="0"/>
    <x v="199"/>
    <n v="3477"/>
    <x v="1"/>
  </r>
  <r>
    <x v="33"/>
    <x v="0"/>
    <x v="62"/>
    <n v="584"/>
    <x v="1"/>
  </r>
  <r>
    <x v="33"/>
    <x v="0"/>
    <x v="16"/>
    <n v="1"/>
    <x v="0"/>
  </r>
  <r>
    <x v="33"/>
    <x v="0"/>
    <x v="93"/>
    <n v="558"/>
    <x v="1"/>
  </r>
  <r>
    <x v="33"/>
    <x v="0"/>
    <x v="278"/>
    <n v="116"/>
    <x v="1"/>
  </r>
  <r>
    <x v="33"/>
    <x v="0"/>
    <x v="252"/>
    <n v="2724"/>
    <x v="1"/>
  </r>
  <r>
    <x v="33"/>
    <x v="0"/>
    <x v="261"/>
    <n v="2224"/>
    <x v="1"/>
  </r>
  <r>
    <x v="33"/>
    <x v="0"/>
    <x v="1"/>
    <n v="27"/>
    <x v="0"/>
  </r>
  <r>
    <x v="33"/>
    <x v="0"/>
    <x v="24"/>
    <n v="4"/>
    <x v="0"/>
  </r>
  <r>
    <x v="33"/>
    <x v="0"/>
    <x v="244"/>
    <n v="130"/>
    <x v="1"/>
  </r>
  <r>
    <x v="33"/>
    <x v="0"/>
    <x v="164"/>
    <n v="134"/>
    <x v="1"/>
  </r>
  <r>
    <x v="33"/>
    <x v="0"/>
    <x v="76"/>
    <n v="5"/>
    <x v="0"/>
  </r>
  <r>
    <x v="33"/>
    <x v="0"/>
    <x v="126"/>
    <n v="90"/>
    <x v="0"/>
  </r>
  <r>
    <x v="33"/>
    <x v="0"/>
    <x v="120"/>
    <n v="83"/>
    <x v="0"/>
  </r>
  <r>
    <x v="33"/>
    <x v="0"/>
    <x v="188"/>
    <n v="2566"/>
    <x v="1"/>
  </r>
  <r>
    <x v="33"/>
    <x v="0"/>
    <x v="82"/>
    <n v="6"/>
    <x v="0"/>
  </r>
  <r>
    <x v="33"/>
    <x v="0"/>
    <x v="72"/>
    <n v="1"/>
    <x v="0"/>
  </r>
  <r>
    <x v="33"/>
    <x v="0"/>
    <x v="35"/>
    <n v="27"/>
    <x v="0"/>
  </r>
  <r>
    <x v="33"/>
    <x v="0"/>
    <x v="15"/>
    <n v="1"/>
    <x v="0"/>
  </r>
  <r>
    <x v="33"/>
    <x v="0"/>
    <x v="55"/>
    <n v="1"/>
    <x v="0"/>
  </r>
  <r>
    <x v="33"/>
    <x v="0"/>
    <x v="227"/>
    <n v="3"/>
    <x v="0"/>
  </r>
  <r>
    <x v="33"/>
    <x v="0"/>
    <x v="52"/>
    <n v="2588"/>
    <x v="1"/>
  </r>
  <r>
    <x v="33"/>
    <x v="0"/>
    <x v="51"/>
    <n v="2336"/>
    <x v="1"/>
  </r>
  <r>
    <x v="33"/>
    <x v="0"/>
    <x v="212"/>
    <n v="4"/>
    <x v="0"/>
  </r>
  <r>
    <x v="33"/>
    <x v="0"/>
    <x v="28"/>
    <n v="2511"/>
    <x v="1"/>
  </r>
  <r>
    <x v="33"/>
    <x v="0"/>
    <x v="5"/>
    <n v="1"/>
    <x v="0"/>
  </r>
  <r>
    <x v="33"/>
    <x v="0"/>
    <x v="83"/>
    <n v="3"/>
    <x v="0"/>
  </r>
  <r>
    <x v="33"/>
    <x v="0"/>
    <x v="256"/>
    <n v="2189"/>
    <x v="1"/>
  </r>
  <r>
    <x v="33"/>
    <x v="0"/>
    <x v="253"/>
    <n v="3688"/>
    <x v="1"/>
  </r>
  <r>
    <x v="33"/>
    <x v="0"/>
    <x v="19"/>
    <n v="210"/>
    <x v="1"/>
  </r>
  <r>
    <x v="33"/>
    <x v="0"/>
    <x v="121"/>
    <n v="2557"/>
    <x v="1"/>
  </r>
  <r>
    <x v="33"/>
    <x v="0"/>
    <x v="41"/>
    <n v="1"/>
    <x v="0"/>
  </r>
  <r>
    <x v="33"/>
    <x v="0"/>
    <x v="48"/>
    <n v="1"/>
    <x v="0"/>
  </r>
  <r>
    <x v="33"/>
    <x v="0"/>
    <x v="46"/>
    <n v="2541"/>
    <x v="1"/>
  </r>
  <r>
    <x v="33"/>
    <x v="0"/>
    <x v="32"/>
    <n v="1142"/>
    <x v="1"/>
  </r>
  <r>
    <x v="33"/>
    <x v="0"/>
    <x v="144"/>
    <n v="183"/>
    <x v="1"/>
  </r>
  <r>
    <x v="33"/>
    <x v="0"/>
    <x v="137"/>
    <n v="1743"/>
    <x v="1"/>
  </r>
  <r>
    <x v="33"/>
    <x v="0"/>
    <x v="243"/>
    <n v="535"/>
    <x v="1"/>
  </r>
  <r>
    <x v="33"/>
    <x v="0"/>
    <x v="152"/>
    <n v="3093"/>
    <x v="1"/>
  </r>
  <r>
    <x v="33"/>
    <x v="0"/>
    <x v="38"/>
    <n v="1743"/>
    <x v="1"/>
  </r>
  <r>
    <x v="33"/>
    <x v="0"/>
    <x v="247"/>
    <n v="1390"/>
    <x v="1"/>
  </r>
  <r>
    <x v="33"/>
    <x v="0"/>
    <x v="86"/>
    <n v="3156"/>
    <x v="1"/>
  </r>
  <r>
    <x v="33"/>
    <x v="0"/>
    <x v="177"/>
    <n v="7"/>
    <x v="0"/>
  </r>
  <r>
    <x v="33"/>
    <x v="0"/>
    <x v="71"/>
    <n v="3489"/>
    <x v="1"/>
  </r>
  <r>
    <x v="33"/>
    <x v="0"/>
    <x v="127"/>
    <n v="3592"/>
    <x v="1"/>
  </r>
  <r>
    <x v="33"/>
    <x v="0"/>
    <x v="239"/>
    <n v="2998"/>
    <x v="1"/>
  </r>
  <r>
    <x v="33"/>
    <x v="0"/>
    <x v="125"/>
    <n v="37"/>
    <x v="0"/>
  </r>
  <r>
    <x v="33"/>
    <x v="0"/>
    <x v="13"/>
    <n v="1"/>
    <x v="0"/>
  </r>
  <r>
    <x v="33"/>
    <x v="0"/>
    <x v="142"/>
    <n v="2471"/>
    <x v="1"/>
  </r>
  <r>
    <x v="33"/>
    <x v="0"/>
    <x v="113"/>
    <n v="4"/>
    <x v="0"/>
  </r>
  <r>
    <x v="33"/>
    <x v="0"/>
    <x v="284"/>
    <n v="2"/>
    <x v="0"/>
  </r>
  <r>
    <x v="33"/>
    <x v="0"/>
    <x v="197"/>
    <n v="2400"/>
    <x v="1"/>
  </r>
  <r>
    <x v="33"/>
    <x v="0"/>
    <x v="95"/>
    <n v="3100"/>
    <x v="1"/>
  </r>
  <r>
    <x v="33"/>
    <x v="0"/>
    <x v="172"/>
    <n v="2929"/>
    <x v="1"/>
  </r>
  <r>
    <x v="33"/>
    <x v="0"/>
    <x v="94"/>
    <n v="265"/>
    <x v="1"/>
  </r>
  <r>
    <x v="33"/>
    <x v="0"/>
    <x v="14"/>
    <n v="3"/>
    <x v="0"/>
  </r>
  <r>
    <x v="33"/>
    <x v="0"/>
    <x v="64"/>
    <n v="358"/>
    <x v="1"/>
  </r>
  <r>
    <x v="33"/>
    <x v="0"/>
    <x v="45"/>
    <n v="22"/>
    <x v="0"/>
  </r>
  <r>
    <x v="33"/>
    <x v="0"/>
    <x v="70"/>
    <n v="7"/>
    <x v="0"/>
  </r>
  <r>
    <x v="33"/>
    <x v="0"/>
    <x v="242"/>
    <n v="134"/>
    <x v="1"/>
  </r>
  <r>
    <x v="33"/>
    <x v="0"/>
    <x v="10"/>
    <n v="182"/>
    <x v="1"/>
  </r>
  <r>
    <x v="33"/>
    <x v="0"/>
    <x v="235"/>
    <n v="7"/>
    <x v="0"/>
  </r>
  <r>
    <x v="33"/>
    <x v="0"/>
    <x v="185"/>
    <n v="3243"/>
    <x v="1"/>
  </r>
  <r>
    <x v="33"/>
    <x v="0"/>
    <x v="146"/>
    <n v="3113"/>
    <x v="1"/>
  </r>
  <r>
    <x v="33"/>
    <x v="0"/>
    <x v="196"/>
    <n v="1"/>
    <x v="0"/>
  </r>
  <r>
    <x v="33"/>
    <x v="0"/>
    <x v="214"/>
    <n v="2"/>
    <x v="0"/>
  </r>
  <r>
    <x v="33"/>
    <x v="0"/>
    <x v="37"/>
    <n v="281"/>
    <x v="1"/>
  </r>
  <r>
    <x v="33"/>
    <x v="0"/>
    <x v="134"/>
    <n v="315"/>
    <x v="1"/>
  </r>
  <r>
    <x v="33"/>
    <x v="0"/>
    <x v="280"/>
    <n v="34"/>
    <x v="0"/>
  </r>
  <r>
    <x v="33"/>
    <x v="0"/>
    <x v="54"/>
    <n v="10"/>
    <x v="0"/>
  </r>
  <r>
    <x v="33"/>
    <x v="0"/>
    <x v="232"/>
    <n v="2502"/>
    <x v="1"/>
  </r>
  <r>
    <x v="33"/>
    <x v="0"/>
    <x v="270"/>
    <n v="400"/>
    <x v="1"/>
  </r>
  <r>
    <x v="33"/>
    <x v="0"/>
    <x v="236"/>
    <n v="333"/>
    <x v="1"/>
  </r>
  <r>
    <x v="33"/>
    <x v="0"/>
    <x v="263"/>
    <n v="1781"/>
    <x v="1"/>
  </r>
  <r>
    <x v="33"/>
    <x v="0"/>
    <x v="29"/>
    <n v="2"/>
    <x v="0"/>
  </r>
  <r>
    <x v="33"/>
    <x v="0"/>
    <x v="250"/>
    <n v="2177"/>
    <x v="1"/>
  </r>
  <r>
    <x v="33"/>
    <x v="0"/>
    <x v="274"/>
    <n v="3217"/>
    <x v="1"/>
  </r>
  <r>
    <x v="33"/>
    <x v="0"/>
    <x v="204"/>
    <n v="1"/>
    <x v="0"/>
  </r>
  <r>
    <x v="33"/>
    <x v="0"/>
    <x v="167"/>
    <n v="2690"/>
    <x v="1"/>
  </r>
  <r>
    <x v="33"/>
    <x v="0"/>
    <x v="162"/>
    <n v="6"/>
    <x v="0"/>
  </r>
  <r>
    <x v="33"/>
    <x v="0"/>
    <x v="282"/>
    <n v="74"/>
    <x v="0"/>
  </r>
  <r>
    <x v="33"/>
    <x v="0"/>
    <x v="107"/>
    <n v="4"/>
    <x v="0"/>
  </r>
  <r>
    <x v="33"/>
    <x v="0"/>
    <x v="211"/>
    <n v="5"/>
    <x v="0"/>
  </r>
  <r>
    <x v="33"/>
    <x v="0"/>
    <x v="205"/>
    <n v="3"/>
    <x v="0"/>
  </r>
  <r>
    <x v="33"/>
    <x v="0"/>
    <x v="91"/>
    <n v="11"/>
    <x v="0"/>
  </r>
  <r>
    <x v="33"/>
    <x v="0"/>
    <x v="136"/>
    <n v="17"/>
    <x v="0"/>
  </r>
  <r>
    <x v="33"/>
    <x v="0"/>
    <x v="143"/>
    <n v="3563"/>
    <x v="1"/>
  </r>
  <r>
    <x v="33"/>
    <x v="0"/>
    <x v="43"/>
    <n v="1"/>
    <x v="0"/>
  </r>
  <r>
    <x v="33"/>
    <x v="0"/>
    <x v="118"/>
    <n v="2728"/>
    <x v="1"/>
  </r>
  <r>
    <x v="33"/>
    <x v="0"/>
    <x v="175"/>
    <n v="2"/>
    <x v="0"/>
  </r>
  <r>
    <x v="33"/>
    <x v="0"/>
    <x v="3"/>
    <n v="875"/>
    <x v="1"/>
  </r>
  <r>
    <x v="33"/>
    <x v="0"/>
    <x v="184"/>
    <n v="2570"/>
    <x v="1"/>
  </r>
  <r>
    <x v="33"/>
    <x v="0"/>
    <x v="251"/>
    <n v="750"/>
    <x v="1"/>
  </r>
  <r>
    <x v="33"/>
    <x v="0"/>
    <x v="265"/>
    <n v="1"/>
    <x v="0"/>
  </r>
  <r>
    <x v="33"/>
    <x v="0"/>
    <x v="44"/>
    <n v="3030"/>
    <x v="1"/>
  </r>
  <r>
    <x v="33"/>
    <x v="0"/>
    <x v="57"/>
    <n v="11"/>
    <x v="0"/>
  </r>
  <r>
    <x v="33"/>
    <x v="0"/>
    <x v="11"/>
    <n v="8"/>
    <x v="0"/>
  </r>
  <r>
    <x v="33"/>
    <x v="0"/>
    <x v="154"/>
    <n v="1470"/>
    <x v="1"/>
  </r>
  <r>
    <x v="33"/>
    <x v="0"/>
    <x v="128"/>
    <n v="9"/>
    <x v="0"/>
  </r>
  <r>
    <x v="33"/>
    <x v="0"/>
    <x v="131"/>
    <n v="6"/>
    <x v="0"/>
  </r>
  <r>
    <x v="33"/>
    <x v="0"/>
    <x v="191"/>
    <n v="2200"/>
    <x v="1"/>
  </r>
  <r>
    <x v="33"/>
    <x v="0"/>
    <x v="157"/>
    <n v="4"/>
    <x v="0"/>
  </r>
  <r>
    <x v="33"/>
    <x v="0"/>
    <x v="186"/>
    <n v="1710"/>
    <x v="1"/>
  </r>
  <r>
    <x v="33"/>
    <x v="0"/>
    <x v="75"/>
    <n v="181"/>
    <x v="1"/>
  </r>
  <r>
    <x v="33"/>
    <x v="0"/>
    <x v="225"/>
    <n v="4"/>
    <x v="0"/>
  </r>
  <r>
    <x v="33"/>
    <x v="0"/>
    <x v="0"/>
    <n v="46"/>
    <x v="0"/>
  </r>
  <r>
    <x v="33"/>
    <x v="0"/>
    <x v="25"/>
    <n v="9"/>
    <x v="0"/>
  </r>
  <r>
    <x v="33"/>
    <x v="0"/>
    <x v="47"/>
    <n v="710"/>
    <x v="1"/>
  </r>
  <r>
    <x v="33"/>
    <x v="0"/>
    <x v="275"/>
    <n v="35"/>
    <x v="0"/>
  </r>
  <r>
    <x v="33"/>
    <x v="0"/>
    <x v="133"/>
    <n v="18"/>
    <x v="0"/>
  </r>
  <r>
    <x v="33"/>
    <x v="0"/>
    <x v="21"/>
    <n v="2981"/>
    <x v="1"/>
  </r>
  <r>
    <x v="33"/>
    <x v="0"/>
    <x v="192"/>
    <n v="2824"/>
    <x v="1"/>
  </r>
  <r>
    <x v="33"/>
    <x v="0"/>
    <x v="182"/>
    <n v="2457"/>
    <x v="1"/>
  </r>
  <r>
    <x v="33"/>
    <x v="0"/>
    <x v="277"/>
    <n v="680"/>
    <x v="1"/>
  </r>
  <r>
    <x v="33"/>
    <x v="0"/>
    <x v="2"/>
    <n v="2562"/>
    <x v="1"/>
  </r>
  <r>
    <x v="33"/>
    <x v="0"/>
    <x v="269"/>
    <n v="1"/>
    <x v="0"/>
  </r>
  <r>
    <x v="33"/>
    <x v="0"/>
    <x v="198"/>
    <n v="141"/>
    <x v="1"/>
  </r>
  <r>
    <x v="33"/>
    <x v="0"/>
    <x v="68"/>
    <n v="7"/>
    <x v="0"/>
  </r>
  <r>
    <x v="33"/>
    <x v="0"/>
    <x v="117"/>
    <n v="2564"/>
    <x v="1"/>
  </r>
  <r>
    <x v="33"/>
    <x v="0"/>
    <x v="90"/>
    <n v="196"/>
    <x v="1"/>
  </r>
  <r>
    <x v="33"/>
    <x v="0"/>
    <x v="84"/>
    <n v="12"/>
    <x v="0"/>
  </r>
  <r>
    <x v="33"/>
    <x v="0"/>
    <x v="79"/>
    <n v="2131"/>
    <x v="1"/>
  </r>
  <r>
    <x v="33"/>
    <x v="0"/>
    <x v="99"/>
    <n v="2483"/>
    <x v="1"/>
  </r>
  <r>
    <x v="33"/>
    <x v="0"/>
    <x v="179"/>
    <n v="8"/>
    <x v="0"/>
  </r>
  <r>
    <x v="33"/>
    <x v="0"/>
    <x v="59"/>
    <n v="57"/>
    <x v="0"/>
  </r>
  <r>
    <x v="33"/>
    <x v="0"/>
    <x v="245"/>
    <n v="3580"/>
    <x v="1"/>
  </r>
  <r>
    <x v="33"/>
    <x v="0"/>
    <x v="254"/>
    <n v="204"/>
    <x v="1"/>
  </r>
  <r>
    <x v="33"/>
    <x v="0"/>
    <x v="12"/>
    <n v="9"/>
    <x v="0"/>
  </r>
  <r>
    <x v="33"/>
    <x v="0"/>
    <x v="183"/>
    <n v="3442"/>
    <x v="1"/>
  </r>
  <r>
    <x v="33"/>
    <x v="0"/>
    <x v="189"/>
    <n v="3179"/>
    <x v="1"/>
  </r>
  <r>
    <x v="33"/>
    <x v="0"/>
    <x v="218"/>
    <n v="10"/>
    <x v="0"/>
  </r>
  <r>
    <x v="33"/>
    <x v="0"/>
    <x v="257"/>
    <n v="200"/>
    <x v="1"/>
  </r>
  <r>
    <x v="33"/>
    <x v="0"/>
    <x v="87"/>
    <n v="2488"/>
    <x v="1"/>
  </r>
  <r>
    <x v="33"/>
    <x v="0"/>
    <x v="171"/>
    <n v="1362"/>
    <x v="1"/>
  </r>
  <r>
    <x v="33"/>
    <x v="0"/>
    <x v="27"/>
    <n v="2534"/>
    <x v="1"/>
  </r>
  <r>
    <x v="33"/>
    <x v="0"/>
    <x v="67"/>
    <n v="1"/>
    <x v="0"/>
  </r>
  <r>
    <x v="33"/>
    <x v="0"/>
    <x v="115"/>
    <n v="5001"/>
    <x v="1"/>
  </r>
  <r>
    <x v="33"/>
    <x v="0"/>
    <x v="30"/>
    <n v="1100"/>
    <x v="1"/>
  </r>
  <r>
    <x v="33"/>
    <x v="0"/>
    <x v="233"/>
    <n v="1"/>
    <x v="0"/>
  </r>
  <r>
    <x v="33"/>
    <x v="0"/>
    <x v="109"/>
    <n v="3"/>
    <x v="0"/>
  </r>
  <r>
    <x v="33"/>
    <x v="0"/>
    <x v="74"/>
    <n v="2650"/>
    <x v="1"/>
  </r>
  <r>
    <x v="33"/>
    <x v="0"/>
    <x v="237"/>
    <n v="50"/>
    <x v="0"/>
  </r>
  <r>
    <x v="33"/>
    <x v="0"/>
    <x v="129"/>
    <n v="947"/>
    <x v="1"/>
  </r>
  <r>
    <x v="33"/>
    <x v="0"/>
    <x v="207"/>
    <n v="1"/>
    <x v="0"/>
  </r>
  <r>
    <x v="33"/>
    <x v="0"/>
    <x v="26"/>
    <n v="1"/>
    <x v="0"/>
  </r>
  <r>
    <x v="33"/>
    <x v="0"/>
    <x v="53"/>
    <n v="169"/>
    <x v="1"/>
  </r>
  <r>
    <x v="33"/>
    <x v="0"/>
    <x v="272"/>
    <n v="695"/>
    <x v="1"/>
  </r>
  <r>
    <x v="33"/>
    <x v="0"/>
    <x v="97"/>
    <n v="393"/>
    <x v="1"/>
  </r>
  <r>
    <x v="33"/>
    <x v="0"/>
    <x v="23"/>
    <n v="10"/>
    <x v="0"/>
  </r>
  <r>
    <x v="33"/>
    <x v="0"/>
    <x v="285"/>
    <n v="3"/>
    <x v="0"/>
  </r>
  <r>
    <x v="33"/>
    <x v="0"/>
    <x v="181"/>
    <n v="1577"/>
    <x v="1"/>
  </r>
  <r>
    <x v="33"/>
    <x v="0"/>
    <x v="271"/>
    <n v="64"/>
    <x v="0"/>
  </r>
  <r>
    <x v="33"/>
    <x v="0"/>
    <x v="66"/>
    <n v="201"/>
    <x v="1"/>
  </r>
  <r>
    <x v="33"/>
    <x v="0"/>
    <x v="176"/>
    <n v="2"/>
    <x v="0"/>
  </r>
  <r>
    <x v="33"/>
    <x v="0"/>
    <x v="268"/>
    <n v="91"/>
    <x v="0"/>
  </r>
  <r>
    <x v="33"/>
    <x v="0"/>
    <x v="50"/>
    <n v="332"/>
    <x v="1"/>
  </r>
  <r>
    <x v="34"/>
    <x v="0"/>
    <x v="84"/>
    <n v="12"/>
    <x v="0"/>
  </r>
  <r>
    <x v="34"/>
    <x v="0"/>
    <x v="5"/>
    <n v="1"/>
    <x v="0"/>
  </r>
  <r>
    <x v="34"/>
    <x v="0"/>
    <x v="50"/>
    <n v="331"/>
    <x v="1"/>
  </r>
  <r>
    <x v="34"/>
    <x v="0"/>
    <x v="79"/>
    <n v="2125"/>
    <x v="1"/>
  </r>
  <r>
    <x v="34"/>
    <x v="0"/>
    <x v="97"/>
    <n v="397"/>
    <x v="1"/>
  </r>
  <r>
    <x v="34"/>
    <x v="0"/>
    <x v="177"/>
    <n v="7"/>
    <x v="0"/>
  </r>
  <r>
    <x v="34"/>
    <x v="0"/>
    <x v="135"/>
    <n v="3582"/>
    <x v="1"/>
  </r>
  <r>
    <x v="34"/>
    <x v="0"/>
    <x v="7"/>
    <n v="1036"/>
    <x v="1"/>
  </r>
  <r>
    <x v="34"/>
    <x v="0"/>
    <x v="282"/>
    <n v="85"/>
    <x v="0"/>
  </r>
  <r>
    <x v="34"/>
    <x v="0"/>
    <x v="212"/>
    <n v="4"/>
    <x v="0"/>
  </r>
  <r>
    <x v="34"/>
    <x v="0"/>
    <x v="222"/>
    <n v="1230"/>
    <x v="1"/>
  </r>
  <r>
    <x v="34"/>
    <x v="0"/>
    <x v="160"/>
    <n v="2"/>
    <x v="0"/>
  </r>
  <r>
    <x v="34"/>
    <x v="0"/>
    <x v="0"/>
    <n v="45"/>
    <x v="0"/>
  </r>
  <r>
    <x v="34"/>
    <x v="0"/>
    <x v="15"/>
    <n v="1"/>
    <x v="0"/>
  </r>
  <r>
    <x v="34"/>
    <x v="0"/>
    <x v="252"/>
    <n v="2708"/>
    <x v="1"/>
  </r>
  <r>
    <x v="34"/>
    <x v="0"/>
    <x v="186"/>
    <n v="1689"/>
    <x v="1"/>
  </r>
  <r>
    <x v="34"/>
    <x v="0"/>
    <x v="237"/>
    <n v="50"/>
    <x v="0"/>
  </r>
  <r>
    <x v="34"/>
    <x v="0"/>
    <x v="59"/>
    <n v="59"/>
    <x v="0"/>
  </r>
  <r>
    <x v="34"/>
    <x v="0"/>
    <x v="94"/>
    <n v="264"/>
    <x v="1"/>
  </r>
  <r>
    <x v="34"/>
    <x v="0"/>
    <x v="52"/>
    <n v="2587"/>
    <x v="1"/>
  </r>
  <r>
    <x v="34"/>
    <x v="0"/>
    <x v="139"/>
    <n v="2982"/>
    <x v="1"/>
  </r>
  <r>
    <x v="34"/>
    <x v="0"/>
    <x v="286"/>
    <n v="2"/>
    <x v="0"/>
  </r>
  <r>
    <x v="34"/>
    <x v="0"/>
    <x v="41"/>
    <n v="1"/>
    <x v="0"/>
  </r>
  <r>
    <x v="34"/>
    <x v="0"/>
    <x v="115"/>
    <n v="4990"/>
    <x v="1"/>
  </r>
  <r>
    <x v="34"/>
    <x v="0"/>
    <x v="277"/>
    <n v="676"/>
    <x v="1"/>
  </r>
  <r>
    <x v="34"/>
    <x v="0"/>
    <x v="102"/>
    <n v="3017"/>
    <x v="1"/>
  </r>
  <r>
    <x v="34"/>
    <x v="0"/>
    <x v="43"/>
    <n v="1"/>
    <x v="0"/>
  </r>
  <r>
    <x v="34"/>
    <x v="0"/>
    <x v="225"/>
    <n v="4"/>
    <x v="0"/>
  </r>
  <r>
    <x v="34"/>
    <x v="0"/>
    <x v="75"/>
    <n v="319"/>
    <x v="1"/>
  </r>
  <r>
    <x v="34"/>
    <x v="0"/>
    <x v="154"/>
    <n v="1463"/>
    <x v="1"/>
  </r>
  <r>
    <x v="34"/>
    <x v="0"/>
    <x v="240"/>
    <n v="2293"/>
    <x v="1"/>
  </r>
  <r>
    <x v="34"/>
    <x v="0"/>
    <x v="211"/>
    <n v="5"/>
    <x v="0"/>
  </r>
  <r>
    <x v="34"/>
    <x v="0"/>
    <x v="2"/>
    <n v="2594"/>
    <x v="1"/>
  </r>
  <r>
    <x v="34"/>
    <x v="0"/>
    <x v="199"/>
    <n v="3475"/>
    <x v="1"/>
  </r>
  <r>
    <x v="34"/>
    <x v="0"/>
    <x v="183"/>
    <n v="3439"/>
    <x v="1"/>
  </r>
  <r>
    <x v="34"/>
    <x v="0"/>
    <x v="25"/>
    <n v="9"/>
    <x v="0"/>
  </r>
  <r>
    <x v="34"/>
    <x v="0"/>
    <x v="24"/>
    <n v="4"/>
    <x v="0"/>
  </r>
  <r>
    <x v="34"/>
    <x v="0"/>
    <x v="234"/>
    <n v="1675"/>
    <x v="1"/>
  </r>
  <r>
    <x v="34"/>
    <x v="0"/>
    <x v="153"/>
    <n v="94"/>
    <x v="0"/>
  </r>
  <r>
    <x v="34"/>
    <x v="0"/>
    <x v="263"/>
    <n v="1779"/>
    <x v="1"/>
  </r>
  <r>
    <x v="34"/>
    <x v="0"/>
    <x v="10"/>
    <n v="183"/>
    <x v="1"/>
  </r>
  <r>
    <x v="34"/>
    <x v="0"/>
    <x v="269"/>
    <n v="1"/>
    <x v="0"/>
  </r>
  <r>
    <x v="34"/>
    <x v="0"/>
    <x v="255"/>
    <n v="2"/>
    <x v="0"/>
  </r>
  <r>
    <x v="34"/>
    <x v="0"/>
    <x v="86"/>
    <n v="3150"/>
    <x v="1"/>
  </r>
  <r>
    <x v="34"/>
    <x v="0"/>
    <x v="29"/>
    <n v="2"/>
    <x v="0"/>
  </r>
  <r>
    <x v="34"/>
    <x v="0"/>
    <x v="140"/>
    <n v="2568"/>
    <x v="1"/>
  </r>
  <r>
    <x v="34"/>
    <x v="0"/>
    <x v="233"/>
    <n v="1"/>
    <x v="0"/>
  </r>
  <r>
    <x v="34"/>
    <x v="0"/>
    <x v="87"/>
    <n v="2473"/>
    <x v="1"/>
  </r>
  <r>
    <x v="34"/>
    <x v="0"/>
    <x v="120"/>
    <n v="86"/>
    <x v="0"/>
  </r>
  <r>
    <x v="34"/>
    <x v="0"/>
    <x v="236"/>
    <n v="324"/>
    <x v="1"/>
  </r>
  <r>
    <x v="34"/>
    <x v="0"/>
    <x v="176"/>
    <n v="2"/>
    <x v="0"/>
  </r>
  <r>
    <x v="34"/>
    <x v="0"/>
    <x v="128"/>
    <n v="9"/>
    <x v="0"/>
  </r>
  <r>
    <x v="34"/>
    <x v="0"/>
    <x v="270"/>
    <n v="413"/>
    <x v="1"/>
  </r>
  <r>
    <x v="34"/>
    <x v="0"/>
    <x v="54"/>
    <n v="15"/>
    <x v="0"/>
  </r>
  <r>
    <x v="34"/>
    <x v="0"/>
    <x v="28"/>
    <n v="2503"/>
    <x v="1"/>
  </r>
  <r>
    <x v="34"/>
    <x v="0"/>
    <x v="261"/>
    <n v="2237"/>
    <x v="1"/>
  </r>
  <r>
    <x v="34"/>
    <x v="0"/>
    <x v="248"/>
    <n v="3734"/>
    <x v="1"/>
  </r>
  <r>
    <x v="34"/>
    <x v="0"/>
    <x v="83"/>
    <n v="4"/>
    <x v="0"/>
  </r>
  <r>
    <x v="34"/>
    <x v="0"/>
    <x v="57"/>
    <n v="11"/>
    <x v="0"/>
  </r>
  <r>
    <x v="34"/>
    <x v="0"/>
    <x v="241"/>
    <n v="1"/>
    <x v="0"/>
  </r>
  <r>
    <x v="34"/>
    <x v="0"/>
    <x v="30"/>
    <n v="1104"/>
    <x v="1"/>
  </r>
  <r>
    <x v="34"/>
    <x v="0"/>
    <x v="159"/>
    <n v="1"/>
    <x v="0"/>
  </r>
  <r>
    <x v="34"/>
    <x v="0"/>
    <x v="259"/>
    <n v="1"/>
    <x v="0"/>
  </r>
  <r>
    <x v="34"/>
    <x v="0"/>
    <x v="265"/>
    <n v="1"/>
    <x v="0"/>
  </r>
  <r>
    <x v="34"/>
    <x v="0"/>
    <x v="18"/>
    <n v="1"/>
    <x v="0"/>
  </r>
  <r>
    <x v="34"/>
    <x v="0"/>
    <x v="133"/>
    <n v="348"/>
    <x v="1"/>
  </r>
  <r>
    <x v="34"/>
    <x v="0"/>
    <x v="109"/>
    <n v="3"/>
    <x v="0"/>
  </r>
  <r>
    <x v="34"/>
    <x v="0"/>
    <x v="131"/>
    <n v="6"/>
    <x v="0"/>
  </r>
  <r>
    <x v="34"/>
    <x v="0"/>
    <x v="214"/>
    <n v="2"/>
    <x v="0"/>
  </r>
  <r>
    <x v="34"/>
    <x v="0"/>
    <x v="218"/>
    <n v="10"/>
    <x v="0"/>
  </r>
  <r>
    <x v="34"/>
    <x v="0"/>
    <x v="198"/>
    <n v="145"/>
    <x v="1"/>
  </r>
  <r>
    <x v="34"/>
    <x v="0"/>
    <x v="238"/>
    <n v="1"/>
    <x v="0"/>
  </r>
  <r>
    <x v="34"/>
    <x v="0"/>
    <x v="27"/>
    <n v="2530"/>
    <x v="1"/>
  </r>
  <r>
    <x v="34"/>
    <x v="0"/>
    <x v="242"/>
    <n v="143"/>
    <x v="1"/>
  </r>
  <r>
    <x v="34"/>
    <x v="0"/>
    <x v="127"/>
    <n v="3576"/>
    <x v="1"/>
  </r>
  <r>
    <x v="34"/>
    <x v="0"/>
    <x v="116"/>
    <n v="2322"/>
    <x v="1"/>
  </r>
  <r>
    <x v="34"/>
    <x v="0"/>
    <x v="88"/>
    <n v="3400"/>
    <x v="1"/>
  </r>
  <r>
    <x v="34"/>
    <x v="0"/>
    <x v="170"/>
    <n v="2757"/>
    <x v="1"/>
  </r>
  <r>
    <x v="34"/>
    <x v="0"/>
    <x v="143"/>
    <n v="3572"/>
    <x v="1"/>
  </r>
  <r>
    <x v="34"/>
    <x v="0"/>
    <x v="258"/>
    <n v="2913"/>
    <x v="1"/>
  </r>
  <r>
    <x v="34"/>
    <x v="0"/>
    <x v="99"/>
    <n v="2481"/>
    <x v="1"/>
  </r>
  <r>
    <x v="34"/>
    <x v="0"/>
    <x v="64"/>
    <n v="352"/>
    <x v="1"/>
  </r>
  <r>
    <x v="34"/>
    <x v="0"/>
    <x v="287"/>
    <n v="2511"/>
    <x v="1"/>
  </r>
  <r>
    <x v="34"/>
    <x v="0"/>
    <x v="44"/>
    <n v="3012"/>
    <x v="1"/>
  </r>
  <r>
    <x v="34"/>
    <x v="0"/>
    <x v="175"/>
    <n v="2"/>
    <x v="0"/>
  </r>
  <r>
    <x v="34"/>
    <x v="0"/>
    <x v="62"/>
    <n v="583"/>
    <x v="1"/>
  </r>
  <r>
    <x v="34"/>
    <x v="0"/>
    <x v="283"/>
    <n v="3603"/>
    <x v="1"/>
  </r>
  <r>
    <x v="34"/>
    <x v="0"/>
    <x v="274"/>
    <n v="3226"/>
    <x v="1"/>
  </r>
  <r>
    <x v="34"/>
    <x v="0"/>
    <x v="19"/>
    <n v="212"/>
    <x v="1"/>
  </r>
  <r>
    <x v="34"/>
    <x v="0"/>
    <x v="239"/>
    <n v="2993"/>
    <x v="1"/>
  </r>
  <r>
    <x v="34"/>
    <x v="0"/>
    <x v="16"/>
    <n v="1"/>
    <x v="0"/>
  </r>
  <r>
    <x v="34"/>
    <x v="0"/>
    <x v="132"/>
    <n v="5"/>
    <x v="0"/>
  </r>
  <r>
    <x v="34"/>
    <x v="0"/>
    <x v="229"/>
    <n v="1057"/>
    <x v="1"/>
  </r>
  <r>
    <x v="34"/>
    <x v="0"/>
    <x v="275"/>
    <n v="46"/>
    <x v="0"/>
  </r>
  <r>
    <x v="34"/>
    <x v="0"/>
    <x v="126"/>
    <n v="84"/>
    <x v="0"/>
  </r>
  <r>
    <x v="34"/>
    <x v="0"/>
    <x v="172"/>
    <n v="2927"/>
    <x v="1"/>
  </r>
  <r>
    <x v="34"/>
    <x v="0"/>
    <x v="272"/>
    <n v="683"/>
    <x v="1"/>
  </r>
  <r>
    <x v="34"/>
    <x v="0"/>
    <x v="196"/>
    <n v="1"/>
    <x v="0"/>
  </r>
  <r>
    <x v="34"/>
    <x v="0"/>
    <x v="243"/>
    <n v="545"/>
    <x v="1"/>
  </r>
  <r>
    <x v="34"/>
    <x v="0"/>
    <x v="1"/>
    <n v="27"/>
    <x v="0"/>
  </r>
  <r>
    <x v="34"/>
    <x v="0"/>
    <x v="32"/>
    <n v="1140"/>
    <x v="1"/>
  </r>
  <r>
    <x v="34"/>
    <x v="0"/>
    <x v="9"/>
    <n v="1"/>
    <x v="0"/>
  </r>
  <r>
    <x v="34"/>
    <x v="0"/>
    <x v="45"/>
    <n v="22"/>
    <x v="0"/>
  </r>
  <r>
    <x v="34"/>
    <x v="0"/>
    <x v="121"/>
    <n v="2573"/>
    <x v="1"/>
  </r>
  <r>
    <x v="34"/>
    <x v="0"/>
    <x v="191"/>
    <n v="2199"/>
    <x v="1"/>
  </r>
  <r>
    <x v="34"/>
    <x v="0"/>
    <x v="193"/>
    <n v="531"/>
    <x v="1"/>
  </r>
  <r>
    <x v="34"/>
    <x v="0"/>
    <x v="107"/>
    <n v="4"/>
    <x v="0"/>
  </r>
  <r>
    <x v="34"/>
    <x v="0"/>
    <x v="3"/>
    <n v="875"/>
    <x v="1"/>
  </r>
  <r>
    <x v="34"/>
    <x v="0"/>
    <x v="188"/>
    <n v="2561"/>
    <x v="1"/>
  </r>
  <r>
    <x v="34"/>
    <x v="0"/>
    <x v="231"/>
    <n v="3"/>
    <x v="0"/>
  </r>
  <r>
    <x v="34"/>
    <x v="0"/>
    <x v="92"/>
    <n v="6"/>
    <x v="0"/>
  </r>
  <r>
    <x v="34"/>
    <x v="0"/>
    <x v="197"/>
    <n v="2391"/>
    <x v="1"/>
  </r>
  <r>
    <x v="34"/>
    <x v="0"/>
    <x v="204"/>
    <n v="1"/>
    <x v="0"/>
  </r>
  <r>
    <x v="34"/>
    <x v="0"/>
    <x v="98"/>
    <n v="18"/>
    <x v="0"/>
  </r>
  <r>
    <x v="34"/>
    <x v="0"/>
    <x v="284"/>
    <n v="2"/>
    <x v="0"/>
  </r>
  <r>
    <x v="34"/>
    <x v="0"/>
    <x v="257"/>
    <n v="211"/>
    <x v="1"/>
  </r>
  <r>
    <x v="34"/>
    <x v="0"/>
    <x v="90"/>
    <n v="190"/>
    <x v="1"/>
  </r>
  <r>
    <x v="34"/>
    <x v="0"/>
    <x v="40"/>
    <n v="1"/>
    <x v="0"/>
  </r>
  <r>
    <x v="34"/>
    <x v="0"/>
    <x v="47"/>
    <n v="689"/>
    <x v="1"/>
  </r>
  <r>
    <x v="34"/>
    <x v="0"/>
    <x v="168"/>
    <n v="2043"/>
    <x v="1"/>
  </r>
  <r>
    <x v="34"/>
    <x v="0"/>
    <x v="66"/>
    <n v="211"/>
    <x v="1"/>
  </r>
  <r>
    <x v="34"/>
    <x v="0"/>
    <x v="207"/>
    <n v="1"/>
    <x v="0"/>
  </r>
  <r>
    <x v="34"/>
    <x v="0"/>
    <x v="34"/>
    <n v="1"/>
    <x v="0"/>
  </r>
  <r>
    <x v="34"/>
    <x v="0"/>
    <x v="247"/>
    <n v="1403"/>
    <x v="1"/>
  </r>
  <r>
    <x v="34"/>
    <x v="0"/>
    <x v="268"/>
    <n v="3064"/>
    <x v="1"/>
  </r>
  <r>
    <x v="34"/>
    <x v="0"/>
    <x v="114"/>
    <n v="288"/>
    <x v="1"/>
  </r>
  <r>
    <x v="34"/>
    <x v="0"/>
    <x v="169"/>
    <n v="1"/>
    <x v="0"/>
  </r>
  <r>
    <x v="34"/>
    <x v="0"/>
    <x v="125"/>
    <n v="35"/>
    <x v="0"/>
  </r>
  <r>
    <x v="34"/>
    <x v="0"/>
    <x v="12"/>
    <n v="9"/>
    <x v="0"/>
  </r>
  <r>
    <x v="34"/>
    <x v="0"/>
    <x v="273"/>
    <n v="3278"/>
    <x v="1"/>
  </r>
  <r>
    <x v="34"/>
    <x v="0"/>
    <x v="244"/>
    <n v="139"/>
    <x v="1"/>
  </r>
  <r>
    <x v="34"/>
    <x v="0"/>
    <x v="53"/>
    <n v="171"/>
    <x v="1"/>
  </r>
  <r>
    <x v="34"/>
    <x v="0"/>
    <x v="72"/>
    <n v="1"/>
    <x v="0"/>
  </r>
  <r>
    <x v="34"/>
    <x v="0"/>
    <x v="110"/>
    <n v="2"/>
    <x v="0"/>
  </r>
  <r>
    <x v="34"/>
    <x v="0"/>
    <x v="68"/>
    <n v="7"/>
    <x v="0"/>
  </r>
  <r>
    <x v="34"/>
    <x v="0"/>
    <x v="162"/>
    <n v="6"/>
    <x v="0"/>
  </r>
  <r>
    <x v="34"/>
    <x v="0"/>
    <x v="93"/>
    <n v="553"/>
    <x v="1"/>
  </r>
  <r>
    <x v="34"/>
    <x v="0"/>
    <x v="195"/>
    <n v="4"/>
    <x v="0"/>
  </r>
  <r>
    <x v="34"/>
    <x v="0"/>
    <x v="232"/>
    <n v="2520"/>
    <x v="1"/>
  </r>
  <r>
    <x v="34"/>
    <x v="0"/>
    <x v="70"/>
    <n v="7"/>
    <x v="0"/>
  </r>
  <r>
    <x v="34"/>
    <x v="0"/>
    <x v="152"/>
    <n v="3084"/>
    <x v="1"/>
  </r>
  <r>
    <x v="34"/>
    <x v="0"/>
    <x v="123"/>
    <n v="2202"/>
    <x v="1"/>
  </r>
  <r>
    <x v="34"/>
    <x v="0"/>
    <x v="137"/>
    <n v="1756"/>
    <x v="1"/>
  </r>
  <r>
    <x v="34"/>
    <x v="0"/>
    <x v="96"/>
    <n v="32"/>
    <x v="0"/>
  </r>
  <r>
    <x v="34"/>
    <x v="0"/>
    <x v="285"/>
    <n v="3491"/>
    <x v="1"/>
  </r>
  <r>
    <x v="34"/>
    <x v="0"/>
    <x v="254"/>
    <n v="214"/>
    <x v="1"/>
  </r>
  <r>
    <x v="34"/>
    <x v="0"/>
    <x v="249"/>
    <n v="85"/>
    <x v="0"/>
  </r>
  <r>
    <x v="34"/>
    <x v="0"/>
    <x v="8"/>
    <n v="2234"/>
    <x v="1"/>
  </r>
  <r>
    <x v="34"/>
    <x v="0"/>
    <x v="73"/>
    <n v="613"/>
    <x v="1"/>
  </r>
  <r>
    <x v="34"/>
    <x v="0"/>
    <x v="245"/>
    <n v="3584"/>
    <x v="1"/>
  </r>
  <r>
    <x v="34"/>
    <x v="0"/>
    <x v="184"/>
    <n v="2542"/>
    <x v="1"/>
  </r>
  <r>
    <x v="34"/>
    <x v="0"/>
    <x v="185"/>
    <n v="3239"/>
    <x v="1"/>
  </r>
  <r>
    <x v="34"/>
    <x v="0"/>
    <x v="157"/>
    <n v="4"/>
    <x v="0"/>
  </r>
  <r>
    <x v="34"/>
    <x v="0"/>
    <x v="22"/>
    <n v="3709"/>
    <x v="1"/>
  </r>
  <r>
    <x v="34"/>
    <x v="0"/>
    <x v="189"/>
    <n v="3209"/>
    <x v="1"/>
  </r>
  <r>
    <x v="34"/>
    <x v="0"/>
    <x v="31"/>
    <n v="7"/>
    <x v="0"/>
  </r>
  <r>
    <x v="34"/>
    <x v="0"/>
    <x v="203"/>
    <n v="1"/>
    <x v="0"/>
  </r>
  <r>
    <x v="34"/>
    <x v="0"/>
    <x v="4"/>
    <n v="3"/>
    <x v="0"/>
  </r>
  <r>
    <x v="34"/>
    <x v="0"/>
    <x v="103"/>
    <n v="19"/>
    <x v="0"/>
  </r>
  <r>
    <x v="34"/>
    <x v="0"/>
    <x v="250"/>
    <n v="2187"/>
    <x v="1"/>
  </r>
  <r>
    <x v="34"/>
    <x v="0"/>
    <x v="181"/>
    <n v="1581"/>
    <x v="1"/>
  </r>
  <r>
    <x v="34"/>
    <x v="0"/>
    <x v="136"/>
    <n v="17"/>
    <x v="0"/>
  </r>
  <r>
    <x v="34"/>
    <x v="0"/>
    <x v="95"/>
    <n v="3058"/>
    <x v="1"/>
  </r>
  <r>
    <x v="34"/>
    <x v="0"/>
    <x v="278"/>
    <n v="126"/>
    <x v="1"/>
  </r>
  <r>
    <x v="34"/>
    <x v="0"/>
    <x v="182"/>
    <n v="2482"/>
    <x v="1"/>
  </r>
  <r>
    <x v="34"/>
    <x v="0"/>
    <x v="14"/>
    <n v="2"/>
    <x v="0"/>
  </r>
  <r>
    <x v="34"/>
    <x v="0"/>
    <x v="67"/>
    <n v="1"/>
    <x v="0"/>
  </r>
  <r>
    <x v="34"/>
    <x v="0"/>
    <x v="134"/>
    <n v="291"/>
    <x v="1"/>
  </r>
  <r>
    <x v="34"/>
    <x v="0"/>
    <x v="63"/>
    <n v="893"/>
    <x v="1"/>
  </r>
  <r>
    <x v="34"/>
    <x v="0"/>
    <x v="11"/>
    <n v="8"/>
    <x v="0"/>
  </r>
  <r>
    <x v="34"/>
    <x v="0"/>
    <x v="106"/>
    <n v="2"/>
    <x v="0"/>
  </r>
  <r>
    <x v="34"/>
    <x v="0"/>
    <x v="111"/>
    <n v="2496"/>
    <x v="1"/>
  </r>
  <r>
    <x v="34"/>
    <x v="0"/>
    <x v="35"/>
    <n v="27"/>
    <x v="0"/>
  </r>
  <r>
    <x v="34"/>
    <x v="0"/>
    <x v="13"/>
    <n v="1"/>
    <x v="0"/>
  </r>
  <r>
    <x v="34"/>
    <x v="0"/>
    <x v="260"/>
    <n v="221"/>
    <x v="1"/>
  </r>
  <r>
    <x v="34"/>
    <x v="0"/>
    <x v="190"/>
    <n v="3257"/>
    <x v="1"/>
  </r>
  <r>
    <x v="34"/>
    <x v="0"/>
    <x v="51"/>
    <n v="2369"/>
    <x v="1"/>
  </r>
  <r>
    <x v="34"/>
    <x v="0"/>
    <x v="167"/>
    <n v="2670"/>
    <x v="1"/>
  </r>
  <r>
    <x v="34"/>
    <x v="0"/>
    <x v="264"/>
    <n v="1"/>
    <x v="0"/>
  </r>
  <r>
    <x v="34"/>
    <x v="0"/>
    <x v="187"/>
    <n v="1902"/>
    <x v="1"/>
  </r>
  <r>
    <x v="34"/>
    <x v="0"/>
    <x v="253"/>
    <n v="3703"/>
    <x v="1"/>
  </r>
  <r>
    <x v="34"/>
    <x v="0"/>
    <x v="113"/>
    <n v="4"/>
    <x v="0"/>
  </r>
  <r>
    <x v="34"/>
    <x v="0"/>
    <x v="148"/>
    <n v="3206"/>
    <x v="1"/>
  </r>
  <r>
    <x v="34"/>
    <x v="0"/>
    <x v="288"/>
    <n v="1"/>
    <x v="0"/>
  </r>
  <r>
    <x v="34"/>
    <x v="0"/>
    <x v="192"/>
    <n v="2824"/>
    <x v="1"/>
  </r>
  <r>
    <x v="34"/>
    <x v="0"/>
    <x v="220"/>
    <n v="4021"/>
    <x v="1"/>
  </r>
  <r>
    <x v="34"/>
    <x v="0"/>
    <x v="129"/>
    <n v="938"/>
    <x v="1"/>
  </r>
  <r>
    <x v="34"/>
    <x v="0"/>
    <x v="48"/>
    <n v="1"/>
    <x v="0"/>
  </r>
  <r>
    <x v="34"/>
    <x v="0"/>
    <x v="280"/>
    <n v="36"/>
    <x v="0"/>
  </r>
  <r>
    <x v="34"/>
    <x v="0"/>
    <x v="205"/>
    <n v="3"/>
    <x v="0"/>
  </r>
  <r>
    <x v="34"/>
    <x v="0"/>
    <x v="17"/>
    <n v="1065"/>
    <x v="1"/>
  </r>
  <r>
    <x v="34"/>
    <x v="0"/>
    <x v="89"/>
    <n v="1956"/>
    <x v="1"/>
  </r>
  <r>
    <x v="34"/>
    <x v="0"/>
    <x v="227"/>
    <n v="3"/>
    <x v="0"/>
  </r>
  <r>
    <x v="34"/>
    <x v="0"/>
    <x v="58"/>
    <n v="3171"/>
    <x v="1"/>
  </r>
  <r>
    <x v="34"/>
    <x v="0"/>
    <x v="23"/>
    <n v="10"/>
    <x v="0"/>
  </r>
  <r>
    <x v="34"/>
    <x v="0"/>
    <x v="271"/>
    <n v="82"/>
    <x v="0"/>
  </r>
  <r>
    <x v="34"/>
    <x v="0"/>
    <x v="65"/>
    <n v="482"/>
    <x v="1"/>
  </r>
  <r>
    <x v="34"/>
    <x v="0"/>
    <x v="279"/>
    <n v="81"/>
    <x v="0"/>
  </r>
  <r>
    <x v="34"/>
    <x v="0"/>
    <x v="281"/>
    <n v="110"/>
    <x v="1"/>
  </r>
  <r>
    <x v="34"/>
    <x v="0"/>
    <x v="142"/>
    <n v="2430"/>
    <x v="1"/>
  </r>
  <r>
    <x v="34"/>
    <x v="0"/>
    <x v="77"/>
    <n v="8"/>
    <x v="0"/>
  </r>
  <r>
    <x v="34"/>
    <x v="0"/>
    <x v="46"/>
    <n v="2506"/>
    <x v="1"/>
  </r>
  <r>
    <x v="34"/>
    <x v="0"/>
    <x v="118"/>
    <n v="2699"/>
    <x v="1"/>
  </r>
  <r>
    <x v="34"/>
    <x v="0"/>
    <x v="150"/>
    <n v="3144"/>
    <x v="1"/>
  </r>
  <r>
    <x v="34"/>
    <x v="0"/>
    <x v="38"/>
    <n v="1772"/>
    <x v="1"/>
  </r>
  <r>
    <x v="34"/>
    <x v="0"/>
    <x v="55"/>
    <n v="1"/>
    <x v="0"/>
  </r>
  <r>
    <x v="34"/>
    <x v="0"/>
    <x v="76"/>
    <n v="5"/>
    <x v="0"/>
  </r>
  <r>
    <x v="34"/>
    <x v="0"/>
    <x v="256"/>
    <n v="2195"/>
    <x v="1"/>
  </r>
  <r>
    <x v="34"/>
    <x v="0"/>
    <x v="235"/>
    <n v="7"/>
    <x v="0"/>
  </r>
  <r>
    <x v="34"/>
    <x v="0"/>
    <x v="221"/>
    <n v="11"/>
    <x v="0"/>
  </r>
  <r>
    <x v="34"/>
    <x v="0"/>
    <x v="164"/>
    <n v="133"/>
    <x v="1"/>
  </r>
  <r>
    <x v="34"/>
    <x v="0"/>
    <x v="33"/>
    <n v="583"/>
    <x v="1"/>
  </r>
  <r>
    <x v="34"/>
    <x v="0"/>
    <x v="105"/>
    <n v="522"/>
    <x v="1"/>
  </r>
  <r>
    <x v="34"/>
    <x v="0"/>
    <x v="171"/>
    <n v="1355"/>
    <x v="1"/>
  </r>
  <r>
    <x v="34"/>
    <x v="0"/>
    <x v="251"/>
    <n v="754"/>
    <x v="1"/>
  </r>
  <r>
    <x v="34"/>
    <x v="0"/>
    <x v="82"/>
    <n v="6"/>
    <x v="0"/>
  </r>
  <r>
    <x v="34"/>
    <x v="0"/>
    <x v="179"/>
    <n v="8"/>
    <x v="0"/>
  </r>
  <r>
    <x v="34"/>
    <x v="0"/>
    <x v="91"/>
    <n v="10"/>
    <x v="0"/>
  </r>
  <r>
    <x v="34"/>
    <x v="0"/>
    <x v="276"/>
    <n v="2165"/>
    <x v="1"/>
  </r>
  <r>
    <x v="34"/>
    <x v="0"/>
    <x v="141"/>
    <n v="2119"/>
    <x v="1"/>
  </r>
  <r>
    <x v="34"/>
    <x v="0"/>
    <x v="117"/>
    <n v="2611"/>
    <x v="1"/>
  </r>
  <r>
    <x v="34"/>
    <x v="0"/>
    <x v="246"/>
    <n v="2569"/>
    <x v="1"/>
  </r>
  <r>
    <x v="34"/>
    <x v="0"/>
    <x v="74"/>
    <n v="2647"/>
    <x v="1"/>
  </r>
  <r>
    <x v="34"/>
    <x v="0"/>
    <x v="146"/>
    <n v="3118"/>
    <x v="1"/>
  </r>
  <r>
    <x v="34"/>
    <x v="0"/>
    <x v="144"/>
    <n v="182"/>
    <x v="1"/>
  </r>
  <r>
    <x v="35"/>
    <x v="0"/>
    <x v="129"/>
    <n v="916"/>
    <x v="1"/>
  </r>
  <r>
    <x v="35"/>
    <x v="0"/>
    <x v="34"/>
    <n v="1"/>
    <x v="0"/>
  </r>
  <r>
    <x v="35"/>
    <x v="0"/>
    <x v="90"/>
    <n v="149"/>
    <x v="1"/>
  </r>
  <r>
    <x v="35"/>
    <x v="0"/>
    <x v="212"/>
    <n v="3"/>
    <x v="0"/>
  </r>
  <r>
    <x v="35"/>
    <x v="0"/>
    <x v="189"/>
    <n v="3141"/>
    <x v="1"/>
  </r>
  <r>
    <x v="35"/>
    <x v="0"/>
    <x v="76"/>
    <n v="5"/>
    <x v="0"/>
  </r>
  <r>
    <x v="35"/>
    <x v="0"/>
    <x v="86"/>
    <n v="3080"/>
    <x v="1"/>
  </r>
  <r>
    <x v="35"/>
    <x v="0"/>
    <x v="52"/>
    <n v="2553"/>
    <x v="1"/>
  </r>
  <r>
    <x v="35"/>
    <x v="0"/>
    <x v="175"/>
    <n v="1"/>
    <x v="0"/>
  </r>
  <r>
    <x v="35"/>
    <x v="0"/>
    <x v="118"/>
    <n v="2668"/>
    <x v="1"/>
  </r>
  <r>
    <x v="35"/>
    <x v="0"/>
    <x v="214"/>
    <n v="2"/>
    <x v="0"/>
  </r>
  <r>
    <x v="35"/>
    <x v="0"/>
    <x v="257"/>
    <n v="766"/>
    <x v="1"/>
  </r>
  <r>
    <x v="35"/>
    <x v="0"/>
    <x v="229"/>
    <n v="1064"/>
    <x v="1"/>
  </r>
  <r>
    <x v="35"/>
    <x v="0"/>
    <x v="146"/>
    <n v="3011"/>
    <x v="1"/>
  </r>
  <r>
    <x v="35"/>
    <x v="0"/>
    <x v="111"/>
    <n v="2413"/>
    <x v="1"/>
  </r>
  <r>
    <x v="35"/>
    <x v="0"/>
    <x v="92"/>
    <n v="5"/>
    <x v="0"/>
  </r>
  <r>
    <x v="35"/>
    <x v="0"/>
    <x v="79"/>
    <n v="2046"/>
    <x v="1"/>
  </r>
  <r>
    <x v="35"/>
    <x v="0"/>
    <x v="1"/>
    <n v="26"/>
    <x v="0"/>
  </r>
  <r>
    <x v="35"/>
    <x v="0"/>
    <x v="41"/>
    <n v="1"/>
    <x v="0"/>
  </r>
  <r>
    <x v="35"/>
    <x v="0"/>
    <x v="258"/>
    <n v="2854"/>
    <x v="1"/>
  </r>
  <r>
    <x v="35"/>
    <x v="0"/>
    <x v="40"/>
    <n v="1"/>
    <x v="0"/>
  </r>
  <r>
    <x v="35"/>
    <x v="0"/>
    <x v="137"/>
    <n v="1725"/>
    <x v="1"/>
  </r>
  <r>
    <x v="35"/>
    <x v="0"/>
    <x v="227"/>
    <n v="3"/>
    <x v="0"/>
  </r>
  <r>
    <x v="35"/>
    <x v="0"/>
    <x v="238"/>
    <n v="1"/>
    <x v="0"/>
  </r>
  <r>
    <x v="35"/>
    <x v="0"/>
    <x v="141"/>
    <n v="2072"/>
    <x v="1"/>
  </r>
  <r>
    <x v="35"/>
    <x v="0"/>
    <x v="211"/>
    <n v="4"/>
    <x v="0"/>
  </r>
  <r>
    <x v="35"/>
    <x v="0"/>
    <x v="94"/>
    <n v="257"/>
    <x v="1"/>
  </r>
  <r>
    <x v="35"/>
    <x v="0"/>
    <x v="241"/>
    <n v="1"/>
    <x v="0"/>
  </r>
  <r>
    <x v="35"/>
    <x v="0"/>
    <x v="270"/>
    <n v="422"/>
    <x v="1"/>
  </r>
  <r>
    <x v="35"/>
    <x v="0"/>
    <x v="221"/>
    <n v="11"/>
    <x v="0"/>
  </r>
  <r>
    <x v="35"/>
    <x v="0"/>
    <x v="250"/>
    <n v="2158"/>
    <x v="1"/>
  </r>
  <r>
    <x v="35"/>
    <x v="0"/>
    <x v="38"/>
    <n v="1739"/>
    <x v="1"/>
  </r>
  <r>
    <x v="35"/>
    <x v="0"/>
    <x v="198"/>
    <n v="157"/>
    <x v="1"/>
  </r>
  <r>
    <x v="35"/>
    <x v="0"/>
    <x v="277"/>
    <n v="654"/>
    <x v="1"/>
  </r>
  <r>
    <x v="35"/>
    <x v="0"/>
    <x v="11"/>
    <n v="8"/>
    <x v="0"/>
  </r>
  <r>
    <x v="35"/>
    <x v="0"/>
    <x v="109"/>
    <n v="3"/>
    <x v="0"/>
  </r>
  <r>
    <x v="35"/>
    <x v="0"/>
    <x v="236"/>
    <n v="315"/>
    <x v="1"/>
  </r>
  <r>
    <x v="35"/>
    <x v="0"/>
    <x v="105"/>
    <n v="505"/>
    <x v="1"/>
  </r>
  <r>
    <x v="35"/>
    <x v="0"/>
    <x v="17"/>
    <n v="1075"/>
    <x v="1"/>
  </r>
  <r>
    <x v="35"/>
    <x v="0"/>
    <x v="64"/>
    <n v="339"/>
    <x v="1"/>
  </r>
  <r>
    <x v="35"/>
    <x v="0"/>
    <x v="125"/>
    <n v="29"/>
    <x v="0"/>
  </r>
  <r>
    <x v="35"/>
    <x v="0"/>
    <x v="191"/>
    <n v="2180"/>
    <x v="1"/>
  </r>
  <r>
    <x v="35"/>
    <x v="0"/>
    <x v="75"/>
    <n v="298"/>
    <x v="1"/>
  </r>
  <r>
    <x v="35"/>
    <x v="0"/>
    <x v="44"/>
    <n v="2888"/>
    <x v="1"/>
  </r>
  <r>
    <x v="35"/>
    <x v="0"/>
    <x v="88"/>
    <n v="3326"/>
    <x v="1"/>
  </r>
  <r>
    <x v="35"/>
    <x v="0"/>
    <x v="283"/>
    <n v="3472"/>
    <x v="1"/>
  </r>
  <r>
    <x v="35"/>
    <x v="0"/>
    <x v="225"/>
    <n v="4"/>
    <x v="0"/>
  </r>
  <r>
    <x v="35"/>
    <x v="0"/>
    <x v="184"/>
    <n v="2491"/>
    <x v="1"/>
  </r>
  <r>
    <x v="35"/>
    <x v="0"/>
    <x v="254"/>
    <n v="234"/>
    <x v="1"/>
  </r>
  <r>
    <x v="35"/>
    <x v="0"/>
    <x v="82"/>
    <n v="6"/>
    <x v="0"/>
  </r>
  <r>
    <x v="35"/>
    <x v="0"/>
    <x v="152"/>
    <n v="2991"/>
    <x v="1"/>
  </r>
  <r>
    <x v="35"/>
    <x v="0"/>
    <x v="195"/>
    <n v="4"/>
    <x v="0"/>
  </r>
  <r>
    <x v="35"/>
    <x v="0"/>
    <x v="275"/>
    <n v="53"/>
    <x v="0"/>
  </r>
  <r>
    <x v="35"/>
    <x v="0"/>
    <x v="132"/>
    <n v="5"/>
    <x v="0"/>
  </r>
  <r>
    <x v="35"/>
    <x v="0"/>
    <x v="25"/>
    <n v="9"/>
    <x v="0"/>
  </r>
  <r>
    <x v="35"/>
    <x v="0"/>
    <x v="205"/>
    <n v="1"/>
    <x v="0"/>
  </r>
  <r>
    <x v="35"/>
    <x v="0"/>
    <x v="45"/>
    <n v="23"/>
    <x v="0"/>
  </r>
  <r>
    <x v="35"/>
    <x v="0"/>
    <x v="220"/>
    <n v="3909"/>
    <x v="1"/>
  </r>
  <r>
    <x v="35"/>
    <x v="0"/>
    <x v="268"/>
    <n v="2960"/>
    <x v="1"/>
  </r>
  <r>
    <x v="35"/>
    <x v="0"/>
    <x v="160"/>
    <n v="1"/>
    <x v="0"/>
  </r>
  <r>
    <x v="35"/>
    <x v="0"/>
    <x v="278"/>
    <n v="180"/>
    <x v="1"/>
  </r>
  <r>
    <x v="35"/>
    <x v="0"/>
    <x v="91"/>
    <n v="10"/>
    <x v="0"/>
  </r>
  <r>
    <x v="35"/>
    <x v="0"/>
    <x v="55"/>
    <n v="1"/>
    <x v="0"/>
  </r>
  <r>
    <x v="35"/>
    <x v="0"/>
    <x v="143"/>
    <n v="3525"/>
    <x v="1"/>
  </r>
  <r>
    <x v="35"/>
    <x v="0"/>
    <x v="203"/>
    <n v="1"/>
    <x v="0"/>
  </r>
  <r>
    <x v="35"/>
    <x v="0"/>
    <x v="240"/>
    <n v="2243"/>
    <x v="1"/>
  </r>
  <r>
    <x v="35"/>
    <x v="0"/>
    <x v="33"/>
    <n v="604"/>
    <x v="1"/>
  </r>
  <r>
    <x v="35"/>
    <x v="0"/>
    <x v="98"/>
    <n v="17"/>
    <x v="0"/>
  </r>
  <r>
    <x v="35"/>
    <x v="0"/>
    <x v="244"/>
    <n v="789"/>
    <x v="1"/>
  </r>
  <r>
    <x v="35"/>
    <x v="0"/>
    <x v="121"/>
    <n v="2605"/>
    <x v="1"/>
  </r>
  <r>
    <x v="35"/>
    <x v="0"/>
    <x v="197"/>
    <n v="2372"/>
    <x v="1"/>
  </r>
  <r>
    <x v="35"/>
    <x v="0"/>
    <x v="13"/>
    <n v="1"/>
    <x v="0"/>
  </r>
  <r>
    <x v="35"/>
    <x v="0"/>
    <x v="253"/>
    <n v="3615"/>
    <x v="1"/>
  </r>
  <r>
    <x v="35"/>
    <x v="0"/>
    <x v="133"/>
    <n v="335"/>
    <x v="1"/>
  </r>
  <r>
    <x v="35"/>
    <x v="0"/>
    <x v="134"/>
    <n v="247"/>
    <x v="1"/>
  </r>
  <r>
    <x v="35"/>
    <x v="0"/>
    <x v="72"/>
    <n v="1"/>
    <x v="0"/>
  </r>
  <r>
    <x v="35"/>
    <x v="0"/>
    <x v="22"/>
    <n v="3623"/>
    <x v="1"/>
  </r>
  <r>
    <x v="35"/>
    <x v="0"/>
    <x v="272"/>
    <n v="682"/>
    <x v="1"/>
  </r>
  <r>
    <x v="35"/>
    <x v="0"/>
    <x v="32"/>
    <n v="1074"/>
    <x v="1"/>
  </r>
  <r>
    <x v="35"/>
    <x v="0"/>
    <x v="127"/>
    <n v="3467"/>
    <x v="1"/>
  </r>
  <r>
    <x v="35"/>
    <x v="0"/>
    <x v="95"/>
    <n v="2970"/>
    <x v="1"/>
  </r>
  <r>
    <x v="35"/>
    <x v="0"/>
    <x v="282"/>
    <n v="95"/>
    <x v="0"/>
  </r>
  <r>
    <x v="35"/>
    <x v="0"/>
    <x v="168"/>
    <n v="2018"/>
    <x v="1"/>
  </r>
  <r>
    <x v="35"/>
    <x v="0"/>
    <x v="263"/>
    <n v="1715"/>
    <x v="1"/>
  </r>
  <r>
    <x v="35"/>
    <x v="0"/>
    <x v="222"/>
    <n v="1224"/>
    <x v="1"/>
  </r>
  <r>
    <x v="35"/>
    <x v="0"/>
    <x v="170"/>
    <n v="2708"/>
    <x v="1"/>
  </r>
  <r>
    <x v="35"/>
    <x v="0"/>
    <x v="14"/>
    <n v="2"/>
    <x v="0"/>
  </r>
  <r>
    <x v="35"/>
    <x v="0"/>
    <x v="30"/>
    <n v="1073"/>
    <x v="1"/>
  </r>
  <r>
    <x v="35"/>
    <x v="0"/>
    <x v="192"/>
    <n v="2798"/>
    <x v="1"/>
  </r>
  <r>
    <x v="35"/>
    <x v="0"/>
    <x v="63"/>
    <n v="826"/>
    <x v="1"/>
  </r>
  <r>
    <x v="35"/>
    <x v="0"/>
    <x v="164"/>
    <n v="124"/>
    <x v="1"/>
  </r>
  <r>
    <x v="35"/>
    <x v="0"/>
    <x v="144"/>
    <n v="172"/>
    <x v="1"/>
  </r>
  <r>
    <x v="35"/>
    <x v="0"/>
    <x v="186"/>
    <n v="1675"/>
    <x v="1"/>
  </r>
  <r>
    <x v="35"/>
    <x v="0"/>
    <x v="10"/>
    <n v="179"/>
    <x v="1"/>
  </r>
  <r>
    <x v="35"/>
    <x v="0"/>
    <x v="218"/>
    <n v="10"/>
    <x v="0"/>
  </r>
  <r>
    <x v="35"/>
    <x v="0"/>
    <x v="287"/>
    <n v="2409"/>
    <x v="1"/>
  </r>
  <r>
    <x v="35"/>
    <x v="0"/>
    <x v="153"/>
    <n v="94"/>
    <x v="0"/>
  </r>
  <r>
    <x v="35"/>
    <x v="0"/>
    <x v="247"/>
    <n v="1349"/>
    <x v="1"/>
  </r>
  <r>
    <x v="35"/>
    <x v="0"/>
    <x v="136"/>
    <n v="18"/>
    <x v="0"/>
  </r>
  <r>
    <x v="35"/>
    <x v="0"/>
    <x v="182"/>
    <n v="2424"/>
    <x v="1"/>
  </r>
  <r>
    <x v="35"/>
    <x v="0"/>
    <x v="176"/>
    <n v="1"/>
    <x v="0"/>
  </r>
  <r>
    <x v="35"/>
    <x v="0"/>
    <x v="269"/>
    <n v="1"/>
    <x v="0"/>
  </r>
  <r>
    <x v="35"/>
    <x v="0"/>
    <x v="190"/>
    <n v="3188"/>
    <x v="1"/>
  </r>
  <r>
    <x v="35"/>
    <x v="0"/>
    <x v="12"/>
    <n v="9"/>
    <x v="0"/>
  </r>
  <r>
    <x v="35"/>
    <x v="0"/>
    <x v="51"/>
    <n v="2277"/>
    <x v="1"/>
  </r>
  <r>
    <x v="35"/>
    <x v="0"/>
    <x v="246"/>
    <n v="2516"/>
    <x v="1"/>
  </r>
  <r>
    <x v="35"/>
    <x v="0"/>
    <x v="74"/>
    <n v="2619"/>
    <x v="1"/>
  </r>
  <r>
    <x v="35"/>
    <x v="0"/>
    <x v="97"/>
    <n v="387"/>
    <x v="1"/>
  </r>
  <r>
    <x v="35"/>
    <x v="0"/>
    <x v="84"/>
    <n v="12"/>
    <x v="0"/>
  </r>
  <r>
    <x v="35"/>
    <x v="0"/>
    <x v="62"/>
    <n v="566"/>
    <x v="1"/>
  </r>
  <r>
    <x v="35"/>
    <x v="0"/>
    <x v="114"/>
    <n v="299"/>
    <x v="1"/>
  </r>
  <r>
    <x v="35"/>
    <x v="0"/>
    <x v="281"/>
    <n v="107"/>
    <x v="1"/>
  </r>
  <r>
    <x v="35"/>
    <x v="0"/>
    <x v="242"/>
    <n v="144"/>
    <x v="1"/>
  </r>
  <r>
    <x v="35"/>
    <x v="0"/>
    <x v="87"/>
    <n v="2401"/>
    <x v="1"/>
  </r>
  <r>
    <x v="35"/>
    <x v="0"/>
    <x v="183"/>
    <n v="3311"/>
    <x v="1"/>
  </r>
  <r>
    <x v="35"/>
    <x v="0"/>
    <x v="207"/>
    <n v="1"/>
    <x v="0"/>
  </r>
  <r>
    <x v="35"/>
    <x v="0"/>
    <x v="252"/>
    <n v="2734"/>
    <x v="1"/>
  </r>
  <r>
    <x v="35"/>
    <x v="0"/>
    <x v="116"/>
    <n v="2300"/>
    <x v="1"/>
  </r>
  <r>
    <x v="35"/>
    <x v="0"/>
    <x v="172"/>
    <n v="2845"/>
    <x v="1"/>
  </r>
  <r>
    <x v="35"/>
    <x v="0"/>
    <x v="28"/>
    <n v="2470"/>
    <x v="1"/>
  </r>
  <r>
    <x v="35"/>
    <x v="0"/>
    <x v="5"/>
    <n v="1"/>
    <x v="0"/>
  </r>
  <r>
    <x v="35"/>
    <x v="0"/>
    <x v="120"/>
    <n v="63"/>
    <x v="0"/>
  </r>
  <r>
    <x v="35"/>
    <x v="0"/>
    <x v="65"/>
    <n v="474"/>
    <x v="1"/>
  </r>
  <r>
    <x v="35"/>
    <x v="0"/>
    <x v="280"/>
    <n v="39"/>
    <x v="0"/>
  </r>
  <r>
    <x v="35"/>
    <x v="0"/>
    <x v="237"/>
    <n v="49"/>
    <x v="0"/>
  </r>
  <r>
    <x v="35"/>
    <x v="0"/>
    <x v="59"/>
    <n v="58"/>
    <x v="0"/>
  </r>
  <r>
    <x v="35"/>
    <x v="0"/>
    <x v="285"/>
    <n v="3384"/>
    <x v="1"/>
  </r>
  <r>
    <x v="35"/>
    <x v="0"/>
    <x v="248"/>
    <n v="3581"/>
    <x v="1"/>
  </r>
  <r>
    <x v="35"/>
    <x v="0"/>
    <x v="107"/>
    <n v="4"/>
    <x v="0"/>
  </r>
  <r>
    <x v="35"/>
    <x v="0"/>
    <x v="9"/>
    <n v="1"/>
    <x v="0"/>
  </r>
  <r>
    <x v="35"/>
    <x v="0"/>
    <x v="66"/>
    <n v="220"/>
    <x v="1"/>
  </r>
  <r>
    <x v="35"/>
    <x v="0"/>
    <x v="2"/>
    <n v="2576"/>
    <x v="1"/>
  </r>
  <r>
    <x v="35"/>
    <x v="0"/>
    <x v="31"/>
    <n v="7"/>
    <x v="0"/>
  </r>
  <r>
    <x v="35"/>
    <x v="0"/>
    <x v="48"/>
    <n v="1"/>
    <x v="0"/>
  </r>
  <r>
    <x v="35"/>
    <x v="0"/>
    <x v="35"/>
    <n v="26"/>
    <x v="0"/>
  </r>
  <r>
    <x v="35"/>
    <x v="0"/>
    <x v="140"/>
    <n v="2509"/>
    <x v="1"/>
  </r>
  <r>
    <x v="35"/>
    <x v="0"/>
    <x v="264"/>
    <n v="1"/>
    <x v="0"/>
  </r>
  <r>
    <x v="35"/>
    <x v="0"/>
    <x v="3"/>
    <n v="878"/>
    <x v="1"/>
  </r>
  <r>
    <x v="35"/>
    <x v="0"/>
    <x v="29"/>
    <n v="2"/>
    <x v="0"/>
  </r>
  <r>
    <x v="35"/>
    <x v="0"/>
    <x v="231"/>
    <n v="3"/>
    <x v="0"/>
  </r>
  <r>
    <x v="35"/>
    <x v="0"/>
    <x v="99"/>
    <n v="2417"/>
    <x v="1"/>
  </r>
  <r>
    <x v="35"/>
    <x v="0"/>
    <x v="50"/>
    <n v="316"/>
    <x v="1"/>
  </r>
  <r>
    <x v="35"/>
    <x v="0"/>
    <x v="73"/>
    <n v="6"/>
    <x v="0"/>
  </r>
  <r>
    <x v="35"/>
    <x v="0"/>
    <x v="181"/>
    <n v="1562"/>
    <x v="1"/>
  </r>
  <r>
    <x v="35"/>
    <x v="0"/>
    <x v="68"/>
    <n v="7"/>
    <x v="0"/>
  </r>
  <r>
    <x v="35"/>
    <x v="0"/>
    <x v="142"/>
    <n v="2386"/>
    <x v="1"/>
  </r>
  <r>
    <x v="35"/>
    <x v="0"/>
    <x v="70"/>
    <n v="6"/>
    <x v="0"/>
  </r>
  <r>
    <x v="35"/>
    <x v="0"/>
    <x v="131"/>
    <n v="5"/>
    <x v="0"/>
  </r>
  <r>
    <x v="35"/>
    <x v="0"/>
    <x v="159"/>
    <n v="1"/>
    <x v="0"/>
  </r>
  <r>
    <x v="35"/>
    <x v="0"/>
    <x v="259"/>
    <n v="1"/>
    <x v="0"/>
  </r>
  <r>
    <x v="35"/>
    <x v="0"/>
    <x v="232"/>
    <n v="2492"/>
    <x v="1"/>
  </r>
  <r>
    <x v="35"/>
    <x v="0"/>
    <x v="23"/>
    <n v="8"/>
    <x v="0"/>
  </r>
  <r>
    <x v="35"/>
    <x v="0"/>
    <x v="255"/>
    <n v="2"/>
    <x v="0"/>
  </r>
  <r>
    <x v="35"/>
    <x v="0"/>
    <x v="286"/>
    <n v="2"/>
    <x v="0"/>
  </r>
  <r>
    <x v="35"/>
    <x v="0"/>
    <x v="288"/>
    <n v="1"/>
    <x v="0"/>
  </r>
  <r>
    <x v="35"/>
    <x v="0"/>
    <x v="256"/>
    <n v="2154"/>
    <x v="1"/>
  </r>
  <r>
    <x v="35"/>
    <x v="0"/>
    <x v="139"/>
    <n v="2919"/>
    <x v="1"/>
  </r>
  <r>
    <x v="35"/>
    <x v="0"/>
    <x v="27"/>
    <n v="2476"/>
    <x v="1"/>
  </r>
  <r>
    <x v="35"/>
    <x v="0"/>
    <x v="58"/>
    <n v="3081"/>
    <x v="1"/>
  </r>
  <r>
    <x v="35"/>
    <x v="0"/>
    <x v="67"/>
    <n v="1"/>
    <x v="0"/>
  </r>
  <r>
    <x v="35"/>
    <x v="0"/>
    <x v="185"/>
    <n v="3167"/>
    <x v="1"/>
  </r>
  <r>
    <x v="35"/>
    <x v="0"/>
    <x v="188"/>
    <n v="2499"/>
    <x v="1"/>
  </r>
  <r>
    <x v="35"/>
    <x v="0"/>
    <x v="19"/>
    <n v="210"/>
    <x v="1"/>
  </r>
  <r>
    <x v="35"/>
    <x v="0"/>
    <x v="53"/>
    <n v="174"/>
    <x v="1"/>
  </r>
  <r>
    <x v="35"/>
    <x v="0"/>
    <x v="106"/>
    <n v="2"/>
    <x v="0"/>
  </r>
  <r>
    <x v="35"/>
    <x v="0"/>
    <x v="276"/>
    <n v="2164"/>
    <x v="1"/>
  </r>
  <r>
    <x v="35"/>
    <x v="0"/>
    <x v="123"/>
    <n v="2217"/>
    <x v="1"/>
  </r>
  <r>
    <x v="35"/>
    <x v="0"/>
    <x v="57"/>
    <n v="11"/>
    <x v="0"/>
  </r>
  <r>
    <x v="35"/>
    <x v="0"/>
    <x v="148"/>
    <n v="3093"/>
    <x v="1"/>
  </r>
  <r>
    <x v="35"/>
    <x v="0"/>
    <x v="265"/>
    <n v="1"/>
    <x v="0"/>
  </r>
  <r>
    <x v="35"/>
    <x v="0"/>
    <x v="93"/>
    <n v="575"/>
    <x v="1"/>
  </r>
  <r>
    <x v="35"/>
    <x v="0"/>
    <x v="43"/>
    <n v="1"/>
    <x v="0"/>
  </r>
  <r>
    <x v="35"/>
    <x v="0"/>
    <x v="157"/>
    <n v="4"/>
    <x v="0"/>
  </r>
  <r>
    <x v="35"/>
    <x v="0"/>
    <x v="251"/>
    <n v="746"/>
    <x v="1"/>
  </r>
  <r>
    <x v="35"/>
    <x v="0"/>
    <x v="273"/>
    <n v="3204"/>
    <x v="1"/>
  </r>
  <r>
    <x v="35"/>
    <x v="0"/>
    <x v="245"/>
    <n v="3492"/>
    <x v="1"/>
  </r>
  <r>
    <x v="35"/>
    <x v="0"/>
    <x v="239"/>
    <n v="2905"/>
    <x v="1"/>
  </r>
  <r>
    <x v="35"/>
    <x v="0"/>
    <x v="102"/>
    <n v="2972"/>
    <x v="1"/>
  </r>
  <r>
    <x v="35"/>
    <x v="0"/>
    <x v="77"/>
    <n v="8"/>
    <x v="0"/>
  </r>
  <r>
    <x v="35"/>
    <x v="0"/>
    <x v="171"/>
    <n v="699"/>
    <x v="1"/>
  </r>
  <r>
    <x v="35"/>
    <x v="0"/>
    <x v="117"/>
    <n v="2510"/>
    <x v="1"/>
  </r>
  <r>
    <x v="35"/>
    <x v="0"/>
    <x v="261"/>
    <n v="2120"/>
    <x v="1"/>
  </r>
  <r>
    <x v="35"/>
    <x v="0"/>
    <x v="193"/>
    <n v="473"/>
    <x v="1"/>
  </r>
  <r>
    <x v="35"/>
    <x v="0"/>
    <x v="115"/>
    <n v="4884"/>
    <x v="1"/>
  </r>
  <r>
    <x v="35"/>
    <x v="0"/>
    <x v="154"/>
    <n v="1416"/>
    <x v="1"/>
  </r>
  <r>
    <x v="35"/>
    <x v="0"/>
    <x v="110"/>
    <n v="2"/>
    <x v="0"/>
  </r>
  <r>
    <x v="35"/>
    <x v="0"/>
    <x v="289"/>
    <n v="2399"/>
    <x v="1"/>
  </r>
  <r>
    <x v="35"/>
    <x v="0"/>
    <x v="274"/>
    <n v="3144"/>
    <x v="1"/>
  </r>
  <r>
    <x v="35"/>
    <x v="0"/>
    <x v="162"/>
    <n v="5"/>
    <x v="0"/>
  </r>
  <r>
    <x v="35"/>
    <x v="0"/>
    <x v="179"/>
    <n v="8"/>
    <x v="0"/>
  </r>
  <r>
    <x v="35"/>
    <x v="0"/>
    <x v="150"/>
    <n v="3027"/>
    <x v="1"/>
  </r>
  <r>
    <x v="35"/>
    <x v="0"/>
    <x v="135"/>
    <n v="3503"/>
    <x v="1"/>
  </r>
  <r>
    <x v="35"/>
    <x v="0"/>
    <x v="103"/>
    <n v="22"/>
    <x v="0"/>
  </r>
  <r>
    <x v="35"/>
    <x v="0"/>
    <x v="8"/>
    <n v="2206"/>
    <x v="1"/>
  </r>
  <r>
    <x v="35"/>
    <x v="0"/>
    <x v="233"/>
    <n v="1"/>
    <x v="0"/>
  </r>
  <r>
    <x v="35"/>
    <x v="0"/>
    <x v="83"/>
    <n v="4"/>
    <x v="0"/>
  </r>
  <r>
    <x v="35"/>
    <x v="0"/>
    <x v="126"/>
    <n v="60"/>
    <x v="0"/>
  </r>
  <r>
    <x v="35"/>
    <x v="0"/>
    <x v="279"/>
    <n v="91"/>
    <x v="0"/>
  </r>
  <r>
    <x v="35"/>
    <x v="0"/>
    <x v="187"/>
    <n v="1852"/>
    <x v="1"/>
  </r>
  <r>
    <x v="35"/>
    <x v="0"/>
    <x v="18"/>
    <n v="1"/>
    <x v="0"/>
  </r>
  <r>
    <x v="35"/>
    <x v="0"/>
    <x v="177"/>
    <n v="7"/>
    <x v="0"/>
  </r>
  <r>
    <x v="35"/>
    <x v="0"/>
    <x v="96"/>
    <n v="32"/>
    <x v="0"/>
  </r>
  <r>
    <x v="35"/>
    <x v="0"/>
    <x v="235"/>
    <n v="8"/>
    <x v="0"/>
  </r>
  <r>
    <x v="35"/>
    <x v="0"/>
    <x v="4"/>
    <n v="3"/>
    <x v="0"/>
  </r>
  <r>
    <x v="35"/>
    <x v="0"/>
    <x v="24"/>
    <n v="4"/>
    <x v="0"/>
  </r>
  <r>
    <x v="35"/>
    <x v="0"/>
    <x v="199"/>
    <n v="3411"/>
    <x v="1"/>
  </r>
  <r>
    <x v="35"/>
    <x v="0"/>
    <x v="234"/>
    <n v="1593"/>
    <x v="1"/>
  </r>
  <r>
    <x v="35"/>
    <x v="0"/>
    <x v="46"/>
    <n v="76"/>
    <x v="0"/>
  </r>
  <r>
    <x v="35"/>
    <x v="0"/>
    <x v="249"/>
    <n v="85"/>
    <x v="0"/>
  </r>
  <r>
    <x v="35"/>
    <x v="0"/>
    <x v="15"/>
    <n v="1"/>
    <x v="0"/>
  </r>
  <r>
    <x v="35"/>
    <x v="0"/>
    <x v="169"/>
    <n v="1"/>
    <x v="0"/>
  </r>
  <r>
    <x v="35"/>
    <x v="0"/>
    <x v="167"/>
    <n v="2599"/>
    <x v="1"/>
  </r>
  <r>
    <x v="35"/>
    <x v="0"/>
    <x v="7"/>
    <n v="1004"/>
    <x v="1"/>
  </r>
  <r>
    <x v="35"/>
    <x v="0"/>
    <x v="0"/>
    <n v="41"/>
    <x v="0"/>
  </r>
  <r>
    <x v="35"/>
    <x v="0"/>
    <x v="47"/>
    <n v="690"/>
    <x v="1"/>
  </r>
  <r>
    <x v="35"/>
    <x v="0"/>
    <x v="260"/>
    <n v="241"/>
    <x v="1"/>
  </r>
  <r>
    <x v="35"/>
    <x v="0"/>
    <x v="113"/>
    <n v="4"/>
    <x v="0"/>
  </r>
  <r>
    <x v="35"/>
    <x v="0"/>
    <x v="243"/>
    <n v="538"/>
    <x v="1"/>
  </r>
  <r>
    <x v="35"/>
    <x v="0"/>
    <x v="89"/>
    <n v="1925"/>
    <x v="1"/>
  </r>
  <r>
    <x v="35"/>
    <x v="0"/>
    <x v="54"/>
    <n v="11"/>
    <x v="0"/>
  </r>
  <r>
    <x v="35"/>
    <x v="0"/>
    <x v="128"/>
    <n v="8"/>
    <x v="0"/>
  </r>
  <r>
    <x v="35"/>
    <x v="0"/>
    <x v="16"/>
    <n v="1"/>
    <x v="0"/>
  </r>
  <r>
    <x v="35"/>
    <x v="0"/>
    <x v="271"/>
    <n v="85"/>
    <x v="0"/>
  </r>
  <r>
    <x v="36"/>
    <x v="0"/>
    <x v="237"/>
    <n v="48"/>
    <x v="0"/>
  </r>
  <r>
    <x v="36"/>
    <x v="0"/>
    <x v="57"/>
    <n v="11"/>
    <x v="0"/>
  </r>
  <r>
    <x v="36"/>
    <x v="0"/>
    <x v="157"/>
    <n v="4"/>
    <x v="0"/>
  </r>
  <r>
    <x v="36"/>
    <x v="0"/>
    <x v="229"/>
    <n v="1149"/>
    <x v="1"/>
  </r>
  <r>
    <x v="36"/>
    <x v="0"/>
    <x v="254"/>
    <n v="238"/>
    <x v="1"/>
  </r>
  <r>
    <x v="36"/>
    <x v="0"/>
    <x v="65"/>
    <n v="469"/>
    <x v="1"/>
  </r>
  <r>
    <x v="36"/>
    <x v="0"/>
    <x v="86"/>
    <n v="3093"/>
    <x v="1"/>
  </r>
  <r>
    <x v="36"/>
    <x v="0"/>
    <x v="189"/>
    <n v="3143"/>
    <x v="1"/>
  </r>
  <r>
    <x v="36"/>
    <x v="0"/>
    <x v="162"/>
    <n v="5"/>
    <x v="0"/>
  </r>
  <r>
    <x v="36"/>
    <x v="0"/>
    <x v="290"/>
    <n v="2"/>
    <x v="0"/>
  </r>
  <r>
    <x v="36"/>
    <x v="0"/>
    <x v="270"/>
    <n v="430"/>
    <x v="1"/>
  </r>
  <r>
    <x v="36"/>
    <x v="0"/>
    <x v="3"/>
    <n v="874"/>
    <x v="1"/>
  </r>
  <r>
    <x v="36"/>
    <x v="0"/>
    <x v="10"/>
    <n v="172"/>
    <x v="1"/>
  </r>
  <r>
    <x v="36"/>
    <x v="0"/>
    <x v="174"/>
    <n v="4"/>
    <x v="0"/>
  </r>
  <r>
    <x v="36"/>
    <x v="0"/>
    <x v="33"/>
    <n v="584"/>
    <x v="1"/>
  </r>
  <r>
    <x v="36"/>
    <x v="0"/>
    <x v="73"/>
    <n v="4"/>
    <x v="0"/>
  </r>
  <r>
    <x v="36"/>
    <x v="0"/>
    <x v="168"/>
    <n v="2001"/>
    <x v="1"/>
  </r>
  <r>
    <x v="36"/>
    <x v="0"/>
    <x v="88"/>
    <n v="3257"/>
    <x v="1"/>
  </r>
  <r>
    <x v="36"/>
    <x v="0"/>
    <x v="50"/>
    <n v="310"/>
    <x v="1"/>
  </r>
  <r>
    <x v="36"/>
    <x v="0"/>
    <x v="96"/>
    <n v="30"/>
    <x v="0"/>
  </r>
  <r>
    <x v="36"/>
    <x v="0"/>
    <x v="252"/>
    <n v="2753"/>
    <x v="1"/>
  </r>
  <r>
    <x v="36"/>
    <x v="0"/>
    <x v="197"/>
    <n v="2361"/>
    <x v="1"/>
  </r>
  <r>
    <x v="36"/>
    <x v="0"/>
    <x v="235"/>
    <n v="8"/>
    <x v="0"/>
  </r>
  <r>
    <x v="36"/>
    <x v="0"/>
    <x v="89"/>
    <n v="1904"/>
    <x v="1"/>
  </r>
  <r>
    <x v="36"/>
    <x v="0"/>
    <x v="146"/>
    <n v="2959"/>
    <x v="1"/>
  </r>
  <r>
    <x v="36"/>
    <x v="0"/>
    <x v="63"/>
    <n v="837"/>
    <x v="1"/>
  </r>
  <r>
    <x v="36"/>
    <x v="0"/>
    <x v="121"/>
    <n v="2641"/>
    <x v="1"/>
  </r>
  <r>
    <x v="36"/>
    <x v="0"/>
    <x v="245"/>
    <n v="3478"/>
    <x v="1"/>
  </r>
  <r>
    <x v="36"/>
    <x v="0"/>
    <x v="177"/>
    <n v="7"/>
    <x v="0"/>
  </r>
  <r>
    <x v="36"/>
    <x v="0"/>
    <x v="74"/>
    <n v="2582"/>
    <x v="1"/>
  </r>
  <r>
    <x v="36"/>
    <x v="0"/>
    <x v="99"/>
    <n v="2387"/>
    <x v="1"/>
  </r>
  <r>
    <x v="36"/>
    <x v="0"/>
    <x v="84"/>
    <n v="12"/>
    <x v="0"/>
  </r>
  <r>
    <x v="36"/>
    <x v="0"/>
    <x v="44"/>
    <n v="2842"/>
    <x v="1"/>
  </r>
  <r>
    <x v="36"/>
    <x v="0"/>
    <x v="283"/>
    <n v="3415"/>
    <x v="1"/>
  </r>
  <r>
    <x v="36"/>
    <x v="0"/>
    <x v="260"/>
    <n v="266"/>
    <x v="1"/>
  </r>
  <r>
    <x v="36"/>
    <x v="0"/>
    <x v="70"/>
    <n v="5"/>
    <x v="0"/>
  </r>
  <r>
    <x v="36"/>
    <x v="0"/>
    <x v="115"/>
    <n v="4863"/>
    <x v="1"/>
  </r>
  <r>
    <x v="36"/>
    <x v="0"/>
    <x v="129"/>
    <n v="909"/>
    <x v="1"/>
  </r>
  <r>
    <x v="36"/>
    <x v="0"/>
    <x v="102"/>
    <n v="2977"/>
    <x v="1"/>
  </r>
  <r>
    <x v="36"/>
    <x v="0"/>
    <x v="120"/>
    <n v="54"/>
    <x v="0"/>
  </r>
  <r>
    <x v="36"/>
    <x v="0"/>
    <x v="25"/>
    <n v="8"/>
    <x v="0"/>
  </r>
  <r>
    <x v="36"/>
    <x v="0"/>
    <x v="29"/>
    <n v="2"/>
    <x v="0"/>
  </r>
  <r>
    <x v="36"/>
    <x v="0"/>
    <x v="105"/>
    <n v="503"/>
    <x v="1"/>
  </r>
  <r>
    <x v="36"/>
    <x v="0"/>
    <x v="278"/>
    <n v="203"/>
    <x v="1"/>
  </r>
  <r>
    <x v="36"/>
    <x v="0"/>
    <x v="59"/>
    <n v="58"/>
    <x v="0"/>
  </r>
  <r>
    <x v="36"/>
    <x v="0"/>
    <x v="220"/>
    <n v="3859"/>
    <x v="1"/>
  </r>
  <r>
    <x v="36"/>
    <x v="0"/>
    <x v="170"/>
    <n v="2654"/>
    <x v="1"/>
  </r>
  <r>
    <x v="36"/>
    <x v="0"/>
    <x v="19"/>
    <n v="208"/>
    <x v="1"/>
  </r>
  <r>
    <x v="36"/>
    <x v="0"/>
    <x v="113"/>
    <n v="4"/>
    <x v="0"/>
  </r>
  <r>
    <x v="36"/>
    <x v="0"/>
    <x v="87"/>
    <n v="2361"/>
    <x v="1"/>
  </r>
  <r>
    <x v="36"/>
    <x v="0"/>
    <x v="31"/>
    <n v="7"/>
    <x v="0"/>
  </r>
  <r>
    <x v="36"/>
    <x v="0"/>
    <x v="95"/>
    <n v="2866"/>
    <x v="1"/>
  </r>
  <r>
    <x v="36"/>
    <x v="0"/>
    <x v="117"/>
    <n v="2452"/>
    <x v="1"/>
  </r>
  <r>
    <x v="36"/>
    <x v="0"/>
    <x v="123"/>
    <n v="2277"/>
    <x v="1"/>
  </r>
  <r>
    <x v="36"/>
    <x v="0"/>
    <x v="27"/>
    <n v="2465"/>
    <x v="1"/>
  </r>
  <r>
    <x v="36"/>
    <x v="0"/>
    <x v="18"/>
    <n v="1"/>
    <x v="0"/>
  </r>
  <r>
    <x v="36"/>
    <x v="0"/>
    <x v="52"/>
    <n v="2516"/>
    <x v="1"/>
  </r>
  <r>
    <x v="36"/>
    <x v="0"/>
    <x v="48"/>
    <n v="1"/>
    <x v="0"/>
  </r>
  <r>
    <x v="36"/>
    <x v="0"/>
    <x v="125"/>
    <n v="20"/>
    <x v="0"/>
  </r>
  <r>
    <x v="36"/>
    <x v="0"/>
    <x v="46"/>
    <n v="76"/>
    <x v="0"/>
  </r>
  <r>
    <x v="36"/>
    <x v="0"/>
    <x v="1"/>
    <n v="26"/>
    <x v="0"/>
  </r>
  <r>
    <x v="36"/>
    <x v="0"/>
    <x v="16"/>
    <n v="1"/>
    <x v="0"/>
  </r>
  <r>
    <x v="36"/>
    <x v="0"/>
    <x v="172"/>
    <n v="2794"/>
    <x v="1"/>
  </r>
  <r>
    <x v="36"/>
    <x v="0"/>
    <x v="240"/>
    <n v="2234"/>
    <x v="1"/>
  </r>
  <r>
    <x v="36"/>
    <x v="0"/>
    <x v="139"/>
    <n v="2878"/>
    <x v="1"/>
  </r>
  <r>
    <x v="36"/>
    <x v="0"/>
    <x v="221"/>
    <n v="7"/>
    <x v="0"/>
  </r>
  <r>
    <x v="36"/>
    <x v="0"/>
    <x v="222"/>
    <n v="1218"/>
    <x v="1"/>
  </r>
  <r>
    <x v="36"/>
    <x v="0"/>
    <x v="249"/>
    <n v="96"/>
    <x v="0"/>
  </r>
  <r>
    <x v="36"/>
    <x v="0"/>
    <x v="184"/>
    <n v="2471"/>
    <x v="1"/>
  </r>
  <r>
    <x v="36"/>
    <x v="0"/>
    <x v="32"/>
    <n v="1037"/>
    <x v="1"/>
  </r>
  <r>
    <x v="36"/>
    <x v="0"/>
    <x v="176"/>
    <n v="1"/>
    <x v="0"/>
  </r>
  <r>
    <x v="36"/>
    <x v="0"/>
    <x v="62"/>
    <n v="567"/>
    <x v="1"/>
  </r>
  <r>
    <x v="36"/>
    <x v="0"/>
    <x v="135"/>
    <n v="3451"/>
    <x v="1"/>
  </r>
  <r>
    <x v="36"/>
    <x v="0"/>
    <x v="291"/>
    <n v="5"/>
    <x v="0"/>
  </r>
  <r>
    <x v="36"/>
    <x v="0"/>
    <x v="97"/>
    <n v="387"/>
    <x v="1"/>
  </r>
  <r>
    <x v="36"/>
    <x v="0"/>
    <x v="53"/>
    <n v="173"/>
    <x v="1"/>
  </r>
  <r>
    <x v="36"/>
    <x v="0"/>
    <x v="34"/>
    <n v="1"/>
    <x v="0"/>
  </r>
  <r>
    <x v="36"/>
    <x v="0"/>
    <x v="292"/>
    <n v="29"/>
    <x v="0"/>
  </r>
  <r>
    <x v="36"/>
    <x v="0"/>
    <x v="131"/>
    <n v="5"/>
    <x v="0"/>
  </r>
  <r>
    <x v="36"/>
    <x v="0"/>
    <x v="14"/>
    <n v="3"/>
    <x v="0"/>
  </r>
  <r>
    <x v="36"/>
    <x v="0"/>
    <x v="132"/>
    <n v="2"/>
    <x v="0"/>
  </r>
  <r>
    <x v="36"/>
    <x v="0"/>
    <x v="273"/>
    <n v="3138"/>
    <x v="1"/>
  </r>
  <r>
    <x v="36"/>
    <x v="0"/>
    <x v="226"/>
    <n v="1"/>
    <x v="0"/>
  </r>
  <r>
    <x v="36"/>
    <x v="0"/>
    <x v="293"/>
    <n v="2"/>
    <x v="0"/>
  </r>
  <r>
    <x v="36"/>
    <x v="0"/>
    <x v="79"/>
    <n v="2029"/>
    <x v="1"/>
  </r>
  <r>
    <x v="36"/>
    <x v="0"/>
    <x v="171"/>
    <n v="695"/>
    <x v="1"/>
  </r>
  <r>
    <x v="36"/>
    <x v="0"/>
    <x v="54"/>
    <n v="10"/>
    <x v="0"/>
  </r>
  <r>
    <x v="36"/>
    <x v="0"/>
    <x v="9"/>
    <n v="1"/>
    <x v="0"/>
  </r>
  <r>
    <x v="36"/>
    <x v="0"/>
    <x v="126"/>
    <n v="44"/>
    <x v="0"/>
  </r>
  <r>
    <x v="36"/>
    <x v="0"/>
    <x v="28"/>
    <n v="2431"/>
    <x v="1"/>
  </r>
  <r>
    <x v="36"/>
    <x v="0"/>
    <x v="107"/>
    <n v="4"/>
    <x v="0"/>
  </r>
  <r>
    <x v="36"/>
    <x v="0"/>
    <x v="256"/>
    <n v="2137"/>
    <x v="1"/>
  </r>
  <r>
    <x v="36"/>
    <x v="0"/>
    <x v="274"/>
    <n v="3120"/>
    <x v="1"/>
  </r>
  <r>
    <x v="36"/>
    <x v="0"/>
    <x v="98"/>
    <n v="17"/>
    <x v="0"/>
  </r>
  <r>
    <x v="36"/>
    <x v="0"/>
    <x v="233"/>
    <n v="1"/>
    <x v="0"/>
  </r>
  <r>
    <x v="36"/>
    <x v="0"/>
    <x v="15"/>
    <n v="1"/>
    <x v="0"/>
  </r>
  <r>
    <x v="36"/>
    <x v="0"/>
    <x v="258"/>
    <n v="2855"/>
    <x v="1"/>
  </r>
  <r>
    <x v="36"/>
    <x v="0"/>
    <x v="257"/>
    <n v="773"/>
    <x v="1"/>
  </r>
  <r>
    <x v="36"/>
    <x v="0"/>
    <x v="179"/>
    <n v="8"/>
    <x v="0"/>
  </r>
  <r>
    <x v="36"/>
    <x v="0"/>
    <x v="203"/>
    <n v="1"/>
    <x v="0"/>
  </r>
  <r>
    <x v="36"/>
    <x v="0"/>
    <x v="187"/>
    <n v="1843"/>
    <x v="1"/>
  </r>
  <r>
    <x v="36"/>
    <x v="0"/>
    <x v="133"/>
    <n v="334"/>
    <x v="1"/>
  </r>
  <r>
    <x v="36"/>
    <x v="0"/>
    <x v="13"/>
    <n v="1"/>
    <x v="0"/>
  </r>
  <r>
    <x v="36"/>
    <x v="0"/>
    <x v="255"/>
    <n v="6"/>
    <x v="0"/>
  </r>
  <r>
    <x v="36"/>
    <x v="0"/>
    <x v="288"/>
    <n v="1"/>
    <x v="0"/>
  </r>
  <r>
    <x v="36"/>
    <x v="0"/>
    <x v="93"/>
    <n v="607"/>
    <x v="1"/>
  </r>
  <r>
    <x v="36"/>
    <x v="0"/>
    <x v="232"/>
    <n v="2495"/>
    <x v="1"/>
  </r>
  <r>
    <x v="36"/>
    <x v="0"/>
    <x v="268"/>
    <n v="2869"/>
    <x v="1"/>
  </r>
  <r>
    <x v="36"/>
    <x v="0"/>
    <x v="246"/>
    <n v="2507"/>
    <x v="1"/>
  </r>
  <r>
    <x v="36"/>
    <x v="0"/>
    <x v="45"/>
    <n v="23"/>
    <x v="0"/>
  </r>
  <r>
    <x v="36"/>
    <x v="0"/>
    <x v="137"/>
    <n v="1728"/>
    <x v="1"/>
  </r>
  <r>
    <x v="36"/>
    <x v="0"/>
    <x v="285"/>
    <n v="3347"/>
    <x v="1"/>
  </r>
  <r>
    <x v="36"/>
    <x v="0"/>
    <x v="30"/>
    <n v="1077"/>
    <x v="1"/>
  </r>
  <r>
    <x v="36"/>
    <x v="0"/>
    <x v="227"/>
    <n v="3"/>
    <x v="0"/>
  </r>
  <r>
    <x v="36"/>
    <x v="0"/>
    <x v="192"/>
    <n v="2760"/>
    <x v="1"/>
  </r>
  <r>
    <x v="36"/>
    <x v="0"/>
    <x v="94"/>
    <n v="257"/>
    <x v="1"/>
  </r>
  <r>
    <x v="36"/>
    <x v="0"/>
    <x v="265"/>
    <n v="1"/>
    <x v="0"/>
  </r>
  <r>
    <x v="36"/>
    <x v="0"/>
    <x v="243"/>
    <n v="538"/>
    <x v="1"/>
  </r>
  <r>
    <x v="36"/>
    <x v="0"/>
    <x v="58"/>
    <n v="3072"/>
    <x v="1"/>
  </r>
  <r>
    <x v="36"/>
    <x v="0"/>
    <x v="72"/>
    <n v="1"/>
    <x v="0"/>
  </r>
  <r>
    <x v="36"/>
    <x v="0"/>
    <x v="40"/>
    <n v="1"/>
    <x v="0"/>
  </r>
  <r>
    <x v="36"/>
    <x v="0"/>
    <x v="144"/>
    <n v="159"/>
    <x v="1"/>
  </r>
  <r>
    <x v="36"/>
    <x v="0"/>
    <x v="236"/>
    <n v="308"/>
    <x v="1"/>
  </r>
  <r>
    <x v="36"/>
    <x v="0"/>
    <x v="111"/>
    <n v="2369"/>
    <x v="1"/>
  </r>
  <r>
    <x v="36"/>
    <x v="0"/>
    <x v="24"/>
    <n v="3"/>
    <x v="0"/>
  </r>
  <r>
    <x v="36"/>
    <x v="0"/>
    <x v="188"/>
    <n v="2497"/>
    <x v="1"/>
  </r>
  <r>
    <x v="36"/>
    <x v="0"/>
    <x v="17"/>
    <n v="1105"/>
    <x v="1"/>
  </r>
  <r>
    <x v="36"/>
    <x v="0"/>
    <x v="193"/>
    <n v="461"/>
    <x v="1"/>
  </r>
  <r>
    <x v="36"/>
    <x v="0"/>
    <x v="22"/>
    <n v="3634"/>
    <x v="1"/>
  </r>
  <r>
    <x v="36"/>
    <x v="0"/>
    <x v="38"/>
    <n v="1717"/>
    <x v="1"/>
  </r>
  <r>
    <x v="36"/>
    <x v="0"/>
    <x v="281"/>
    <n v="106"/>
    <x v="1"/>
  </r>
  <r>
    <x v="36"/>
    <x v="0"/>
    <x v="41"/>
    <n v="1"/>
    <x v="0"/>
  </r>
  <r>
    <x v="36"/>
    <x v="0"/>
    <x v="280"/>
    <n v="42"/>
    <x v="0"/>
  </r>
  <r>
    <x v="36"/>
    <x v="0"/>
    <x v="287"/>
    <n v="2373"/>
    <x v="1"/>
  </r>
  <r>
    <x v="36"/>
    <x v="0"/>
    <x v="231"/>
    <n v="3"/>
    <x v="0"/>
  </r>
  <r>
    <x v="36"/>
    <x v="0"/>
    <x v="277"/>
    <n v="643"/>
    <x v="1"/>
  </r>
  <r>
    <x v="36"/>
    <x v="0"/>
    <x v="152"/>
    <n v="2981"/>
    <x v="1"/>
  </r>
  <r>
    <x v="36"/>
    <x v="0"/>
    <x v="143"/>
    <n v="3523"/>
    <x v="1"/>
  </r>
  <r>
    <x v="36"/>
    <x v="0"/>
    <x v="142"/>
    <n v="2386"/>
    <x v="1"/>
  </r>
  <r>
    <x v="36"/>
    <x v="0"/>
    <x v="294"/>
    <n v="1"/>
    <x v="0"/>
  </r>
  <r>
    <x v="36"/>
    <x v="0"/>
    <x v="207"/>
    <n v="1"/>
    <x v="0"/>
  </r>
  <r>
    <x v="36"/>
    <x v="0"/>
    <x v="90"/>
    <n v="141"/>
    <x v="1"/>
  </r>
  <r>
    <x v="36"/>
    <x v="0"/>
    <x v="212"/>
    <n v="3"/>
    <x v="0"/>
  </r>
  <r>
    <x v="36"/>
    <x v="0"/>
    <x v="82"/>
    <n v="5"/>
    <x v="0"/>
  </r>
  <r>
    <x v="36"/>
    <x v="0"/>
    <x v="182"/>
    <n v="2405"/>
    <x v="1"/>
  </r>
  <r>
    <x v="36"/>
    <x v="0"/>
    <x v="8"/>
    <n v="2187"/>
    <x v="1"/>
  </r>
  <r>
    <x v="36"/>
    <x v="0"/>
    <x v="241"/>
    <n v="1"/>
    <x v="0"/>
  </r>
  <r>
    <x v="36"/>
    <x v="0"/>
    <x v="247"/>
    <n v="1344"/>
    <x v="1"/>
  </r>
  <r>
    <x v="36"/>
    <x v="0"/>
    <x v="261"/>
    <n v="2117"/>
    <x v="1"/>
  </r>
  <r>
    <x v="36"/>
    <x v="0"/>
    <x v="271"/>
    <n v="88"/>
    <x v="0"/>
  </r>
  <r>
    <x v="36"/>
    <x v="0"/>
    <x v="7"/>
    <n v="999"/>
    <x v="1"/>
  </r>
  <r>
    <x v="36"/>
    <x v="0"/>
    <x v="0"/>
    <n v="39"/>
    <x v="0"/>
  </r>
  <r>
    <x v="36"/>
    <x v="0"/>
    <x v="12"/>
    <n v="9"/>
    <x v="0"/>
  </r>
  <r>
    <x v="36"/>
    <x v="0"/>
    <x v="68"/>
    <n v="6"/>
    <x v="0"/>
  </r>
  <r>
    <x v="36"/>
    <x v="0"/>
    <x v="186"/>
    <n v="1662"/>
    <x v="1"/>
  </r>
  <r>
    <x v="36"/>
    <x v="0"/>
    <x v="118"/>
    <n v="2657"/>
    <x v="1"/>
  </r>
  <r>
    <x v="36"/>
    <x v="0"/>
    <x v="116"/>
    <n v="2298"/>
    <x v="1"/>
  </r>
  <r>
    <x v="36"/>
    <x v="0"/>
    <x v="239"/>
    <n v="2837"/>
    <x v="1"/>
  </r>
  <r>
    <x v="36"/>
    <x v="0"/>
    <x v="128"/>
    <n v="8"/>
    <x v="0"/>
  </r>
  <r>
    <x v="36"/>
    <x v="0"/>
    <x v="195"/>
    <n v="4"/>
    <x v="0"/>
  </r>
  <r>
    <x v="36"/>
    <x v="0"/>
    <x v="51"/>
    <n v="2261"/>
    <x v="1"/>
  </r>
  <r>
    <x v="36"/>
    <x v="0"/>
    <x v="263"/>
    <n v="1718"/>
    <x v="1"/>
  </r>
  <r>
    <x v="36"/>
    <x v="0"/>
    <x v="67"/>
    <n v="1"/>
    <x v="0"/>
  </r>
  <r>
    <x v="36"/>
    <x v="0"/>
    <x v="4"/>
    <n v="2"/>
    <x v="0"/>
  </r>
  <r>
    <x v="36"/>
    <x v="0"/>
    <x v="269"/>
    <n v="1"/>
    <x v="0"/>
  </r>
  <r>
    <x v="36"/>
    <x v="0"/>
    <x v="169"/>
    <n v="2"/>
    <x v="0"/>
  </r>
  <r>
    <x v="36"/>
    <x v="0"/>
    <x v="136"/>
    <n v="17"/>
    <x v="0"/>
  </r>
  <r>
    <x v="36"/>
    <x v="0"/>
    <x v="272"/>
    <n v="684"/>
    <x v="1"/>
  </r>
  <r>
    <x v="36"/>
    <x v="0"/>
    <x v="148"/>
    <n v="3005"/>
    <x v="1"/>
  </r>
  <r>
    <x v="36"/>
    <x v="0"/>
    <x v="183"/>
    <n v="3261"/>
    <x v="1"/>
  </r>
  <r>
    <x v="36"/>
    <x v="0"/>
    <x v="191"/>
    <n v="2184"/>
    <x v="1"/>
  </r>
  <r>
    <x v="36"/>
    <x v="0"/>
    <x v="153"/>
    <n v="104"/>
    <x v="1"/>
  </r>
  <r>
    <x v="36"/>
    <x v="0"/>
    <x v="164"/>
    <n v="115"/>
    <x v="1"/>
  </r>
  <r>
    <x v="36"/>
    <x v="0"/>
    <x v="295"/>
    <n v="5"/>
    <x v="0"/>
  </r>
  <r>
    <x v="36"/>
    <x v="0"/>
    <x v="83"/>
    <n v="4"/>
    <x v="0"/>
  </r>
  <r>
    <x v="36"/>
    <x v="0"/>
    <x v="5"/>
    <n v="1"/>
    <x v="0"/>
  </r>
  <r>
    <x v="36"/>
    <x v="0"/>
    <x v="35"/>
    <n v="24"/>
    <x v="0"/>
  </r>
  <r>
    <x v="36"/>
    <x v="0"/>
    <x v="259"/>
    <n v="1"/>
    <x v="0"/>
  </r>
  <r>
    <x v="36"/>
    <x v="0"/>
    <x v="23"/>
    <n v="5"/>
    <x v="0"/>
  </r>
  <r>
    <x v="36"/>
    <x v="0"/>
    <x v="2"/>
    <n v="2626"/>
    <x v="1"/>
  </r>
  <r>
    <x v="36"/>
    <x v="0"/>
    <x v="276"/>
    <n v="2146"/>
    <x v="1"/>
  </r>
  <r>
    <x v="36"/>
    <x v="0"/>
    <x v="106"/>
    <n v="2"/>
    <x v="0"/>
  </r>
  <r>
    <x v="36"/>
    <x v="0"/>
    <x v="185"/>
    <n v="3119"/>
    <x v="1"/>
  </r>
  <r>
    <x v="36"/>
    <x v="0"/>
    <x v="150"/>
    <n v="3015"/>
    <x v="1"/>
  </r>
  <r>
    <x v="36"/>
    <x v="0"/>
    <x v="43"/>
    <n v="1"/>
    <x v="0"/>
  </r>
  <r>
    <x v="36"/>
    <x v="0"/>
    <x v="141"/>
    <n v="2057"/>
    <x v="1"/>
  </r>
  <r>
    <x v="36"/>
    <x v="0"/>
    <x v="47"/>
    <n v="732"/>
    <x v="1"/>
  </r>
  <r>
    <x v="36"/>
    <x v="0"/>
    <x v="64"/>
    <n v="342"/>
    <x v="1"/>
  </r>
  <r>
    <x v="36"/>
    <x v="0"/>
    <x v="248"/>
    <n v="3574"/>
    <x v="1"/>
  </r>
  <r>
    <x v="36"/>
    <x v="0"/>
    <x v="181"/>
    <n v="1559"/>
    <x v="1"/>
  </r>
  <r>
    <x v="36"/>
    <x v="0"/>
    <x v="11"/>
    <n v="6"/>
    <x v="0"/>
  </r>
  <r>
    <x v="36"/>
    <x v="0"/>
    <x v="211"/>
    <n v="4"/>
    <x v="0"/>
  </r>
  <r>
    <x v="36"/>
    <x v="0"/>
    <x v="109"/>
    <n v="3"/>
    <x v="0"/>
  </r>
  <r>
    <x v="36"/>
    <x v="0"/>
    <x v="127"/>
    <n v="3408"/>
    <x v="1"/>
  </r>
  <r>
    <x v="36"/>
    <x v="0"/>
    <x v="244"/>
    <n v="787"/>
    <x v="1"/>
  </r>
  <r>
    <x v="36"/>
    <x v="0"/>
    <x v="250"/>
    <n v="2166"/>
    <x v="1"/>
  </r>
  <r>
    <x v="36"/>
    <x v="0"/>
    <x v="134"/>
    <n v="231"/>
    <x v="1"/>
  </r>
  <r>
    <x v="36"/>
    <x v="0"/>
    <x v="238"/>
    <n v="1"/>
    <x v="0"/>
  </r>
  <r>
    <x v="36"/>
    <x v="0"/>
    <x v="199"/>
    <n v="3391"/>
    <x v="1"/>
  </r>
  <r>
    <x v="36"/>
    <x v="0"/>
    <x v="264"/>
    <n v="1"/>
    <x v="0"/>
  </r>
  <r>
    <x v="36"/>
    <x v="0"/>
    <x v="205"/>
    <n v="1"/>
    <x v="0"/>
  </r>
  <r>
    <x v="36"/>
    <x v="0"/>
    <x v="289"/>
    <n v="2356"/>
    <x v="1"/>
  </r>
  <r>
    <x v="36"/>
    <x v="0"/>
    <x v="234"/>
    <n v="1597"/>
    <x v="1"/>
  </r>
  <r>
    <x v="36"/>
    <x v="0"/>
    <x v="190"/>
    <n v="3161"/>
    <x v="1"/>
  </r>
  <r>
    <x v="36"/>
    <x v="0"/>
    <x v="253"/>
    <n v="3632"/>
    <x v="1"/>
  </r>
  <r>
    <x v="36"/>
    <x v="0"/>
    <x v="114"/>
    <n v="304"/>
    <x v="1"/>
  </r>
  <r>
    <x v="36"/>
    <x v="0"/>
    <x v="140"/>
    <n v="2479"/>
    <x v="1"/>
  </r>
  <r>
    <x v="36"/>
    <x v="0"/>
    <x v="110"/>
    <n v="2"/>
    <x v="0"/>
  </r>
  <r>
    <x v="36"/>
    <x v="0"/>
    <x v="175"/>
    <n v="1"/>
    <x v="0"/>
  </r>
  <r>
    <x v="36"/>
    <x v="0"/>
    <x v="77"/>
    <n v="8"/>
    <x v="0"/>
  </r>
  <r>
    <x v="36"/>
    <x v="0"/>
    <x v="66"/>
    <n v="231"/>
    <x v="1"/>
  </r>
  <r>
    <x v="36"/>
    <x v="0"/>
    <x v="55"/>
    <n v="1"/>
    <x v="0"/>
  </r>
  <r>
    <x v="36"/>
    <x v="0"/>
    <x v="198"/>
    <n v="170"/>
    <x v="1"/>
  </r>
  <r>
    <x v="36"/>
    <x v="0"/>
    <x v="242"/>
    <n v="150"/>
    <x v="1"/>
  </r>
  <r>
    <x v="36"/>
    <x v="0"/>
    <x v="167"/>
    <n v="2554"/>
    <x v="1"/>
  </r>
  <r>
    <x v="36"/>
    <x v="0"/>
    <x v="103"/>
    <n v="22"/>
    <x v="0"/>
  </r>
  <r>
    <x v="36"/>
    <x v="0"/>
    <x v="91"/>
    <n v="8"/>
    <x v="0"/>
  </r>
  <r>
    <x v="36"/>
    <x v="0"/>
    <x v="76"/>
    <n v="5"/>
    <x v="0"/>
  </r>
  <r>
    <x v="36"/>
    <x v="0"/>
    <x v="218"/>
    <n v="8"/>
    <x v="0"/>
  </r>
  <r>
    <x v="36"/>
    <x v="0"/>
    <x v="251"/>
    <n v="749"/>
    <x v="1"/>
  </r>
  <r>
    <x v="36"/>
    <x v="0"/>
    <x v="154"/>
    <n v="1411"/>
    <x v="1"/>
  </r>
  <r>
    <x v="36"/>
    <x v="0"/>
    <x v="75"/>
    <n v="302"/>
    <x v="1"/>
  </r>
  <r>
    <x v="36"/>
    <x v="0"/>
    <x v="286"/>
    <n v="2"/>
    <x v="0"/>
  </r>
  <r>
    <x v="36"/>
    <x v="0"/>
    <x v="92"/>
    <n v="5"/>
    <x v="0"/>
  </r>
  <r>
    <x v="36"/>
    <x v="0"/>
    <x v="282"/>
    <n v="105"/>
    <x v="1"/>
  </r>
  <r>
    <x v="36"/>
    <x v="0"/>
    <x v="275"/>
    <n v="57"/>
    <x v="0"/>
  </r>
  <r>
    <x v="36"/>
    <x v="0"/>
    <x v="279"/>
    <n v="98"/>
    <x v="0"/>
  </r>
  <r>
    <x v="37"/>
    <x v="0"/>
    <x v="234"/>
    <n v="1625"/>
    <x v="1"/>
  </r>
  <r>
    <x v="37"/>
    <x v="0"/>
    <x v="229"/>
    <n v="1171"/>
    <x v="1"/>
  </r>
  <r>
    <x v="37"/>
    <x v="0"/>
    <x v="142"/>
    <n v="2383"/>
    <x v="1"/>
  </r>
  <r>
    <x v="37"/>
    <x v="0"/>
    <x v="125"/>
    <n v="19"/>
    <x v="0"/>
  </r>
  <r>
    <x v="37"/>
    <x v="0"/>
    <x v="179"/>
    <n v="8"/>
    <x v="0"/>
  </r>
  <r>
    <x v="37"/>
    <x v="0"/>
    <x v="59"/>
    <n v="59"/>
    <x v="0"/>
  </r>
  <r>
    <x v="37"/>
    <x v="0"/>
    <x v="236"/>
    <n v="303"/>
    <x v="1"/>
  </r>
  <r>
    <x v="37"/>
    <x v="0"/>
    <x v="251"/>
    <n v="752"/>
    <x v="1"/>
  </r>
  <r>
    <x v="37"/>
    <x v="0"/>
    <x v="87"/>
    <n v="2351"/>
    <x v="1"/>
  </r>
  <r>
    <x v="37"/>
    <x v="0"/>
    <x v="45"/>
    <n v="23"/>
    <x v="0"/>
  </r>
  <r>
    <x v="37"/>
    <x v="0"/>
    <x v="269"/>
    <n v="1"/>
    <x v="0"/>
  </r>
  <r>
    <x v="37"/>
    <x v="0"/>
    <x v="34"/>
    <n v="8"/>
    <x v="0"/>
  </r>
  <r>
    <x v="37"/>
    <x v="0"/>
    <x v="183"/>
    <n v="3265"/>
    <x v="1"/>
  </r>
  <r>
    <x v="37"/>
    <x v="0"/>
    <x v="0"/>
    <n v="39"/>
    <x v="0"/>
  </r>
  <r>
    <x v="37"/>
    <x v="0"/>
    <x v="72"/>
    <n v="1"/>
    <x v="0"/>
  </r>
  <r>
    <x v="37"/>
    <x v="0"/>
    <x v="19"/>
    <n v="207"/>
    <x v="1"/>
  </r>
  <r>
    <x v="37"/>
    <x v="0"/>
    <x v="68"/>
    <n v="7"/>
    <x v="0"/>
  </r>
  <r>
    <x v="37"/>
    <x v="0"/>
    <x v="189"/>
    <n v="3141"/>
    <x v="1"/>
  </r>
  <r>
    <x v="37"/>
    <x v="0"/>
    <x v="54"/>
    <n v="7"/>
    <x v="0"/>
  </r>
  <r>
    <x v="37"/>
    <x v="0"/>
    <x v="3"/>
    <n v="873"/>
    <x v="1"/>
  </r>
  <r>
    <x v="37"/>
    <x v="0"/>
    <x v="287"/>
    <n v="2390"/>
    <x v="1"/>
  </r>
  <r>
    <x v="37"/>
    <x v="0"/>
    <x v="110"/>
    <n v="2"/>
    <x v="0"/>
  </r>
  <r>
    <x v="37"/>
    <x v="0"/>
    <x v="74"/>
    <n v="2597"/>
    <x v="1"/>
  </r>
  <r>
    <x v="37"/>
    <x v="0"/>
    <x v="150"/>
    <n v="3017"/>
    <x v="1"/>
  </r>
  <r>
    <x v="37"/>
    <x v="0"/>
    <x v="290"/>
    <n v="2"/>
    <x v="0"/>
  </r>
  <r>
    <x v="37"/>
    <x v="0"/>
    <x v="240"/>
    <n v="2274"/>
    <x v="1"/>
  </r>
  <r>
    <x v="37"/>
    <x v="0"/>
    <x v="212"/>
    <n v="3"/>
    <x v="0"/>
  </r>
  <r>
    <x v="37"/>
    <x v="0"/>
    <x v="22"/>
    <n v="3648"/>
    <x v="1"/>
  </r>
  <r>
    <x v="37"/>
    <x v="0"/>
    <x v="53"/>
    <n v="174"/>
    <x v="1"/>
  </r>
  <r>
    <x v="37"/>
    <x v="0"/>
    <x v="167"/>
    <n v="2567"/>
    <x v="1"/>
  </r>
  <r>
    <x v="37"/>
    <x v="0"/>
    <x v="294"/>
    <n v="1"/>
    <x v="0"/>
  </r>
  <r>
    <x v="37"/>
    <x v="0"/>
    <x v="82"/>
    <n v="5"/>
    <x v="0"/>
  </r>
  <r>
    <x v="37"/>
    <x v="0"/>
    <x v="193"/>
    <n v="467"/>
    <x v="1"/>
  </r>
  <r>
    <x v="37"/>
    <x v="0"/>
    <x v="116"/>
    <n v="2311"/>
    <x v="1"/>
  </r>
  <r>
    <x v="37"/>
    <x v="0"/>
    <x v="203"/>
    <n v="1"/>
    <x v="0"/>
  </r>
  <r>
    <x v="37"/>
    <x v="0"/>
    <x v="96"/>
    <n v="30"/>
    <x v="0"/>
  </r>
  <r>
    <x v="37"/>
    <x v="0"/>
    <x v="17"/>
    <n v="1130"/>
    <x v="1"/>
  </r>
  <r>
    <x v="37"/>
    <x v="0"/>
    <x v="241"/>
    <n v="1"/>
    <x v="0"/>
  </r>
  <r>
    <x v="37"/>
    <x v="0"/>
    <x v="65"/>
    <n v="465"/>
    <x v="1"/>
  </r>
  <r>
    <x v="37"/>
    <x v="0"/>
    <x v="83"/>
    <n v="4"/>
    <x v="0"/>
  </r>
  <r>
    <x v="37"/>
    <x v="0"/>
    <x v="255"/>
    <n v="5"/>
    <x v="0"/>
  </r>
  <r>
    <x v="37"/>
    <x v="0"/>
    <x v="113"/>
    <n v="4"/>
    <x v="0"/>
  </r>
  <r>
    <x v="37"/>
    <x v="0"/>
    <x v="289"/>
    <n v="2375"/>
    <x v="1"/>
  </r>
  <r>
    <x v="37"/>
    <x v="0"/>
    <x v="296"/>
    <n v="11"/>
    <x v="0"/>
  </r>
  <r>
    <x v="37"/>
    <x v="0"/>
    <x v="260"/>
    <n v="317"/>
    <x v="1"/>
  </r>
  <r>
    <x v="37"/>
    <x v="0"/>
    <x v="50"/>
    <n v="308"/>
    <x v="1"/>
  </r>
  <r>
    <x v="37"/>
    <x v="0"/>
    <x v="227"/>
    <n v="3"/>
    <x v="0"/>
  </r>
  <r>
    <x v="37"/>
    <x v="0"/>
    <x v="118"/>
    <n v="2696"/>
    <x v="1"/>
  </r>
  <r>
    <x v="37"/>
    <x v="0"/>
    <x v="109"/>
    <n v="4"/>
    <x v="0"/>
  </r>
  <r>
    <x v="37"/>
    <x v="0"/>
    <x v="117"/>
    <n v="2476"/>
    <x v="1"/>
  </r>
  <r>
    <x v="37"/>
    <x v="0"/>
    <x v="245"/>
    <n v="3494"/>
    <x v="1"/>
  </r>
  <r>
    <x v="37"/>
    <x v="0"/>
    <x v="38"/>
    <n v="1744"/>
    <x v="1"/>
  </r>
  <r>
    <x v="37"/>
    <x v="0"/>
    <x v="86"/>
    <n v="3104"/>
    <x v="1"/>
  </r>
  <r>
    <x v="37"/>
    <x v="0"/>
    <x v="164"/>
    <n v="125"/>
    <x v="1"/>
  </r>
  <r>
    <x v="37"/>
    <x v="0"/>
    <x v="153"/>
    <n v="113"/>
    <x v="1"/>
  </r>
  <r>
    <x v="37"/>
    <x v="0"/>
    <x v="58"/>
    <n v="3080"/>
    <x v="1"/>
  </r>
  <r>
    <x v="37"/>
    <x v="0"/>
    <x v="152"/>
    <n v="2986"/>
    <x v="1"/>
  </r>
  <r>
    <x v="37"/>
    <x v="0"/>
    <x v="172"/>
    <n v="2796"/>
    <x v="1"/>
  </r>
  <r>
    <x v="37"/>
    <x v="0"/>
    <x v="175"/>
    <n v="1"/>
    <x v="0"/>
  </r>
  <r>
    <x v="37"/>
    <x v="0"/>
    <x v="297"/>
    <n v="13"/>
    <x v="0"/>
  </r>
  <r>
    <x v="37"/>
    <x v="0"/>
    <x v="249"/>
    <n v="102"/>
    <x v="1"/>
  </r>
  <r>
    <x v="37"/>
    <x v="0"/>
    <x v="133"/>
    <n v="329"/>
    <x v="1"/>
  </r>
  <r>
    <x v="37"/>
    <x v="0"/>
    <x v="146"/>
    <n v="2970"/>
    <x v="1"/>
  </r>
  <r>
    <x v="37"/>
    <x v="0"/>
    <x v="277"/>
    <n v="648"/>
    <x v="1"/>
  </r>
  <r>
    <x v="37"/>
    <x v="0"/>
    <x v="25"/>
    <n v="8"/>
    <x v="0"/>
  </r>
  <r>
    <x v="37"/>
    <x v="0"/>
    <x v="246"/>
    <n v="2515"/>
    <x v="1"/>
  </r>
  <r>
    <x v="37"/>
    <x v="0"/>
    <x v="254"/>
    <n v="2106"/>
    <x v="1"/>
  </r>
  <r>
    <x v="37"/>
    <x v="0"/>
    <x v="23"/>
    <n v="5"/>
    <x v="0"/>
  </r>
  <r>
    <x v="37"/>
    <x v="0"/>
    <x v="182"/>
    <n v="2418"/>
    <x v="1"/>
  </r>
  <r>
    <x v="37"/>
    <x v="0"/>
    <x v="181"/>
    <n v="1542"/>
    <x v="1"/>
  </r>
  <r>
    <x v="37"/>
    <x v="0"/>
    <x v="136"/>
    <n v="17"/>
    <x v="0"/>
  </r>
  <r>
    <x v="37"/>
    <x v="0"/>
    <x v="5"/>
    <n v="1"/>
    <x v="0"/>
  </r>
  <r>
    <x v="37"/>
    <x v="0"/>
    <x v="231"/>
    <n v="3"/>
    <x v="0"/>
  </r>
  <r>
    <x v="37"/>
    <x v="0"/>
    <x v="126"/>
    <n v="41"/>
    <x v="0"/>
  </r>
  <r>
    <x v="37"/>
    <x v="0"/>
    <x v="1"/>
    <n v="26"/>
    <x v="0"/>
  </r>
  <r>
    <x v="37"/>
    <x v="0"/>
    <x v="29"/>
    <n v="2"/>
    <x v="0"/>
  </r>
  <r>
    <x v="37"/>
    <x v="0"/>
    <x v="35"/>
    <n v="24"/>
    <x v="0"/>
  </r>
  <r>
    <x v="37"/>
    <x v="0"/>
    <x v="10"/>
    <n v="173"/>
    <x v="1"/>
  </r>
  <r>
    <x v="37"/>
    <x v="0"/>
    <x v="268"/>
    <n v="2864"/>
    <x v="1"/>
  </r>
  <r>
    <x v="37"/>
    <x v="0"/>
    <x v="243"/>
    <n v="537"/>
    <x v="1"/>
  </r>
  <r>
    <x v="37"/>
    <x v="0"/>
    <x v="11"/>
    <n v="6"/>
    <x v="0"/>
  </r>
  <r>
    <x v="37"/>
    <x v="0"/>
    <x v="174"/>
    <n v="4"/>
    <x v="0"/>
  </r>
  <r>
    <x v="37"/>
    <x v="0"/>
    <x v="288"/>
    <n v="1"/>
    <x v="0"/>
  </r>
  <r>
    <x v="37"/>
    <x v="0"/>
    <x v="75"/>
    <n v="301"/>
    <x v="1"/>
  </r>
  <r>
    <x v="37"/>
    <x v="0"/>
    <x v="169"/>
    <n v="2"/>
    <x v="0"/>
  </r>
  <r>
    <x v="37"/>
    <x v="0"/>
    <x v="135"/>
    <n v="3454"/>
    <x v="1"/>
  </r>
  <r>
    <x v="37"/>
    <x v="0"/>
    <x v="14"/>
    <n v="3"/>
    <x v="0"/>
  </r>
  <r>
    <x v="37"/>
    <x v="0"/>
    <x v="64"/>
    <n v="341"/>
    <x v="1"/>
  </r>
  <r>
    <x v="37"/>
    <x v="0"/>
    <x v="263"/>
    <n v="1735"/>
    <x v="1"/>
  </r>
  <r>
    <x v="37"/>
    <x v="0"/>
    <x v="188"/>
    <n v="2495"/>
    <x v="1"/>
  </r>
  <r>
    <x v="37"/>
    <x v="0"/>
    <x v="131"/>
    <n v="5"/>
    <x v="0"/>
  </r>
  <r>
    <x v="37"/>
    <x v="0"/>
    <x v="250"/>
    <n v="2181"/>
    <x v="1"/>
  </r>
  <r>
    <x v="37"/>
    <x v="0"/>
    <x v="285"/>
    <n v="3352"/>
    <x v="1"/>
  </r>
  <r>
    <x v="37"/>
    <x v="0"/>
    <x v="46"/>
    <n v="2260"/>
    <x v="1"/>
  </r>
  <r>
    <x v="37"/>
    <x v="0"/>
    <x v="168"/>
    <n v="2011"/>
    <x v="1"/>
  </r>
  <r>
    <x v="37"/>
    <x v="0"/>
    <x v="76"/>
    <n v="5"/>
    <x v="0"/>
  </r>
  <r>
    <x v="37"/>
    <x v="0"/>
    <x v="111"/>
    <n v="2381"/>
    <x v="1"/>
  </r>
  <r>
    <x v="37"/>
    <x v="0"/>
    <x v="233"/>
    <n v="1"/>
    <x v="0"/>
  </r>
  <r>
    <x v="37"/>
    <x v="0"/>
    <x v="31"/>
    <n v="7"/>
    <x v="0"/>
  </r>
  <r>
    <x v="37"/>
    <x v="0"/>
    <x v="79"/>
    <n v="2025"/>
    <x v="1"/>
  </r>
  <r>
    <x v="37"/>
    <x v="0"/>
    <x v="127"/>
    <n v="59"/>
    <x v="0"/>
  </r>
  <r>
    <x v="37"/>
    <x v="0"/>
    <x v="265"/>
    <n v="1"/>
    <x v="0"/>
  </r>
  <r>
    <x v="37"/>
    <x v="0"/>
    <x v="15"/>
    <n v="1"/>
    <x v="0"/>
  </r>
  <r>
    <x v="37"/>
    <x v="0"/>
    <x v="195"/>
    <n v="4"/>
    <x v="0"/>
  </r>
  <r>
    <x v="37"/>
    <x v="0"/>
    <x v="257"/>
    <n v="788"/>
    <x v="1"/>
  </r>
  <r>
    <x v="37"/>
    <x v="0"/>
    <x v="162"/>
    <n v="5"/>
    <x v="0"/>
  </r>
  <r>
    <x v="37"/>
    <x v="0"/>
    <x v="55"/>
    <n v="1"/>
    <x v="0"/>
  </r>
  <r>
    <x v="37"/>
    <x v="0"/>
    <x v="190"/>
    <n v="3162"/>
    <x v="1"/>
  </r>
  <r>
    <x v="37"/>
    <x v="0"/>
    <x v="144"/>
    <n v="159"/>
    <x v="1"/>
  </r>
  <r>
    <x v="37"/>
    <x v="0"/>
    <x v="51"/>
    <n v="2252"/>
    <x v="1"/>
  </r>
  <r>
    <x v="37"/>
    <x v="0"/>
    <x v="186"/>
    <n v="1665"/>
    <x v="1"/>
  </r>
  <r>
    <x v="37"/>
    <x v="0"/>
    <x v="220"/>
    <n v="3865"/>
    <x v="1"/>
  </r>
  <r>
    <x v="37"/>
    <x v="0"/>
    <x v="279"/>
    <n v="109"/>
    <x v="1"/>
  </r>
  <r>
    <x v="37"/>
    <x v="0"/>
    <x v="47"/>
    <n v="770"/>
    <x v="1"/>
  </r>
  <r>
    <x v="37"/>
    <x v="0"/>
    <x v="129"/>
    <n v="904"/>
    <x v="1"/>
  </r>
  <r>
    <x v="37"/>
    <x v="0"/>
    <x v="148"/>
    <n v="2996"/>
    <x v="1"/>
  </r>
  <r>
    <x v="37"/>
    <x v="0"/>
    <x v="261"/>
    <n v="2117"/>
    <x v="1"/>
  </r>
  <r>
    <x v="37"/>
    <x v="0"/>
    <x v="63"/>
    <n v="850"/>
    <x v="1"/>
  </r>
  <r>
    <x v="37"/>
    <x v="0"/>
    <x v="106"/>
    <n v="2"/>
    <x v="0"/>
  </r>
  <r>
    <x v="37"/>
    <x v="0"/>
    <x v="170"/>
    <n v="2670"/>
    <x v="1"/>
  </r>
  <r>
    <x v="37"/>
    <x v="0"/>
    <x v="293"/>
    <n v="2"/>
    <x v="0"/>
  </r>
  <r>
    <x v="37"/>
    <x v="0"/>
    <x v="271"/>
    <n v="91"/>
    <x v="0"/>
  </r>
  <r>
    <x v="37"/>
    <x v="0"/>
    <x v="12"/>
    <n v="9"/>
    <x v="0"/>
  </r>
  <r>
    <x v="37"/>
    <x v="0"/>
    <x v="176"/>
    <n v="1"/>
    <x v="0"/>
  </r>
  <r>
    <x v="37"/>
    <x v="0"/>
    <x v="2"/>
    <n v="2481"/>
    <x v="1"/>
  </r>
  <r>
    <x v="37"/>
    <x v="0"/>
    <x v="107"/>
    <n v="4"/>
    <x v="0"/>
  </r>
  <r>
    <x v="37"/>
    <x v="0"/>
    <x v="272"/>
    <n v="689"/>
    <x v="1"/>
  </r>
  <r>
    <x v="37"/>
    <x v="0"/>
    <x v="99"/>
    <n v="2374"/>
    <x v="1"/>
  </r>
  <r>
    <x v="37"/>
    <x v="0"/>
    <x v="70"/>
    <n v="7"/>
    <x v="0"/>
  </r>
  <r>
    <x v="37"/>
    <x v="0"/>
    <x v="232"/>
    <n v="2527"/>
    <x v="1"/>
  </r>
  <r>
    <x v="37"/>
    <x v="0"/>
    <x v="282"/>
    <n v="121"/>
    <x v="1"/>
  </r>
  <r>
    <x v="37"/>
    <x v="0"/>
    <x v="97"/>
    <n v="396"/>
    <x v="1"/>
  </r>
  <r>
    <x v="37"/>
    <x v="0"/>
    <x v="211"/>
    <n v="4"/>
    <x v="0"/>
  </r>
  <r>
    <x v="37"/>
    <x v="0"/>
    <x v="244"/>
    <n v="1472"/>
    <x v="1"/>
  </r>
  <r>
    <x v="37"/>
    <x v="0"/>
    <x v="259"/>
    <n v="1"/>
    <x v="0"/>
  </r>
  <r>
    <x v="37"/>
    <x v="0"/>
    <x v="115"/>
    <n v="4868"/>
    <x v="1"/>
  </r>
  <r>
    <x v="37"/>
    <x v="0"/>
    <x v="91"/>
    <n v="8"/>
    <x v="0"/>
  </r>
  <r>
    <x v="37"/>
    <x v="0"/>
    <x v="221"/>
    <n v="7"/>
    <x v="0"/>
  </r>
  <r>
    <x v="37"/>
    <x v="0"/>
    <x v="278"/>
    <n v="223"/>
    <x v="1"/>
  </r>
  <r>
    <x v="37"/>
    <x v="0"/>
    <x v="218"/>
    <n v="8"/>
    <x v="0"/>
  </r>
  <r>
    <x v="37"/>
    <x v="0"/>
    <x v="143"/>
    <n v="6903"/>
    <x v="1"/>
  </r>
  <r>
    <x v="37"/>
    <x v="0"/>
    <x v="77"/>
    <n v="9"/>
    <x v="0"/>
  </r>
  <r>
    <x v="37"/>
    <x v="0"/>
    <x v="207"/>
    <n v="1"/>
    <x v="0"/>
  </r>
  <r>
    <x v="37"/>
    <x v="0"/>
    <x v="84"/>
    <n v="12"/>
    <x v="0"/>
  </r>
  <r>
    <x v="37"/>
    <x v="0"/>
    <x v="105"/>
    <n v="502"/>
    <x v="1"/>
  </r>
  <r>
    <x v="37"/>
    <x v="0"/>
    <x v="4"/>
    <n v="2"/>
    <x v="0"/>
  </r>
  <r>
    <x v="37"/>
    <x v="0"/>
    <x v="24"/>
    <n v="3"/>
    <x v="0"/>
  </r>
  <r>
    <x v="37"/>
    <x v="0"/>
    <x v="32"/>
    <n v="1033"/>
    <x v="1"/>
  </r>
  <r>
    <x v="37"/>
    <x v="0"/>
    <x v="66"/>
    <n v="240"/>
    <x v="1"/>
  </r>
  <r>
    <x v="37"/>
    <x v="0"/>
    <x v="273"/>
    <n v="3150"/>
    <x v="1"/>
  </r>
  <r>
    <x v="37"/>
    <x v="0"/>
    <x v="44"/>
    <n v="2821"/>
    <x v="1"/>
  </r>
  <r>
    <x v="37"/>
    <x v="0"/>
    <x v="62"/>
    <n v="566"/>
    <x v="1"/>
  </r>
  <r>
    <x v="37"/>
    <x v="0"/>
    <x v="274"/>
    <n v="3126"/>
    <x v="1"/>
  </r>
  <r>
    <x v="37"/>
    <x v="0"/>
    <x v="264"/>
    <n v="1"/>
    <x v="0"/>
  </r>
  <r>
    <x v="37"/>
    <x v="0"/>
    <x v="140"/>
    <n v="2505"/>
    <x v="1"/>
  </r>
  <r>
    <x v="37"/>
    <x v="0"/>
    <x v="89"/>
    <n v="1893"/>
    <x v="1"/>
  </r>
  <r>
    <x v="37"/>
    <x v="0"/>
    <x v="292"/>
    <n v="41"/>
    <x v="0"/>
  </r>
  <r>
    <x v="37"/>
    <x v="0"/>
    <x v="157"/>
    <n v="4"/>
    <x v="0"/>
  </r>
  <r>
    <x v="37"/>
    <x v="0"/>
    <x v="192"/>
    <n v="2770"/>
    <x v="1"/>
  </r>
  <r>
    <x v="37"/>
    <x v="0"/>
    <x v="298"/>
    <n v="3263"/>
    <x v="1"/>
  </r>
  <r>
    <x v="37"/>
    <x v="0"/>
    <x v="132"/>
    <n v="2"/>
    <x v="0"/>
  </r>
  <r>
    <x v="37"/>
    <x v="0"/>
    <x v="270"/>
    <n v="433"/>
    <x v="1"/>
  </r>
  <r>
    <x v="37"/>
    <x v="0"/>
    <x v="48"/>
    <n v="1"/>
    <x v="0"/>
  </r>
  <r>
    <x v="37"/>
    <x v="0"/>
    <x v="177"/>
    <n v="7"/>
    <x v="0"/>
  </r>
  <r>
    <x v="37"/>
    <x v="0"/>
    <x v="258"/>
    <n v="2861"/>
    <x v="1"/>
  </r>
  <r>
    <x v="37"/>
    <x v="0"/>
    <x v="90"/>
    <n v="136"/>
    <x v="1"/>
  </r>
  <r>
    <x v="37"/>
    <x v="0"/>
    <x v="40"/>
    <n v="2"/>
    <x v="0"/>
  </r>
  <r>
    <x v="37"/>
    <x v="0"/>
    <x v="27"/>
    <n v="2470"/>
    <x v="1"/>
  </r>
  <r>
    <x v="37"/>
    <x v="0"/>
    <x v="280"/>
    <n v="44"/>
    <x v="0"/>
  </r>
  <r>
    <x v="37"/>
    <x v="0"/>
    <x v="184"/>
    <n v="2484"/>
    <x v="1"/>
  </r>
  <r>
    <x v="37"/>
    <x v="0"/>
    <x v="103"/>
    <n v="26"/>
    <x v="0"/>
  </r>
  <r>
    <x v="37"/>
    <x v="0"/>
    <x v="237"/>
    <n v="48"/>
    <x v="0"/>
  </r>
  <r>
    <x v="37"/>
    <x v="0"/>
    <x v="185"/>
    <n v="3367"/>
    <x v="1"/>
  </r>
  <r>
    <x v="37"/>
    <x v="0"/>
    <x v="205"/>
    <n v="1"/>
    <x v="0"/>
  </r>
  <r>
    <x v="37"/>
    <x v="0"/>
    <x v="139"/>
    <n v="2897"/>
    <x v="1"/>
  </r>
  <r>
    <x v="37"/>
    <x v="0"/>
    <x v="120"/>
    <n v="53"/>
    <x v="0"/>
  </r>
  <r>
    <x v="37"/>
    <x v="0"/>
    <x v="57"/>
    <n v="11"/>
    <x v="0"/>
  </r>
  <r>
    <x v="37"/>
    <x v="0"/>
    <x v="295"/>
    <n v="16"/>
    <x v="0"/>
  </r>
  <r>
    <x v="37"/>
    <x v="0"/>
    <x v="41"/>
    <n v="1"/>
    <x v="0"/>
  </r>
  <r>
    <x v="37"/>
    <x v="0"/>
    <x v="98"/>
    <n v="16"/>
    <x v="0"/>
  </r>
  <r>
    <x v="37"/>
    <x v="0"/>
    <x v="275"/>
    <n v="65"/>
    <x v="0"/>
  </r>
  <r>
    <x v="37"/>
    <x v="0"/>
    <x v="248"/>
    <n v="3586"/>
    <x v="1"/>
  </r>
  <r>
    <x v="37"/>
    <x v="0"/>
    <x v="88"/>
    <n v="5"/>
    <x v="0"/>
  </r>
  <r>
    <x v="37"/>
    <x v="0"/>
    <x v="198"/>
    <n v="181"/>
    <x v="1"/>
  </r>
  <r>
    <x v="37"/>
    <x v="0"/>
    <x v="134"/>
    <n v="226"/>
    <x v="1"/>
  </r>
  <r>
    <x v="37"/>
    <x v="0"/>
    <x v="283"/>
    <n v="3385"/>
    <x v="1"/>
  </r>
  <r>
    <x v="37"/>
    <x v="0"/>
    <x v="247"/>
    <n v="1352"/>
    <x v="1"/>
  </r>
  <r>
    <x v="37"/>
    <x v="0"/>
    <x v="154"/>
    <n v="1412"/>
    <x v="1"/>
  </r>
  <r>
    <x v="37"/>
    <x v="0"/>
    <x v="33"/>
    <n v="585"/>
    <x v="1"/>
  </r>
  <r>
    <x v="37"/>
    <x v="0"/>
    <x v="252"/>
    <n v="2781"/>
    <x v="1"/>
  </r>
  <r>
    <x v="37"/>
    <x v="0"/>
    <x v="238"/>
    <n v="1"/>
    <x v="0"/>
  </r>
  <r>
    <x v="37"/>
    <x v="0"/>
    <x v="256"/>
    <n v="2154"/>
    <x v="1"/>
  </r>
  <r>
    <x v="37"/>
    <x v="0"/>
    <x v="95"/>
    <n v="2875"/>
    <x v="1"/>
  </r>
  <r>
    <x v="37"/>
    <x v="0"/>
    <x v="141"/>
    <n v="2058"/>
    <x v="1"/>
  </r>
  <r>
    <x v="37"/>
    <x v="0"/>
    <x v="30"/>
    <n v="1067"/>
    <x v="1"/>
  </r>
  <r>
    <x v="37"/>
    <x v="0"/>
    <x v="222"/>
    <n v="1227"/>
    <x v="1"/>
  </r>
  <r>
    <x v="37"/>
    <x v="0"/>
    <x v="7"/>
    <n v="1020"/>
    <x v="1"/>
  </r>
  <r>
    <x v="37"/>
    <x v="0"/>
    <x v="291"/>
    <n v="30"/>
    <x v="0"/>
  </r>
  <r>
    <x v="37"/>
    <x v="0"/>
    <x v="102"/>
    <n v="2982"/>
    <x v="1"/>
  </r>
  <r>
    <x v="37"/>
    <x v="0"/>
    <x v="286"/>
    <n v="2"/>
    <x v="0"/>
  </r>
  <r>
    <x v="37"/>
    <x v="0"/>
    <x v="276"/>
    <n v="2152"/>
    <x v="1"/>
  </r>
  <r>
    <x v="37"/>
    <x v="0"/>
    <x v="28"/>
    <n v="2467"/>
    <x v="1"/>
  </r>
  <r>
    <x v="37"/>
    <x v="0"/>
    <x v="199"/>
    <n v="3432"/>
    <x v="1"/>
  </r>
  <r>
    <x v="37"/>
    <x v="0"/>
    <x v="114"/>
    <n v="306"/>
    <x v="1"/>
  </r>
  <r>
    <x v="37"/>
    <x v="0"/>
    <x v="73"/>
    <n v="4"/>
    <x v="0"/>
  </r>
  <r>
    <x v="37"/>
    <x v="0"/>
    <x v="13"/>
    <n v="1"/>
    <x v="0"/>
  </r>
  <r>
    <x v="37"/>
    <x v="0"/>
    <x v="121"/>
    <n v="2589"/>
    <x v="1"/>
  </r>
  <r>
    <x v="37"/>
    <x v="0"/>
    <x v="239"/>
    <n v="2839"/>
    <x v="1"/>
  </r>
  <r>
    <x v="37"/>
    <x v="0"/>
    <x v="93"/>
    <n v="634"/>
    <x v="1"/>
  </r>
  <r>
    <x v="37"/>
    <x v="0"/>
    <x v="242"/>
    <n v="155"/>
    <x v="1"/>
  </r>
  <r>
    <x v="37"/>
    <x v="0"/>
    <x v="52"/>
    <n v="2492"/>
    <x v="1"/>
  </r>
  <r>
    <x v="37"/>
    <x v="0"/>
    <x v="299"/>
    <n v="3"/>
    <x v="0"/>
  </r>
  <r>
    <x v="37"/>
    <x v="0"/>
    <x v="197"/>
    <n v="2340"/>
    <x v="1"/>
  </r>
  <r>
    <x v="37"/>
    <x v="0"/>
    <x v="226"/>
    <n v="106"/>
    <x v="1"/>
  </r>
  <r>
    <x v="37"/>
    <x v="0"/>
    <x v="128"/>
    <n v="9"/>
    <x v="0"/>
  </r>
  <r>
    <x v="37"/>
    <x v="0"/>
    <x v="123"/>
    <n v="2119"/>
    <x v="1"/>
  </r>
  <r>
    <x v="37"/>
    <x v="0"/>
    <x v="9"/>
    <n v="1"/>
    <x v="0"/>
  </r>
  <r>
    <x v="37"/>
    <x v="0"/>
    <x v="137"/>
    <n v="1719"/>
    <x v="1"/>
  </r>
  <r>
    <x v="37"/>
    <x v="0"/>
    <x v="191"/>
    <n v="2209"/>
    <x v="1"/>
  </r>
  <r>
    <x v="37"/>
    <x v="0"/>
    <x v="43"/>
    <n v="1"/>
    <x v="0"/>
  </r>
  <r>
    <x v="37"/>
    <x v="0"/>
    <x v="235"/>
    <n v="8"/>
    <x v="0"/>
  </r>
  <r>
    <x v="37"/>
    <x v="0"/>
    <x v="18"/>
    <n v="1"/>
    <x v="0"/>
  </r>
  <r>
    <x v="37"/>
    <x v="0"/>
    <x v="16"/>
    <n v="1"/>
    <x v="0"/>
  </r>
  <r>
    <x v="37"/>
    <x v="0"/>
    <x v="253"/>
    <n v="3679"/>
    <x v="1"/>
  </r>
  <r>
    <x v="38"/>
    <x v="0"/>
    <x v="38"/>
    <n v="1743"/>
    <x v="1"/>
  </r>
  <r>
    <x v="38"/>
    <x v="0"/>
    <x v="295"/>
    <n v="25"/>
    <x v="0"/>
  </r>
  <r>
    <x v="38"/>
    <x v="0"/>
    <x v="127"/>
    <n v="83"/>
    <x v="0"/>
  </r>
  <r>
    <x v="38"/>
    <x v="0"/>
    <x v="172"/>
    <n v="2821"/>
    <x v="1"/>
  </r>
  <r>
    <x v="38"/>
    <x v="0"/>
    <x v="12"/>
    <n v="9"/>
    <x v="0"/>
  </r>
  <r>
    <x v="38"/>
    <x v="0"/>
    <x v="5"/>
    <n v="1"/>
    <x v="0"/>
  </r>
  <r>
    <x v="38"/>
    <x v="0"/>
    <x v="43"/>
    <n v="1"/>
    <x v="0"/>
  </r>
  <r>
    <x v="38"/>
    <x v="0"/>
    <x v="280"/>
    <n v="49"/>
    <x v="0"/>
  </r>
  <r>
    <x v="38"/>
    <x v="0"/>
    <x v="154"/>
    <n v="1417"/>
    <x v="1"/>
  </r>
  <r>
    <x v="38"/>
    <x v="0"/>
    <x v="121"/>
    <n v="2611"/>
    <x v="1"/>
  </r>
  <r>
    <x v="38"/>
    <x v="0"/>
    <x v="162"/>
    <n v="5"/>
    <x v="0"/>
  </r>
  <r>
    <x v="38"/>
    <x v="0"/>
    <x v="241"/>
    <n v="1"/>
    <x v="0"/>
  </r>
  <r>
    <x v="38"/>
    <x v="0"/>
    <x v="256"/>
    <n v="2164"/>
    <x v="1"/>
  </r>
  <r>
    <x v="38"/>
    <x v="0"/>
    <x v="150"/>
    <n v="3008"/>
    <x v="1"/>
  </r>
  <r>
    <x v="38"/>
    <x v="0"/>
    <x v="246"/>
    <n v="2528"/>
    <x v="1"/>
  </r>
  <r>
    <x v="38"/>
    <x v="0"/>
    <x v="32"/>
    <n v="1027"/>
    <x v="1"/>
  </r>
  <r>
    <x v="38"/>
    <x v="0"/>
    <x v="2"/>
    <n v="2524"/>
    <x v="1"/>
  </r>
  <r>
    <x v="38"/>
    <x v="0"/>
    <x v="33"/>
    <n v="598"/>
    <x v="1"/>
  </r>
  <r>
    <x v="38"/>
    <x v="0"/>
    <x v="133"/>
    <n v="329"/>
    <x v="1"/>
  </r>
  <r>
    <x v="38"/>
    <x v="0"/>
    <x v="63"/>
    <n v="860"/>
    <x v="1"/>
  </r>
  <r>
    <x v="38"/>
    <x v="0"/>
    <x v="125"/>
    <n v="19"/>
    <x v="0"/>
  </r>
  <r>
    <x v="38"/>
    <x v="0"/>
    <x v="179"/>
    <n v="8"/>
    <x v="0"/>
  </r>
  <r>
    <x v="38"/>
    <x v="0"/>
    <x v="135"/>
    <n v="3450"/>
    <x v="1"/>
  </r>
  <r>
    <x v="38"/>
    <x v="0"/>
    <x v="90"/>
    <n v="2"/>
    <x v="0"/>
  </r>
  <r>
    <x v="38"/>
    <x v="0"/>
    <x v="111"/>
    <n v="2400"/>
    <x v="1"/>
  </r>
  <r>
    <x v="38"/>
    <x v="0"/>
    <x v="29"/>
    <n v="2"/>
    <x v="0"/>
  </r>
  <r>
    <x v="38"/>
    <x v="0"/>
    <x v="117"/>
    <n v="2495"/>
    <x v="1"/>
  </r>
  <r>
    <x v="38"/>
    <x v="0"/>
    <x v="236"/>
    <n v="288"/>
    <x v="1"/>
  </r>
  <r>
    <x v="38"/>
    <x v="0"/>
    <x v="168"/>
    <n v="2018"/>
    <x v="1"/>
  </r>
  <r>
    <x v="38"/>
    <x v="0"/>
    <x v="245"/>
    <n v="3507"/>
    <x v="1"/>
  </r>
  <r>
    <x v="38"/>
    <x v="0"/>
    <x v="44"/>
    <n v="2811"/>
    <x v="1"/>
  </r>
  <r>
    <x v="38"/>
    <x v="0"/>
    <x v="169"/>
    <n v="2"/>
    <x v="0"/>
  </r>
  <r>
    <x v="38"/>
    <x v="0"/>
    <x v="11"/>
    <n v="6"/>
    <x v="0"/>
  </r>
  <r>
    <x v="38"/>
    <x v="0"/>
    <x v="74"/>
    <n v="2602"/>
    <x v="1"/>
  </r>
  <r>
    <x v="38"/>
    <x v="0"/>
    <x v="18"/>
    <n v="1"/>
    <x v="0"/>
  </r>
  <r>
    <x v="38"/>
    <x v="0"/>
    <x v="300"/>
    <n v="19"/>
    <x v="0"/>
  </r>
  <r>
    <x v="38"/>
    <x v="0"/>
    <x v="191"/>
    <n v="2228"/>
    <x v="1"/>
  </r>
  <r>
    <x v="38"/>
    <x v="0"/>
    <x v="252"/>
    <n v="2823"/>
    <x v="1"/>
  </r>
  <r>
    <x v="38"/>
    <x v="0"/>
    <x v="59"/>
    <n v="60"/>
    <x v="0"/>
  </r>
  <r>
    <x v="38"/>
    <x v="0"/>
    <x v="269"/>
    <n v="1"/>
    <x v="0"/>
  </r>
  <r>
    <x v="38"/>
    <x v="0"/>
    <x v="271"/>
    <n v="112"/>
    <x v="1"/>
  </r>
  <r>
    <x v="38"/>
    <x v="0"/>
    <x v="247"/>
    <n v="1358"/>
    <x v="1"/>
  </r>
  <r>
    <x v="38"/>
    <x v="0"/>
    <x v="251"/>
    <n v="754"/>
    <x v="1"/>
  </r>
  <r>
    <x v="38"/>
    <x v="0"/>
    <x v="110"/>
    <n v="2"/>
    <x v="0"/>
  </r>
  <r>
    <x v="38"/>
    <x v="0"/>
    <x v="279"/>
    <n v="112"/>
    <x v="1"/>
  </r>
  <r>
    <x v="38"/>
    <x v="0"/>
    <x v="283"/>
    <n v="3384"/>
    <x v="1"/>
  </r>
  <r>
    <x v="38"/>
    <x v="0"/>
    <x v="234"/>
    <n v="1646"/>
    <x v="1"/>
  </r>
  <r>
    <x v="38"/>
    <x v="0"/>
    <x v="76"/>
    <n v="5"/>
    <x v="0"/>
  </r>
  <r>
    <x v="38"/>
    <x v="0"/>
    <x v="157"/>
    <n v="4"/>
    <x v="0"/>
  </r>
  <r>
    <x v="38"/>
    <x v="0"/>
    <x v="212"/>
    <n v="3"/>
    <x v="0"/>
  </r>
  <r>
    <x v="38"/>
    <x v="0"/>
    <x v="98"/>
    <n v="17"/>
    <x v="0"/>
  </r>
  <r>
    <x v="38"/>
    <x v="0"/>
    <x v="265"/>
    <n v="1"/>
    <x v="0"/>
  </r>
  <r>
    <x v="38"/>
    <x v="0"/>
    <x v="184"/>
    <n v="2497"/>
    <x v="1"/>
  </r>
  <r>
    <x v="38"/>
    <x v="0"/>
    <x v="83"/>
    <n v="4"/>
    <x v="0"/>
  </r>
  <r>
    <x v="38"/>
    <x v="0"/>
    <x v="291"/>
    <n v="56"/>
    <x v="0"/>
  </r>
  <r>
    <x v="38"/>
    <x v="0"/>
    <x v="126"/>
    <n v="41"/>
    <x v="0"/>
  </r>
  <r>
    <x v="38"/>
    <x v="0"/>
    <x v="290"/>
    <n v="2"/>
    <x v="0"/>
  </r>
  <r>
    <x v="38"/>
    <x v="0"/>
    <x v="143"/>
    <n v="4048"/>
    <x v="1"/>
  </r>
  <r>
    <x v="38"/>
    <x v="0"/>
    <x v="275"/>
    <n v="66"/>
    <x v="0"/>
  </r>
  <r>
    <x v="38"/>
    <x v="0"/>
    <x v="273"/>
    <n v="3168"/>
    <x v="1"/>
  </r>
  <r>
    <x v="38"/>
    <x v="0"/>
    <x v="244"/>
    <n v="1442"/>
    <x v="1"/>
  </r>
  <r>
    <x v="38"/>
    <x v="0"/>
    <x v="105"/>
    <n v="500"/>
    <x v="1"/>
  </r>
  <r>
    <x v="38"/>
    <x v="0"/>
    <x v="192"/>
    <n v="2783"/>
    <x v="1"/>
  </r>
  <r>
    <x v="38"/>
    <x v="0"/>
    <x v="255"/>
    <n v="6"/>
    <x v="0"/>
  </r>
  <r>
    <x v="38"/>
    <x v="0"/>
    <x v="287"/>
    <n v="2405"/>
    <x v="1"/>
  </r>
  <r>
    <x v="38"/>
    <x v="0"/>
    <x v="3"/>
    <n v="870"/>
    <x v="1"/>
  </r>
  <r>
    <x v="38"/>
    <x v="0"/>
    <x v="257"/>
    <n v="806"/>
    <x v="1"/>
  </r>
  <r>
    <x v="38"/>
    <x v="0"/>
    <x v="278"/>
    <n v="236"/>
    <x v="1"/>
  </r>
  <r>
    <x v="38"/>
    <x v="0"/>
    <x v="79"/>
    <n v="2022"/>
    <x v="1"/>
  </r>
  <r>
    <x v="38"/>
    <x v="0"/>
    <x v="128"/>
    <n v="10"/>
    <x v="0"/>
  </r>
  <r>
    <x v="38"/>
    <x v="0"/>
    <x v="13"/>
    <n v="1"/>
    <x v="0"/>
  </r>
  <r>
    <x v="38"/>
    <x v="0"/>
    <x v="88"/>
    <n v="5"/>
    <x v="0"/>
  </r>
  <r>
    <x v="38"/>
    <x v="0"/>
    <x v="40"/>
    <n v="2"/>
    <x v="0"/>
  </r>
  <r>
    <x v="38"/>
    <x v="0"/>
    <x v="197"/>
    <n v="2353"/>
    <x v="1"/>
  </r>
  <r>
    <x v="38"/>
    <x v="0"/>
    <x v="31"/>
    <n v="7"/>
    <x v="0"/>
  </r>
  <r>
    <x v="38"/>
    <x v="0"/>
    <x v="120"/>
    <n v="47"/>
    <x v="0"/>
  </r>
  <r>
    <x v="38"/>
    <x v="0"/>
    <x v="142"/>
    <n v="2391"/>
    <x v="1"/>
  </r>
  <r>
    <x v="38"/>
    <x v="0"/>
    <x v="174"/>
    <n v="4"/>
    <x v="0"/>
  </r>
  <r>
    <x v="38"/>
    <x v="0"/>
    <x v="87"/>
    <n v="2336"/>
    <x v="1"/>
  </r>
  <r>
    <x v="38"/>
    <x v="0"/>
    <x v="1"/>
    <n v="26"/>
    <x v="0"/>
  </r>
  <r>
    <x v="38"/>
    <x v="0"/>
    <x v="188"/>
    <n v="2511"/>
    <x v="1"/>
  </r>
  <r>
    <x v="38"/>
    <x v="0"/>
    <x v="235"/>
    <n v="9"/>
    <x v="0"/>
  </r>
  <r>
    <x v="38"/>
    <x v="0"/>
    <x v="274"/>
    <n v="3135"/>
    <x v="1"/>
  </r>
  <r>
    <x v="38"/>
    <x v="0"/>
    <x v="25"/>
    <n v="6"/>
    <x v="0"/>
  </r>
  <r>
    <x v="38"/>
    <x v="0"/>
    <x v="72"/>
    <n v="1"/>
    <x v="0"/>
  </r>
  <r>
    <x v="38"/>
    <x v="0"/>
    <x v="48"/>
    <n v="1"/>
    <x v="0"/>
  </r>
  <r>
    <x v="38"/>
    <x v="0"/>
    <x v="185"/>
    <n v="3377"/>
    <x v="1"/>
  </r>
  <r>
    <x v="38"/>
    <x v="0"/>
    <x v="22"/>
    <n v="3650"/>
    <x v="1"/>
  </r>
  <r>
    <x v="38"/>
    <x v="0"/>
    <x v="9"/>
    <n v="1"/>
    <x v="0"/>
  </r>
  <r>
    <x v="38"/>
    <x v="0"/>
    <x v="10"/>
    <n v="173"/>
    <x v="1"/>
  </r>
  <r>
    <x v="38"/>
    <x v="0"/>
    <x v="30"/>
    <n v="1066"/>
    <x v="1"/>
  </r>
  <r>
    <x v="38"/>
    <x v="0"/>
    <x v="261"/>
    <n v="2160"/>
    <x v="1"/>
  </r>
  <r>
    <x v="38"/>
    <x v="0"/>
    <x v="118"/>
    <n v="2704"/>
    <x v="1"/>
  </r>
  <r>
    <x v="38"/>
    <x v="0"/>
    <x v="282"/>
    <n v="129"/>
    <x v="1"/>
  </r>
  <r>
    <x v="38"/>
    <x v="0"/>
    <x v="4"/>
    <n v="2"/>
    <x v="0"/>
  </r>
  <r>
    <x v="38"/>
    <x v="0"/>
    <x v="47"/>
    <n v="779"/>
    <x v="1"/>
  </r>
  <r>
    <x v="38"/>
    <x v="0"/>
    <x v="153"/>
    <n v="117"/>
    <x v="1"/>
  </r>
  <r>
    <x v="38"/>
    <x v="0"/>
    <x v="58"/>
    <n v="3090"/>
    <x v="1"/>
  </r>
  <r>
    <x v="38"/>
    <x v="0"/>
    <x v="258"/>
    <n v="2881"/>
    <x v="1"/>
  </r>
  <r>
    <x v="38"/>
    <x v="0"/>
    <x v="129"/>
    <n v="902"/>
    <x v="1"/>
  </r>
  <r>
    <x v="38"/>
    <x v="0"/>
    <x v="243"/>
    <n v="536"/>
    <x v="1"/>
  </r>
  <r>
    <x v="38"/>
    <x v="0"/>
    <x v="277"/>
    <n v="788"/>
    <x v="1"/>
  </r>
  <r>
    <x v="38"/>
    <x v="0"/>
    <x v="196"/>
    <n v="1"/>
    <x v="0"/>
  </r>
  <r>
    <x v="38"/>
    <x v="0"/>
    <x v="259"/>
    <n v="1"/>
    <x v="0"/>
  </r>
  <r>
    <x v="38"/>
    <x v="0"/>
    <x v="298"/>
    <n v="3270"/>
    <x v="1"/>
  </r>
  <r>
    <x v="38"/>
    <x v="0"/>
    <x v="137"/>
    <n v="1721"/>
    <x v="1"/>
  </r>
  <r>
    <x v="38"/>
    <x v="0"/>
    <x v="222"/>
    <n v="1224"/>
    <x v="1"/>
  </r>
  <r>
    <x v="38"/>
    <x v="0"/>
    <x v="106"/>
    <n v="2"/>
    <x v="0"/>
  </r>
  <r>
    <x v="38"/>
    <x v="0"/>
    <x v="41"/>
    <n v="1"/>
    <x v="0"/>
  </r>
  <r>
    <x v="38"/>
    <x v="0"/>
    <x v="296"/>
    <n v="32"/>
    <x v="0"/>
  </r>
  <r>
    <x v="38"/>
    <x v="0"/>
    <x v="82"/>
    <n v="5"/>
    <x v="0"/>
  </r>
  <r>
    <x v="38"/>
    <x v="0"/>
    <x v="233"/>
    <n v="1"/>
    <x v="0"/>
  </r>
  <r>
    <x v="38"/>
    <x v="0"/>
    <x v="136"/>
    <n v="17"/>
    <x v="0"/>
  </r>
  <r>
    <x v="38"/>
    <x v="0"/>
    <x v="239"/>
    <n v="2865"/>
    <x v="1"/>
  </r>
  <r>
    <x v="38"/>
    <x v="0"/>
    <x v="270"/>
    <n v="452"/>
    <x v="1"/>
  </r>
  <r>
    <x v="38"/>
    <x v="0"/>
    <x v="55"/>
    <n v="1"/>
    <x v="0"/>
  </r>
  <r>
    <x v="38"/>
    <x v="0"/>
    <x v="264"/>
    <n v="1"/>
    <x v="0"/>
  </r>
  <r>
    <x v="38"/>
    <x v="0"/>
    <x v="292"/>
    <n v="52"/>
    <x v="0"/>
  </r>
  <r>
    <x v="38"/>
    <x v="0"/>
    <x v="89"/>
    <n v="1895"/>
    <x v="1"/>
  </r>
  <r>
    <x v="38"/>
    <x v="0"/>
    <x v="66"/>
    <n v="241"/>
    <x v="1"/>
  </r>
  <r>
    <x v="38"/>
    <x v="0"/>
    <x v="221"/>
    <n v="7"/>
    <x v="0"/>
  </r>
  <r>
    <x v="38"/>
    <x v="0"/>
    <x v="144"/>
    <n v="157"/>
    <x v="1"/>
  </r>
  <r>
    <x v="38"/>
    <x v="0"/>
    <x v="170"/>
    <n v="2679"/>
    <x v="1"/>
  </r>
  <r>
    <x v="38"/>
    <x v="0"/>
    <x v="253"/>
    <n v="3696"/>
    <x v="1"/>
  </r>
  <r>
    <x v="38"/>
    <x v="0"/>
    <x v="57"/>
    <n v="11"/>
    <x v="0"/>
  </r>
  <r>
    <x v="38"/>
    <x v="0"/>
    <x v="50"/>
    <n v="301"/>
    <x v="1"/>
  </r>
  <r>
    <x v="38"/>
    <x v="0"/>
    <x v="231"/>
    <n v="3"/>
    <x v="0"/>
  </r>
  <r>
    <x v="38"/>
    <x v="0"/>
    <x v="86"/>
    <n v="3103"/>
    <x v="1"/>
  </r>
  <r>
    <x v="38"/>
    <x v="0"/>
    <x v="131"/>
    <n v="5"/>
    <x v="0"/>
  </r>
  <r>
    <x v="38"/>
    <x v="0"/>
    <x v="95"/>
    <n v="2887"/>
    <x v="1"/>
  </r>
  <r>
    <x v="38"/>
    <x v="0"/>
    <x v="28"/>
    <n v="2484"/>
    <x v="1"/>
  </r>
  <r>
    <x v="38"/>
    <x v="0"/>
    <x v="198"/>
    <n v="187"/>
    <x v="1"/>
  </r>
  <r>
    <x v="38"/>
    <x v="0"/>
    <x v="288"/>
    <n v="1"/>
    <x v="0"/>
  </r>
  <r>
    <x v="38"/>
    <x v="0"/>
    <x v="96"/>
    <n v="29"/>
    <x v="0"/>
  </r>
  <r>
    <x v="38"/>
    <x v="0"/>
    <x v="24"/>
    <n v="3"/>
    <x v="0"/>
  </r>
  <r>
    <x v="38"/>
    <x v="0"/>
    <x v="299"/>
    <n v="4"/>
    <x v="0"/>
  </r>
  <r>
    <x v="38"/>
    <x v="0"/>
    <x v="181"/>
    <n v="1541"/>
    <x v="1"/>
  </r>
  <r>
    <x v="38"/>
    <x v="0"/>
    <x v="146"/>
    <n v="2985"/>
    <x v="1"/>
  </r>
  <r>
    <x v="38"/>
    <x v="0"/>
    <x v="205"/>
    <n v="1"/>
    <x v="0"/>
  </r>
  <r>
    <x v="38"/>
    <x v="0"/>
    <x v="276"/>
    <n v="2157"/>
    <x v="1"/>
  </r>
  <r>
    <x v="38"/>
    <x v="0"/>
    <x v="35"/>
    <n v="24"/>
    <x v="0"/>
  </r>
  <r>
    <x v="38"/>
    <x v="0"/>
    <x v="109"/>
    <n v="4"/>
    <x v="0"/>
  </r>
  <r>
    <x v="38"/>
    <x v="0"/>
    <x v="65"/>
    <n v="458"/>
    <x v="1"/>
  </r>
  <r>
    <x v="38"/>
    <x v="0"/>
    <x v="62"/>
    <n v="564"/>
    <x v="1"/>
  </r>
  <r>
    <x v="38"/>
    <x v="0"/>
    <x v="93"/>
    <n v="688"/>
    <x v="1"/>
  </r>
  <r>
    <x v="38"/>
    <x v="0"/>
    <x v="193"/>
    <n v="516"/>
    <x v="1"/>
  </r>
  <r>
    <x v="38"/>
    <x v="0"/>
    <x v="242"/>
    <n v="170"/>
    <x v="1"/>
  </r>
  <r>
    <x v="38"/>
    <x v="0"/>
    <x v="211"/>
    <n v="3"/>
    <x v="0"/>
  </r>
  <r>
    <x v="38"/>
    <x v="0"/>
    <x v="114"/>
    <n v="312"/>
    <x v="1"/>
  </r>
  <r>
    <x v="38"/>
    <x v="0"/>
    <x v="70"/>
    <n v="7"/>
    <x v="0"/>
  </r>
  <r>
    <x v="38"/>
    <x v="0"/>
    <x v="139"/>
    <n v="2903"/>
    <x v="1"/>
  </r>
  <r>
    <x v="38"/>
    <x v="0"/>
    <x v="248"/>
    <n v="3601"/>
    <x v="1"/>
  </r>
  <r>
    <x v="38"/>
    <x v="0"/>
    <x v="73"/>
    <n v="4"/>
    <x v="0"/>
  </r>
  <r>
    <x v="38"/>
    <x v="0"/>
    <x v="260"/>
    <n v="333"/>
    <x v="1"/>
  </r>
  <r>
    <x v="38"/>
    <x v="0"/>
    <x v="15"/>
    <n v="1"/>
    <x v="0"/>
  </r>
  <r>
    <x v="38"/>
    <x v="0"/>
    <x v="250"/>
    <n v="2202"/>
    <x v="1"/>
  </r>
  <r>
    <x v="38"/>
    <x v="0"/>
    <x v="102"/>
    <n v="2978"/>
    <x v="1"/>
  </r>
  <r>
    <x v="38"/>
    <x v="0"/>
    <x v="297"/>
    <n v="2892"/>
    <x v="1"/>
  </r>
  <r>
    <x v="38"/>
    <x v="0"/>
    <x v="167"/>
    <n v="2578"/>
    <x v="1"/>
  </r>
  <r>
    <x v="38"/>
    <x v="0"/>
    <x v="116"/>
    <n v="2330"/>
    <x v="1"/>
  </r>
  <r>
    <x v="38"/>
    <x v="0"/>
    <x v="249"/>
    <n v="92"/>
    <x v="0"/>
  </r>
  <r>
    <x v="38"/>
    <x v="0"/>
    <x v="289"/>
    <n v="2382"/>
    <x v="1"/>
  </r>
  <r>
    <x v="38"/>
    <x v="0"/>
    <x v="186"/>
    <n v="1674"/>
    <x v="1"/>
  </r>
  <r>
    <x v="38"/>
    <x v="0"/>
    <x v="195"/>
    <n v="4"/>
    <x v="0"/>
  </r>
  <r>
    <x v="38"/>
    <x v="0"/>
    <x v="164"/>
    <n v="125"/>
    <x v="1"/>
  </r>
  <r>
    <x v="38"/>
    <x v="0"/>
    <x v="16"/>
    <n v="1"/>
    <x v="0"/>
  </r>
  <r>
    <x v="38"/>
    <x v="0"/>
    <x v="54"/>
    <n v="9"/>
    <x v="0"/>
  </r>
  <r>
    <x v="38"/>
    <x v="0"/>
    <x v="152"/>
    <n v="2993"/>
    <x v="1"/>
  </r>
  <r>
    <x v="38"/>
    <x v="0"/>
    <x v="84"/>
    <n v="12"/>
    <x v="0"/>
  </r>
  <r>
    <x v="38"/>
    <x v="0"/>
    <x v="293"/>
    <n v="2"/>
    <x v="0"/>
  </r>
  <r>
    <x v="38"/>
    <x v="0"/>
    <x v="232"/>
    <n v="2566"/>
    <x v="1"/>
  </r>
  <r>
    <x v="38"/>
    <x v="0"/>
    <x v="112"/>
    <n v="1"/>
    <x v="0"/>
  </r>
  <r>
    <x v="38"/>
    <x v="0"/>
    <x v="203"/>
    <n v="1"/>
    <x v="0"/>
  </r>
  <r>
    <x v="38"/>
    <x v="0"/>
    <x v="199"/>
    <n v="3457"/>
    <x v="1"/>
  </r>
  <r>
    <x v="38"/>
    <x v="0"/>
    <x v="52"/>
    <n v="2484"/>
    <x v="1"/>
  </r>
  <r>
    <x v="38"/>
    <x v="0"/>
    <x v="75"/>
    <n v="302"/>
    <x v="1"/>
  </r>
  <r>
    <x v="38"/>
    <x v="0"/>
    <x v="46"/>
    <n v="2260"/>
    <x v="1"/>
  </r>
  <r>
    <x v="38"/>
    <x v="0"/>
    <x v="99"/>
    <n v="2370"/>
    <x v="1"/>
  </r>
  <r>
    <x v="38"/>
    <x v="0"/>
    <x v="227"/>
    <n v="2"/>
    <x v="0"/>
  </r>
  <r>
    <x v="38"/>
    <x v="0"/>
    <x v="77"/>
    <n v="10"/>
    <x v="0"/>
  </r>
  <r>
    <x v="38"/>
    <x v="0"/>
    <x v="140"/>
    <n v="2518"/>
    <x v="1"/>
  </r>
  <r>
    <x v="38"/>
    <x v="0"/>
    <x v="177"/>
    <n v="7"/>
    <x v="0"/>
  </r>
  <r>
    <x v="38"/>
    <x v="0"/>
    <x v="45"/>
    <n v="24"/>
    <x v="0"/>
  </r>
  <r>
    <x v="38"/>
    <x v="0"/>
    <x v="286"/>
    <n v="4"/>
    <x v="0"/>
  </r>
  <r>
    <x v="38"/>
    <x v="0"/>
    <x v="14"/>
    <n v="3"/>
    <x v="0"/>
  </r>
  <r>
    <x v="38"/>
    <x v="0"/>
    <x v="132"/>
    <n v="2"/>
    <x v="0"/>
  </r>
  <r>
    <x v="38"/>
    <x v="0"/>
    <x v="123"/>
    <n v="2161"/>
    <x v="1"/>
  </r>
  <r>
    <x v="38"/>
    <x v="0"/>
    <x v="124"/>
    <n v="1"/>
    <x v="0"/>
  </r>
  <r>
    <x v="38"/>
    <x v="0"/>
    <x v="294"/>
    <n v="1"/>
    <x v="0"/>
  </r>
  <r>
    <x v="38"/>
    <x v="0"/>
    <x v="220"/>
    <n v="3876"/>
    <x v="1"/>
  </r>
  <r>
    <x v="38"/>
    <x v="0"/>
    <x v="268"/>
    <n v="2878"/>
    <x v="1"/>
  </r>
  <r>
    <x v="38"/>
    <x v="0"/>
    <x v="0"/>
    <n v="38"/>
    <x v="0"/>
  </r>
  <r>
    <x v="38"/>
    <x v="0"/>
    <x v="53"/>
    <n v="174"/>
    <x v="1"/>
  </r>
  <r>
    <x v="38"/>
    <x v="0"/>
    <x v="183"/>
    <n v="3271"/>
    <x v="1"/>
  </r>
  <r>
    <x v="38"/>
    <x v="0"/>
    <x v="34"/>
    <n v="7"/>
    <x v="0"/>
  </r>
  <r>
    <x v="38"/>
    <x v="0"/>
    <x v="91"/>
    <n v="10"/>
    <x v="0"/>
  </r>
  <r>
    <x v="38"/>
    <x v="0"/>
    <x v="17"/>
    <n v="1125"/>
    <x v="1"/>
  </r>
  <r>
    <x v="38"/>
    <x v="0"/>
    <x v="115"/>
    <n v="4866"/>
    <x v="1"/>
  </r>
  <r>
    <x v="38"/>
    <x v="0"/>
    <x v="19"/>
    <n v="207"/>
    <x v="1"/>
  </r>
  <r>
    <x v="38"/>
    <x v="0"/>
    <x v="23"/>
    <n v="5"/>
    <x v="0"/>
  </r>
  <r>
    <x v="38"/>
    <x v="0"/>
    <x v="218"/>
    <n v="8"/>
    <x v="0"/>
  </r>
  <r>
    <x v="38"/>
    <x v="0"/>
    <x v="148"/>
    <n v="3003"/>
    <x v="1"/>
  </r>
  <r>
    <x v="38"/>
    <x v="0"/>
    <x v="107"/>
    <n v="4"/>
    <x v="0"/>
  </r>
  <r>
    <x v="38"/>
    <x v="0"/>
    <x v="68"/>
    <n v="7"/>
    <x v="0"/>
  </r>
  <r>
    <x v="38"/>
    <x v="0"/>
    <x v="141"/>
    <n v="2068"/>
    <x v="1"/>
  </r>
  <r>
    <x v="38"/>
    <x v="0"/>
    <x v="176"/>
    <n v="1"/>
    <x v="0"/>
  </r>
  <r>
    <x v="38"/>
    <x v="0"/>
    <x v="207"/>
    <n v="1"/>
    <x v="0"/>
  </r>
  <r>
    <x v="38"/>
    <x v="0"/>
    <x v="238"/>
    <n v="1"/>
    <x v="0"/>
  </r>
  <r>
    <x v="38"/>
    <x v="0"/>
    <x v="51"/>
    <n v="2263"/>
    <x v="1"/>
  </r>
  <r>
    <x v="38"/>
    <x v="0"/>
    <x v="7"/>
    <n v="1028"/>
    <x v="1"/>
  </r>
  <r>
    <x v="38"/>
    <x v="0"/>
    <x v="240"/>
    <n v="2276"/>
    <x v="1"/>
  </r>
  <r>
    <x v="38"/>
    <x v="0"/>
    <x v="190"/>
    <n v="3161"/>
    <x v="1"/>
  </r>
  <r>
    <x v="38"/>
    <x v="0"/>
    <x v="229"/>
    <n v="1207"/>
    <x v="1"/>
  </r>
  <r>
    <x v="38"/>
    <x v="0"/>
    <x v="103"/>
    <n v="34"/>
    <x v="0"/>
  </r>
  <r>
    <x v="38"/>
    <x v="0"/>
    <x v="263"/>
    <n v="1754"/>
    <x v="1"/>
  </r>
  <r>
    <x v="38"/>
    <x v="0"/>
    <x v="285"/>
    <n v="3367"/>
    <x v="1"/>
  </r>
  <r>
    <x v="38"/>
    <x v="0"/>
    <x v="254"/>
    <n v="2108"/>
    <x v="1"/>
  </r>
  <r>
    <x v="38"/>
    <x v="0"/>
    <x v="272"/>
    <n v="686"/>
    <x v="1"/>
  </r>
  <r>
    <x v="38"/>
    <x v="0"/>
    <x v="175"/>
    <n v="1"/>
    <x v="0"/>
  </r>
  <r>
    <x v="38"/>
    <x v="0"/>
    <x v="97"/>
    <n v="390"/>
    <x v="1"/>
  </r>
  <r>
    <x v="38"/>
    <x v="0"/>
    <x v="134"/>
    <n v="222"/>
    <x v="1"/>
  </r>
  <r>
    <x v="38"/>
    <x v="0"/>
    <x v="226"/>
    <n v="106"/>
    <x v="1"/>
  </r>
  <r>
    <x v="38"/>
    <x v="0"/>
    <x v="64"/>
    <n v="345"/>
    <x v="1"/>
  </r>
  <r>
    <x v="38"/>
    <x v="0"/>
    <x v="182"/>
    <n v="2465"/>
    <x v="1"/>
  </r>
  <r>
    <x v="38"/>
    <x v="0"/>
    <x v="189"/>
    <n v="3148"/>
    <x v="1"/>
  </r>
  <r>
    <x v="38"/>
    <x v="0"/>
    <x v="113"/>
    <n v="4"/>
    <x v="0"/>
  </r>
  <r>
    <x v="38"/>
    <x v="0"/>
    <x v="27"/>
    <n v="2474"/>
    <x v="1"/>
  </r>
  <r>
    <x v="39"/>
    <x v="0"/>
    <x v="248"/>
    <n v="3659"/>
    <x v="1"/>
  </r>
  <r>
    <x v="39"/>
    <x v="0"/>
    <x v="153"/>
    <n v="2149"/>
    <x v="1"/>
  </r>
  <r>
    <x v="39"/>
    <x v="0"/>
    <x v="189"/>
    <n v="3122"/>
    <x v="1"/>
  </r>
  <r>
    <x v="40"/>
    <x v="0"/>
    <x v="128"/>
    <n v="9"/>
    <x v="0"/>
  </r>
  <r>
    <x v="40"/>
    <x v="0"/>
    <x v="77"/>
    <n v="10"/>
    <x v="0"/>
  </r>
  <r>
    <x v="40"/>
    <x v="0"/>
    <x v="76"/>
    <n v="5"/>
    <x v="0"/>
  </r>
  <r>
    <x v="40"/>
    <x v="0"/>
    <x v="120"/>
    <n v="46"/>
    <x v="0"/>
  </r>
  <r>
    <x v="40"/>
    <x v="0"/>
    <x v="3"/>
    <n v="870"/>
    <x v="1"/>
  </r>
  <r>
    <x v="40"/>
    <x v="0"/>
    <x v="140"/>
    <n v="2458"/>
    <x v="1"/>
  </r>
  <r>
    <x v="39"/>
    <x v="0"/>
    <x v="245"/>
    <n v="3419"/>
    <x v="1"/>
  </r>
  <r>
    <x v="39"/>
    <x v="0"/>
    <x v="141"/>
    <n v="2015"/>
    <x v="1"/>
  </r>
  <r>
    <x v="39"/>
    <x v="0"/>
    <x v="257"/>
    <n v="91"/>
    <x v="0"/>
  </r>
  <r>
    <x v="40"/>
    <x v="0"/>
    <x v="153"/>
    <n v="119"/>
    <x v="1"/>
  </r>
  <r>
    <x v="40"/>
    <x v="0"/>
    <x v="258"/>
    <n v="2836"/>
    <x v="1"/>
  </r>
  <r>
    <x v="39"/>
    <x v="0"/>
    <x v="193"/>
    <n v="1409"/>
    <x v="1"/>
  </r>
  <r>
    <x v="40"/>
    <x v="0"/>
    <x v="221"/>
    <n v="7"/>
    <x v="0"/>
  </r>
  <r>
    <x v="39"/>
    <x v="0"/>
    <x v="136"/>
    <n v="3195"/>
    <x v="1"/>
  </r>
  <r>
    <x v="40"/>
    <x v="0"/>
    <x v="73"/>
    <n v="4"/>
    <x v="0"/>
  </r>
  <r>
    <x v="39"/>
    <x v="0"/>
    <x v="263"/>
    <n v="27"/>
    <x v="0"/>
  </r>
  <r>
    <x v="40"/>
    <x v="0"/>
    <x v="192"/>
    <n v="2758"/>
    <x v="1"/>
  </r>
  <r>
    <x v="40"/>
    <x v="0"/>
    <x v="280"/>
    <n v="49"/>
    <x v="0"/>
  </r>
  <r>
    <x v="39"/>
    <x v="0"/>
    <x v="1"/>
    <n v="27"/>
    <x v="0"/>
  </r>
  <r>
    <x v="40"/>
    <x v="0"/>
    <x v="32"/>
    <n v="1010"/>
    <x v="1"/>
  </r>
  <r>
    <x v="40"/>
    <x v="0"/>
    <x v="236"/>
    <n v="285"/>
    <x v="1"/>
  </r>
  <r>
    <x v="39"/>
    <x v="0"/>
    <x v="15"/>
    <n v="1"/>
    <x v="0"/>
  </r>
  <r>
    <x v="40"/>
    <x v="0"/>
    <x v="136"/>
    <n v="17"/>
    <x v="0"/>
  </r>
  <r>
    <x v="39"/>
    <x v="0"/>
    <x v="254"/>
    <n v="44"/>
    <x v="0"/>
  </r>
  <r>
    <x v="39"/>
    <x v="0"/>
    <x v="192"/>
    <n v="2672"/>
    <x v="1"/>
  </r>
  <r>
    <x v="39"/>
    <x v="0"/>
    <x v="75"/>
    <n v="141"/>
    <x v="1"/>
  </r>
  <r>
    <x v="40"/>
    <x v="0"/>
    <x v="127"/>
    <n v="84"/>
    <x v="0"/>
  </r>
  <r>
    <x v="39"/>
    <x v="0"/>
    <x v="221"/>
    <n v="11"/>
    <x v="0"/>
  </r>
  <r>
    <x v="39"/>
    <x v="0"/>
    <x v="107"/>
    <n v="4"/>
    <x v="0"/>
  </r>
  <r>
    <x v="39"/>
    <x v="0"/>
    <x v="111"/>
    <n v="2469"/>
    <x v="1"/>
  </r>
  <r>
    <x v="39"/>
    <x v="0"/>
    <x v="140"/>
    <n v="2489"/>
    <x v="1"/>
  </r>
  <r>
    <x v="40"/>
    <x v="0"/>
    <x v="150"/>
    <n v="2967"/>
    <x v="1"/>
  </r>
  <r>
    <x v="40"/>
    <x v="0"/>
    <x v="19"/>
    <n v="207"/>
    <x v="1"/>
  </r>
  <r>
    <x v="40"/>
    <x v="0"/>
    <x v="11"/>
    <n v="6"/>
    <x v="0"/>
  </r>
  <r>
    <x v="40"/>
    <x v="0"/>
    <x v="88"/>
    <n v="5"/>
    <x v="0"/>
  </r>
  <r>
    <x v="40"/>
    <x v="0"/>
    <x v="52"/>
    <n v="2428"/>
    <x v="1"/>
  </r>
  <r>
    <x v="39"/>
    <x v="0"/>
    <x v="159"/>
    <n v="1"/>
    <x v="0"/>
  </r>
  <r>
    <x v="39"/>
    <x v="0"/>
    <x v="129"/>
    <n v="967"/>
    <x v="1"/>
  </r>
  <r>
    <x v="39"/>
    <x v="0"/>
    <x v="53"/>
    <n v="128"/>
    <x v="1"/>
  </r>
  <r>
    <x v="40"/>
    <x v="0"/>
    <x v="207"/>
    <n v="1"/>
    <x v="0"/>
  </r>
  <r>
    <x v="40"/>
    <x v="0"/>
    <x v="47"/>
    <n v="752"/>
    <x v="1"/>
  </r>
  <r>
    <x v="39"/>
    <x v="0"/>
    <x v="264"/>
    <n v="1"/>
    <x v="0"/>
  </r>
  <r>
    <x v="39"/>
    <x v="0"/>
    <x v="23"/>
    <n v="10"/>
    <x v="0"/>
  </r>
  <r>
    <x v="39"/>
    <x v="0"/>
    <x v="128"/>
    <n v="1"/>
    <x v="0"/>
  </r>
  <r>
    <x v="39"/>
    <x v="0"/>
    <x v="17"/>
    <n v="871"/>
    <x v="1"/>
  </r>
  <r>
    <x v="40"/>
    <x v="0"/>
    <x v="241"/>
    <n v="1"/>
    <x v="0"/>
  </r>
  <r>
    <x v="39"/>
    <x v="0"/>
    <x v="253"/>
    <n v="3129"/>
    <x v="1"/>
  </r>
  <r>
    <x v="39"/>
    <x v="0"/>
    <x v="33"/>
    <n v="483"/>
    <x v="1"/>
  </r>
  <r>
    <x v="39"/>
    <x v="0"/>
    <x v="113"/>
    <n v="2455"/>
    <x v="1"/>
  </r>
  <r>
    <x v="39"/>
    <x v="0"/>
    <x v="204"/>
    <n v="1"/>
    <x v="0"/>
  </r>
  <r>
    <x v="40"/>
    <x v="0"/>
    <x v="30"/>
    <n v="1061"/>
    <x v="1"/>
  </r>
  <r>
    <x v="40"/>
    <x v="0"/>
    <x v="121"/>
    <n v="2716"/>
    <x v="1"/>
  </r>
  <r>
    <x v="40"/>
    <x v="0"/>
    <x v="288"/>
    <n v="1"/>
    <x v="0"/>
  </r>
  <r>
    <x v="40"/>
    <x v="0"/>
    <x v="10"/>
    <n v="169"/>
    <x v="1"/>
  </r>
  <r>
    <x v="39"/>
    <x v="0"/>
    <x v="236"/>
    <n v="360"/>
    <x v="1"/>
  </r>
  <r>
    <x v="39"/>
    <x v="0"/>
    <x v="134"/>
    <n v="655"/>
    <x v="1"/>
  </r>
  <r>
    <x v="40"/>
    <x v="0"/>
    <x v="50"/>
    <n v="293"/>
    <x v="1"/>
  </r>
  <r>
    <x v="40"/>
    <x v="0"/>
    <x v="9"/>
    <n v="1"/>
    <x v="0"/>
  </r>
  <r>
    <x v="39"/>
    <x v="0"/>
    <x v="184"/>
    <n v="2495"/>
    <x v="1"/>
  </r>
  <r>
    <x v="39"/>
    <x v="0"/>
    <x v="103"/>
    <n v="25"/>
    <x v="0"/>
  </r>
  <r>
    <x v="39"/>
    <x v="0"/>
    <x v="197"/>
    <n v="2394"/>
    <x v="1"/>
  </r>
  <r>
    <x v="40"/>
    <x v="0"/>
    <x v="59"/>
    <n v="56"/>
    <x v="0"/>
  </r>
  <r>
    <x v="39"/>
    <x v="0"/>
    <x v="183"/>
    <n v="3403"/>
    <x v="1"/>
  </r>
  <r>
    <x v="39"/>
    <x v="0"/>
    <x v="80"/>
    <n v="1"/>
    <x v="0"/>
  </r>
  <r>
    <x v="40"/>
    <x v="0"/>
    <x v="199"/>
    <n v="3416"/>
    <x v="1"/>
  </r>
  <r>
    <x v="39"/>
    <x v="0"/>
    <x v="37"/>
    <n v="283"/>
    <x v="1"/>
  </r>
  <r>
    <x v="40"/>
    <x v="0"/>
    <x v="46"/>
    <n v="2185"/>
    <x v="1"/>
  </r>
  <r>
    <x v="40"/>
    <x v="0"/>
    <x v="91"/>
    <n v="10"/>
    <x v="0"/>
  </r>
  <r>
    <x v="39"/>
    <x v="0"/>
    <x v="205"/>
    <n v="3"/>
    <x v="0"/>
  </r>
  <r>
    <x v="39"/>
    <x v="0"/>
    <x v="246"/>
    <n v="2453"/>
    <x v="1"/>
  </r>
  <r>
    <x v="39"/>
    <x v="0"/>
    <x v="57"/>
    <n v="10"/>
    <x v="0"/>
  </r>
  <r>
    <x v="40"/>
    <x v="0"/>
    <x v="235"/>
    <n v="7"/>
    <x v="0"/>
  </r>
  <r>
    <x v="39"/>
    <x v="0"/>
    <x v="247"/>
    <n v="92"/>
    <x v="0"/>
  </r>
  <r>
    <x v="39"/>
    <x v="0"/>
    <x v="14"/>
    <n v="2"/>
    <x v="0"/>
  </r>
  <r>
    <x v="39"/>
    <x v="0"/>
    <x v="41"/>
    <n v="1"/>
    <x v="0"/>
  </r>
  <r>
    <x v="39"/>
    <x v="0"/>
    <x v="123"/>
    <n v="2123"/>
    <x v="1"/>
  </r>
  <r>
    <x v="40"/>
    <x v="0"/>
    <x v="55"/>
    <n v="1"/>
    <x v="0"/>
  </r>
  <r>
    <x v="39"/>
    <x v="0"/>
    <x v="225"/>
    <n v="2"/>
    <x v="0"/>
  </r>
  <r>
    <x v="40"/>
    <x v="0"/>
    <x v="124"/>
    <n v="1"/>
    <x v="0"/>
  </r>
  <r>
    <x v="40"/>
    <x v="0"/>
    <x v="278"/>
    <n v="247"/>
    <x v="1"/>
  </r>
  <r>
    <x v="39"/>
    <x v="0"/>
    <x v="234"/>
    <n v="1484"/>
    <x v="1"/>
  </r>
  <r>
    <x v="40"/>
    <x v="0"/>
    <x v="184"/>
    <n v="2438"/>
    <x v="1"/>
  </r>
  <r>
    <x v="39"/>
    <x v="0"/>
    <x v="142"/>
    <n v="2367"/>
    <x v="1"/>
  </r>
  <r>
    <x v="39"/>
    <x v="0"/>
    <x v="74"/>
    <n v="2358"/>
    <x v="1"/>
  </r>
  <r>
    <x v="39"/>
    <x v="0"/>
    <x v="195"/>
    <n v="3"/>
    <x v="0"/>
  </r>
  <r>
    <x v="40"/>
    <x v="0"/>
    <x v="292"/>
    <n v="66"/>
    <x v="0"/>
  </r>
  <r>
    <x v="40"/>
    <x v="0"/>
    <x v="211"/>
    <n v="3"/>
    <x v="0"/>
  </r>
  <r>
    <x v="39"/>
    <x v="0"/>
    <x v="79"/>
    <n v="2562"/>
    <x v="1"/>
  </r>
  <r>
    <x v="39"/>
    <x v="0"/>
    <x v="160"/>
    <n v="2"/>
    <x v="0"/>
  </r>
  <r>
    <x v="39"/>
    <x v="0"/>
    <x v="167"/>
    <n v="2652"/>
    <x v="1"/>
  </r>
  <r>
    <x v="40"/>
    <x v="0"/>
    <x v="75"/>
    <n v="295"/>
    <x v="1"/>
  </r>
  <r>
    <x v="39"/>
    <x v="0"/>
    <x v="52"/>
    <n v="2570"/>
    <x v="1"/>
  </r>
  <r>
    <x v="40"/>
    <x v="0"/>
    <x v="51"/>
    <n v="2194"/>
    <x v="1"/>
  </r>
  <r>
    <x v="40"/>
    <x v="0"/>
    <x v="261"/>
    <n v="2061"/>
    <x v="1"/>
  </r>
  <r>
    <x v="40"/>
    <x v="0"/>
    <x v="255"/>
    <n v="5"/>
    <x v="0"/>
  </r>
  <r>
    <x v="40"/>
    <x v="0"/>
    <x v="220"/>
    <n v="3803"/>
    <x v="1"/>
  </r>
  <r>
    <x v="40"/>
    <x v="0"/>
    <x v="1"/>
    <n v="26"/>
    <x v="0"/>
  </r>
  <r>
    <x v="39"/>
    <x v="0"/>
    <x v="131"/>
    <n v="3273"/>
    <x v="1"/>
  </r>
  <r>
    <x v="39"/>
    <x v="0"/>
    <x v="222"/>
    <n v="1213"/>
    <x v="1"/>
  </r>
  <r>
    <x v="40"/>
    <x v="0"/>
    <x v="254"/>
    <n v="2044"/>
    <x v="1"/>
  </r>
  <r>
    <x v="39"/>
    <x v="0"/>
    <x v="171"/>
    <n v="2825"/>
    <x v="1"/>
  </r>
  <r>
    <x v="39"/>
    <x v="0"/>
    <x v="172"/>
    <n v="2788"/>
    <x v="1"/>
  </r>
  <r>
    <x v="40"/>
    <x v="0"/>
    <x v="27"/>
    <n v="2429"/>
    <x v="1"/>
  </r>
  <r>
    <x v="39"/>
    <x v="0"/>
    <x v="148"/>
    <n v="3194"/>
    <x v="1"/>
  </r>
  <r>
    <x v="39"/>
    <x v="0"/>
    <x v="238"/>
    <n v="1"/>
    <x v="0"/>
  </r>
  <r>
    <x v="39"/>
    <x v="0"/>
    <x v="116"/>
    <n v="2282"/>
    <x v="1"/>
  </r>
  <r>
    <x v="39"/>
    <x v="0"/>
    <x v="226"/>
    <n v="303"/>
    <x v="1"/>
  </r>
  <r>
    <x v="40"/>
    <x v="0"/>
    <x v="238"/>
    <n v="1"/>
    <x v="0"/>
  </r>
  <r>
    <x v="39"/>
    <x v="0"/>
    <x v="12"/>
    <n v="9"/>
    <x v="0"/>
  </r>
  <r>
    <x v="40"/>
    <x v="0"/>
    <x v="5"/>
    <n v="1"/>
    <x v="0"/>
  </r>
  <r>
    <x v="39"/>
    <x v="0"/>
    <x v="50"/>
    <n v="321"/>
    <x v="1"/>
  </r>
  <r>
    <x v="39"/>
    <x v="0"/>
    <x v="9"/>
    <n v="1"/>
    <x v="0"/>
  </r>
  <r>
    <x v="39"/>
    <x v="0"/>
    <x v="93"/>
    <n v="411"/>
    <x v="1"/>
  </r>
  <r>
    <x v="40"/>
    <x v="0"/>
    <x v="106"/>
    <n v="2"/>
    <x v="0"/>
  </r>
  <r>
    <x v="39"/>
    <x v="0"/>
    <x v="146"/>
    <n v="3029"/>
    <x v="1"/>
  </r>
  <r>
    <x v="39"/>
    <x v="0"/>
    <x v="2"/>
    <n v="2561"/>
    <x v="1"/>
  </r>
  <r>
    <x v="40"/>
    <x v="0"/>
    <x v="245"/>
    <n v="3458"/>
    <x v="1"/>
  </r>
  <r>
    <x v="40"/>
    <x v="0"/>
    <x v="105"/>
    <n v="488"/>
    <x v="1"/>
  </r>
  <r>
    <x v="40"/>
    <x v="0"/>
    <x v="291"/>
    <n v="73"/>
    <x v="0"/>
  </r>
  <r>
    <x v="40"/>
    <x v="0"/>
    <x v="181"/>
    <n v="1521"/>
    <x v="1"/>
  </r>
  <r>
    <x v="40"/>
    <x v="0"/>
    <x v="279"/>
    <n v="114"/>
    <x v="1"/>
  </r>
  <r>
    <x v="40"/>
    <x v="0"/>
    <x v="90"/>
    <n v="2"/>
    <x v="0"/>
  </r>
  <r>
    <x v="39"/>
    <x v="0"/>
    <x v="18"/>
    <n v="1"/>
    <x v="0"/>
  </r>
  <r>
    <x v="40"/>
    <x v="0"/>
    <x v="169"/>
    <n v="2"/>
    <x v="0"/>
  </r>
  <r>
    <x v="40"/>
    <x v="0"/>
    <x v="212"/>
    <n v="3"/>
    <x v="0"/>
  </r>
  <r>
    <x v="40"/>
    <x v="0"/>
    <x v="183"/>
    <n v="3237"/>
    <x v="1"/>
  </r>
  <r>
    <x v="40"/>
    <x v="0"/>
    <x v="188"/>
    <n v="2473"/>
    <x v="1"/>
  </r>
  <r>
    <x v="39"/>
    <x v="0"/>
    <x v="102"/>
    <n v="2891"/>
    <x v="1"/>
  </r>
  <r>
    <x v="40"/>
    <x v="0"/>
    <x v="162"/>
    <n v="5"/>
    <x v="0"/>
  </r>
  <r>
    <x v="39"/>
    <x v="0"/>
    <x v="188"/>
    <n v="2567"/>
    <x v="1"/>
  </r>
  <r>
    <x v="39"/>
    <x v="0"/>
    <x v="124"/>
    <n v="721"/>
    <x v="1"/>
  </r>
  <r>
    <x v="40"/>
    <x v="0"/>
    <x v="247"/>
    <n v="1351"/>
    <x v="1"/>
  </r>
  <r>
    <x v="39"/>
    <x v="0"/>
    <x v="54"/>
    <n v="8"/>
    <x v="0"/>
  </r>
  <r>
    <x v="39"/>
    <x v="0"/>
    <x v="28"/>
    <n v="2435"/>
    <x v="1"/>
  </r>
  <r>
    <x v="40"/>
    <x v="0"/>
    <x v="300"/>
    <n v="25"/>
    <x v="0"/>
  </r>
  <r>
    <x v="39"/>
    <x v="0"/>
    <x v="239"/>
    <n v="2924"/>
    <x v="1"/>
  </r>
  <r>
    <x v="40"/>
    <x v="0"/>
    <x v="185"/>
    <n v="3322"/>
    <x v="1"/>
  </r>
  <r>
    <x v="39"/>
    <x v="0"/>
    <x v="8"/>
    <n v="2198"/>
    <x v="1"/>
  </r>
  <r>
    <x v="40"/>
    <x v="0"/>
    <x v="40"/>
    <n v="2"/>
    <x v="0"/>
  </r>
  <r>
    <x v="39"/>
    <x v="0"/>
    <x v="207"/>
    <n v="2"/>
    <x v="0"/>
  </r>
  <r>
    <x v="39"/>
    <x v="0"/>
    <x v="135"/>
    <n v="2185"/>
    <x v="1"/>
  </r>
  <r>
    <x v="39"/>
    <x v="0"/>
    <x v="59"/>
    <n v="46"/>
    <x v="0"/>
  </r>
  <r>
    <x v="40"/>
    <x v="0"/>
    <x v="24"/>
    <n v="3"/>
    <x v="0"/>
  </r>
  <r>
    <x v="40"/>
    <x v="0"/>
    <x v="234"/>
    <n v="1601"/>
    <x v="1"/>
  </r>
  <r>
    <x v="39"/>
    <x v="0"/>
    <x v="120"/>
    <n v="53"/>
    <x v="0"/>
  </r>
  <r>
    <x v="40"/>
    <x v="0"/>
    <x v="13"/>
    <n v="1"/>
    <x v="0"/>
  </r>
  <r>
    <x v="40"/>
    <x v="0"/>
    <x v="168"/>
    <n v="1976"/>
    <x v="1"/>
  </r>
  <r>
    <x v="39"/>
    <x v="0"/>
    <x v="244"/>
    <n v="82"/>
    <x v="0"/>
  </r>
  <r>
    <x v="39"/>
    <x v="0"/>
    <x v="212"/>
    <n v="4"/>
    <x v="0"/>
  </r>
  <r>
    <x v="40"/>
    <x v="0"/>
    <x v="139"/>
    <n v="2872"/>
    <x v="1"/>
  </r>
  <r>
    <x v="40"/>
    <x v="0"/>
    <x v="175"/>
    <n v="1"/>
    <x v="0"/>
  </r>
  <r>
    <x v="39"/>
    <x v="0"/>
    <x v="157"/>
    <n v="3"/>
    <x v="0"/>
  </r>
  <r>
    <x v="40"/>
    <x v="0"/>
    <x v="179"/>
    <n v="8"/>
    <x v="0"/>
  </r>
  <r>
    <x v="39"/>
    <x v="0"/>
    <x v="62"/>
    <n v="589"/>
    <x v="1"/>
  </r>
  <r>
    <x v="40"/>
    <x v="0"/>
    <x v="87"/>
    <n v="2305"/>
    <x v="1"/>
  </r>
  <r>
    <x v="39"/>
    <x v="0"/>
    <x v="233"/>
    <n v="1"/>
    <x v="0"/>
  </r>
  <r>
    <x v="39"/>
    <x v="0"/>
    <x v="95"/>
    <n v="2987"/>
    <x v="1"/>
  </r>
  <r>
    <x v="40"/>
    <x v="0"/>
    <x v="14"/>
    <n v="3"/>
    <x v="0"/>
  </r>
  <r>
    <x v="40"/>
    <x v="0"/>
    <x v="240"/>
    <n v="2227"/>
    <x v="1"/>
  </r>
  <r>
    <x v="39"/>
    <x v="0"/>
    <x v="242"/>
    <n v="80"/>
    <x v="0"/>
  </r>
  <r>
    <x v="40"/>
    <x v="0"/>
    <x v="79"/>
    <n v="1995"/>
    <x v="1"/>
  </r>
  <r>
    <x v="39"/>
    <x v="0"/>
    <x v="64"/>
    <n v="341"/>
    <x v="1"/>
  </r>
  <r>
    <x v="39"/>
    <x v="0"/>
    <x v="84"/>
    <n v="13"/>
    <x v="0"/>
  </r>
  <r>
    <x v="39"/>
    <x v="0"/>
    <x v="85"/>
    <n v="348"/>
    <x v="1"/>
  </r>
  <r>
    <x v="39"/>
    <x v="0"/>
    <x v="86"/>
    <n v="3165"/>
    <x v="1"/>
  </r>
  <r>
    <x v="39"/>
    <x v="0"/>
    <x v="164"/>
    <n v="110"/>
    <x v="1"/>
  </r>
  <r>
    <x v="40"/>
    <x v="0"/>
    <x v="264"/>
    <n v="1"/>
    <x v="0"/>
  </r>
  <r>
    <x v="40"/>
    <x v="0"/>
    <x v="272"/>
    <n v="690"/>
    <x v="1"/>
  </r>
  <r>
    <x v="39"/>
    <x v="0"/>
    <x v="69"/>
    <n v="2521"/>
    <x v="1"/>
  </r>
  <r>
    <x v="40"/>
    <x v="0"/>
    <x v="25"/>
    <n v="7"/>
    <x v="0"/>
  </r>
  <r>
    <x v="40"/>
    <x v="0"/>
    <x v="226"/>
    <n v="106"/>
    <x v="1"/>
  </r>
  <r>
    <x v="40"/>
    <x v="0"/>
    <x v="176"/>
    <n v="1"/>
    <x v="0"/>
  </r>
  <r>
    <x v="39"/>
    <x v="0"/>
    <x v="158"/>
    <n v="2"/>
    <x v="0"/>
  </r>
  <r>
    <x v="40"/>
    <x v="0"/>
    <x v="16"/>
    <n v="1"/>
    <x v="0"/>
  </r>
  <r>
    <x v="40"/>
    <x v="0"/>
    <x v="265"/>
    <n v="1"/>
    <x v="0"/>
  </r>
  <r>
    <x v="40"/>
    <x v="0"/>
    <x v="242"/>
    <n v="176"/>
    <x v="1"/>
  </r>
  <r>
    <x v="39"/>
    <x v="0"/>
    <x v="27"/>
    <n v="2438"/>
    <x v="1"/>
  </r>
  <r>
    <x v="40"/>
    <x v="0"/>
    <x v="157"/>
    <n v="4"/>
    <x v="0"/>
  </r>
  <r>
    <x v="40"/>
    <x v="0"/>
    <x v="84"/>
    <n v="11"/>
    <x v="0"/>
  </r>
  <r>
    <x v="40"/>
    <x v="0"/>
    <x v="231"/>
    <n v="3"/>
    <x v="0"/>
  </r>
  <r>
    <x v="40"/>
    <x v="0"/>
    <x v="133"/>
    <n v="321"/>
    <x v="1"/>
  </r>
  <r>
    <x v="39"/>
    <x v="0"/>
    <x v="44"/>
    <n v="2977"/>
    <x v="1"/>
  </r>
  <r>
    <x v="39"/>
    <x v="0"/>
    <x v="147"/>
    <n v="643"/>
    <x v="1"/>
  </r>
  <r>
    <x v="39"/>
    <x v="0"/>
    <x v="173"/>
    <n v="1"/>
    <x v="0"/>
  </r>
  <r>
    <x v="39"/>
    <x v="0"/>
    <x v="229"/>
    <n v="947"/>
    <x v="1"/>
  </r>
  <r>
    <x v="40"/>
    <x v="0"/>
    <x v="249"/>
    <n v="95"/>
    <x v="0"/>
  </r>
  <r>
    <x v="40"/>
    <x v="0"/>
    <x v="295"/>
    <n v="26"/>
    <x v="0"/>
  </r>
  <r>
    <x v="39"/>
    <x v="0"/>
    <x v="73"/>
    <n v="681"/>
    <x v="1"/>
  </r>
  <r>
    <x v="40"/>
    <x v="0"/>
    <x v="177"/>
    <n v="6"/>
    <x v="0"/>
  </r>
  <r>
    <x v="39"/>
    <x v="0"/>
    <x v="199"/>
    <n v="3337"/>
    <x v="1"/>
  </r>
  <r>
    <x v="40"/>
    <x v="0"/>
    <x v="252"/>
    <n v="2804"/>
    <x v="1"/>
  </r>
  <r>
    <x v="40"/>
    <x v="0"/>
    <x v="63"/>
    <n v="776"/>
    <x v="1"/>
  </r>
  <r>
    <x v="40"/>
    <x v="0"/>
    <x v="232"/>
    <n v="2561"/>
    <x v="1"/>
  </r>
  <r>
    <x v="39"/>
    <x v="0"/>
    <x v="137"/>
    <n v="1583"/>
    <x v="1"/>
  </r>
  <r>
    <x v="39"/>
    <x v="0"/>
    <x v="218"/>
    <n v="10"/>
    <x v="0"/>
  </r>
  <r>
    <x v="39"/>
    <x v="0"/>
    <x v="220"/>
    <n v="4025"/>
    <x v="1"/>
  </r>
  <r>
    <x v="40"/>
    <x v="0"/>
    <x v="117"/>
    <n v="2421"/>
    <x v="1"/>
  </r>
  <r>
    <x v="40"/>
    <x v="0"/>
    <x v="15"/>
    <n v="1"/>
    <x v="0"/>
  </r>
  <r>
    <x v="39"/>
    <x v="0"/>
    <x v="43"/>
    <n v="9"/>
    <x v="0"/>
  </r>
  <r>
    <x v="39"/>
    <x v="0"/>
    <x v="47"/>
    <n v="589"/>
    <x v="1"/>
  </r>
  <r>
    <x v="39"/>
    <x v="0"/>
    <x v="38"/>
    <n v="3377"/>
    <x v="1"/>
  </r>
  <r>
    <x v="40"/>
    <x v="0"/>
    <x v="53"/>
    <n v="182"/>
    <x v="1"/>
  </r>
  <r>
    <x v="40"/>
    <x v="0"/>
    <x v="256"/>
    <n v="2125"/>
    <x v="1"/>
  </r>
  <r>
    <x v="40"/>
    <x v="0"/>
    <x v="269"/>
    <n v="1"/>
    <x v="0"/>
  </r>
  <r>
    <x v="39"/>
    <x v="0"/>
    <x v="5"/>
    <n v="1"/>
    <x v="0"/>
  </r>
  <r>
    <x v="40"/>
    <x v="0"/>
    <x v="111"/>
    <n v="2329"/>
    <x v="1"/>
  </r>
  <r>
    <x v="39"/>
    <x v="0"/>
    <x v="126"/>
    <n v="67"/>
    <x v="0"/>
  </r>
  <r>
    <x v="39"/>
    <x v="0"/>
    <x v="4"/>
    <n v="4"/>
    <x v="0"/>
  </r>
  <r>
    <x v="40"/>
    <x v="0"/>
    <x v="271"/>
    <n v="115"/>
    <x v="1"/>
  </r>
  <r>
    <x v="40"/>
    <x v="0"/>
    <x v="229"/>
    <n v="1230"/>
    <x v="1"/>
  </r>
  <r>
    <x v="40"/>
    <x v="0"/>
    <x v="143"/>
    <n v="3972"/>
    <x v="1"/>
  </r>
  <r>
    <x v="39"/>
    <x v="0"/>
    <x v="144"/>
    <n v="183"/>
    <x v="1"/>
  </r>
  <r>
    <x v="39"/>
    <x v="0"/>
    <x v="99"/>
    <n v="2449"/>
    <x v="1"/>
  </r>
  <r>
    <x v="40"/>
    <x v="0"/>
    <x v="131"/>
    <n v="5"/>
    <x v="0"/>
  </r>
  <r>
    <x v="39"/>
    <x v="0"/>
    <x v="260"/>
    <n v="38"/>
    <x v="0"/>
  </r>
  <r>
    <x v="40"/>
    <x v="0"/>
    <x v="95"/>
    <n v="2883"/>
    <x v="1"/>
  </r>
  <r>
    <x v="40"/>
    <x v="0"/>
    <x v="186"/>
    <n v="1622"/>
    <x v="1"/>
  </r>
  <r>
    <x v="40"/>
    <x v="0"/>
    <x v="268"/>
    <n v="2862"/>
    <x v="1"/>
  </r>
  <r>
    <x v="40"/>
    <x v="0"/>
    <x v="109"/>
    <n v="4"/>
    <x v="0"/>
  </r>
  <r>
    <x v="40"/>
    <x v="0"/>
    <x v="299"/>
    <n v="4"/>
    <x v="0"/>
  </r>
  <r>
    <x v="39"/>
    <x v="0"/>
    <x v="21"/>
    <n v="3035"/>
    <x v="1"/>
  </r>
  <r>
    <x v="39"/>
    <x v="0"/>
    <x v="55"/>
    <n v="1"/>
    <x v="0"/>
  </r>
  <r>
    <x v="40"/>
    <x v="0"/>
    <x v="35"/>
    <n v="23"/>
    <x v="0"/>
  </r>
  <r>
    <x v="40"/>
    <x v="0"/>
    <x v="290"/>
    <n v="2"/>
    <x v="0"/>
  </r>
  <r>
    <x v="40"/>
    <x v="0"/>
    <x v="123"/>
    <n v="2191"/>
    <x v="1"/>
  </r>
  <r>
    <x v="40"/>
    <x v="0"/>
    <x v="301"/>
    <n v="23"/>
    <x v="0"/>
  </r>
  <r>
    <x v="40"/>
    <x v="0"/>
    <x v="144"/>
    <n v="156"/>
    <x v="1"/>
  </r>
  <r>
    <x v="40"/>
    <x v="0"/>
    <x v="296"/>
    <n v="34"/>
    <x v="0"/>
  </r>
  <r>
    <x v="40"/>
    <x v="0"/>
    <x v="134"/>
    <n v="222"/>
    <x v="1"/>
  </r>
  <r>
    <x v="39"/>
    <x v="0"/>
    <x v="10"/>
    <n v="666"/>
    <x v="1"/>
  </r>
  <r>
    <x v="40"/>
    <x v="0"/>
    <x v="286"/>
    <n v="4"/>
    <x v="0"/>
  </r>
  <r>
    <x v="40"/>
    <x v="0"/>
    <x v="112"/>
    <n v="1"/>
    <x v="0"/>
  </r>
  <r>
    <x v="40"/>
    <x v="0"/>
    <x v="83"/>
    <n v="4"/>
    <x v="0"/>
  </r>
  <r>
    <x v="39"/>
    <x v="0"/>
    <x v="98"/>
    <n v="20"/>
    <x v="0"/>
  </r>
  <r>
    <x v="39"/>
    <x v="0"/>
    <x v="259"/>
    <n v="1"/>
    <x v="0"/>
  </r>
  <r>
    <x v="40"/>
    <x v="0"/>
    <x v="132"/>
    <n v="3"/>
    <x v="0"/>
  </r>
  <r>
    <x v="40"/>
    <x v="0"/>
    <x v="72"/>
    <n v="1"/>
    <x v="0"/>
  </r>
  <r>
    <x v="40"/>
    <x v="0"/>
    <x v="239"/>
    <n v="2861"/>
    <x v="1"/>
  </r>
  <r>
    <x v="39"/>
    <x v="0"/>
    <x v="196"/>
    <n v="1"/>
    <x v="0"/>
  </r>
  <r>
    <x v="40"/>
    <x v="0"/>
    <x v="44"/>
    <n v="2776"/>
    <x v="1"/>
  </r>
  <r>
    <x v="40"/>
    <x v="0"/>
    <x v="33"/>
    <n v="555"/>
    <x v="1"/>
  </r>
  <r>
    <x v="40"/>
    <x v="0"/>
    <x v="96"/>
    <n v="28"/>
    <x v="0"/>
  </r>
  <r>
    <x v="39"/>
    <x v="0"/>
    <x v="65"/>
    <n v="483"/>
    <x v="1"/>
  </r>
  <r>
    <x v="40"/>
    <x v="0"/>
    <x v="12"/>
    <n v="9"/>
    <x v="0"/>
  </r>
  <r>
    <x v="40"/>
    <x v="0"/>
    <x v="135"/>
    <n v="3425"/>
    <x v="1"/>
  </r>
  <r>
    <x v="39"/>
    <x v="0"/>
    <x v="91"/>
    <n v="11"/>
    <x v="0"/>
  </r>
  <r>
    <x v="39"/>
    <x v="0"/>
    <x v="70"/>
    <n v="6"/>
    <x v="0"/>
  </r>
  <r>
    <x v="39"/>
    <x v="0"/>
    <x v="105"/>
    <n v="521"/>
    <x v="1"/>
  </r>
  <r>
    <x v="40"/>
    <x v="0"/>
    <x v="41"/>
    <n v="1"/>
    <x v="0"/>
  </r>
  <r>
    <x v="39"/>
    <x v="0"/>
    <x v="258"/>
    <n v="2818"/>
    <x v="1"/>
  </r>
  <r>
    <x v="39"/>
    <x v="0"/>
    <x v="251"/>
    <n v="48"/>
    <x v="0"/>
  </r>
  <r>
    <x v="39"/>
    <x v="0"/>
    <x v="61"/>
    <n v="167"/>
    <x v="1"/>
  </r>
  <r>
    <x v="40"/>
    <x v="0"/>
    <x v="154"/>
    <n v="1382"/>
    <x v="1"/>
  </r>
  <r>
    <x v="40"/>
    <x v="0"/>
    <x v="65"/>
    <n v="451"/>
    <x v="1"/>
  </r>
  <r>
    <x v="40"/>
    <x v="0"/>
    <x v="283"/>
    <n v="3371"/>
    <x v="1"/>
  </r>
  <r>
    <x v="39"/>
    <x v="0"/>
    <x v="190"/>
    <n v="1666"/>
    <x v="1"/>
  </r>
  <r>
    <x v="40"/>
    <x v="0"/>
    <x v="285"/>
    <n v="3315"/>
    <x v="1"/>
  </r>
  <r>
    <x v="40"/>
    <x v="0"/>
    <x v="218"/>
    <n v="7"/>
    <x v="0"/>
  </r>
  <r>
    <x v="40"/>
    <x v="0"/>
    <x v="251"/>
    <n v="737"/>
    <x v="1"/>
  </r>
  <r>
    <x v="39"/>
    <x v="0"/>
    <x v="32"/>
    <n v="2260"/>
    <x v="1"/>
  </r>
  <r>
    <x v="39"/>
    <x v="0"/>
    <x v="3"/>
    <n v="879"/>
    <x v="1"/>
  </r>
  <r>
    <x v="40"/>
    <x v="0"/>
    <x v="167"/>
    <n v="2547"/>
    <x v="1"/>
  </r>
  <r>
    <x v="40"/>
    <x v="0"/>
    <x v="275"/>
    <n v="64"/>
    <x v="0"/>
  </r>
  <r>
    <x v="39"/>
    <x v="0"/>
    <x v="203"/>
    <n v="1"/>
    <x v="0"/>
  </r>
  <r>
    <x v="40"/>
    <x v="0"/>
    <x v="54"/>
    <n v="8"/>
    <x v="0"/>
  </r>
  <r>
    <x v="40"/>
    <x v="0"/>
    <x v="189"/>
    <n v="2875"/>
    <x v="1"/>
  </r>
  <r>
    <x v="40"/>
    <x v="0"/>
    <x v="57"/>
    <n v="11"/>
    <x v="0"/>
  </r>
  <r>
    <x v="39"/>
    <x v="0"/>
    <x v="29"/>
    <n v="2"/>
    <x v="0"/>
  </r>
  <r>
    <x v="39"/>
    <x v="0"/>
    <x v="20"/>
    <n v="7"/>
    <x v="0"/>
  </r>
  <r>
    <x v="40"/>
    <x v="0"/>
    <x v="246"/>
    <n v="2489"/>
    <x v="1"/>
  </r>
  <r>
    <x v="39"/>
    <x v="0"/>
    <x v="45"/>
    <n v="10"/>
    <x v="0"/>
  </r>
  <r>
    <x v="39"/>
    <x v="0"/>
    <x v="110"/>
    <n v="4"/>
    <x v="0"/>
  </r>
  <r>
    <x v="40"/>
    <x v="0"/>
    <x v="126"/>
    <n v="41"/>
    <x v="0"/>
  </r>
  <r>
    <x v="40"/>
    <x v="0"/>
    <x v="116"/>
    <n v="2279"/>
    <x v="1"/>
  </r>
  <r>
    <x v="39"/>
    <x v="0"/>
    <x v="250"/>
    <n v="104"/>
    <x v="1"/>
  </r>
  <r>
    <x v="39"/>
    <x v="0"/>
    <x v="104"/>
    <n v="2"/>
    <x v="0"/>
  </r>
  <r>
    <x v="39"/>
    <x v="0"/>
    <x v="152"/>
    <n v="3037"/>
    <x v="1"/>
  </r>
  <r>
    <x v="39"/>
    <x v="0"/>
    <x v="13"/>
    <n v="1"/>
    <x v="0"/>
  </r>
  <r>
    <x v="40"/>
    <x v="0"/>
    <x v="293"/>
    <n v="2"/>
    <x v="0"/>
  </r>
  <r>
    <x v="39"/>
    <x v="0"/>
    <x v="25"/>
    <n v="9"/>
    <x v="0"/>
  </r>
  <r>
    <x v="39"/>
    <x v="0"/>
    <x v="118"/>
    <n v="2650"/>
    <x v="1"/>
  </r>
  <r>
    <x v="39"/>
    <x v="0"/>
    <x v="235"/>
    <n v="8"/>
    <x v="0"/>
  </r>
  <r>
    <x v="40"/>
    <x v="0"/>
    <x v="115"/>
    <n v="4799"/>
    <x v="1"/>
  </r>
  <r>
    <x v="39"/>
    <x v="0"/>
    <x v="252"/>
    <n v="2679"/>
    <x v="1"/>
  </r>
  <r>
    <x v="39"/>
    <x v="0"/>
    <x v="150"/>
    <n v="3122"/>
    <x v="1"/>
  </r>
  <r>
    <x v="39"/>
    <x v="0"/>
    <x v="31"/>
    <n v="8"/>
    <x v="0"/>
  </r>
  <r>
    <x v="40"/>
    <x v="0"/>
    <x v="38"/>
    <n v="1748"/>
    <x v="1"/>
  </r>
  <r>
    <x v="40"/>
    <x v="0"/>
    <x v="172"/>
    <n v="2806"/>
    <x v="1"/>
  </r>
  <r>
    <x v="40"/>
    <x v="0"/>
    <x v="198"/>
    <n v="198"/>
    <x v="1"/>
  </r>
  <r>
    <x v="40"/>
    <x v="0"/>
    <x v="113"/>
    <n v="4"/>
    <x v="0"/>
  </r>
  <r>
    <x v="40"/>
    <x v="0"/>
    <x v="196"/>
    <n v="1"/>
    <x v="0"/>
  </r>
  <r>
    <x v="40"/>
    <x v="0"/>
    <x v="197"/>
    <n v="2327"/>
    <x v="1"/>
  </r>
  <r>
    <x v="39"/>
    <x v="0"/>
    <x v="241"/>
    <n v="1"/>
    <x v="0"/>
  </r>
  <r>
    <x v="40"/>
    <x v="0"/>
    <x v="164"/>
    <n v="125"/>
    <x v="1"/>
  </r>
  <r>
    <x v="39"/>
    <x v="0"/>
    <x v="179"/>
    <n v="5"/>
    <x v="0"/>
  </r>
  <r>
    <x v="40"/>
    <x v="0"/>
    <x v="274"/>
    <n v="3096"/>
    <x v="1"/>
  </r>
  <r>
    <x v="39"/>
    <x v="0"/>
    <x v="127"/>
    <n v="3587"/>
    <x v="1"/>
  </r>
  <r>
    <x v="40"/>
    <x v="0"/>
    <x v="276"/>
    <n v="2116"/>
    <x v="1"/>
  </r>
  <r>
    <x v="39"/>
    <x v="0"/>
    <x v="249"/>
    <n v="33"/>
    <x v="0"/>
  </r>
  <r>
    <x v="40"/>
    <x v="0"/>
    <x v="260"/>
    <n v="296"/>
    <x v="1"/>
  </r>
  <r>
    <x v="40"/>
    <x v="0"/>
    <x v="148"/>
    <n v="2989"/>
    <x v="1"/>
  </r>
  <r>
    <x v="40"/>
    <x v="0"/>
    <x v="45"/>
    <n v="24"/>
    <x v="0"/>
  </r>
  <r>
    <x v="40"/>
    <x v="0"/>
    <x v="93"/>
    <n v="687"/>
    <x v="1"/>
  </r>
  <r>
    <x v="40"/>
    <x v="0"/>
    <x v="203"/>
    <n v="1"/>
    <x v="0"/>
  </r>
  <r>
    <x v="39"/>
    <x v="0"/>
    <x v="77"/>
    <n v="4"/>
    <x v="0"/>
  </r>
  <r>
    <x v="39"/>
    <x v="0"/>
    <x v="16"/>
    <n v="1"/>
    <x v="0"/>
  </r>
  <r>
    <x v="39"/>
    <x v="0"/>
    <x v="165"/>
    <n v="1"/>
    <x v="0"/>
  </r>
  <r>
    <x v="40"/>
    <x v="0"/>
    <x v="146"/>
    <n v="2976"/>
    <x v="1"/>
  </r>
  <r>
    <x v="39"/>
    <x v="0"/>
    <x v="87"/>
    <n v="2565"/>
    <x v="1"/>
  </r>
  <r>
    <x v="39"/>
    <x v="0"/>
    <x v="97"/>
    <n v="374"/>
    <x v="1"/>
  </r>
  <r>
    <x v="39"/>
    <x v="0"/>
    <x v="191"/>
    <n v="2102"/>
    <x v="1"/>
  </r>
  <r>
    <x v="40"/>
    <x v="0"/>
    <x v="58"/>
    <n v="3015"/>
    <x v="1"/>
  </r>
  <r>
    <x v="40"/>
    <x v="0"/>
    <x v="34"/>
    <n v="7"/>
    <x v="0"/>
  </r>
  <r>
    <x v="40"/>
    <x v="0"/>
    <x v="110"/>
    <n v="2"/>
    <x v="0"/>
  </r>
  <r>
    <x v="40"/>
    <x v="0"/>
    <x v="70"/>
    <n v="7"/>
    <x v="0"/>
  </r>
  <r>
    <x v="40"/>
    <x v="0"/>
    <x v="263"/>
    <n v="1664"/>
    <x v="1"/>
  </r>
  <r>
    <x v="39"/>
    <x v="0"/>
    <x v="115"/>
    <n v="5014"/>
    <x v="1"/>
  </r>
  <r>
    <x v="40"/>
    <x v="0"/>
    <x v="17"/>
    <n v="1116"/>
    <x v="1"/>
  </r>
  <r>
    <x v="40"/>
    <x v="0"/>
    <x v="22"/>
    <n v="3580"/>
    <x v="1"/>
  </r>
  <r>
    <x v="39"/>
    <x v="0"/>
    <x v="0"/>
    <n v="45"/>
    <x v="0"/>
  </r>
  <r>
    <x v="39"/>
    <x v="0"/>
    <x v="154"/>
    <n v="1483"/>
    <x v="1"/>
  </r>
  <r>
    <x v="40"/>
    <x v="0"/>
    <x v="64"/>
    <n v="344"/>
    <x v="1"/>
  </r>
  <r>
    <x v="40"/>
    <x v="0"/>
    <x v="137"/>
    <n v="1678"/>
    <x v="1"/>
  </r>
  <r>
    <x v="40"/>
    <x v="0"/>
    <x v="4"/>
    <n v="2"/>
    <x v="0"/>
  </r>
  <r>
    <x v="40"/>
    <x v="0"/>
    <x v="62"/>
    <n v="550"/>
    <x v="1"/>
  </r>
  <r>
    <x v="40"/>
    <x v="0"/>
    <x v="29"/>
    <n v="2"/>
    <x v="0"/>
  </r>
  <r>
    <x v="40"/>
    <x v="0"/>
    <x v="277"/>
    <n v="784"/>
    <x v="1"/>
  </r>
  <r>
    <x v="40"/>
    <x v="0"/>
    <x v="233"/>
    <n v="1"/>
    <x v="0"/>
  </r>
  <r>
    <x v="40"/>
    <x v="0"/>
    <x v="298"/>
    <n v="3206"/>
    <x v="1"/>
  </r>
  <r>
    <x v="39"/>
    <x v="0"/>
    <x v="186"/>
    <n v="1695"/>
    <x v="1"/>
  </r>
  <r>
    <x v="40"/>
    <x v="0"/>
    <x v="250"/>
    <n v="2139"/>
    <x v="1"/>
  </r>
  <r>
    <x v="40"/>
    <x v="0"/>
    <x v="174"/>
    <n v="4"/>
    <x v="0"/>
  </r>
  <r>
    <x v="39"/>
    <x v="0"/>
    <x v="94"/>
    <n v="278"/>
    <x v="1"/>
  </r>
  <r>
    <x v="39"/>
    <x v="0"/>
    <x v="143"/>
    <n v="3600"/>
    <x v="1"/>
  </r>
  <r>
    <x v="39"/>
    <x v="0"/>
    <x v="187"/>
    <n v="1948"/>
    <x v="1"/>
  </r>
  <r>
    <x v="40"/>
    <x v="0"/>
    <x v="297"/>
    <n v="2853"/>
    <x v="1"/>
  </r>
  <r>
    <x v="40"/>
    <x v="0"/>
    <x v="243"/>
    <n v="449"/>
    <x v="1"/>
  </r>
  <r>
    <x v="39"/>
    <x v="0"/>
    <x v="71"/>
    <n v="3429"/>
    <x v="1"/>
  </r>
  <r>
    <x v="39"/>
    <x v="0"/>
    <x v="177"/>
    <n v="6"/>
    <x v="0"/>
  </r>
  <r>
    <x v="40"/>
    <x v="0"/>
    <x v="2"/>
    <n v="2575"/>
    <x v="1"/>
  </r>
  <r>
    <x v="39"/>
    <x v="0"/>
    <x v="243"/>
    <n v="193"/>
    <x v="1"/>
  </r>
  <r>
    <x v="39"/>
    <x v="0"/>
    <x v="133"/>
    <n v="6"/>
    <x v="0"/>
  </r>
  <r>
    <x v="40"/>
    <x v="0"/>
    <x v="89"/>
    <n v="1861"/>
    <x v="1"/>
  </r>
  <r>
    <x v="39"/>
    <x v="0"/>
    <x v="83"/>
    <n v="4"/>
    <x v="0"/>
  </r>
  <r>
    <x v="39"/>
    <x v="0"/>
    <x v="227"/>
    <n v="2"/>
    <x v="0"/>
  </r>
  <r>
    <x v="39"/>
    <x v="0"/>
    <x v="176"/>
    <n v="1"/>
    <x v="0"/>
  </r>
  <r>
    <x v="39"/>
    <x v="0"/>
    <x v="198"/>
    <n v="3257"/>
    <x v="1"/>
  </r>
  <r>
    <x v="40"/>
    <x v="0"/>
    <x v="195"/>
    <n v="4"/>
    <x v="0"/>
  </r>
  <r>
    <x v="40"/>
    <x v="0"/>
    <x v="282"/>
    <n v="129"/>
    <x v="1"/>
  </r>
  <r>
    <x v="40"/>
    <x v="0"/>
    <x v="289"/>
    <n v="2352"/>
    <x v="1"/>
  </r>
  <r>
    <x v="39"/>
    <x v="0"/>
    <x v="89"/>
    <n v="1943"/>
    <x v="1"/>
  </r>
  <r>
    <x v="39"/>
    <x v="0"/>
    <x v="175"/>
    <n v="2"/>
    <x v="0"/>
  </r>
  <r>
    <x v="39"/>
    <x v="0"/>
    <x v="255"/>
    <n v="1"/>
    <x v="0"/>
  </r>
  <r>
    <x v="39"/>
    <x v="0"/>
    <x v="76"/>
    <n v="5"/>
    <x v="0"/>
  </r>
  <r>
    <x v="39"/>
    <x v="0"/>
    <x v="82"/>
    <n v="7"/>
    <x v="0"/>
  </r>
  <r>
    <x v="39"/>
    <x v="0"/>
    <x v="92"/>
    <n v="6"/>
    <x v="0"/>
  </r>
  <r>
    <x v="39"/>
    <x v="0"/>
    <x v="240"/>
    <n v="2196"/>
    <x v="1"/>
  </r>
  <r>
    <x v="39"/>
    <x v="0"/>
    <x v="109"/>
    <n v="3"/>
    <x v="0"/>
  </r>
  <r>
    <x v="40"/>
    <x v="0"/>
    <x v="244"/>
    <n v="1429"/>
    <x v="1"/>
  </r>
  <r>
    <x v="40"/>
    <x v="0"/>
    <x v="294"/>
    <n v="1"/>
    <x v="0"/>
  </r>
  <r>
    <x v="39"/>
    <x v="0"/>
    <x v="237"/>
    <n v="3"/>
    <x v="0"/>
  </r>
  <r>
    <x v="40"/>
    <x v="0"/>
    <x v="114"/>
    <n v="313"/>
    <x v="1"/>
  </r>
  <r>
    <x v="39"/>
    <x v="0"/>
    <x v="24"/>
    <n v="4"/>
    <x v="0"/>
  </r>
  <r>
    <x v="40"/>
    <x v="0"/>
    <x v="97"/>
    <n v="367"/>
    <x v="1"/>
  </r>
  <r>
    <x v="40"/>
    <x v="0"/>
    <x v="86"/>
    <n v="3064"/>
    <x v="1"/>
  </r>
  <r>
    <x v="40"/>
    <x v="0"/>
    <x v="273"/>
    <n v="3096"/>
    <x v="1"/>
  </r>
  <r>
    <x v="40"/>
    <x v="0"/>
    <x v="68"/>
    <n v="7"/>
    <x v="0"/>
  </r>
  <r>
    <x v="39"/>
    <x v="0"/>
    <x v="214"/>
    <n v="2"/>
    <x v="0"/>
  </r>
  <r>
    <x v="39"/>
    <x v="0"/>
    <x v="90"/>
    <n v="928"/>
    <x v="1"/>
  </r>
  <r>
    <x v="40"/>
    <x v="0"/>
    <x v="253"/>
    <n v="3528"/>
    <x v="1"/>
  </r>
  <r>
    <x v="40"/>
    <x v="0"/>
    <x v="170"/>
    <n v="2658"/>
    <x v="1"/>
  </r>
  <r>
    <x v="39"/>
    <x v="0"/>
    <x v="231"/>
    <n v="3"/>
    <x v="0"/>
  </r>
  <r>
    <x v="40"/>
    <x v="0"/>
    <x v="0"/>
    <n v="38"/>
    <x v="0"/>
  </r>
  <r>
    <x v="39"/>
    <x v="0"/>
    <x v="96"/>
    <n v="47"/>
    <x v="0"/>
  </r>
  <r>
    <x v="39"/>
    <x v="0"/>
    <x v="182"/>
    <n v="2382"/>
    <x v="1"/>
  </r>
  <r>
    <x v="39"/>
    <x v="0"/>
    <x v="7"/>
    <n v="1010"/>
    <x v="1"/>
  </r>
  <r>
    <x v="40"/>
    <x v="0"/>
    <x v="118"/>
    <n v="2635"/>
    <x v="1"/>
  </r>
  <r>
    <x v="39"/>
    <x v="0"/>
    <x v="67"/>
    <n v="1"/>
    <x v="0"/>
  </r>
  <r>
    <x v="40"/>
    <x v="0"/>
    <x v="191"/>
    <n v="2162"/>
    <x v="1"/>
  </r>
  <r>
    <x v="39"/>
    <x v="0"/>
    <x v="78"/>
    <n v="3"/>
    <x v="0"/>
  </r>
  <r>
    <x v="40"/>
    <x v="0"/>
    <x v="182"/>
    <n v="2420"/>
    <x v="1"/>
  </r>
  <r>
    <x v="40"/>
    <x v="0"/>
    <x v="99"/>
    <n v="2335"/>
    <x v="1"/>
  </r>
  <r>
    <x v="40"/>
    <x v="0"/>
    <x v="66"/>
    <n v="246"/>
    <x v="1"/>
  </r>
  <r>
    <x v="39"/>
    <x v="0"/>
    <x v="181"/>
    <n v="805"/>
    <x v="1"/>
  </r>
  <r>
    <x v="39"/>
    <x v="0"/>
    <x v="232"/>
    <n v="2139"/>
    <x v="1"/>
  </r>
  <r>
    <x v="40"/>
    <x v="0"/>
    <x v="7"/>
    <n v="988"/>
    <x v="1"/>
  </r>
  <r>
    <x v="39"/>
    <x v="0"/>
    <x v="132"/>
    <n v="5"/>
    <x v="0"/>
  </r>
  <r>
    <x v="40"/>
    <x v="0"/>
    <x v="227"/>
    <n v="2"/>
    <x v="0"/>
  </r>
  <r>
    <x v="39"/>
    <x v="0"/>
    <x v="185"/>
    <n v="3170"/>
    <x v="1"/>
  </r>
  <r>
    <x v="40"/>
    <x v="0"/>
    <x v="18"/>
    <n v="1"/>
    <x v="0"/>
  </r>
  <r>
    <x v="40"/>
    <x v="0"/>
    <x v="74"/>
    <n v="2582"/>
    <x v="1"/>
  </r>
  <r>
    <x v="40"/>
    <x v="0"/>
    <x v="205"/>
    <n v="1"/>
    <x v="0"/>
  </r>
  <r>
    <x v="40"/>
    <x v="0"/>
    <x v="141"/>
    <n v="1999"/>
    <x v="1"/>
  </r>
  <r>
    <x v="39"/>
    <x v="0"/>
    <x v="63"/>
    <n v="797"/>
    <x v="1"/>
  </r>
  <r>
    <x v="39"/>
    <x v="0"/>
    <x v="88"/>
    <n v="3423"/>
    <x v="1"/>
  </r>
  <r>
    <x v="40"/>
    <x v="0"/>
    <x v="23"/>
    <n v="5"/>
    <x v="0"/>
  </r>
  <r>
    <x v="39"/>
    <x v="0"/>
    <x v="48"/>
    <n v="1"/>
    <x v="0"/>
  </r>
  <r>
    <x v="39"/>
    <x v="0"/>
    <x v="256"/>
    <n v="1808"/>
    <x v="1"/>
  </r>
  <r>
    <x v="39"/>
    <x v="0"/>
    <x v="66"/>
    <n v="3723"/>
    <x v="1"/>
  </r>
  <r>
    <x v="39"/>
    <x v="0"/>
    <x v="117"/>
    <n v="2488"/>
    <x v="1"/>
  </r>
  <r>
    <x v="39"/>
    <x v="0"/>
    <x v="51"/>
    <n v="2302"/>
    <x v="1"/>
  </r>
  <r>
    <x v="40"/>
    <x v="0"/>
    <x v="48"/>
    <n v="1"/>
    <x v="0"/>
  </r>
  <r>
    <x v="40"/>
    <x v="0"/>
    <x v="193"/>
    <n v="516"/>
    <x v="1"/>
  </r>
  <r>
    <x v="39"/>
    <x v="0"/>
    <x v="19"/>
    <n v="209"/>
    <x v="1"/>
  </r>
  <r>
    <x v="39"/>
    <x v="0"/>
    <x v="35"/>
    <n v="30"/>
    <x v="0"/>
  </r>
  <r>
    <x v="39"/>
    <x v="0"/>
    <x v="211"/>
    <n v="4"/>
    <x v="0"/>
  </r>
  <r>
    <x v="39"/>
    <x v="0"/>
    <x v="46"/>
    <n v="2386"/>
    <x v="1"/>
  </r>
  <r>
    <x v="39"/>
    <x v="0"/>
    <x v="114"/>
    <n v="120"/>
    <x v="1"/>
  </r>
  <r>
    <x v="39"/>
    <x v="0"/>
    <x v="22"/>
    <n v="3602"/>
    <x v="1"/>
  </r>
  <r>
    <x v="40"/>
    <x v="0"/>
    <x v="103"/>
    <n v="39"/>
    <x v="0"/>
  </r>
  <r>
    <x v="39"/>
    <x v="0"/>
    <x v="30"/>
    <n v="1098"/>
    <x v="1"/>
  </r>
  <r>
    <x v="39"/>
    <x v="0"/>
    <x v="170"/>
    <n v="2799"/>
    <x v="1"/>
  </r>
  <r>
    <x v="40"/>
    <x v="0"/>
    <x v="152"/>
    <n v="2900"/>
    <x v="1"/>
  </r>
  <r>
    <x v="39"/>
    <x v="0"/>
    <x v="125"/>
    <n v="30"/>
    <x v="0"/>
  </r>
  <r>
    <x v="40"/>
    <x v="0"/>
    <x v="28"/>
    <n v="2447"/>
    <x v="1"/>
  </r>
  <r>
    <x v="39"/>
    <x v="0"/>
    <x v="121"/>
    <n v="2470"/>
    <x v="1"/>
  </r>
  <r>
    <x v="40"/>
    <x v="0"/>
    <x v="82"/>
    <n v="5"/>
    <x v="0"/>
  </r>
  <r>
    <x v="39"/>
    <x v="0"/>
    <x v="169"/>
    <n v="2"/>
    <x v="0"/>
  </r>
  <r>
    <x v="40"/>
    <x v="0"/>
    <x v="190"/>
    <n v="3107"/>
    <x v="1"/>
  </r>
  <r>
    <x v="39"/>
    <x v="0"/>
    <x v="267"/>
    <n v="1"/>
    <x v="0"/>
  </r>
  <r>
    <x v="40"/>
    <x v="0"/>
    <x v="248"/>
    <n v="3492"/>
    <x v="1"/>
  </r>
  <r>
    <x v="40"/>
    <x v="0"/>
    <x v="98"/>
    <n v="17"/>
    <x v="0"/>
  </r>
  <r>
    <x v="40"/>
    <x v="0"/>
    <x v="102"/>
    <n v="2964"/>
    <x v="1"/>
  </r>
  <r>
    <x v="39"/>
    <x v="0"/>
    <x v="162"/>
    <n v="7"/>
    <x v="0"/>
  </r>
  <r>
    <x v="39"/>
    <x v="0"/>
    <x v="168"/>
    <n v="1905"/>
    <x v="1"/>
  </r>
  <r>
    <x v="40"/>
    <x v="0"/>
    <x v="257"/>
    <n v="686"/>
    <x v="1"/>
  </r>
  <r>
    <x v="40"/>
    <x v="0"/>
    <x v="270"/>
    <n v="383"/>
    <x v="1"/>
  </r>
  <r>
    <x v="39"/>
    <x v="0"/>
    <x v="58"/>
    <n v="3230"/>
    <x v="1"/>
  </r>
  <r>
    <x v="40"/>
    <x v="0"/>
    <x v="125"/>
    <n v="18"/>
    <x v="0"/>
  </r>
  <r>
    <x v="39"/>
    <x v="0"/>
    <x v="68"/>
    <n v="1"/>
    <x v="0"/>
  </r>
  <r>
    <x v="39"/>
    <x v="0"/>
    <x v="139"/>
    <n v="2910"/>
    <x v="1"/>
  </r>
  <r>
    <x v="40"/>
    <x v="0"/>
    <x v="107"/>
    <n v="4"/>
    <x v="0"/>
  </r>
  <r>
    <x v="40"/>
    <x v="0"/>
    <x v="129"/>
    <n v="871"/>
    <x v="1"/>
  </r>
  <r>
    <x v="39"/>
    <x v="0"/>
    <x v="11"/>
    <n v="8"/>
    <x v="0"/>
  </r>
  <r>
    <x v="40"/>
    <x v="0"/>
    <x v="287"/>
    <n v="2397"/>
    <x v="1"/>
  </r>
  <r>
    <x v="40"/>
    <x v="0"/>
    <x v="222"/>
    <n v="1180"/>
    <x v="1"/>
  </r>
  <r>
    <x v="40"/>
    <x v="0"/>
    <x v="142"/>
    <n v="2345"/>
    <x v="1"/>
  </r>
  <r>
    <x v="40"/>
    <x v="0"/>
    <x v="31"/>
    <n v="7"/>
    <x v="0"/>
  </r>
  <r>
    <x v="40"/>
    <x v="0"/>
    <x v="259"/>
    <n v="1"/>
    <x v="0"/>
  </r>
  <r>
    <x v="41"/>
    <x v="1"/>
    <x v="302"/>
    <m/>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7">
  <r>
    <x v="0"/>
    <x v="0"/>
    <x v="0"/>
    <n v="914015108.20739996"/>
    <n v="221181383"/>
    <n v="1135196491.2074001"/>
    <n v="1393407.0498635999"/>
    <n v="337188.84469559998"/>
    <n v="1730595.8945591999"/>
  </r>
  <r>
    <x v="0"/>
    <x v="0"/>
    <x v="1"/>
    <n v="1339088276.6866"/>
    <n v="564584831.05999994"/>
    <n v="1903673107.7465999"/>
    <n v="2041426.9177500999"/>
    <n v="860704.02642250003"/>
    <n v="2902130.9441725998"/>
  </r>
  <r>
    <x v="0"/>
    <x v="0"/>
    <x v="2"/>
    <n v="28436.489000000001"/>
    <n v="127303"/>
    <n v="155739.489"/>
    <n v="43.351148000000002"/>
    <n v="194.0721724"/>
    <n v="237.42332039999999"/>
  </r>
  <r>
    <x v="0"/>
    <x v="0"/>
    <x v="3"/>
    <n v="614125840.50769997"/>
    <n v="85846856"/>
    <n v="699972696.50769997"/>
    <n v="936228.80845500005"/>
    <n v="130872.6883012"/>
    <n v="1067101.4967562"/>
  </r>
  <r>
    <x v="0"/>
    <x v="1"/>
    <x v="0"/>
    <n v="1025466980.7285"/>
    <n v="314450741.81999999"/>
    <n v="1339917722.5485001"/>
    <n v="1563314.3342146999"/>
    <n v="479377.06560029997"/>
    <n v="2042691.3998151"/>
  </r>
  <r>
    <x v="0"/>
    <x v="1"/>
    <x v="1"/>
    <n v="862876744.84949994"/>
    <n v="509801415.04000002"/>
    <n v="1372678159.8894999"/>
    <n v="1315447.1174932001"/>
    <n v="777187.24709089997"/>
    <n v="2092634.3645841"/>
  </r>
  <r>
    <x v="0"/>
    <x v="1"/>
    <x v="2"/>
    <n v="14658.1163"/>
    <n v="6095"/>
    <n v="20753.116300000002"/>
    <n v="22.346154200000001"/>
    <n v="9.2917676"/>
    <n v="31.637921800000001"/>
  </r>
  <r>
    <x v="0"/>
    <x v="1"/>
    <x v="3"/>
    <n v="786550026.15330005"/>
    <n v="151765437"/>
    <n v="938315463.15330005"/>
    <n v="1199087.7849512999"/>
    <n v="231364.9172126"/>
    <n v="1430452.7021639"/>
  </r>
  <r>
    <x v="1"/>
    <x v="0"/>
    <x v="0"/>
    <n v="606724871.14240003"/>
    <n v="57282559"/>
    <n v="664007430.14240003"/>
    <n v="924946.10339149996"/>
    <n v="87326.698243899998"/>
    <n v="1012272.8016355"/>
  </r>
  <r>
    <x v="1"/>
    <x v="0"/>
    <x v="1"/>
    <n v="2708591070.6153002"/>
    <n v="2277357121"/>
    <n v="4985948191.6153002"/>
    <n v="4129220.4681333001"/>
    <n v="3471808.5499506998"/>
    <n v="7601029.0180839999"/>
  </r>
  <r>
    <x v="1"/>
    <x v="0"/>
    <x v="2"/>
    <n v="1685445.8688999999"/>
    <n v="266663"/>
    <n v="1952108.8688999999"/>
    <n v="2569.4456632000001"/>
    <n v="406.52512280000002"/>
    <n v="2975.9707859999999"/>
  </r>
  <r>
    <x v="1"/>
    <x v="0"/>
    <x v="3"/>
    <n v="1591083943.2369001"/>
    <n v="260266191"/>
    <n v="1851350134.2369001"/>
    <n v="2425591.8348869001"/>
    <n v="396773.25038069999"/>
    <n v="2822365.0852676001"/>
  </r>
  <r>
    <x v="1"/>
    <x v="1"/>
    <x v="0"/>
    <n v="746443270.8247"/>
    <n v="-11542784"/>
    <n v="734900486.8247"/>
    <n v="1137945.4306069999"/>
    <n v="-17596.860769800001"/>
    <n v="1120348.5698372"/>
  </r>
  <r>
    <x v="1"/>
    <x v="1"/>
    <x v="1"/>
    <n v="2533350848.6679001"/>
    <n v="2485533958"/>
    <n v="5018884806.6679001"/>
    <n v="3862068.4719698001"/>
    <n v="3789172.0920731002"/>
    <n v="7651240.5640428998"/>
  </r>
  <r>
    <x v="1"/>
    <x v="1"/>
    <x v="2"/>
    <n v="1968090.9177999999"/>
    <n v="22000"/>
    <n v="1990090.9177999999"/>
    <n v="3000.3352625000002"/>
    <n v="33.538783799999997"/>
    <n v="3033.8740462999999"/>
  </r>
  <r>
    <x v="1"/>
    <x v="1"/>
    <x v="3"/>
    <n v="2016809785.5123999"/>
    <n v="258551427"/>
    <n v="2275361212.5124002"/>
    <n v="3074606.6975615998"/>
    <n v="394159.10951480002"/>
    <n v="3468765.8070764001"/>
  </r>
  <r>
    <x v="2"/>
    <x v="0"/>
    <x v="0"/>
    <n v="10992017068.896999"/>
    <n v="3658344442"/>
    <n v="14650361510.896999"/>
    <n v="16757221.996101899"/>
    <n v="5577110.1489883997"/>
    <n v="22334332.145090301"/>
  </r>
  <r>
    <x v="2"/>
    <x v="0"/>
    <x v="1"/>
    <n v="23134292995.7784"/>
    <n v="13659886397"/>
    <n v="36794179392.778397"/>
    <n v="35268002.3168872"/>
    <n v="20824362.5679732"/>
    <n v="56092364.884860396"/>
  </r>
  <r>
    <x v="2"/>
    <x v="0"/>
    <x v="2"/>
    <n v="222881336.236"/>
    <n v="130871168"/>
    <n v="353752504.236"/>
    <n v="339780.40669739997"/>
    <n v="199511.80946310001"/>
    <n v="539292.21616049996"/>
  </r>
  <r>
    <x v="2"/>
    <x v="0"/>
    <x v="3"/>
    <n v="8542979430.7699003"/>
    <n v="1319958242"/>
    <n v="9862937672.7698994"/>
    <n v="13023688.1850028"/>
    <n v="2012263.3678732"/>
    <n v="15035951.552875999"/>
  </r>
  <r>
    <x v="2"/>
    <x v="1"/>
    <x v="0"/>
    <n v="14888398202.287201"/>
    <n v="6347817309"/>
    <n v="21236215511.287201"/>
    <n v="22697216.7417791"/>
    <n v="9677185.1035967004"/>
    <n v="32374401.845375799"/>
  </r>
  <r>
    <x v="2"/>
    <x v="1"/>
    <x v="1"/>
    <n v="17313531746.936401"/>
    <n v="11053634300"/>
    <n v="28367166046.936401"/>
    <n v="26394308.997291598"/>
    <n v="16851156.8593673"/>
    <n v="43245465.856658898"/>
  </r>
  <r>
    <x v="2"/>
    <x v="1"/>
    <x v="2"/>
    <n v="16791789.798300002"/>
    <n v="158877477"/>
    <n v="175669266.7983"/>
    <n v="25598.918524100001"/>
    <n v="242207.1522981"/>
    <n v="267806.07082219998"/>
  </r>
  <r>
    <x v="2"/>
    <x v="1"/>
    <x v="3"/>
    <n v="13767162518.8885"/>
    <n v="2427738297"/>
    <n v="16194900815.8885"/>
    <n v="20987903.961522602"/>
    <n v="3701063.1748727001"/>
    <n v="24688967.136395399"/>
  </r>
  <r>
    <x v="3"/>
    <x v="0"/>
    <x v="0"/>
    <n v="5132467872.0342999"/>
    <n v="2688726708"/>
    <n v="7821194580.0342999"/>
    <n v="7824396.8309420999"/>
    <n v="4098937.4425458"/>
    <n v="11923334.273487899"/>
  </r>
  <r>
    <x v="3"/>
    <x v="0"/>
    <x v="1"/>
    <n v="5984039234.4198999"/>
    <n v="5987052872"/>
    <n v="11971092106.419901"/>
    <n v="9122609.0039741993"/>
    <n v="9127203.2648482006"/>
    <n v="18249812.268822301"/>
  </r>
  <r>
    <x v="3"/>
    <x v="0"/>
    <x v="2"/>
    <n v="-107951637.5415"/>
    <n v="42001265"/>
    <n v="-65950372.541500002"/>
    <n v="-164571.21052369999"/>
    <n v="64030.515719800002"/>
    <n v="-100540.6948039"/>
  </r>
  <r>
    <x v="3"/>
    <x v="0"/>
    <x v="3"/>
    <n v="2763244395.1591001"/>
    <n v="679833433"/>
    <n v="3443077828.1591001"/>
    <n v="4212538.9242879003"/>
    <n v="1036399.3874598"/>
    <n v="5248938.3117477"/>
  </r>
  <r>
    <x v="3"/>
    <x v="1"/>
    <x v="0"/>
    <n v="4923930124.8451996"/>
    <n v="2715076091"/>
    <n v="7639006215.8451996"/>
    <n v="7506483.0847832998"/>
    <n v="4139106.8179774"/>
    <n v="11645589.902760699"/>
  </r>
  <r>
    <x v="3"/>
    <x v="1"/>
    <x v="1"/>
    <n v="7041069249.1892996"/>
    <n v="6727953358"/>
    <n v="13769022607.189301"/>
    <n v="10734040.873394599"/>
    <n v="10256698.7744624"/>
    <n v="20990739.647856899"/>
  </r>
  <r>
    <x v="3"/>
    <x v="1"/>
    <x v="2"/>
    <n v="-149428778.2067"/>
    <n v="35249397"/>
    <n v="-114179381.2067"/>
    <n v="-227802.70384599999"/>
    <n v="53737.359308599996"/>
    <n v="-174065.3445374"/>
  </r>
  <r>
    <x v="3"/>
    <x v="1"/>
    <x v="3"/>
    <n v="2594503625.8846998"/>
    <n v="635070197"/>
    <n v="3229573822.8846998"/>
    <n v="3955295.2798501998"/>
    <n v="968158.27409419999"/>
    <n v="4923453.5539443996"/>
  </r>
  <r>
    <x v="4"/>
    <x v="0"/>
    <x v="0"/>
    <n v="1028116621.1719"/>
    <n v="858234726"/>
    <n v="1886351347.1719"/>
    <n v="1567353.6850310001"/>
    <n v="1308370.4053772001"/>
    <n v="2875724.0904081999"/>
  </r>
  <r>
    <x v="4"/>
    <x v="0"/>
    <x v="1"/>
    <n v="183567427.0519"/>
    <n v="239337144"/>
    <n v="422904571.05190003"/>
    <n v="279846.73850859998"/>
    <n v="364867.12391209998"/>
    <n v="644713.86242070002"/>
  </r>
  <r>
    <x v="4"/>
    <x v="0"/>
    <x v="2"/>
    <n v="-8093050.1530999998"/>
    <n v="1600133"/>
    <n v="-6492917.1530999998"/>
    <n v="-12337.7754229"/>
    <n v="2439.387033"/>
    <n v="-9898.3883898999993"/>
  </r>
  <r>
    <x v="4"/>
    <x v="0"/>
    <x v="3"/>
    <n v="1153417968.6923001"/>
    <n v="601199703"/>
    <n v="1754617671.6923001"/>
    <n v="1758374.3579110999"/>
    <n v="916523.03885769995"/>
    <n v="2674897.3967688"/>
  </r>
  <r>
    <x v="4"/>
    <x v="1"/>
    <x v="0"/>
    <n v="1298321829.9990001"/>
    <n v="999459535"/>
    <n v="2297781364.9990001"/>
    <n v="1979278.8704122"/>
    <n v="1523666.2387931"/>
    <n v="3502945.1092053"/>
  </r>
  <r>
    <x v="4"/>
    <x v="1"/>
    <x v="1"/>
    <n v="267020803.9228"/>
    <n v="280107606"/>
    <n v="547128409.92279994"/>
    <n v="407070.59139969997"/>
    <n v="427021.29255419999"/>
    <n v="834091.88395399996"/>
  </r>
  <r>
    <x v="4"/>
    <x v="1"/>
    <x v="2"/>
    <n v="-4990935.8733999999"/>
    <n v="1287080"/>
    <n v="-3703855.8733999999"/>
    <n v="-7608.6326898999996"/>
    <n v="1962.1408111000001"/>
    <n v="-5646.4918789000003"/>
  </r>
  <r>
    <x v="4"/>
    <x v="1"/>
    <x v="3"/>
    <n v="1251837042.2355001"/>
    <n v="672935363"/>
    <n v="1924772405.2355001"/>
    <n v="1908413.2683019"/>
    <n v="1025883.3475365"/>
    <n v="2934296.6158384001"/>
  </r>
  <r>
    <x v="5"/>
    <x v="0"/>
    <x v="0"/>
    <n v="-1491237.5427999999"/>
    <n v="0"/>
    <n v="-1491237.5427999999"/>
    <n v="-218512.35149830001"/>
    <n v="0"/>
    <n v="-218512.35149830001"/>
  </r>
  <r>
    <x v="5"/>
    <x v="0"/>
    <x v="1"/>
    <n v="12465770.5602"/>
    <n v="0"/>
    <n v="12465770.5602"/>
    <n v="1826620.3473075"/>
    <n v="0"/>
    <n v="1826620.3473075"/>
  </r>
  <r>
    <x v="5"/>
    <x v="0"/>
    <x v="2"/>
    <n v="2434.4630000000002"/>
    <n v="0"/>
    <n v="2434.4630000000002"/>
    <n v="356.72400909999999"/>
    <n v="0"/>
    <n v="356.72400909999999"/>
  </r>
  <r>
    <x v="5"/>
    <x v="0"/>
    <x v="3"/>
    <n v="513434.91690000001"/>
    <n v="0"/>
    <n v="513434.91690000001"/>
    <n v="75234.070906299996"/>
    <n v="0"/>
    <n v="75234.070906299996"/>
  </r>
  <r>
    <x v="5"/>
    <x v="1"/>
    <x v="0"/>
    <n v="-4085229.5159"/>
    <n v="4982139.26"/>
    <n v="896909.74410000001"/>
    <n v="-606603.1413744"/>
    <n v="739782.50527129997"/>
    <n v="133179.3638969"/>
  </r>
  <r>
    <x v="5"/>
    <x v="1"/>
    <x v="1"/>
    <n v="4643352.6579"/>
    <n v="17118769.940000001"/>
    <n v="21762122.597899999"/>
    <n v="689477.12676330004"/>
    <n v="2541913.3935199999"/>
    <n v="3231390.5202833"/>
  </r>
  <r>
    <x v="5"/>
    <x v="1"/>
    <x v="2"/>
    <n v="-17414.436600000001"/>
    <n v="33054.129999999997"/>
    <n v="15639.6934"/>
    <n v="-2585.8160247000001"/>
    <n v="4908.1059009000001"/>
    <n v="2322.2898762"/>
  </r>
  <r>
    <x v="5"/>
    <x v="1"/>
    <x v="3"/>
    <n v="2969167.9172999999"/>
    <n v="2110491.65"/>
    <n v="5079659.5673000002"/>
    <n v="440882.59396249999"/>
    <n v="313380.40121169999"/>
    <n v="754262.99517420004"/>
  </r>
  <r>
    <x v="6"/>
    <x v="0"/>
    <x v="0"/>
    <n v="38548742388.2827"/>
    <n v="9589392311"/>
    <n v="48138134699.2827"/>
    <n v="3295719.8400960998"/>
    <n v="819843.87909459998"/>
    <n v="4115563.7191907"/>
  </r>
  <r>
    <x v="6"/>
    <x v="0"/>
    <x v="1"/>
    <n v="64249819059.698898"/>
    <n v="25072642338"/>
    <n v="89322461397.698898"/>
    <n v="5493030.1296158005"/>
    <n v="2143582.3759090002"/>
    <n v="7636612.5055248002"/>
  </r>
  <r>
    <x v="6"/>
    <x v="0"/>
    <x v="2"/>
    <n v="109531908.0944"/>
    <n v="2214652"/>
    <n v="111746560.0944"/>
    <n v="9364.4165869999997"/>
    <n v="189.3413918"/>
    <n v="9553.7579788000003"/>
  </r>
  <r>
    <x v="6"/>
    <x v="0"/>
    <x v="3"/>
    <n v="29100544915.221802"/>
    <n v="2039102158"/>
    <n v="31139647073.221802"/>
    <n v="2487947.3957588002"/>
    <n v="174332.78031259999"/>
    <n v="2662280.1760713998"/>
  </r>
  <r>
    <x v="6"/>
    <x v="1"/>
    <x v="0"/>
    <n v="36982293172.256104"/>
    <n v="11455106059"/>
    <n v="48437399231.256104"/>
    <n v="3516027.7400862998"/>
    <n v="1089074.4519674999"/>
    <n v="4605102.1920536999"/>
  </r>
  <r>
    <x v="6"/>
    <x v="1"/>
    <x v="1"/>
    <n v="66178838282.0261"/>
    <n v="32872635676"/>
    <n v="99051473958.026093"/>
    <n v="6291838.9111914001"/>
    <n v="3125309.1415455001"/>
    <n v="9417148.0527369007"/>
  </r>
  <r>
    <x v="6"/>
    <x v="1"/>
    <x v="2"/>
    <n v="139167949.99380001"/>
    <n v="11880449"/>
    <n v="151048398.99380001"/>
    <n v="13231.152823099999"/>
    <n v="1129.5131985"/>
    <n v="14360.6660216"/>
  </r>
  <r>
    <x v="6"/>
    <x v="1"/>
    <x v="3"/>
    <n v="16970696004.549601"/>
    <n v="1795215728"/>
    <n v="18765911732.549599"/>
    <n v="1613459.6533168"/>
    <n v="170677.0391356"/>
    <n v="1784136.6924524"/>
  </r>
  <r>
    <x v="7"/>
    <x v="0"/>
    <x v="0"/>
    <n v="24855580986.6745"/>
    <n v="7337400791.0799999"/>
    <n v="32192981777.754501"/>
    <n v="5520285.2106619999"/>
    <n v="1629595.5863359"/>
    <n v="7149880.7969977995"/>
  </r>
  <r>
    <x v="7"/>
    <x v="0"/>
    <x v="1"/>
    <n v="42145017887.534401"/>
    <n v="19342029996.16"/>
    <n v="61487047883.694397"/>
    <n v="9360172.2314343993"/>
    <n v="4295756.4415503005"/>
    <n v="13655928.672984701"/>
  </r>
  <r>
    <x v="7"/>
    <x v="0"/>
    <x v="2"/>
    <n v="3740760.1666999999"/>
    <n v="1408327.73"/>
    <n v="5149087.8967000004"/>
    <n v="830.8018644"/>
    <n v="312.78169450000001"/>
    <n v="1143.5835589999999"/>
  </r>
  <r>
    <x v="7"/>
    <x v="0"/>
    <x v="3"/>
    <n v="7523903949.6968002"/>
    <n v="1684631381.46"/>
    <n v="9208535331.1567993"/>
    <n v="1671016.8924322999"/>
    <n v="374147.18672140001"/>
    <n v="2045164.0791537"/>
  </r>
  <r>
    <x v="7"/>
    <x v="1"/>
    <x v="0"/>
    <n v="29060921068.510101"/>
    <n v="8715309973.5200005"/>
    <n v="37776231042.030098"/>
    <n v="6468245.4090513"/>
    <n v="1939813.3869117"/>
    <n v="8408058.7959630005"/>
  </r>
  <r>
    <x v="7"/>
    <x v="1"/>
    <x v="1"/>
    <n v="54766532221.098198"/>
    <n v="25526154174.200001"/>
    <n v="80292686395.298203"/>
    <n v="12189681.454818999"/>
    <n v="5681493.3414796004"/>
    <n v="17871174.796298601"/>
  </r>
  <r>
    <x v="7"/>
    <x v="1"/>
    <x v="2"/>
    <n v="2727592.0523000001"/>
    <n v="1784897.85"/>
    <n v="4512489.9023000002"/>
    <n v="607.09482430000003"/>
    <n v="397.27430859999998"/>
    <n v="1004.3691329"/>
  </r>
  <r>
    <x v="7"/>
    <x v="1"/>
    <x v="3"/>
    <n v="8918987147.7985001"/>
    <n v="2046329535.3599999"/>
    <n v="10965316683.158501"/>
    <n v="1985146.9103864001"/>
    <n v="455462.56401490001"/>
    <n v="2440609.4744012998"/>
  </r>
  <r>
    <x v="8"/>
    <x v="0"/>
    <x v="0"/>
    <n v="30263805.7542"/>
    <n v="27648719.120000001"/>
    <n v="57912524.874200001"/>
    <n v="688126.55193720001"/>
    <n v="628665.73715329997"/>
    <n v="1316792.2890905"/>
  </r>
  <r>
    <x v="8"/>
    <x v="0"/>
    <x v="1"/>
    <n v="79276896.908099994"/>
    <n v="82462610.719999999"/>
    <n v="161739507.62810001"/>
    <n v="1802567.0056412001"/>
    <n v="1875002.5175079999"/>
    <n v="3677569.5231491998"/>
  </r>
  <r>
    <x v="8"/>
    <x v="0"/>
    <x v="2"/>
    <n v="-4762235.5379999997"/>
    <n v="134018.79999999999"/>
    <n v="-4628216.7379999999"/>
    <n v="-108281.84488400001"/>
    <n v="3047.2669394999998"/>
    <n v="-105234.57794449999"/>
  </r>
  <r>
    <x v="8"/>
    <x v="0"/>
    <x v="3"/>
    <n v="26814157.133200001"/>
    <n v="8237549.5999999996"/>
    <n v="35051706.733199999"/>
    <n v="609689.79384269996"/>
    <n v="187302.17371530001"/>
    <n v="796991.967558"/>
  </r>
  <r>
    <x v="8"/>
    <x v="1"/>
    <x v="0"/>
    <n v="19530015.4925"/>
    <n v="29439356.68"/>
    <n v="48969372.172499999"/>
    <n v="478442.31975750002"/>
    <n v="721199.33072019997"/>
    <n v="1199641.6504776999"/>
  </r>
  <r>
    <x v="8"/>
    <x v="1"/>
    <x v="1"/>
    <n v="74044675.845300004"/>
    <n v="88599525.299999997"/>
    <n v="162644201.1453"/>
    <n v="1813931.3043925001"/>
    <n v="2170493.0254776999"/>
    <n v="3984424.3298701998"/>
  </r>
  <r>
    <x v="8"/>
    <x v="1"/>
    <x v="2"/>
    <n v="-6437256.8075999999"/>
    <n v="30177.35"/>
    <n v="-6407079.4576000003"/>
    <n v="-157698.59891229999"/>
    <n v="739.27853990000006"/>
    <n v="-156959.32037239999"/>
  </r>
  <r>
    <x v="8"/>
    <x v="1"/>
    <x v="3"/>
    <n v="13881006.6633"/>
    <n v="8706881.3399999999"/>
    <n v="22587888.0033"/>
    <n v="340054.05838559999"/>
    <n v="213299.3958844"/>
    <n v="553353.45426999999"/>
  </r>
  <r>
    <x v="9"/>
    <x v="0"/>
    <x v="0"/>
    <n v="5487315521.2884998"/>
    <n v="1495267423"/>
    <n v="6982582944.2884998"/>
    <n v="8365358.5849201996"/>
    <n v="2279520.4914346999"/>
    <n v="10644879.0763549"/>
  </r>
  <r>
    <x v="9"/>
    <x v="0"/>
    <x v="1"/>
    <n v="6048168880.7473001"/>
    <n v="4049211067"/>
    <n v="10097379947.747299"/>
    <n v="9220374.0195581"/>
    <n v="6172982.4775099996"/>
    <n v="15393356.4970681"/>
  </r>
  <r>
    <x v="9"/>
    <x v="0"/>
    <x v="2"/>
    <n v="-578153831.23520005"/>
    <n v="44540573"/>
    <n v="-533613258.23519999"/>
    <n v="-881389.83383849997"/>
    <n v="67901.665810399994"/>
    <n v="-813488.16802810004"/>
  </r>
  <r>
    <x v="9"/>
    <x v="0"/>
    <x v="3"/>
    <n v="7323172935.8789997"/>
    <n v="667937274"/>
    <n v="7991110209.8789997"/>
    <n v="11164105.1713435"/>
    <n v="1018263.8099753"/>
    <n v="12182368.9813189"/>
  </r>
  <r>
    <x v="9"/>
    <x v="1"/>
    <x v="0"/>
    <n v="5653332994.0291004"/>
    <n v="1562360787"/>
    <n v="7215693781.0291004"/>
    <n v="8618450.5905556008"/>
    <n v="2381803.6654842002"/>
    <n v="11000254.2560398"/>
  </r>
  <r>
    <x v="9"/>
    <x v="1"/>
    <x v="1"/>
    <n v="5719984809.2098999"/>
    <n v="3282515741"/>
    <n v="9002500550.2098999"/>
    <n v="8720060.6277696993"/>
    <n v="5004162.9878177997"/>
    <n v="13724223.615587501"/>
  </r>
  <r>
    <x v="9"/>
    <x v="1"/>
    <x v="2"/>
    <n v="-601070862.29659998"/>
    <n v="35741367"/>
    <n v="-565329495.29659998"/>
    <n v="-916326.62247159996"/>
    <n v="54487.362738700002"/>
    <n v="-861839.25973289995"/>
  </r>
  <r>
    <x v="9"/>
    <x v="1"/>
    <x v="3"/>
    <n v="9141662816.3421993"/>
    <n v="660227927"/>
    <n v="9801890743.3421993"/>
    <n v="13936375.1226715"/>
    <n v="1006510.9862384"/>
    <n v="14942886.108909899"/>
  </r>
  <r>
    <x v="10"/>
    <x v="0"/>
    <x v="0"/>
    <n v="676144581.29879999"/>
    <n v="420650190"/>
    <n v="1096794771.2988"/>
    <n v="1030775.769294"/>
    <n v="641277.0806623"/>
    <n v="1672052.8499563001"/>
  </r>
  <r>
    <x v="10"/>
    <x v="0"/>
    <x v="1"/>
    <n v="18996927019.397202"/>
    <n v="1496568336"/>
    <n v="20493495355.397202"/>
    <n v="28960628.546379101"/>
    <n v="2281503.7205182998"/>
    <n v="31242132.266897399"/>
  </r>
  <r>
    <x v="10"/>
    <x v="0"/>
    <x v="2"/>
    <n v="482647.8836"/>
    <n v="4111825"/>
    <n v="4594472.8836000003"/>
    <n v="735.79195530000004"/>
    <n v="6268.4368029999996"/>
    <n v="7004.2287582999998"/>
  </r>
  <r>
    <x v="10"/>
    <x v="0"/>
    <x v="3"/>
    <n v="835920688.85930002"/>
    <n v="258633455"/>
    <n v="1094554143.8592999"/>
    <n v="1274352.8750501999"/>
    <n v="394284.16039470001"/>
    <n v="1668637.0354448999"/>
  </r>
  <r>
    <x v="10"/>
    <x v="1"/>
    <x v="0"/>
    <n v="987867796.1911"/>
    <n v="538973860"/>
    <n v="1526841656.1910999"/>
    <n v="1505994.7468981999"/>
    <n v="821660.35273649998"/>
    <n v="2327655.0996347"/>
  </r>
  <r>
    <x v="10"/>
    <x v="1"/>
    <x v="1"/>
    <n v="1739565330.9663"/>
    <n v="1617214446"/>
    <n v="3356779776.9663"/>
    <n v="2651950.2512607998"/>
    <n v="2465427.5295484001"/>
    <n v="5117377.7808093"/>
  </r>
  <r>
    <x v="10"/>
    <x v="1"/>
    <x v="2"/>
    <n v="-37169910.620300002"/>
    <n v="30256445"/>
    <n v="-6913465.6202999996"/>
    <n v="-56665.163448699997"/>
    <n v="46125.653053499998"/>
    <n v="-10539.510395200001"/>
  </r>
  <r>
    <x v="10"/>
    <x v="1"/>
    <x v="3"/>
    <n v="879612452.42760003"/>
    <n v="162101905"/>
    <n v="1041714357.4276"/>
    <n v="1340960.5392237999"/>
    <n v="247122.7610956"/>
    <n v="1588083.3003193999"/>
  </r>
  <r>
    <x v="0"/>
    <x v="2"/>
    <x v="0"/>
    <m/>
    <m/>
    <m/>
    <n v="1531656.1239090001"/>
    <n v="369180.95545900002"/>
    <n v="1900837.0793679999"/>
  </r>
  <r>
    <x v="0"/>
    <x v="2"/>
    <x v="1"/>
    <m/>
    <m/>
    <m/>
    <n v="2234728.4830533001"/>
    <n v="944368.9396104"/>
    <n v="3179097.4226636998"/>
  </r>
  <r>
    <x v="0"/>
    <x v="2"/>
    <x v="2"/>
    <m/>
    <m/>
    <m/>
    <n v="50.432800499999999"/>
    <n v="201.71901510000001"/>
    <n v="252.15181559999999"/>
  </r>
  <r>
    <x v="0"/>
    <x v="2"/>
    <x v="3"/>
    <m/>
    <m/>
    <m/>
    <n v="1007744.3165072"/>
    <n v="150245.7325709"/>
    <n v="1157990.0490780999"/>
  </r>
  <r>
    <x v="0"/>
    <x v="3"/>
    <x v="0"/>
    <m/>
    <m/>
    <m/>
    <n v="1700927.8240533001"/>
    <n v="528918.18643600005"/>
    <n v="2229846.0104892999"/>
  </r>
  <r>
    <x v="0"/>
    <x v="3"/>
    <x v="1"/>
    <m/>
    <m/>
    <m/>
    <n v="1424117.3188358"/>
    <n v="843745.50417179998"/>
    <n v="2267862.8230075999"/>
  </r>
  <r>
    <x v="0"/>
    <x v="3"/>
    <x v="2"/>
    <m/>
    <m/>
    <m/>
    <n v="26.4024328"/>
    <n v="7.6300733000000003"/>
    <n v="34.032506099999999"/>
  </r>
  <r>
    <x v="0"/>
    <x v="3"/>
    <x v="3"/>
    <m/>
    <m/>
    <m/>
    <n v="1313939.5334298001"/>
    <n v="258554.2405981"/>
    <n v="1572493.7740279001"/>
  </r>
  <r>
    <x v="1"/>
    <x v="2"/>
    <x v="0"/>
    <m/>
    <m/>
    <m/>
    <n v="1076074.3170910999"/>
    <n v="156248.06656529999"/>
    <n v="1232322.3836564"/>
  </r>
  <r>
    <x v="1"/>
    <x v="2"/>
    <x v="1"/>
    <m/>
    <m/>
    <m/>
    <n v="4461867.9419222996"/>
    <n v="3807244.5266991998"/>
    <n v="8269112.4686214002"/>
  </r>
  <r>
    <x v="1"/>
    <x v="2"/>
    <x v="2"/>
    <m/>
    <m/>
    <m/>
    <n v="2865.0968984000001"/>
    <n v="414.94793099999998"/>
    <n v="3280.0448295000001"/>
  </r>
  <r>
    <x v="1"/>
    <x v="2"/>
    <x v="3"/>
    <m/>
    <m/>
    <m/>
    <n v="2660653.9709766"/>
    <n v="435762.43107400002"/>
    <n v="3096416.4020505999"/>
  </r>
  <r>
    <x v="1"/>
    <x v="3"/>
    <x v="0"/>
    <m/>
    <m/>
    <m/>
    <n v="1260862.3709726001"/>
    <n v="-50425.976092899997"/>
    <n v="1210436.3948796999"/>
  </r>
  <r>
    <x v="1"/>
    <x v="3"/>
    <x v="1"/>
    <m/>
    <m/>
    <m/>
    <n v="4216013.3203042001"/>
    <n v="4133298.7086044"/>
    <n v="8349312.0289086001"/>
  </r>
  <r>
    <x v="1"/>
    <x v="3"/>
    <x v="2"/>
    <m/>
    <m/>
    <m/>
    <n v="3314.8291798"/>
    <n v="36.587764100000001"/>
    <n v="3351.4169439000002"/>
  </r>
  <r>
    <x v="1"/>
    <x v="3"/>
    <x v="3"/>
    <m/>
    <m/>
    <m/>
    <n v="3366123.3477699002"/>
    <n v="428516.17102950002"/>
    <n v="3794639.5187994"/>
  </r>
  <r>
    <x v="2"/>
    <x v="2"/>
    <x v="0"/>
    <m/>
    <m/>
    <m/>
    <n v="15190199.2873908"/>
    <n v="6125244.6974421004"/>
    <n v="21315443.984832801"/>
  </r>
  <r>
    <x v="2"/>
    <x v="2"/>
    <x v="1"/>
    <m/>
    <m/>
    <m/>
    <n v="27188477.4743312"/>
    <n v="22796676.204385299"/>
    <n v="49985153.6787166"/>
  </r>
  <r>
    <x v="2"/>
    <x v="2"/>
    <x v="2"/>
    <m/>
    <m/>
    <m/>
    <n v="299881.45372360002"/>
    <n v="91078.326780599993"/>
    <n v="390959.78050420003"/>
  </r>
  <r>
    <x v="2"/>
    <x v="2"/>
    <x v="3"/>
    <m/>
    <m/>
    <m/>
    <n v="12455010.145039501"/>
    <n v="2196291.5892353002"/>
    <n v="14651301.734274801"/>
  </r>
  <r>
    <x v="2"/>
    <x v="3"/>
    <x v="0"/>
    <m/>
    <m/>
    <m/>
    <n v="19864172.928674899"/>
    <n v="10593018.2664412"/>
    <n v="30457191.195116099"/>
  </r>
  <r>
    <x v="2"/>
    <x v="3"/>
    <x v="1"/>
    <m/>
    <m/>
    <m/>
    <n v="20369233.922719002"/>
    <n v="18519322.013485599"/>
    <n v="38888555.936204702"/>
  </r>
  <r>
    <x v="2"/>
    <x v="3"/>
    <x v="2"/>
    <m/>
    <m/>
    <m/>
    <n v="22980.995027299999"/>
    <n v="417947.4721666"/>
    <n v="440928.46719390003"/>
  </r>
  <r>
    <x v="2"/>
    <x v="3"/>
    <x v="3"/>
    <m/>
    <m/>
    <m/>
    <n v="19757631.036977999"/>
    <n v="4077406.2430921998"/>
    <n v="23835037.280070201"/>
  </r>
  <r>
    <x v="3"/>
    <x v="2"/>
    <x v="0"/>
    <m/>
    <m/>
    <m/>
    <n v="8468693.0915679"/>
    <n v="4447577.3732120004"/>
    <n v="12916270.4647799"/>
  </r>
  <r>
    <x v="3"/>
    <x v="2"/>
    <x v="1"/>
    <m/>
    <m/>
    <m/>
    <n v="10081780.7552524"/>
    <n v="10125523.323937399"/>
    <n v="20207304.0791898"/>
  </r>
  <r>
    <x v="3"/>
    <x v="2"/>
    <x v="2"/>
    <m/>
    <m/>
    <m/>
    <n v="-193340.04820329999"/>
    <n v="70817.779214199996"/>
    <n v="-122522.2689891"/>
  </r>
  <r>
    <x v="3"/>
    <x v="2"/>
    <x v="3"/>
    <m/>
    <m/>
    <m/>
    <n v="4495611.3897302998"/>
    <n v="1108651.1570118"/>
    <n v="5604262.5467421003"/>
  </r>
  <r>
    <x v="3"/>
    <x v="3"/>
    <x v="0"/>
    <m/>
    <m/>
    <m/>
    <n v="8092787.7857320001"/>
    <n v="4449794.7594125997"/>
    <n v="12542582.545144601"/>
  </r>
  <r>
    <x v="3"/>
    <x v="3"/>
    <x v="1"/>
    <m/>
    <m/>
    <m/>
    <n v="11875631.8549992"/>
    <n v="11344444.651097599"/>
    <n v="23220076.506096698"/>
  </r>
  <r>
    <x v="3"/>
    <x v="3"/>
    <x v="2"/>
    <m/>
    <m/>
    <m/>
    <n v="-244364.44011299999"/>
    <n v="65376.491141899998"/>
    <n v="-178987.94897100001"/>
  </r>
  <r>
    <x v="3"/>
    <x v="3"/>
    <x v="3"/>
    <m/>
    <m/>
    <m/>
    <n v="4330854.2134472001"/>
    <n v="1075008.4197592"/>
    <n v="5405862.6332064001"/>
  </r>
  <r>
    <x v="4"/>
    <x v="2"/>
    <x v="0"/>
    <m/>
    <m/>
    <m/>
    <n v="1720643.3119921"/>
    <n v="1449988.5876666"/>
    <n v="3170631.8996587"/>
  </r>
  <r>
    <x v="4"/>
    <x v="2"/>
    <x v="1"/>
    <m/>
    <m/>
    <m/>
    <n v="312849.77102659998"/>
    <n v="414688.82411500002"/>
    <n v="727538.5951416"/>
  </r>
  <r>
    <x v="4"/>
    <x v="2"/>
    <x v="2"/>
    <m/>
    <m/>
    <m/>
    <n v="-8936.2226343000002"/>
    <n v="1752.4761532"/>
    <n v="-7183.7464811"/>
  </r>
  <r>
    <x v="4"/>
    <x v="2"/>
    <x v="3"/>
    <m/>
    <m/>
    <m/>
    <n v="1906178.9259766"/>
    <n v="1009907.5168037"/>
    <n v="2916086.4427801999"/>
  </r>
  <r>
    <x v="4"/>
    <x v="3"/>
    <x v="0"/>
    <m/>
    <m/>
    <m/>
    <n v="2181100.2343333"/>
    <n v="1676279.1722627999"/>
    <n v="3857379.4065962001"/>
  </r>
  <r>
    <x v="4"/>
    <x v="3"/>
    <x v="1"/>
    <m/>
    <m/>
    <m/>
    <n v="451774.66076970001"/>
    <n v="476477.52367909998"/>
    <n v="928252.18444880005"/>
  </r>
  <r>
    <x v="4"/>
    <x v="3"/>
    <x v="2"/>
    <m/>
    <m/>
    <m/>
    <n v="-8419.2077339000007"/>
    <n v="2106.6258916000002"/>
    <n v="-6312.5818423000001"/>
  </r>
  <r>
    <x v="4"/>
    <x v="3"/>
    <x v="3"/>
    <m/>
    <m/>
    <m/>
    <n v="2099917.5463498002"/>
    <n v="1113782.3439646"/>
    <n v="3213699.8903144998"/>
  </r>
  <r>
    <x v="5"/>
    <x v="2"/>
    <x v="0"/>
    <m/>
    <m/>
    <m/>
    <n v="-229922.32849680001"/>
    <n v="0"/>
    <n v="-229922.32849680001"/>
  </r>
  <r>
    <x v="5"/>
    <x v="2"/>
    <x v="1"/>
    <m/>
    <m/>
    <m/>
    <n v="1812489.1225316001"/>
    <n v="0"/>
    <n v="1812489.1225316001"/>
  </r>
  <r>
    <x v="5"/>
    <x v="2"/>
    <x v="2"/>
    <m/>
    <m/>
    <m/>
    <n v="375.19424429999998"/>
    <n v="0"/>
    <n v="375.19424429999998"/>
  </r>
  <r>
    <x v="5"/>
    <x v="2"/>
    <x v="3"/>
    <m/>
    <m/>
    <m/>
    <n v="133153.8687627"/>
    <n v="0"/>
    <n v="133153.8687627"/>
  </r>
  <r>
    <x v="5"/>
    <x v="3"/>
    <x v="0"/>
    <m/>
    <m/>
    <m/>
    <n v="-672700.35315830004"/>
    <n v="790789.93277780002"/>
    <n v="118089.5796195"/>
  </r>
  <r>
    <x v="5"/>
    <x v="3"/>
    <x v="1"/>
    <m/>
    <m/>
    <m/>
    <n v="689362.7271276"/>
    <n v="2625246.6820931002"/>
    <n v="3314609.4092207002"/>
  </r>
  <r>
    <x v="5"/>
    <x v="3"/>
    <x v="2"/>
    <m/>
    <m/>
    <m/>
    <n v="-2974.1243684000001"/>
    <n v="5019.9704164000004"/>
    <n v="2045.8460479"/>
  </r>
  <r>
    <x v="5"/>
    <x v="3"/>
    <x v="3"/>
    <m/>
    <m/>
    <m/>
    <n v="477060.39580559998"/>
    <n v="362285.83207629999"/>
    <n v="839346.22788180003"/>
  </r>
  <r>
    <x v="6"/>
    <x v="2"/>
    <x v="0"/>
    <m/>
    <m/>
    <m/>
    <n v="3462101.7292935001"/>
    <n v="879279.71554739994"/>
    <n v="4341381.4448408997"/>
  </r>
  <r>
    <x v="6"/>
    <x v="2"/>
    <x v="1"/>
    <m/>
    <m/>
    <m/>
    <n v="5782174.2289282996"/>
    <n v="2267712.3496114998"/>
    <n v="8049886.5785398996"/>
  </r>
  <r>
    <x v="6"/>
    <x v="2"/>
    <x v="2"/>
    <m/>
    <m/>
    <m/>
    <n v="10010.4204202"/>
    <n v="192.96228429999999"/>
    <n v="10203.3827045"/>
  </r>
  <r>
    <x v="6"/>
    <x v="2"/>
    <x v="3"/>
    <m/>
    <m/>
    <m/>
    <n v="2627256.5137624"/>
    <n v="197515.8292752"/>
    <n v="2824772.3430376002"/>
  </r>
  <r>
    <x v="6"/>
    <x v="3"/>
    <x v="0"/>
    <m/>
    <m/>
    <m/>
    <n v="3930911.7679309002"/>
    <n v="1208355.9578519999"/>
    <n v="5139267.7257829001"/>
  </r>
  <r>
    <x v="6"/>
    <x v="3"/>
    <x v="1"/>
    <m/>
    <m/>
    <m/>
    <n v="7029048.6352701997"/>
    <n v="3450197.1582175"/>
    <n v="10479245.7934878"/>
  </r>
  <r>
    <x v="6"/>
    <x v="3"/>
    <x v="2"/>
    <m/>
    <m/>
    <m/>
    <n v="15073.6497215"/>
    <n v="1246.9936831"/>
    <n v="16320.643404599999"/>
  </r>
  <r>
    <x v="6"/>
    <x v="3"/>
    <x v="3"/>
    <m/>
    <m/>
    <m/>
    <n v="1892183.2413444"/>
    <n v="192401.12260599999"/>
    <n v="2084584.3639503999"/>
  </r>
  <r>
    <x v="7"/>
    <x v="2"/>
    <x v="0"/>
    <m/>
    <m/>
    <m/>
    <n v="5824150.3872982999"/>
    <n v="1715001.1771034"/>
    <n v="7539151.5644017002"/>
  </r>
  <r>
    <x v="7"/>
    <x v="2"/>
    <x v="1"/>
    <m/>
    <m/>
    <m/>
    <n v="9908432.9392540008"/>
    <n v="4550097.7675347002"/>
    <n v="14458530.7067887"/>
  </r>
  <r>
    <x v="7"/>
    <x v="2"/>
    <x v="2"/>
    <m/>
    <m/>
    <m/>
    <n v="846.59309789999998"/>
    <n v="324.03474949999998"/>
    <n v="1170.6278474000001"/>
  </r>
  <r>
    <x v="7"/>
    <x v="2"/>
    <x v="3"/>
    <m/>
    <m/>
    <m/>
    <n v="1761222.7057415999"/>
    <n v="395013.69553740002"/>
    <n v="2156236.4012790001"/>
  </r>
  <r>
    <x v="7"/>
    <x v="3"/>
    <x v="0"/>
    <m/>
    <m/>
    <m/>
    <n v="7061402.3200812005"/>
    <n v="2100531.5530816"/>
    <n v="9161933.8731628004"/>
  </r>
  <r>
    <x v="7"/>
    <x v="3"/>
    <x v="1"/>
    <m/>
    <m/>
    <m/>
    <n v="13423820.590636799"/>
    <n v="6213913.4966666996"/>
    <n v="19637734.087303501"/>
  </r>
  <r>
    <x v="7"/>
    <x v="3"/>
    <x v="2"/>
    <m/>
    <m/>
    <m/>
    <n v="669.85509079999997"/>
    <n v="427.7488065"/>
    <n v="1097.6038974000001"/>
  </r>
  <r>
    <x v="7"/>
    <x v="3"/>
    <x v="3"/>
    <m/>
    <m/>
    <m/>
    <n v="2171081.6068174001"/>
    <n v="524984.69701350003"/>
    <n v="2696066.3038309002"/>
  </r>
  <r>
    <x v="8"/>
    <x v="2"/>
    <x v="0"/>
    <m/>
    <m/>
    <m/>
    <n v="723644.90136130003"/>
    <n v="656959.15743440005"/>
    <n v="1380604.0587957001"/>
  </r>
  <r>
    <x v="8"/>
    <x v="2"/>
    <x v="1"/>
    <m/>
    <m/>
    <m/>
    <n v="1938955.9918837999"/>
    <n v="2047294.5768108999"/>
    <n v="3986250.5686948001"/>
  </r>
  <r>
    <x v="8"/>
    <x v="2"/>
    <x v="2"/>
    <m/>
    <m/>
    <m/>
    <n v="-118005.4291702"/>
    <n v="3093.2805561999999"/>
    <n v="-114912.14861400001"/>
  </r>
  <r>
    <x v="8"/>
    <x v="2"/>
    <x v="3"/>
    <m/>
    <m/>
    <m/>
    <n v="655761.37226960005"/>
    <n v="200619.93429020001"/>
    <n v="856381.30655980005"/>
  </r>
  <r>
    <x v="8"/>
    <x v="3"/>
    <x v="0"/>
    <m/>
    <m/>
    <m/>
    <n v="531457.81646500004"/>
    <n v="815827.32837280002"/>
    <n v="1347285.1448377999"/>
  </r>
  <r>
    <x v="8"/>
    <x v="3"/>
    <x v="1"/>
    <m/>
    <m/>
    <m/>
    <n v="1970500.7571505001"/>
    <n v="2351686.1949256002"/>
    <n v="4322186.9520760998"/>
  </r>
  <r>
    <x v="8"/>
    <x v="3"/>
    <x v="2"/>
    <m/>
    <m/>
    <m/>
    <n v="-172038.54420589999"/>
    <n v="869.52671380000004"/>
    <n v="-171169.01749210001"/>
  </r>
  <r>
    <x v="8"/>
    <x v="3"/>
    <x v="3"/>
    <m/>
    <m/>
    <m/>
    <n v="354387.77086360002"/>
    <n v="230574.30861189999"/>
    <n v="584962.07947550004"/>
  </r>
  <r>
    <x v="9"/>
    <x v="2"/>
    <x v="0"/>
    <m/>
    <m/>
    <m/>
    <n v="9072863.8651707005"/>
    <n v="2649766.5807361999"/>
    <n v="11722630.445907"/>
  </r>
  <r>
    <x v="9"/>
    <x v="2"/>
    <x v="1"/>
    <m/>
    <m/>
    <m/>
    <n v="10494943.687882699"/>
    <n v="6756933.7456571003"/>
    <n v="17251877.433539901"/>
  </r>
  <r>
    <x v="9"/>
    <x v="2"/>
    <x v="2"/>
    <m/>
    <m/>
    <m/>
    <n v="-961475.22285969998"/>
    <n v="72229.925132300006"/>
    <n v="-889245.29772739997"/>
  </r>
  <r>
    <x v="9"/>
    <x v="2"/>
    <x v="3"/>
    <m/>
    <m/>
    <m/>
    <n v="11871267.7778893"/>
    <n v="1081836.3475045001"/>
    <n v="12953104.1253937"/>
  </r>
  <r>
    <x v="9"/>
    <x v="3"/>
    <x v="0"/>
    <m/>
    <m/>
    <m/>
    <n v="9439712.2565918006"/>
    <n v="2621307.1253145998"/>
    <n v="12061019.3819064"/>
  </r>
  <r>
    <x v="9"/>
    <x v="3"/>
    <x v="1"/>
    <m/>
    <m/>
    <m/>
    <n v="10065142.8479403"/>
    <n v="5484169.9288216"/>
    <n v="15549312.776761901"/>
  </r>
  <r>
    <x v="9"/>
    <x v="3"/>
    <x v="2"/>
    <m/>
    <m/>
    <m/>
    <n v="-995692.63660930004"/>
    <n v="58670.556149299999"/>
    <n v="-937022.08045999997"/>
  </r>
  <r>
    <x v="9"/>
    <x v="3"/>
    <x v="3"/>
    <m/>
    <m/>
    <m/>
    <n v="15147174.479046799"/>
    <n v="1121131.2067712001"/>
    <n v="16268305.685818"/>
  </r>
  <r>
    <x v="10"/>
    <x v="2"/>
    <x v="1"/>
    <m/>
    <m/>
    <m/>
    <n v="2556983.0049835588"/>
    <n v="2675469.827900304"/>
    <n v="5232452.8328838628"/>
  </r>
  <r>
    <x v="10"/>
    <x v="2"/>
    <x v="0"/>
    <m/>
    <m/>
    <m/>
    <n v="684671.44187804998"/>
    <n v="1150272.6079605827"/>
    <n v="1834944.0498386328"/>
  </r>
  <r>
    <x v="10"/>
    <x v="2"/>
    <x v="3"/>
    <m/>
    <m/>
    <m/>
    <n v="424865.41190962214"/>
    <n v="1410194.2601420521"/>
    <n v="1835059.6720516742"/>
  </r>
  <r>
    <x v="10"/>
    <x v="2"/>
    <x v="2"/>
    <m/>
    <m/>
    <m/>
    <n v="6643.0787383929119"/>
    <n v="866.2974859632568"/>
    <n v="7509.3762243561687"/>
  </r>
  <r>
    <x v="10"/>
    <x v="3"/>
    <x v="0"/>
    <m/>
    <m/>
    <m/>
    <n v="1681693.2445280999"/>
    <n v="905358.52502529998"/>
    <n v="2587051.7695533"/>
  </r>
  <r>
    <x v="10"/>
    <x v="3"/>
    <x v="1"/>
    <m/>
    <m/>
    <m/>
    <n v="2892951.5066477"/>
    <n v="2684898.7037260002"/>
    <n v="5577850.2103736997"/>
  </r>
  <r>
    <x v="10"/>
    <x v="3"/>
    <x v="2"/>
    <m/>
    <m/>
    <m/>
    <n v="-58778.011734"/>
    <n v="45141.817222799997"/>
    <n v="-13636.194511199999"/>
  </r>
  <r>
    <x v="10"/>
    <x v="3"/>
    <x v="3"/>
    <m/>
    <m/>
    <m/>
    <n v="1448577.4206172"/>
    <n v="272294.35466040001"/>
    <n v="1720871.7752775999"/>
  </r>
  <r>
    <x v="0"/>
    <x v="4"/>
    <x v="0"/>
    <n v="82886992.3873"/>
    <n v="17028436"/>
    <n v="99915428.3873"/>
    <n v="126360.4053121"/>
    <n v="25959.6833329"/>
    <n v="152320.08864500001"/>
  </r>
  <r>
    <x v="0"/>
    <x v="4"/>
    <x v="1"/>
    <n v="110329236.20020001"/>
    <n v="43672942.460000001"/>
    <n v="154002178.6602"/>
    <n v="168195.8363127"/>
    <n v="66578.971578900004"/>
    <n v="234774.80789170001"/>
  </r>
  <r>
    <x v="0"/>
    <x v="4"/>
    <x v="2"/>
    <n v="-1269.8541"/>
    <n v="0"/>
    <n v="-1269.8541"/>
    <n v="-1.9358801000000001"/>
    <n v="0"/>
    <n v="-1.9358801000000001"/>
  </r>
  <r>
    <x v="0"/>
    <x v="4"/>
    <x v="3"/>
    <n v="55436238.983000003"/>
    <n v="8705287"/>
    <n v="64141525.983000003"/>
    <n v="84512.001522999999"/>
    <n v="13271.1244792"/>
    <n v="97783.126002200006"/>
  </r>
  <r>
    <x v="0"/>
    <x v="5"/>
    <x v="0"/>
    <n v="87298542.954699993"/>
    <n v="27919969"/>
    <n v="115218511.95469999"/>
    <n v="133085.770797"/>
    <n v="42563.7183535"/>
    <n v="175649.48915050001"/>
  </r>
  <r>
    <x v="0"/>
    <x v="5"/>
    <x v="1"/>
    <n v="76926651.526099995"/>
    <n v="37795538.640000001"/>
    <n v="114722190.1661"/>
    <n v="117273.9242452"/>
    <n v="57618.927216299999"/>
    <n v="174892.85146149999"/>
  </r>
  <r>
    <x v="0"/>
    <x v="5"/>
    <x v="2"/>
    <n v="925.41160000000002"/>
    <n v="1365"/>
    <n v="2290.4115999999999"/>
    <n v="1.4107809"/>
    <n v="2.0809291000000001"/>
    <n v="3.4917099999999999"/>
  </r>
  <r>
    <x v="0"/>
    <x v="5"/>
    <x v="3"/>
    <n v="73861161.333399996"/>
    <n v="15878554"/>
    <n v="89739715.333399996"/>
    <n v="112600.6145729"/>
    <n v="24206.6995245"/>
    <n v="136807.3140974"/>
  </r>
  <r>
    <x v="1"/>
    <x v="4"/>
    <x v="0"/>
    <n v="62326023.521700002"/>
    <n v="-3512455"/>
    <n v="58813568.521700002"/>
    <n v="95015.410342000003"/>
    <n v="-5354.7031284000004"/>
    <n v="89660.707213600006"/>
  </r>
  <r>
    <x v="1"/>
    <x v="4"/>
    <x v="1"/>
    <n v="223880701.76320001"/>
    <n v="206698045"/>
    <n v="430578746.76319999"/>
    <n v="341303.92962220003"/>
    <n v="315109.13825140003"/>
    <n v="656413.06787370006"/>
  </r>
  <r>
    <x v="1"/>
    <x v="4"/>
    <x v="2"/>
    <n v="196879.66880000001"/>
    <n v="5525"/>
    <n v="202404.66880000001"/>
    <n v="300.14112019999999"/>
    <n v="8.4228082000000004"/>
    <n v="308.56392840000001"/>
  </r>
  <r>
    <x v="1"/>
    <x v="4"/>
    <x v="3"/>
    <n v="166508739.0722"/>
    <n v="24069207"/>
    <n v="190577946.0722"/>
    <n v="253840.93633"/>
    <n v="36693.269528299999"/>
    <n v="290534.20585829997"/>
  </r>
  <r>
    <x v="1"/>
    <x v="5"/>
    <x v="0"/>
    <n v="72730629.901600003"/>
    <n v="-14468116"/>
    <n v="58262513.901600003"/>
    <n v="110877.1305156"/>
    <n v="-22056.500654799998"/>
    <n v="88820.629860800007"/>
  </r>
  <r>
    <x v="1"/>
    <x v="5"/>
    <x v="1"/>
    <n v="237549376.70969999"/>
    <n v="224849553"/>
    <n v="462398929.70969999"/>
    <n v="362141.69024750002"/>
    <n v="342780.93381120003"/>
    <n v="704922.62405870005"/>
  </r>
  <r>
    <x v="1"/>
    <x v="5"/>
    <x v="2"/>
    <n v="194937.65040000001"/>
    <n v="2000"/>
    <n v="196937.65040000001"/>
    <n v="297.18053229999998"/>
    <n v="3.0489803000000002"/>
    <n v="300.22951260000002"/>
  </r>
  <r>
    <x v="1"/>
    <x v="5"/>
    <x v="3"/>
    <n v="208663237.7554"/>
    <n v="28858944"/>
    <n v="237522181.7554"/>
    <n v="318105.05529390002"/>
    <n v="43995.176513099999"/>
    <n v="362100.231807"/>
  </r>
  <r>
    <x v="2"/>
    <x v="4"/>
    <x v="0"/>
    <n v="1124843852.9672999"/>
    <n v="315761285"/>
    <n v="1440605137.9672999"/>
    <n v="1714813.3993041001"/>
    <n v="481374.9757987"/>
    <n v="2196188.3751027999"/>
  </r>
  <r>
    <x v="2"/>
    <x v="4"/>
    <x v="1"/>
    <n v="2303841366.2412"/>
    <n v="1223686331"/>
    <n v="3527527697.2412"/>
    <n v="3512183.5215436001"/>
    <n v="1865497.785678"/>
    <n v="5377681.3072217004"/>
  </r>
  <r>
    <x v="2"/>
    <x v="4"/>
    <x v="2"/>
    <n v="18374223.785700001"/>
    <n v="39040774"/>
    <n v="57414997.785700001"/>
    <n v="28011.323586300001"/>
    <n v="59517.276284899999"/>
    <n v="87528.5998712"/>
  </r>
  <r>
    <x v="2"/>
    <x v="4"/>
    <x v="3"/>
    <n v="838222870.58299994"/>
    <n v="99689976"/>
    <n v="937912846.58299994"/>
    <n v="1277862.528463"/>
    <n v="151976.38869620001"/>
    <n v="1429838.9171591999"/>
  </r>
  <r>
    <x v="2"/>
    <x v="5"/>
    <x v="0"/>
    <n v="1592497407.1617"/>
    <n v="568861663"/>
    <n v="2161359070.1616998"/>
    <n v="2427746.6467493"/>
    <n v="867224.01468390005"/>
    <n v="3294970.6614330998"/>
  </r>
  <r>
    <x v="2"/>
    <x v="5"/>
    <x v="1"/>
    <n v="1884973061.0216999"/>
    <n v="1045369128"/>
    <n v="2930342189.0216999"/>
    <n v="2873622.9067175002"/>
    <n v="1593654.9621393001"/>
    <n v="4467277.8688567998"/>
  </r>
  <r>
    <x v="2"/>
    <x v="5"/>
    <x v="2"/>
    <n v="1815250.3463999999"/>
    <n v="-49905244"/>
    <n v="-48089993.6536"/>
    <n v="2767.3313134999999"/>
    <n v="-76080.054027899998"/>
    <n v="-73312.722714400006"/>
  </r>
  <r>
    <x v="2"/>
    <x v="5"/>
    <x v="3"/>
    <n v="1449416412.3857999"/>
    <n v="218899176"/>
    <n v="1668315588.3857999"/>
    <n v="2209621.0763599002"/>
    <n v="333709.64255280001"/>
    <n v="2543330.7189127002"/>
  </r>
  <r>
    <x v="3"/>
    <x v="4"/>
    <x v="0"/>
    <n v="462620346.94779998"/>
    <n v="239113317"/>
    <n v="701733663.94780004"/>
    <n v="705260.17246220005"/>
    <n v="364525.90185030003"/>
    <n v="1069786.0743125"/>
  </r>
  <r>
    <x v="3"/>
    <x v="4"/>
    <x v="1"/>
    <n v="578054015.44599998"/>
    <n v="541818640"/>
    <n v="1119872655.4460001"/>
    <n v="881237.66564879997"/>
    <n v="825997.19188910001"/>
    <n v="1707234.8575379001"/>
  </r>
  <r>
    <x v="3"/>
    <x v="4"/>
    <x v="2"/>
    <n v="-14823482.847999999"/>
    <n v="4091006"/>
    <n v="-10732476.847999999"/>
    <n v="-22598.253922100001"/>
    <n v="6236.6984420999997"/>
    <n v="-16361.555480000001"/>
  </r>
  <r>
    <x v="3"/>
    <x v="4"/>
    <x v="3"/>
    <n v="226637209.1613"/>
    <n v="50190063"/>
    <n v="276827272.1613"/>
    <n v="345506.19806069997"/>
    <n v="76514.257794300007"/>
    <n v="422020.45585500001"/>
  </r>
  <r>
    <x v="3"/>
    <x v="5"/>
    <x v="0"/>
    <n v="457029853.49620003"/>
    <n v="213897038"/>
    <n v="670926891.49619997"/>
    <n v="696737.52013650001"/>
    <n v="326083.93233089999"/>
    <n v="1022821.4524675"/>
  </r>
  <r>
    <x v="3"/>
    <x v="5"/>
    <x v="1"/>
    <n v="704543344.18570006"/>
    <n v="555936347"/>
    <n v="1260479691.1856999"/>
    <n v="1074069.4042227"/>
    <n v="847519.49746710004"/>
    <n v="1921588.9016897001"/>
  </r>
  <r>
    <x v="3"/>
    <x v="5"/>
    <x v="2"/>
    <n v="-10238416.122199999"/>
    <n v="4110051"/>
    <n v="-6128365.1222000001"/>
    <n v="-15608.364759"/>
    <n v="6265.7323575"/>
    <n v="-9342.6324014999991"/>
  </r>
  <r>
    <x v="3"/>
    <x v="5"/>
    <x v="3"/>
    <n v="253822737.90959999"/>
    <n v="58591081"/>
    <n v="312413818.90960002"/>
    <n v="386950.26946829999"/>
    <n v="89321.527173299997"/>
    <n v="476271.79664150003"/>
  </r>
  <r>
    <x v="4"/>
    <x v="4"/>
    <x v="0"/>
    <n v="98111337.1752"/>
    <n v="75650855"/>
    <n v="173762192.17519999"/>
    <n v="149569.76932210001"/>
    <n v="115328.9849792"/>
    <n v="264898.75430129998"/>
  </r>
  <r>
    <x v="4"/>
    <x v="4"/>
    <x v="1"/>
    <n v="20528746.9998"/>
    <n v="23679452"/>
    <n v="44208198.999799997"/>
    <n v="31295.873052300001"/>
    <n v="36099.091861200002"/>
    <n v="67394.964913599993"/>
  </r>
  <r>
    <x v="4"/>
    <x v="4"/>
    <x v="2"/>
    <n v="-380454.3689"/>
    <n v="42011"/>
    <n v="-338443.3689"/>
    <n v="-579.99894640000002"/>
    <n v="64.045356600000005"/>
    <n v="-515.95358980000003"/>
  </r>
  <r>
    <x v="4"/>
    <x v="4"/>
    <x v="3"/>
    <n v="105590266.9672"/>
    <n v="50550811"/>
    <n v="156141077.96720001"/>
    <n v="160971.32428989999"/>
    <n v="77064.214575000005"/>
    <n v="238035.53886490001"/>
  </r>
  <r>
    <x v="4"/>
    <x v="5"/>
    <x v="0"/>
    <n v="133249343.5772"/>
    <n v="82918512"/>
    <n v="216167855.5772"/>
    <n v="203137.3147587"/>
    <n v="126408.45665189999"/>
    <n v="329545.77141059999"/>
  </r>
  <r>
    <x v="4"/>
    <x v="5"/>
    <x v="1"/>
    <n v="28786433.828899998"/>
    <n v="23434458"/>
    <n v="52220891.828900002"/>
    <n v="43884.6354699"/>
    <n v="35725.600915900002"/>
    <n v="79610.236385800003"/>
  </r>
  <r>
    <x v="4"/>
    <x v="5"/>
    <x v="2"/>
    <n v="-560138.69880000001"/>
    <n v="84598"/>
    <n v="-475540.69880000001"/>
    <n v="-853.92594150000002"/>
    <n v="128.96881959999999"/>
    <n v="-724.95712189999995"/>
  </r>
  <r>
    <x v="4"/>
    <x v="5"/>
    <x v="3"/>
    <n v="127638807.5342"/>
    <n v="49516676"/>
    <n v="177155483.53420001"/>
    <n v="194584.10769939999"/>
    <n v="75487.685930599997"/>
    <n v="270071.79363009997"/>
  </r>
  <r>
    <x v="5"/>
    <x v="4"/>
    <x v="0"/>
    <n v="-429533.6151"/>
    <n v="422500.71"/>
    <n v="-7032.9050999999999"/>
    <n v="-61424.246750300001"/>
    <n v="60418.5259334"/>
    <n v="-1005.7208168"/>
  </r>
  <r>
    <x v="5"/>
    <x v="4"/>
    <x v="1"/>
    <n v="415891.33559999999"/>
    <n v="1933496.93"/>
    <n v="2349388.2656"/>
    <n v="59473.370933400001"/>
    <n v="276494.29135269998"/>
    <n v="335967.66228599998"/>
  </r>
  <r>
    <x v="5"/>
    <x v="4"/>
    <x v="2"/>
    <n v="109.8556"/>
    <n v="221.64"/>
    <n v="331.49560000000002"/>
    <n v="15.7095912"/>
    <n v="31.695004900000001"/>
    <n v="47.404596099999999"/>
  </r>
  <r>
    <x v="5"/>
    <x v="4"/>
    <x v="3"/>
    <n v="184500.9178"/>
    <n v="181456.62"/>
    <n v="365957.53779999999"/>
    <n v="26384.034921099999"/>
    <n v="25948.693674999999"/>
    <n v="52332.728596100002"/>
  </r>
  <r>
    <x v="5"/>
    <x v="5"/>
    <x v="0"/>
    <n v="-522906.60159999999"/>
    <n v="433490.23"/>
    <n v="-89416.371599999999"/>
    <n v="-77460.759280700004"/>
    <n v="64215.066808900003"/>
    <n v="-13245.692471799999"/>
  </r>
  <r>
    <x v="5"/>
    <x v="5"/>
    <x v="1"/>
    <n v="93533.136400000003"/>
    <n v="1537620.05"/>
    <n v="1631153.1864"/>
    <n v="13855.529345499999"/>
    <n v="227775.3162682"/>
    <n v="241630.84561369999"/>
  </r>
  <r>
    <x v="5"/>
    <x v="5"/>
    <x v="2"/>
    <n v="-2933.2826"/>
    <n v="1261.8699999999999"/>
    <n v="-1671.4126000000001"/>
    <n v="-434.52176100000003"/>
    <n v="186.927088"/>
    <n v="-247.59467309999999"/>
  </r>
  <r>
    <x v="5"/>
    <x v="5"/>
    <x v="3"/>
    <n v="291281.06410000002"/>
    <n v="236829.82"/>
    <n v="528110.88410000002"/>
    <n v="43148.914777899998"/>
    <n v="35082.780789900004"/>
    <n v="78231.695567799994"/>
  </r>
  <r>
    <x v="6"/>
    <x v="4"/>
    <x v="0"/>
    <n v="1680794375.8864"/>
    <n v="986271353"/>
    <n v="2667065728.8864002"/>
    <n v="138180.6152539"/>
    <n v="81082.840542599995"/>
    <n v="219263.4557965"/>
  </r>
  <r>
    <x v="6"/>
    <x v="4"/>
    <x v="1"/>
    <n v="2074527203.743"/>
    <n v="2514183086"/>
    <n v="4588710289.743"/>
    <n v="170549.97891880001"/>
    <n v="206694.74545409999"/>
    <n v="377244.72437279997"/>
  </r>
  <r>
    <x v="6"/>
    <x v="4"/>
    <x v="2"/>
    <n v="12366075.4244"/>
    <n v="348513"/>
    <n v="12714588.4244"/>
    <n v="1016.6335246"/>
    <n v="28.651774100000001"/>
    <n v="1045.2852987000001"/>
  </r>
  <r>
    <x v="6"/>
    <x v="4"/>
    <x v="3"/>
    <n v="1573273945.4291999"/>
    <n v="158307248"/>
    <n v="1731581193.4291999"/>
    <n v="129341.2001261"/>
    <n v="13014.675228300001"/>
    <n v="142355.87535449999"/>
  </r>
  <r>
    <x v="6"/>
    <x v="5"/>
    <x v="0"/>
    <n v="3470146740.7438998"/>
    <n v="917891861"/>
    <n v="4388038601.7439003"/>
    <n v="345826.93147820001"/>
    <n v="91475.015160399998"/>
    <n v="437301.94663870003"/>
  </r>
  <r>
    <x v="6"/>
    <x v="5"/>
    <x v="1"/>
    <n v="6146781881.9813995"/>
    <n v="2550439702"/>
    <n v="8697221583.9813995"/>
    <n v="612574.30175870005"/>
    <n v="254171.01983239999"/>
    <n v="866745.32159109996"/>
  </r>
  <r>
    <x v="6"/>
    <x v="5"/>
    <x v="2"/>
    <n v="16551474.228700001"/>
    <n v="1774220"/>
    <n v="18325694.228700001"/>
    <n v="1649.482276"/>
    <n v="176.81472980000001"/>
    <n v="1826.2970058000001"/>
  </r>
  <r>
    <x v="6"/>
    <x v="5"/>
    <x v="3"/>
    <n v="2577052951.1602001"/>
    <n v="171267108"/>
    <n v="2748320059.1602001"/>
    <n v="256823.235713"/>
    <n v="17068.0904434"/>
    <n v="273891.32615630003"/>
  </r>
  <r>
    <x v="7"/>
    <x v="4"/>
    <x v="0"/>
    <n v="2421158386.6062002"/>
    <n v="640891734.80999994"/>
    <n v="3062050121.4162002"/>
    <n v="531547.94960309996"/>
    <n v="140703.18135329999"/>
    <n v="672251.13095649995"/>
  </r>
  <r>
    <x v="7"/>
    <x v="4"/>
    <x v="1"/>
    <n v="4343983751.4628"/>
    <n v="1970792794.5"/>
    <n v="6314776545.9628"/>
    <n v="953690.46030729997"/>
    <n v="432673.41566920001"/>
    <n v="1386363.8759765001"/>
  </r>
  <r>
    <x v="7"/>
    <x v="4"/>
    <x v="2"/>
    <n v="245423.4737"/>
    <n v="361533.34"/>
    <n v="606956.81370000006"/>
    <n v="53.880962500000003"/>
    <n v="79.372050400000006"/>
    <n v="133.25301289999999"/>
  </r>
  <r>
    <x v="7"/>
    <x v="4"/>
    <x v="3"/>
    <n v="732635815.13940001"/>
    <n v="161310558.08000001"/>
    <n v="893946373.21940005"/>
    <n v="160844.93583629999"/>
    <n v="35414.5754657"/>
    <n v="196259.5113019"/>
  </r>
  <r>
    <x v="7"/>
    <x v="5"/>
    <x v="0"/>
    <n v="2574379215.4905"/>
    <n v="604117612.82000005"/>
    <n v="3178496828.3105001"/>
    <n v="580851.25166750001"/>
    <n v="136305.66524520001"/>
    <n v="717156.91691270005"/>
  </r>
  <r>
    <x v="7"/>
    <x v="5"/>
    <x v="1"/>
    <n v="5430601203.4041004"/>
    <n v="1941548611.77"/>
    <n v="7372149815.1740999"/>
    <n v="1225294.0387818001"/>
    <n v="438067.14043289999"/>
    <n v="1663361.1792146999"/>
  </r>
  <r>
    <x v="7"/>
    <x v="5"/>
    <x v="2"/>
    <n v="227508.80319999999"/>
    <n v="72216.67"/>
    <n v="299725.47320000001"/>
    <n v="51.332287100000002"/>
    <n v="16.294080900000001"/>
    <n v="67.626367999999999"/>
  </r>
  <r>
    <x v="7"/>
    <x v="5"/>
    <x v="3"/>
    <n v="751057457.95410001"/>
    <n v="201380854.83000001"/>
    <n v="952438312.78410006"/>
    <n v="169459.36399029999"/>
    <n v="45437.0983443"/>
    <n v="214896.46233459999"/>
  </r>
  <r>
    <x v="8"/>
    <x v="4"/>
    <x v="0"/>
    <n v="2343745.9611"/>
    <n v="2188847.35"/>
    <n v="4532593.3110999996"/>
    <n v="53792.654604099997"/>
    <n v="50237.487950399998"/>
    <n v="104030.14255449999"/>
  </r>
  <r>
    <x v="8"/>
    <x v="4"/>
    <x v="1"/>
    <n v="6365452.6465999996"/>
    <n v="7450452.79"/>
    <n v="13815905.4366"/>
    <n v="146097.14589399999"/>
    <n v="170999.60500340001"/>
    <n v="317096.75089740002"/>
  </r>
  <r>
    <x v="8"/>
    <x v="4"/>
    <x v="2"/>
    <n v="-541578.0747"/>
    <n v="2908.31"/>
    <n v="-538669.76470000006"/>
    <n v="-12430.068273999999"/>
    <n v="66.750286900000006"/>
    <n v="-12363.317987099999"/>
  </r>
  <r>
    <x v="8"/>
    <x v="4"/>
    <x v="3"/>
    <n v="2759612.3739"/>
    <n v="737328.01"/>
    <n v="3496940.3838999998"/>
    <n v="63337.442595799999"/>
    <n v="16922.837043799998"/>
    <n v="80260.279639700006"/>
  </r>
  <r>
    <x v="8"/>
    <x v="5"/>
    <x v="0"/>
    <n v="2005923.8104999999"/>
    <n v="3935026.33"/>
    <n v="5940950.1404999997"/>
    <n v="49467.9114797"/>
    <n v="97041.339827400006"/>
    <n v="146509.251307"/>
  </r>
  <r>
    <x v="8"/>
    <x v="5"/>
    <x v="1"/>
    <n v="6917445.6582000004"/>
    <n v="7015613.6299999999"/>
    <n v="13933059.2882"/>
    <n v="170590.52178050001"/>
    <n v="173011.43353879999"/>
    <n v="343601.9553194"/>
  </r>
  <r>
    <x v="8"/>
    <x v="5"/>
    <x v="2"/>
    <n v="-618076.39130000002"/>
    <n v="3332.35"/>
    <n v="-614744.04130000004"/>
    <n v="-15242.327775600001"/>
    <n v="82.178791599999997"/>
    <n v="-15160.148983999999"/>
  </r>
  <r>
    <x v="8"/>
    <x v="5"/>
    <x v="3"/>
    <n v="671387.72230000002"/>
    <n v="906395.35"/>
    <n v="1577783.0723000001"/>
    <n v="16557.033842199999"/>
    <n v="22352.536374800002"/>
    <n v="38909.570217"/>
  </r>
  <r>
    <x v="9"/>
    <x v="4"/>
    <x v="0"/>
    <n v="510644354.00870001"/>
    <n v="120086932"/>
    <n v="630731286.00870001"/>
    <n v="778472.29926460003"/>
    <n v="183071.34766460001"/>
    <n v="961543.64692910004"/>
  </r>
  <r>
    <x v="9"/>
    <x v="4"/>
    <x v="1"/>
    <n v="637044856.19550002"/>
    <n v="334954994"/>
    <n v="971999850.19550002"/>
    <n v="971168.62263150001"/>
    <n v="510635.5965406"/>
    <n v="1481804.2191721001"/>
  </r>
  <r>
    <x v="9"/>
    <x v="4"/>
    <x v="2"/>
    <n v="-54183177.670599997"/>
    <n v="3302797"/>
    <n v="-50880380.670599997"/>
    <n v="-82601.721866799999"/>
    <n v="5035.0815677999999"/>
    <n v="-77566.640299000006"/>
  </r>
  <r>
    <x v="9"/>
    <x v="4"/>
    <x v="3"/>
    <n v="670624275.5165"/>
    <n v="48883314"/>
    <n v="719507589.5165"/>
    <n v="1022360.1173804"/>
    <n v="74522.131786099999"/>
    <n v="1096882.2491665001"/>
  </r>
  <r>
    <x v="9"/>
    <x v="5"/>
    <x v="0"/>
    <n v="549999902.55649996"/>
    <n v="127312501"/>
    <n v="677312403.55649996"/>
    <n v="838469.44625409995"/>
    <n v="194086.65659490001"/>
    <n v="1032556.102849"/>
  </r>
  <r>
    <x v="9"/>
    <x v="5"/>
    <x v="1"/>
    <n v="553511822.75450003"/>
    <n v="266452002.62"/>
    <n v="819963825.37450004"/>
    <n v="843823.33408209996"/>
    <n v="406203.45940360002"/>
    <n v="1250026.7934856999"/>
  </r>
  <r>
    <x v="9"/>
    <x v="5"/>
    <x v="2"/>
    <n v="-55833579.442000002"/>
    <n v="2678171"/>
    <n v="-53155408.442000002"/>
    <n v="-85117.743147800007"/>
    <n v="4082.8453694"/>
    <n v="-81034.897778400002"/>
  </r>
  <r>
    <x v="9"/>
    <x v="5"/>
    <x v="3"/>
    <n v="832554565.59790003"/>
    <n v="72323364.090000004"/>
    <n v="904877929.68789995"/>
    <n v="1269221.2532192001"/>
    <n v="110256.2577882"/>
    <n v="1379477.5110074"/>
  </r>
  <r>
    <x v="10"/>
    <x v="4"/>
    <x v="0"/>
    <n v="72133440.680899993"/>
    <n v="42554698"/>
    <n v="114688138.68089999"/>
    <n v="109966.7214176"/>
    <n v="64874.218889299998"/>
    <n v="174840.94030690001"/>
  </r>
  <r>
    <x v="10"/>
    <x v="4"/>
    <x v="1"/>
    <n v="161884305.1045"/>
    <n v="146803098"/>
    <n v="308687403.1045"/>
    <n v="246791.03219339999"/>
    <n v="223799.8801751"/>
    <n v="470590.91236850002"/>
  </r>
  <r>
    <x v="10"/>
    <x v="4"/>
    <x v="2"/>
    <n v="-2780660.8794"/>
    <n v="129302"/>
    <n v="-2651358.8794"/>
    <n v="-4239.0901833999997"/>
    <n v="197.11962829999999"/>
    <n v="-4041.9705551000002"/>
  </r>
  <r>
    <x v="10"/>
    <x v="4"/>
    <x v="3"/>
    <n v="81619719.296399996"/>
    <n v="19841034"/>
    <n v="101460753.2964"/>
    <n v="124428.4599393"/>
    <n v="30247.4613427"/>
    <n v="154675.921282"/>
  </r>
  <r>
    <x v="10"/>
    <x v="5"/>
    <x v="0"/>
    <n v="110242971.03820001"/>
    <n v="49438160"/>
    <n v="159681131.03819999"/>
    <n v="168064.32592110001"/>
    <n v="75367.989060299995"/>
    <n v="243432.31498130001"/>
  </r>
  <r>
    <x v="10"/>
    <x v="5"/>
    <x v="1"/>
    <n v="164207410.11210001"/>
    <n v="143141077"/>
    <n v="307348487.11210001"/>
    <n v="250332.58294689999"/>
    <n v="218217.16514950001"/>
    <n v="468549.7480964"/>
  </r>
  <r>
    <x v="10"/>
    <x v="5"/>
    <x v="2"/>
    <n v="-1990469.9856"/>
    <n v="194726"/>
    <n v="-1795743.9856"/>
    <n v="-3034.4519314999998"/>
    <n v="296.85787329999999"/>
    <n v="-2737.5940581"/>
  </r>
  <r>
    <x v="10"/>
    <x v="5"/>
    <x v="3"/>
    <n v="81943588.553900003"/>
    <n v="14193536"/>
    <n v="96137124.553900003"/>
    <n v="124922.19543950001"/>
    <n v="21637.906143200002"/>
    <n v="146560.10158270001"/>
  </r>
  <r>
    <x v="0"/>
    <x v="6"/>
    <x v="0"/>
    <n v="167932013.33539999"/>
    <n v="37349769"/>
    <n v="205281782.33539999"/>
    <n v="256010.70395679999"/>
    <n v="56939.355780899998"/>
    <n v="312950.05973779998"/>
  </r>
  <r>
    <x v="0"/>
    <x v="6"/>
    <x v="1"/>
    <n v="215657856.35690001"/>
    <n v="92845140.099999994"/>
    <n v="308502996.4569"/>
    <n v="328768.28261140001"/>
    <n v="141541.5036351"/>
    <n v="470309.78624649998"/>
  </r>
  <r>
    <x v="0"/>
    <x v="6"/>
    <x v="2"/>
    <n v="-3910.4396000000002"/>
    <n v="0"/>
    <n v="-3910.4396000000002"/>
    <n v="-5.9614266999999996"/>
    <n v="0"/>
    <n v="-5.9614266999999996"/>
  </r>
  <r>
    <x v="0"/>
    <x v="6"/>
    <x v="3"/>
    <n v="111990118.69220001"/>
    <n v="15147615"/>
    <n v="127137733.69220001"/>
    <n v="170727.8353493"/>
    <n v="23092.390202400002"/>
    <n v="193820.22555169999"/>
  </r>
  <r>
    <x v="0"/>
    <x v="7"/>
    <x v="0"/>
    <n v="173015965.3594"/>
    <n v="56321468"/>
    <n v="229337433.3594"/>
    <n v="263761.13885420002"/>
    <n v="85861.524459699998"/>
    <n v="349622.6633139"/>
  </r>
  <r>
    <x v="0"/>
    <x v="7"/>
    <x v="1"/>
    <n v="152940870.5138"/>
    <n v="79986586.280000001"/>
    <n v="232927456.7938"/>
    <n v="233156.85405260001"/>
    <n v="121938.7647056"/>
    <n v="355095.61875820003"/>
  </r>
  <r>
    <x v="0"/>
    <x v="7"/>
    <x v="2"/>
    <n v="-49.324199999999998"/>
    <n v="1820"/>
    <n v="1770.6758"/>
    <n v="-7.5194300000000006E-2"/>
    <n v="2.7745720999999999"/>
    <n v="2.6993779"/>
  </r>
  <r>
    <x v="0"/>
    <x v="7"/>
    <x v="3"/>
    <n v="144505561.42109999"/>
    <n v="27861707"/>
    <n v="172367268.42109999"/>
    <n v="220297.30823990001"/>
    <n v="42474.898507099999"/>
    <n v="262772.20674689999"/>
  </r>
  <r>
    <x v="1"/>
    <x v="6"/>
    <x v="0"/>
    <n v="124895852.729"/>
    <n v="-11657312"/>
    <n v="113238540.729"/>
    <n v="190402.50005559999"/>
    <n v="-17771.457580300001"/>
    <n v="172631.0424753"/>
  </r>
  <r>
    <x v="1"/>
    <x v="6"/>
    <x v="1"/>
    <n v="451542013.9551"/>
    <n v="428398806"/>
    <n v="879940819.95510006"/>
    <n v="688371.36268859997"/>
    <n v="653089.76960380003"/>
    <n v="1341461.1322924001"/>
  </r>
  <r>
    <x v="1"/>
    <x v="6"/>
    <x v="2"/>
    <n v="382499.19140000001"/>
    <n v="9525"/>
    <n v="392024.19140000001"/>
    <n v="583.11625819999995"/>
    <n v="14.5207689"/>
    <n v="597.63702709999995"/>
  </r>
  <r>
    <x v="1"/>
    <x v="6"/>
    <x v="3"/>
    <n v="335884743.17949998"/>
    <n v="44461221"/>
    <n v="380345964.17949998"/>
    <n v="512052.99002750003"/>
    <n v="67780.694466300003"/>
    <n v="579833.68449380004"/>
  </r>
  <r>
    <x v="1"/>
    <x v="7"/>
    <x v="0"/>
    <n v="148062939.68740001"/>
    <n v="-60101689"/>
    <n v="87961250.687399998"/>
    <n v="225720.49644630001"/>
    <n v="-91624.434223599994"/>
    <n v="134096.06222270001"/>
  </r>
  <r>
    <x v="1"/>
    <x v="7"/>
    <x v="1"/>
    <n v="477160402.93229997"/>
    <n v="455503879"/>
    <n v="932664281.93229997"/>
    <n v="727426.34491640003"/>
    <n v="694411.18701380002"/>
    <n v="1421837.5319300999"/>
  </r>
  <r>
    <x v="1"/>
    <x v="7"/>
    <x v="2"/>
    <n v="393584.0883"/>
    <n v="4000"/>
    <n v="397584.0883"/>
    <n v="600.01507460000005"/>
    <n v="6.0979606999999998"/>
    <n v="606.11303529999998"/>
  </r>
  <r>
    <x v="1"/>
    <x v="7"/>
    <x v="3"/>
    <n v="408857280.2518"/>
    <n v="51919210"/>
    <n v="460776490.2518"/>
    <n v="623298.90564749995"/>
    <n v="79150.325402400005"/>
    <n v="702449.23104989994"/>
  </r>
  <r>
    <x v="2"/>
    <x v="6"/>
    <x v="0"/>
    <n v="2608411668.7818999"/>
    <n v="1083192900"/>
    <n v="3691604568.7818999"/>
    <n v="3976497.9545638999"/>
    <n v="1651316.9308354"/>
    <n v="5627814.8853992997"/>
  </r>
  <r>
    <x v="2"/>
    <x v="6"/>
    <x v="1"/>
    <n v="3300144578.9207001"/>
    <n v="1989232747"/>
    <n v="5289377325.9207001"/>
    <n v="5031037.9779783003"/>
    <n v="3032565.7733661998"/>
    <n v="8063603.7513445001"/>
  </r>
  <r>
    <x v="2"/>
    <x v="6"/>
    <x v="2"/>
    <n v="3213077.8125"/>
    <n v="-102733061"/>
    <n v="-99519983.1875"/>
    <n v="4898.3055482"/>
    <n v="-156615.5418724"/>
    <n v="-151717.2363242"/>
  </r>
  <r>
    <x v="2"/>
    <x v="6"/>
    <x v="3"/>
    <n v="2690922482.9995999"/>
    <n v="443966545"/>
    <n v="3134889027.9995999"/>
    <n v="4102284.8799534002"/>
    <n v="676822.63471540005"/>
    <n v="4779107.5146687999"/>
  </r>
  <r>
    <x v="2"/>
    <x v="7"/>
    <x v="0"/>
    <n v="3188704457.9945002"/>
    <n v="1211856450"/>
    <n v="4400560907.9945002"/>
    <n v="4861148.6088180998"/>
    <n v="1847463.2483532"/>
    <n v="6708611.8571712999"/>
  </r>
  <r>
    <x v="2"/>
    <x v="7"/>
    <x v="1"/>
    <n v="3783571942.2013998"/>
    <n v="2264149210"/>
    <n v="6047721152.2013998"/>
    <n v="5768018.2423564"/>
    <n v="3451673.2194336001"/>
    <n v="9219691.4617899992"/>
  </r>
  <r>
    <x v="2"/>
    <x v="7"/>
    <x v="2"/>
    <n v="3763098.7004"/>
    <n v="-25584707"/>
    <n v="-21821608.299600001"/>
    <n v="5736.8069863999999"/>
    <n v="-39003.634384600002"/>
    <n v="-33266.827398100002"/>
  </r>
  <r>
    <x v="2"/>
    <x v="7"/>
    <x v="3"/>
    <n v="2891562591.0969"/>
    <n v="467886467"/>
    <n v="3359449058.0969"/>
    <n v="4408158.7529317997"/>
    <n v="713288.32072830002"/>
    <n v="5121447.0736602005"/>
  </r>
  <r>
    <x v="3"/>
    <x v="6"/>
    <x v="0"/>
    <n v="922371903.40110004"/>
    <n v="471368004"/>
    <n v="1393739907.4010999"/>
    <n v="1406146.9020090001"/>
    <n v="718595.88966959994"/>
    <n v="2124742.7916786"/>
  </r>
  <r>
    <x v="3"/>
    <x v="6"/>
    <x v="1"/>
    <n v="1156041007.4142001"/>
    <n v="1020301411"/>
    <n v="2176342418.4141998"/>
    <n v="1762373.1546644"/>
    <n v="1555439.4739289"/>
    <n v="3317812.6285933"/>
  </r>
  <r>
    <x v="3"/>
    <x v="6"/>
    <x v="2"/>
    <n v="-30174427.4947"/>
    <n v="8553085"/>
    <n v="-21621342.4947"/>
    <n v="-46000.6181727"/>
    <n v="13039.094026000001"/>
    <n v="-32961.524146700001"/>
  </r>
  <r>
    <x v="3"/>
    <x v="6"/>
    <x v="3"/>
    <n v="453590131.81980002"/>
    <n v="106286220"/>
    <n v="559876351.81980002"/>
    <n v="691493.69824519998"/>
    <n v="162032.29784879999"/>
    <n v="853525.99609399994"/>
  </r>
  <r>
    <x v="3"/>
    <x v="7"/>
    <x v="0"/>
    <n v="907186948.89880002"/>
    <n v="416704304"/>
    <n v="1323891252.8987999"/>
    <n v="1382997.5881023"/>
    <n v="635261.61623399996"/>
    <n v="2018259.2043363"/>
  </r>
  <r>
    <x v="3"/>
    <x v="7"/>
    <x v="1"/>
    <n v="1424981881.1501999"/>
    <n v="1107477041"/>
    <n v="2532458922.1501999"/>
    <n v="2172370.8736246"/>
    <n v="1688337.8651345"/>
    <n v="3860708.7387591"/>
  </r>
  <r>
    <x v="3"/>
    <x v="7"/>
    <x v="2"/>
    <n v="-20074528.9461"/>
    <n v="6978609"/>
    <n v="-13095919.9461"/>
    <n v="-30603.4220934"/>
    <n v="10638.8208373"/>
    <n v="-19964.601256000002"/>
  </r>
  <r>
    <x v="3"/>
    <x v="7"/>
    <x v="3"/>
    <n v="547073793.32710004"/>
    <n v="122172289"/>
    <n v="669246082.32710004"/>
    <n v="834008.62149060005"/>
    <n v="186250.45391690001"/>
    <n v="1020259.0754075"/>
  </r>
  <r>
    <x v="4"/>
    <x v="6"/>
    <x v="0"/>
    <n v="203382365.85139999"/>
    <n v="147485542"/>
    <n v="350867907.85140002"/>
    <n v="310054.41797469999"/>
    <n v="224840.25934630001"/>
    <n v="534894.67732090002"/>
  </r>
  <r>
    <x v="4"/>
    <x v="6"/>
    <x v="1"/>
    <n v="43076455.430799998"/>
    <n v="42215271"/>
    <n v="85291726.430800006"/>
    <n v="65669.632964999997"/>
    <n v="64356.7657636"/>
    <n v="130026.3987286"/>
  </r>
  <r>
    <x v="4"/>
    <x v="6"/>
    <x v="2"/>
    <n v="-809040.75730000006"/>
    <n v="115451"/>
    <n v="-693589.75730000006"/>
    <n v="-1233.3746836"/>
    <n v="176.00391490000001"/>
    <n v="-1057.3707687000001"/>
  </r>
  <r>
    <x v="4"/>
    <x v="6"/>
    <x v="3"/>
    <n v="221827960.90259999"/>
    <n v="95683595"/>
    <n v="317511555.90259999"/>
    <n v="338174.54635379999"/>
    <n v="145868.7002349"/>
    <n v="484043.24658869999"/>
  </r>
  <r>
    <x v="4"/>
    <x v="7"/>
    <x v="0"/>
    <n v="266504185.66780001"/>
    <n v="157263852"/>
    <n v="423768037.66780001"/>
    <n v="406283.01194709999"/>
    <n v="239747.19684369999"/>
    <n v="646030.20879079995"/>
  </r>
  <r>
    <x v="4"/>
    <x v="7"/>
    <x v="1"/>
    <n v="56956125.802699998"/>
    <n v="43451295"/>
    <n v="100407420.8027"/>
    <n v="86829.054042699994"/>
    <n v="66241.072204399999"/>
    <n v="153070.12624710001"/>
  </r>
  <r>
    <x v="4"/>
    <x v="7"/>
    <x v="2"/>
    <n v="-1158941.905"/>
    <n v="321017"/>
    <n v="-837924.90500000003"/>
    <n v="-1766.7955445"/>
    <n v="489.38726170000001"/>
    <n v="-1277.4082828999999"/>
  </r>
  <r>
    <x v="4"/>
    <x v="7"/>
    <x v="3"/>
    <n v="254115849.43979999"/>
    <n v="95053636"/>
    <n v="349169485.43980002"/>
    <n v="387397.1151155"/>
    <n v="144908.3339304"/>
    <n v="532305.44904590002"/>
  </r>
  <r>
    <x v="5"/>
    <x v="6"/>
    <x v="0"/>
    <n v="-882588.62269999995"/>
    <n v="887228.04"/>
    <n v="4639.4173000000001"/>
    <n v="-126908.9974405"/>
    <n v="127576.1075563"/>
    <n v="667.11011580000002"/>
  </r>
  <r>
    <x v="5"/>
    <x v="6"/>
    <x v="1"/>
    <n v="985290.00540000002"/>
    <n v="3482295.32"/>
    <n v="4467585.3254000004"/>
    <n v="141676.61304190001"/>
    <n v="500725.4755913"/>
    <n v="642402.08863330004"/>
  </r>
  <r>
    <x v="5"/>
    <x v="6"/>
    <x v="2"/>
    <n v="212.9803"/>
    <n v="477.27"/>
    <n v="690.25030000000004"/>
    <n v="30.6248185"/>
    <n v="68.627507399999999"/>
    <n v="99.252325799999994"/>
  </r>
  <r>
    <x v="5"/>
    <x v="6"/>
    <x v="3"/>
    <n v="402621.45850000001"/>
    <n v="326930.27"/>
    <n v="729551.72849999997"/>
    <n v="57893.6600043"/>
    <n v="47009.888561400003"/>
    <n v="104903.5485657"/>
  </r>
  <r>
    <x v="5"/>
    <x v="7"/>
    <x v="0"/>
    <n v="-1213869.6044999999"/>
    <n v="929194.03"/>
    <n v="-284675.57449999999"/>
    <n v="-163815.06133600001"/>
    <n v="125397.3049933"/>
    <n v="-38417.756342799999"/>
  </r>
  <r>
    <x v="5"/>
    <x v="7"/>
    <x v="1"/>
    <n v="236986.77530000001"/>
    <n v="3154371.69"/>
    <n v="3391358.4652999998"/>
    <n v="31982.020958199999"/>
    <n v="425691.18623480003"/>
    <n v="457673.20719300001"/>
  </r>
  <r>
    <x v="5"/>
    <x v="7"/>
    <x v="2"/>
    <n v="-5413.3026"/>
    <n v="3034.02"/>
    <n v="-2379.2826"/>
    <n v="-730.54016190000004"/>
    <n v="409.44939269999998"/>
    <n v="-321.09076920000001"/>
  </r>
  <r>
    <x v="5"/>
    <x v="7"/>
    <x v="3"/>
    <n v="579061.0638"/>
    <n v="442062.62"/>
    <n v="1021123.6838"/>
    <n v="78145.892550599994"/>
    <n v="59657.573549300003"/>
    <n v="137803.46609989999"/>
  </r>
  <r>
    <x v="6"/>
    <x v="6"/>
    <x v="0"/>
    <n v="3282182520.7564998"/>
    <n v="1972557521"/>
    <n v="5254740041.7565002"/>
    <n v="265718.46562969999"/>
    <n v="159694.03119169999"/>
    <n v="425412.49682140001"/>
  </r>
  <r>
    <x v="6"/>
    <x v="6"/>
    <x v="1"/>
    <n v="4135811084.0981002"/>
    <n v="4987916858"/>
    <n v="9123727942.0981007"/>
    <n v="334826.40543330001"/>
    <n v="403811.06346610002"/>
    <n v="738637.46889939997"/>
  </r>
  <r>
    <x v="6"/>
    <x v="6"/>
    <x v="2"/>
    <n v="25428075.028700002"/>
    <n v="689247"/>
    <n v="26117322.028700002"/>
    <n v="2058.6024811000002"/>
    <n v="55.799960599999999"/>
    <n v="2114.4024416000002"/>
  </r>
  <r>
    <x v="6"/>
    <x v="6"/>
    <x v="3"/>
    <n v="3071940284.4302001"/>
    <n v="342911003"/>
    <n v="3414851287.4302001"/>
    <n v="248697.70456789999"/>
    <n v="27761.340202300002"/>
    <n v="276459.04477019998"/>
  </r>
  <r>
    <x v="6"/>
    <x v="7"/>
    <x v="0"/>
    <n v="6983752037.3451996"/>
    <n v="1934187890"/>
    <n v="8917939927.3451996"/>
    <n v="700568.26262379996"/>
    <n v="194026.16851789999"/>
    <n v="894594.43114180001"/>
  </r>
  <r>
    <x v="6"/>
    <x v="7"/>
    <x v="1"/>
    <n v="12226668302.8703"/>
    <n v="5466950152"/>
    <n v="17693618454.8703"/>
    <n v="1226506.2855634"/>
    <n v="548411.76338410005"/>
    <n v="1774918.0489475001"/>
  </r>
  <r>
    <x v="6"/>
    <x v="7"/>
    <x v="2"/>
    <n v="33751815.000799999"/>
    <n v="2743794"/>
    <n v="36495609.000799999"/>
    <n v="3385.7803469"/>
    <n v="275.24101450000001"/>
    <n v="3661.0213613000001"/>
  </r>
  <r>
    <x v="6"/>
    <x v="7"/>
    <x v="3"/>
    <n v="4950298469.7614002"/>
    <n v="315769194"/>
    <n v="5266067663.7614002"/>
    <n v="496584.35463989998"/>
    <n v="31676.0781952"/>
    <n v="528260.43283509999"/>
  </r>
  <r>
    <x v="7"/>
    <x v="6"/>
    <x v="0"/>
    <n v="3914364313.1429"/>
    <n v="1336667567.5699999"/>
    <n v="5251031880.7129002"/>
    <n v="862329.6403497"/>
    <n v="294466.21995290002"/>
    <n v="1156795.8603026001"/>
  </r>
  <r>
    <x v="7"/>
    <x v="6"/>
    <x v="1"/>
    <n v="8050250601.1321001"/>
    <n v="3888542125.75"/>
    <n v="11938792726.882099"/>
    <n v="1773460.2991067001"/>
    <n v="856641.04424920003"/>
    <n v="2630101.3433559001"/>
  </r>
  <r>
    <x v="7"/>
    <x v="6"/>
    <x v="2"/>
    <n v="21994.134300000002"/>
    <n v="490222.69"/>
    <n v="512216.82429999998"/>
    <n v="4.8452807"/>
    <n v="107.99545519999999"/>
    <n v="112.84073600000001"/>
  </r>
  <r>
    <x v="7"/>
    <x v="6"/>
    <x v="3"/>
    <n v="810987986.05480003"/>
    <n v="331563755.88999999"/>
    <n v="1142551741.9447999"/>
    <n v="178659.6551564"/>
    <n v="73043.087330800001"/>
    <n v="251702.74248720001"/>
  </r>
  <r>
    <x v="7"/>
    <x v="7"/>
    <x v="0"/>
    <n v="5087655064.6529999"/>
    <n v="1229860846.21"/>
    <n v="6317515910.8629999"/>
    <n v="1144262.6820143999"/>
    <n v="276607.56330869999"/>
    <n v="1420870.2453230999"/>
  </r>
  <r>
    <x v="7"/>
    <x v="7"/>
    <x v="1"/>
    <n v="10738257970.388201"/>
    <n v="3922312242.4499998"/>
    <n v="14660570212.8382"/>
    <n v="2415137.7617416"/>
    <n v="882165.8444233"/>
    <n v="3297303.6061648"/>
  </r>
  <r>
    <x v="7"/>
    <x v="7"/>
    <x v="2"/>
    <n v="465026.3664"/>
    <n v="164791.74"/>
    <n v="629818.10640000005"/>
    <n v="104.5889138"/>
    <n v="37.063251299999997"/>
    <n v="141.65216520000001"/>
  </r>
  <r>
    <x v="7"/>
    <x v="7"/>
    <x v="3"/>
    <n v="1534361513.1410999"/>
    <n v="390290122.14999998"/>
    <n v="1924651635.2911"/>
    <n v="345092.69946470001"/>
    <n v="87780.011864"/>
    <n v="432872.71132870001"/>
  </r>
  <r>
    <x v="8"/>
    <x v="6"/>
    <x v="0"/>
    <n v="4671571.5165999997"/>
    <n v="4234888.88"/>
    <n v="8906460.3966000006"/>
    <n v="106876.4931732"/>
    <n v="96886.041638099996"/>
    <n v="203762.53481129999"/>
  </r>
  <r>
    <x v="8"/>
    <x v="6"/>
    <x v="1"/>
    <n v="12815886.555600001"/>
    <n v="15104890.6"/>
    <n v="27920777.1556"/>
    <n v="293202.62080989999"/>
    <n v="345570.5925418"/>
    <n v="638773.21335159999"/>
  </r>
  <r>
    <x v="8"/>
    <x v="6"/>
    <x v="2"/>
    <n v="-1085996.6617999999"/>
    <n v="5184.7700000000004"/>
    <n v="-1080811.8918000001"/>
    <n v="-24845.4967239"/>
    <n v="118.6174788"/>
    <n v="-24726.879245"/>
  </r>
  <r>
    <x v="8"/>
    <x v="6"/>
    <x v="3"/>
    <n v="4143047.6003"/>
    <n v="1404761.04"/>
    <n v="5547808.6403000001"/>
    <n v="94784.891336100001"/>
    <n v="32138.207275199999"/>
    <n v="126923.0986113"/>
  </r>
  <r>
    <x v="8"/>
    <x v="7"/>
    <x v="0"/>
    <n v="3881128.5188000002"/>
    <n v="7730099.6399999997"/>
    <n v="11611228.1588"/>
    <n v="95641.412488899994"/>
    <n v="190490.38048299999"/>
    <n v="286131.79297190002"/>
  </r>
  <r>
    <x v="8"/>
    <x v="7"/>
    <x v="1"/>
    <n v="13851474.9846"/>
    <n v="15764281.939999999"/>
    <n v="29615756.924600001"/>
    <n v="341337.48113849998"/>
    <n v="388474.1729916"/>
    <n v="729811.65413010004"/>
  </r>
  <r>
    <x v="8"/>
    <x v="7"/>
    <x v="2"/>
    <n v="-1218273.2228000001"/>
    <n v="11522.21"/>
    <n v="-1206751.0127999999"/>
    <n v="-30021.518551000001"/>
    <n v="283.93814689999999"/>
    <n v="-29737.580404100001"/>
  </r>
  <r>
    <x v="8"/>
    <x v="7"/>
    <x v="3"/>
    <n v="1130893.9775"/>
    <n v="1702330.95"/>
    <n v="2833224.9275000002"/>
    <n v="27868.259672299999"/>
    <n v="41949.998767899997"/>
    <n v="69818.258440100006"/>
  </r>
  <r>
    <x v="9"/>
    <x v="6"/>
    <x v="0"/>
    <n v="1026147879.8827"/>
    <n v="227430111"/>
    <n v="1253577990.8827"/>
    <n v="1564352.3582837"/>
    <n v="346714.96912149998"/>
    <n v="1911067.3274052001"/>
  </r>
  <r>
    <x v="9"/>
    <x v="6"/>
    <x v="1"/>
    <n v="1296234120.4321001"/>
    <n v="660657472"/>
    <n v="1956891592.4321001"/>
    <n v="1976096.1776947"/>
    <n v="1007165.8233695"/>
    <n v="2983262.0010642"/>
  </r>
  <r>
    <x v="9"/>
    <x v="6"/>
    <x v="2"/>
    <n v="-108175383.0905"/>
    <n v="6090908"/>
    <n v="-102084475.0905"/>
    <n v="-164912.3084143"/>
    <n v="9285.5293868000008"/>
    <n v="-155626.77902740001"/>
  </r>
  <r>
    <x v="9"/>
    <x v="6"/>
    <x v="3"/>
    <n v="1353478339.0940001"/>
    <n v="93468976"/>
    <n v="1446947315.0940001"/>
    <n v="2063364.4264700001"/>
    <n v="142492.53533390001"/>
    <n v="2205856.9618039001"/>
  </r>
  <r>
    <x v="9"/>
    <x v="7"/>
    <x v="0"/>
    <n v="1108959102.1215999"/>
    <n v="266631876"/>
    <n v="1375590978.1215999"/>
    <n v="1690597.2527492"/>
    <n v="406477.6746037"/>
    <n v="2097074.9273528999"/>
  </r>
  <r>
    <x v="9"/>
    <x v="7"/>
    <x v="1"/>
    <n v="1139785646.0479"/>
    <n v="553858073.62"/>
    <n v="1693643719.6679001"/>
    <n v="1737592.0160131"/>
    <n v="844351.19012369995"/>
    <n v="2581943.2061367999"/>
  </r>
  <r>
    <x v="9"/>
    <x v="7"/>
    <x v="2"/>
    <n v="-113627637.86669999"/>
    <n v="4835316"/>
    <n v="-108792321.86669999"/>
    <n v="-173224.21723790001"/>
    <n v="7371.3917222999999"/>
    <n v="-165852.82551550001"/>
  </r>
  <r>
    <x v="9"/>
    <x v="7"/>
    <x v="3"/>
    <n v="1652846416.0629001"/>
    <n v="130570534.09"/>
    <n v="1783416950.1529"/>
    <n v="2519748.1177317002"/>
    <n v="199053.49602180001"/>
    <n v="2718801.6137534999"/>
  </r>
  <r>
    <x v="10"/>
    <x v="6"/>
    <x v="0"/>
    <n v="147893858.4332"/>
    <n v="83198495"/>
    <n v="231092353.4332"/>
    <n v="225462.73373589999"/>
    <n v="126835.28798379999"/>
    <n v="352298.02171970002"/>
  </r>
  <r>
    <x v="10"/>
    <x v="6"/>
    <x v="1"/>
    <n v="319326945.94999999"/>
    <n v="273712463"/>
    <n v="593039408.95000005"/>
    <n v="486810.79087500001"/>
    <n v="417271.95989980001"/>
    <n v="904082.75077479996"/>
  </r>
  <r>
    <x v="10"/>
    <x v="6"/>
    <x v="2"/>
    <n v="-5573898.6111000003"/>
    <n v="262601"/>
    <n v="-5311297.6111000003"/>
    <n v="-8497.3536543999999"/>
    <n v="400.33264380000003"/>
    <n v="-8097.0210107000003"/>
  </r>
  <r>
    <x v="10"/>
    <x v="6"/>
    <x v="3"/>
    <n v="162954745.0316"/>
    <n v="37161263"/>
    <n v="200116008.0316"/>
    <n v="248422.90734239999"/>
    <n v="56651.9802365"/>
    <n v="305074.88757889997"/>
  </r>
  <r>
    <x v="10"/>
    <x v="7"/>
    <x v="0"/>
    <n v="223624651.4463"/>
    <n v="101751616"/>
    <n v="325376267.44630003"/>
    <n v="340913.5834305"/>
    <n v="155119.33861519999"/>
    <n v="496032.92204570002"/>
  </r>
  <r>
    <x v="10"/>
    <x v="7"/>
    <x v="1"/>
    <n v="330083431.18540001"/>
    <n v="286640103"/>
    <n v="616723534.18540001"/>
    <n v="503208.94690570002"/>
    <n v="436980.02003180003"/>
    <n v="940188.96693750005"/>
  </r>
  <r>
    <x v="10"/>
    <x v="7"/>
    <x v="2"/>
    <n v="-4180376.0885999999"/>
    <n v="-832233"/>
    <n v="-5012609.0886000004"/>
    <n v="-6372.9422639000004"/>
    <n v="-1268.7310296000001"/>
    <n v="-7641.6732935"/>
  </r>
  <r>
    <x v="10"/>
    <x v="7"/>
    <x v="3"/>
    <n v="161346130.8064"/>
    <n v="28348383"/>
    <n v="189694513.8064"/>
    <n v="245970.5907649"/>
    <n v="43216.831286200002"/>
    <n v="289187.4220511"/>
  </r>
  <r>
    <x v="0"/>
    <x v="8"/>
    <x v="0"/>
    <n v="256908374.56110001"/>
    <n v="66542025"/>
    <n v="323450399.56110001"/>
    <n v="391654.292219"/>
    <n v="101442.6631624"/>
    <n v="493096.95538140001"/>
  </r>
  <r>
    <x v="0"/>
    <x v="8"/>
    <x v="1"/>
    <n v="322302974.60070002"/>
    <n v="157211239.74000001"/>
    <n v="479514214.34069997"/>
    <n v="491347.7173057"/>
    <n v="239666.9899704"/>
    <n v="731014.70727609994"/>
  </r>
  <r>
    <x v="0"/>
    <x v="8"/>
    <x v="2"/>
    <n v="-6388.1165000000001"/>
    <n v="0"/>
    <n v="-6388.1165000000001"/>
    <n v="-9.7386207999999996"/>
    <n v="0"/>
    <n v="-9.7386207999999996"/>
  </r>
  <r>
    <x v="0"/>
    <x v="8"/>
    <x v="3"/>
    <n v="169566618.2326"/>
    <n v="25542231"/>
    <n v="195108849.2326"/>
    <n v="258502.64305829999"/>
    <n v="38938.880140000001"/>
    <n v="297441.52319829998"/>
  </r>
  <r>
    <x v="0"/>
    <x v="9"/>
    <x v="0"/>
    <n v="254901878.06060001"/>
    <n v="87881717"/>
    <n v="342783595.06059998"/>
    <n v="388595.4080231"/>
    <n v="133974.81389789999"/>
    <n v="522570.22192089999"/>
  </r>
  <r>
    <x v="0"/>
    <x v="9"/>
    <x v="1"/>
    <n v="231813391.07159999"/>
    <n v="131757141.92"/>
    <n v="363570532.99159998"/>
    <n v="353397.23651339998"/>
    <n v="200862.4679971"/>
    <n v="554259.70451049996"/>
  </r>
  <r>
    <x v="0"/>
    <x v="9"/>
    <x v="2"/>
    <n v="-941.70709999999997"/>
    <n v="4550"/>
    <n v="3608.2928999999999"/>
    <n v="-1.4356232"/>
    <n v="6.9364302999999996"/>
    <n v="5.5008071000000003"/>
  </r>
  <r>
    <x v="0"/>
    <x v="9"/>
    <x v="3"/>
    <n v="214698887.69569999"/>
    <n v="41977643"/>
    <n v="256676530.69569999"/>
    <n v="327306.34431170003"/>
    <n v="63994.504212899999"/>
    <n v="391300.84852469998"/>
  </r>
  <r>
    <x v="1"/>
    <x v="8"/>
    <x v="0"/>
    <n v="188875407.86469999"/>
    <n v="11490223"/>
    <n v="200365630.86469999"/>
    <n v="287938.70309289999"/>
    <n v="17516.732041899999"/>
    <n v="305455.43513479998"/>
  </r>
  <r>
    <x v="1"/>
    <x v="8"/>
    <x v="1"/>
    <n v="675208788.84130001"/>
    <n v="661703730"/>
    <n v="1336912518.8413"/>
    <n v="1029349.1628892"/>
    <n v="1008760.8334082999"/>
    <n v="2038109.9962975001"/>
  </r>
  <r>
    <x v="1"/>
    <x v="8"/>
    <x v="2"/>
    <n v="555940.14549999998"/>
    <n v="13779"/>
    <n v="569719.14549999998"/>
    <n v="847.52528819999998"/>
    <n v="21.0059501"/>
    <n v="868.53123830000004"/>
  </r>
  <r>
    <x v="1"/>
    <x v="8"/>
    <x v="3"/>
    <n v="506755631.01090002"/>
    <n v="68049045"/>
    <n v="574804676.01090002"/>
    <n v="772543.97927140002"/>
    <n v="103740.1003419"/>
    <n v="876284.07961330004"/>
  </r>
  <r>
    <x v="1"/>
    <x v="9"/>
    <x v="0"/>
    <n v="271188235.35579997"/>
    <n v="-43827261"/>
    <n v="227360974.3558"/>
    <n v="413423.79966339999"/>
    <n v="-66814.228676600003"/>
    <n v="346609.57098680001"/>
  </r>
  <r>
    <x v="1"/>
    <x v="9"/>
    <x v="1"/>
    <n v="617512485.65820003"/>
    <n v="647802066"/>
    <n v="1265314551.6582"/>
    <n v="941391.71570419997"/>
    <n v="987567.88326060004"/>
    <n v="1928959.5989649"/>
  </r>
  <r>
    <x v="1"/>
    <x v="9"/>
    <x v="2"/>
    <n v="35.828299999999999"/>
    <n v="0"/>
    <n v="35.828299999999999"/>
    <n v="5.4619899999999999E-2"/>
    <n v="0"/>
    <n v="5.4619899999999999E-2"/>
  </r>
  <r>
    <x v="1"/>
    <x v="9"/>
    <x v="3"/>
    <n v="656322122.81210005"/>
    <n v="87832836"/>
    <n v="744154958.81210005"/>
    <n v="1000556.6261388001"/>
    <n v="133900.29529370001"/>
    <n v="1134456.9214325"/>
  </r>
  <r>
    <x v="2"/>
    <x v="8"/>
    <x v="0"/>
    <n v="3950113744.5637002"/>
    <n v="1690116434"/>
    <n v="5640230178.5636997"/>
    <n v="6021909.5833472004"/>
    <n v="2576565.893801"/>
    <n v="8598475.4771481995"/>
  </r>
  <r>
    <x v="2"/>
    <x v="8"/>
    <x v="1"/>
    <n v="5012171670.9513998"/>
    <n v="3100579552"/>
    <n v="8112751222.9513998"/>
    <n v="7641006.4546173001"/>
    <n v="4726803.0556880999"/>
    <n v="12367809.510305399"/>
  </r>
  <r>
    <x v="2"/>
    <x v="8"/>
    <x v="2"/>
    <n v="4771989.9505000003"/>
    <n v="21838676"/>
    <n v="26610665.9505"/>
    <n v="7274.8517822000003"/>
    <n v="33292.846939700001"/>
    <n v="40567.6987219"/>
  </r>
  <r>
    <x v="2"/>
    <x v="8"/>
    <x v="3"/>
    <n v="4014574715.5356998"/>
    <n v="686912478"/>
    <n v="4701487193.5356998"/>
    <n v="6120179.7000957001"/>
    <n v="1047191.3219921"/>
    <n v="7167371.0220879"/>
  </r>
  <r>
    <x v="2"/>
    <x v="9"/>
    <x v="0"/>
    <n v="4815773760.3585997"/>
    <n v="1866250746"/>
    <n v="6682024506.3585997"/>
    <n v="7341599.7700437997"/>
    <n v="2845080.9214627999"/>
    <n v="10186680.6915066"/>
  </r>
  <r>
    <x v="2"/>
    <x v="9"/>
    <x v="1"/>
    <n v="5715179279.0115004"/>
    <n v="3471286947"/>
    <n v="9186466226.0114994"/>
    <n v="8712734.6442090999"/>
    <n v="5291942.8361919997"/>
    <n v="14004677.480401199"/>
  </r>
  <r>
    <x v="2"/>
    <x v="9"/>
    <x v="2"/>
    <n v="5624728.8737000003"/>
    <n v="-7811764"/>
    <n v="-2187035.1263000001"/>
    <n v="8574.8438901999998"/>
    <n v="-11908.9574469"/>
    <n v="-3334.1135567000001"/>
  </r>
  <r>
    <x v="2"/>
    <x v="9"/>
    <x v="3"/>
    <n v="4350246344.8536997"/>
    <n v="725552301"/>
    <n v="5075798645.8536997"/>
    <n v="6631907.8001357997"/>
    <n v="1106097.3524179"/>
    <n v="7738005.1525536999"/>
  </r>
  <r>
    <x v="3"/>
    <x v="8"/>
    <x v="0"/>
    <n v="1385325176.1113"/>
    <n v="736761639"/>
    <n v="2122086815.1113"/>
    <n v="2111914.6165240998"/>
    <n v="1123185.8780377"/>
    <n v="3235100.4945617998"/>
  </r>
  <r>
    <x v="3"/>
    <x v="8"/>
    <x v="1"/>
    <n v="1740434378.9075999"/>
    <n v="1613884555"/>
    <n v="3354318933.9075999"/>
    <n v="2653275.1063067"/>
    <n v="2460351.1434439002"/>
    <n v="5113626.2497504996"/>
  </r>
  <r>
    <x v="3"/>
    <x v="8"/>
    <x v="2"/>
    <n v="-45673307.158699997"/>
    <n v="13853698"/>
    <n v="-31819609.1587"/>
    <n v="-69628.507903299993"/>
    <n v="21119.826452000001"/>
    <n v="-48508.681451199998"/>
  </r>
  <r>
    <x v="3"/>
    <x v="8"/>
    <x v="3"/>
    <n v="691856450.60450006"/>
    <n v="166960323"/>
    <n v="858816773.60450006"/>
    <n v="1054728.3596401999"/>
    <n v="254529.37158989999"/>
    <n v="1309257.7312300999"/>
  </r>
  <r>
    <x v="3"/>
    <x v="9"/>
    <x v="0"/>
    <n v="1568476653.7828"/>
    <n v="995784418"/>
    <n v="2564261071.7828002"/>
    <n v="2391127.2442900999"/>
    <n v="1518063.5590443001"/>
    <n v="3909190.8033344001"/>
  </r>
  <r>
    <x v="3"/>
    <x v="9"/>
    <x v="1"/>
    <n v="2047454404.5486"/>
    <n v="1370730635"/>
    <n v="3418185039.5486002"/>
    <n v="3121324.1181184002"/>
    <n v="2089665.3820296"/>
    <n v="5210989.5001480002"/>
  </r>
  <r>
    <x v="3"/>
    <x v="9"/>
    <x v="2"/>
    <n v="-48744278.666299999"/>
    <n v="6842641"/>
    <n v="-41901637.666299999"/>
    <n v="-74310.173786200001"/>
    <n v="10431.5389576"/>
    <n v="-63878.6348287"/>
  </r>
  <r>
    <x v="3"/>
    <x v="9"/>
    <x v="3"/>
    <n v="706845263.99189997"/>
    <n v="246968210"/>
    <n v="953813473.99189997"/>
    <n v="1077578.6583447999"/>
    <n v="376500.60903380002"/>
    <n v="1454079.2673787"/>
  </r>
  <r>
    <x v="4"/>
    <x v="8"/>
    <x v="0"/>
    <n v="313289154.12269998"/>
    <n v="232370782"/>
    <n v="545659936.12269998"/>
    <n v="477606.23657150002"/>
    <n v="354246.97350590001"/>
    <n v="831853.21007729997"/>
  </r>
  <r>
    <x v="4"/>
    <x v="8"/>
    <x v="1"/>
    <n v="66036071.471900001"/>
    <n v="63956419"/>
    <n v="129992490.4719"/>
    <n v="100671.34198110001"/>
    <n v="97500.932225700002"/>
    <n v="198172.27420680001"/>
  </r>
  <r>
    <x v="4"/>
    <x v="8"/>
    <x v="2"/>
    <n v="-1217244.5112000001"/>
    <n v="362956"/>
    <n v="-854288.51119999995"/>
    <n v="-1855.6772946999999"/>
    <n v="553.322855"/>
    <n v="-1302.3544397000001"/>
  </r>
  <r>
    <x v="4"/>
    <x v="8"/>
    <x v="3"/>
    <n v="337690743.426"/>
    <n v="160350335"/>
    <n v="498041078.426"/>
    <n v="514806.21965460002"/>
    <n v="244452.50984439999"/>
    <n v="759258.72949900001"/>
  </r>
  <r>
    <x v="4"/>
    <x v="9"/>
    <x v="0"/>
    <n v="314457622.26410002"/>
    <n v="234331596"/>
    <n v="548789218.26409996"/>
    <n v="479387.55476969999"/>
    <n v="357236.21517869999"/>
    <n v="836623.76994849998"/>
  </r>
  <r>
    <x v="4"/>
    <x v="9"/>
    <x v="1"/>
    <n v="77622433.586300001"/>
    <n v="77926665"/>
    <n v="155549098.58629999"/>
    <n v="118334.6371581"/>
    <n v="118798.4349584"/>
    <n v="237133.0721165"/>
  </r>
  <r>
    <x v="4"/>
    <x v="9"/>
    <x v="2"/>
    <n v="-556805.55909999995"/>
    <n v="86200"/>
    <n v="-470605.55910000001"/>
    <n v="-848.84460279999996"/>
    <n v="131.41105289999999"/>
    <n v="-717.4335499"/>
  </r>
  <r>
    <x v="4"/>
    <x v="9"/>
    <x v="3"/>
    <n v="472819161.95550001"/>
    <n v="172691455"/>
    <n v="645510616.95550001"/>
    <n v="720808.16571129998"/>
    <n v="263266.42600049998"/>
    <n v="984074.59171179996"/>
  </r>
  <r>
    <x v="5"/>
    <x v="8"/>
    <x v="0"/>
    <n v="-1301864.8832"/>
    <n v="1421038.69"/>
    <n v="119173.80680000001"/>
    <n v="-193955.0196955"/>
    <n v="211709.8253926"/>
    <n v="17754.805697100001"/>
  </r>
  <r>
    <x v="5"/>
    <x v="8"/>
    <x v="1"/>
    <n v="1454380.5965"/>
    <n v="5228107.8499999996"/>
    <n v="6682488.4464999996"/>
    <n v="216677.18430620001"/>
    <n v="778896.31566399999"/>
    <n v="995573.49997020001"/>
  </r>
  <r>
    <x v="5"/>
    <x v="8"/>
    <x v="2"/>
    <n v="4181.4254000000001"/>
    <n v="859.76"/>
    <n v="5041.1854000000003"/>
    <n v="622.95899999999995"/>
    <n v="128.08915110000001"/>
    <n v="751.04815110000004"/>
  </r>
  <r>
    <x v="5"/>
    <x v="8"/>
    <x v="3"/>
    <n v="511296.27340000001"/>
    <n v="525921.75"/>
    <n v="1037218.0233999999"/>
    <n v="76174.171419200007"/>
    <n v="78353.110753600005"/>
    <n v="154527.28217280001"/>
  </r>
  <r>
    <x v="5"/>
    <x v="9"/>
    <x v="0"/>
    <n v="-1866995.8167999999"/>
    <n v="1299097.8899999999"/>
    <n v="-567897.92680000002"/>
    <n v="-236370.4728433"/>
    <n v="164471.9178082"/>
    <n v="-71898.555035099998"/>
  </r>
  <r>
    <x v="5"/>
    <x v="9"/>
    <x v="1"/>
    <n v="287132.97440000001"/>
    <n v="5019335.8499999996"/>
    <n v="5306468.8244000003"/>
    <n v="36352.388321999999"/>
    <n v="635471.58357180003"/>
    <n v="671823.97189379996"/>
  </r>
  <r>
    <x v="5"/>
    <x v="9"/>
    <x v="2"/>
    <n v="-7405.8562000000002"/>
    <n v="3545.48"/>
    <n v="-3860.3762000000002"/>
    <n v="-937.61631179999995"/>
    <n v="448.87448410000002"/>
    <n v="-488.74182769999999"/>
  </r>
  <r>
    <x v="5"/>
    <x v="9"/>
    <x v="3"/>
    <n v="938454.06889999995"/>
    <n v="1869772.25"/>
    <n v="2808226.3188999998"/>
    <n v="118812.70970799999"/>
    <n v="236721.9823766"/>
    <n v="355534.69208469999"/>
  </r>
  <r>
    <x v="6"/>
    <x v="8"/>
    <x v="0"/>
    <n v="4891283183.0354996"/>
    <n v="3155089048"/>
    <n v="8046372231.0354996"/>
    <n v="418356.75516850001"/>
    <n v="269858.18792240001"/>
    <n v="688214.94309089996"/>
  </r>
  <r>
    <x v="6"/>
    <x v="8"/>
    <x v="1"/>
    <n v="6262246535.1063004"/>
    <n v="8186443009"/>
    <n v="14448689544.1063"/>
    <n v="535616.73746039998"/>
    <n v="700195.34863489994"/>
    <n v="1235812.0860953"/>
  </r>
  <r>
    <x v="6"/>
    <x v="8"/>
    <x v="2"/>
    <n v="38191902.7245"/>
    <n v="1894559"/>
    <n v="40086461.7245"/>
    <n v="3266.5948586"/>
    <n v="162.04368590000001"/>
    <n v="3428.6385445000001"/>
  </r>
  <r>
    <x v="6"/>
    <x v="8"/>
    <x v="3"/>
    <n v="4538926461.1322002"/>
    <n v="553249285"/>
    <n v="5092175746.1322002"/>
    <n v="388219.30261860002"/>
    <n v="47320.011336600001"/>
    <n v="435539.31395520002"/>
  </r>
  <r>
    <x v="6"/>
    <x v="9"/>
    <x v="0"/>
    <n v="10520187383.6112"/>
    <n v="3092592199"/>
    <n v="13612779582.6112"/>
    <n v="1074330.4766738999"/>
    <n v="315818.14374199999"/>
    <n v="1390148.6204158999"/>
  </r>
  <r>
    <x v="6"/>
    <x v="9"/>
    <x v="1"/>
    <n v="18416724832.320801"/>
    <n v="8729895777"/>
    <n v="27146620609.320801"/>
    <n v="1880731.5921674999"/>
    <n v="891504.37624609994"/>
    <n v="2772235.9684135001"/>
  </r>
  <r>
    <x v="6"/>
    <x v="9"/>
    <x v="2"/>
    <n v="49484882.934799999"/>
    <n v="3324242"/>
    <n v="52809124.934799999"/>
    <n v="5053.4383023"/>
    <n v="339.47441830000002"/>
    <n v="5392.9127206000003"/>
  </r>
  <r>
    <x v="6"/>
    <x v="9"/>
    <x v="3"/>
    <n v="7338568904.5942001"/>
    <n v="509736521"/>
    <n v="7848305425.5942001"/>
    <n v="749420.89355359995"/>
    <n v="52054.726747300003"/>
    <n v="801475.62030089996"/>
  </r>
  <r>
    <x v="7"/>
    <x v="8"/>
    <x v="0"/>
    <n v="6764184853.5362997"/>
    <n v="2150083658.0599999"/>
    <n v="8914268511.5963001"/>
    <n v="1528449.7310003"/>
    <n v="485837.51922030002"/>
    <n v="2014287.2502206"/>
  </r>
  <r>
    <x v="7"/>
    <x v="8"/>
    <x v="1"/>
    <n v="12730672943.076799"/>
    <n v="6259052517.4799995"/>
    <n v="18989725460.556801"/>
    <n v="2876650.1886956999"/>
    <n v="1414308.9439162"/>
    <n v="4290959.1326118996"/>
  </r>
  <r>
    <x v="7"/>
    <x v="8"/>
    <x v="2"/>
    <n v="376554.3627"/>
    <n v="724559.2"/>
    <n v="1101113.5626999999"/>
    <n v="85.087032199999996"/>
    <n v="163.7229523"/>
    <n v="248.80998450000001"/>
  </r>
  <r>
    <x v="7"/>
    <x v="8"/>
    <x v="3"/>
    <n v="1847050630.2107999"/>
    <n v="516188497.06999999"/>
    <n v="2363239127.2807999"/>
    <n v="417363.52568979998"/>
    <n v="116639.06096230001"/>
    <n v="534002.58665209997"/>
  </r>
  <r>
    <x v="7"/>
    <x v="9"/>
    <x v="0"/>
    <n v="7480395825.9708004"/>
    <n v="1985423015.4400001"/>
    <n v="9465818841.4108009"/>
    <n v="1688992.5119207001"/>
    <n v="448287.05379879999"/>
    <n v="2137279.5657195002"/>
  </r>
  <r>
    <x v="7"/>
    <x v="9"/>
    <x v="1"/>
    <n v="16004896447.799801"/>
    <n v="6414260552.46"/>
    <n v="22419157000.2598"/>
    <n v="3613732.5996237998"/>
    <n v="1448270.6924413"/>
    <n v="5062003.2920650002"/>
  </r>
  <r>
    <x v="7"/>
    <x v="9"/>
    <x v="2"/>
    <n v="749112.35490000003"/>
    <n v="277512.25"/>
    <n v="1026624.6049"/>
    <n v="169.14147159999999"/>
    <n v="62.659266000000002"/>
    <n v="231.80073759999999"/>
  </r>
  <r>
    <x v="7"/>
    <x v="9"/>
    <x v="3"/>
    <n v="2394655293.9633999"/>
    <n v="616571526.20000005"/>
    <n v="3011226820.1634002"/>
    <n v="540687.27835140005"/>
    <n v="139215.1852713"/>
    <n v="679902.46362269996"/>
  </r>
  <r>
    <x v="8"/>
    <x v="8"/>
    <x v="0"/>
    <n v="6886560.8397000004"/>
    <n v="6403820"/>
    <n v="13290380.8397"/>
    <n v="163343.47342739999"/>
    <n v="151893.26375710001"/>
    <n v="315236.73718449997"/>
  </r>
  <r>
    <x v="8"/>
    <x v="8"/>
    <x v="1"/>
    <n v="19269228.2245"/>
    <n v="24245247.91"/>
    <n v="43514476.134499997"/>
    <n v="457050.00532499998"/>
    <n v="575077.03771349997"/>
    <n v="1032127.0430384"/>
  </r>
  <r>
    <x v="8"/>
    <x v="8"/>
    <x v="2"/>
    <n v="-1621456.0512999999"/>
    <n v="9598.0300000000007"/>
    <n v="-1611858.0212999999"/>
    <n v="-38459.583759499998"/>
    <n v="227.65725810000001"/>
    <n v="-38231.926501399998"/>
  </r>
  <r>
    <x v="8"/>
    <x v="8"/>
    <x v="3"/>
    <n v="5453824.2017999999"/>
    <n v="2027542.49"/>
    <n v="7481366.6918000001"/>
    <n v="129360.15658920001"/>
    <n v="48091.615038000004"/>
    <n v="177451.77162710001"/>
  </r>
  <r>
    <x v="8"/>
    <x v="9"/>
    <x v="0"/>
    <n v="5783759.2215999998"/>
    <n v="11114773.74"/>
    <n v="16898532.961599998"/>
    <n v="143197.80197080001"/>
    <n v="275186.27729639999"/>
    <n v="418384.07926710002"/>
  </r>
  <r>
    <x v="8"/>
    <x v="9"/>
    <x v="1"/>
    <n v="20914894.5546"/>
    <n v="24912891.510000002"/>
    <n v="45827786.064599998"/>
    <n v="517823.58392180002"/>
    <n v="616808.40579350002"/>
    <n v="1134631.9897153"/>
  </r>
  <r>
    <x v="8"/>
    <x v="9"/>
    <x v="2"/>
    <n v="-1820366.1457"/>
    <n v="26905.72"/>
    <n v="-1793460.4257"/>
    <n v="-45069.723835099998"/>
    <n v="666.14805639999997"/>
    <n v="-44403.575778699997"/>
  </r>
  <r>
    <x v="8"/>
    <x v="9"/>
    <x v="3"/>
    <n v="1643985.8758"/>
    <n v="2622165.84"/>
    <n v="4266151.7158000004"/>
    <n v="40702.794647199997"/>
    <n v="64921.164644700002"/>
    <n v="105623.9592919"/>
  </r>
  <r>
    <x v="9"/>
    <x v="8"/>
    <x v="0"/>
    <n v="1552368207.3833001"/>
    <n v="353590635"/>
    <n v="1905958842.3833001"/>
    <n v="2366570.0760618001"/>
    <n v="539045.44810100005"/>
    <n v="2905615.5241629002"/>
  </r>
  <r>
    <x v="9"/>
    <x v="8"/>
    <x v="1"/>
    <n v="1991882487.092"/>
    <n v="1029601500"/>
    <n v="3021483987.092"/>
    <n v="3036605.2760958001"/>
    <n v="1569617.3682116"/>
    <n v="4606222.6443074998"/>
  </r>
  <r>
    <x v="9"/>
    <x v="8"/>
    <x v="2"/>
    <n v="-163686543.59060001"/>
    <n v="9605292"/>
    <n v="-154081251.59060001"/>
    <n v="-249538.5270538"/>
    <n v="14643.173256800001"/>
    <n v="-234895.35379699999"/>
  </r>
  <r>
    <x v="9"/>
    <x v="8"/>
    <x v="3"/>
    <n v="1989686396.0192001"/>
    <n v="150633233"/>
    <n v="2140319629.0192001"/>
    <n v="3033257.3568377001"/>
    <n v="229638.88334140001"/>
    <n v="3262896.2401792002"/>
  </r>
  <r>
    <x v="9"/>
    <x v="9"/>
    <x v="0"/>
    <n v="1678577589.4277"/>
    <n v="412019323"/>
    <n v="2090596912.4277"/>
    <n v="2558975.0386498999"/>
    <n v="628119.4087417"/>
    <n v="3187094.4473917"/>
  </r>
  <r>
    <x v="9"/>
    <x v="9"/>
    <x v="1"/>
    <n v="1729847308.3289001"/>
    <n v="845563178.62"/>
    <n v="2575410486.9489002"/>
    <n v="2637135.2212552"/>
    <n v="1289052.7559276"/>
    <n v="3926187.9771828"/>
  </r>
  <r>
    <x v="9"/>
    <x v="9"/>
    <x v="2"/>
    <n v="-168441994.61930001"/>
    <n v="7390213"/>
    <n v="-161051781.61930001"/>
    <n v="-256788.1654122"/>
    <n v="11266.307090300001"/>
    <n v="-245521.85832199999"/>
  </r>
  <r>
    <x v="9"/>
    <x v="9"/>
    <x v="3"/>
    <n v="2465028241.4366002"/>
    <n v="195774818.09"/>
    <n v="2660803059.5265999"/>
    <n v="3757911.3286946998"/>
    <n v="298456.78617650003"/>
    <n v="4056368.1148712002"/>
  </r>
  <r>
    <x v="10"/>
    <x v="8"/>
    <x v="0"/>
    <n v="227857693.8247"/>
    <n v="132674933"/>
    <n v="360532626.8247"/>
    <n v="347366.81493559998"/>
    <n v="202261.6314789"/>
    <n v="549628.44641450001"/>
  </r>
  <r>
    <x v="10"/>
    <x v="8"/>
    <x v="1"/>
    <n v="479056783.15710002"/>
    <n v="454663229"/>
    <n v="933720012.15709996"/>
    <n v="730317.35793219996"/>
    <n v="693129.62435039994"/>
    <n v="1423446.9822825"/>
  </r>
  <r>
    <x v="10"/>
    <x v="8"/>
    <x v="2"/>
    <n v="-8375586.0411"/>
    <n v="430812"/>
    <n v="-7944774.0411"/>
    <n v="-12768.4986075"/>
    <n v="656.76866010000003"/>
    <n v="-12111.729947399999"/>
  </r>
  <r>
    <x v="10"/>
    <x v="8"/>
    <x v="3"/>
    <n v="245656216.68360001"/>
    <n v="51631110"/>
    <n v="297287326.68360001"/>
    <n v="374500.48811680003"/>
    <n v="78711.119783799993"/>
    <n v="453211.60790050001"/>
  </r>
  <r>
    <x v="10"/>
    <x v="9"/>
    <x v="0"/>
    <n v="365089230.31459999"/>
    <n v="211200307"/>
    <n v="576289537.31459999"/>
    <n v="556574.94365419995"/>
    <n v="321972.79242389998"/>
    <n v="878547.73607810005"/>
  </r>
  <r>
    <x v="10"/>
    <x v="9"/>
    <x v="1"/>
    <n v="439647678.39579999"/>
    <n v="386044540"/>
    <n v="825692218.39579999"/>
    <n v="670238.56502149999"/>
    <n v="588521.10732870002"/>
    <n v="1258759.6723501999"/>
  </r>
  <r>
    <x v="10"/>
    <x v="9"/>
    <x v="2"/>
    <n v="-7489560.5004000003"/>
    <n v="103527"/>
    <n v="-7386033.5004000003"/>
    <n v="-11417.7613783"/>
    <n v="157.8258941"/>
    <n v="-11259.935484199999"/>
  </r>
  <r>
    <x v="10"/>
    <x v="9"/>
    <x v="3"/>
    <n v="275206238.88639998"/>
    <n v="55478610"/>
    <n v="330684848.88639998"/>
    <n v="419549.20655840001"/>
    <n v="84576.595721999998"/>
    <n v="504125.80228030001"/>
  </r>
  <r>
    <x v="0"/>
    <x v="10"/>
    <x v="0"/>
    <n v="341316373.68690002"/>
    <n v="88710189"/>
    <n v="430026562.68690002"/>
    <n v="520333.45735600003"/>
    <n v="135237.81131990001"/>
    <n v="655571.26867599995"/>
  </r>
  <r>
    <x v="0"/>
    <x v="10"/>
    <x v="1"/>
    <n v="429953992.45370001"/>
    <n v="214301878.38"/>
    <n v="644255870.83369994"/>
    <n v="655460.6360687"/>
    <n v="326701.10751160001"/>
    <n v="982161.74358030001"/>
  </r>
  <r>
    <x v="0"/>
    <x v="10"/>
    <x v="2"/>
    <n v="-8030.1614"/>
    <n v="0"/>
    <n v="-8030.1614"/>
    <n v="-12.241902100000001"/>
    <n v="0"/>
    <n v="-12.241902100000001"/>
  </r>
  <r>
    <x v="0"/>
    <x v="10"/>
    <x v="3"/>
    <n v="225123041.8143"/>
    <n v="35683743"/>
    <n v="260806784.8143"/>
    <n v="343197.86482090002"/>
    <n v="54399.515517"/>
    <n v="397597.38033790002"/>
  </r>
  <r>
    <x v="0"/>
    <x v="11"/>
    <x v="0"/>
    <n v="340593465.83560002"/>
    <n v="117481459"/>
    <n v="458074924.83560002"/>
    <n v="519231.39144119999"/>
    <n v="179099.32968170001"/>
    <n v="698330.72112290002"/>
  </r>
  <r>
    <x v="0"/>
    <x v="11"/>
    <x v="1"/>
    <n v="284882774.81770003"/>
    <n v="173029505.56"/>
    <n v="457912280.37769997"/>
    <n v="434300.99048819998"/>
    <n v="263781.78075699997"/>
    <n v="698082.77124519995"/>
  </r>
  <r>
    <x v="0"/>
    <x v="11"/>
    <x v="2"/>
    <n v="468.61840000000001"/>
    <n v="0"/>
    <n v="468.61840000000001"/>
    <n v="0.71440409999999999"/>
    <n v="0"/>
    <n v="0.71440409999999999"/>
  </r>
  <r>
    <x v="0"/>
    <x v="11"/>
    <x v="3"/>
    <n v="308560857.04650003"/>
    <n v="59726932"/>
    <n v="368287789.04650003"/>
    <n v="470397.99414670002"/>
    <n v="91053.120860099996"/>
    <n v="561451.11500680004"/>
  </r>
  <r>
    <x v="1"/>
    <x v="10"/>
    <x v="0"/>
    <n v="254559635.11390001"/>
    <n v="15146849"/>
    <n v="269706484.11390001"/>
    <n v="388073.6620143"/>
    <n v="23091.222442900002"/>
    <n v="411164.88445720001"/>
  </r>
  <r>
    <x v="1"/>
    <x v="10"/>
    <x v="1"/>
    <n v="902558084.52349997"/>
    <n v="893949096"/>
    <n v="1796507180.5235"/>
    <n v="1375940.9298529001"/>
    <n v="1362816.6114546999"/>
    <n v="2738757.5413076002"/>
  </r>
  <r>
    <x v="1"/>
    <x v="10"/>
    <x v="2"/>
    <n v="711908.72420000006"/>
    <n v="17779"/>
    <n v="729687.72420000006"/>
    <n v="1085.2978536999999"/>
    <n v="27.103910800000001"/>
    <n v="1112.4017644"/>
  </r>
  <r>
    <x v="1"/>
    <x v="10"/>
    <x v="3"/>
    <n v="682013951.48679996"/>
    <n v="88184686"/>
    <n v="770198637.48679996"/>
    <n v="1039723.5664637"/>
    <n v="134436.68716090001"/>
    <n v="1174160.2536245999"/>
  </r>
  <r>
    <x v="1"/>
    <x v="11"/>
    <x v="0"/>
    <n v="363889479.9684"/>
    <n v="-42936860"/>
    <n v="320952619.9684"/>
    <n v="554745.93604209996"/>
    <n v="-65456.821102599999"/>
    <n v="489289.1149395"/>
  </r>
  <r>
    <x v="1"/>
    <x v="11"/>
    <x v="1"/>
    <n v="825203969.21469998"/>
    <n v="834463525"/>
    <n v="1659667494.2147"/>
    <n v="1258015.3412719001"/>
    <n v="1272131.4430672"/>
    <n v="2530146.7843391001"/>
  </r>
  <r>
    <x v="1"/>
    <x v="11"/>
    <x v="2"/>
    <n v="35.828299999999999"/>
    <n v="0"/>
    <n v="35.828299999999999"/>
    <n v="5.4619899999999999E-2"/>
    <n v="0"/>
    <n v="5.4619899999999999E-2"/>
  </r>
  <r>
    <x v="1"/>
    <x v="11"/>
    <x v="3"/>
    <n v="869730278.17349994"/>
    <n v="112225485"/>
    <n v="981955763.17349994"/>
    <n v="1325895.2616917"/>
    <n v="171086.6489724"/>
    <n v="1496981.9106641"/>
  </r>
  <r>
    <x v="2"/>
    <x v="10"/>
    <x v="0"/>
    <n v="5324200924.9195995"/>
    <n v="2240298062"/>
    <n v="7564498986.9195995"/>
    <n v="8116691.985785"/>
    <n v="3415312.3787078001"/>
    <n v="11532004.3644928"/>
  </r>
  <r>
    <x v="2"/>
    <x v="10"/>
    <x v="1"/>
    <n v="6727723250.9681997"/>
    <n v="4172381830"/>
    <n v="10900105080.968201"/>
    <n v="10256347.9785538"/>
    <n v="6360755.0952273002"/>
    <n v="16617103.073781099"/>
  </r>
  <r>
    <x v="2"/>
    <x v="10"/>
    <x v="2"/>
    <n v="6373318.2549999999"/>
    <n v="-7542457"/>
    <n v="-1169138.7450000001"/>
    <n v="9716.0610452000001"/>
    <n v="-11498.4015721"/>
    <n v="-1782.3405269"/>
  </r>
  <r>
    <x v="2"/>
    <x v="10"/>
    <x v="3"/>
    <n v="5323699892.8459997"/>
    <n v="902066175"/>
    <n v="6225766067.8459997"/>
    <n v="8115928.1673128"/>
    <n v="1375191.0186186"/>
    <n v="9491119.1859313995"/>
  </r>
  <r>
    <x v="2"/>
    <x v="11"/>
    <x v="0"/>
    <n v="6473177091.9878998"/>
    <n v="2505216720"/>
    <n v="8977727921.9878998"/>
    <n v="9868294.8607726991"/>
    <n v="3819178.2693073"/>
    <n v="13686457.987319101"/>
  </r>
  <r>
    <x v="2"/>
    <x v="11"/>
    <x v="1"/>
    <n v="7678433128.2088003"/>
    <n v="4692631711"/>
    <n v="12368320054.208799"/>
    <n v="11705695.843186099"/>
    <n v="7153870.9259906001"/>
    <n v="18855382.371418901"/>
  </r>
  <r>
    <x v="2"/>
    <x v="11"/>
    <x v="2"/>
    <n v="7536051.3978000004"/>
    <n v="62627663"/>
    <n v="70163714.397799999"/>
    <n v="11488.6362945"/>
    <n v="95475.256762300007"/>
    <n v="106963.89305670001"/>
  </r>
  <r>
    <x v="2"/>
    <x v="11"/>
    <x v="3"/>
    <n v="5838783761.6199999"/>
    <n v="995586215"/>
    <n v="6834142401.6199999"/>
    <n v="8901168.4632072002"/>
    <n v="1517761.4005185999"/>
    <n v="10418582.9278748"/>
  </r>
  <r>
    <x v="3"/>
    <x v="10"/>
    <x v="0"/>
    <n v="1855045710.2774999"/>
    <n v="1001185523"/>
    <n v="2856231233.2775002"/>
    <n v="2827998.9546228"/>
    <n v="1526297.4905367"/>
    <n v="4354296.4451595005"/>
  </r>
  <r>
    <x v="3"/>
    <x v="10"/>
    <x v="1"/>
    <n v="2352023167.4744"/>
    <n v="2163038085"/>
    <n v="4515061252.4743996"/>
    <n v="3585636.2040109001"/>
    <n v="3297530.3030534"/>
    <n v="6883166.5070642997"/>
  </r>
  <r>
    <x v="3"/>
    <x v="10"/>
    <x v="2"/>
    <n v="-60546445.0986"/>
    <n v="16779564"/>
    <n v="-43766881.0986"/>
    <n v="-92302.460525000002"/>
    <n v="25580.280414699999"/>
    <n v="-66722.180110300003"/>
  </r>
  <r>
    <x v="3"/>
    <x v="10"/>
    <x v="3"/>
    <n v="928888657.21700001"/>
    <n v="223719899"/>
    <n v="1152608556.217"/>
    <n v="1416081.6291571001"/>
    <n v="341058.78739000001"/>
    <n v="1757140.4165471001"/>
  </r>
  <r>
    <x v="3"/>
    <x v="11"/>
    <x v="0"/>
    <n v="2097762365.4460001"/>
    <n v="1320749236"/>
    <n v="3418511601.4460001"/>
    <n v="3198018.1100987"/>
    <n v="2013469.2304525999"/>
    <n v="5211487.3405513"/>
  </r>
  <r>
    <x v="3"/>
    <x v="11"/>
    <x v="1"/>
    <n v="2734660015.6377001"/>
    <n v="1812798482"/>
    <n v="4547458497.6377001"/>
    <n v="4168962.3186241002"/>
    <n v="2763593.4703036998"/>
    <n v="6932555.7889278"/>
  </r>
  <r>
    <x v="3"/>
    <x v="11"/>
    <x v="2"/>
    <n v="-65328617.938900001"/>
    <n v="8648816"/>
    <n v="-56679801.938900001"/>
    <n v="-99592.836022599993"/>
    <n v="13185.0349947"/>
    <n v="-86407.801028000002"/>
  </r>
  <r>
    <x v="3"/>
    <x v="11"/>
    <x v="3"/>
    <n v="929662412.64750004"/>
    <n v="327457117"/>
    <n v="1257119529.6475"/>
    <n v="1417261.2117067"/>
    <n v="499205.15674050001"/>
    <n v="1916466.3684471999"/>
  </r>
  <r>
    <x v="4"/>
    <x v="10"/>
    <x v="0"/>
    <n v="424110239.34960002"/>
    <n v="295792609"/>
    <n v="719902848.34959996"/>
    <n v="646551.89189169998"/>
    <n v="450932.92548139999"/>
    <n v="1097484.8173731"/>
  </r>
  <r>
    <x v="4"/>
    <x v="10"/>
    <x v="1"/>
    <n v="89635259.761899993"/>
    <n v="80469575"/>
    <n v="170104834.76190001"/>
    <n v="136648.0726052"/>
    <n v="122675.07626260001"/>
    <n v="259323.14886779999"/>
  </r>
  <r>
    <x v="4"/>
    <x v="10"/>
    <x v="2"/>
    <n v="-1612405.4598999999"/>
    <n v="441665"/>
    <n v="-1170740.4598999999"/>
    <n v="-2458.0962774999998"/>
    <n v="673.31395199999997"/>
    <n v="-1784.7823255000001"/>
  </r>
  <r>
    <x v="4"/>
    <x v="10"/>
    <x v="3"/>
    <n v="451507076.17570001"/>
    <n v="210210224"/>
    <n v="661717300.17569995"/>
    <n v="688318.10038720001"/>
    <n v="320463.42062059999"/>
    <n v="1008781.5210078"/>
  </r>
  <r>
    <x v="4"/>
    <x v="11"/>
    <x v="0"/>
    <n v="423450773.704"/>
    <n v="313813793"/>
    <n v="737264566.704"/>
    <n v="645546.54299600003"/>
    <n v="478406.04338390002"/>
    <n v="1123952.5863799001"/>
  </r>
  <r>
    <x v="4"/>
    <x v="11"/>
    <x v="1"/>
    <n v="103428974.5297"/>
    <n v="98542962"/>
    <n v="201971936.52970001"/>
    <n v="157676.45520930001"/>
    <n v="150227.7771256"/>
    <n v="307904.23233490001"/>
  </r>
  <r>
    <x v="4"/>
    <x v="11"/>
    <x v="2"/>
    <n v="-748062.98580000002"/>
    <n v="102604"/>
    <n v="-645458.98580000002"/>
    <n v="-1140.4146702"/>
    <n v="156.4187896"/>
    <n v="-983.9958805"/>
  </r>
  <r>
    <x v="4"/>
    <x v="11"/>
    <x v="3"/>
    <n v="627666964.3477"/>
    <n v="229374661"/>
    <n v="857041625.3477"/>
    <n v="956872.11867200001"/>
    <n v="349679.4164861"/>
    <n v="1306551.5351581001"/>
  </r>
  <r>
    <x v="5"/>
    <x v="10"/>
    <x v="0"/>
    <n v="-1810812.5915000001"/>
    <n v="1889811.98"/>
    <n v="78999.388500000001"/>
    <n v="-262596.44878039998"/>
    <n v="274052.60883440002"/>
    <n v="11456.160053899999"/>
  </r>
  <r>
    <x v="5"/>
    <x v="10"/>
    <x v="1"/>
    <n v="1971407.4188999999"/>
    <n v="6928869.96"/>
    <n v="8900277.3789000008"/>
    <n v="285885.23723139998"/>
    <n v="1004795.6669277"/>
    <n v="1290680.9041591"/>
  </r>
  <r>
    <x v="5"/>
    <x v="10"/>
    <x v="2"/>
    <n v="3369.1927000000001"/>
    <n v="10056.58"/>
    <n v="13425.7727"/>
    <n v="488.5861974"/>
    <n v="1458.3630616"/>
    <n v="1946.949259"/>
  </r>
  <r>
    <x v="5"/>
    <x v="10"/>
    <x v="3"/>
    <n v="679897.95770000003"/>
    <n v="663214.64"/>
    <n v="1343112.5977"/>
    <n v="98595.950825099993"/>
    <n v="96176.606050100003"/>
    <n v="194772.55687520001"/>
  </r>
  <r>
    <x v="5"/>
    <x v="11"/>
    <x v="0"/>
    <n v="-2605201.6132999999"/>
    <n v="1946402.46"/>
    <n v="-658799.15330000001"/>
    <n v="-347531.66406089999"/>
    <n v="259648.4212211"/>
    <n v="-87883.242839800005"/>
  </r>
  <r>
    <x v="5"/>
    <x v="11"/>
    <x v="1"/>
    <n v="300363.63179999997"/>
    <n v="6703518.2400000002"/>
    <n v="7003881.8717999998"/>
    <n v="40068.251243899998"/>
    <n v="894243.59217209998"/>
    <n v="934311.84341610002"/>
  </r>
  <r>
    <x v="5"/>
    <x v="11"/>
    <x v="2"/>
    <n v="-10274.989799999999"/>
    <n v="4800.01"/>
    <n v="-5474.9798000000001"/>
    <n v="-1370.6748396"/>
    <n v="640.31722319999994"/>
    <n v="-730.35761639999998"/>
  </r>
  <r>
    <x v="5"/>
    <x v="11"/>
    <x v="3"/>
    <n v="1184434.5430000001"/>
    <n v="2373089.39"/>
    <n v="3557523.9330000002"/>
    <n v="158002.5536598"/>
    <n v="316568.0922588"/>
    <n v="474570.64591869997"/>
  </r>
  <r>
    <x v="6"/>
    <x v="10"/>
    <x v="0"/>
    <n v="6454483311.8418999"/>
    <n v="4111260695"/>
    <n v="10565744006.8419"/>
    <n v="539580.20708860003"/>
    <n v="343692.09586980002"/>
    <n v="883272.30295839999"/>
  </r>
  <r>
    <x v="6"/>
    <x v="10"/>
    <x v="1"/>
    <n v="8616151460.2049007"/>
    <n v="11163218414"/>
    <n v="19779369874.204899"/>
    <n v="720290.77535530005"/>
    <n v="933219.81211890001"/>
    <n v="1653510.5874741999"/>
  </r>
  <r>
    <x v="6"/>
    <x v="10"/>
    <x v="2"/>
    <n v="52537473.193899997"/>
    <n v="4786958"/>
    <n v="57324431.193899997"/>
    <n v="4392.0139375999997"/>
    <n v="400.17886240000001"/>
    <n v="4792.1927999999998"/>
  </r>
  <r>
    <x v="6"/>
    <x v="10"/>
    <x v="3"/>
    <n v="5746818117.1575003"/>
    <n v="726697713"/>
    <n v="6473515830.1575003"/>
    <n v="480420.99730390002"/>
    <n v="60750.285271000001"/>
    <n v="541171.28257489996"/>
  </r>
  <r>
    <x v="6"/>
    <x v="11"/>
    <x v="0"/>
    <n v="13947642408.348301"/>
    <n v="4096059653"/>
    <n v="18043451343.348301"/>
    <n v="1531435.2333086999"/>
    <n v="449742.67956449999"/>
    <n v="1981150.3843227001"/>
  </r>
  <r>
    <x v="6"/>
    <x v="11"/>
    <x v="1"/>
    <n v="24492064095.5835"/>
    <n v="11690012400"/>
    <n v="36180990473.583504"/>
    <n v="2689200.7117977999"/>
    <n v="1283550.0325460001"/>
    <n v="3972631.5003666002"/>
  </r>
  <r>
    <x v="6"/>
    <x v="11"/>
    <x v="2"/>
    <n v="65864351.597199999"/>
    <n v="4158550"/>
    <n v="70022901.597200006"/>
    <n v="7231.8307066999996"/>
    <n v="456.60404840000001"/>
    <n v="7688.4347551000001"/>
  </r>
  <r>
    <x v="6"/>
    <x v="11"/>
    <x v="3"/>
    <n v="9675423554.4454002"/>
    <n v="696241341"/>
    <n v="10371638872.4454"/>
    <n v="1062350.4743421001"/>
    <n v="76446.505386100005"/>
    <n v="1138794.1224324999"/>
  </r>
  <r>
    <x v="7"/>
    <x v="10"/>
    <x v="0"/>
    <n v="9602169982.1578999"/>
    <n v="2925669197.8899999"/>
    <n v="12527839180.047899"/>
    <n v="2101439.3756104"/>
    <n v="640284.06744310004"/>
    <n v="2741723.4430535999"/>
  </r>
  <r>
    <x v="7"/>
    <x v="10"/>
    <x v="1"/>
    <n v="17504826531.4095"/>
    <n v="8510330689.9799995"/>
    <n v="26015157221.3895"/>
    <n v="3830939.4443844999"/>
    <n v="1862489.8376742001"/>
    <n v="5693429.2820587"/>
  </r>
  <r>
    <x v="7"/>
    <x v="10"/>
    <x v="2"/>
    <n v="727625.59420000005"/>
    <n v="968057.89"/>
    <n v="1695683.4842000001"/>
    <n v="159.2412004"/>
    <n v="211.85992039999999"/>
    <n v="371.10112079999999"/>
  </r>
  <r>
    <x v="7"/>
    <x v="10"/>
    <x v="3"/>
    <n v="2885486464.4892001"/>
    <n v="726405766.37"/>
    <n v="3611892230.8592"/>
    <n v="631490.05751149997"/>
    <n v="158974.2405057"/>
    <n v="790464.29801729997"/>
  </r>
  <r>
    <x v="7"/>
    <x v="11"/>
    <x v="0"/>
    <n v="9921370874.2635002"/>
    <n v="2898720836.9099998"/>
    <n v="12820091711.1735"/>
    <n v="2361590.1574961999"/>
    <n v="689984.34637030005"/>
    <n v="3051574.5038665002"/>
  </r>
  <r>
    <x v="7"/>
    <x v="11"/>
    <x v="1"/>
    <n v="21288338900.394798"/>
    <n v="9069522688.0699997"/>
    <n v="30357861588.464802"/>
    <n v="5067276.7154617002"/>
    <n v="2158824.1972583998"/>
    <n v="7226100.9127201"/>
  </r>
  <r>
    <x v="7"/>
    <x v="11"/>
    <x v="2"/>
    <n v="1023822.616"/>
    <n v="434728.92"/>
    <n v="1458551.5360000001"/>
    <n v="243.7011421"/>
    <n v="103.4787986"/>
    <n v="347.17994069999997"/>
  </r>
  <r>
    <x v="7"/>
    <x v="11"/>
    <x v="3"/>
    <n v="3255543227.1466999"/>
    <n v="857016466.24000001"/>
    <n v="4112559693.3867002"/>
    <n v="774919.00463840005"/>
    <n v="203996.1691922"/>
    <n v="978915.17383059999"/>
  </r>
  <r>
    <x v="8"/>
    <x v="10"/>
    <x v="0"/>
    <n v="11342633.995100001"/>
    <n v="10068635.699999999"/>
    <n v="21411269.695099998"/>
    <n v="260450.83800459999"/>
    <n v="231197.14580940001"/>
    <n v="491647.98381399998"/>
  </r>
  <r>
    <x v="8"/>
    <x v="10"/>
    <x v="1"/>
    <n v="25379223.771499999"/>
    <n v="33275031.609999999"/>
    <n v="58654255.381499998"/>
    <n v="582760.59176810004"/>
    <n v="764065.01974739996"/>
    <n v="1346825.6115154999"/>
  </r>
  <r>
    <x v="8"/>
    <x v="10"/>
    <x v="2"/>
    <n v="-2147785.1623"/>
    <n v="15804.18"/>
    <n v="-2131980.9822999998"/>
    <n v="-49317.684553400002"/>
    <n v="362.89735940000003"/>
    <n v="-48954.787193999997"/>
  </r>
  <r>
    <x v="8"/>
    <x v="10"/>
    <x v="3"/>
    <n v="4375654.0844999999"/>
    <n v="1045768.21"/>
    <n v="5421422.2944999998"/>
    <n v="100474.26141219999"/>
    <n v="24013.047301999999"/>
    <n v="124487.3087141"/>
  </r>
  <r>
    <x v="8"/>
    <x v="11"/>
    <x v="0"/>
    <n v="7712132.2308"/>
    <n v="13898104.689999999"/>
    <n v="21610236.9208"/>
    <n v="202046.95391139999"/>
    <n v="364110.68090119999"/>
    <n v="566157.63481269998"/>
  </r>
  <r>
    <x v="8"/>
    <x v="11"/>
    <x v="1"/>
    <n v="27937467.987100001"/>
    <n v="32386493.32"/>
    <n v="60323961.307099998"/>
    <n v="731922.13746660005"/>
    <n v="848480.30704740004"/>
    <n v="1580402.4445140001"/>
  </r>
  <r>
    <x v="8"/>
    <x v="11"/>
    <x v="2"/>
    <n v="-2390605.1143999998"/>
    <n v="44992.05"/>
    <n v="-2345613.0644"/>
    <n v="-62630.471951799998"/>
    <n v="1178.7280587"/>
    <n v="-61451.7438931"/>
  </r>
  <r>
    <x v="8"/>
    <x v="11"/>
    <x v="3"/>
    <n v="2067731.0917"/>
    <n v="3435280.95"/>
    <n v="5503012.0416999999"/>
    <n v="54171.629334600002"/>
    <n v="89999.500916999998"/>
    <n v="144171.1302515"/>
  </r>
  <r>
    <x v="9"/>
    <x v="10"/>
    <x v="0"/>
    <n v="2059891360.3383999"/>
    <n v="475584214"/>
    <n v="2535475574.3383999"/>
    <n v="3140284.1349942"/>
    <n v="725023.46037930006"/>
    <n v="3865307.5953735001"/>
  </r>
  <r>
    <x v="9"/>
    <x v="10"/>
    <x v="1"/>
    <n v="2705792139.3558998"/>
    <n v="1396634990"/>
    <n v="4102427129.3558998"/>
    <n v="4124953.5249351999"/>
    <n v="2129156.3166487999"/>
    <n v="6254109.8415839998"/>
  </r>
  <r>
    <x v="9"/>
    <x v="10"/>
    <x v="2"/>
    <n v="-220580386.1726"/>
    <n v="13117521"/>
    <n v="-207462865.1726"/>
    <n v="-336272.63093859999"/>
    <n v="19997.531850399999"/>
    <n v="-316275.09908820002"/>
  </r>
  <r>
    <x v="9"/>
    <x v="10"/>
    <x v="3"/>
    <n v="2607699931.1107001"/>
    <n v="199556982"/>
    <n v="2807256913.1107001"/>
    <n v="3975412.9174788999"/>
    <n v="304222.65788760001"/>
    <n v="4279635.5753664998"/>
  </r>
  <r>
    <x v="9"/>
    <x v="11"/>
    <x v="0"/>
    <n v="2250706728.5144"/>
    <n v="548735517"/>
    <n v="2799442245.5144"/>
    <n v="3431180.2885165"/>
    <n v="836541.90289909998"/>
    <n v="4267722.1914155995"/>
  </r>
  <r>
    <x v="9"/>
    <x v="11"/>
    <x v="1"/>
    <n v="2328210894.1672001"/>
    <n v="1130422346.6199999"/>
    <n v="3458633240.7872"/>
    <n v="3549334.6273722001"/>
    <n v="1723317.7580543"/>
    <n v="5272652.3854264999"/>
  </r>
  <r>
    <x v="9"/>
    <x v="11"/>
    <x v="2"/>
    <n v="-225882985.01629999"/>
    <n v="10119888"/>
    <n v="-215763097.01629999"/>
    <n v="-344356.39076390001"/>
    <n v="15427.6698015"/>
    <n v="-328928.72096230002"/>
  </r>
  <r>
    <x v="9"/>
    <x v="11"/>
    <x v="3"/>
    <n v="3266375162.9812999"/>
    <n v="254470067.09"/>
    <n v="3520845230.0713"/>
    <n v="4979556.8352519004"/>
    <n v="387937.11644210003"/>
    <n v="5367493.9516938999"/>
  </r>
  <r>
    <x v="10"/>
    <x v="10"/>
    <x v="0"/>
    <n v="309606715.10079998"/>
    <n v="174596575"/>
    <n v="484203290.10079998"/>
    <n v="471992.39447220002"/>
    <n v="266170.76271769998"/>
    <n v="738163.15718990006"/>
  </r>
  <r>
    <x v="10"/>
    <x v="10"/>
    <x v="1"/>
    <n v="639152790.71019995"/>
    <n v="600933477"/>
    <n v="1240086267.7102001"/>
    <n v="974382.14808319998"/>
    <n v="916117.17993710004"/>
    <n v="1890499.3280203"/>
  </r>
  <r>
    <x v="10"/>
    <x v="10"/>
    <x v="2"/>
    <n v="-11174395.426200001"/>
    <n v="496362"/>
    <n v="-10678033.426200001"/>
    <n v="-17035.256009500001"/>
    <n v="756.69899090000001"/>
    <n v="-16278.5570185"/>
  </r>
  <r>
    <x v="10"/>
    <x v="10"/>
    <x v="3"/>
    <n v="325578526.67519999"/>
    <n v="63130075"/>
    <n v="388708601.67519999"/>
    <n v="496341.26425240003"/>
    <n v="96241.178918699996"/>
    <n v="592582.44317109999"/>
  </r>
  <r>
    <x v="10"/>
    <x v="11"/>
    <x v="0"/>
    <n v="495482749.60949999"/>
    <n v="287070638"/>
    <n v="782553387.60950005"/>
    <n v="755358.5823606"/>
    <n v="437636.3664082"/>
    <n v="1192994.9487687"/>
  </r>
  <r>
    <x v="10"/>
    <x v="11"/>
    <x v="1"/>
    <n v="588308383.25779998"/>
    <n v="519931880"/>
    <n v="1108240263.2578001"/>
    <n v="896870.34860180004"/>
    <n v="792631.04136399995"/>
    <n v="1689501.3899658001"/>
  </r>
  <r>
    <x v="10"/>
    <x v="11"/>
    <x v="2"/>
    <n v="-9868493.4120000005"/>
    <n v="400258"/>
    <n v="-9468235.4120000005"/>
    <n v="-15044.421222700001"/>
    <n v="610.18938739999999"/>
    <n v="-14434.231835299999"/>
  </r>
  <r>
    <x v="10"/>
    <x v="11"/>
    <x v="3"/>
    <n v="365940973.24910003"/>
    <n v="73052875"/>
    <n v="438993848.24910003"/>
    <n v="557873.41738730005"/>
    <n v="111368.39000119999"/>
    <n v="669241.80738839996"/>
  </r>
  <r>
    <x v="0"/>
    <x v="12"/>
    <x v="0"/>
    <n v="476720257.34200001"/>
    <n v="143217717.81999999"/>
    <n v="619937975.16199994"/>
    <n v="726755.34728949994"/>
    <n v="218334.00332640001"/>
    <n v="945089.35061600001"/>
  </r>
  <r>
    <x v="0"/>
    <x v="12"/>
    <x v="1"/>
    <n v="394990895.71490002"/>
    <n v="227252564.19999999"/>
    <n v="622243459.91489995"/>
    <n v="602159.73869459995"/>
    <n v="346444.30076970003"/>
    <n v="948604.03946430003"/>
  </r>
  <r>
    <x v="0"/>
    <x v="12"/>
    <x v="2"/>
    <n v="7668.6072999999997"/>
    <n v="0"/>
    <n v="7668.6072999999997"/>
    <n v="11.690716500000001"/>
    <n v="0"/>
    <n v="11.690716500000001"/>
  </r>
  <r>
    <x v="0"/>
    <x v="12"/>
    <x v="3"/>
    <n v="362751807.14819998"/>
    <n v="58676729"/>
    <n v="421428536.14819998"/>
    <n v="553011.56500840001"/>
    <n v="89452.096707599994"/>
    <n v="642463.66171589994"/>
  </r>
  <r>
    <x v="0"/>
    <x v="13"/>
    <x v="0"/>
    <n v="394111749.89200002"/>
    <n v="150617650"/>
    <n v="544729399.89199996"/>
    <n v="600819.4895275"/>
    <n v="229615.12721110001"/>
    <n v="830434.61673859996"/>
  </r>
  <r>
    <x v="0"/>
    <x v="13"/>
    <x v="1"/>
    <n v="344095078.36049998"/>
    <n v="220119504.19999999"/>
    <n v="564214582.56050003"/>
    <n v="524569.56532289996"/>
    <n v="335570.02090080001"/>
    <n v="860139.58622359997"/>
  </r>
  <r>
    <x v="0"/>
    <x v="13"/>
    <x v="2"/>
    <n v="576.14760000000001"/>
    <n v="0"/>
    <n v="576.14760000000001"/>
    <n v="0.87833139999999998"/>
    <n v="0"/>
    <n v="0.87833139999999998"/>
  </r>
  <r>
    <x v="0"/>
    <x v="13"/>
    <x v="3"/>
    <n v="344699853.97180003"/>
    <n v="74640813"/>
    <n v="419340666.97180003"/>
    <n v="525491.53979880002"/>
    <n v="113789.18587650001"/>
    <n v="639280.7256753"/>
  </r>
  <r>
    <x v="1"/>
    <x v="12"/>
    <x v="0"/>
    <n v="321101783.14670002"/>
    <n v="14075043"/>
    <n v="335176826.14670002"/>
    <n v="489516.51273890003"/>
    <n v="21457.2647292"/>
    <n v="510973.77746820002"/>
  </r>
  <r>
    <x v="1"/>
    <x v="12"/>
    <x v="1"/>
    <n v="1131526433.9258001"/>
    <n v="1108264825"/>
    <n v="2239791258.9257998"/>
    <n v="1725000.9283014"/>
    <n v="1689538.8341004001"/>
    <n v="3414539.7624018001"/>
  </r>
  <r>
    <x v="1"/>
    <x v="12"/>
    <x v="2"/>
    <n v="881010.67460000003"/>
    <n v="21779"/>
    <n v="902789.67460000003"/>
    <n v="1343.0921152000001"/>
    <n v="33.201871500000003"/>
    <n v="1376.2939865999999"/>
  </r>
  <r>
    <x v="1"/>
    <x v="12"/>
    <x v="3"/>
    <n v="866596942.3326"/>
    <n v="108567521"/>
    <n v="975164463.3326"/>
    <n v="1321118.5219955"/>
    <n v="165510.11880349999"/>
    <n v="1486628.6407989999"/>
  </r>
  <r>
    <x v="1"/>
    <x v="13"/>
    <x v="0"/>
    <n v="446286578.50419998"/>
    <n v="-84092814"/>
    <n v="362193764.50419998"/>
    <n v="680359.50299209997"/>
    <n v="-128198.66851030001"/>
    <n v="552160.83448179998"/>
  </r>
  <r>
    <x v="1"/>
    <x v="13"/>
    <x v="1"/>
    <n v="1033040064.4421999"/>
    <n v="1064543254"/>
    <n v="2097583318.4421999"/>
    <n v="1574859.4259108"/>
    <n v="1622885.7287901"/>
    <n v="3197745.1547010001"/>
  </r>
  <r>
    <x v="1"/>
    <x v="13"/>
    <x v="2"/>
    <n v="35.828299999999999"/>
    <n v="0"/>
    <n v="35.828299999999999"/>
    <n v="5.4619899999999999E-2"/>
    <n v="0"/>
    <n v="5.4619899999999999E-2"/>
  </r>
  <r>
    <x v="1"/>
    <x v="13"/>
    <x v="3"/>
    <n v="808198511.61170006"/>
    <n v="140775002"/>
    <n v="948973513.61170006"/>
    <n v="1232090.6882794001"/>
    <n v="214610.10706489999"/>
    <n v="1446700.7953444"/>
  </r>
  <r>
    <x v="2"/>
    <x v="12"/>
    <x v="0"/>
    <n v="7030878211.7728996"/>
    <n v="2790544073"/>
    <n v="9821422284.7728996"/>
    <n v="10718504.737007"/>
    <n v="4254157.0148652997"/>
    <n v="14972661.751872299"/>
  </r>
  <r>
    <x v="2"/>
    <x v="12"/>
    <x v="1"/>
    <n v="8133468479.8371"/>
    <n v="4761967976"/>
    <n v="12895436455.837099"/>
    <n v="12399392.764826201"/>
    <n v="7259573.3805721998"/>
    <n v="19658966.145398401"/>
  </r>
  <r>
    <x v="2"/>
    <x v="12"/>
    <x v="2"/>
    <n v="7967791.9183"/>
    <n v="2768335"/>
    <n v="10736126.918299999"/>
    <n v="12146.820475"/>
    <n v="4220.2995013"/>
    <n v="16367.1199763"/>
  </r>
  <r>
    <x v="2"/>
    <x v="12"/>
    <x v="3"/>
    <n v="6668531708.0692997"/>
    <n v="1078127375"/>
    <n v="7746659083.0692997"/>
    <n v="10166111.0531167"/>
    <n v="1643594.587755"/>
    <n v="11809705.6408717"/>
  </r>
  <r>
    <x v="2"/>
    <x v="13"/>
    <x v="0"/>
    <n v="8021789027.8217001"/>
    <n v="3139472311"/>
    <n v="11159962523.821699"/>
    <n v="12229138.5377726"/>
    <n v="4786094.6845600996"/>
    <n v="17013253.191629499"/>
  </r>
  <r>
    <x v="2"/>
    <x v="13"/>
    <x v="1"/>
    <n v="9632353814.6576004"/>
    <n v="5889939251"/>
    <n v="15516916694.6576"/>
    <n v="14684428.727275699"/>
    <n v="8979154.5040300004"/>
    <n v="23655387.006553199"/>
  </r>
  <r>
    <x v="2"/>
    <x v="13"/>
    <x v="2"/>
    <n v="8349994.5115999999"/>
    <n v="-226975948"/>
    <n v="-218625953.48840001"/>
    <n v="12729.4845723"/>
    <n v="-346022.60209130001"/>
    <n v="-333293.11751900002"/>
  </r>
  <r>
    <x v="2"/>
    <x v="13"/>
    <x v="3"/>
    <n v="6619070036.9574003"/>
    <n v="1250796724"/>
    <n v="7869417010.9574003"/>
    <n v="10090707.2215975"/>
    <n v="1906827.3133757"/>
    <n v="11996848.8955182"/>
  </r>
  <r>
    <x v="3"/>
    <x v="12"/>
    <x v="0"/>
    <n v="2328805095.0802002"/>
    <n v="1238058004"/>
    <n v="3566863099.0802002"/>
    <n v="3550240.4808244999"/>
    <n v="1887407.2599271"/>
    <n v="5437647.7407515999"/>
  </r>
  <r>
    <x v="3"/>
    <x v="12"/>
    <x v="1"/>
    <n v="2957103435.1412001"/>
    <n v="2682752962"/>
    <n v="5639856397.1412001"/>
    <n v="4508075.1255665002"/>
    <n v="4089830.5254764999"/>
    <n v="8597905.6510429997"/>
  </r>
  <r>
    <x v="3"/>
    <x v="12"/>
    <x v="2"/>
    <n v="-74526961.755799994"/>
    <n v="18289539"/>
    <n v="-56237422.755800001"/>
    <n v="-113615.62077360001"/>
    <n v="27882.2224628"/>
    <n v="-85733.398310899996"/>
  </r>
  <r>
    <x v="3"/>
    <x v="12"/>
    <x v="3"/>
    <n v="1172159262.1471"/>
    <n v="273006140"/>
    <n v="1445165402.1471"/>
    <n v="1786945.2756004999"/>
    <n v="416195.17742780002"/>
    <n v="2203140.4530282998"/>
  </r>
  <r>
    <x v="3"/>
    <x v="13"/>
    <x v="0"/>
    <n v="2605626236.4468002"/>
    <n v="1644604937"/>
    <n v="4250231173.4468002"/>
    <n v="3972251.5903432998"/>
    <n v="2507184.0638943999"/>
    <n v="6479435.6542376997"/>
  </r>
  <r>
    <x v="3"/>
    <x v="13"/>
    <x v="1"/>
    <n v="3359437667.5441999"/>
    <n v="1967192455"/>
    <n v="5326630122.5441999"/>
    <n v="5121429.7088745004"/>
    <n v="2998965.5648159999"/>
    <n v="8120395.2736905003"/>
  </r>
  <r>
    <x v="3"/>
    <x v="13"/>
    <x v="2"/>
    <n v="-81982298.264799997"/>
    <n v="10645522"/>
    <n v="-71336776.264799997"/>
    <n v="-124981.2080133"/>
    <n v="16228.9936688"/>
    <n v="-108752.2143445"/>
  </r>
  <r>
    <x v="3"/>
    <x v="13"/>
    <x v="3"/>
    <n v="1109904445.0652001"/>
    <n v="403230413"/>
    <n v="1513134858.0652001"/>
    <n v="1692038.4187761999"/>
    <n v="614720.80182089994"/>
    <n v="2306759.2205971"/>
  </r>
  <r>
    <x v="4"/>
    <x v="12"/>
    <x v="0"/>
    <n v="541330444.1415"/>
    <n v="361109889"/>
    <n v="902440333.1415"/>
    <n v="825252.94210059999"/>
    <n v="550508.47692759999"/>
    <n v="1375761.4190282"/>
  </r>
  <r>
    <x v="4"/>
    <x v="12"/>
    <x v="1"/>
    <n v="113183748.1312"/>
    <n v="96069079"/>
    <n v="209252827.13119999"/>
    <n v="172547.51169849999"/>
    <n v="146456.36680449999"/>
    <n v="319003.87850300001"/>
  </r>
  <r>
    <x v="4"/>
    <x v="12"/>
    <x v="2"/>
    <n v="-2019769.7764000001"/>
    <n v="553931"/>
    <n v="-1465838.7764000001"/>
    <n v="-3079.1191746"/>
    <n v="844.46236569999996"/>
    <n v="-2234.6568089000002"/>
  </r>
  <r>
    <x v="4"/>
    <x v="12"/>
    <x v="3"/>
    <n v="563366236.9109"/>
    <n v="253141476"/>
    <n v="816507712.9109"/>
    <n v="858846.29161800002"/>
    <n v="385911.69238229998"/>
    <n v="1244757.9840003001"/>
  </r>
  <r>
    <x v="4"/>
    <x v="13"/>
    <x v="0"/>
    <n v="531949089.00440001"/>
    <n v="400206506"/>
    <n v="932155595.00440001"/>
    <n v="810951.1583906"/>
    <n v="610110.88531719998"/>
    <n v="1421062.0437077"/>
  </r>
  <r>
    <x v="4"/>
    <x v="13"/>
    <x v="1"/>
    <n v="129407332.7104"/>
    <n v="124634107"/>
    <n v="254041439.71039999"/>
    <n v="197280.20695019999"/>
    <n v="190003.47126409999"/>
    <n v="387283.67821430002"/>
  </r>
  <r>
    <x v="4"/>
    <x v="13"/>
    <x v="2"/>
    <n v="-944902.76470000006"/>
    <n v="131558"/>
    <n v="-813344.76470000006"/>
    <n v="-1440.4949786"/>
    <n v="200.55887809999999"/>
    <n v="-1239.9361005000001"/>
  </r>
  <r>
    <x v="4"/>
    <x v="13"/>
    <x v="3"/>
    <n v="753655068.16970003"/>
    <n v="285712218"/>
    <n v="1039311543.1697"/>
    <n v="1148939.7447846001"/>
    <n v="435565.46846820001"/>
    <n v="1584420.2335971999"/>
  </r>
  <r>
    <x v="5"/>
    <x v="12"/>
    <x v="0"/>
    <n v="-1808023.6817000001"/>
    <n v="2346256.2599999998"/>
    <n v="538232.57830000005"/>
    <n v="-257303.99067850001"/>
    <n v="333901.10149710003"/>
    <n v="76597.110818600006"/>
  </r>
  <r>
    <x v="5"/>
    <x v="12"/>
    <x v="1"/>
    <n v="1986740.9883000001"/>
    <n v="8603176.2799999993"/>
    <n v="10589917.268300001"/>
    <n v="282737.65985940001"/>
    <n v="1224337.7184494"/>
    <n v="1507075.3783088"/>
  </r>
  <r>
    <x v="5"/>
    <x v="12"/>
    <x v="2"/>
    <n v="2387.4796000000001"/>
    <n v="12338.25"/>
    <n v="14725.729600000001"/>
    <n v="339.76768939999999"/>
    <n v="1755.8846132000001"/>
    <n v="2095.6523026"/>
  </r>
  <r>
    <x v="5"/>
    <x v="12"/>
    <x v="3"/>
    <n v="815096.13950000005"/>
    <n v="815768.62"/>
    <n v="1630864.7594999999"/>
    <n v="115998.1982553"/>
    <n v="116093.9004952"/>
    <n v="232092.09875050001"/>
  </r>
  <r>
    <x v="5"/>
    <x v="13"/>
    <x v="0"/>
    <n v="-4063136.4948999998"/>
    <n v="2355580.23"/>
    <n v="-1707556.2649000001"/>
    <n v="-530089.56228309998"/>
    <n v="307316.4031311"/>
    <n v="-222773.15915200001"/>
  </r>
  <r>
    <x v="5"/>
    <x v="13"/>
    <x v="1"/>
    <n v="-562070.94440000004"/>
    <n v="8570829.3399999999"/>
    <n v="8008758.3956000004"/>
    <n v="-73329.542648400005"/>
    <n v="1118177.3437703999"/>
    <n v="1044847.801122"/>
  </r>
  <r>
    <x v="5"/>
    <x v="13"/>
    <x v="2"/>
    <n v="-13492.007"/>
    <n v="5697.3"/>
    <n v="-7794.7070000000003"/>
    <n v="-1760.2096543"/>
    <n v="743.28767119999998"/>
    <n v="-1016.921983"/>
  </r>
  <r>
    <x v="5"/>
    <x v="13"/>
    <x v="3"/>
    <n v="-168870.9137"/>
    <n v="2658572.12"/>
    <n v="2489701.2063000002"/>
    <n v="-22031.4303588"/>
    <n v="346845.67775600002"/>
    <n v="324814.24739729997"/>
  </r>
  <r>
    <x v="6"/>
    <x v="12"/>
    <x v="0"/>
    <n v="8064467524.0018997"/>
    <n v="4899283736"/>
    <n v="12963751260.0019"/>
    <n v="678152.391114"/>
    <n v="411987.64461830002"/>
    <n v="1090140.0357323"/>
  </r>
  <r>
    <x v="6"/>
    <x v="12"/>
    <x v="1"/>
    <n v="11084773872.8545"/>
    <n v="14332071763"/>
    <n v="25416845635.8545"/>
    <n v="932134.19044230005"/>
    <n v="1205204.0270195999"/>
    <n v="2137338.2174618999"/>
  </r>
  <r>
    <x v="6"/>
    <x v="12"/>
    <x v="2"/>
    <n v="71411441.106399998"/>
    <n v="12422114"/>
    <n v="83833555.106399998"/>
    <n v="6005.0882957000003"/>
    <n v="1044.5929983999999"/>
    <n v="7049.6812940999998"/>
  </r>
  <r>
    <x v="6"/>
    <x v="12"/>
    <x v="3"/>
    <n v="6742150730.9208002"/>
    <n v="808343780"/>
    <n v="7550494510.9208002"/>
    <n v="566956.91635149997"/>
    <n v="67974.762824399993"/>
    <n v="634931.67917589995"/>
  </r>
  <r>
    <x v="6"/>
    <x v="13"/>
    <x v="0"/>
    <n v="15294905756.614599"/>
    <n v="5327497578"/>
    <n v="20621989242.614601"/>
    <n v="1652915.3160514"/>
    <n v="575740.86973989999"/>
    <n v="2228611.4350083"/>
  </r>
  <r>
    <x v="6"/>
    <x v="13"/>
    <x v="1"/>
    <n v="13723387370.2159"/>
    <n v="14132812453"/>
    <n v="27853962135.2159"/>
    <n v="1483081.8530887"/>
    <n v="1527328.2839512001"/>
    <n v="3010168.3108510999"/>
  </r>
  <r>
    <x v="6"/>
    <x v="13"/>
    <x v="2"/>
    <n v="47273.805699999997"/>
    <n v="0"/>
    <n v="47273.805699999997"/>
    <n v="5.1088642999999996"/>
    <n v="0"/>
    <n v="5.1088642999999996"/>
  </r>
  <r>
    <x v="6"/>
    <x v="13"/>
    <x v="3"/>
    <n v="30143683588.9291"/>
    <n v="1668619500"/>
    <n v="31812251042.9291"/>
    <n v="3257617.7375137"/>
    <n v="180327.14762030001"/>
    <n v="3437939.2605404002"/>
  </r>
  <r>
    <x v="7"/>
    <x v="12"/>
    <x v="0"/>
    <n v="12461573229.3176"/>
    <n v="3725624909.3600001"/>
    <n v="16187198138.677601"/>
    <n v="2725592.6714255"/>
    <n v="814867.89529450005"/>
    <n v="3540460.5667198999"/>
  </r>
  <r>
    <x v="7"/>
    <x v="12"/>
    <x v="1"/>
    <n v="22402524155.103901"/>
    <n v="10765082859.93"/>
    <n v="33167607015.033901"/>
    <n v="4899875.3636443997"/>
    <n v="2354536.6552341999"/>
    <n v="7254412.0188785996"/>
  </r>
  <r>
    <x v="7"/>
    <x v="12"/>
    <x v="2"/>
    <n v="1023944.6343"/>
    <n v="1085415.22"/>
    <n v="2109359.8542999998"/>
    <n v="223.95695470000001"/>
    <n v="237.40178829999999"/>
    <n v="461.358743"/>
  </r>
  <r>
    <x v="7"/>
    <x v="12"/>
    <x v="3"/>
    <n v="3917479962.2989001"/>
    <n v="891564992.19000006"/>
    <n v="4809044954.4889002"/>
    <n v="856830.39205499995"/>
    <n v="195002.90726499999"/>
    <n v="1051833.29932"/>
  </r>
  <r>
    <x v="7"/>
    <x v="13"/>
    <x v="0"/>
    <n v="12300384816.6922"/>
    <n v="3667717507.6199999"/>
    <n v="15968102324.312201"/>
    <n v="2880706.1529705999"/>
    <n v="858966.32902259997"/>
    <n v="3739672.4819931998"/>
  </r>
  <r>
    <x v="7"/>
    <x v="13"/>
    <x v="1"/>
    <n v="26556995908.929501"/>
    <n v="11802721868.66"/>
    <n v="38359717777.5895"/>
    <n v="6219553.5066066002"/>
    <n v="2764155.2695741002"/>
    <n v="8983708.7761806995"/>
  </r>
  <r>
    <x v="7"/>
    <x v="13"/>
    <x v="2"/>
    <n v="1254444.1768"/>
    <n v="532570.59"/>
    <n v="1787014.7668000001"/>
    <n v="293.78634190000002"/>
    <n v="124.72612839999999"/>
    <n v="418.5124702"/>
  </r>
  <r>
    <x v="7"/>
    <x v="13"/>
    <x v="3"/>
    <n v="4010921454.0011001"/>
    <n v="1065426132.45"/>
    <n v="5076347586.4511003"/>
    <n v="939343.46638839995"/>
    <n v="249518.99156190001"/>
    <n v="1188862.4579503001"/>
  </r>
  <r>
    <x v="8"/>
    <x v="12"/>
    <x v="0"/>
    <n v="14077898.6613"/>
    <n v="12660724.51"/>
    <n v="26738623.171300001"/>
    <n v="319589.07290119998"/>
    <n v="287417.12849039998"/>
    <n v="607006.20139159996"/>
  </r>
  <r>
    <x v="8"/>
    <x v="12"/>
    <x v="1"/>
    <n v="31799621.521299999"/>
    <n v="41340778.079999998"/>
    <n v="73140399.601300001"/>
    <n v="721898.33192509995"/>
    <n v="938496.66469919996"/>
    <n v="1660394.9966243"/>
  </r>
  <r>
    <x v="8"/>
    <x v="12"/>
    <x v="2"/>
    <n v="-2700555.4731999999"/>
    <n v="20547.759999999998"/>
    <n v="-2680007.7132000001"/>
    <n v="-61306.594170299999"/>
    <n v="466.46447219999999"/>
    <n v="-60840.129698099998"/>
  </r>
  <r>
    <x v="8"/>
    <x v="12"/>
    <x v="3"/>
    <n v="4603668.6042999998"/>
    <n v="1313873.93"/>
    <n v="5917542.5343000004"/>
    <n v="104510.07047219999"/>
    <n v="29826.876958000001"/>
    <n v="134336.9474302"/>
  </r>
  <r>
    <x v="8"/>
    <x v="13"/>
    <x v="0"/>
    <n v="9672562.7821999993"/>
    <n v="16211454.51"/>
    <n v="25884017.292199999"/>
    <n v="246623.22239159999"/>
    <n v="413346.62187660002"/>
    <n v="659969.84426819999"/>
  </r>
  <r>
    <x v="8"/>
    <x v="13"/>
    <x v="1"/>
    <n v="35000048.273199998"/>
    <n v="38140085.200000003"/>
    <n v="73140133.473199993"/>
    <n v="892403.06662930001"/>
    <n v="972465.2014278"/>
    <n v="1864868.2680571"/>
  </r>
  <r>
    <x v="8"/>
    <x v="13"/>
    <x v="2"/>
    <n v="-2934193.3566999999"/>
    <n v="39001.760000000002"/>
    <n v="-2895191.5967000001"/>
    <n v="-74813.701088700007"/>
    <n v="994.43549210000003"/>
    <n v="-73819.265596600002"/>
  </r>
  <r>
    <x v="8"/>
    <x v="13"/>
    <x v="3"/>
    <n v="442573.45299999998"/>
    <n v="4283711.9800000004"/>
    <n v="4726285.4330000002"/>
    <n v="11284.3817695"/>
    <n v="109222.6409995"/>
    <n v="120507.022769"/>
  </r>
  <r>
    <x v="9"/>
    <x v="12"/>
    <x v="0"/>
    <n v="2577008430.6655002"/>
    <n v="587767089"/>
    <n v="3164775519.6655002"/>
    <n v="3928624.0266748001"/>
    <n v="896045.15082540002"/>
    <n v="4824669.1775002005"/>
  </r>
  <r>
    <x v="9"/>
    <x v="12"/>
    <x v="1"/>
    <n v="3407300659.4291"/>
    <n v="1709299194"/>
    <n v="5116599853.4291"/>
    <n v="5194396.3696234999"/>
    <n v="2605809.8229"/>
    <n v="7800206.1925234003"/>
  </r>
  <r>
    <x v="9"/>
    <x v="12"/>
    <x v="2"/>
    <n v="-278209033.85689998"/>
    <n v="16406599"/>
    <n v="-261802434.85690001"/>
    <n v="-424126.93798049999"/>
    <n v="25011.698937599998"/>
    <n v="-399115.23904299998"/>
  </r>
  <r>
    <x v="9"/>
    <x v="12"/>
    <x v="3"/>
    <n v="3239347768.3481998"/>
    <n v="245614896"/>
    <n v="3484962664.3481998"/>
    <n v="4938353.8377488004"/>
    <n v="374437.49514070002"/>
    <n v="5312791.3328895001"/>
  </r>
  <r>
    <x v="9"/>
    <x v="13"/>
    <x v="0"/>
    <n v="2816732468.5959001"/>
    <n v="674930838"/>
    <n v="3491663306.5959001"/>
    <n v="4294080.9665815001"/>
    <n v="1028925.4295632"/>
    <n v="5323006.3961447002"/>
  </r>
  <r>
    <x v="9"/>
    <x v="13"/>
    <x v="1"/>
    <n v="2931501851.0700998"/>
    <n v="1385668973.6199999"/>
    <n v="4317170824.6900997"/>
    <n v="4469045.7622528998"/>
    <n v="2112438.7324474002"/>
    <n v="6581484.4947002996"/>
  </r>
  <r>
    <x v="9"/>
    <x v="13"/>
    <x v="2"/>
    <n v="-282643035.46609998"/>
    <n v="12642206"/>
    <n v="-270000829.46609998"/>
    <n v="-430886.5298581"/>
    <n v="19272.918804100002"/>
    <n v="-411613.61105389998"/>
  </r>
  <r>
    <x v="9"/>
    <x v="13"/>
    <x v="3"/>
    <n v="3768412385.0202999"/>
    <n v="308858716.08999997"/>
    <n v="4077271101.1103001"/>
    <n v="5744907.6464163"/>
    <n v="470852.07733130001"/>
    <n v="6215759.7237475999"/>
  </r>
  <r>
    <x v="10"/>
    <x v="12"/>
    <x v="0"/>
    <n v="395620539.01419997"/>
    <n v="225817385"/>
    <n v="621437924.01419997"/>
    <n v="603119.62371650001"/>
    <n v="344256.38418370002"/>
    <n v="947376.00790019997"/>
  </r>
  <r>
    <x v="10"/>
    <x v="12"/>
    <x v="1"/>
    <n v="799039004.98000002"/>
    <n v="775816318"/>
    <n v="1574855322.98"/>
    <n v="1218127.1104355999"/>
    <n v="1182724.3523585"/>
    <n v="2400851.4627940999"/>
  </r>
  <r>
    <x v="10"/>
    <x v="12"/>
    <x v="2"/>
    <n v="-13972852.8872"/>
    <n v="626410"/>
    <n v="-13346442.8872"/>
    <n v="-21301.476906600001"/>
    <n v="954.95588889999999"/>
    <n v="-20346.521017700001"/>
  </r>
  <r>
    <x v="10"/>
    <x v="12"/>
    <x v="3"/>
    <n v="406891893.72180003"/>
    <n v="75767871"/>
    <n v="482659764.72180003"/>
    <n v="620302.69319759996"/>
    <n v="115507.3747212"/>
    <n v="735810.06791880005"/>
  </r>
  <r>
    <x v="10"/>
    <x v="13"/>
    <x v="0"/>
    <n v="631969682.90149999"/>
    <n v="367074411"/>
    <n v="999044093.90149999"/>
    <n v="963431.57082170004"/>
    <n v="559601.3320995"/>
    <n v="1523032.9029212"/>
  </r>
  <r>
    <x v="10"/>
    <x v="13"/>
    <x v="1"/>
    <n v="735810039.35599995"/>
    <n v="662157570"/>
    <n v="1397967609.3559999"/>
    <n v="1121735.1737323999"/>
    <n v="1009452.7080281"/>
    <n v="2131187.8817604999"/>
  </r>
  <r>
    <x v="10"/>
    <x v="13"/>
    <x v="2"/>
    <n v="-12425594.1884"/>
    <n v="835839"/>
    <n v="-11589755.1884"/>
    <n v="-18942.696226100001"/>
    <n v="1274.2283411999999"/>
    <n v="-17668.467884900001"/>
  </r>
  <r>
    <x v="10"/>
    <x v="13"/>
    <x v="3"/>
    <n v="446728510.1408"/>
    <n v="93495914"/>
    <n v="540224424.1408"/>
    <n v="681033.22342900001"/>
    <n v="142533.60205009999"/>
    <n v="823566.82547909999"/>
  </r>
  <r>
    <x v="0"/>
    <x v="14"/>
    <x v="0"/>
    <n v="568151448.85780001"/>
    <n v="167828118.81999999"/>
    <n v="735979567.67780006"/>
    <n v="866141.30020379997"/>
    <n v="255852.31778909999"/>
    <n v="1121993.6179929001"/>
  </r>
  <r>
    <x v="0"/>
    <x v="14"/>
    <x v="1"/>
    <n v="472302605.73680001"/>
    <n v="277331522.83999997"/>
    <n v="749634128.57679999"/>
    <n v="720020.68083239999"/>
    <n v="422789.18105910002"/>
    <n v="1142809.8618916001"/>
  </r>
  <r>
    <x v="0"/>
    <x v="14"/>
    <x v="2"/>
    <n v="13936.9671"/>
    <n v="2000"/>
    <n v="15936.9671"/>
    <n v="21.246769400000002"/>
    <n v="3.0489803000000002"/>
    <n v="24.295749699999998"/>
  </r>
  <r>
    <x v="0"/>
    <x v="14"/>
    <x v="3"/>
    <n v="434682832.0467"/>
    <n v="72377228"/>
    <n v="507060060.0467"/>
    <n v="662669.70555489999"/>
    <n v="110338.37278970001"/>
    <n v="773008.07834460004"/>
  </r>
  <r>
    <x v="0"/>
    <x v="15"/>
    <x v="0"/>
    <n v="456752499.9508"/>
    <n v="182285335"/>
    <n v="639037834.95079994"/>
    <n v="696314.69738230004"/>
    <n v="277892.20177540003"/>
    <n v="974206.89915770001"/>
  </r>
  <r>
    <x v="0"/>
    <x v="15"/>
    <x v="1"/>
    <n v="409771040.05110002"/>
    <n v="261912817.84"/>
    <n v="671683857.89110005"/>
    <n v="624691.92348140001"/>
    <n v="399283.51681589999"/>
    <n v="1023975.4402973"/>
  </r>
  <r>
    <x v="0"/>
    <x v="15"/>
    <x v="2"/>
    <n v="46802930.319499999"/>
    <n v="7231970"/>
    <n v="54034900.319499999"/>
    <n v="71350.607310399995"/>
    <n v="11025.0671919"/>
    <n v="82375.674502299997"/>
  </r>
  <r>
    <x v="0"/>
    <x v="15"/>
    <x v="3"/>
    <n v="366347477.51410002"/>
    <n v="92323648"/>
    <n v="458671125.51410002"/>
    <n v="558493.12914430001"/>
    <n v="140746.49405370001"/>
    <n v="699239.62319800002"/>
  </r>
  <r>
    <x v="1"/>
    <x v="14"/>
    <x v="0"/>
    <n v="389866189.8337"/>
    <n v="25279888"/>
    <n v="415146077.8337"/>
    <n v="594347.17494239996"/>
    <n v="38538.940814699999"/>
    <n v="632886.11575710005"/>
  </r>
  <r>
    <x v="1"/>
    <x v="14"/>
    <x v="1"/>
    <n v="1359872693.2265999"/>
    <n v="1329438539"/>
    <n v="2689311232.2266002"/>
    <n v="2073112.5565039001"/>
    <n v="2026715.9874809"/>
    <n v="4099828.5439847"/>
  </r>
  <r>
    <x v="1"/>
    <x v="14"/>
    <x v="2"/>
    <n v="1043446.198"/>
    <n v="12000"/>
    <n v="1055446.1980000001"/>
    <n v="1590.7234742999999"/>
    <n v="18.293882100000001"/>
    <n v="1609.0173563000001"/>
  </r>
  <r>
    <x v="1"/>
    <x v="14"/>
    <x v="3"/>
    <n v="1046775707.9033"/>
    <n v="133297619"/>
    <n v="1180073326.9033"/>
    <n v="1595799.2793785001"/>
    <n v="203210.91016639999"/>
    <n v="1799010.1895449001"/>
  </r>
  <r>
    <x v="1"/>
    <x v="15"/>
    <x v="0"/>
    <n v="545563539.69389999"/>
    <n v="-82963042"/>
    <n v="462600497.69389999"/>
    <n v="831706.25466900005"/>
    <n v="-126476.34219929999"/>
    <n v="705229.91246969998"/>
  </r>
  <r>
    <x v="1"/>
    <x v="15"/>
    <x v="1"/>
    <n v="1263575430.3952"/>
    <n v="1259064342"/>
    <n v="2522639772.3951998"/>
    <n v="1926308.3256909"/>
    <n v="1919431.2157657"/>
    <n v="3845739.5414565001"/>
  </r>
  <r>
    <x v="1"/>
    <x v="15"/>
    <x v="2"/>
    <n v="35.828299999999999"/>
    <n v="0"/>
    <n v="35.828299999999999"/>
    <n v="5.4619899999999999E-2"/>
    <n v="0"/>
    <n v="5.4619899999999999E-2"/>
  </r>
  <r>
    <x v="1"/>
    <x v="15"/>
    <x v="3"/>
    <n v="982007156.23619998"/>
    <n v="171793391"/>
    <n v="1153800547.2362001"/>
    <n v="1497060.2588831"/>
    <n v="261897.3362583"/>
    <n v="1758957.5951413999"/>
  </r>
  <r>
    <x v="2"/>
    <x v="14"/>
    <x v="0"/>
    <n v="8452402549.2817001"/>
    <n v="3380221698"/>
    <n v="11832624247.2817"/>
    <n v="12885604.619329801"/>
    <n v="5153114.7590466999"/>
    <n v="18038719.378376499"/>
  </r>
  <r>
    <x v="2"/>
    <x v="14"/>
    <x v="1"/>
    <n v="9865319916.8735008"/>
    <n v="5786835022"/>
    <n v="15652154938.873501"/>
    <n v="15039583.2606002"/>
    <n v="8821973.1201892998"/>
    <n v="23861556.380789399"/>
  </r>
  <r>
    <x v="2"/>
    <x v="14"/>
    <x v="2"/>
    <n v="9527413.2704000007"/>
    <n v="30976065"/>
    <n v="40503478.270400003"/>
    <n v="14524.4478989"/>
    <n v="47222.706671300002"/>
    <n v="61747.1545702"/>
  </r>
  <r>
    <x v="2"/>
    <x v="14"/>
    <x v="3"/>
    <n v="7999935936.2419996"/>
    <n v="1300193443"/>
    <n v="9300129379.2420006"/>
    <n v="12195823.714423399"/>
    <n v="1982132.1260387001"/>
    <n v="14177955.8404621"/>
  </r>
  <r>
    <x v="2"/>
    <x v="15"/>
    <x v="0"/>
    <n v="9774701670.8111992"/>
    <n v="3787152224"/>
    <n v="13559970918.811199"/>
    <n v="14901436.635040401"/>
    <n v="5773476.3467726996"/>
    <n v="20672042.4034063"/>
  </r>
  <r>
    <x v="2"/>
    <x v="15"/>
    <x v="1"/>
    <n v="11699587493.543501"/>
    <n v="7128024079"/>
    <n v="18819739246.543499"/>
    <n v="17835906.154738002"/>
    <n v="10866602.6568815"/>
    <n v="28690507.527998801"/>
  </r>
  <r>
    <x v="2"/>
    <x v="15"/>
    <x v="2"/>
    <n v="11857053.376800001"/>
    <n v="-73322992"/>
    <n v="-61465938.623199999"/>
    <n v="18075.961346200002"/>
    <n v="-111780.1807131"/>
    <n v="-93704.219366799996"/>
  </r>
  <r>
    <x v="2"/>
    <x v="15"/>
    <x v="3"/>
    <n v="8123412222.9309998"/>
    <n v="1508531527"/>
    <n v="9631298824.9309998"/>
    <n v="12384062.100002"/>
    <n v="2299741.4876279999"/>
    <n v="14682820.405805601"/>
  </r>
  <r>
    <x v="3"/>
    <x v="14"/>
    <x v="0"/>
    <n v="2794964376.5173998"/>
    <n v="1550668897"/>
    <n v="4345633273.5173998"/>
    <n v="4260895.7241364997"/>
    <n v="2363979.4940827"/>
    <n v="6624875.2182192001"/>
  </r>
  <r>
    <x v="3"/>
    <x v="14"/>
    <x v="1"/>
    <n v="3558212361.3551998"/>
    <n v="3321349204"/>
    <n v="6879561565.3551998"/>
    <n v="5424459.7761060996"/>
    <n v="5063364.2205205997"/>
    <n v="10487823.996626601"/>
  </r>
  <r>
    <x v="3"/>
    <x v="14"/>
    <x v="2"/>
    <n v="-89236876.297800004"/>
    <n v="22250481"/>
    <n v="-66986395.297799997"/>
    <n v="-136040.7409294"/>
    <n v="33920.639615100001"/>
    <n v="-102120.1013143"/>
  </r>
  <r>
    <x v="3"/>
    <x v="14"/>
    <x v="3"/>
    <n v="1395223094.0107999"/>
    <n v="335343883"/>
    <n v="1730566977.0107999"/>
    <n v="2127003.8950888999"/>
    <n v="511228.45399930002"/>
    <n v="2638232.3490880998"/>
  </r>
  <r>
    <x v="3"/>
    <x v="15"/>
    <x v="0"/>
    <n v="3152273278.0813999"/>
    <n v="2020913250"/>
    <n v="5173186528.0813999"/>
    <n v="4805609.6330725998"/>
    <n v="3080862.3888456002"/>
    <n v="7886472.0219182"/>
  </r>
  <r>
    <x v="3"/>
    <x v="15"/>
    <x v="1"/>
    <n v="4064708418.8769002"/>
    <n v="2485726803"/>
    <n v="6550435221.8768997"/>
    <n v="6196608.0381441005"/>
    <n v="3789466.0823804"/>
    <n v="9986074.1205244996"/>
  </r>
  <r>
    <x v="3"/>
    <x v="15"/>
    <x v="2"/>
    <n v="-98005364.685299993"/>
    <n v="13583827"/>
    <n v="-84421537.685299993"/>
    <n v="-149408.2153027"/>
    <n v="20708.410764699998"/>
    <n v="-128699.8045379"/>
  </r>
  <r>
    <x v="3"/>
    <x v="15"/>
    <x v="3"/>
    <n v="1342989697.1113"/>
    <n v="494487542"/>
    <n v="1837477239.1113"/>
    <n v="2047374.5948459001"/>
    <n v="753841.39814039995"/>
    <n v="2801215.9929863"/>
  </r>
  <r>
    <x v="4"/>
    <x v="14"/>
    <x v="0"/>
    <n v="662185688.31560004"/>
    <n v="469615006"/>
    <n v="1131800694.3155999"/>
    <n v="1009495.5741239"/>
    <n v="715923.46144640003"/>
    <n v="1725419.0355703"/>
  </r>
  <r>
    <x v="4"/>
    <x v="14"/>
    <x v="1"/>
    <n v="136717276.88699999"/>
    <n v="123294725"/>
    <n v="260012001.88699999"/>
    <n v="208424.14500799999"/>
    <n v="187961.59656810001"/>
    <n v="396385.741576"/>
  </r>
  <r>
    <x v="4"/>
    <x v="14"/>
    <x v="2"/>
    <n v="-2453387.5734000001"/>
    <n v="794767"/>
    <n v="-1658620.5734000001"/>
    <n v="-3740.1652447000001"/>
    <n v="1211.6144807999999"/>
    <n v="-2528.5507637999999"/>
  </r>
  <r>
    <x v="4"/>
    <x v="14"/>
    <x v="3"/>
    <n v="674167064.30359995"/>
    <n v="319355694"/>
    <n v="993522758.30359995"/>
    <n v="1027761.0640691"/>
    <n v="486854.61699469999"/>
    <n v="1514615.6810639"/>
  </r>
  <r>
    <x v="4"/>
    <x v="15"/>
    <x v="0"/>
    <n v="653832917.62320006"/>
    <n v="507387760"/>
    <n v="1161220677.6231999"/>
    <n v="996761.85729129997"/>
    <n v="773507.65370290005"/>
    <n v="1770269.5109941999"/>
  </r>
  <r>
    <x v="4"/>
    <x v="15"/>
    <x v="1"/>
    <n v="156302974.45120001"/>
    <n v="155453438"/>
    <n v="311756412.45120001"/>
    <n v="238282.34846370001"/>
    <n v="236987.23849280001"/>
    <n v="475269.58695650002"/>
  </r>
  <r>
    <x v="4"/>
    <x v="15"/>
    <x v="2"/>
    <n v="-1127256.825"/>
    <n v="183776"/>
    <n v="-943480.82499999995"/>
    <n v="-1718.4919514999999"/>
    <n v="280.1647059"/>
    <n v="-1438.3272454999999"/>
  </r>
  <r>
    <x v="4"/>
    <x v="15"/>
    <x v="3"/>
    <n v="901453723.18620002"/>
    <n v="364645274"/>
    <n v="1266043254.1861999"/>
    <n v="1374257.3418473999"/>
    <n v="555898.13661569997"/>
    <n v="1930070.4988074"/>
  </r>
  <r>
    <x v="5"/>
    <x v="14"/>
    <x v="0"/>
    <n v="-1730940.4154000001"/>
    <n v="2850649.3"/>
    <n v="1119708.8846"/>
    <n v="-253309.58912970001"/>
    <n v="417170.22522060003"/>
    <n v="163860.63609089999"/>
  </r>
  <r>
    <x v="5"/>
    <x v="14"/>
    <x v="1"/>
    <n v="3436664.5373999998"/>
    <n v="10561107.279999999"/>
    <n v="13997771.817399999"/>
    <n v="502928.97098029999"/>
    <n v="1545535.4338314"/>
    <n v="2048464.4048117001"/>
  </r>
  <r>
    <x v="5"/>
    <x v="14"/>
    <x v="2"/>
    <n v="1494.9070999999999"/>
    <n v="14439.63"/>
    <n v="15934.5371"/>
    <n v="218.7679598"/>
    <n v="2113.1268933000001"/>
    <n v="2331.8948531000001"/>
  </r>
  <r>
    <x v="5"/>
    <x v="14"/>
    <x v="3"/>
    <n v="1281202.8489999999"/>
    <n v="1085530.1100000001"/>
    <n v="2366732.9589999998"/>
    <n v="187494.0144586"/>
    <n v="158858.83979920001"/>
    <n v="346352.85425779998"/>
  </r>
  <r>
    <x v="5"/>
    <x v="15"/>
    <x v="0"/>
    <n v="-4553490.5203"/>
    <n v="2942803.02"/>
    <n v="-1610687.5003"/>
    <n v="-602951.60491260001"/>
    <n v="389672.01006360003"/>
    <n v="-213279.59484899999"/>
  </r>
  <r>
    <x v="5"/>
    <x v="15"/>
    <x v="1"/>
    <n v="-517997.38520000002"/>
    <n v="11240926.93"/>
    <n v="10722929.5448"/>
    <n v="-68590.755455499995"/>
    <n v="1488470.1972987"/>
    <n v="1419879.4418432"/>
  </r>
  <r>
    <x v="5"/>
    <x v="15"/>
    <x v="2"/>
    <n v="-14905.2528"/>
    <n v="23052.25"/>
    <n v="8146.9971999999998"/>
    <n v="-1973.6828390000001"/>
    <n v="3052.4695445000002"/>
    <n v="1078.7867054999999"/>
  </r>
  <r>
    <x v="5"/>
    <x v="15"/>
    <x v="3"/>
    <n v="54831.527600000001"/>
    <n v="3521541.57"/>
    <n v="3576373.0976"/>
    <n v="7260.5306674000003"/>
    <n v="466305.82229869999"/>
    <n v="473566.35296609998"/>
  </r>
  <r>
    <x v="6"/>
    <x v="14"/>
    <x v="0"/>
    <n v="9855464064.0142002"/>
    <n v="6028813466"/>
    <n v="15884277530.0142"/>
    <n v="848544.23090179998"/>
    <n v="519073.97282660002"/>
    <n v="1367618.2037283999"/>
  </r>
  <r>
    <x v="6"/>
    <x v="14"/>
    <x v="1"/>
    <n v="13402444127.7034"/>
    <n v="17464826657"/>
    <n v="30867270784.7034"/>
    <n v="1153935.1745060999"/>
    <n v="1503701.6833748"/>
    <n v="2657636.8578809001"/>
  </r>
  <r>
    <x v="6"/>
    <x v="14"/>
    <x v="2"/>
    <n v="83144945.540900007"/>
    <n v="6205849"/>
    <n v="89350794.540900007"/>
    <n v="7158.6851120000001"/>
    <n v="534.31653070000004"/>
    <n v="7693.0016427"/>
  </r>
  <r>
    <x v="6"/>
    <x v="14"/>
    <x v="3"/>
    <n v="7839332297.1666002"/>
    <n v="929150252"/>
    <n v="8768482549.1665993"/>
    <n v="674957.58207590005"/>
    <n v="79998.778429400001"/>
    <n v="754956.36050529999"/>
  </r>
  <r>
    <x v="6"/>
    <x v="15"/>
    <x v="0"/>
    <n v="18434158131.9133"/>
    <n v="6541267222"/>
    <n v="24974809215.9133"/>
    <n v="2027492.0160805001"/>
    <n v="719445.22623429995"/>
    <n v="2746869.4760047002"/>
  </r>
  <r>
    <x v="6"/>
    <x v="15"/>
    <x v="1"/>
    <n v="17181499762.319199"/>
    <n v="17248361962"/>
    <n v="34426562134.319199"/>
    <n v="1889717.6287147"/>
    <n v="1897071.5081303001"/>
    <n v="3786426.2294458998"/>
  </r>
  <r>
    <x v="6"/>
    <x v="15"/>
    <x v="2"/>
    <n v="47273.805699999997"/>
    <n v="0"/>
    <n v="47273.805699999997"/>
    <n v="5.1994381000000001"/>
    <n v="0"/>
    <n v="5.1994381000000001"/>
  </r>
  <r>
    <x v="6"/>
    <x v="15"/>
    <x v="3"/>
    <n v="36334458103.624496"/>
    <n v="2063193619"/>
    <n v="38397573653.624496"/>
    <n v="3996267.3199692001"/>
    <n v="226921.5963223"/>
    <n v="4223180.3298252998"/>
  </r>
  <r>
    <x v="7"/>
    <x v="14"/>
    <x v="0"/>
    <n v="15348597978.0982"/>
    <n v="4542394455.8400002"/>
    <n v="19890992433.938202"/>
    <n v="3306675.9976082002"/>
    <n v="978605.78146800003"/>
    <n v="4285281.7790762"/>
  </r>
  <r>
    <x v="7"/>
    <x v="14"/>
    <x v="1"/>
    <n v="27501707042.058399"/>
    <n v="13132492878"/>
    <n v="40634199920.058403"/>
    <n v="5924921.2663589995"/>
    <n v="2829242.0617446001"/>
    <n v="8754163.3281036001"/>
  </r>
  <r>
    <x v="7"/>
    <x v="14"/>
    <x v="2"/>
    <n v="1415623.66"/>
    <n v="1312978.46"/>
    <n v="2728602.12"/>
    <n v="304.97956779999998"/>
    <n v="282.8658595"/>
    <n v="587.84542729999998"/>
  </r>
  <r>
    <x v="7"/>
    <x v="14"/>
    <x v="3"/>
    <n v="4941733417.8421001"/>
    <n v="1071111924.15"/>
    <n v="6012845341.9920998"/>
    <n v="1064638.6922553999"/>
    <n v="230758.54194580001"/>
    <n v="1295397.2342013"/>
  </r>
  <r>
    <x v="7"/>
    <x v="15"/>
    <x v="0"/>
    <n v="14748159423.805"/>
    <n v="4607775572.3599997"/>
    <n v="19355934996.165001"/>
    <n v="3461570.4637921001"/>
    <n v="1081500.3667047"/>
    <n v="4543070.8304968001"/>
  </r>
  <r>
    <x v="7"/>
    <x v="15"/>
    <x v="1"/>
    <n v="31476553269.308701"/>
    <n v="15164163062.190001"/>
    <n v="46640716331.498703"/>
    <n v="7387925.7721576998"/>
    <n v="3559211.5229970999"/>
    <n v="10947137.295154801"/>
  </r>
  <r>
    <x v="7"/>
    <x v="15"/>
    <x v="2"/>
    <n v="1585431.2561999999"/>
    <n v="638745.59"/>
    <n v="2224176.8462"/>
    <n v="372.1197914"/>
    <n v="149.9212752"/>
    <n v="522.04106669999999"/>
  </r>
  <r>
    <x v="7"/>
    <x v="15"/>
    <x v="3"/>
    <n v="5179211139.5066004"/>
    <n v="1286562737.05"/>
    <n v="6465773876.5565996"/>
    <n v="1215623.1697171"/>
    <n v="301971.75406170002"/>
    <n v="1517594.9237788001"/>
  </r>
  <r>
    <x v="8"/>
    <x v="14"/>
    <x v="0"/>
    <n v="10392982.942"/>
    <n v="15145783.039999999"/>
    <n v="25538765.982000001"/>
    <n v="241753.499465"/>
    <n v="352309.44498720003"/>
    <n v="594062.94445219997"/>
  </r>
  <r>
    <x v="8"/>
    <x v="14"/>
    <x v="1"/>
    <n v="39276841.656900004"/>
    <n v="47209921.619999997"/>
    <n v="86486763.276899993"/>
    <n v="913627.39374039997"/>
    <n v="1098160.5401256001"/>
    <n v="2011787.933866"/>
  </r>
  <r>
    <x v="8"/>
    <x v="14"/>
    <x v="2"/>
    <n v="-3236681.7620000001"/>
    <n v="12625.75"/>
    <n v="-3224056.0120000001"/>
    <n v="-75289.177994900005"/>
    <n v="293.69039309999999"/>
    <n v="-74995.487601800007"/>
  </r>
  <r>
    <x v="8"/>
    <x v="14"/>
    <x v="3"/>
    <n v="10204518.5669"/>
    <n v="4483124.03"/>
    <n v="14687642.596899999"/>
    <n v="237369.58750640001"/>
    <n v="104282.95022100001"/>
    <n v="341652.53772740002"/>
  </r>
  <r>
    <x v="8"/>
    <x v="15"/>
    <x v="0"/>
    <n v="11665245.807499999"/>
    <n v="21202158.489999998"/>
    <n v="32867404.297499999"/>
    <n v="304814.36654040002"/>
    <n v="554015.11601780006"/>
    <n v="858829.48255810002"/>
  </r>
  <r>
    <x v="8"/>
    <x v="15"/>
    <x v="1"/>
    <n v="42739080.180299997"/>
    <n v="46367258.700000003"/>
    <n v="89106338.8803"/>
    <n v="1116777.6373217001"/>
    <n v="1211582.4065848"/>
    <n v="2328360.0439065001"/>
  </r>
  <r>
    <x v="8"/>
    <x v="15"/>
    <x v="2"/>
    <n v="-3413931.0525000002"/>
    <n v="42699.1"/>
    <n v="-3371231.9525000001"/>
    <n v="-89206.455513499997"/>
    <n v="1115.7329500999999"/>
    <n v="-88090.722563400006"/>
  </r>
  <r>
    <x v="8"/>
    <x v="15"/>
    <x v="3"/>
    <n v="473810.2047"/>
    <n v="5242977.41"/>
    <n v="5716787.6146999998"/>
    <n v="12380.721314300001"/>
    <n v="136999.67102169999"/>
    <n v="149380.39233599999"/>
  </r>
  <r>
    <x v="9"/>
    <x v="14"/>
    <x v="0"/>
    <n v="3092592240.4840002"/>
    <n v="717501878"/>
    <n v="3810094118.4840002"/>
    <n v="4714626.4777782997"/>
    <n v="1093824.561671"/>
    <n v="5808451.0394492"/>
  </r>
  <r>
    <x v="9"/>
    <x v="14"/>
    <x v="1"/>
    <n v="4130811823.0362"/>
    <n v="2064051800"/>
    <n v="6194863623.0361996"/>
    <n v="6297382.0281453999"/>
    <n v="3146626.6843710998"/>
    <n v="9444008.7125164997"/>
  </r>
  <r>
    <x v="9"/>
    <x v="14"/>
    <x v="2"/>
    <n v="-334198946.25760001"/>
    <n v="19702638"/>
    <n v="-314496308.25760001"/>
    <n v="-509483.00918749999"/>
    <n v="30036.478000800002"/>
    <n v="-479446.53118659998"/>
  </r>
  <r>
    <x v="9"/>
    <x v="14"/>
    <x v="3"/>
    <n v="3864506411.0338001"/>
    <n v="301653273"/>
    <n v="4166159684.0338001"/>
    <n v="5891402.0446977001"/>
    <n v="459867.45015300001"/>
    <n v="6351269.4948506998"/>
  </r>
  <r>
    <x v="9"/>
    <x v="15"/>
    <x v="0"/>
    <n v="3001165142.4674001"/>
    <n v="761976017"/>
    <n v="3763138167.4674001"/>
    <n v="4575246.7653633002"/>
    <n v="1161624.9495013"/>
    <n v="5736867.1535898997"/>
  </r>
  <r>
    <x v="9"/>
    <x v="15"/>
    <x v="1"/>
    <n v="2643352834.7715001"/>
    <n v="1626571668.6199999"/>
    <n v="4269921511.3915"/>
    <n v="4029765.4187264"/>
    <n v="2479692.5234733"/>
    <n v="6509453.3809251003"/>
  </r>
  <r>
    <x v="9"/>
    <x v="15"/>
    <x v="2"/>
    <n v="-8357958.4930999996"/>
    <n v="120978"/>
    <n v="-8236980.4930999996"/>
    <n v="-12741.6255838"/>
    <n v="184.42977210000001"/>
    <n v="-12557.1958118"/>
  </r>
  <r>
    <x v="9"/>
    <x v="15"/>
    <x v="3"/>
    <n v="5551230719.5808001"/>
    <n v="444932210.08999997"/>
    <n v="5996162929.6708002"/>
    <n v="8462796.6765822005"/>
    <n v="678294.78165490006"/>
    <n v="9141091.4582369998"/>
  </r>
  <r>
    <x v="10"/>
    <x v="14"/>
    <x v="0"/>
    <n v="489010644.56720001"/>
    <n v="279285084"/>
    <n v="768295728.56719995"/>
    <n v="745491.921829"/>
    <n v="425767.36584869999"/>
    <n v="1171259.2876776999"/>
  </r>
  <r>
    <x v="10"/>
    <x v="14"/>
    <x v="1"/>
    <n v="954946881.22969997"/>
    <n v="927979727"/>
    <n v="1882926608.2297001"/>
    <n v="1455807.135574"/>
    <n v="1414695.9739739001"/>
    <n v="2870503.1095479"/>
  </r>
  <r>
    <x v="10"/>
    <x v="14"/>
    <x v="2"/>
    <n v="-16676537.0024"/>
    <n v="13228550"/>
    <n v="-3447987.0024000001"/>
    <n v="-25423.216769400002"/>
    <n v="20166.794469799999"/>
    <n v="-5256.4222995999999"/>
  </r>
  <r>
    <x v="10"/>
    <x v="14"/>
    <x v="3"/>
    <n v="495482806.8682"/>
    <n v="91024652"/>
    <n v="586507458.86819994"/>
    <n v="755358.66965089994"/>
    <n v="138766.18741780001"/>
    <n v="894124.85706870002"/>
  </r>
  <r>
    <x v="10"/>
    <x v="15"/>
    <x v="0"/>
    <n v="774944336.27289999"/>
    <n v="441026047"/>
    <n v="1215970383.2729001"/>
    <n v="1181395.0247849999"/>
    <n v="672339.87441249995"/>
    <n v="1853734.8991975"/>
  </r>
  <r>
    <x v="10"/>
    <x v="15"/>
    <x v="1"/>
    <n v="893592621.79139996"/>
    <n v="788254018"/>
    <n v="1681846639.7914"/>
    <n v="1362273.1700269999"/>
    <n v="1201685.5037754001"/>
    <n v="2563958.6738024"/>
  </r>
  <r>
    <x v="10"/>
    <x v="15"/>
    <x v="2"/>
    <n v="-14967200.6591"/>
    <n v="1024465"/>
    <n v="-13942735.6591"/>
    <n v="-22817.3503127"/>
    <n v="1561.7868243999999"/>
    <n v="-21255.563488299998"/>
  </r>
  <r>
    <x v="10"/>
    <x v="15"/>
    <x v="3"/>
    <n v="540163687.87800002"/>
    <n v="110666565"/>
    <n v="650830252.87800002"/>
    <n v="823474.23364340002"/>
    <n v="168710.0907529"/>
    <n v="992184.32439630001"/>
  </r>
  <r>
    <x v="0"/>
    <x v="16"/>
    <x v="0"/>
    <n v="660306098.6178"/>
    <n v="198246096.81999999"/>
    <n v="858552195.43780005"/>
    <n v="1006630.1581015"/>
    <n v="302224.22631360003"/>
    <n v="1308854.3844151001"/>
  </r>
  <r>
    <x v="0"/>
    <x v="16"/>
    <x v="1"/>
    <n v="551806569.35609996"/>
    <n v="324383027.48000002"/>
    <n v="876189596.83609998"/>
    <n v="841223.69203479995"/>
    <n v="494518.7374782"/>
    <n v="1335742.4295131001"/>
  </r>
  <r>
    <x v="0"/>
    <x v="16"/>
    <x v="2"/>
    <n v="16799.833299999998"/>
    <n v="5821"/>
    <n v="22620.833299999998"/>
    <n v="25.6111808"/>
    <n v="8.8740573000000005"/>
    <n v="34.485238099999997"/>
  </r>
  <r>
    <x v="0"/>
    <x v="16"/>
    <x v="3"/>
    <n v="506306518.87180001"/>
    <n v="90285383"/>
    <n v="596591901.87179995"/>
    <n v="771859.31222900003"/>
    <n v="137639.17909250001"/>
    <n v="909498.49132150004"/>
  </r>
  <r>
    <x v="0"/>
    <x v="17"/>
    <x v="0"/>
    <n v="540494868.28890002"/>
    <n v="215307638"/>
    <n v="755802506.28890002"/>
    <n v="823979.1149251"/>
    <n v="328234.37816810003"/>
    <n v="1152213.4930930999"/>
  </r>
  <r>
    <x v="0"/>
    <x v="17"/>
    <x v="1"/>
    <n v="482039490.7324"/>
    <n v="311932901.48000002"/>
    <n v="793972392.21239996"/>
    <n v="734864.46631779999"/>
    <n v="475538.64274639997"/>
    <n v="1210403.1090642"/>
  </r>
  <r>
    <x v="0"/>
    <x v="17"/>
    <x v="2"/>
    <n v="56775518.3697"/>
    <n v="23939757"/>
    <n v="80715275.3697"/>
    <n v="86553.719786100002"/>
    <n v="36495.924275500001"/>
    <n v="123049.6440616"/>
  </r>
  <r>
    <x v="0"/>
    <x v="17"/>
    <x v="3"/>
    <n v="454504200.90100002"/>
    <n v="109844288"/>
    <n v="564348488.90100002"/>
    <n v="692887.1875763"/>
    <n v="167456.53754739999"/>
    <n v="860343.72512379999"/>
  </r>
  <r>
    <x v="1"/>
    <x v="16"/>
    <x v="0"/>
    <n v="459838477.167"/>
    <n v="47445839"/>
    <n v="507284316.167"/>
    <n v="701019.23932060006"/>
    <n v="72330.715275499999"/>
    <n v="773349.95459610003"/>
  </r>
  <r>
    <x v="1"/>
    <x v="16"/>
    <x v="1"/>
    <n v="1595192456.0465"/>
    <n v="1544745668"/>
    <n v="3139938124.0465002"/>
    <n v="2431855.2222882002"/>
    <n v="2354949.5896835001"/>
    <n v="4786804.8119716998"/>
  </r>
  <r>
    <x v="1"/>
    <x v="16"/>
    <x v="2"/>
    <n v="1211196.169"/>
    <n v="14000"/>
    <n v="1225196.169"/>
    <n v="1846.4566565"/>
    <n v="21.342862400000001"/>
    <n v="1867.7995189000001"/>
  </r>
  <r>
    <x v="1"/>
    <x v="16"/>
    <x v="3"/>
    <n v="1236351551.4744"/>
    <n v="160478158"/>
    <n v="1396829709.4744"/>
    <n v="1884805.7898222001"/>
    <n v="244647.3747517"/>
    <n v="2129453.1645738999"/>
  </r>
  <r>
    <x v="1"/>
    <x v="17"/>
    <x v="0"/>
    <n v="656557949.62240005"/>
    <n v="-75876605"/>
    <n v="580681344.62240005"/>
    <n v="1000916.1417934"/>
    <n v="-115673.1386356"/>
    <n v="885243.00315779995"/>
  </r>
  <r>
    <x v="1"/>
    <x v="17"/>
    <x v="1"/>
    <n v="1520947745.6844001"/>
    <n v="1469822506"/>
    <n v="2990770251.6844001"/>
    <n v="2318669.8909904002"/>
    <n v="2240729.9655312998"/>
    <n v="4559399.8565216996"/>
  </r>
  <r>
    <x v="1"/>
    <x v="17"/>
    <x v="2"/>
    <n v="35.828299999999999"/>
    <n v="0"/>
    <n v="35.828299999999999"/>
    <n v="5.4619899999999999E-2"/>
    <n v="0"/>
    <n v="5.4619899999999999E-2"/>
  </r>
  <r>
    <x v="1"/>
    <x v="17"/>
    <x v="3"/>
    <n v="1166274068.3289001"/>
    <n v="204986694"/>
    <n v="1371260762.3289001"/>
    <n v="1777973.3554622"/>
    <n v="312500.20047049999"/>
    <n v="2090473.5559326001"/>
  </r>
  <r>
    <x v="2"/>
    <x v="16"/>
    <x v="0"/>
    <n v="9909053570.6338005"/>
    <n v="4071671605"/>
    <n v="13980725175.633801"/>
    <n v="15106254.785959801"/>
    <n v="6207223.3469572002"/>
    <n v="21313478.132916901"/>
  </r>
  <r>
    <x v="2"/>
    <x v="16"/>
    <x v="1"/>
    <n v="11569033552.3286"/>
    <n v="6959862178"/>
    <n v="18528895730.328602"/>
    <n v="17636877.9543912"/>
    <n v="10610241.491439199"/>
    <n v="28247119.445830401"/>
  </r>
  <r>
    <x v="2"/>
    <x v="16"/>
    <x v="2"/>
    <n v="11250167.7312"/>
    <n v="121889293"/>
    <n v="133139460.73119999"/>
    <n v="17150.7701438"/>
    <n v="185819.02929609999"/>
    <n v="202969.7994399"/>
  </r>
  <r>
    <x v="2"/>
    <x v="16"/>
    <x v="3"/>
    <n v="9344161444.6215992"/>
    <n v="1589720748"/>
    <n v="10933882192.621599"/>
    <n v="14245082.291402601"/>
    <n v="2423513.6571451998"/>
    <n v="16668595.948547799"/>
  </r>
  <r>
    <x v="2"/>
    <x v="17"/>
    <x v="0"/>
    <n v="11610689869.9333"/>
    <n v="4454430999"/>
    <n v="16062771237.9333"/>
    <n v="17700382.6011969"/>
    <n v="6790736.2814940996"/>
    <n v="24487536.893322699"/>
  </r>
  <r>
    <x v="2"/>
    <x v="17"/>
    <x v="1"/>
    <n v="13857861942.6439"/>
    <n v="8375384375"/>
    <n v="22223114310.643902"/>
    <n v="21126174.341677699"/>
    <n v="12768191.169543101"/>
    <n v="33878919.366122901"/>
  </r>
  <r>
    <x v="2"/>
    <x v="17"/>
    <x v="2"/>
    <n v="15967159.5176"/>
    <n v="-369825384"/>
    <n v="-353858224.4824"/>
    <n v="24341.777765300001"/>
    <n v="-563795.16340249998"/>
    <n v="-539453.38563719997"/>
  </r>
  <r>
    <x v="2"/>
    <x v="17"/>
    <x v="3"/>
    <n v="9715584423.2563"/>
    <n v="1779804360"/>
    <n v="11494553183.2563"/>
    <n v="14811312.972125201"/>
    <n v="2713294.2555685998"/>
    <n v="17523333.363705698"/>
  </r>
  <r>
    <x v="3"/>
    <x v="16"/>
    <x v="0"/>
    <n v="3254675836.8021002"/>
    <n v="1799966463"/>
    <n v="5054642299.8021002"/>
    <n v="4961721.3274683002"/>
    <n v="2744031.1834465"/>
    <n v="7705752.5109147001"/>
  </r>
  <r>
    <x v="3"/>
    <x v="16"/>
    <x v="1"/>
    <n v="4204600529.1075001"/>
    <n v="3922089905"/>
    <n v="8126690434.1075001"/>
    <n v="6409872.1853833003"/>
    <n v="5979187.5153401997"/>
    <n v="12389059.700723501"/>
  </r>
  <r>
    <x v="3"/>
    <x v="16"/>
    <x v="2"/>
    <n v="-103447674.71250001"/>
    <n v="24284748"/>
    <n v="-79162926.712500006"/>
    <n v="-157704.96345420001"/>
    <n v="37021.859664600001"/>
    <n v="-120683.10378960001"/>
  </r>
  <r>
    <x v="3"/>
    <x v="16"/>
    <x v="3"/>
    <n v="1625981979.6921999"/>
    <n v="397473650"/>
    <n v="2023455629.6921999"/>
    <n v="2478793.5484981001"/>
    <n v="605944.67320269998"/>
    <n v="3084738.2217008001"/>
  </r>
  <r>
    <x v="3"/>
    <x v="17"/>
    <x v="0"/>
    <n v="3712811032.7722001"/>
    <n v="2353225763"/>
    <n v="6066036795.7721996"/>
    <n v="5660143.9313433999"/>
    <n v="3587469.5490711001"/>
    <n v="9247613.4804143999"/>
  </r>
  <r>
    <x v="3"/>
    <x v="17"/>
    <x v="1"/>
    <n v="4800647233.4987001"/>
    <n v="2973563563"/>
    <n v="7774210796.4987001"/>
    <n v="7318539.5285037002"/>
    <n v="4533168.4287232002"/>
    <n v="11851707.9572269"/>
  </r>
  <r>
    <x v="3"/>
    <x v="17"/>
    <x v="2"/>
    <n v="-114642563.57539999"/>
    <n v="15587662"/>
    <n v="-99054901.575399995"/>
    <n v="-174771.4615065"/>
    <n v="23763.2375293"/>
    <n v="-151008.22397719999"/>
  </r>
  <r>
    <x v="3"/>
    <x v="17"/>
    <x v="3"/>
    <n v="1577266089.5373001"/>
    <n v="577989578"/>
    <n v="2155255667.5373001"/>
    <n v="2404526.6527184998"/>
    <n v="881139.43139569997"/>
    <n v="3285666.0841142"/>
  </r>
  <r>
    <x v="4"/>
    <x v="16"/>
    <x v="0"/>
    <n v="783369728.17079997"/>
    <n v="570419361"/>
    <n v="1353789089.1708"/>
    <n v="1194239.4519318"/>
    <n v="869598.70997640002"/>
    <n v="2063838.1619082"/>
  </r>
  <r>
    <x v="4"/>
    <x v="16"/>
    <x v="1"/>
    <n v="161984368.95680001"/>
    <n v="152526808"/>
    <n v="314511176.95679998"/>
    <n v="246943.5785529"/>
    <n v="232525.61981959999"/>
    <n v="479469.19837250002"/>
  </r>
  <r>
    <x v="4"/>
    <x v="16"/>
    <x v="2"/>
    <n v="-2888139.4794999999"/>
    <n v="834173"/>
    <n v="-2053966.4794999999"/>
    <n v="-4402.9402528999999"/>
    <n v="1271.6885405999999"/>
    <n v="-3131.2517124000001"/>
  </r>
  <r>
    <x v="4"/>
    <x v="16"/>
    <x v="3"/>
    <n v="790346032.27489996"/>
    <n v="387670612"/>
    <n v="1178016644.2749"/>
    <n v="1204874.7589779999"/>
    <n v="591000.03811229998"/>
    <n v="1795874.7970902"/>
  </r>
  <r>
    <x v="4"/>
    <x v="17"/>
    <x v="0"/>
    <n v="779857545.93019998"/>
    <n v="607074300"/>
    <n v="1386931845.9302001"/>
    <n v="1188885.1646224"/>
    <n v="925478.80425090005"/>
    <n v="2114363.9688733001"/>
  </r>
  <r>
    <x v="4"/>
    <x v="17"/>
    <x v="1"/>
    <n v="187116682.57190001"/>
    <n v="192884087"/>
    <n v="380000769.57190001"/>
    <n v="285257.54366810003"/>
    <n v="294049.89503890002"/>
    <n v="579307.43870699999"/>
  </r>
  <r>
    <x v="4"/>
    <x v="17"/>
    <x v="2"/>
    <n v="-1291862.9564"/>
    <n v="199007"/>
    <n v="-1092855.9564"/>
    <n v="-1969.4323810999999"/>
    <n v="303.38421570000003"/>
    <n v="-1666.0481654"/>
  </r>
  <r>
    <x v="4"/>
    <x v="17"/>
    <x v="3"/>
    <n v="1058718530.0503"/>
    <n v="434561159"/>
    <n v="1493223946.0502999"/>
    <n v="1614005.994372"/>
    <n v="662484.21619099996"/>
    <n v="2276405.2309074001"/>
  </r>
  <r>
    <x v="5"/>
    <x v="16"/>
    <x v="0"/>
    <n v="-2195159.9663999998"/>
    <n v="3248538.89"/>
    <n v="1053378.9236000001"/>
    <n v="-319026.85245900002"/>
    <n v="472116.45302870002"/>
    <n v="153089.60056970001"/>
  </r>
  <r>
    <x v="5"/>
    <x v="16"/>
    <x v="1"/>
    <n v="3664609.6907000002"/>
    <n v="10264951.199999999"/>
    <n v="13929560.890699999"/>
    <n v="532584.82890069997"/>
    <n v="1491825.2528776"/>
    <n v="2024410.0817783"/>
  </r>
  <r>
    <x v="5"/>
    <x v="16"/>
    <x v="2"/>
    <n v="-1836.9929999999999"/>
    <n v="18751.38"/>
    <n v="16914.386999999999"/>
    <n v="-266.97375310000001"/>
    <n v="2725.1743983000001"/>
    <n v="2458.2006452999999"/>
  </r>
  <r>
    <x v="5"/>
    <x v="16"/>
    <x v="3"/>
    <n v="1674975.9594000001"/>
    <n v="1273650.56"/>
    <n v="2948626.5194000001"/>
    <n v="243427.50252879999"/>
    <n v="185102.1044065"/>
    <n v="428529.60693519999"/>
  </r>
  <r>
    <x v="5"/>
    <x v="17"/>
    <x v="0"/>
    <n v="-5087622.2407999998"/>
    <n v="3296431.78"/>
    <n v="-1791190.4608"/>
    <n v="-655131.7624456"/>
    <n v="424480.64333360002"/>
    <n v="-230651.11911199999"/>
  </r>
  <r>
    <x v="5"/>
    <x v="17"/>
    <x v="1"/>
    <n v="13236.5617"/>
    <n v="13093067.16"/>
    <n v="13106303.7217"/>
    <n v="1704.4685287"/>
    <n v="1685990.7749363"/>
    <n v="1687695.2434648999"/>
  </r>
  <r>
    <x v="5"/>
    <x v="17"/>
    <x v="2"/>
    <n v="-11225.912"/>
    <n v="22495.23"/>
    <n v="11269.317999999999"/>
    <n v="-1445.5577017000001"/>
    <n v="2896.7047825"/>
    <n v="1451.1470807999999"/>
  </r>
  <r>
    <x v="5"/>
    <x v="17"/>
    <x v="3"/>
    <n v="516643.03700000001"/>
    <n v="3801192.51"/>
    <n v="4317835.5470000003"/>
    <n v="66527.986427700002"/>
    <n v="489478.54824999999"/>
    <n v="556006.53467770002"/>
  </r>
  <r>
    <x v="6"/>
    <x v="16"/>
    <x v="0"/>
    <n v="15803660190.384199"/>
    <n v="7151583442"/>
    <n v="22955243632.384201"/>
    <n v="1372003.9023936"/>
    <n v="620868.85395619995"/>
    <n v="1992872.7563497999"/>
  </r>
  <r>
    <x v="6"/>
    <x v="16"/>
    <x v="1"/>
    <n v="24960777308.141102"/>
    <n v="20457376569"/>
    <n v="45418153877.141098"/>
    <n v="2166984.3226814"/>
    <n v="1776018.9821394"/>
    <n v="3943003.3048208999"/>
  </r>
  <r>
    <x v="6"/>
    <x v="16"/>
    <x v="2"/>
    <n v="116380932.5851"/>
    <n v="7218574"/>
    <n v="123599506.5851"/>
    <n v="10103.6779928"/>
    <n v="626.68467799999996"/>
    <n v="10730.362670799999"/>
  </r>
  <r>
    <x v="6"/>
    <x v="16"/>
    <x v="3"/>
    <n v="9429058185.9452991"/>
    <n v="1093338198"/>
    <n v="10522396383.945299"/>
    <n v="818589.14145"/>
    <n v="94918.788193400003"/>
    <n v="913507.92964340001"/>
  </r>
  <r>
    <x v="6"/>
    <x v="17"/>
    <x v="0"/>
    <n v="21657723262.577301"/>
    <n v="7562514980"/>
    <n v="29219530058.577301"/>
    <n v="2486100.6238929001"/>
    <n v="868104.78562460002"/>
    <n v="3354124.1167305"/>
  </r>
  <r>
    <x v="6"/>
    <x v="17"/>
    <x v="1"/>
    <n v="21245486464.7812"/>
    <n v="20376264456"/>
    <n v="41617413146.781197"/>
    <n v="2438779.7606715998"/>
    <n v="2339001.3420385998"/>
    <n v="4777283.1675155004"/>
  </r>
  <r>
    <x v="6"/>
    <x v="17"/>
    <x v="2"/>
    <n v="47273.805699999997"/>
    <n v="0"/>
    <n v="47273.805699999997"/>
    <n v="5.4265831999999996"/>
    <n v="0"/>
    <n v="5.4265831999999996"/>
  </r>
  <r>
    <x v="6"/>
    <x v="17"/>
    <x v="3"/>
    <n v="42245408675.794403"/>
    <n v="2445574425"/>
    <n v="44690879008.794403"/>
    <n v="4849371.0807996001"/>
    <n v="280728.68186820002"/>
    <n v="5130087.8138961997"/>
  </r>
  <r>
    <x v="7"/>
    <x v="16"/>
    <x v="0"/>
    <n v="18199596481.485199"/>
    <n v="5411375844.5200005"/>
    <n v="23610972326.005199"/>
    <n v="4036658.2120058001"/>
    <n v="1200239.5087855"/>
    <n v="5236897.7207912998"/>
  </r>
  <r>
    <x v="7"/>
    <x v="16"/>
    <x v="1"/>
    <n v="32908570030.648998"/>
    <n v="15550723810.02"/>
    <n v="48459293840.668999"/>
    <n v="7299098.6143418001"/>
    <n v="3449140.0418801"/>
    <n v="10748238.6562219"/>
  </r>
  <r>
    <x v="7"/>
    <x v="16"/>
    <x v="2"/>
    <n v="1760717.0723999999"/>
    <n v="1435667.44"/>
    <n v="3196384.5123999999"/>
    <n v="390.52585790000001"/>
    <n v="318.43006889999998"/>
    <n v="708.95592680000004"/>
  </r>
  <r>
    <x v="7"/>
    <x v="16"/>
    <x v="3"/>
    <n v="5758107052.8292999"/>
    <n v="1253407002.7"/>
    <n v="7011514055.5292997"/>
    <n v="1277144.2566904"/>
    <n v="278004.82695219998"/>
    <n v="1555149.0836426001"/>
  </r>
  <r>
    <x v="7"/>
    <x v="17"/>
    <x v="0"/>
    <n v="17573670532.547501"/>
    <n v="5540144398.3000002"/>
    <n v="23113814930.8475"/>
    <n v="4207559.2233437002"/>
    <n v="1326443.762477"/>
    <n v="5534002.9858207004"/>
  </r>
  <r>
    <x v="7"/>
    <x v="17"/>
    <x v="1"/>
    <n v="37050998495.670799"/>
    <n v="18258776878.919998"/>
    <n v="55309775374.590797"/>
    <n v="8870899.8023962993"/>
    <n v="4371590.1536670998"/>
    <n v="13242489.9560635"/>
  </r>
  <r>
    <x v="7"/>
    <x v="17"/>
    <x v="2"/>
    <n v="1968247.7309999999"/>
    <n v="741884.03"/>
    <n v="2710131.7609999999"/>
    <n v="471.24582650000002"/>
    <n v="177.62487279999999"/>
    <n v="648.87069929999996"/>
  </r>
  <r>
    <x v="7"/>
    <x v="17"/>
    <x v="3"/>
    <n v="6675278027.0839005"/>
    <n v="1566028068.8199999"/>
    <n v="8241306095.9039001"/>
    <n v="1598222.0435522001"/>
    <n v="374944.76937960001"/>
    <n v="1973166.8129316999"/>
  </r>
  <r>
    <x v="8"/>
    <x v="16"/>
    <x v="0"/>
    <n v="12160593.076199999"/>
    <n v="17504123.940000001"/>
    <n v="29664717.016199999"/>
    <n v="283529.79893220001"/>
    <n v="408116.6691536"/>
    <n v="691646.46808579995"/>
  </r>
  <r>
    <x v="8"/>
    <x v="16"/>
    <x v="1"/>
    <n v="46231564.258100003"/>
    <n v="55433427.210000001"/>
    <n v="101664991.4681"/>
    <n v="1077910.1016110999"/>
    <n v="1292455.7521567"/>
    <n v="2370365.8537678001"/>
  </r>
  <r>
    <x v="8"/>
    <x v="16"/>
    <x v="2"/>
    <n v="-3802624.9575999998"/>
    <n v="14929.17"/>
    <n v="-3787695.7875999999"/>
    <n v="-88659.943054300005"/>
    <n v="348.08043830000003"/>
    <n v="-88311.862615999999"/>
  </r>
  <r>
    <x v="8"/>
    <x v="16"/>
    <x v="3"/>
    <n v="11100507.8541"/>
    <n v="5231370.91"/>
    <n v="16331878.7641"/>
    <n v="258813.42630220001"/>
    <n v="121971.8095127"/>
    <n v="380785.23581490002"/>
  </r>
  <r>
    <x v="8"/>
    <x v="17"/>
    <x v="0"/>
    <n v="14205003.1501"/>
    <n v="24655304.449999999"/>
    <n v="38860307.600100003"/>
    <n v="373128.53034150001"/>
    <n v="647630.79721570003"/>
    <n v="1020759.3275571"/>
  </r>
  <r>
    <x v="8"/>
    <x v="17"/>
    <x v="1"/>
    <n v="50977921.907799996"/>
    <n v="53384392.600000001"/>
    <n v="104362314.5078"/>
    <n v="1339057.5757237"/>
    <n v="1402269.3091672999"/>
    <n v="2741326.8848910001"/>
  </r>
  <r>
    <x v="8"/>
    <x v="17"/>
    <x v="2"/>
    <n v="-3943922.5040000002"/>
    <n v="56395.33"/>
    <n v="-3887527.1740000001"/>
    <n v="-103596.5984765"/>
    <n v="1481.3588127"/>
    <n v="-102115.23966380001"/>
  </r>
  <r>
    <x v="8"/>
    <x v="17"/>
    <x v="3"/>
    <n v="185433.51809999999"/>
    <n v="6073827.2800000003"/>
    <n v="6259260.7981000002"/>
    <n v="4870.8567928000002"/>
    <n v="159543.66377730001"/>
    <n v="164414.52056999999"/>
  </r>
  <r>
    <x v="9"/>
    <x v="16"/>
    <x v="0"/>
    <n v="3617896604.9229002"/>
    <n v="815057724"/>
    <n v="4432954328.9229002"/>
    <n v="5515447.8188706003"/>
    <n v="1242547.4901556"/>
    <n v="6757995.3090262003"/>
  </r>
  <r>
    <x v="9"/>
    <x v="16"/>
    <x v="1"/>
    <n v="4878782460.8823004"/>
    <n v="2360559579"/>
    <n v="7239342039.8823004"/>
    <n v="7437655.9147661999"/>
    <n v="3598649.8794891001"/>
    <n v="11036305.794255299"/>
  </r>
  <r>
    <x v="9"/>
    <x v="16"/>
    <x v="2"/>
    <n v="-391231585.08660001"/>
    <n v="22958949"/>
    <n v="-368272636.08660001"/>
    <n v="-596428.70658690005"/>
    <n v="35000.692118500003"/>
    <n v="-561428.01446830004"/>
  </r>
  <r>
    <x v="9"/>
    <x v="16"/>
    <x v="3"/>
    <n v="4472583999.2082005"/>
    <n v="290681575"/>
    <n v="4763265574.2082005"/>
    <n v="6818410.3519106004"/>
    <n v="443141.20437769999"/>
    <n v="7261551.5562883001"/>
  </r>
  <r>
    <x v="9"/>
    <x v="17"/>
    <x v="0"/>
    <n v="3554801894.0251002"/>
    <n v="869245528"/>
    <n v="4424044430.0250998"/>
    <n v="5419260.5521780998"/>
    <n v="1325156.2648161"/>
    <n v="6744412.2557196999"/>
  </r>
  <r>
    <x v="9"/>
    <x v="17"/>
    <x v="1"/>
    <n v="3161172141.5581999"/>
    <n v="1861708927.6199999"/>
    <n v="5022878077.1781998"/>
    <n v="4819175.8629882997"/>
    <n v="2838156.9639778002"/>
    <n v="7657328.2656915002"/>
  </r>
  <r>
    <x v="9"/>
    <x v="17"/>
    <x v="2"/>
    <n v="-8359399.5948999999"/>
    <n v="150298"/>
    <n v="-8209101.5948999999"/>
    <n v="-12743.8225294"/>
    <n v="229.12782390000001"/>
    <n v="-12514.694705399999"/>
  </r>
  <r>
    <x v="9"/>
    <x v="17"/>
    <x v="3"/>
    <n v="6494931948.2177"/>
    <n v="510881434.08999997"/>
    <n v="7005813382.3077002"/>
    <n v="9901459.9252965003"/>
    <n v="778833.72551859997"/>
    <n v="10680293.650815099"/>
  </r>
  <r>
    <x v="10"/>
    <x v="16"/>
    <x v="0"/>
    <n v="561273378.69099998"/>
    <n v="331069215"/>
    <n v="892342593.69099998"/>
    <n v="855655.74982959998"/>
    <n v="504711.76464309997"/>
    <n v="1360367.5144727"/>
  </r>
  <r>
    <x v="10"/>
    <x v="16"/>
    <x v="1"/>
    <n v="1069889850.9707"/>
    <n v="1077543355"/>
    <n v="2147433205.9707"/>
    <n v="1631036.5633276"/>
    <n v="1642704.2550045"/>
    <n v="3273740.8183320998"/>
  </r>
  <r>
    <x v="10"/>
    <x v="16"/>
    <x v="2"/>
    <n v="-16824922.027199998"/>
    <n v="23656356"/>
    <n v="6831433.9727999996"/>
    <n v="-25649.4282814"/>
    <n v="36063.882236199999"/>
    <n v="10414.453954799999"/>
  </r>
  <r>
    <x v="10"/>
    <x v="16"/>
    <x v="3"/>
    <n v="548489414.41949999"/>
    <n v="106981848"/>
    <n v="655471262.41949999"/>
    <n v="836166.72193380003"/>
    <n v="163092.7758984"/>
    <n v="999259.49783220002"/>
  </r>
  <r>
    <x v="10"/>
    <x v="17"/>
    <x v="0"/>
    <n v="926351208.26049995"/>
    <n v="502911811"/>
    <n v="1429263019.2605"/>
    <n v="1412213.3131599999"/>
    <n v="766684.11344039999"/>
    <n v="2178897.4266003999"/>
  </r>
  <r>
    <x v="10"/>
    <x v="17"/>
    <x v="1"/>
    <n v="1054718466.5053999"/>
    <n v="903985409"/>
    <n v="1958703875.5053999"/>
    <n v="1607907.9368090001"/>
    <n v="1378116.8719901"/>
    <n v="2986024.8087991001"/>
  </r>
  <r>
    <x v="10"/>
    <x v="17"/>
    <x v="2"/>
    <n v="-17391857.329500001"/>
    <n v="635031"/>
    <n v="-16756826.329500001"/>
    <n v="-26513.715578200001"/>
    <n v="968.0985187"/>
    <n v="-25545.6170595"/>
  </r>
  <r>
    <x v="10"/>
    <x v="17"/>
    <x v="3"/>
    <n v="632903567.01540005"/>
    <n v="126091843"/>
    <n v="758995410.01540005"/>
    <n v="964855.26797549997"/>
    <n v="192225.77546999999"/>
    <n v="1157081.0434455001"/>
  </r>
  <r>
    <x v="0"/>
    <x v="18"/>
    <x v="0"/>
    <n v="749816435.58640003"/>
    <n v="226451926.81999999"/>
    <n v="976268362.40639997"/>
    <n v="1143087.7871360001"/>
    <n v="345223.73695230001"/>
    <n v="1488311.5240883001"/>
  </r>
  <r>
    <x v="0"/>
    <x v="18"/>
    <x v="1"/>
    <n v="629917333.93120003"/>
    <n v="372457983.12"/>
    <n v="1002375317.0512"/>
    <n v="960302.78498620004"/>
    <n v="567808.5348887"/>
    <n v="1528111.3198748999"/>
  </r>
  <r>
    <x v="0"/>
    <x v="18"/>
    <x v="2"/>
    <n v="17104.554599999999"/>
    <n v="4095"/>
    <n v="21199.554599999999"/>
    <n v="26.0757254"/>
    <n v="6.2427872999999998"/>
    <n v="32.318512599999998"/>
  </r>
  <r>
    <x v="0"/>
    <x v="18"/>
    <x v="3"/>
    <n v="576304837.23670006"/>
    <n v="105922679"/>
    <n v="682227516.23670006"/>
    <n v="878571.06065899995"/>
    <n v="161478.083167"/>
    <n v="1040049.143826"/>
  </r>
  <r>
    <x v="0"/>
    <x v="19"/>
    <x v="0"/>
    <n v="636468937.85239995"/>
    <n v="253236730"/>
    <n v="889705667.85239995"/>
    <n v="970290.6407774"/>
    <n v="386056.90616920003"/>
    <n v="1356347.5469465"/>
  </r>
  <r>
    <x v="0"/>
    <x v="19"/>
    <x v="1"/>
    <n v="563931032.84179997"/>
    <n v="362463278.56"/>
    <n v="926394311.40180004"/>
    <n v="859707.31746409996"/>
    <n v="552571.70601119997"/>
    <n v="1412279.0234753001"/>
  </r>
  <r>
    <x v="0"/>
    <x v="19"/>
    <x v="2"/>
    <n v="53694450.677599996"/>
    <n v="24165272.559999999"/>
    <n v="77859723.237599999"/>
    <n v="81856.662368999998"/>
    <n v="36839.720530500002"/>
    <n v="118696.38289949999"/>
  </r>
  <r>
    <x v="0"/>
    <x v="19"/>
    <x v="3"/>
    <n v="535443820.29500002"/>
    <n v="127185445"/>
    <n v="662629265.29499996"/>
    <n v="816278.84189819999"/>
    <n v="193892.9609715"/>
    <n v="1010171.8028697"/>
  </r>
  <r>
    <x v="1"/>
    <x v="18"/>
    <x v="0"/>
    <n v="531213530.89240003"/>
    <n v="-1659014"/>
    <n v="529554516.89240003"/>
    <n v="809829.80727760005"/>
    <n v="-2529.1505388"/>
    <n v="807300.6567388"/>
  </r>
  <r>
    <x v="1"/>
    <x v="18"/>
    <x v="1"/>
    <n v="1832578063.4669001"/>
    <n v="1761066370"/>
    <n v="3593644433.4668999"/>
    <n v="2793747.2478637001"/>
    <n v="2684728.3739634999"/>
    <n v="5478475.6218272001"/>
  </r>
  <r>
    <x v="1"/>
    <x v="18"/>
    <x v="2"/>
    <n v="1413093.4409"/>
    <n v="16000"/>
    <n v="1429093.4409"/>
    <n v="2154.2470632999998"/>
    <n v="24.391842799999999"/>
    <n v="2178.6389061"/>
  </r>
  <r>
    <x v="1"/>
    <x v="18"/>
    <x v="3"/>
    <n v="1428231268.5113001"/>
    <n v="183312278"/>
    <n v="1611543546.5113001"/>
    <n v="2177324.5327229002"/>
    <n v="279457.76628649997"/>
    <n v="2456782.2990094"/>
  </r>
  <r>
    <x v="1"/>
    <x v="19"/>
    <x v="0"/>
    <n v="771851703.05040002"/>
    <n v="-129979304"/>
    <n v="641872399.05040002"/>
    <n v="1176680.3358304999"/>
    <n v="-198152.17155999999"/>
    <n v="978528.16427049995"/>
  </r>
  <r>
    <x v="1"/>
    <x v="19"/>
    <x v="1"/>
    <n v="1789248694.7702999"/>
    <n v="1692385703"/>
    <n v="3481624397.7702999"/>
    <n v="2727692.0511105"/>
    <n v="2580025.3720899001"/>
    <n v="5307702.1782986997"/>
  </r>
  <r>
    <x v="1"/>
    <x v="19"/>
    <x v="2"/>
    <n v="35.828299999999999"/>
    <n v="0"/>
    <n v="35.828299999999999"/>
    <n v="5.4619899999999999E-2"/>
    <n v="0"/>
    <n v="5.4619899999999999E-2"/>
  </r>
  <r>
    <x v="1"/>
    <x v="19"/>
    <x v="3"/>
    <n v="1381308183.2556"/>
    <n v="233660399"/>
    <n v="1614968582.2556"/>
    <n v="2105790.7503931001"/>
    <n v="356212.98194849998"/>
    <n v="2462003.7323416001"/>
  </r>
  <r>
    <x v="2"/>
    <x v="18"/>
    <x v="0"/>
    <n v="11360256698.939301"/>
    <n v="4574477468"/>
    <n v="15934734166.939301"/>
    <n v="17318599.693179999"/>
    <n v="6973745.9437127998"/>
    <n v="24292345.636892799"/>
  </r>
  <r>
    <x v="2"/>
    <x v="18"/>
    <x v="1"/>
    <n v="13299824545.1992"/>
    <n v="7835116112"/>
    <n v="21134940657.1992"/>
    <n v="20275451.813456099"/>
    <n v="11944557.512154"/>
    <n v="32220009.325610101"/>
  </r>
  <r>
    <x v="2"/>
    <x v="18"/>
    <x v="2"/>
    <n v="12907466.8027"/>
    <n v="102842347"/>
    <n v="115749813.8027"/>
    <n v="19677.306291000001"/>
    <n v="156782.14730539999"/>
    <n v="176459.45359630001"/>
  </r>
  <r>
    <x v="2"/>
    <x v="18"/>
    <x v="3"/>
    <n v="10665467540.3181"/>
    <n v="1760954832"/>
    <n v="12426422372.3181"/>
    <n v="16259400.4489899"/>
    <n v="2684558.3353786999"/>
    <n v="18943958.784368601"/>
  </r>
  <r>
    <x v="2"/>
    <x v="19"/>
    <x v="0"/>
    <n v="13501939986.319799"/>
    <n v="5046748122"/>
    <n v="18545827857.319801"/>
    <n v="20583574.8171295"/>
    <n v="7693717.9144364996"/>
    <n v="28272932.307025898"/>
  </r>
  <r>
    <x v="2"/>
    <x v="19"/>
    <x v="1"/>
    <n v="16035955839.5557"/>
    <n v="9504657519"/>
    <n v="25528122905.555698"/>
    <n v="24446657.0820278"/>
    <n v="14489756.979497099"/>
    <n v="38917372.488677897"/>
  </r>
  <r>
    <x v="2"/>
    <x v="19"/>
    <x v="2"/>
    <n v="1199520959.8491001"/>
    <n v="-311731109"/>
    <n v="887789850.84909999"/>
    <n v="1828657.9148466999"/>
    <n v="-475231.0120938"/>
    <n v="1353426.9027529"/>
  </r>
  <r>
    <x v="2"/>
    <x v="19"/>
    <x v="3"/>
    <n v="11220121383.849701"/>
    <n v="1975842141"/>
    <n v="13194952884.849701"/>
    <n v="17104964.782523401"/>
    <n v="3012151.9261170998"/>
    <n v="20115575.9978927"/>
  </r>
  <r>
    <x v="3"/>
    <x v="18"/>
    <x v="0"/>
    <n v="3703927054.8143001"/>
    <n v="2045633431"/>
    <n v="5749560485.8142996"/>
    <n v="5646600.3942550002"/>
    <n v="3118548.0618393999"/>
    <n v="8765148.4560943991"/>
  </r>
  <r>
    <x v="3"/>
    <x v="18"/>
    <x v="1"/>
    <n v="4866187705.0612001"/>
    <n v="4758837829"/>
    <n v="9625025534.0611992"/>
    <n v="7418455.3332935004"/>
    <n v="7254801.5022326"/>
    <n v="14673256.835526099"/>
  </r>
  <r>
    <x v="3"/>
    <x v="18"/>
    <x v="2"/>
    <n v="-115149513.11660001"/>
    <n v="26592625"/>
    <n v="-88556888.116600007"/>
    <n v="-175544.30109990001"/>
    <n v="40540.1954701"/>
    <n v="-135004.1056298"/>
  </r>
  <r>
    <x v="3"/>
    <x v="18"/>
    <x v="3"/>
    <n v="1865560945.5402999"/>
    <n v="456032264"/>
    <n v="2321593209.5402999"/>
    <n v="2844029.3274411"/>
    <n v="695216.70475349994"/>
    <n v="3539246.0321946"/>
  </r>
  <r>
    <x v="3"/>
    <x v="19"/>
    <x v="0"/>
    <n v="4269227381.2589998"/>
    <n v="2690477234"/>
    <n v="6959704615.2589998"/>
    <n v="6508395.1863598004"/>
    <n v="4101606.1022293"/>
    <n v="10610001.288589001"/>
  </r>
  <r>
    <x v="3"/>
    <x v="19"/>
    <x v="1"/>
    <n v="5540764993.1592999"/>
    <n v="3483541177"/>
    <n v="9024306170.1592999"/>
    <n v="8446841.7795058005"/>
    <n v="5310624.2893970003"/>
    <n v="13757466.0689028"/>
  </r>
  <r>
    <x v="3"/>
    <x v="19"/>
    <x v="2"/>
    <n v="-127660778.6409"/>
    <n v="17790242"/>
    <n v="-109870536.6409"/>
    <n v="-194617.60243570001"/>
    <n v="27121.049093199999"/>
    <n v="-167496.5533425"/>
  </r>
  <r>
    <x v="3"/>
    <x v="19"/>
    <x v="3"/>
    <n v="1815016934.1169"/>
    <n v="660698509"/>
    <n v="2475715443.1169"/>
    <n v="2766975.4787538"/>
    <n v="1007228.3838727"/>
    <n v="3774203.8626265"/>
  </r>
  <r>
    <x v="4"/>
    <x v="18"/>
    <x v="0"/>
    <n v="906413072.01100004"/>
    <n v="672314849"/>
    <n v="1578727921.0109999"/>
    <n v="1381817.8203922"/>
    <n v="1024937.3800417"/>
    <n v="2406755.2004339001"/>
  </r>
  <r>
    <x v="4"/>
    <x v="18"/>
    <x v="1"/>
    <n v="187661472.6884"/>
    <n v="180395978"/>
    <n v="368057450.68839997"/>
    <n v="286088.07084669999"/>
    <n v="275011.89559680002"/>
    <n v="561099.96644350002"/>
  </r>
  <r>
    <x v="4"/>
    <x v="18"/>
    <x v="2"/>
    <n v="-3349574.8670999999"/>
    <n v="886594"/>
    <n v="-2462980.8670999999"/>
    <n v="-5106.3939664999998"/>
    <n v="1351.6038398999999"/>
    <n v="-3754.7901265999999"/>
  </r>
  <r>
    <x v="4"/>
    <x v="18"/>
    <x v="3"/>
    <n v="906389436.0424"/>
    <n v="471771765"/>
    <n v="1378161201.0423999"/>
    <n v="1381781.7875903"/>
    <n v="719211.41934609995"/>
    <n v="2100993.2069363999"/>
  </r>
  <r>
    <x v="4"/>
    <x v="19"/>
    <x v="0"/>
    <n v="909703285.04620004"/>
    <n v="739163929"/>
    <n v="1648867214.0462"/>
    <n v="1386833.7178294"/>
    <n v="1126848.1455339"/>
    <n v="2513681.8633633"/>
  </r>
  <r>
    <x v="4"/>
    <x v="19"/>
    <x v="1"/>
    <n v="219846087.69819999"/>
    <n v="237160608"/>
    <n v="457006695.69819999"/>
    <n v="335153.20013080002"/>
    <n v="361549.01617030002"/>
    <n v="696702.21630109998"/>
  </r>
  <r>
    <x v="4"/>
    <x v="19"/>
    <x v="2"/>
    <n v="-1485746.1834"/>
    <n v="209946"/>
    <n v="-1275800.1834"/>
    <n v="-2265.0054552000001"/>
    <n v="320.06061369999998"/>
    <n v="-1944.9448414999999"/>
  </r>
  <r>
    <x v="4"/>
    <x v="19"/>
    <x v="3"/>
    <n v="1207989886.2881"/>
    <n v="526596719"/>
    <n v="1734530862.2881"/>
    <n v="1841568.7099735001"/>
    <n v="802791.52291990002"/>
    <n v="2644275.2532378002"/>
  </r>
  <r>
    <x v="5"/>
    <x v="18"/>
    <x v="0"/>
    <n v="-2563269.4109999998"/>
    <n v="3716984.48"/>
    <n v="1153715.0689999999"/>
    <n v="-371122.57644640002"/>
    <n v="538163.03932360001"/>
    <n v="167040.46287720001"/>
  </r>
  <r>
    <x v="5"/>
    <x v="18"/>
    <x v="1"/>
    <n v="3886609.2222000002"/>
    <n v="12000571.199999999"/>
    <n v="15887180.4222"/>
    <n v="562722.13213070005"/>
    <n v="1737500.8976660999"/>
    <n v="2300223.0297967"/>
  </r>
  <r>
    <x v="5"/>
    <x v="18"/>
    <x v="2"/>
    <n v="-5181.0902999999998"/>
    <n v="28038.560000000001"/>
    <n v="22857.469700000001"/>
    <n v="-750.14338039999996"/>
    <n v="4059.5586957999999"/>
    <n v="3309.4153153000002"/>
  </r>
  <r>
    <x v="5"/>
    <x v="18"/>
    <x v="3"/>
    <n v="1999613.1647000001"/>
    <n v="1475334.69"/>
    <n v="3474947.8547"/>
    <n v="289513.6915359"/>
    <n v="213606.11136849999"/>
    <n v="503119.80290439998"/>
  </r>
  <r>
    <x v="5"/>
    <x v="19"/>
    <x v="0"/>
    <n v="-5611651.3997999998"/>
    <n v="3953256.91"/>
    <n v="-1658394.4898000001"/>
    <n v="-676844.6609898"/>
    <n v="476818.79048109998"/>
    <n v="-200025.8705086"/>
  </r>
  <r>
    <x v="5"/>
    <x v="19"/>
    <x v="1"/>
    <n v="769418.96250000002"/>
    <n v="15091002.24"/>
    <n v="15860421.202500001"/>
    <n v="92802.827497599996"/>
    <n v="1820188.6695051"/>
    <n v="1912991.4970027001"/>
  </r>
  <r>
    <x v="5"/>
    <x v="19"/>
    <x v="2"/>
    <n v="-11261.949000000001"/>
    <n v="23984.14"/>
    <n v="12722.191000000001"/>
    <n v="-1358.3506013000001"/>
    <n v="2892.8270754999999"/>
    <n v="1534.4764742"/>
  </r>
  <r>
    <x v="5"/>
    <x v="19"/>
    <x v="3"/>
    <n v="1348700.4025999999"/>
    <n v="5034263.66"/>
    <n v="6382964.0625999998"/>
    <n v="162672.3760509"/>
    <n v="607203.51952139998"/>
    <n v="769875.89557229995"/>
  </r>
  <r>
    <x v="6"/>
    <x v="18"/>
    <x v="0"/>
    <n v="21601438443.630299"/>
    <n v="8253534312"/>
    <n v="29854972755.630299"/>
    <n v="1879269.8294160001"/>
    <n v="718036.35017490003"/>
    <n v="2597306.1795907998"/>
  </r>
  <r>
    <x v="6"/>
    <x v="18"/>
    <x v="1"/>
    <n v="36423824270.423698"/>
    <n v="23570061545"/>
    <n v="59993885815.423698"/>
    <n v="3168779.4404052999"/>
    <n v="2050534.9981477"/>
    <n v="5219314.4385529999"/>
  </r>
  <r>
    <x v="6"/>
    <x v="18"/>
    <x v="2"/>
    <n v="118442620.5333"/>
    <n v="8212449"/>
    <n v="126655069.5333"/>
    <n v="10304.2046883"/>
    <n v="714.46203319999995"/>
    <n v="11018.666721600001"/>
  </r>
  <r>
    <x v="6"/>
    <x v="18"/>
    <x v="3"/>
    <n v="11003150586.5282"/>
    <n v="1279474548"/>
    <n v="12282625134.5282"/>
    <n v="957245.92506849999"/>
    <n v="111311.0093032"/>
    <n v="1068556.9343717"/>
  </r>
  <r>
    <x v="6"/>
    <x v="19"/>
    <x v="0"/>
    <n v="24956542145.1605"/>
    <n v="8813880368"/>
    <n v="33769542283.1605"/>
    <n v="2894263.5003553"/>
    <n v="1022164.5329397999"/>
    <n v="3916325.9511417998"/>
  </r>
  <r>
    <x v="6"/>
    <x v="19"/>
    <x v="1"/>
    <n v="25300545954.972099"/>
    <n v="23563614106"/>
    <n v="48858820125.972099"/>
    <n v="2934158.3569796002"/>
    <n v="2732722.6603257"/>
    <n v="5666261.7336371001"/>
  </r>
  <r>
    <x v="6"/>
    <x v="19"/>
    <x v="2"/>
    <n v="47267.643700000001"/>
    <n v="0"/>
    <n v="47267.643700000001"/>
    <n v="5.4817296000000004"/>
    <n v="0"/>
    <n v="5.4817296000000004"/>
  </r>
  <r>
    <x v="6"/>
    <x v="19"/>
    <x v="3"/>
    <n v="48130815528.9552"/>
    <n v="2785609148"/>
    <n v="50916294561.9552"/>
    <n v="5581833.4854854997"/>
    <n v="323053.0430225"/>
    <n v="5904871.4387935"/>
  </r>
  <r>
    <x v="7"/>
    <x v="18"/>
    <x v="0"/>
    <n v="21120269340.2658"/>
    <n v="6313335158.5500002"/>
    <n v="27433604498.8158"/>
    <n v="4659739.5124690002"/>
    <n v="1392903.5098842001"/>
    <n v="6052643.0223532002"/>
  </r>
  <r>
    <x v="7"/>
    <x v="18"/>
    <x v="1"/>
    <n v="38658512108.614197"/>
    <n v="18347152926.209999"/>
    <n v="57005665034.824203"/>
    <n v="8529180.8292584997"/>
    <n v="4047910.1878014002"/>
    <n v="12577091.0170599"/>
  </r>
  <r>
    <x v="7"/>
    <x v="18"/>
    <x v="2"/>
    <n v="2005423.682"/>
    <n v="1632933.44"/>
    <n v="3638357.122"/>
    <n v="442.4542045"/>
    <n v="360.27213239999998"/>
    <n v="802.72633689999998"/>
  </r>
  <r>
    <x v="7"/>
    <x v="18"/>
    <x v="3"/>
    <n v="6610727412.5340996"/>
    <n v="1461719004.25"/>
    <n v="8072446416.7840996"/>
    <n v="1458516.8036479"/>
    <n v="322497.29823499999"/>
    <n v="1781014.1018829001"/>
  </r>
  <r>
    <x v="7"/>
    <x v="19"/>
    <x v="0"/>
    <n v="20458584015.673599"/>
    <n v="6528587508.9700003"/>
    <n v="26987171524.6436"/>
    <n v="5009018.3298869003"/>
    <n v="1598439.7784152001"/>
    <n v="6607458.1083020996"/>
  </r>
  <r>
    <x v="7"/>
    <x v="19"/>
    <x v="1"/>
    <n v="42834648766.253601"/>
    <n v="21670488956.810001"/>
    <n v="64505137723.063599"/>
    <n v="10487506.8900201"/>
    <n v="5305737.4996779999"/>
    <n v="15793244.389698099"/>
  </r>
  <r>
    <x v="7"/>
    <x v="19"/>
    <x v="2"/>
    <n v="2399158.4213999999"/>
    <n v="854375.7"/>
    <n v="3253534.1214000001"/>
    <n v="587.4027499"/>
    <n v="209.18278309999999"/>
    <n v="796.58553289999998"/>
  </r>
  <r>
    <x v="7"/>
    <x v="19"/>
    <x v="3"/>
    <n v="8168748599.8502998"/>
    <n v="1806780801.55"/>
    <n v="9975529401.4002991"/>
    <n v="2000011.8990414999"/>
    <n v="442366.79068879999"/>
    <n v="2442378.6897304002"/>
  </r>
  <r>
    <x v="8"/>
    <x v="18"/>
    <x v="0"/>
    <n v="13891620.713300001"/>
    <n v="20218961.640000001"/>
    <n v="34110582.353299998"/>
    <n v="325483.1469845"/>
    <n v="473733.87160259997"/>
    <n v="799217.01858719997"/>
  </r>
  <r>
    <x v="8"/>
    <x v="18"/>
    <x v="1"/>
    <n v="53194605.651199996"/>
    <n v="63774124.509999998"/>
    <n v="116968730.1612"/>
    <n v="1246359.0827366"/>
    <n v="1494239.0934864001"/>
    <n v="2740598.1762231002"/>
  </r>
  <r>
    <x v="8"/>
    <x v="18"/>
    <x v="2"/>
    <n v="-4388760.0851999996"/>
    <n v="12493.74"/>
    <n v="-4376266.3452000003"/>
    <n v="-102829.43029990001"/>
    <n v="292.73055299999999"/>
    <n v="-102536.69974700001"/>
  </r>
  <r>
    <x v="8"/>
    <x v="18"/>
    <x v="3"/>
    <n v="11923111.0414"/>
    <n v="6090501.7599999998"/>
    <n v="18013612.801399998"/>
    <n v="279360.6148407"/>
    <n v="142701.54076850001"/>
    <n v="422062.15560920001"/>
  </r>
  <r>
    <x v="8"/>
    <x v="19"/>
    <x v="0"/>
    <n v="16729578.5865"/>
    <n v="28250455.370000001"/>
    <n v="44980033.956500001"/>
    <n v="443755.4001724"/>
    <n v="749348.94880639995"/>
    <n v="1193104.3489788"/>
  </r>
  <r>
    <x v="8"/>
    <x v="19"/>
    <x v="1"/>
    <n v="58924280.565099999"/>
    <n v="61169671.560000002"/>
    <n v="120093952.1251"/>
    <n v="1562978.2643263"/>
    <n v="1622537.7071618"/>
    <n v="3185515.9714881"/>
  </r>
  <r>
    <x v="8"/>
    <x v="19"/>
    <x v="2"/>
    <n v="-4470144.2065000003"/>
    <n v="59528.160000000003"/>
    <n v="-4410616.0465000002"/>
    <n v="-118571.46436339999"/>
    <n v="1578.9962865"/>
    <n v="-116992.4680769"/>
  </r>
  <r>
    <x v="8"/>
    <x v="19"/>
    <x v="3"/>
    <n v="14655.8982"/>
    <n v="7229940.7199999997"/>
    <n v="7244596.6182000004"/>
    <n v="388.75061540000002"/>
    <n v="191775.6159151"/>
    <n v="192164.3665305"/>
  </r>
  <r>
    <x v="9"/>
    <x v="18"/>
    <x v="0"/>
    <n v="4089723704.8747001"/>
    <n v="1112024360"/>
    <n v="5201748064.8746996"/>
    <n v="6234743.5958069004"/>
    <n v="1695270.2082606"/>
    <n v="7930013.8040674999"/>
  </r>
  <r>
    <x v="9"/>
    <x v="18"/>
    <x v="1"/>
    <n v="4037211901.079"/>
    <n v="2399368151"/>
    <n v="6436580052.0790005"/>
    <n v="6154689.8669867003"/>
    <n v="3657813.1661069002"/>
    <n v="9812503.0330935996"/>
  </r>
  <r>
    <x v="9"/>
    <x v="18"/>
    <x v="2"/>
    <n v="-448117511.46359998"/>
    <n v="26254541"/>
    <n v="-421862970.46359998"/>
    <n v="-683150.742295"/>
    <n v="40024.789734700003"/>
    <n v="-643125.95256030001"/>
  </r>
  <r>
    <x v="9"/>
    <x v="18"/>
    <x v="3"/>
    <n v="6730429103.6557999"/>
    <n v="435952584"/>
    <n v="7166381687.6557999"/>
    <n v="10260473.024383901"/>
    <n v="664605.42992909998"/>
    <n v="10925078.454313001"/>
  </r>
  <r>
    <x v="9"/>
    <x v="19"/>
    <x v="0"/>
    <n v="4119669256.3966999"/>
    <n v="983164908"/>
    <n v="5102831172.3966999"/>
    <n v="6280395.2948085004"/>
    <n v="1498825.2400690999"/>
    <n v="7779215.9736029999"/>
  </r>
  <r>
    <x v="9"/>
    <x v="19"/>
    <x v="1"/>
    <n v="3688549833.3024001"/>
    <n v="2107324545.6199999"/>
    <n v="5795871386.9224005"/>
    <n v="5623157.9711816004"/>
    <n v="3212595.5598003999"/>
    <n v="8835748.9697075002"/>
  </r>
  <r>
    <x v="9"/>
    <x v="19"/>
    <x v="2"/>
    <n v="-8275914.9308000002"/>
    <n v="153046"/>
    <n v="-8122868.9308000002"/>
    <n v="-12616.550979400001"/>
    <n v="233.31712289999999"/>
    <n v="-12383.233856499999"/>
  </r>
  <r>
    <x v="9"/>
    <x v="19"/>
    <x v="3"/>
    <n v="7422410327.5474997"/>
    <n v="588318447.09000003"/>
    <n v="8010728774.6374998"/>
    <n v="11315391.599674201"/>
    <n v="896885.69081509998"/>
    <n v="12212277.290489299"/>
  </r>
  <r>
    <x v="10"/>
    <x v="18"/>
    <x v="0"/>
    <n v="663052859.3743"/>
    <n v="381133940"/>
    <n v="1044186799.3743"/>
    <n v="1010817.5678807"/>
    <n v="581034.94588819996"/>
    <n v="1591852.5137689"/>
  </r>
  <r>
    <x v="10"/>
    <x v="18"/>
    <x v="1"/>
    <n v="1234068450.3231001"/>
    <n v="1208165078"/>
    <n v="2442233528.3231001"/>
    <n v="1881325.2245545001"/>
    <n v="1841835.7880166001"/>
    <n v="3723161.0125711001"/>
  </r>
  <r>
    <x v="10"/>
    <x v="18"/>
    <x v="2"/>
    <n v="-16405828.926899999"/>
    <n v="33624840"/>
    <n v="17219011.073100001"/>
    <n v="-25010.5249687"/>
    <n v="51260.738127700002"/>
    <n v="26250.213158899998"/>
  </r>
  <r>
    <x v="10"/>
    <x v="18"/>
    <x v="3"/>
    <n v="631116054.75880003"/>
    <n v="121596132"/>
    <n v="752712186.75880003"/>
    <n v="962130.2231073"/>
    <n v="185372.1082327"/>
    <n v="1147502.33134"/>
  </r>
  <r>
    <x v="10"/>
    <x v="19"/>
    <x v="0"/>
    <n v="1081034834.7695999"/>
    <n v="563413413"/>
    <n v="1644448247.7695999"/>
    <n v="1648026.9816002999"/>
    <n v="858918.21110229997"/>
    <n v="2506945.1927025998"/>
  </r>
  <r>
    <x v="10"/>
    <x v="19"/>
    <x v="1"/>
    <n v="1213853549.7562001"/>
    <n v="971877501"/>
    <n v="2185731050.7561998"/>
    <n v="1850507.8073046999"/>
    <n v="1481617.699026"/>
    <n v="3332125.5063307998"/>
  </r>
  <r>
    <x v="10"/>
    <x v="19"/>
    <x v="2"/>
    <n v="-19749898.668099999"/>
    <n v="413532"/>
    <n v="-19336366.668099999"/>
    <n v="-30108.526424899999"/>
    <n v="630.42547000000002"/>
    <n v="-29478.100954900001"/>
  </r>
  <r>
    <x v="10"/>
    <x v="19"/>
    <x v="3"/>
    <n v="724648627.94330001"/>
    <n v="142102847"/>
    <n v="866751474.94330001"/>
    <n v="1104719.7117238999"/>
    <n v="216634.39371790001"/>
    <n v="1321354.1054418001"/>
  </r>
  <r>
    <x v="0"/>
    <x v="20"/>
    <x v="0"/>
    <n v="847452786.30219996"/>
    <n v="254022764.81999999"/>
    <n v="1101475551.1222"/>
    <n v="1291933.4442688001"/>
    <n v="387255.20852739998"/>
    <n v="1679188.6527960999"/>
  </r>
  <r>
    <x v="0"/>
    <x v="20"/>
    <x v="1"/>
    <n v="705652737.89859998"/>
    <n v="417721772.75999999"/>
    <n v="1123374510.6586001"/>
    <n v="1075760.6640353"/>
    <n v="636812.73735930002"/>
    <n v="1712573.4013946"/>
  </r>
  <r>
    <x v="0"/>
    <x v="20"/>
    <x v="2"/>
    <n v="15817.2012"/>
    <n v="4095"/>
    <n v="19912.2012"/>
    <n v="24.113167799999999"/>
    <n v="6.2427872999999998"/>
    <n v="30.355955000000002"/>
  </r>
  <r>
    <x v="0"/>
    <x v="20"/>
    <x v="3"/>
    <n v="643184935.75929999"/>
    <n v="122856850"/>
    <n v="766041785.75929999"/>
    <n v="980529.11358410004"/>
    <n v="187294.06043380001"/>
    <n v="1167823.174018"/>
  </r>
  <r>
    <x v="0"/>
    <x v="21"/>
    <x v="0"/>
    <n v="728774528.102"/>
    <n v="292175891"/>
    <n v="1020950419.102"/>
    <n v="1111009.6059681"/>
    <n v="445419.27443410002"/>
    <n v="1556428.8804021999"/>
  </r>
  <r>
    <x v="0"/>
    <x v="21"/>
    <x v="1"/>
    <n v="654047093.55379999"/>
    <n v="417846560.94"/>
    <n v="1071893654.4938"/>
    <n v="997088.3663926"/>
    <n v="637002.97571330005"/>
    <n v="1634091.3421060001"/>
  </r>
  <r>
    <x v="0"/>
    <x v="21"/>
    <x v="2"/>
    <n v="26444350.163800001"/>
    <n v="12413708"/>
    <n v="38858058.163800001"/>
    <n v="40314.1519395"/>
    <n v="18924.575848699998"/>
    <n v="59238.727788299999"/>
  </r>
  <r>
    <x v="0"/>
    <x v="21"/>
    <x v="3"/>
    <n v="627437496.18089998"/>
    <n v="149551625"/>
    <n v="776989121.18089998"/>
    <n v="956522.2967068"/>
    <n v="227989.9825751"/>
    <n v="1184512.2792819"/>
  </r>
  <r>
    <x v="1"/>
    <x v="20"/>
    <x v="0"/>
    <n v="603716884.16859996"/>
    <n v="-10647295"/>
    <n v="593069589.16859996"/>
    <n v="920360.45681130001"/>
    <n v="-16231.696589900001"/>
    <n v="904128.76022149995"/>
  </r>
  <r>
    <x v="1"/>
    <x v="20"/>
    <x v="1"/>
    <n v="2066370090.6808"/>
    <n v="2011933436"/>
    <n v="4078303526.6808"/>
    <n v="3150160.8957306999"/>
    <n v="3067172.7506529"/>
    <n v="6217333.6463834997"/>
  </r>
  <r>
    <x v="1"/>
    <x v="20"/>
    <x v="2"/>
    <n v="1588239.7585"/>
    <n v="18000"/>
    <n v="1606239.7585"/>
    <n v="2421.2559031999999"/>
    <n v="27.440823099999999"/>
    <n v="2448.6967263000001"/>
  </r>
  <r>
    <x v="1"/>
    <x v="20"/>
    <x v="3"/>
    <n v="1627218532.8182001"/>
    <n v="207368174"/>
    <n v="1834586706.8182001"/>
    <n v="2480678.6615864001"/>
    <n v="316130.7433262"/>
    <n v="2796809.4049125002"/>
  </r>
  <r>
    <x v="1"/>
    <x v="21"/>
    <x v="0"/>
    <n v="880608787.85959995"/>
    <n v="-112423537"/>
    <n v="768185250.85959995"/>
    <n v="1342479.4427982001"/>
    <n v="-171388.5773"/>
    <n v="1171090.8654982001"/>
  </r>
  <r>
    <x v="1"/>
    <x v="21"/>
    <x v="1"/>
    <n v="2040058101.5636001"/>
    <n v="1932120054"/>
    <n v="3972163155.5636001"/>
    <n v="3110048.5269058999"/>
    <n v="2945498.0341699002"/>
    <n v="6055523.6937231999"/>
  </r>
  <r>
    <x v="1"/>
    <x v="21"/>
    <x v="2"/>
    <n v="35.828299999999999"/>
    <n v="0"/>
    <n v="35.828299999999999"/>
    <n v="5.4619899999999999E-2"/>
    <n v="0"/>
    <n v="5.4619899999999999E-2"/>
  </r>
  <r>
    <x v="1"/>
    <x v="21"/>
    <x v="3"/>
    <n v="1596471619.2577"/>
    <n v="266255530"/>
    <n v="1862727149.2577"/>
    <n v="2433805.2940325001"/>
    <n v="405903.93882530002"/>
    <n v="2839709.2328578001"/>
  </r>
  <r>
    <x v="2"/>
    <x v="20"/>
    <x v="0"/>
    <n v="12820310213.848801"/>
    <n v="5172354893"/>
    <n v="17992665106.848801"/>
    <n v="19544436.927799799"/>
    <n v="7885204.2024095999"/>
    <n v="27429641.130209401"/>
  </r>
  <r>
    <x v="2"/>
    <x v="20"/>
    <x v="1"/>
    <n v="15041785132.294001"/>
    <n v="8903810575"/>
    <n v="23945595707.293999"/>
    <n v="22931053.609145101"/>
    <n v="13573771.7182681"/>
    <n v="36504825.327413201"/>
  </r>
  <r>
    <x v="2"/>
    <x v="20"/>
    <x v="2"/>
    <n v="14672775.9012"/>
    <n v="123998706"/>
    <n v="138671481.9012"/>
    <n v="22368.502662800001"/>
    <n v="189034.80868409999"/>
    <n v="211403.31134690001"/>
  </r>
  <r>
    <x v="2"/>
    <x v="20"/>
    <x v="3"/>
    <n v="12012872560.554701"/>
    <n v="1980787374"/>
    <n v="13993659934.554701"/>
    <n v="18313506.160548199"/>
    <n v="3019690.8852257002"/>
    <n v="21333197.045773901"/>
  </r>
  <r>
    <x v="2"/>
    <x v="21"/>
    <x v="0"/>
    <n v="15269825333.701099"/>
    <n v="5802202726"/>
    <n v="21069208308.701099"/>
    <n v="23278698.655096401"/>
    <n v="8845401.0339091998"/>
    <n v="32119801.006317601"/>
  </r>
  <r>
    <x v="2"/>
    <x v="21"/>
    <x v="1"/>
    <n v="18143279372.033199"/>
    <n v="10475612870"/>
    <n v="28606418324.033199"/>
    <n v="27659251.0973024"/>
    <n v="15969968.8699107"/>
    <n v="43610203.601811104"/>
  </r>
  <r>
    <x v="2"/>
    <x v="21"/>
    <x v="2"/>
    <n v="1756404930.7556"/>
    <n v="-253325112"/>
    <n v="1503079818.7556"/>
    <n v="2677622.0556462999"/>
    <n v="-386191.6436596"/>
    <n v="2291430.4119867999"/>
  </r>
  <r>
    <x v="2"/>
    <x v="21"/>
    <x v="3"/>
    <n v="12770793671.7264"/>
    <n v="2399638368"/>
    <n v="15169457399.7264"/>
    <n v="19468949.445964299"/>
    <n v="3658225.1092678001"/>
    <n v="23125688.7261305"/>
  </r>
  <r>
    <x v="3"/>
    <x v="20"/>
    <x v="0"/>
    <n v="4130391816.6030002"/>
    <n v="2304657760"/>
    <n v="6435049576.6029997"/>
    <n v="6296741.7324657002"/>
    <n v="3513428.1058057002"/>
    <n v="9810169.8382714"/>
  </r>
  <r>
    <x v="3"/>
    <x v="20"/>
    <x v="1"/>
    <n v="5550195478.5087996"/>
    <n v="5466996417"/>
    <n v="11017191895.508801"/>
    <n v="8461218.4617419001"/>
    <n v="8334382.3101209002"/>
    <n v="16795600.771862801"/>
  </r>
  <r>
    <x v="3"/>
    <x v="20"/>
    <x v="2"/>
    <n v="-129233876.22490001"/>
    <n v="30110617"/>
    <n v="-99123259.224900007"/>
    <n v="-197015.77424269999"/>
    <n v="45903.339700600001"/>
    <n v="-151112.4345421"/>
  </r>
  <r>
    <x v="3"/>
    <x v="20"/>
    <x v="3"/>
    <n v="2091986699.2848001"/>
    <n v="508008026"/>
    <n v="2599994725.2848001"/>
    <n v="3189213.163797"/>
    <n v="774453.24312420003"/>
    <n v="3963666.4069212"/>
  </r>
  <r>
    <x v="3"/>
    <x v="21"/>
    <x v="0"/>
    <n v="4816751346.9556999"/>
    <n v="3025349506"/>
    <n v="7842100852.9556999"/>
    <n v="7343090.0912036998"/>
    <n v="4612115.5898938002"/>
    <n v="11955205.6810975"/>
  </r>
  <r>
    <x v="3"/>
    <x v="21"/>
    <x v="1"/>
    <n v="6273640871.3281002"/>
    <n v="4023990393"/>
    <n v="10297631264.3281"/>
    <n v="9564103.8533442002"/>
    <n v="6134533.8078562999"/>
    <n v="15698637.661200499"/>
  </r>
  <r>
    <x v="3"/>
    <x v="21"/>
    <x v="2"/>
    <n v="-141926195.33149999"/>
    <n v="21288762"/>
    <n v="-120637433.33149999"/>
    <n v="-216365.0899853"/>
    <n v="32454.508451000002"/>
    <n v="-183910.5815343"/>
  </r>
  <r>
    <x v="3"/>
    <x v="21"/>
    <x v="3"/>
    <n v="2048810982.8673999"/>
    <n v="738132485"/>
    <n v="2786943467.8674002"/>
    <n v="3123392.2084335"/>
    <n v="1125275.7192925999"/>
    <n v="4248667.9277261002"/>
  </r>
  <r>
    <x v="4"/>
    <x v="20"/>
    <x v="0"/>
    <n v="1037724009.7879"/>
    <n v="783480543"/>
    <n v="1821204552.7879"/>
    <n v="1582000.0545582999"/>
    <n v="1194408.3880497999"/>
    <n v="2776408.4426080999"/>
  </r>
  <r>
    <x v="4"/>
    <x v="20"/>
    <x v="1"/>
    <n v="213284926.53349999"/>
    <n v="216053084"/>
    <n v="429338010.53350002"/>
    <n v="325150.7744159"/>
    <n v="329370.80326910003"/>
    <n v="654521.57768500003"/>
  </r>
  <r>
    <x v="4"/>
    <x v="20"/>
    <x v="2"/>
    <n v="-3898733.6945000002"/>
    <n v="1059834"/>
    <n v="-2838899.6945000002"/>
    <n v="-5943.5812020000003"/>
    <n v="1615.7065173000001"/>
    <n v="-4327.8746846000004"/>
  </r>
  <r>
    <x v="4"/>
    <x v="20"/>
    <x v="3"/>
    <n v="1018500044.7875"/>
    <n v="541491164"/>
    <n v="1559991208.7874999"/>
    <n v="1552693.3088411"/>
    <n v="825497.95794540003"/>
    <n v="2378191.2667864999"/>
  </r>
  <r>
    <x v="4"/>
    <x v="21"/>
    <x v="0"/>
    <n v="1066577915.0662"/>
    <n v="852182124"/>
    <n v="1918760039.0662"/>
    <n v="1625987.5495897001"/>
    <n v="1299143.2731109001"/>
    <n v="2925130.8227006001"/>
  </r>
  <r>
    <x v="4"/>
    <x v="21"/>
    <x v="1"/>
    <n v="252971105.44490001"/>
    <n v="275144436"/>
    <n v="528115541.44489998"/>
    <n v="385651.96414539998"/>
    <n v="419454.98866540001"/>
    <n v="805106.95281080005"/>
  </r>
  <r>
    <x v="4"/>
    <x v="21"/>
    <x v="2"/>
    <n v="-1679111.9752"/>
    <n v="221554"/>
    <n v="-1457557.9752"/>
    <n v="-2559.7897045"/>
    <n v="337.75689569999997"/>
    <n v="-2222.0328089"/>
  </r>
  <r>
    <x v="4"/>
    <x v="21"/>
    <x v="3"/>
    <n v="1326378202.2385001"/>
    <n v="606114374"/>
    <n v="1932436833.2385001"/>
    <n v="2022050.5341638001"/>
    <n v="924015.40649770002"/>
    <n v="2945980.9610057999"/>
  </r>
  <r>
    <x v="5"/>
    <x v="20"/>
    <x v="0"/>
    <n v="-3126153.9519000002"/>
    <n v="4157582.37"/>
    <n v="1031428.4181"/>
    <n v="-460053.26581999997"/>
    <n v="611841.05986579997"/>
    <n v="151787.79404579999"/>
  </r>
  <r>
    <x v="5"/>
    <x v="20"/>
    <x v="1"/>
    <n v="4214802.8909"/>
    <n v="13752403.07"/>
    <n v="17967205.960900001"/>
    <n v="620261.78639330005"/>
    <n v="2023840.8096892"/>
    <n v="2644102.5960825002"/>
  </r>
  <r>
    <x v="5"/>
    <x v="20"/>
    <x v="2"/>
    <n v="-8462.5689999999995"/>
    <n v="30742.51"/>
    <n v="22279.940999999999"/>
    <n v="-1245.3745291"/>
    <n v="4524.1508712000004"/>
    <n v="3278.7763421"/>
  </r>
  <r>
    <x v="5"/>
    <x v="20"/>
    <x v="3"/>
    <n v="2311354.1855000001"/>
    <n v="1725313.51"/>
    <n v="4036667.6954999999"/>
    <n v="340145.1297239"/>
    <n v="253901.79979990001"/>
    <n v="594046.92952380003"/>
  </r>
  <r>
    <x v="5"/>
    <x v="21"/>
    <x v="0"/>
    <n v="-6242847.6682000002"/>
    <n v="4418572.3"/>
    <n v="-1824275.3681999999"/>
    <n v="-663095.76175559999"/>
    <n v="469326.93553700001"/>
    <n v="-193768.82621860001"/>
  </r>
  <r>
    <x v="5"/>
    <x v="21"/>
    <x v="1"/>
    <n v="1052766.8807000001"/>
    <n v="16871082.350000001"/>
    <n v="17923849.230700001"/>
    <n v="111821.6067108"/>
    <n v="1791993.6216767"/>
    <n v="1903815.2283874999"/>
  </r>
  <r>
    <x v="5"/>
    <x v="21"/>
    <x v="2"/>
    <n v="-12058.2359"/>
    <n v="25019.06"/>
    <n v="12960.8241"/>
    <n v="-1280.7881186"/>
    <n v="2657.4463338999999"/>
    <n v="1376.6582152999999"/>
  </r>
  <r>
    <x v="5"/>
    <x v="21"/>
    <x v="3"/>
    <n v="1965401.7376000001"/>
    <n v="5342533.7300000004"/>
    <n v="7307935.4676000001"/>
    <n v="208758.8279605"/>
    <n v="567467.22997019999"/>
    <n v="776226.05793070002"/>
  </r>
  <r>
    <x v="6"/>
    <x v="20"/>
    <x v="0"/>
    <n v="27507774796.376801"/>
    <n v="9471982239"/>
    <n v="36979757035.376801"/>
    <n v="2432170.5765514001"/>
    <n v="837489.64334069996"/>
    <n v="3269660.2198921"/>
  </r>
  <r>
    <x v="6"/>
    <x v="20"/>
    <x v="1"/>
    <n v="48033046974.800201"/>
    <n v="26780680718"/>
    <n v="74813727692.800201"/>
    <n v="4246965.2459714003"/>
    <n v="2367882.685695"/>
    <n v="6614847.9316664003"/>
  </r>
  <r>
    <x v="6"/>
    <x v="20"/>
    <x v="2"/>
    <n v="120620332.1885"/>
    <n v="9246345"/>
    <n v="129866677.1885"/>
    <n v="10664.9565461"/>
    <n v="817.53934719999995"/>
    <n v="11482.4958933"/>
  </r>
  <r>
    <x v="6"/>
    <x v="20"/>
    <x v="3"/>
    <n v="12633125077.016701"/>
    <n v="1458475644"/>
    <n v="14091600721.016701"/>
    <n v="1116990.2083922999"/>
    <n v="128954.8709124"/>
    <n v="1245945.0793047"/>
  </r>
  <r>
    <x v="6"/>
    <x v="21"/>
    <x v="0"/>
    <n v="28230751182.901402"/>
    <n v="9891402067"/>
    <n v="38121166996.901398"/>
    <n v="3380828.0347162001"/>
    <n v="1184563.9244278001"/>
    <n v="4565273.8485145997"/>
  </r>
  <r>
    <x v="6"/>
    <x v="21"/>
    <x v="1"/>
    <n v="29208814811.309399"/>
    <n v="26516619950"/>
    <n v="55719372780.309402"/>
    <n v="3497957.9301708001"/>
    <n v="3175548.9442014"/>
    <n v="6672780.9101504004"/>
  </r>
  <r>
    <x v="6"/>
    <x v="21"/>
    <x v="2"/>
    <n v="47267.643700000001"/>
    <n v="0"/>
    <n v="47267.643700000001"/>
    <n v="5.6606278000000003"/>
    <n v="0"/>
    <n v="5.6606278000000003"/>
  </r>
  <r>
    <x v="6"/>
    <x v="21"/>
    <x v="3"/>
    <n v="53732943255.4729"/>
    <n v="3080987115"/>
    <n v="56813780255.4729"/>
    <n v="6434892.2127139"/>
    <n v="368969.55187289999"/>
    <n v="6803843.7872756002"/>
  </r>
  <r>
    <x v="7"/>
    <x v="20"/>
    <x v="0"/>
    <n v="23610267515.9468"/>
    <n v="7214094118.3199997"/>
    <n v="30824361634.2668"/>
    <n v="5146966.4668244999"/>
    <n v="1572650.5635919"/>
    <n v="6719617.0304164002"/>
  </r>
  <r>
    <x v="7"/>
    <x v="20"/>
    <x v="1"/>
    <n v="43661863683.417603"/>
    <n v="20933336007.029999"/>
    <n v="64595199690.447601"/>
    <n v="9518153.4095633999"/>
    <n v="4563403.5444190996"/>
    <n v="14081556.9539825"/>
  </r>
  <r>
    <x v="7"/>
    <x v="20"/>
    <x v="2"/>
    <n v="2236902.9196000001"/>
    <n v="1800416.78"/>
    <n v="4037319.6995999999"/>
    <n v="487.63802900000002"/>
    <n v="392.4853789"/>
    <n v="880.12340800000004"/>
  </r>
  <r>
    <x v="7"/>
    <x v="20"/>
    <x v="3"/>
    <n v="7309952144.2925997"/>
    <n v="1653064193.6400001"/>
    <n v="8963016337.9326"/>
    <n v="1593547.3215352001"/>
    <n v="360362.96354650002"/>
    <n v="1953910.2850817"/>
  </r>
  <r>
    <x v="7"/>
    <x v="21"/>
    <x v="0"/>
    <n v="23221888032.800201"/>
    <n v="7452970554.9200001"/>
    <n v="30674858587.7202"/>
    <n v="5735612.2509831004"/>
    <n v="1840821.4336679"/>
    <n v="7576433.6846510004"/>
  </r>
  <r>
    <x v="7"/>
    <x v="21"/>
    <x v="1"/>
    <n v="48368581956.564201"/>
    <n v="25112140907.48"/>
    <n v="73480722864.044205"/>
    <n v="11946635.4691271"/>
    <n v="6202488.9119228004"/>
    <n v="18149124.381049901"/>
  </r>
  <r>
    <x v="7"/>
    <x v="21"/>
    <x v="2"/>
    <n v="2846478.6318000001"/>
    <n v="995957.71"/>
    <n v="3842436.3418000001"/>
    <n v="703.0564306"/>
    <n v="245.99323000000001"/>
    <n v="949.04966060000004"/>
  </r>
  <r>
    <x v="7"/>
    <x v="21"/>
    <x v="3"/>
    <n v="9670883056.7798004"/>
    <n v="2053160517.3599999"/>
    <n v="11724043574.139799"/>
    <n v="2388627.2838773001"/>
    <n v="507113.48706750001"/>
    <n v="2895740.7709448002"/>
  </r>
  <r>
    <x v="8"/>
    <x v="20"/>
    <x v="0"/>
    <n v="15981792.8452"/>
    <n v="22843152.030000001"/>
    <n v="38824944.875200003"/>
    <n v="379524.88352410001"/>
    <n v="542463.83353119995"/>
    <n v="921988.71705530002"/>
  </r>
  <r>
    <x v="8"/>
    <x v="20"/>
    <x v="1"/>
    <n v="60330438.009499997"/>
    <n v="72202283.269999996"/>
    <n v="132532721.27949999"/>
    <n v="1432686.7254689999"/>
    <n v="1714611.3338874001"/>
    <n v="3147298.0593563998"/>
  </r>
  <r>
    <x v="8"/>
    <x v="20"/>
    <x v="2"/>
    <n v="-5207451.3194000004"/>
    <n v="19537.560000000001"/>
    <n v="-5187913.7593999999"/>
    <n v="-123663.0567419"/>
    <n v="463.964854"/>
    <n v="-123199.09188789999"/>
  </r>
  <r>
    <x v="8"/>
    <x v="20"/>
    <x v="3"/>
    <n v="12496726.1982"/>
    <n v="6951854.0199999996"/>
    <n v="19448580.218199998"/>
    <n v="296763.86127290002"/>
    <n v="165087.96057940001"/>
    <n v="461851.82185230003"/>
  </r>
  <r>
    <x v="8"/>
    <x v="21"/>
    <x v="0"/>
    <n v="18965326.7564"/>
    <n v="31059847.879999999"/>
    <n v="50025174.636399999"/>
    <n v="516907.24329249997"/>
    <n v="846548.04796949995"/>
    <n v="1363455.2912619"/>
  </r>
  <r>
    <x v="8"/>
    <x v="21"/>
    <x v="1"/>
    <n v="66924873.876800001"/>
    <n v="67846787.569999993"/>
    <n v="134771661.44679999"/>
    <n v="1824063.0655983"/>
    <n v="1849190.1763422999"/>
    <n v="3673253.2419405999"/>
  </r>
  <r>
    <x v="8"/>
    <x v="21"/>
    <x v="2"/>
    <n v="-4862125.3883999996"/>
    <n v="67335.64"/>
    <n v="-4794789.7483999999"/>
    <n v="-132519.089354"/>
    <n v="1835.2586535999999"/>
    <n v="-130683.8307005"/>
  </r>
  <r>
    <x v="8"/>
    <x v="21"/>
    <x v="3"/>
    <n v="-109864.62179999999"/>
    <n v="8157100.0599999996"/>
    <n v="8047235.4381999997"/>
    <n v="-2994.4023385"/>
    <n v="222324.88579989999"/>
    <n v="219330.4834614"/>
  </r>
  <r>
    <x v="9"/>
    <x v="20"/>
    <x v="0"/>
    <n v="4607632122.8563004"/>
    <n v="1256142551"/>
    <n v="5863774673.8563004"/>
    <n v="7024289.8892096998"/>
    <n v="1914976.9741004"/>
    <n v="8939266.8633101005"/>
  </r>
  <r>
    <x v="9"/>
    <x v="20"/>
    <x v="1"/>
    <n v="4602517009.4688997"/>
    <n v="2692592488"/>
    <n v="7295109497.4688997"/>
    <n v="7016491.94912"/>
    <n v="4104830.7861643001"/>
    <n v="11121322.735284301"/>
  </r>
  <r>
    <x v="9"/>
    <x v="20"/>
    <x v="2"/>
    <n v="-503501770.5165"/>
    <n v="29482932"/>
    <n v="-474018838.5165"/>
    <n v="-767583.50092539995"/>
    <n v="44946.440086800001"/>
    <n v="-722637.06083860004"/>
  </r>
  <r>
    <x v="9"/>
    <x v="20"/>
    <x v="3"/>
    <n v="7534391799.1617002"/>
    <n v="507659369"/>
    <n v="8042051168.1617002"/>
    <n v="11486106.2526381"/>
    <n v="773921.71895410004"/>
    <n v="12260027.971592201"/>
  </r>
  <r>
    <x v="9"/>
    <x v="21"/>
    <x v="0"/>
    <n v="4686208815.3732996"/>
    <n v="1112354689"/>
    <n v="5798557520.3732996"/>
    <n v="7144079.2847295003"/>
    <n v="1695773.7915747999"/>
    <n v="8839843.9537550006"/>
  </r>
  <r>
    <x v="9"/>
    <x v="21"/>
    <x v="1"/>
    <n v="4205354586.1032"/>
    <n v="2365621533.6199999"/>
    <n v="6570970135.7231998"/>
    <n v="6411021.7378626997"/>
    <n v="3606366.7795601999"/>
    <n v="10017379.394873699"/>
  </r>
  <r>
    <x v="9"/>
    <x v="21"/>
    <x v="2"/>
    <n v="-8158249.4550999999"/>
    <n v="159146"/>
    <n v="-7999103.4550999999"/>
    <n v="-12437.171118099999"/>
    <n v="242.616513"/>
    <n v="-12194.5546051"/>
  </r>
  <r>
    <x v="9"/>
    <x v="21"/>
    <x v="3"/>
    <n v="8326725762.2386999"/>
    <n v="659175613.09000003"/>
    <n v="8985901375.3286991"/>
    <n v="12694011.592587201"/>
    <n v="1004906.7440244"/>
    <n v="13698918.3366115"/>
  </r>
  <r>
    <x v="10"/>
    <x v="20"/>
    <x v="0"/>
    <n v="773332860.24339998"/>
    <n v="429393130"/>
    <n v="1202725990.2434001"/>
    <n v="1178938.3454150001"/>
    <n v="654605.60676999995"/>
    <n v="1833543.9521850001"/>
  </r>
  <r>
    <x v="10"/>
    <x v="20"/>
    <x v="1"/>
    <n v="1407285363.3834"/>
    <n v="1317597360"/>
    <n v="2724882723.3834"/>
    <n v="2145392.7062038998"/>
    <n v="2008664.2264661"/>
    <n v="4154056.93267"/>
  </r>
  <r>
    <x v="10"/>
    <x v="20"/>
    <x v="2"/>
    <n v="-31787681.207699999"/>
    <n v="33441488"/>
    <n v="1653806.7923000001"/>
    <n v="-48460.007603700004"/>
    <n v="50981.219805599998"/>
    <n v="2521.2122018999999"/>
  </r>
  <r>
    <x v="10"/>
    <x v="20"/>
    <x v="3"/>
    <n v="711168469.51300001"/>
    <n v="134393457"/>
    <n v="845561926.51300001"/>
    <n v="1084169.3426749001"/>
    <n v="204881.50442790001"/>
    <n v="1289050.8471027999"/>
  </r>
  <r>
    <x v="10"/>
    <x v="21"/>
    <x v="0"/>
    <n v="1233349834.0390999"/>
    <n v="626940362"/>
    <n v="1860290196.0390999"/>
    <n v="1880229.7010917999"/>
    <n v="955764.42053370003"/>
    <n v="2835994.1216254998"/>
  </r>
  <r>
    <x v="10"/>
    <x v="21"/>
    <x v="1"/>
    <n v="1368632812.0165999"/>
    <n v="1082509722"/>
    <n v="2451142534.0166001"/>
    <n v="2086467.2715080001"/>
    <n v="1650275.4326883999"/>
    <n v="3736742.7041965001"/>
  </r>
  <r>
    <x v="10"/>
    <x v="21"/>
    <x v="2"/>
    <n v="-22176086.0108"/>
    <n v="747815"/>
    <n v="-21428271.0108"/>
    <n v="-33807.225185199997"/>
    <n v="1140.0366183000001"/>
    <n v="-32667.1885669"/>
  </r>
  <r>
    <x v="10"/>
    <x v="21"/>
    <x v="3"/>
    <n v="813168998.99319994"/>
    <n v="158514834"/>
    <n v="971683832.99319994"/>
    <n v="1239668.1474444"/>
    <n v="241654.30660849999"/>
    <n v="1481322.4540529"/>
  </r>
  <r>
    <x v="0"/>
    <x v="22"/>
    <x v="0"/>
    <n v="1067580760.9545"/>
    <n v="313560814.81999999"/>
    <n v="1381141575.7744999"/>
    <n v="1627516.3782907999"/>
    <n v="478020.38063470001"/>
    <n v="2105536.7589254999"/>
  </r>
  <r>
    <x v="0"/>
    <x v="22"/>
    <x v="1"/>
    <n v="896096064.96879995"/>
    <n v="510604825.04000002"/>
    <n v="1406700890.0088"/>
    <n v="1366089.6445480001"/>
    <n v="778412.03774029994"/>
    <n v="2144501.6822882998"/>
  </r>
  <r>
    <x v="0"/>
    <x v="22"/>
    <x v="2"/>
    <n v="14895.307199999999"/>
    <n v="6095"/>
    <n v="20990.307199999999"/>
    <n v="22.707749400000001"/>
    <n v="9.2917676"/>
    <n v="31.999517000000001"/>
  </r>
  <r>
    <x v="0"/>
    <x v="22"/>
    <x v="3"/>
    <n v="787475119.84130001"/>
    <n v="151851954"/>
    <n v="939327073.84130001"/>
    <n v="1200498.0811872"/>
    <n v="231496.8115288"/>
    <n v="1431994.8927160001"/>
  </r>
  <r>
    <x v="0"/>
    <x v="23"/>
    <x v="0"/>
    <n v="888677221.75559998"/>
    <n v="360892954"/>
    <n v="1249570175.7556"/>
    <n v="1354779.6909791001"/>
    <n v="550177.76165210002"/>
    <n v="1904957.4526312"/>
  </r>
  <r>
    <x v="0"/>
    <x v="23"/>
    <x v="1"/>
    <n v="863196816.03320003"/>
    <n v="530154041.57999998"/>
    <n v="1393350857.6131999"/>
    <n v="1315935.0628672"/>
    <n v="808214.62623309996"/>
    <n v="2124149.6891004001"/>
  </r>
  <r>
    <x v="0"/>
    <x v="23"/>
    <x v="2"/>
    <n v="32213792.637699999"/>
    <n v="15552928"/>
    <n v="47766720.637699999"/>
    <n v="49109.610291099998"/>
    <n v="23710.285887599999"/>
    <n v="72819.896178700001"/>
  </r>
  <r>
    <x v="0"/>
    <x v="23"/>
    <x v="3"/>
    <n v="782233200.11409998"/>
    <n v="171464249"/>
    <n v="953697449.11409998"/>
    <n v="1192506.8260786999"/>
    <n v="261395.56251399999"/>
    <n v="1453902.3885927"/>
  </r>
  <r>
    <x v="1"/>
    <x v="22"/>
    <x v="0"/>
    <n v="797731884.19780004"/>
    <n v="-18502377"/>
    <n v="779224507.19780004"/>
    <n v="1216134.417649"/>
    <n v="-28206.691902099999"/>
    <n v="1187920.1032960999"/>
  </r>
  <r>
    <x v="1"/>
    <x v="22"/>
    <x v="1"/>
    <n v="2774958707.2577"/>
    <n v="2479702167"/>
    <n v="5254595874.2577"/>
    <n v="4230397.2779583"/>
    <n v="3780281.5840063002"/>
    <n v="8010579.7701033996"/>
  </r>
  <r>
    <x v="1"/>
    <x v="22"/>
    <x v="2"/>
    <n v="1935190.8629999999"/>
    <n v="22000"/>
    <n v="1957190.8629999999"/>
    <n v="2950.1794522999999"/>
    <n v="33.538783799999997"/>
    <n v="2983.7182361"/>
  </r>
  <r>
    <x v="1"/>
    <x v="22"/>
    <x v="3"/>
    <n v="1947323564.0007"/>
    <n v="246497081"/>
    <n v="2193810645.0007"/>
    <n v="2968675.6357515999"/>
    <n v="375782.37750340003"/>
    <n v="3344442.7683533002"/>
  </r>
  <r>
    <x v="1"/>
    <x v="23"/>
    <x v="0"/>
    <n v="1111820903.4535999"/>
    <n v="-124675677"/>
    <n v="987140226.45360005"/>
    <n v="1694960.0407551001"/>
    <n v="-190066.84432060001"/>
    <n v="1504885.5739837"/>
  </r>
  <r>
    <x v="1"/>
    <x v="23"/>
    <x v="1"/>
    <n v="2607487814.7477002"/>
    <n v="2347142999"/>
    <n v="4954580813.7476997"/>
    <n v="3975089.5481681"/>
    <n v="3578196.4351321999"/>
    <n v="7553209.7587917"/>
  </r>
  <r>
    <x v="1"/>
    <x v="23"/>
    <x v="2"/>
    <n v="57445954.649800003"/>
    <n v="43970297"/>
    <n v="101416251.6498"/>
    <n v="87575.793306299995"/>
    <n v="67032.285652899998"/>
    <n v="154608.07895910001"/>
  </r>
  <r>
    <x v="1"/>
    <x v="23"/>
    <x v="3"/>
    <n v="2000933300.5069001"/>
    <n v="315548882"/>
    <n v="2316482182.5068998"/>
    <n v="3050403.1521987999"/>
    <n v="481051.1695126"/>
    <n v="3531454.3217115002"/>
  </r>
  <r>
    <x v="2"/>
    <x v="22"/>
    <x v="0"/>
    <n v="15764965614.216"/>
    <n v="6347773062"/>
    <n v="22108683320.216"/>
    <n v="24033535.146687999"/>
    <n v="9677117.6494801007"/>
    <n v="33704470.445800602"/>
  </r>
  <r>
    <x v="2"/>
    <x v="22"/>
    <x v="1"/>
    <n v="18063992569.139301"/>
    <n v="11053687547"/>
    <n v="29097068824.139301"/>
    <n v="27538379.145491701"/>
    <n v="16851238.0338955"/>
    <n v="44358195.4672933"/>
  </r>
  <r>
    <x v="2"/>
    <x v="22"/>
    <x v="2"/>
    <n v="37582040.325000003"/>
    <n v="158877477"/>
    <n v="196459517.32499999"/>
    <n v="57293.451133199997"/>
    <n v="242207.1522981"/>
    <n v="299500.60343130003"/>
  </r>
  <r>
    <x v="2"/>
    <x v="22"/>
    <x v="3"/>
    <n v="13921514424.741699"/>
    <n v="2427729297"/>
    <n v="16348003114.741699"/>
    <n v="21223211.925083"/>
    <n v="3701049.4544612002"/>
    <n v="24922370.086364999"/>
  </r>
  <r>
    <x v="2"/>
    <x v="23"/>
    <x v="0"/>
    <n v="19348037194.555199"/>
    <n v="7366538117"/>
    <n v="26708312213.555199"/>
    <n v="29495892.557828002"/>
    <n v="11230214.963785701"/>
    <n v="40716559.490264103"/>
  </r>
  <r>
    <x v="2"/>
    <x v="23"/>
    <x v="1"/>
    <n v="22855895806.378601"/>
    <n v="14123024736"/>
    <n v="36952135537.378601"/>
    <n v="34843588.5376307"/>
    <n v="21530412.414228398"/>
    <n v="56333167.474969499"/>
  </r>
  <r>
    <x v="2"/>
    <x v="23"/>
    <x v="2"/>
    <n v="90331103.553599998"/>
    <n v="-251171049"/>
    <n v="-160839945.44639999"/>
    <n v="137708.87962719999"/>
    <n v="-382907.79578540003"/>
    <n v="-245198.91615820001"/>
  </r>
  <r>
    <x v="2"/>
    <x v="23"/>
    <x v="3"/>
    <n v="16087388862.201401"/>
    <n v="2694568070"/>
    <n v="18779744957.201401"/>
    <n v="24525066.2195866"/>
    <n v="4107842.5415081"/>
    <n v="28629536.6269457"/>
  </r>
  <r>
    <x v="3"/>
    <x v="22"/>
    <x v="0"/>
    <n v="5063650142.9604998"/>
    <n v="2715083014"/>
    <n v="7778731156.9604998"/>
    <n v="7719484.879284"/>
    <n v="4139117.3720228998"/>
    <n v="11858599.202326501"/>
  </r>
  <r>
    <x v="3"/>
    <x v="22"/>
    <x v="1"/>
    <n v="7316544614.3677998"/>
    <n v="6727179493"/>
    <n v="14043723107.3678"/>
    <n v="11154000.3603404"/>
    <n v="10255519.024875101"/>
    <n v="21409517.860725299"/>
  </r>
  <r>
    <x v="3"/>
    <x v="22"/>
    <x v="2"/>
    <n v="-150220720.5966"/>
    <n v="35167995"/>
    <n v="-115052725.5966"/>
    <n v="-229010.01223650001"/>
    <n v="53613.262759600002"/>
    <n v="-175396.7494769"/>
  </r>
  <r>
    <x v="3"/>
    <x v="22"/>
    <x v="3"/>
    <n v="2607736399.6708999"/>
    <n v="634603188"/>
    <n v="3242339587.6708999"/>
    <n v="3975468.5134405"/>
    <n v="967446.32346330001"/>
    <n v="4942914.8369038003"/>
  </r>
  <r>
    <x v="3"/>
    <x v="23"/>
    <x v="0"/>
    <n v="6021739960.6028004"/>
    <n v="3683762489"/>
    <n v="9705502449.6028004"/>
    <n v="9180083.3905314002"/>
    <n v="5615859.7118408997"/>
    <n v="14795943.1023723"/>
  </r>
  <r>
    <x v="3"/>
    <x v="23"/>
    <x v="1"/>
    <n v="7893662819.3669996"/>
    <n v="5033171817"/>
    <n v="12926795636.367001"/>
    <n v="12033811.3921599"/>
    <n v="7673020.9708868004"/>
    <n v="19706772.907929901"/>
  </r>
  <r>
    <x v="3"/>
    <x v="23"/>
    <x v="2"/>
    <n v="-177978293.79030001"/>
    <n v="24159883"/>
    <n v="-153818410.79030001"/>
    <n v="-271326.15977919998"/>
    <n v="36831.504199199997"/>
    <n v="-234494.65557999999"/>
  </r>
  <r>
    <x v="3"/>
    <x v="23"/>
    <x v="3"/>
    <n v="2545978595.6511002"/>
    <n v="864991267"/>
    <n v="3410969862.6511002"/>
    <n v="3881319.3481449001"/>
    <n v="1318670.6857308999"/>
    <n v="5199990.0338757997"/>
  </r>
  <r>
    <x v="4"/>
    <x v="22"/>
    <x v="0"/>
    <n v="1336776034.2642"/>
    <n v="1000137258"/>
    <n v="2336913292.2642002"/>
    <n v="2037901.9269010001"/>
    <n v="1524699.4208462001"/>
    <n v="3562601.3477472002"/>
  </r>
  <r>
    <x v="4"/>
    <x v="22"/>
    <x v="1"/>
    <n v="272572594.53530002"/>
    <n v="280195078"/>
    <n v="552725639.53530002"/>
    <n v="415534.24162759999"/>
    <n v="427154.64275860001"/>
    <n v="842624.80549079995"/>
  </r>
  <r>
    <x v="4"/>
    <x v="22"/>
    <x v="2"/>
    <n v="-4862950.1153999995"/>
    <n v="1296080"/>
    <n v="-3566870.1154"/>
    <n v="-7413.5196597000004"/>
    <n v="1975.8612226"/>
    <n v="-5437.6584370999999"/>
  </r>
  <r>
    <x v="4"/>
    <x v="22"/>
    <x v="3"/>
    <n v="1265596046.8578999"/>
    <n v="673774201"/>
    <n v="1939370247.8578999"/>
    <n v="1929388.7356304"/>
    <n v="1027162.1478237"/>
    <n v="2956550.8834541002"/>
  </r>
  <r>
    <x v="4"/>
    <x v="23"/>
    <x v="0"/>
    <n v="1354500830.9205"/>
    <n v="1092436514"/>
    <n v="2446937344.9204998"/>
    <n v="2064923.2052108999"/>
    <n v="1665408.7295355999"/>
    <n v="3730331.9347465001"/>
  </r>
  <r>
    <x v="4"/>
    <x v="23"/>
    <x v="1"/>
    <n v="329184067.04659998"/>
    <n v="400650589"/>
    <n v="729750590.04659998"/>
    <n v="501837.8751147"/>
    <n v="610787.88548639999"/>
    <n v="1112497.6028102001"/>
  </r>
  <r>
    <x v="4"/>
    <x v="23"/>
    <x v="2"/>
    <n v="-2034045.2697000001"/>
    <n v="304456"/>
    <n v="-1729589.2697000001"/>
    <n v="-3100.8820237999998"/>
    <n v="464.14017990000002"/>
    <n v="-2636.7418438999998"/>
  </r>
  <r>
    <x v="4"/>
    <x v="23"/>
    <x v="3"/>
    <n v="1635382501.6125"/>
    <n v="775938607"/>
    <n v="2411265365.6125002"/>
    <n v="2493124.5517807999"/>
    <n v="1182910.7807372001"/>
    <n v="3675950.3528622999"/>
  </r>
  <r>
    <x v="5"/>
    <x v="22"/>
    <x v="0"/>
    <n v="-3782047.5175999999"/>
    <n v="4983236.53"/>
    <n v="1201189.0123999999"/>
    <n v="-561584.58076200006"/>
    <n v="739945.4355121"/>
    <n v="178360.8547501"/>
  </r>
  <r>
    <x v="5"/>
    <x v="22"/>
    <x v="1"/>
    <n v="6876157.29"/>
    <n v="17116137.489999998"/>
    <n v="23992292.059999999"/>
    <n v="1021019.4057554"/>
    <n v="2541522.5091319"/>
    <n v="3562541.5110029001"/>
  </r>
  <r>
    <x v="5"/>
    <x v="22"/>
    <x v="2"/>
    <n v="-6173.2466000000004"/>
    <n v="33054.129999999997"/>
    <n v="26880.883399999999"/>
    <n v="-916.64636359999997"/>
    <n v="4908.1059009000001"/>
    <n v="3991.4595373000002"/>
  </r>
  <r>
    <x v="5"/>
    <x v="22"/>
    <x v="3"/>
    <n v="2256858.0271999999"/>
    <n v="2112074.92"/>
    <n v="4368932.9472000003"/>
    <n v="335113.89350519999"/>
    <n v="313615.49609480001"/>
    <n v="648729.38959999999"/>
  </r>
  <r>
    <x v="5"/>
    <x v="23"/>
    <x v="0"/>
    <n v="-7673567.4595999997"/>
    <n v="5661244.8799999999"/>
    <n v="-2012322.5796000001"/>
    <n v="-565009.78990229999"/>
    <n v="416841.16248080001"/>
    <n v="-148168.62742149999"/>
  </r>
  <r>
    <x v="5"/>
    <x v="23"/>
    <x v="1"/>
    <n v="1971289.2468999999"/>
    <n v="20893876.43"/>
    <n v="22865317.676899999"/>
    <n v="145147.3163026"/>
    <n v="1538429.7843358"/>
    <n v="1683588.2924978"/>
  </r>
  <r>
    <x v="5"/>
    <x v="23"/>
    <x v="2"/>
    <n v="-12293.6589"/>
    <n v="27321.81"/>
    <n v="15028.151099999999"/>
    <n v="-905.19014379999999"/>
    <n v="2011.7227364"/>
    <n v="1106.5325926"/>
  </r>
  <r>
    <x v="5"/>
    <x v="23"/>
    <x v="3"/>
    <n v="3455454.2157999999"/>
    <n v="6844033.3600000003"/>
    <n v="10299487.5758"/>
    <n v="254427.35347870001"/>
    <n v="503930.65170490002"/>
    <n v="758358.00518360001"/>
  </r>
  <r>
    <x v="6"/>
    <x v="22"/>
    <x v="0"/>
    <n v="38442945016.611298"/>
    <n v="11458054950"/>
    <n v="49900249966.611298"/>
    <n v="3654896.6950059002"/>
    <n v="1089354.8126933"/>
    <n v="4744180.2027427005"/>
  </r>
  <r>
    <x v="6"/>
    <x v="22"/>
    <x v="1"/>
    <n v="69055020189.917206"/>
    <n v="32876194378"/>
    <n v="101927861752.91701"/>
    <n v="6565286.9455406005"/>
    <n v="3125647.4790003998"/>
    <n v="9690615.6614375003"/>
  </r>
  <r>
    <x v="6"/>
    <x v="22"/>
    <x v="2"/>
    <n v="141103882.1769"/>
    <n v="11880449"/>
    <n v="152984331.1769"/>
    <n v="13415.208236500001"/>
    <n v="1129.5131985"/>
    <n v="14544.721434999999"/>
  </r>
  <r>
    <x v="6"/>
    <x v="22"/>
    <x v="3"/>
    <n v="17093333560.687099"/>
    <n v="1795255561"/>
    <n v="18888589121.687099"/>
    <n v="1625119.2074539"/>
    <n v="170680.82618939999"/>
    <n v="1795800.0336432999"/>
  </r>
  <r>
    <x v="6"/>
    <x v="23"/>
    <x v="0"/>
    <n v="35675305908.376999"/>
    <n v="12243093801"/>
    <n v="47916582272.376999"/>
    <n v="4017968.4834917998"/>
    <n v="1378891.1904271001"/>
    <n v="5396654.9831838999"/>
  </r>
  <r>
    <x v="6"/>
    <x v="23"/>
    <x v="1"/>
    <n v="38570794948.024498"/>
    <n v="32920086620"/>
    <n v="71479788790.024506"/>
    <n v="4344075.9522120003"/>
    <n v="3707659.0415983"/>
    <n v="8050485.6581351003"/>
  </r>
  <r>
    <x v="6"/>
    <x v="23"/>
    <x v="2"/>
    <n v="52549.183400000002"/>
    <n v="0"/>
    <n v="52549.183400000002"/>
    <n v="5.9184064999999997"/>
    <n v="0"/>
    <n v="5.9184064999999997"/>
  </r>
  <r>
    <x v="6"/>
    <x v="23"/>
    <x v="3"/>
    <n v="64637677397.879799"/>
    <n v="3806529759"/>
    <n v="68443938972.879799"/>
    <n v="7279885.7365875999"/>
    <n v="428714.37857930001"/>
    <n v="7708569.9106646003"/>
  </r>
  <r>
    <x v="7"/>
    <x v="22"/>
    <x v="0"/>
    <n v="30523349320.396301"/>
    <n v="8742867487.0400009"/>
    <n v="39266216807.436302"/>
    <n v="6793745.9258460002"/>
    <n v="1945947.0108216"/>
    <n v="8739692.9366676006"/>
  </r>
  <r>
    <x v="7"/>
    <x v="22"/>
    <x v="1"/>
    <n v="58181065015.641701"/>
    <n v="25545986934.689999"/>
    <n v="83727051950.331696"/>
    <n v="12949672.372529199"/>
    <n v="5685907.6255858997"/>
    <n v="18635579.998115201"/>
  </r>
  <r>
    <x v="7"/>
    <x v="22"/>
    <x v="2"/>
    <n v="2775877.182"/>
    <n v="1784897.85"/>
    <n v="4560775.0319999997"/>
    <n v="617.84190520000004"/>
    <n v="397.27430859999998"/>
    <n v="1015.1162137"/>
  </r>
  <r>
    <x v="7"/>
    <x v="22"/>
    <x v="3"/>
    <n v="8938114105.4734001"/>
    <n v="2061146863.1099999"/>
    <n v="10999260968.583401"/>
    <n v="1989404.1001664"/>
    <n v="458760.53629760002"/>
    <n v="2448164.6364639001"/>
  </r>
  <r>
    <x v="7"/>
    <x v="23"/>
    <x v="0"/>
    <n v="28921841035.647999"/>
    <n v="9246404603"/>
    <n v="38168245638.648003"/>
    <n v="6451404.7498338996"/>
    <n v="2062534.6256883999"/>
    <n v="8513939.3755223993"/>
  </r>
  <r>
    <x v="7"/>
    <x v="23"/>
    <x v="1"/>
    <n v="60137809982.4589"/>
    <n v="31373195990.43"/>
    <n v="91511005972.888901"/>
    <n v="13414545.515523899"/>
    <n v="6998212.3676241003"/>
    <n v="20412757.883148"/>
  </r>
  <r>
    <x v="7"/>
    <x v="23"/>
    <x v="2"/>
    <n v="3730477.5739000002"/>
    <n v="1269773.32"/>
    <n v="5000250.8938999996"/>
    <n v="832.13308270000005"/>
    <n v="283.23997830000002"/>
    <n v="1115.3730611000001"/>
  </r>
  <r>
    <x v="7"/>
    <x v="23"/>
    <x v="3"/>
    <n v="12696269513.1817"/>
    <n v="2507877390.9699998"/>
    <n v="15204146904.151699"/>
    <n v="2832073.2881960999"/>
    <n v="559415.70566560002"/>
    <n v="3391488.9938616999"/>
  </r>
  <r>
    <x v="8"/>
    <x v="22"/>
    <x v="0"/>
    <n v="20627797.482299998"/>
    <n v="29918464.050000001"/>
    <n v="50546261.532300003"/>
    <n v="505335.55811609997"/>
    <n v="732936.40494859999"/>
    <n v="1238271.9630646999"/>
  </r>
  <r>
    <x v="8"/>
    <x v="22"/>
    <x v="1"/>
    <n v="77337470.320500001"/>
    <n v="88765572.510000005"/>
    <n v="166103042.83050001"/>
    <n v="1894597.5090764"/>
    <n v="2174560.8160215998"/>
    <n v="4069158.325098"/>
  </r>
  <r>
    <x v="8"/>
    <x v="22"/>
    <x v="2"/>
    <n v="-6303442.3161000004"/>
    <n v="36808.94"/>
    <n v="-6266633.3761"/>
    <n v="-154420.43890489999"/>
    <n v="901.73787359999994"/>
    <n v="-153518.70103140001"/>
  </r>
  <r>
    <x v="8"/>
    <x v="22"/>
    <x v="3"/>
    <n v="9528958.9760999996"/>
    <n v="9577956.3000000007"/>
    <n v="19106915.276099999"/>
    <n v="233438.48545080001"/>
    <n v="234638.81185689999"/>
    <n v="468077.29730769998"/>
  </r>
  <r>
    <x v="8"/>
    <x v="23"/>
    <x v="0"/>
    <n v="24626462.119600002"/>
    <n v="35537946.109999999"/>
    <n v="60164408.229599997"/>
    <n v="626149.55808800005"/>
    <n v="903583.67937959998"/>
    <n v="1529733.2374676"/>
  </r>
  <r>
    <x v="8"/>
    <x v="23"/>
    <x v="1"/>
    <n v="85246867.092999995"/>
    <n v="80511746.680000007"/>
    <n v="165758613.773"/>
    <n v="2167476.9156622998"/>
    <n v="2047082.2954488001"/>
    <n v="4214559.2111111004"/>
  </r>
  <r>
    <x v="8"/>
    <x v="23"/>
    <x v="2"/>
    <n v="-5774500.3896000003"/>
    <n v="93168.82"/>
    <n v="-5681331.5696"/>
    <n v="-146821.7744622"/>
    <n v="2368.8995678000001"/>
    <n v="-144452.87489450001"/>
  </r>
  <r>
    <x v="8"/>
    <x v="23"/>
    <x v="3"/>
    <n v="-1132072.1575"/>
    <n v="9764089.5399999991"/>
    <n v="8632017.3825000003"/>
    <n v="-28783.934846200002"/>
    <n v="248260.60361049999"/>
    <n v="219476.6687643"/>
  </r>
  <r>
    <x v="9"/>
    <x v="22"/>
    <x v="0"/>
    <n v="5911724957.0721998"/>
    <n v="1489403896"/>
    <n v="7401128853.0721998"/>
    <n v="9012366.5988353007"/>
    <n v="2270581.6021476998"/>
    <n v="11282948.200983001"/>
  </r>
  <r>
    <x v="9"/>
    <x v="22"/>
    <x v="1"/>
    <n v="6012800196.9879999"/>
    <n v="3147517296"/>
    <n v="9160299113.9880009"/>
    <n v="9166454.8087572996"/>
    <n v="4798359.1851295"/>
    <n v="13964785.9752819"/>
  </r>
  <r>
    <x v="9"/>
    <x v="22"/>
    <x v="2"/>
    <n v="-602641752.34650004"/>
    <n v="35653085"/>
    <n v="-566988667.34650004"/>
    <n v="-918721.42891450005"/>
    <n v="54352.7776973"/>
    <n v="-864368.65121719998"/>
  </r>
  <r>
    <x v="9"/>
    <x v="22"/>
    <x v="3"/>
    <n v="9187455739.0506992"/>
    <n v="630948458"/>
    <n v="9818404197.0506992"/>
    <n v="14006185.983304899"/>
    <n v="961874.72349560005"/>
    <n v="14968060.706800399"/>
  </r>
  <r>
    <x v="9"/>
    <x v="23"/>
    <x v="0"/>
    <n v="5936262021.1486998"/>
    <n v="1385272510"/>
    <n v="7321525555.1486998"/>
    <n v="9049773.1118787993"/>
    <n v="2111834.3275549999"/>
    <n v="11161593.75561"/>
  </r>
  <r>
    <x v="9"/>
    <x v="23"/>
    <x v="1"/>
    <n v="5110562153.3502998"/>
    <n v="2769140336.6199999"/>
    <n v="7879693513.9702997"/>
    <n v="7791001.7780895997"/>
    <n v="4221527.2291019"/>
    <n v="12012515.3233677"/>
  </r>
  <r>
    <x v="9"/>
    <x v="23"/>
    <x v="2"/>
    <n v="-7936668.4852"/>
    <n v="128399"/>
    <n v="-7808269.4852"/>
    <n v="-12099.3731071"/>
    <n v="195.74301360000001"/>
    <n v="-11903.630093399999"/>
  </r>
  <r>
    <x v="9"/>
    <x v="23"/>
    <x v="3"/>
    <n v="10276051423.7757"/>
    <n v="892976415.09000003"/>
    <n v="11169027838.8657"/>
    <n v="15665739.406357"/>
    <n v="1361333.7689666001"/>
    <n v="17027073.175323501"/>
  </r>
  <r>
    <x v="10"/>
    <x v="22"/>
    <x v="0"/>
    <n v="1021304130.3405"/>
    <n v="538327192"/>
    <n v="1559631322.3405001"/>
    <n v="1556968.1097092"/>
    <n v="820674.51372569997"/>
    <n v="2377642.6234348998"/>
  </r>
  <r>
    <x v="10"/>
    <x v="22"/>
    <x v="1"/>
    <n v="2162597587.8269"/>
    <n v="1617861114"/>
    <n v="3780398701.8269"/>
    <n v="3296858.7694421001"/>
    <n v="2466413.3685591999"/>
    <n v="5763180.6685908996"/>
  </r>
  <r>
    <x v="10"/>
    <x v="22"/>
    <x v="2"/>
    <n v="-37218079.7258"/>
    <n v="30256445"/>
    <n v="-6961634.7258000001"/>
    <n v="-56738.596776600003"/>
    <n v="46125.653053499998"/>
    <n v="-10612.943723099999"/>
  </r>
  <r>
    <x v="10"/>
    <x v="22"/>
    <x v="3"/>
    <n v="893440225.69000006"/>
    <n v="162101905"/>
    <n v="1055438130.6900001"/>
    <n v="1362040.8436681"/>
    <n v="247122.7610956"/>
    <n v="1609005.0577858"/>
  </r>
  <r>
    <x v="10"/>
    <x v="23"/>
    <x v="0"/>
    <n v="1562728713.1048999"/>
    <n v="755608198"/>
    <n v="2318336911.1048999"/>
    <n v="2382364.5652152998"/>
    <n v="1151917.2720162999"/>
    <n v="3534281.8372316002"/>
  </r>
  <r>
    <x v="10"/>
    <x v="23"/>
    <x v="1"/>
    <n v="1711240810.2211001"/>
    <n v="1325605855"/>
    <n v="3036846665.2210999"/>
    <n v="2608769.7977475999"/>
    <n v="2020873.0983891001"/>
    <n v="4629642.8961365996"/>
  </r>
  <r>
    <x v="10"/>
    <x v="23"/>
    <x v="2"/>
    <n v="-27309952.1503"/>
    <n v="1742229"/>
    <n v="-25567723.1503"/>
    <n v="-41633.753661100003"/>
    <n v="2656.0109885000002"/>
    <n v="-38977.742672599998"/>
  </r>
  <r>
    <x v="10"/>
    <x v="23"/>
    <x v="3"/>
    <n v="1005032649.8506"/>
    <n v="190958101"/>
    <n v="1195990750.8506"/>
    <n v="1532162.3976123"/>
    <n v="291113.74830969999"/>
    <n v="1823276.1459220999"/>
  </r>
  <r>
    <x v="0"/>
    <x v="24"/>
    <x v="0"/>
    <n v="98385004.8398"/>
    <n v="57883729"/>
    <n v="156268733.8398"/>
    <n v="149986.97298729999"/>
    <n v="88243.176000899999"/>
    <n v="238230.1489881"/>
  </r>
  <r>
    <x v="0"/>
    <x v="24"/>
    <x v="1"/>
    <n v="88407934.312800005"/>
    <n v="50388719.82"/>
    <n v="138796654.13280001"/>
    <n v="134777.02701980001"/>
    <n v="76817.108164100006"/>
    <n v="211594.13518390001"/>
  </r>
  <r>
    <x v="0"/>
    <x v="24"/>
    <x v="2"/>
    <n v="3377933.1069999998"/>
    <n v="459513"/>
    <n v="3837446.1069999998"/>
    <n v="5149.6258245999998"/>
    <n v="700.52305260000003"/>
    <n v="5850.1488771000004"/>
  </r>
  <r>
    <x v="0"/>
    <x v="24"/>
    <x v="3"/>
    <n v="74844101.221100003"/>
    <n v="18370483"/>
    <n v="93214584.221100003"/>
    <n v="114099.0967717"/>
    <n v="28005.620795300001"/>
    <n v="142104.71756700001"/>
  </r>
  <r>
    <x v="1"/>
    <x v="24"/>
    <x v="0"/>
    <n v="109991989.6578"/>
    <n v="658874"/>
    <n v="110650863.6578"/>
    <n v="167681.70727320001"/>
    <n v="1004.4469378"/>
    <n v="168686.15421099999"/>
  </r>
  <r>
    <x v="1"/>
    <x v="24"/>
    <x v="1"/>
    <n v="283785310.8466"/>
    <n v="209141694"/>
    <n v="492922004.8466"/>
    <n v="432627.91744980001"/>
    <n v="318834.45713669999"/>
    <n v="751454.75213559996"/>
  </r>
  <r>
    <x v="1"/>
    <x v="24"/>
    <x v="2"/>
    <n v="7053820.7008999996"/>
    <n v="3118252"/>
    <n v="10172072.7009"/>
    <n v="10753.4803362"/>
    <n v="4753.7445289999996"/>
    <n v="15507.2248652"/>
  </r>
  <r>
    <x v="1"/>
    <x v="24"/>
    <x v="3"/>
    <n v="202352774.17570001"/>
    <n v="29783482"/>
    <n v="232136256.17570001"/>
    <n v="308484.81558350002"/>
    <n v="45404.625608100003"/>
    <n v="353889.4411916"/>
  </r>
  <r>
    <x v="2"/>
    <x v="24"/>
    <x v="0"/>
    <n v="1958085432.2154"/>
    <n v="710544016"/>
    <n v="2667971933.2154002"/>
    <n v="2985081.9980812999"/>
    <n v="1083217.3694312"/>
    <n v="4067296.9923568"/>
  </r>
  <r>
    <x v="2"/>
    <x v="24"/>
    <x v="1"/>
    <n v="2334805738.0904999"/>
    <n v="1365086731"/>
    <n v="3698080484.0904999"/>
    <n v="3559388.4021216002"/>
    <n v="2081061.3058478001"/>
    <n v="5637687.3546444001"/>
  </r>
  <r>
    <x v="2"/>
    <x v="24"/>
    <x v="2"/>
    <n v="17009310.126899999"/>
    <n v="-413878369"/>
    <n v="-396869058.87309998"/>
    <n v="25930.5261273"/>
    <n v="-630953.50609869999"/>
    <n v="-605022.9799714"/>
  </r>
  <r>
    <x v="2"/>
    <x v="24"/>
    <x v="3"/>
    <n v="1708103578.0601001"/>
    <n v="221125668"/>
    <n v="1929038571.0601001"/>
    <n v="2603987.1181497001"/>
    <n v="337103.9077257"/>
    <n v="2940800.3437116998"/>
  </r>
  <r>
    <x v="3"/>
    <x v="24"/>
    <x v="0"/>
    <n v="574345321.20029998"/>
    <n v="325963743"/>
    <n v="900309064.20029998"/>
    <n v="875583.79771890002"/>
    <n v="496928.52275379997"/>
    <n v="1372512.3204727001"/>
  </r>
  <r>
    <x v="3"/>
    <x v="24"/>
    <x v="1"/>
    <n v="796267972.42369998"/>
    <n v="494051408"/>
    <n v="1290318380.4237001"/>
    <n v="1213902.6985362"/>
    <n v="753176.51614359999"/>
    <n v="1967077.6901896"/>
  </r>
  <r>
    <x v="3"/>
    <x v="24"/>
    <x v="2"/>
    <n v="-17964464.263"/>
    <n v="1349215"/>
    <n v="-16615249.263"/>
    <n v="-27386.649220899999"/>
    <n v="2056.8650078999999"/>
    <n v="-25329.784212999999"/>
  </r>
  <r>
    <x v="3"/>
    <x v="24"/>
    <x v="3"/>
    <n v="245475735.5794"/>
    <n v="63205364"/>
    <n v="308681099.5794"/>
    <n v="374225.34644709999"/>
    <n v="96355.956259300001"/>
    <n v="470581.30270639999"/>
  </r>
  <r>
    <x v="4"/>
    <x v="24"/>
    <x v="0"/>
    <n v="152192223.13530001"/>
    <n v="118460824"/>
    <n v="270653047.13529998"/>
    <n v="232015.54848150001"/>
    <n v="180592.36199929999"/>
    <n v="412607.91048090003"/>
  </r>
  <r>
    <x v="4"/>
    <x v="24"/>
    <x v="1"/>
    <n v="42061425.402800001"/>
    <n v="37111979"/>
    <n v="79173404.402799994"/>
    <n v="64122.229662600002"/>
    <n v="56576.847262900003"/>
    <n v="120699.07692550001"/>
  </r>
  <r>
    <x v="4"/>
    <x v="24"/>
    <x v="2"/>
    <n v="-40782.9539"/>
    <n v="0"/>
    <n v="-40782.9539"/>
    <n v="-62.173212399999997"/>
    <n v="0"/>
    <n v="-62.173212399999997"/>
  </r>
  <r>
    <x v="4"/>
    <x v="24"/>
    <x v="3"/>
    <n v="177098701.4012"/>
    <n v="69920879"/>
    <n v="247019580.4012"/>
    <n v="269985.2298263"/>
    <n v="106593.6928793"/>
    <n v="376578.92270559998"/>
  </r>
  <r>
    <x v="5"/>
    <x v="24"/>
    <x v="0"/>
    <n v="-1083920.7286"/>
    <n v="650156.49"/>
    <n v="-433764.23859999998"/>
    <n v="-92435.804318499999"/>
    <n v="55444.772389999998"/>
    <n v="-36991.031928500001"/>
  </r>
  <r>
    <x v="5"/>
    <x v="24"/>
    <x v="1"/>
    <n v="-47901.332900000001"/>
    <n v="2323047.2200000002"/>
    <n v="2275145.8870999999"/>
    <n v="-4084.9834473000001"/>
    <n v="198107.4192833"/>
    <n v="194022.43583599999"/>
  </r>
  <r>
    <x v="5"/>
    <x v="24"/>
    <x v="2"/>
    <n v="-1374.837"/>
    <n v="1265.17"/>
    <n v="-109.667"/>
    <n v="-117.2448875"/>
    <n v="107.89258239999999"/>
    <n v="-9.3523051000000006"/>
  </r>
  <r>
    <x v="5"/>
    <x v="24"/>
    <x v="3"/>
    <n v="99133.113200000007"/>
    <n v="1084852.53"/>
    <n v="1183985.6432"/>
    <n v="8453.9845132999999"/>
    <n v="92515.267520599999"/>
    <n v="100969.2520339"/>
  </r>
  <r>
    <x v="6"/>
    <x v="24"/>
    <x v="0"/>
    <n v="3615498496.9519"/>
    <n v="996677041"/>
    <n v="4611827353.9518995"/>
    <n v="388507.43247659999"/>
    <n v="107099.045549"/>
    <n v="495569.0635247"/>
  </r>
  <r>
    <x v="6"/>
    <x v="24"/>
    <x v="1"/>
    <n v="4197141789.6703"/>
    <n v="2689869855"/>
    <n v="6885595276.6702995"/>
    <n v="451008.56266980001"/>
    <n v="289042.97206689999"/>
    <n v="739899.33733000001"/>
  </r>
  <r>
    <x v="6"/>
    <x v="24"/>
    <x v="2"/>
    <n v="0"/>
    <n v="15000"/>
    <n v="15000"/>
    <n v="0"/>
    <n v="1.6118418000000001"/>
    <n v="1.6118418000000001"/>
  </r>
  <r>
    <x v="6"/>
    <x v="24"/>
    <x v="3"/>
    <n v="5721597111.0987997"/>
    <n v="298258759"/>
    <n v="6019829847.0987997"/>
    <n v="614820.6133048"/>
    <n v="32049.728348799999"/>
    <n v="646867.54532300006"/>
  </r>
  <r>
    <x v="7"/>
    <x v="24"/>
    <x v="0"/>
    <n v="2293908644.5913"/>
    <n v="651513446.63"/>
    <n v="2945422091.2213001"/>
    <n v="496829.9609909"/>
    <n v="141109.10695479999"/>
    <n v="637939.06794570002"/>
  </r>
  <r>
    <x v="7"/>
    <x v="24"/>
    <x v="1"/>
    <n v="5504544145.2933998"/>
    <n v="2796253479.5"/>
    <n v="8300797624.7933998"/>
    <n v="1192210.7096229999"/>
    <n v="605631.13985220005"/>
    <n v="1797841.8494752001"/>
  </r>
  <r>
    <x v="7"/>
    <x v="24"/>
    <x v="2"/>
    <n v="27546.783800000001"/>
    <n v="1425"/>
    <n v="28971.783800000001"/>
    <n v="5.9662652999999999"/>
    <n v="0.30863600000000002"/>
    <n v="6.2749012000000004"/>
  </r>
  <r>
    <x v="7"/>
    <x v="24"/>
    <x v="3"/>
    <n v="2841001912.2544999"/>
    <n v="415489352.81999999"/>
    <n v="3256491265.0745001"/>
    <n v="615323.05245389999"/>
    <n v="89989.442012200001"/>
    <n v="705312.4944661"/>
  </r>
  <r>
    <x v="8"/>
    <x v="24"/>
    <x v="0"/>
    <n v="2880320.4629000002"/>
    <n v="2491881.98"/>
    <n v="5372202.4429000001"/>
    <n v="73892.264312500003"/>
    <n v="63927.192919399997"/>
    <n v="137819.45723190001"/>
  </r>
  <r>
    <x v="8"/>
    <x v="24"/>
    <x v="1"/>
    <n v="8442777.4719999991"/>
    <n v="6036884.8499999996"/>
    <n v="14479662.322000001"/>
    <n v="216592.54674190001"/>
    <n v="154871.34043099999"/>
    <n v="371463.88717290002"/>
  </r>
  <r>
    <x v="8"/>
    <x v="24"/>
    <x v="2"/>
    <n v="-513500.41350000002"/>
    <n v="5173.8900000000003"/>
    <n v="-508326.52350000001"/>
    <n v="-13173.432875799999"/>
    <n v="132.7319138"/>
    <n v="-13040.700962000001"/>
  </r>
  <r>
    <x v="8"/>
    <x v="24"/>
    <x v="3"/>
    <n v="-652868.25320000004"/>
    <n v="988949.42"/>
    <n v="336081.16680000001"/>
    <n v="-16748.800749099999"/>
    <n v="25370.6880452"/>
    <n v="8621.8872960000008"/>
  </r>
  <r>
    <x v="9"/>
    <x v="24"/>
    <x v="0"/>
    <n v="598848998.48000002"/>
    <n v="116424425"/>
    <n v="715273423.48000002"/>
    <n v="912939.41291880002"/>
    <n v="177487.8917368"/>
    <n v="1090427.3046556001"/>
  </r>
  <r>
    <x v="9"/>
    <x v="24"/>
    <x v="1"/>
    <n v="586821778.94599998"/>
    <n v="228518637"/>
    <n v="815340415.94599998"/>
    <n v="894604.03493830003"/>
    <n v="348374.41631080001"/>
    <n v="1242978.4512491"/>
  </r>
  <r>
    <x v="9"/>
    <x v="24"/>
    <x v="2"/>
    <n v="80776.375199999995"/>
    <n v="6796"/>
    <n v="87572.375199999995"/>
    <n v="123.14279019999999"/>
    <n v="10.3604352"/>
    <n v="133.50322539999999"/>
  </r>
  <r>
    <x v="9"/>
    <x v="24"/>
    <x v="3"/>
    <n v="947543233.40760005"/>
    <n v="73746265"/>
    <n v="1021289498.4076"/>
    <n v="1444520.3472295001"/>
    <n v="112425.4562418"/>
    <n v="1556945.8034713001"/>
  </r>
  <r>
    <x v="10"/>
    <x v="24"/>
    <x v="0"/>
    <n v="175532918.95100001"/>
    <n v="66029175"/>
    <n v="241562093.95100001"/>
    <n v="267598.20986890001"/>
    <n v="100660.8283775"/>
    <n v="368259.03824640001"/>
  </r>
  <r>
    <x v="10"/>
    <x v="24"/>
    <x v="1"/>
    <n v="164466614.54210001"/>
    <n v="139432242"/>
    <n v="303898856.54210001"/>
    <n v="250727.73755310001"/>
    <n v="212563.08264109999"/>
    <n v="463290.82019419997"/>
  </r>
  <r>
    <x v="10"/>
    <x v="24"/>
    <x v="2"/>
    <n v="4115426.5950000002"/>
    <n v="457723"/>
    <n v="4573149.5949999997"/>
    <n v="6273.9273991999999"/>
    <n v="697.79421520000005"/>
    <n v="6971.7216144000004"/>
  </r>
  <r>
    <x v="10"/>
    <x v="24"/>
    <x v="3"/>
    <n v="16383873.346899999"/>
    <n v="25574599"/>
    <n v="41958472.346900001"/>
    <n v="24977.053902799998"/>
    <n v="38988.224837900001"/>
    <n v="63965.2787407"/>
  </r>
  <r>
    <x v="0"/>
    <x v="25"/>
    <x v="0"/>
    <n v="183938380.27020001"/>
    <n v="135797491"/>
    <n v="319735871.27020001"/>
    <n v="280412.25304430001"/>
    <n v="207021.9404626"/>
    <n v="487434.19350689999"/>
  </r>
  <r>
    <x v="0"/>
    <x v="25"/>
    <x v="1"/>
    <n v="165158994.5386"/>
    <n v="95666844.640000001"/>
    <n v="260825839.17860001"/>
    <n v="251783.26405329999"/>
    <n v="145843.1644757"/>
    <n v="397626.42852900003"/>
  </r>
  <r>
    <x v="0"/>
    <x v="25"/>
    <x v="2"/>
    <n v="6199791.8400999997"/>
    <n v="918895"/>
    <n v="7118686.8400999997"/>
    <n v="9451.5217310000007"/>
    <n v="1400.8463968999999"/>
    <n v="10852.368127899999"/>
  </r>
  <r>
    <x v="0"/>
    <x v="25"/>
    <x v="3"/>
    <n v="141616591.96259999"/>
    <n v="36294368"/>
    <n v="177910959.96259999"/>
    <n v="215893.10269209999"/>
    <n v="55330.407328499998"/>
    <n v="271223.51002059999"/>
  </r>
  <r>
    <x v="1"/>
    <x v="25"/>
    <x v="0"/>
    <n v="207388835.1582"/>
    <n v="-2056633"/>
    <n v="205332202.1582"/>
    <n v="316162.24105880002"/>
    <n v="-3135.3167966999999"/>
    <n v="313026.92426210002"/>
  </r>
  <r>
    <x v="1"/>
    <x v="25"/>
    <x v="1"/>
    <n v="536509487.463"/>
    <n v="400635457"/>
    <n v="937124944.46300006"/>
    <n v="817903.44102280005"/>
    <n v="610764.81690109998"/>
    <n v="1428637.7681205"/>
  </r>
  <r>
    <x v="1"/>
    <x v="25"/>
    <x v="2"/>
    <n v="12474401.896500001"/>
    <n v="5523576"/>
    <n v="17997977.896499999"/>
    <n v="19017.103097499999"/>
    <n v="8420.6373284000001"/>
    <n v="27437.740425799999"/>
  </r>
  <r>
    <x v="1"/>
    <x v="25"/>
    <x v="3"/>
    <n v="374333518.85399997"/>
    <n v="52735703"/>
    <n v="427069221.85399997"/>
    <n v="570667.77068309998"/>
    <n v="80395.060956700006"/>
    <n v="651062.83163989999"/>
  </r>
  <r>
    <x v="2"/>
    <x v="25"/>
    <x v="0"/>
    <n v="3737318955.5943999"/>
    <n v="1337309724"/>
    <n v="5072851604.5944004"/>
    <n v="5697506.0188311003"/>
    <n v="2038715.5316583"/>
    <n v="7733512.4171163999"/>
  </r>
  <r>
    <x v="2"/>
    <x v="25"/>
    <x v="1"/>
    <n v="4454034003.2567997"/>
    <n v="2678401225"/>
    <n v="7127396458.2567997"/>
    <n v="6790131.0653851004"/>
    <n v="4083196.3451872999"/>
    <n v="10865645.8552265"/>
  </r>
  <r>
    <x v="2"/>
    <x v="25"/>
    <x v="2"/>
    <n v="21916530.392999999"/>
    <n v="-423523771"/>
    <n v="-401607240.60699999"/>
    <n v="33411.535196700002"/>
    <n v="-645657.82665629999"/>
    <n v="-612246.29145969998"/>
  </r>
  <r>
    <x v="2"/>
    <x v="25"/>
    <x v="3"/>
    <n v="3245513901.4438"/>
    <n v="435619780"/>
    <n v="3680688431.4438"/>
    <n v="4947754.0470546"/>
    <n v="664098.07350179995"/>
    <n v="5611173.3413070999"/>
  </r>
  <r>
    <x v="3"/>
    <x v="25"/>
    <x v="0"/>
    <n v="1087484746.3322001"/>
    <n v="620609569"/>
    <n v="1708094315.3322001"/>
    <n v="1657859.8083901999"/>
    <n v="946113.18882180005"/>
    <n v="2603972.9972120002"/>
  </r>
  <r>
    <x v="3"/>
    <x v="25"/>
    <x v="1"/>
    <n v="1510417572.5662"/>
    <n v="951289678"/>
    <n v="2461705250.5661998"/>
    <n v="2302616.7455583001"/>
    <n v="1450231.7651919001"/>
    <n v="3752845.4617698998"/>
  </r>
  <r>
    <x v="3"/>
    <x v="25"/>
    <x v="2"/>
    <n v="-34013320.6061"/>
    <n v="2451141"/>
    <n v="-31562179.6061"/>
    <n v="-51852.972993800002"/>
    <n v="3736.7403656000001"/>
    <n v="-48116.232628199999"/>
  </r>
  <r>
    <x v="3"/>
    <x v="25"/>
    <x v="3"/>
    <n v="466769444.59170002"/>
    <n v="136165411"/>
    <n v="602934855.59169996"/>
    <n v="711585.43104459997"/>
    <n v="207582.83088679999"/>
    <n v="919168.26193130005"/>
  </r>
  <r>
    <x v="4"/>
    <x v="25"/>
    <x v="0"/>
    <n v="296036635.45249999"/>
    <n v="204361995"/>
    <n v="500398630.45249999"/>
    <n v="451304.94141000003"/>
    <n v="311547.8529843"/>
    <n v="762852.79439429997"/>
  </r>
  <r>
    <x v="4"/>
    <x v="25"/>
    <x v="1"/>
    <n v="82728708.281900004"/>
    <n v="69721195"/>
    <n v="152449903.28189999"/>
    <n v="126119.102749"/>
    <n v="106289.2765837"/>
    <n v="232408.37933259999"/>
  </r>
  <r>
    <x v="4"/>
    <x v="25"/>
    <x v="2"/>
    <n v="-76029.876900000003"/>
    <n v="5996"/>
    <n v="-70033.876900000003"/>
    <n v="-115.9068001"/>
    <n v="9.1408430999999997"/>
    <n v="-106.76595709999999"/>
  </r>
  <r>
    <x v="4"/>
    <x v="25"/>
    <x v="3"/>
    <n v="337047021.13090003"/>
    <n v="124827263"/>
    <n v="461874284.13090003"/>
    <n v="513824.87134200003"/>
    <n v="190297.9356879"/>
    <n v="704122.80702990002"/>
  </r>
  <r>
    <x v="5"/>
    <x v="25"/>
    <x v="0"/>
    <n v="-2249997.3683000002"/>
    <n v="1312652.8700000001"/>
    <n v="-937344.49829999998"/>
    <n v="-192008.7870407"/>
    <n v="112018.302299"/>
    <n v="-79990.484741699998"/>
  </r>
  <r>
    <x v="5"/>
    <x v="25"/>
    <x v="1"/>
    <n v="-213026.59109999999"/>
    <n v="4314711.53"/>
    <n v="4101804.9389"/>
    <n v="-18179.122314"/>
    <n v="368205.99836149998"/>
    <n v="350037.11652809998"/>
  </r>
  <r>
    <x v="5"/>
    <x v="25"/>
    <x v="2"/>
    <n v="-2597.2539000000002"/>
    <n v="2384.35"/>
    <n v="-212.90389999999999"/>
    <n v="-221.6427352"/>
    <n v="203.4740831"/>
    <n v="-18.1686522"/>
  </r>
  <r>
    <x v="5"/>
    <x v="25"/>
    <x v="3"/>
    <n v="268371.80599999998"/>
    <n v="1756868.89"/>
    <n v="2025240.696"/>
    <n v="22902.135652199999"/>
    <n v="149926.51516440001"/>
    <n v="172828.65081670001"/>
  </r>
  <r>
    <x v="6"/>
    <x v="25"/>
    <x v="0"/>
    <n v="6797141503.3163004"/>
    <n v="1925534735"/>
    <n v="8722001916.3162994"/>
    <n v="754129.19056010002"/>
    <n v="213634.20937940001"/>
    <n v="967688.58526870003"/>
  </r>
  <r>
    <x v="6"/>
    <x v="25"/>
    <x v="1"/>
    <n v="7806914597.6274996"/>
    <n v="5093921712"/>
    <n v="12898078619.627501"/>
    <n v="866161.4861789"/>
    <n v="565160.37742819998"/>
    <n v="1431015.9034432999"/>
  </r>
  <r>
    <x v="6"/>
    <x v="25"/>
    <x v="2"/>
    <n v="956.33789999999999"/>
    <n v="83978"/>
    <n v="84934.337899999999"/>
    <n v="0.1061038"/>
    <n v="9.3171903"/>
    <n v="9.4232940999999997"/>
  </r>
  <r>
    <x v="6"/>
    <x v="25"/>
    <x v="3"/>
    <n v="10686263369.092199"/>
    <n v="640420159"/>
    <n v="11326637505.092199"/>
    <n v="1185619.4461618999"/>
    <n v="71053.329681200004"/>
    <n v="1256667.6696837"/>
  </r>
  <r>
    <x v="7"/>
    <x v="25"/>
    <x v="0"/>
    <n v="4375566909.8297005"/>
    <n v="1360785272.9300001"/>
    <n v="5736352182.7596998"/>
    <n v="971087.94582799997"/>
    <n v="302004.79220969998"/>
    <n v="1273092.7380377001"/>
  </r>
  <r>
    <x v="7"/>
    <x v="25"/>
    <x v="1"/>
    <n v="10529323185.576"/>
    <n v="5587173699.1300001"/>
    <n v="16116496884.705999"/>
    <n v="2336816.9277150999"/>
    <n v="1239984.9304746999"/>
    <n v="3576801.8581897998"/>
  </r>
  <r>
    <x v="7"/>
    <x v="25"/>
    <x v="2"/>
    <n v="52147.078099999999"/>
    <n v="2850"/>
    <n v="54997.078099999999"/>
    <n v="11.5732201"/>
    <n v="0.63251250000000003"/>
    <n v="12.205732599999999"/>
  </r>
  <r>
    <x v="7"/>
    <x v="25"/>
    <x v="3"/>
    <n v="5375375587.4687996"/>
    <n v="863412369.21000004"/>
    <n v="6238787956.6787996"/>
    <n v="1192979.6858008001"/>
    <n v="191620.7342493"/>
    <n v="1384600.4200502001"/>
  </r>
  <r>
    <x v="8"/>
    <x v="25"/>
    <x v="0"/>
    <n v="5388371.4501"/>
    <n v="7593828.5800000001"/>
    <n v="12982200.030099999"/>
    <n v="146982.30905889999"/>
    <n v="207142.0780142"/>
    <n v="354124.38707310002"/>
  </r>
  <r>
    <x v="8"/>
    <x v="25"/>
    <x v="1"/>
    <n v="15915994.3112"/>
    <n v="13885108.140000001"/>
    <n v="29801102.451200001"/>
    <n v="434151.50876160001"/>
    <n v="378753.63175120001"/>
    <n v="812905.14051279996"/>
  </r>
  <r>
    <x v="8"/>
    <x v="25"/>
    <x v="2"/>
    <n v="-964208.13569999998"/>
    <n v="14345.39"/>
    <n v="-949862.74569999997"/>
    <n v="-26301.3675859"/>
    <n v="391.30905619999999"/>
    <n v="-25910.0585297"/>
  </r>
  <r>
    <x v="8"/>
    <x v="25"/>
    <x v="3"/>
    <n v="-238480.33530000001"/>
    <n v="1771688.12"/>
    <n v="1533207.7847"/>
    <n v="-6505.1919066999999"/>
    <n v="48327.553737000002"/>
    <n v="41822.361830299997"/>
  </r>
  <r>
    <x v="9"/>
    <x v="25"/>
    <x v="0"/>
    <n v="1136901313.8917999"/>
    <n v="232348278"/>
    <n v="1369249591.8917999"/>
    <n v="1733194.8799872999"/>
    <n v="354212.666379"/>
    <n v="2087407.5463663"/>
  </r>
  <r>
    <x v="9"/>
    <x v="25"/>
    <x v="1"/>
    <n v="1113306703.9942999"/>
    <n v="449293011"/>
    <n v="1562599714.9942999"/>
    <n v="1697225.1290775"/>
    <n v="684942.77978590003"/>
    <n v="2382167.9088634001"/>
  </r>
  <r>
    <x v="9"/>
    <x v="25"/>
    <x v="2"/>
    <n v="163408.78080000001"/>
    <n v="17011"/>
    <n v="180419.78080000001"/>
    <n v="249.11508040000001"/>
    <n v="25.933102300000002"/>
    <n v="275.04818269999998"/>
  </r>
  <r>
    <x v="9"/>
    <x v="25"/>
    <x v="3"/>
    <n v="1785246380.214"/>
    <n v="139151342"/>
    <n v="1924397722.214"/>
    <n v="2721590.5619027"/>
    <n v="212134.8533517"/>
    <n v="2933725.4152544001"/>
  </r>
  <r>
    <x v="10"/>
    <x v="25"/>
    <x v="0"/>
    <n v="322529330.3459"/>
    <n v="137908661"/>
    <n v="460437991.3459"/>
    <n v="491692.79441470001"/>
    <n v="210240.3983798"/>
    <n v="701933.19279450004"/>
  </r>
  <r>
    <x v="10"/>
    <x v="25"/>
    <x v="1"/>
    <n v="302791893.39230001"/>
    <n v="261430122"/>
    <n v="564222015.39230001"/>
    <n v="461603.26575110003"/>
    <n v="398547.65175159997"/>
    <n v="860150.9175027"/>
  </r>
  <r>
    <x v="10"/>
    <x v="25"/>
    <x v="2"/>
    <n v="1695107.69"/>
    <n v="861293"/>
    <n v="2556400.69"/>
    <n v="2584.1750145000001"/>
    <n v="1313.0327139999999"/>
    <n v="3897.2077285999999"/>
  </r>
  <r>
    <x v="10"/>
    <x v="25"/>
    <x v="3"/>
    <n v="120795687.67749999"/>
    <n v="49612347"/>
    <n v="170408034.67750001"/>
    <n v="184151.83872950001"/>
    <n v="75633.535429900003"/>
    <n v="259785.3741594"/>
  </r>
  <r>
    <x v="0"/>
    <x v="26"/>
    <x v="0"/>
    <n v="256607364.9043"/>
    <n v="90159985"/>
    <n v="346767349.90429997"/>
    <n v="391195.40595540003"/>
    <n v="137448.01107390001"/>
    <n v="528643.41702930001"/>
  </r>
  <r>
    <x v="0"/>
    <x v="26"/>
    <x v="1"/>
    <n v="253465480.7949"/>
    <n v="146618728.46000001"/>
    <n v="400084209.25489998"/>
    <n v="386405.63450789999"/>
    <n v="223518.8106233"/>
    <n v="609924.44513120002"/>
  </r>
  <r>
    <x v="0"/>
    <x v="26"/>
    <x v="2"/>
    <n v="10594586.2192"/>
    <n v="5379080"/>
    <n v="15973666.2192"/>
    <n v="16151.342571499999"/>
    <n v="8200.3545964000004"/>
    <n v="24351.697167999999"/>
  </r>
  <r>
    <x v="0"/>
    <x v="26"/>
    <x v="3"/>
    <n v="214284859.065"/>
    <n v="49021855"/>
    <n v="263306714.065"/>
    <n v="326675.16173320002"/>
    <n v="74733.336179000005"/>
    <n v="401408.49791219999"/>
  </r>
  <r>
    <x v="1"/>
    <x v="26"/>
    <x v="0"/>
    <n v="319325168.20929998"/>
    <n v="19697529"/>
    <n v="339017697.20929998"/>
    <n v="486808.08072680002"/>
    <n v="30028.689380600001"/>
    <n v="516829.14765649999"/>
  </r>
  <r>
    <x v="1"/>
    <x v="26"/>
    <x v="1"/>
    <n v="824347309.60309994"/>
    <n v="622322748"/>
    <n v="1446650057.6031001"/>
    <n v="1256709.3721129999"/>
    <n v="948724.91337079997"/>
    <n v="2205403.7956804"/>
  </r>
  <r>
    <x v="1"/>
    <x v="26"/>
    <x v="2"/>
    <n v="18313142.242699999"/>
    <n v="8425384"/>
    <n v="26738526.242699999"/>
    <n v="27918.2053743"/>
    <n v="12844.415106500001"/>
    <n v="40762.620480799997"/>
  </r>
  <r>
    <x v="1"/>
    <x v="26"/>
    <x v="3"/>
    <n v="555267879.84319997"/>
    <n v="74565763"/>
    <n v="629833642.84319997"/>
    <n v="846500.42585600005"/>
    <n v="113674.7728891"/>
    <n v="960175.19874499994"/>
  </r>
  <r>
    <x v="2"/>
    <x v="26"/>
    <x v="0"/>
    <n v="5712920233.8965998"/>
    <n v="2004659876"/>
    <n v="7714765054.8965998"/>
    <n v="8709290.7521324996"/>
    <n v="3056084.2799147"/>
    <n v="11761083.508365"/>
  </r>
  <r>
    <x v="2"/>
    <x v="26"/>
    <x v="1"/>
    <n v="6819015295.0911999"/>
    <n v="4038909647"/>
    <n v="10849762266.0912"/>
    <n v="10395521.8026352"/>
    <n v="6157278.0639584996"/>
    <n v="16540355.9472514"/>
  </r>
  <r>
    <x v="2"/>
    <x v="26"/>
    <x v="2"/>
    <n v="29054858.260200001"/>
    <n v="-1368612389"/>
    <n v="-1339557780.7398"/>
    <n v="44293.845877400003"/>
    <n v="-2086436.1368199"/>
    <n v="-2042142.6720650999"/>
  </r>
  <r>
    <x v="2"/>
    <x v="26"/>
    <x v="3"/>
    <n v="4952787185.5010004"/>
    <n v="673680079"/>
    <n v="5625447232.5010004"/>
    <n v="7550475.3901567003"/>
    <n v="1027018.6597596999"/>
    <n v="8575939.0211568996"/>
  </r>
  <r>
    <x v="3"/>
    <x v="26"/>
    <x v="0"/>
    <n v="1660098083.5342"/>
    <n v="971925614"/>
    <n v="2632023697.5342002"/>
    <n v="2530803.213525"/>
    <n v="1481691.0468216999"/>
    <n v="4012494.2603465999"/>
  </r>
  <r>
    <x v="3"/>
    <x v="26"/>
    <x v="1"/>
    <n v="2304398967.3709002"/>
    <n v="1513003268"/>
    <n v="3817396235.3709002"/>
    <n v="3513033.5789859998"/>
    <n v="2306558.6128358999"/>
    <n v="5819583.0448807999"/>
  </r>
  <r>
    <x v="3"/>
    <x v="26"/>
    <x v="2"/>
    <n v="-56090789.270000003"/>
    <n v="6297625"/>
    <n v="-49793164.270000003"/>
    <n v="-85509.857002799996"/>
    <n v="9600.6674218000007"/>
    <n v="-75909.189580999999"/>
  </r>
  <r>
    <x v="3"/>
    <x v="26"/>
    <x v="3"/>
    <n v="709306996.64160001"/>
    <n v="210297150"/>
    <n v="919604146.64160001"/>
    <n v="1081331.5455763"/>
    <n v="320595.93845329998"/>
    <n v="1401927.4840295999"/>
  </r>
  <r>
    <x v="4"/>
    <x v="26"/>
    <x v="0"/>
    <n v="463022449.94190001"/>
    <n v="309720186"/>
    <n v="772742635.94190001"/>
    <n v="705873.17452500004"/>
    <n v="472165.37974290003"/>
    <n v="1178038.5542679001"/>
  </r>
  <r>
    <x v="4"/>
    <x v="26"/>
    <x v="1"/>
    <n v="165743979.72029999"/>
    <n v="110933566"/>
    <n v="276677545.72030002"/>
    <n v="252675.0682138"/>
    <n v="169117.1311534"/>
    <n v="421792.19936720002"/>
  </r>
  <r>
    <x v="4"/>
    <x v="26"/>
    <x v="2"/>
    <n v="518.39380000000006"/>
    <n v="0"/>
    <n v="518.39380000000006"/>
    <n v="0.7902863"/>
    <n v="0"/>
    <n v="0.7902863"/>
  </r>
  <r>
    <x v="4"/>
    <x v="26"/>
    <x v="3"/>
    <n v="515015919.1498"/>
    <n v="188699251"/>
    <n v="703715170.14979994"/>
    <n v="785136.7073601"/>
    <n v="287670.15368390002"/>
    <n v="1072806.8610439"/>
  </r>
  <r>
    <x v="5"/>
    <x v="26"/>
    <x v="0"/>
    <n v="-3424543.0395999998"/>
    <n v="1942787.59"/>
    <n v="-1481755.4495999999"/>
    <n v="-286196.63200649997"/>
    <n v="162363.05356140001"/>
    <n v="-123833.57844510001"/>
  </r>
  <r>
    <x v="5"/>
    <x v="26"/>
    <x v="1"/>
    <n v="-217391.9362"/>
    <n v="6273945.3600000003"/>
    <n v="6056673.4238"/>
    <n v="-18167.924668"/>
    <n v="524327.48272139998"/>
    <n v="506169.58671870001"/>
  </r>
  <r>
    <x v="5"/>
    <x v="26"/>
    <x v="2"/>
    <n v="-3709.5284999999999"/>
    <n v="3376.74"/>
    <n v="-332.7885"/>
    <n v="-310.01349690000001"/>
    <n v="282.20162629999999"/>
    <n v="-27.811870599999999"/>
  </r>
  <r>
    <x v="5"/>
    <x v="26"/>
    <x v="3"/>
    <n v="326844.55229999998"/>
    <n v="3397044.92"/>
    <n v="3723889.4723"/>
    <n v="27315.121748000001"/>
    <n v="283898.553365"/>
    <n v="311213.67511299998"/>
  </r>
  <r>
    <x v="6"/>
    <x v="26"/>
    <x v="0"/>
    <n v="10404814675.7731"/>
    <n v="3180115472"/>
    <n v="13584081733.7731"/>
    <n v="1123988.4599679001"/>
    <n v="343534.5273584"/>
    <n v="1467431.3367226"/>
  </r>
  <r>
    <x v="6"/>
    <x v="26"/>
    <x v="1"/>
    <n v="11808581356.328699"/>
    <n v="7624174963"/>
    <n v="19429008514.328701"/>
    <n v="1275631.4827990001"/>
    <n v="823607.62226179999"/>
    <n v="2098834.2454162999"/>
  </r>
  <r>
    <x v="6"/>
    <x v="26"/>
    <x v="2"/>
    <n v="3598.4508999999998"/>
    <n v="148340"/>
    <n v="151938.4509"/>
    <n v="0.3887255"/>
    <n v="16.024547599999998"/>
    <n v="16.413273199999999"/>
  </r>
  <r>
    <x v="6"/>
    <x v="26"/>
    <x v="3"/>
    <n v="16130510656.828501"/>
    <n v="969328968"/>
    <n v="17099773601.828501"/>
    <n v="1742511.3658083"/>
    <n v="104712.54009759999"/>
    <n v="1847216.7737183"/>
  </r>
  <r>
    <x v="7"/>
    <x v="26"/>
    <x v="0"/>
    <n v="7535888996.5593004"/>
    <n v="2301160273.9899998"/>
    <n v="9837049270.5492992"/>
    <n v="1604251.0290816"/>
    <n v="489874.35182709998"/>
    <n v="2094125.3809086001"/>
  </r>
  <r>
    <x v="7"/>
    <x v="26"/>
    <x v="1"/>
    <n v="16176204438.805799"/>
    <n v="8752625266.0300007"/>
    <n v="24928829704.8358"/>
    <n v="3443613.969027"/>
    <n v="1863271.6188634001"/>
    <n v="5306885.5878903996"/>
  </r>
  <r>
    <x v="7"/>
    <x v="26"/>
    <x v="2"/>
    <n v="79517.608200000002"/>
    <n v="4275"/>
    <n v="83792.608200000002"/>
    <n v="16.927824300000001"/>
    <n v="0.91006819999999999"/>
    <n v="17.837892499999999"/>
  </r>
  <r>
    <x v="7"/>
    <x v="26"/>
    <x v="3"/>
    <n v="7336438579.8922997"/>
    <n v="1085244642.76"/>
    <n v="8421683222.6522999"/>
    <n v="1561791.7337901001"/>
    <n v="231028.46070950001"/>
    <n v="1792820.1944996"/>
  </r>
  <r>
    <x v="8"/>
    <x v="26"/>
    <x v="0"/>
    <n v="8167457.7594999997"/>
    <n v="12294798.33"/>
    <n v="20462256.089499999"/>
    <n v="219732.5197606"/>
    <n v="330772.0831316"/>
    <n v="550504.6028921"/>
  </r>
  <r>
    <x v="8"/>
    <x v="26"/>
    <x v="1"/>
    <n v="24295417.887499999"/>
    <n v="21845655.579999998"/>
    <n v="46141073.467500001"/>
    <n v="653629.75215229997"/>
    <n v="587722.77589449997"/>
    <n v="1241352.5280468001"/>
  </r>
  <r>
    <x v="8"/>
    <x v="26"/>
    <x v="2"/>
    <n v="-1481301.6307999999"/>
    <n v="19783.03"/>
    <n v="-1461518.6007999999"/>
    <n v="-39852.075082099997"/>
    <n v="532.23110029999998"/>
    <n v="-39319.843981700003"/>
  </r>
  <r>
    <x v="8"/>
    <x v="26"/>
    <x v="3"/>
    <n v="-684359.19990000001"/>
    <n v="2587021.9"/>
    <n v="1902662.7001"/>
    <n v="-18411.600750599999"/>
    <n v="69599.728275500005"/>
    <n v="51188.127524900003"/>
  </r>
  <r>
    <x v="9"/>
    <x v="26"/>
    <x v="0"/>
    <n v="1741483084.0342"/>
    <n v="354106408"/>
    <n v="2095586500.0342"/>
    <n v="2654873.8469659002"/>
    <n v="539831.73897069995"/>
    <n v="3194701.0246620001"/>
  </r>
  <r>
    <x v="9"/>
    <x v="26"/>
    <x v="1"/>
    <n v="1701961446.5613999"/>
    <n v="685360756"/>
    <n v="2387319210.5613999"/>
    <n v="2594623.4990424998"/>
    <n v="1044825.7370529"/>
    <n v="3639444.6748207998"/>
  </r>
  <r>
    <x v="9"/>
    <x v="26"/>
    <x v="2"/>
    <n v="247197.00829999999"/>
    <n v="21742"/>
    <n v="268939.00829999999"/>
    <n v="376.84940979999999"/>
    <n v="33.145465299999998"/>
    <n v="409.9948751"/>
  </r>
  <r>
    <x v="9"/>
    <x v="26"/>
    <x v="3"/>
    <n v="2690813787.2273002"/>
    <n v="211611020"/>
    <n v="2902424807.2273002"/>
    <n v="4102119.1743168002"/>
    <n v="322598.92035610002"/>
    <n v="4424718.0946728"/>
  </r>
  <r>
    <x v="10"/>
    <x v="26"/>
    <x v="0"/>
    <n v="484293103.5474"/>
    <n v="215696231"/>
    <n v="699989334.5474"/>
    <n v="738300.07690660004"/>
    <n v="328826.78437760001"/>
    <n v="1067126.8612842001"/>
  </r>
  <r>
    <x v="10"/>
    <x v="26"/>
    <x v="1"/>
    <n v="452156232.26969999"/>
    <n v="376877836"/>
    <n v="829034068.26970005"/>
    <n v="689307.73247289995"/>
    <n v="574546.55716760003"/>
    <n v="1263854.2896405"/>
  </r>
  <r>
    <x v="10"/>
    <x v="26"/>
    <x v="2"/>
    <n v="-1026087.5264"/>
    <n v="918867"/>
    <n v="-107220.5264"/>
    <n v="-1564.26035"/>
    <n v="1400.8037112"/>
    <n v="-163.45663880000001"/>
  </r>
  <r>
    <x v="10"/>
    <x v="26"/>
    <x v="3"/>
    <n v="231440797.8545"/>
    <n v="74543313"/>
    <n v="305984110.8545"/>
    <n v="352829.2218156"/>
    <n v="113640.5480847"/>
    <n v="466469.76990030002"/>
  </r>
  <r>
    <x v="0"/>
    <x v="27"/>
    <x v="0"/>
    <n v="340458617.1494"/>
    <n v="119873777"/>
    <n v="460332394.1494"/>
    <n v="519025.81594429997"/>
    <n v="182746.39496189999"/>
    <n v="701772.21090619999"/>
  </r>
  <r>
    <x v="0"/>
    <x v="27"/>
    <x v="1"/>
    <n v="338304070.0794"/>
    <n v="196238034.28"/>
    <n v="534542104.35939997"/>
    <n v="515741.23011020001"/>
    <n v="299162.95470589999"/>
    <n v="814904.18481610005"/>
  </r>
  <r>
    <x v="0"/>
    <x v="27"/>
    <x v="2"/>
    <n v="334235.67489999998"/>
    <n v="233873"/>
    <n v="568108.67489999998"/>
    <n v="509.53900160000001"/>
    <n v="356.5370901"/>
    <n v="866.07609170000001"/>
  </r>
  <r>
    <x v="0"/>
    <x v="27"/>
    <x v="3"/>
    <n v="296354842.65539998"/>
    <n v="66639982"/>
    <n v="362994824.65539998"/>
    <n v="451790.04516360001"/>
    <n v="101591.9976462"/>
    <n v="553382.04280980001"/>
  </r>
  <r>
    <x v="1"/>
    <x v="27"/>
    <x v="0"/>
    <n v="429456416.18550003"/>
    <n v="35317867"/>
    <n v="464764283.18550003"/>
    <n v="654702.0859378"/>
    <n v="53841.7411507"/>
    <n v="708528.58218679996"/>
  </r>
  <r>
    <x v="1"/>
    <x v="27"/>
    <x v="1"/>
    <n v="1112495599.4342"/>
    <n v="818179828"/>
    <n v="1930645427.4342"/>
    <n v="1695988.6081469001"/>
    <n v="1247307.1070206999"/>
    <n v="2943249.9804623998"/>
  </r>
  <r>
    <x v="1"/>
    <x v="27"/>
    <x v="2"/>
    <n v="23741177.309300002"/>
    <n v="11880241"/>
    <n v="35621418.309299998"/>
    <n v="36193.191488600001"/>
    <n v="18111.310649899999"/>
    <n v="54304.502138600001"/>
  </r>
  <r>
    <x v="1"/>
    <x v="27"/>
    <x v="3"/>
    <n v="723272685.80280006"/>
    <n v="95880083"/>
    <n v="819152768.80280006"/>
    <n v="1102622.101453"/>
    <n v="146168.24425990001"/>
    <n v="1248790.3457128999"/>
  </r>
  <r>
    <x v="2"/>
    <x v="27"/>
    <x v="0"/>
    <n v="7640556095.6330996"/>
    <n v="2641367935"/>
    <n v="10278117635.633101"/>
    <n v="11647952.6792657"/>
    <n v="4026739.4585316"/>
    <n v="15668889.3260276"/>
  </r>
  <r>
    <x v="2"/>
    <x v="27"/>
    <x v="1"/>
    <n v="9133787904.3875008"/>
    <n v="5346375465"/>
    <n v="14468910673.387501"/>
    <n v="13924369.8967882"/>
    <n v="8150496.8542144997"/>
    <n v="22057712.126538001"/>
  </r>
  <r>
    <x v="2"/>
    <x v="27"/>
    <x v="2"/>
    <n v="36799999.199699998"/>
    <n v="-1333429988"/>
    <n v="-1296630238.8002999"/>
    <n v="56101.237123300001"/>
    <n v="-2032800.9122549"/>
    <n v="-1976700.0562541001"/>
  </r>
  <r>
    <x v="2"/>
    <x v="27"/>
    <x v="3"/>
    <n v="6617480617.8320999"/>
    <n v="900131729"/>
    <n v="7516232482.8320999"/>
    <n v="10088284.1677611"/>
    <n v="1372241.9747025999"/>
    <n v="11458422.5533565"/>
  </r>
  <r>
    <x v="3"/>
    <x v="27"/>
    <x v="0"/>
    <n v="2211689731.7002001"/>
    <n v="1299800783"/>
    <n v="3511490514.7002001"/>
    <n v="3371699.2603177"/>
    <n v="1981533.5197276999"/>
    <n v="5353232.7800452998"/>
  </r>
  <r>
    <x v="3"/>
    <x v="27"/>
    <x v="1"/>
    <n v="3072309823.4650998"/>
    <n v="1978746232"/>
    <n v="5051048055.4651003"/>
    <n v="4683706.1323610004"/>
    <n v="3016579.1843062998"/>
    <n v="7700273.1207459001"/>
  </r>
  <r>
    <x v="3"/>
    <x v="27"/>
    <x v="2"/>
    <n v="-75124105.414900005"/>
    <n v="7646523"/>
    <n v="-67477582.414900005"/>
    <n v="-114525.9604134"/>
    <n v="11657.049166299999"/>
    <n v="-102868.9112471"/>
  </r>
  <r>
    <x v="3"/>
    <x v="27"/>
    <x v="3"/>
    <n v="936149356.40040004"/>
    <n v="278806220"/>
    <n v="1214955576.4003999"/>
    <n v="1427150.4937068"/>
    <n v="425037.34238679998"/>
    <n v="1852187.8360935"/>
  </r>
  <r>
    <x v="4"/>
    <x v="27"/>
    <x v="0"/>
    <n v="646351737.94420004"/>
    <n v="404880885"/>
    <n v="1051232622.9442"/>
    <n v="985356.87239290006"/>
    <n v="617236.93016460002"/>
    <n v="1602593.8025575001"/>
  </r>
  <r>
    <x v="4"/>
    <x v="27"/>
    <x v="1"/>
    <n v="84407787.921900004"/>
    <n v="143985047"/>
    <n v="228392834.9219"/>
    <n v="128678.84315879999"/>
    <n v="219503.7891203"/>
    <n v="348182.63227910001"/>
  </r>
  <r>
    <x v="4"/>
    <x v="27"/>
    <x v="2"/>
    <n v="5582.1332000000002"/>
    <n v="344680"/>
    <n v="350262.13319999998"/>
    <n v="8.5099072000000007"/>
    <n v="525.46127260000003"/>
    <n v="533.97117979999996"/>
  </r>
  <r>
    <x v="4"/>
    <x v="27"/>
    <x v="3"/>
    <n v="689869347.17079997"/>
    <n v="251555091"/>
    <n v="941424438.17079997"/>
    <n v="1051699.0399839999"/>
    <n v="383493.26404019998"/>
    <n v="1435192.3040242"/>
  </r>
  <r>
    <x v="5"/>
    <x v="27"/>
    <x v="0"/>
    <n v="-4525225.8272000002"/>
    <n v="2447748.7000000002"/>
    <n v="-2077477.1272"/>
    <n v="-374369.25669279997"/>
    <n v="202500.80247530001"/>
    <n v="-171868.4542175"/>
  </r>
  <r>
    <x v="5"/>
    <x v="27"/>
    <x v="1"/>
    <n v="-209942.48069999999"/>
    <n v="8134270.8600000003"/>
    <n v="7924448.3793000001"/>
    <n v="-17368.4172789"/>
    <n v="672943.41804819996"/>
    <n v="655584.92829840002"/>
  </r>
  <r>
    <x v="5"/>
    <x v="27"/>
    <x v="2"/>
    <n v="-4927.8361000000004"/>
    <n v="4841.71"/>
    <n v="-86.126099999999994"/>
    <n v="-407.67696649999999"/>
    <n v="400.55180519999999"/>
    <n v="-7.1251613000000003"/>
  </r>
  <r>
    <x v="5"/>
    <x v="27"/>
    <x v="3"/>
    <n v="377563.00650000002"/>
    <n v="3854107.22"/>
    <n v="4231670.2264999999"/>
    <n v="31235.564255900001"/>
    <n v="318848.01118500001"/>
    <n v="350083.57544089999"/>
  </r>
  <r>
    <x v="6"/>
    <x v="27"/>
    <x v="0"/>
    <n v="13901355247.1961"/>
    <n v="4235843964"/>
    <n v="18136156705.196098"/>
    <n v="1479691.4528002001"/>
    <n v="450872.73848280002"/>
    <n v="1930453.2246046001"/>
  </r>
  <r>
    <x v="6"/>
    <x v="27"/>
    <x v="1"/>
    <n v="15901493282.360001"/>
    <n v="10201447553"/>
    <n v="26098108823.360001"/>
    <n v="1692590.6343853001"/>
    <n v="1085864.973734"/>
    <n v="2777941.2779171001"/>
  </r>
  <r>
    <x v="6"/>
    <x v="27"/>
    <x v="2"/>
    <n v="11315.7708"/>
    <n v="213956"/>
    <n v="225271.7708"/>
    <n v="1.2044760000000001"/>
    <n v="22.773956800000001"/>
    <n v="23.978432900000001"/>
  </r>
  <r>
    <x v="6"/>
    <x v="27"/>
    <x v="3"/>
    <n v="21535723899.195499"/>
    <n v="1262236394"/>
    <n v="22797874270.195499"/>
    <n v="2292310.7867437"/>
    <n v="134355.2747486"/>
    <n v="2426656.9050111999"/>
  </r>
  <r>
    <x v="7"/>
    <x v="27"/>
    <x v="0"/>
    <n v="10088133022.139999"/>
    <n v="3079305122.8200002"/>
    <n v="13167438144.959999"/>
    <n v="2092843.3960831999"/>
    <n v="638820.22339269996"/>
    <n v="2731663.6194759998"/>
  </r>
  <r>
    <x v="7"/>
    <x v="27"/>
    <x v="1"/>
    <n v="21682570610.077202"/>
    <n v="11735853356.120001"/>
    <n v="33418423966.197201"/>
    <n v="4498178.6631698003"/>
    <n v="2434672.8120904998"/>
    <n v="6932851.4752602996"/>
  </r>
  <r>
    <x v="7"/>
    <x v="27"/>
    <x v="2"/>
    <n v="106748.9178"/>
    <n v="5700"/>
    <n v="112448.9178"/>
    <n v="22.145700000000001"/>
    <n v="1.182499"/>
    <n v="23.328199000000001"/>
  </r>
  <r>
    <x v="7"/>
    <x v="27"/>
    <x v="3"/>
    <n v="9853160542.1732998"/>
    <n v="1481275574.3199999"/>
    <n v="11334436116.493299"/>
    <n v="2044096.9529227"/>
    <n v="307299.45736160001"/>
    <n v="2351396.4102842999"/>
  </r>
  <r>
    <x v="8"/>
    <x v="27"/>
    <x v="0"/>
    <n v="11070854.034499999"/>
    <n v="15059359.82"/>
    <n v="26130213.854499999"/>
    <n v="292802.27544300002"/>
    <n v="398290.39460459998"/>
    <n v="691092.67004760006"/>
  </r>
  <r>
    <x v="8"/>
    <x v="27"/>
    <x v="1"/>
    <n v="32521532.535100002"/>
    <n v="28790991.219999999"/>
    <n v="61312523.755099997"/>
    <n v="860130.45583440003"/>
    <n v="761464.98862730002"/>
    <n v="1621595.4444617999"/>
  </r>
  <r>
    <x v="8"/>
    <x v="27"/>
    <x v="2"/>
    <n v="-1946616.8666999999"/>
    <n v="33273.449999999997"/>
    <n v="-1913343.4166999999"/>
    <n v="-51484.180552799997"/>
    <n v="880.01719119999996"/>
    <n v="-50604.163361500003"/>
  </r>
  <r>
    <x v="8"/>
    <x v="27"/>
    <x v="3"/>
    <n v="-1312791.4210000001"/>
    <n v="3354093"/>
    <n v="2041301.5789999999"/>
    <n v="-34720.746389799999"/>
    <n v="88709.151018200006"/>
    <n v="53988.4046284"/>
  </r>
  <r>
    <x v="9"/>
    <x v="27"/>
    <x v="0"/>
    <n v="2341649663.0109"/>
    <n v="478036551"/>
    <n v="2819683222.0109"/>
    <n v="3569821.8984031999"/>
    <n v="728762.02403510001"/>
    <n v="4298579.3611637997"/>
  </r>
  <r>
    <x v="9"/>
    <x v="27"/>
    <x v="1"/>
    <n v="2283170586.1429"/>
    <n v="934195686"/>
    <n v="3217363280.1429"/>
    <n v="3480671.1204285002"/>
    <n v="1424172.1423813"/>
    <n v="4904838.7015351998"/>
  </r>
  <r>
    <x v="9"/>
    <x v="27"/>
    <x v="2"/>
    <n v="327192.17719999998"/>
    <n v="27225"/>
    <n v="354417.17719999998"/>
    <n v="498.80125859999998"/>
    <n v="41.504244900000003"/>
    <n v="540.30550359999995"/>
  </r>
  <r>
    <x v="9"/>
    <x v="27"/>
    <x v="3"/>
    <n v="3553173506.3403001"/>
    <n v="278119906"/>
    <n v="3831293412.3403001"/>
    <n v="5416778.0911558"/>
    <n v="423991.06343859999"/>
    <n v="5840769.1545944"/>
  </r>
  <r>
    <x v="10"/>
    <x v="27"/>
    <x v="0"/>
    <n v="642156975.96099997"/>
    <n v="290141002"/>
    <n v="932297977.96099997"/>
    <n v="978961.99897399999"/>
    <n v="442317.10615180002"/>
    <n v="1421279.1051258"/>
  </r>
  <r>
    <x v="10"/>
    <x v="27"/>
    <x v="1"/>
    <n v="1384094207.5989001"/>
    <n v="490177751"/>
    <n v="1874271958.5989001"/>
    <n v="2110038.0171244"/>
    <n v="747271.16411590006"/>
    <n v="2857309.1812403998"/>
  </r>
  <r>
    <x v="10"/>
    <x v="27"/>
    <x v="2"/>
    <n v="-2538384.9334"/>
    <n v="937034"/>
    <n v="-1601350.9334"/>
    <n v="-3869.7428847000001"/>
    <n v="1428.4991242000001"/>
    <n v="-2441.2437605"/>
  </r>
  <r>
    <x v="10"/>
    <x v="27"/>
    <x v="3"/>
    <n v="335144031.32200003"/>
    <n v="100521505"/>
    <n v="435665536.32200003"/>
    <n v="510923.78208019998"/>
    <n v="153244.0464848"/>
    <n v="664167.82856499997"/>
  </r>
  <r>
    <x v="0"/>
    <x v="28"/>
    <x v="0"/>
    <n v="425871585.1631"/>
    <n v="151251249"/>
    <n v="577122834.1631"/>
    <n v="649237.04627449997"/>
    <n v="230581.0426598"/>
    <n v="879818.0889343"/>
  </r>
  <r>
    <x v="0"/>
    <x v="28"/>
    <x v="1"/>
    <n v="427517517.51239997"/>
    <n v="246042005.09999999"/>
    <n v="673559522.61240005"/>
    <n v="651746.25396540004"/>
    <n v="375088.61876619997"/>
    <n v="1026834.8727316"/>
  </r>
  <r>
    <x v="0"/>
    <x v="28"/>
    <x v="2"/>
    <n v="362234.43719999999"/>
    <n v="287073"/>
    <n v="649307.43720000004"/>
    <n v="552.22283960000004"/>
    <n v="437.63996730000002"/>
    <n v="989.86280690000001"/>
  </r>
  <r>
    <x v="0"/>
    <x v="28"/>
    <x v="3"/>
    <n v="373013185.71359998"/>
    <n v="93202763"/>
    <n v="466215948.71359998"/>
    <n v="568654.93578629999"/>
    <n v="142086.69623160001"/>
    <n v="710741.632018"/>
  </r>
  <r>
    <x v="1"/>
    <x v="28"/>
    <x v="0"/>
    <n v="555496042.77610004"/>
    <n v="73946657"/>
    <n v="629432699.77610004"/>
    <n v="846848.25800489995"/>
    <n v="112730.95187639999"/>
    <n v="959563.96497960004"/>
  </r>
  <r>
    <x v="1"/>
    <x v="28"/>
    <x v="1"/>
    <n v="1408416574.0613"/>
    <n v="1035236618"/>
    <n v="2443623192.0612998"/>
    <n v="2147117.2257653"/>
    <n v="1578208.0502228001"/>
    <n v="3725279.5412829001"/>
  </r>
  <r>
    <x v="1"/>
    <x v="28"/>
    <x v="2"/>
    <n v="29119197.337000001"/>
    <n v="14403148"/>
    <n v="43522345.336999997"/>
    <n v="44391.930167699997"/>
    <n v="21957.457577199999"/>
    <n v="66349.387744899999"/>
  </r>
  <r>
    <x v="1"/>
    <x v="28"/>
    <x v="3"/>
    <n v="892386374.06910002"/>
    <n v="119001992"/>
    <n v="1011388366.0691"/>
    <n v="1360434.2572289"/>
    <n v="181417.36729689999"/>
    <n v="1541851.6245258001"/>
  </r>
  <r>
    <x v="2"/>
    <x v="28"/>
    <x v="0"/>
    <n v="9636147315.2033005"/>
    <n v="3302148260"/>
    <n v="12933517470.2033"/>
    <n v="14690211.881576501"/>
    <n v="5034092.5700922003"/>
    <n v="19717020.2775537"/>
  </r>
  <r>
    <x v="2"/>
    <x v="28"/>
    <x v="1"/>
    <n v="11537719335.7104"/>
    <n v="6663983156"/>
    <n v="18187404265.7104"/>
    <n v="17589139.738901202"/>
    <n v="10159176.8301886"/>
    <n v="27726519.0640704"/>
  </r>
  <r>
    <x v="2"/>
    <x v="28"/>
    <x v="2"/>
    <n v="46207349.674500003"/>
    <n v="-1220466382"/>
    <n v="-1174259282.3255"/>
    <n v="70442.650470199995"/>
    <n v="-1860589.005072"/>
    <n v="-1790146.7357242999"/>
  </r>
  <r>
    <x v="2"/>
    <x v="28"/>
    <x v="3"/>
    <n v="8352111721.9830999"/>
    <n v="1143989196"/>
    <n v="9494490108.9831009"/>
    <n v="12732712.2387338"/>
    <n v="1744000.2866042"/>
    <n v="14474256.8628479"/>
  </r>
  <r>
    <x v="3"/>
    <x v="28"/>
    <x v="0"/>
    <n v="2733658576.1511002"/>
    <n v="1635407999"/>
    <n v="4369066575.1511002"/>
    <n v="4167435.6339685"/>
    <n v="2493163.4222975001"/>
    <n v="6660599.0562659996"/>
  </r>
  <r>
    <x v="3"/>
    <x v="28"/>
    <x v="1"/>
    <n v="3766197374.0265999"/>
    <n v="2471857472"/>
    <n v="6238045846.0265999"/>
    <n v="5741530.8839247003"/>
    <n v="3768322.4235735"/>
    <n v="9509839.5870866999"/>
  </r>
  <r>
    <x v="3"/>
    <x v="28"/>
    <x v="2"/>
    <n v="-96913615.582100004"/>
    <n v="10296706"/>
    <n v="-86616909.582100004"/>
    <n v="-147743.8545242"/>
    <n v="15697.2271048"/>
    <n v="-132046.6274193"/>
  </r>
  <r>
    <x v="3"/>
    <x v="28"/>
    <x v="3"/>
    <n v="1137508763.7012999"/>
    <n v="349201002"/>
    <n v="1486709765.7012999"/>
    <n v="1734120.9312519999"/>
    <n v="532353.49573219998"/>
    <n v="2266474.4269841998"/>
  </r>
  <r>
    <x v="4"/>
    <x v="28"/>
    <x v="0"/>
    <n v="834850319.49670005"/>
    <n v="543595487"/>
    <n v="1378445806.4967"/>
    <n v="1272721.1074761001"/>
    <n v="828705.9776784"/>
    <n v="2101427.0851544999"/>
  </r>
  <r>
    <x v="4"/>
    <x v="28"/>
    <x v="1"/>
    <n v="660144238.11090004"/>
    <n v="178109948"/>
    <n v="838254186.11090004"/>
    <n v="1006383.4033495"/>
    <n v="271526.86532809999"/>
    <n v="1277910.2686775001"/>
  </r>
  <r>
    <x v="4"/>
    <x v="28"/>
    <x v="2"/>
    <n v="-86855.416299999997"/>
    <n v="456209"/>
    <n v="369353.58370000002"/>
    <n v="-132.41022860000001"/>
    <n v="695.48613699999999"/>
    <n v="563.07590849999997"/>
  </r>
  <r>
    <x v="4"/>
    <x v="28"/>
    <x v="3"/>
    <n v="857999847.05499995"/>
    <n v="336422185"/>
    <n v="1194422032.0550001"/>
    <n v="1308012.3347338"/>
    <n v="512872.3148011"/>
    <n v="1820884.6495350001"/>
  </r>
  <r>
    <x v="5"/>
    <x v="28"/>
    <x v="0"/>
    <n v="-5445127.4429000001"/>
    <n v="3079632.45"/>
    <n v="-2365494.9929"/>
    <n v="-465483.03466459998"/>
    <n v="263265.95171739999"/>
    <n v="-202217.08294719999"/>
  </r>
  <r>
    <x v="5"/>
    <x v="28"/>
    <x v="1"/>
    <n v="209511.8573"/>
    <n v="10305884.050000001"/>
    <n v="10517426.0273"/>
    <n v="17910.3641112"/>
    <n v="881010.45068300003"/>
    <n v="899094.36195689999"/>
  </r>
  <r>
    <x v="5"/>
    <x v="28"/>
    <x v="2"/>
    <n v="-6111.1386000000002"/>
    <n v="5886.22"/>
    <n v="-224.9186"/>
    <n v="-522.41777090000005"/>
    <n v="503.19034349999998"/>
    <n v="-19.2274274"/>
  </r>
  <r>
    <x v="5"/>
    <x v="28"/>
    <x v="3"/>
    <n v="312611.84179999999"/>
    <n v="4412498.63"/>
    <n v="4725110.4718000004"/>
    <n v="26723.985860600002"/>
    <n v="377207.56296060001"/>
    <n v="403931.54882109998"/>
  </r>
  <r>
    <x v="6"/>
    <x v="28"/>
    <x v="0"/>
    <n v="17662303650.1311"/>
    <n v="5268047584"/>
    <n v="22929144636.1311"/>
    <n v="1931754.6558163001"/>
    <n v="576174.86648620002"/>
    <n v="2507797.5547318999"/>
  </r>
  <r>
    <x v="6"/>
    <x v="28"/>
    <x v="1"/>
    <n v="20316529207.3451"/>
    <n v="12855682160"/>
    <n v="33166341171.3451"/>
    <n v="2222051.5887250002"/>
    <n v="1406046.7059228001"/>
    <n v="3627456.2618371998"/>
  </r>
  <r>
    <x v="6"/>
    <x v="28"/>
    <x v="2"/>
    <n v="25241.2664"/>
    <n v="281162"/>
    <n v="306403.26640000002"/>
    <n v="2.760678"/>
    <n v="30.751141700000002"/>
    <n v="33.511819799999998"/>
  </r>
  <r>
    <x v="6"/>
    <x v="28"/>
    <x v="3"/>
    <n v="26777702606.596699"/>
    <n v="1559075429"/>
    <n v="28336672012.596699"/>
    <n v="2928720.5512386998"/>
    <n v="170518.5958977"/>
    <n v="3099227.5512298001"/>
  </r>
  <r>
    <x v="7"/>
    <x v="28"/>
    <x v="0"/>
    <n v="12775944808.525801"/>
    <n v="3951377773.1799998"/>
    <n v="16727322581.705799"/>
    <n v="2732389.9122974998"/>
    <n v="845080.73014750006"/>
    <n v="3577470.6424449999"/>
  </r>
  <r>
    <x v="7"/>
    <x v="28"/>
    <x v="1"/>
    <n v="27458669996.9133"/>
    <n v="14904928321.75"/>
    <n v="42363598318.6633"/>
    <n v="5872582.7349068001"/>
    <n v="3187715.3823245"/>
    <n v="9060298.1172313001"/>
  </r>
  <r>
    <x v="7"/>
    <x v="28"/>
    <x v="2"/>
    <n v="136242.59520000001"/>
    <n v="7125"/>
    <n v="143367.59520000001"/>
    <n v="29.138188899999999"/>
    <n v="1.5238229999999999"/>
    <n v="30.662011799999998"/>
  </r>
  <r>
    <x v="7"/>
    <x v="28"/>
    <x v="3"/>
    <n v="12452345455.889"/>
    <n v="1863273852.6800001"/>
    <n v="14315619308.569"/>
    <n v="2663181.7543082"/>
    <n v="398498.17412430001"/>
    <n v="3061679.9284325"/>
  </r>
  <r>
    <x v="8"/>
    <x v="28"/>
    <x v="0"/>
    <n v="14159739.8399"/>
    <n v="18587417.309999999"/>
    <n v="32747157.149900001"/>
    <n v="384253.45562820003"/>
    <n v="504407.52537310001"/>
    <n v="888660.98100140004"/>
  </r>
  <r>
    <x v="8"/>
    <x v="28"/>
    <x v="1"/>
    <n v="40977572.378799997"/>
    <n v="36129446.060000002"/>
    <n v="77107018.438800007"/>
    <n v="1112010.1052592001"/>
    <n v="980446.29742199997"/>
    <n v="2092456.4026810999"/>
  </r>
  <r>
    <x v="8"/>
    <x v="28"/>
    <x v="2"/>
    <n v="-2397305.1787999999"/>
    <n v="47068.33"/>
    <n v="-2350236.8487999998"/>
    <n v="-65055.771473499997"/>
    <n v="1277.295251"/>
    <n v="-63778.476222500001"/>
  </r>
  <r>
    <x v="8"/>
    <x v="28"/>
    <x v="3"/>
    <n v="-1931008.9765000001"/>
    <n v="4102005.23"/>
    <n v="2170996.2535000001"/>
    <n v="-52401.871818200001"/>
    <n v="111316.2884668"/>
    <n v="58914.416648600003"/>
  </r>
  <r>
    <x v="9"/>
    <x v="28"/>
    <x v="0"/>
    <n v="2952086540.7796001"/>
    <n v="602384975"/>
    <n v="3554468523.7796001"/>
    <n v="4500426.9194163997"/>
    <n v="918329.97437329998"/>
    <n v="5418752.3325151"/>
  </r>
  <r>
    <x v="9"/>
    <x v="28"/>
    <x v="1"/>
    <n v="2893881100.2828999"/>
    <n v="1176093438"/>
    <n v="4069971546.2828999"/>
    <n v="4411693.2974004"/>
    <n v="1792942.8880247001"/>
    <n v="6204631.6241504997"/>
  </r>
  <r>
    <x v="9"/>
    <x v="28"/>
    <x v="2"/>
    <n v="410167.73560000001"/>
    <n v="34136"/>
    <n v="444303.73560000001"/>
    <n v="625.29668189999995"/>
    <n v="52.039996500000001"/>
    <n v="677.33667849999995"/>
  </r>
  <r>
    <x v="9"/>
    <x v="28"/>
    <x v="3"/>
    <n v="4459551753.1875"/>
    <n v="345996875"/>
    <n v="4805548628.1875"/>
    <n v="6798542.8209279999"/>
    <n v="527468.83560969995"/>
    <n v="7326011.6565377004"/>
  </r>
  <r>
    <x v="10"/>
    <x v="28"/>
    <x v="0"/>
    <n v="809010721.76559997"/>
    <n v="381744940"/>
    <n v="1190755661.7656"/>
    <n v="1233328.8946769"/>
    <n v="581966.40938349999"/>
    <n v="1815295.3040605001"/>
  </r>
  <r>
    <x v="10"/>
    <x v="28"/>
    <x v="1"/>
    <n v="1660306202.2142999"/>
    <n v="616592697"/>
    <n v="2276898899.2143002"/>
    <n v="2531120.4884075001"/>
    <n v="939989.50693409995"/>
    <n v="3471109.9953415999"/>
  </r>
  <r>
    <x v="10"/>
    <x v="28"/>
    <x v="2"/>
    <n v="-4362176.0125000002"/>
    <n v="1058459"/>
    <n v="-3303717.0125000002"/>
    <n v="-6650.0944612000003"/>
    <n v="1613.6103433999999"/>
    <n v="-5036.4841178999995"/>
  </r>
  <r>
    <x v="10"/>
    <x v="28"/>
    <x v="3"/>
    <n v="437447189.4957"/>
    <n v="125317365"/>
    <n v="562764554.4957"/>
    <n v="666883.94131889998"/>
    <n v="191045.09137030001"/>
    <n v="857929.03268920002"/>
  </r>
  <r>
    <x v="0"/>
    <x v="29"/>
    <x v="0"/>
    <n v="513935902.36400002"/>
    <n v="192778084"/>
    <n v="706713986.36399996"/>
    <n v="783490.23238409997"/>
    <n v="293888.29450710001"/>
    <n v="1077378.5268912001"/>
  </r>
  <r>
    <x v="0"/>
    <x v="29"/>
    <x v="1"/>
    <n v="510869416.36979997"/>
    <n v="301604010.92000002"/>
    <n v="812473427.28980005"/>
    <n v="778815.40462229995"/>
    <n v="459792.35059619998"/>
    <n v="1238607.7552183999"/>
  </r>
  <r>
    <x v="0"/>
    <x v="29"/>
    <x v="2"/>
    <n v="127556.7392"/>
    <n v="147614"/>
    <n v="275170.73920000001"/>
    <n v="194.4589953"/>
    <n v="225.03609230000001"/>
    <n v="419.49508759999998"/>
  </r>
  <r>
    <x v="0"/>
    <x v="29"/>
    <x v="3"/>
    <n v="445083439.81080002"/>
    <n v="122131701"/>
    <n v="567215140.81079996"/>
    <n v="678525.32987799996"/>
    <n v="186188.57790979999"/>
    <n v="864713.90778789995"/>
  </r>
  <r>
    <x v="1"/>
    <x v="29"/>
    <x v="0"/>
    <n v="664463029.83969998"/>
    <n v="69993416"/>
    <n v="734446445.83969998"/>
    <n v="1012967.3588965"/>
    <n v="106704.2748229"/>
    <n v="1119656.3888177001"/>
  </r>
  <r>
    <x v="1"/>
    <x v="29"/>
    <x v="1"/>
    <n v="1705908803.6849999"/>
    <n v="1224727306"/>
    <n v="2930606109.6849999"/>
    <n v="2600641.2061842"/>
    <n v="1867084.7418352"/>
    <n v="4467680.2133143004"/>
  </r>
  <r>
    <x v="1"/>
    <x v="29"/>
    <x v="2"/>
    <n v="32895201.608600002"/>
    <n v="16037406"/>
    <n v="48932607.608599998"/>
    <n v="50148.411570600001"/>
    <n v="24448.867837400001"/>
    <n v="74597.279407900001"/>
  </r>
  <r>
    <x v="1"/>
    <x v="29"/>
    <x v="3"/>
    <n v="1064461402.8866"/>
    <n v="136911021"/>
    <n v="1201372423.8866"/>
    <n v="1622760.9475722001"/>
    <n v="208719.5060042"/>
    <n v="1831480.4535763999"/>
  </r>
  <r>
    <x v="2"/>
    <x v="29"/>
    <x v="0"/>
    <n v="11587595970.403299"/>
    <n v="3988634195"/>
    <n v="15570567319.403299"/>
    <n v="17665176.1783216"/>
    <n v="6080633.6314727999"/>
    <n v="23737176.856719699"/>
  </r>
  <r>
    <x v="2"/>
    <x v="29"/>
    <x v="1"/>
    <n v="13887534112.516399"/>
    <n v="8077965816"/>
    <n v="21948232317.516399"/>
    <n v="21171409.273041401"/>
    <n v="12314779.499266"/>
    <n v="33459864.469037499"/>
  </r>
  <r>
    <x v="2"/>
    <x v="29"/>
    <x v="2"/>
    <n v="59071107.098899998"/>
    <n v="-1305378335"/>
    <n v="-1246307477.9010999"/>
    <n v="90053.322243500006"/>
    <n v="-1990036.4429376"/>
    <n v="-1899983.5018166001"/>
  </r>
  <r>
    <x v="2"/>
    <x v="29"/>
    <x v="3"/>
    <n v="10051936411.7362"/>
    <n v="1392890816"/>
    <n v="11442652819.7362"/>
    <n v="15324078.273021201"/>
    <n v="2123448.3601821"/>
    <n v="17444211.769576699"/>
  </r>
  <r>
    <x v="3"/>
    <x v="29"/>
    <x v="0"/>
    <n v="3242073716.4221001"/>
    <n v="1998802857"/>
    <n v="5240876573.4221001"/>
    <n v="4942509.5187978996"/>
    <n v="3047155.3120098002"/>
    <n v="7989664.8308076998"/>
  </r>
  <r>
    <x v="3"/>
    <x v="29"/>
    <x v="1"/>
    <n v="4440586646.0611"/>
    <n v="3042238683"/>
    <n v="7482811429.0611"/>
    <n v="6769630.7014958002"/>
    <n v="4637862.9742497997"/>
    <n v="11407472.485332301"/>
  </r>
  <r>
    <x v="3"/>
    <x v="29"/>
    <x v="2"/>
    <n v="-118524260.6937"/>
    <n v="14522030"/>
    <n v="-104002230.6937"/>
    <n v="-180689.07061550001"/>
    <n v="22138.692017900001"/>
    <n v="-158550.37859750001"/>
  </r>
  <r>
    <x v="3"/>
    <x v="29"/>
    <x v="3"/>
    <n v="1380148663.6055"/>
    <n v="426609132"/>
    <n v="1806757795.6055"/>
    <n v="2104023.0740817999"/>
    <n v="650361.42917899997"/>
    <n v="2754384.5032608998"/>
  </r>
  <r>
    <x v="4"/>
    <x v="29"/>
    <x v="0"/>
    <n v="1033657763.3297"/>
    <n v="711389685"/>
    <n v="1745047448.3297"/>
    <n v="1575801.1017942999"/>
    <n v="1084506.5835108"/>
    <n v="2660307.6853050999"/>
  </r>
  <r>
    <x v="4"/>
    <x v="29"/>
    <x v="1"/>
    <n v="803051711.50520003"/>
    <n v="237722681"/>
    <n v="1040774392.5052"/>
    <n v="1224244.4420979"/>
    <n v="362405.89093489997"/>
    <n v="1586650.3330327999"/>
  </r>
  <r>
    <x v="4"/>
    <x v="29"/>
    <x v="2"/>
    <n v="-212829.51670000001"/>
    <n v="520312"/>
    <n v="307482.48330000002"/>
    <n v="-324.45650660000001"/>
    <n v="793.21053059999997"/>
    <n v="468.75402400000002"/>
  </r>
  <r>
    <x v="4"/>
    <x v="29"/>
    <x v="3"/>
    <n v="1012189698.7636"/>
    <n v="437307165"/>
    <n v="1449496863.7636001"/>
    <n v="1543073.2483434"/>
    <n v="666670.47535129997"/>
    <n v="2209743.7236946998"/>
  </r>
  <r>
    <x v="5"/>
    <x v="29"/>
    <x v="0"/>
    <n v="-6166589.3646999998"/>
    <n v="3761303.3"/>
    <n v="-2405286.0647"/>
    <n v="-513570.02529289998"/>
    <n v="313251.38041029999"/>
    <n v="-200318.6448827"/>
  </r>
  <r>
    <x v="5"/>
    <x v="29"/>
    <x v="1"/>
    <n v="754870.97739999997"/>
    <n v="12449837.98"/>
    <n v="13206739.077400001"/>
    <n v="62867.670283899999"/>
    <n v="1036855.7444221"/>
    <n v="1099892.4885195"/>
  </r>
  <r>
    <x v="5"/>
    <x v="29"/>
    <x v="2"/>
    <n v="-6460.5454"/>
    <n v="7422.03"/>
    <n v="961.4846"/>
    <n v="-538.05146869999999"/>
    <n v="618.1264731"/>
    <n v="80.075004399999997"/>
  </r>
  <r>
    <x v="5"/>
    <x v="29"/>
    <x v="3"/>
    <n v="403046.30920000002"/>
    <n v="4909491.8099999996"/>
    <n v="5312538.1191999996"/>
    <n v="33566.772646600002"/>
    <n v="408875.5848525"/>
    <n v="442442.35749919998"/>
  </r>
  <r>
    <x v="6"/>
    <x v="29"/>
    <x v="0"/>
    <n v="21349776234.661999"/>
    <n v="6286244758.0100002"/>
    <n v="27634650302.672001"/>
    <n v="2293152.1992625999"/>
    <n v="675197.5212054"/>
    <n v="2968202.4964056001"/>
  </r>
  <r>
    <x v="6"/>
    <x v="29"/>
    <x v="1"/>
    <n v="24636508327.398399"/>
    <n v="15231455680.34"/>
    <n v="39861009604.738403"/>
    <n v="2646175.8958111"/>
    <n v="1635991.2023169"/>
    <n v="4281420.1345833996"/>
  </r>
  <r>
    <x v="6"/>
    <x v="29"/>
    <x v="2"/>
    <n v="39873.320899999999"/>
    <n v="398635"/>
    <n v="438508.32089999999"/>
    <n v="4.2827425000000003"/>
    <n v="42.816876200000003"/>
    <n v="47.099618700000001"/>
  </r>
  <r>
    <x v="6"/>
    <x v="29"/>
    <x v="3"/>
    <n v="31908992880.003399"/>
    <n v="1868123095"/>
    <n v="33776989952.003399"/>
    <n v="3427304.1738131"/>
    <n v="200652.71582740001"/>
    <n v="3627943.3536709999"/>
  </r>
  <r>
    <x v="7"/>
    <x v="29"/>
    <x v="0"/>
    <n v="15411412515.0394"/>
    <n v="4851289262.0799999"/>
    <n v="20262701777.1194"/>
    <n v="3155509.2506790999"/>
    <n v="993308.57111729996"/>
    <n v="4148817.8217965001"/>
  </r>
  <r>
    <x v="7"/>
    <x v="29"/>
    <x v="1"/>
    <n v="33083604252.5182"/>
    <n v="18159114362.080002"/>
    <n v="51242718614.598198"/>
    <n v="6773916.3534006998"/>
    <n v="3718105.2222024002"/>
    <n v="10492021.5756031"/>
  </r>
  <r>
    <x v="7"/>
    <x v="29"/>
    <x v="2"/>
    <n v="165616.17619999999"/>
    <n v="8550"/>
    <n v="174166.17619999999"/>
    <n v="33.910154300000002"/>
    <n v="1.7506250000000001"/>
    <n v="35.660779300000002"/>
  </r>
  <r>
    <x v="7"/>
    <x v="29"/>
    <x v="3"/>
    <n v="15025270427.4944"/>
    <n v="2290575162.0500002"/>
    <n v="17315845589.544399"/>
    <n v="3076446.0935457"/>
    <n v="468998.6142523"/>
    <n v="3545444.707798"/>
  </r>
  <r>
    <x v="8"/>
    <x v="29"/>
    <x v="0"/>
    <n v="17183180.9866"/>
    <n v="21674658.390000001"/>
    <n v="38857839.376599997"/>
    <n v="456999.49432449997"/>
    <n v="576453.68058509997"/>
    <n v="1033453.1749096001"/>
  </r>
  <r>
    <x v="8"/>
    <x v="29"/>
    <x v="1"/>
    <n v="49328377.774800003"/>
    <n v="43875791.789999999"/>
    <n v="93204169.564799994"/>
    <n v="1311924.9408191"/>
    <n v="1166909.3561170001"/>
    <n v="2478834.2969362"/>
  </r>
  <r>
    <x v="8"/>
    <x v="29"/>
    <x v="2"/>
    <n v="-2842109.9290999998"/>
    <n v="64160.82"/>
    <n v="-2777949.1091"/>
    <n v="-75588.030029300004"/>
    <n v="1706.4047872000001"/>
    <n v="-73881.625241999995"/>
  </r>
  <r>
    <x v="8"/>
    <x v="29"/>
    <x v="3"/>
    <n v="-2654517.6923000002"/>
    <n v="5020218.1399999997"/>
    <n v="2365700.4476999999"/>
    <n v="-70598.874795199998"/>
    <n v="133516.43989360001"/>
    <n v="62917.565098400002"/>
  </r>
  <r>
    <x v="9"/>
    <x v="29"/>
    <x v="0"/>
    <n v="3511715657.6494999"/>
    <n v="153413194"/>
    <n v="3665125859.6494999"/>
    <n v="5353576.0082588997"/>
    <n v="233876.90656549999"/>
    <n v="5587448.3535499005"/>
  </r>
  <r>
    <x v="9"/>
    <x v="29"/>
    <x v="1"/>
    <n v="3410773201.9503999"/>
    <n v="281961124"/>
    <n v="3692731333.9503999"/>
    <n v="5199690.2265702998"/>
    <n v="429846.96252960002"/>
    <n v="5629532.6278253002"/>
  </r>
  <r>
    <x v="9"/>
    <x v="29"/>
    <x v="2"/>
    <n v="483837.66720000003"/>
    <n v="31072"/>
    <n v="514909.66720000003"/>
    <n v="737.6057687"/>
    <n v="47.368958599999999"/>
    <n v="784.97472730000004"/>
  </r>
  <r>
    <x v="9"/>
    <x v="29"/>
    <x v="3"/>
    <n v="5257772551.7563"/>
    <n v="81299987"/>
    <n v="5339072538.7563"/>
    <n v="8015422.5837308001"/>
    <n v="123941.03119559999"/>
    <n v="8139363.6149263997"/>
  </r>
  <r>
    <x v="10"/>
    <x v="29"/>
    <x v="0"/>
    <n v="976774594.31200004"/>
    <n v="465328203"/>
    <n v="1442102797.312"/>
    <n v="1489083.2696533001"/>
    <n v="709388.27240200003"/>
    <n v="2198471.5420553"/>
  </r>
  <r>
    <x v="10"/>
    <x v="29"/>
    <x v="1"/>
    <n v="1940246484.4038999"/>
    <n v="744385689"/>
    <n v="2684632173.4039001"/>
    <n v="2957886.6974571999"/>
    <n v="1134808.6673363999"/>
    <n v="4092695.3647936"/>
  </r>
  <r>
    <x v="10"/>
    <x v="29"/>
    <x v="2"/>
    <n v="-5904972.7885999996"/>
    <n v="1738968"/>
    <n v="-4166004.7886000001"/>
    <n v="-9002.0729843999998"/>
    <n v="2651.0396261000001"/>
    <n v="-6351.0333583000001"/>
  </r>
  <r>
    <x v="10"/>
    <x v="29"/>
    <x v="3"/>
    <n v="548156586.12189996"/>
    <n v="151617216"/>
    <n v="699773802.12189996"/>
    <n v="835659.32846500003"/>
    <n v="231138.9557547"/>
    <n v="1066798.2842196999"/>
  </r>
  <r>
    <x v="0"/>
    <x v="30"/>
    <x v="0"/>
    <n v="608784443.67799997"/>
    <n v="237359235"/>
    <n v="846143678.67799997"/>
    <n v="928085.90148130001"/>
    <n v="361851.82107970002"/>
    <n v="1289937.7225611"/>
  </r>
  <r>
    <x v="0"/>
    <x v="30"/>
    <x v="1"/>
    <n v="716094263.1027"/>
    <n v="360864877.74000001"/>
    <n v="1076959140.8427"/>
    <n v="1091678.6665934999"/>
    <n v="550134.95966960001"/>
    <n v="1641813.6262632001"/>
  </r>
  <r>
    <x v="0"/>
    <x v="30"/>
    <x v="2"/>
    <n v="134409.91949999999"/>
    <n v="157877"/>
    <n v="292286.91950000002"/>
    <n v="204.90660130000001"/>
    <n v="240.68193489999999"/>
    <n v="445.58853629999999"/>
  </r>
  <r>
    <x v="0"/>
    <x v="30"/>
    <x v="3"/>
    <n v="520072510.07249999"/>
    <n v="137743405"/>
    <n v="657815915.07249999"/>
    <n v="792845.43052749999"/>
    <n v="209988.46723179999"/>
    <n v="1002833.8977593"/>
  </r>
  <r>
    <x v="1"/>
    <x v="30"/>
    <x v="0"/>
    <n v="770127787.32290006"/>
    <n v="65667793"/>
    <n v="835785580.32290006"/>
    <n v="1174052.243246"/>
    <n v="100109.90506999999"/>
    <n v="1274146.9034142001"/>
  </r>
  <r>
    <x v="1"/>
    <x v="30"/>
    <x v="1"/>
    <n v="2003488294.7104001"/>
    <n v="1437357540"/>
    <n v="3440810834.7104001"/>
    <n v="3054298.2157526002"/>
    <n v="2191237.4439178002"/>
    <n v="5245482.3025142998"/>
  </r>
  <r>
    <x v="1"/>
    <x v="30"/>
    <x v="2"/>
    <n v="36484082.098200001"/>
    <n v="17561071"/>
    <n v="54045153.098200001"/>
    <n v="55619.624606799996"/>
    <n v="26771.680155900001"/>
    <n v="82391.304762700005"/>
  </r>
  <r>
    <x v="1"/>
    <x v="30"/>
    <x v="3"/>
    <n v="1252868255.6133001"/>
    <n v="164474583"/>
    <n v="1417342838.6133001"/>
    <n v="1909985.3429620001"/>
    <n v="250739.8853888"/>
    <n v="2160725.2283508"/>
  </r>
  <r>
    <x v="2"/>
    <x v="30"/>
    <x v="0"/>
    <n v="13623641227.2752"/>
    <n v="4534713855"/>
    <n v="18152667046.2752"/>
    <n v="20769107.162931699"/>
    <n v="6913126.7064762004"/>
    <n v="27673562.514425799"/>
  </r>
  <r>
    <x v="2"/>
    <x v="30"/>
    <x v="1"/>
    <n v="16338146016.2019"/>
    <n v="9161016174"/>
    <n v="25481781719.2019"/>
    <n v="24907343.0365129"/>
    <n v="13965879.126223199"/>
    <n v="38846725.805505402"/>
  </r>
  <r>
    <x v="2"/>
    <x v="30"/>
    <x v="2"/>
    <n v="72284235.065200001"/>
    <n v="-1333197581"/>
    <n v="-1260913595.9347999"/>
    <n v="110196.60597449999"/>
    <n v="-2032446.6100673999"/>
    <n v="-1922250.3852154999"/>
  </r>
  <r>
    <x v="2"/>
    <x v="30"/>
    <x v="3"/>
    <n v="11850627088.3319"/>
    <n v="1606916437"/>
    <n v="13455364507.3319"/>
    <n v="18066164.532632299"/>
    <n v="2449728.3160329"/>
    <n v="20512570.957138799"/>
  </r>
  <r>
    <x v="3"/>
    <x v="30"/>
    <x v="0"/>
    <n v="3764254225.1276999"/>
    <n v="2331837963"/>
    <n v="6096092188.1276999"/>
    <n v="5738568.5725248996"/>
    <n v="3554864.0581622999"/>
    <n v="9293432.6306871995"/>
  </r>
  <r>
    <x v="3"/>
    <x v="30"/>
    <x v="1"/>
    <n v="5137766088.4280996"/>
    <n v="3542852901"/>
    <n v="8680605089.4281006"/>
    <n v="7832473.9097656002"/>
    <n v="5401044.4297415996"/>
    <n v="13233497.149093799"/>
  </r>
  <r>
    <x v="3"/>
    <x v="30"/>
    <x v="2"/>
    <n v="-141256193.01539999"/>
    <n v="16837770"/>
    <n v="-124418423.01540001"/>
    <n v="-215343.67803899999"/>
    <n v="25669.0148897"/>
    <n v="-189674.6631493"/>
  </r>
  <r>
    <x v="3"/>
    <x v="30"/>
    <x v="3"/>
    <n v="1584948055.8118"/>
    <n v="510088491"/>
    <n v="2095036546.8118"/>
    <n v="2416237.7348084999"/>
    <n v="777624.89157059998"/>
    <n v="3193862.6263791998"/>
  </r>
  <r>
    <x v="4"/>
    <x v="30"/>
    <x v="0"/>
    <n v="1223886886.3585999"/>
    <n v="876231347"/>
    <n v="2100118233.3585999"/>
    <n v="1865803.5303511999"/>
    <n v="1335806.0772275999"/>
    <n v="3201609.6075789002"/>
  </r>
  <r>
    <x v="4"/>
    <x v="30"/>
    <x v="1"/>
    <n v="948367605.18169999"/>
    <n v="302576721"/>
    <n v="1250944326.1817"/>
    <n v="1445777.0938975001"/>
    <n v="461275.23755369999"/>
    <n v="1907052.3314511001"/>
  </r>
  <r>
    <x v="4"/>
    <x v="30"/>
    <x v="2"/>
    <n v="-300581.4105"/>
    <n v="596100"/>
    <n v="295518.5895"/>
    <n v="-458.23340630000001"/>
    <n v="908.74859179999999"/>
    <n v="450.51518540000001"/>
  </r>
  <r>
    <x v="4"/>
    <x v="30"/>
    <x v="3"/>
    <n v="1174754376.0623"/>
    <n v="520120885"/>
    <n v="1694875261.0623"/>
    <n v="1790901.5012604001"/>
    <n v="792919.17762900004"/>
    <n v="2583820.6788895"/>
  </r>
  <r>
    <x v="5"/>
    <x v="30"/>
    <x v="0"/>
    <n v="-6789500.4989"/>
    <n v="4459365.1100000003"/>
    <n v="-2330135.3889000001"/>
    <n v="-559857.22169170005"/>
    <n v="367715.96988589998"/>
    <n v="-192141.25180590001"/>
  </r>
  <r>
    <x v="5"/>
    <x v="30"/>
    <x v="1"/>
    <n v="1466391.6865000001"/>
    <n v="14527187.73"/>
    <n v="15995609.536499999"/>
    <n v="120917.58085129999"/>
    <n v="1197901.2245201"/>
    <n v="1318986.2075747"/>
  </r>
  <r>
    <x v="5"/>
    <x v="30"/>
    <x v="2"/>
    <n v="-6996.8806000000004"/>
    <n v="8864.48"/>
    <n v="1867.5994000000001"/>
    <n v="-576.95763239999997"/>
    <n v="730.9585065"/>
    <n v="154.0008741"/>
  </r>
  <r>
    <x v="5"/>
    <x v="30"/>
    <x v="3"/>
    <n v="587895.87419999996"/>
    <n v="5353457.04"/>
    <n v="5941352.9142000005"/>
    <n v="48477.4617554"/>
    <n v="441442.1333861"/>
    <n v="489919.5951415"/>
  </r>
  <r>
    <x v="6"/>
    <x v="30"/>
    <x v="0"/>
    <n v="25181329081.943501"/>
    <n v="7381174607.0200005"/>
    <n v="32561030952.963501"/>
    <n v="2684164.9366132999"/>
    <n v="786784.92333390005"/>
    <n v="3470792.8759246999"/>
  </r>
  <r>
    <x v="6"/>
    <x v="30"/>
    <x v="1"/>
    <n v="29169293398.390301"/>
    <n v="17715224524.009998"/>
    <n v="46876851819.400299"/>
    <n v="3109255.8423330998"/>
    <n v="1888327.0361482"/>
    <n v="4996765.7220553998"/>
  </r>
  <r>
    <x v="6"/>
    <x v="30"/>
    <x v="2"/>
    <n v="82444670.267399997"/>
    <n v="3208054"/>
    <n v="85652724.267399997"/>
    <n v="8788.0624736999998"/>
    <n v="341.95756840000001"/>
    <n v="9130.0200421000009"/>
  </r>
  <r>
    <x v="6"/>
    <x v="30"/>
    <x v="3"/>
    <n v="37201406794.697998"/>
    <n v="2236455906"/>
    <n v="39437726677.697998"/>
    <n v="3965426.5819756999"/>
    <n v="238391.56803960001"/>
    <n v="4203803.6508534001"/>
  </r>
  <r>
    <x v="7"/>
    <x v="30"/>
    <x v="0"/>
    <n v="18198049559.802601"/>
    <n v="5922935366.9300003"/>
    <n v="24120984926.732601"/>
    <n v="3729490.6362951999"/>
    <n v="1213840.6326323999"/>
    <n v="4943331.2689276999"/>
  </r>
  <r>
    <x v="7"/>
    <x v="30"/>
    <x v="1"/>
    <n v="38924817016.299599"/>
    <n v="21671717272.849998"/>
    <n v="60596534289.149597"/>
    <n v="7977214.267097"/>
    <n v="4441380.7301669996"/>
    <n v="12418594.997264"/>
  </r>
  <r>
    <x v="7"/>
    <x v="30"/>
    <x v="2"/>
    <n v="196912.9571"/>
    <n v="9975"/>
    <n v="206887.9571"/>
    <n v="40.355150500000001"/>
    <n v="2.0442667999999999"/>
    <n v="42.399417399999997"/>
  </r>
  <r>
    <x v="7"/>
    <x v="30"/>
    <x v="3"/>
    <n v="17495023388.9291"/>
    <n v="2690708478.3200002"/>
    <n v="20185731867.2491"/>
    <n v="3585413.134323"/>
    <n v="551431.18727740005"/>
    <n v="4136844.3216003999"/>
  </r>
  <r>
    <x v="8"/>
    <x v="30"/>
    <x v="0"/>
    <n v="20751842.8215"/>
    <n v="25015836.48"/>
    <n v="45767679.3015"/>
    <n v="490587.30074470001"/>
    <n v="591390.93333330005"/>
    <n v="1081978.2340780001"/>
  </r>
  <r>
    <x v="8"/>
    <x v="30"/>
    <x v="1"/>
    <n v="57893149.143299997"/>
    <n v="52014715.479999997"/>
    <n v="109907864.6233"/>
    <n v="1368632.3674538999"/>
    <n v="1229662.3044916999"/>
    <n v="2598294.6719455998"/>
  </r>
  <r>
    <x v="8"/>
    <x v="30"/>
    <x v="2"/>
    <n v="-3343885.6623999998"/>
    <n v="66985.899999999994"/>
    <n v="-3276899.7623999999"/>
    <n v="-79051.670505899994"/>
    <n v="1583.5910165"/>
    <n v="-77468.079489399999"/>
  </r>
  <r>
    <x v="8"/>
    <x v="30"/>
    <x v="3"/>
    <n v="-3551626.7622000002"/>
    <n v="6008356.7300000004"/>
    <n v="2456729.9678000002"/>
    <n v="-83962.807616999999"/>
    <n v="142041.53026"/>
    <n v="58078.722643000001"/>
  </r>
  <r>
    <x v="9"/>
    <x v="30"/>
    <x v="0"/>
    <n v="4135562857.7961998"/>
    <n v="153660558"/>
    <n v="4289220423.7961998"/>
    <n v="6304624.9339456996"/>
    <n v="234254.0105525"/>
    <n v="6538874.3832235998"/>
  </r>
  <r>
    <x v="9"/>
    <x v="30"/>
    <x v="1"/>
    <n v="3990975316.1949"/>
    <n v="281985860"/>
    <n v="4272958184.1949"/>
    <n v="6084202.6477268003"/>
    <n v="429884.6723185"/>
    <n v="6514082.7587706"/>
  </r>
  <r>
    <x v="9"/>
    <x v="30"/>
    <x v="2"/>
    <n v="543593.77179999999"/>
    <n v="31072"/>
    <n v="574665.77179999999"/>
    <n v="828.7033629"/>
    <n v="47.368958599999999"/>
    <n v="876.07232150000004"/>
  </r>
  <r>
    <x v="9"/>
    <x v="30"/>
    <x v="3"/>
    <n v="6082774136.7868004"/>
    <n v="81027887"/>
    <n v="6163802023.7868004"/>
    <n v="9273129.3923028"/>
    <n v="123526.2174197"/>
    <n v="9396655.6097225994"/>
  </r>
  <r>
    <x v="10"/>
    <x v="30"/>
    <x v="0"/>
    <n v="1194275872.2774999"/>
    <n v="558158676"/>
    <n v="1752434548.2774999"/>
    <n v="1820661.8303906"/>
    <n v="850907.4161873"/>
    <n v="2671569.2465778999"/>
  </r>
  <r>
    <x v="10"/>
    <x v="30"/>
    <x v="1"/>
    <n v="2260326220.1753001"/>
    <n v="891826081"/>
    <n v="3152152301.1753001"/>
    <n v="3445845.1090167002"/>
    <n v="1359580.0959514"/>
    <n v="4805425.2049682001"/>
  </r>
  <r>
    <x v="10"/>
    <x v="30"/>
    <x v="2"/>
    <n v="-12740347.4812"/>
    <n v="3337136"/>
    <n v="-9403211.4812000003"/>
    <n v="-19422.534527700001"/>
    <n v="5087.4310359000001"/>
    <n v="-14335.1034918"/>
  </r>
  <r>
    <x v="10"/>
    <x v="30"/>
    <x v="3"/>
    <n v="708988732.1329"/>
    <n v="189448148"/>
    <n v="898436880.1329"/>
    <n v="1080846.3544606001"/>
    <n v="288811.83980050002"/>
    <n v="1369658.1942610999"/>
  </r>
  <r>
    <x v="0"/>
    <x v="31"/>
    <x v="0"/>
    <n v="685074259.11670005"/>
    <n v="280012257"/>
    <n v="965086516.11670005"/>
    <n v="1044388.9753699"/>
    <n v="426875.93394080002"/>
    <n v="1471264.9093106999"/>
  </r>
  <r>
    <x v="0"/>
    <x v="31"/>
    <x v="1"/>
    <n v="816706571.01370001"/>
    <n v="412779105.56"/>
    <n v="1229485676.5737"/>
    <n v="1245061.1412237"/>
    <n v="629277.68978759996"/>
    <n v="1874338.8310113"/>
  </r>
  <r>
    <x v="0"/>
    <x v="31"/>
    <x v="2"/>
    <n v="141760.2629"/>
    <n v="164287"/>
    <n v="306047.26289999997"/>
    <n v="216.11212760000001"/>
    <n v="250.4539169"/>
    <n v="466.5660446"/>
  </r>
  <r>
    <x v="0"/>
    <x v="31"/>
    <x v="3"/>
    <n v="588333674.53960001"/>
    <n v="156485655"/>
    <n v="744819329.53960001"/>
    <n v="896908.90491239994"/>
    <n v="238560.843165"/>
    <n v="1135469.7480774"/>
  </r>
  <r>
    <x v="1"/>
    <x v="31"/>
    <x v="0"/>
    <n v="878337494.52690005"/>
    <n v="-5640633"/>
    <n v="872696861.52690005"/>
    <n v="1339016.8784340001"/>
    <n v="-8599.0895744999998"/>
    <n v="1330417.7888595001"/>
  </r>
  <r>
    <x v="1"/>
    <x v="31"/>
    <x v="1"/>
    <n v="2301640936.0588999"/>
    <n v="1640705232"/>
    <n v="3942346168.0588999"/>
    <n v="3508828.9873557002"/>
    <n v="2501239.0019467999"/>
    <n v="6010067.9893025002"/>
  </r>
  <r>
    <x v="1"/>
    <x v="31"/>
    <x v="2"/>
    <n v="39222094.340899996"/>
    <n v="20547373"/>
    <n v="59769467.340899996"/>
    <n v="59793.697362600004"/>
    <n v="31324.268206600002"/>
    <n v="91117.965569199994"/>
  </r>
  <r>
    <x v="1"/>
    <x v="31"/>
    <x v="3"/>
    <n v="1426542906.1366999"/>
    <n v="192615868"/>
    <n v="1619158774.1366999"/>
    <n v="2174750.6408754"/>
    <n v="293640.99780930002"/>
    <n v="2468391.6386846998"/>
  </r>
  <r>
    <x v="2"/>
    <x v="31"/>
    <x v="0"/>
    <n v="15670961835.7227"/>
    <n v="5212573427"/>
    <n v="20883235726.722698"/>
    <n v="23890227.310208902"/>
    <n v="7946516.9622398997"/>
    <n v="31836287.632760499"/>
  </r>
  <r>
    <x v="2"/>
    <x v="31"/>
    <x v="1"/>
    <n v="18800583140.2211"/>
    <n v="10575461820"/>
    <n v="29375485780.2211"/>
    <n v="28661304.2321693"/>
    <n v="16122187.6129076"/>
    <n v="44782639.3806623"/>
  </r>
  <r>
    <x v="2"/>
    <x v="31"/>
    <x v="2"/>
    <n v="85772152.667600006"/>
    <n v="-1440854580"/>
    <n v="-1355082677.3324001"/>
    <n v="130758.8038051"/>
    <n v="-2196568.6470301999"/>
    <n v="-2065810.2243476"/>
  </r>
  <r>
    <x v="2"/>
    <x v="31"/>
    <x v="3"/>
    <n v="13637385555.2388"/>
    <n v="1880031315"/>
    <n v="15517308870.2388"/>
    <n v="20790060.2558381"/>
    <n v="2866089.2634731"/>
    <n v="23655984.874372602"/>
  </r>
  <r>
    <x v="3"/>
    <x v="31"/>
    <x v="0"/>
    <n v="4289957621.5339999"/>
    <n v="2669220055"/>
    <n v="6959177676.5340004"/>
    <n v="6539998.2339300001"/>
    <n v="4069199.7417513998"/>
    <n v="10609197.975681299"/>
  </r>
  <r>
    <x v="3"/>
    <x v="31"/>
    <x v="1"/>
    <n v="5857874510.3270998"/>
    <n v="4051993368"/>
    <n v="9909867878.3271008"/>
    <n v="8930272.1219944004"/>
    <n v="6177224.0680409996"/>
    <n v="15107496.1900355"/>
  </r>
  <r>
    <x v="3"/>
    <x v="31"/>
    <x v="2"/>
    <n v="-163747798.95019999"/>
    <n v="19319956"/>
    <n v="-144427842.95019999"/>
    <n v="-249631.9102475"/>
    <n v="29453.0830527"/>
    <n v="-220178.82719479999"/>
  </r>
  <r>
    <x v="3"/>
    <x v="31"/>
    <x v="3"/>
    <n v="1783990960.5327001"/>
    <n v="592443073"/>
    <n v="2376434033.5327001"/>
    <n v="2719676.6869362998"/>
    <n v="903173.64247960004"/>
    <n v="3622850.3294159998"/>
  </r>
  <r>
    <x v="4"/>
    <x v="31"/>
    <x v="0"/>
    <n v="904238095.45179999"/>
    <n v="745919300"/>
    <n v="1650157395.4518001"/>
    <n v="1378502.0900025"/>
    <n v="1137146.6422341999"/>
    <n v="2515648.7322367001"/>
  </r>
  <r>
    <x v="4"/>
    <x v="31"/>
    <x v="1"/>
    <n v="1021018149.215"/>
    <n v="284011994"/>
    <n v="1305030143.2149999"/>
    <n v="1556532.1342939001"/>
    <n v="432973.49368940003"/>
    <n v="1989505.6279831999"/>
  </r>
  <r>
    <x v="4"/>
    <x v="31"/>
    <x v="2"/>
    <n v="-515245.86800000002"/>
    <n v="185459"/>
    <n v="-329786.86800000002"/>
    <n v="-785.48726209999995"/>
    <n v="282.73042290000001"/>
    <n v="-502.7568392"/>
  </r>
  <r>
    <x v="4"/>
    <x v="31"/>
    <x v="3"/>
    <n v="1932746089.8055"/>
    <n v="988577054"/>
    <n v="2921323143.8055"/>
    <n v="2946452.4196029999"/>
    <n v="1507076.0034574999"/>
    <n v="4453528.4230605001"/>
  </r>
  <r>
    <x v="5"/>
    <x v="31"/>
    <x v="0"/>
    <n v="-7349374.5528999995"/>
    <n v="5117893.33"/>
    <n v="-2231481.2228999999"/>
    <n v="-615149.41056979995"/>
    <n v="428372.3795335"/>
    <n v="-186777.0310363"/>
  </r>
  <r>
    <x v="5"/>
    <x v="31"/>
    <x v="1"/>
    <n v="2305384.5666"/>
    <n v="16472988.550000001"/>
    <n v="18778493.116599999"/>
    <n v="192962.80888570001"/>
    <n v="1378804.2946941999"/>
    <n v="1571777.1476902999"/>
  </r>
  <r>
    <x v="5"/>
    <x v="31"/>
    <x v="2"/>
    <n v="-7898.8494000000001"/>
    <n v="10100.49"/>
    <n v="2201.6406000000002"/>
    <n v="-661.14096070000005"/>
    <n v="845.42030420000003"/>
    <n v="184.27934339999999"/>
  </r>
  <r>
    <x v="5"/>
    <x v="31"/>
    <x v="3"/>
    <n v="846045.91720000003"/>
    <n v="5746639.6100000003"/>
    <n v="6592685.5272000004"/>
    <n v="70814.821524500003"/>
    <n v="480999.02153620002"/>
    <n v="551813.84306079999"/>
  </r>
  <r>
    <x v="6"/>
    <x v="31"/>
    <x v="0"/>
    <n v="29515630038.113998"/>
    <n v="8509584580.0299997"/>
    <n v="38025164618.143997"/>
    <n v="3196381.0870539001"/>
    <n v="921541.40620309999"/>
    <n v="4117917.0785308001"/>
  </r>
  <r>
    <x v="6"/>
    <x v="31"/>
    <x v="1"/>
    <n v="33346424221.7784"/>
    <n v="20500995515.68"/>
    <n v="53847275645.458397"/>
    <n v="3611235.1173168998"/>
    <n v="2220145.5380583"/>
    <n v="5831365.0510005997"/>
  </r>
  <r>
    <x v="6"/>
    <x v="31"/>
    <x v="2"/>
    <n v="28586849.7227"/>
    <n v="2813166"/>
    <n v="31400015.7227"/>
    <n v="3095.7992654999998"/>
    <n v="304.6504711"/>
    <n v="3400.4497366000001"/>
  </r>
  <r>
    <x v="6"/>
    <x v="31"/>
    <x v="3"/>
    <n v="42376101500.645103"/>
    <n v="2616814717"/>
    <n v="44992916217.645103"/>
    <n v="4589099.7144505996"/>
    <n v="283386.70253499999"/>
    <n v="4872486.4169856003"/>
  </r>
  <r>
    <x v="7"/>
    <x v="31"/>
    <x v="0"/>
    <n v="21142395532.721001"/>
    <n v="6999723854.1800003"/>
    <n v="28142119386.901001"/>
    <n v="4368570.4228646001"/>
    <n v="1446325.5381948"/>
    <n v="5814895.9610595005"/>
  </r>
  <r>
    <x v="7"/>
    <x v="31"/>
    <x v="1"/>
    <n v="44747445261.931999"/>
    <n v="25227124265.889999"/>
    <n v="69974569527.822006"/>
    <n v="9245989.4418062009"/>
    <n v="5212581.9305261001"/>
    <n v="14458571.3723324"/>
  </r>
  <r>
    <x v="7"/>
    <x v="31"/>
    <x v="2"/>
    <n v="228432.5724"/>
    <n v="11400"/>
    <n v="239832.5724"/>
    <n v="47.200128200000002"/>
    <n v="2.3555373999999998"/>
    <n v="49.555665599999998"/>
  </r>
  <r>
    <x v="7"/>
    <x v="31"/>
    <x v="3"/>
    <n v="20049792839.4286"/>
    <n v="3030161665.46"/>
    <n v="23079954504.888599"/>
    <n v="4142810.2055575"/>
    <n v="626110.44277079997"/>
    <n v="4768920.6483282996"/>
  </r>
  <r>
    <x v="8"/>
    <x v="31"/>
    <x v="0"/>
    <n v="24555891.764600001"/>
    <n v="28750580.370000001"/>
    <n v="53306472.134599999"/>
    <n v="595583.11337859998"/>
    <n v="697321.86199370003"/>
    <n v="1292904.9753723"/>
  </r>
  <r>
    <x v="8"/>
    <x v="31"/>
    <x v="1"/>
    <n v="65885940.2465"/>
    <n v="60172763.899999999"/>
    <n v="126058704.14650001"/>
    <n v="1598009.7076522"/>
    <n v="1459441.2781954999"/>
    <n v="3057450.9858476999"/>
  </r>
  <r>
    <x v="8"/>
    <x v="31"/>
    <x v="2"/>
    <n v="-3900870.5428999998"/>
    <n v="71187.33"/>
    <n v="-3829683.2129000002"/>
    <n v="-94612.431309699998"/>
    <n v="1726.5905894"/>
    <n v="-92885.840720299995"/>
  </r>
  <r>
    <x v="8"/>
    <x v="31"/>
    <x v="3"/>
    <n v="-4531971.3457000004"/>
    <n v="7054200.4699999997"/>
    <n v="2522229.1242999998"/>
    <n v="-109919.2662066"/>
    <n v="171093.87509099999"/>
    <n v="61174.608884300003"/>
  </r>
  <r>
    <x v="9"/>
    <x v="31"/>
    <x v="0"/>
    <n v="4785550010.5572996"/>
    <n v="727938736"/>
    <n v="5513488746.5572996"/>
    <n v="7295523.9604994003"/>
    <n v="1109735.4491224"/>
    <n v="8405259.4096217994"/>
  </r>
  <r>
    <x v="9"/>
    <x v="31"/>
    <x v="1"/>
    <n v="4590417407.6584997"/>
    <n v="1392147376"/>
    <n v="5982564783.6584997"/>
    <n v="6998046.2250704002"/>
    <n v="2122314.9932084"/>
    <n v="9120361.2182787992"/>
  </r>
  <r>
    <x v="9"/>
    <x v="31"/>
    <x v="2"/>
    <n v="601301.12809999997"/>
    <n v="39564"/>
    <n v="640865.12809999997"/>
    <n v="916.67766040000004"/>
    <n v="60.314929200000002"/>
    <n v="976.99258959999997"/>
  </r>
  <r>
    <x v="9"/>
    <x v="31"/>
    <x v="3"/>
    <n v="6879753503.7691002"/>
    <n v="423151886"/>
    <n v="7302905389.7691002"/>
    <n v="10488116.6048523"/>
    <n v="645090.89162859996"/>
    <n v="11133207.496480901"/>
  </r>
  <r>
    <x v="10"/>
    <x v="31"/>
    <x v="0"/>
    <n v="1314010931.4791999"/>
    <n v="609062618"/>
    <n v="1923073549.4791999"/>
    <n v="2003196.7514322"/>
    <n v="928509.97550139995"/>
    <n v="2931706.7269335999"/>
  </r>
  <r>
    <x v="10"/>
    <x v="31"/>
    <x v="1"/>
    <n v="2554382954.0528002"/>
    <n v="982166373"/>
    <n v="3536549327.0528002"/>
    <n v="3894131.7099334002"/>
    <n v="1497302.9832748"/>
    <n v="5391434.6932081999"/>
  </r>
  <r>
    <x v="10"/>
    <x v="31"/>
    <x v="2"/>
    <n v="-16028018.7839"/>
    <n v="3497815"/>
    <n v="-12530203.7839"/>
    <n v="-24434.557118699999"/>
    <n v="5332.3845922999999"/>
    <n v="-19102.172526400002"/>
  </r>
  <r>
    <x v="10"/>
    <x v="31"/>
    <x v="3"/>
    <n v="951194793.11500001"/>
    <n v="254066364"/>
    <n v="1205261157.115"/>
    <n v="1450087.1141172"/>
    <n v="387321.67504880001"/>
    <n v="1837408.7891661001"/>
  </r>
  <r>
    <x v="0"/>
    <x v="32"/>
    <x v="0"/>
    <n v="479356129.74589998"/>
    <n v="220863779"/>
    <n v="628945800.73959994"/>
    <n v="730773.70886490005"/>
    <n v="336704.66051890003"/>
    <n v="958821.69218350004"/>
  </r>
  <r>
    <x v="0"/>
    <x v="32"/>
    <x v="1"/>
    <n v="918694862.2076"/>
    <n v="501406123.38"/>
    <n v="1310907718.6584001"/>
    <n v="1400541.2888461"/>
    <n v="764388.70746099995"/>
    <n v="1998465.9339840999"/>
  </r>
  <r>
    <x v="0"/>
    <x v="32"/>
    <x v="2"/>
    <n v="6482.8054000000002"/>
    <n v="-188768720.44"/>
    <n v="-188768720.44"/>
    <n v="9.8829730999999992"/>
    <n v="-287776.05916240002"/>
    <n v="-287776.05916240002"/>
  </r>
  <r>
    <x v="0"/>
    <x v="32"/>
    <x v="3"/>
    <n v="797515963.58500004"/>
    <n v="242383406"/>
    <n v="116410918.40260001"/>
    <n v="1215805.2487967999"/>
    <n v="369511.12039360002"/>
    <n v="177467.30106180001"/>
  </r>
  <r>
    <x v="1"/>
    <x v="32"/>
    <x v="0"/>
    <n v="1040686960.0721"/>
    <n v="-11215391"/>
    <n v="1497552825.9937"/>
    <n v="1586517.0431478"/>
    <n v="-17097.753358800001"/>
    <n v="2283004.5658384999"/>
  </r>
  <r>
    <x v="1"/>
    <x v="32"/>
    <x v="1"/>
    <n v="2980790791.2052002"/>
    <n v="1853183110"/>
    <n v="8048980126.0421"/>
    <n v="4544186.2670956003"/>
    <n v="2825159.4388047"/>
    <n v="12270591.0997857"/>
  </r>
  <r>
    <x v="1"/>
    <x v="32"/>
    <x v="2"/>
    <n v="46197876.342399999"/>
    <n v="1122730047.608"/>
    <n v="1212240115.7567"/>
    <n v="70428.208468500001"/>
    <n v="1711590.9238074999"/>
    <n v="1848048.1430287"/>
  </r>
  <r>
    <x v="1"/>
    <x v="32"/>
    <x v="3"/>
    <n v="1263791558.9676001"/>
    <n v="216590944"/>
    <n v="-1260211782.1293001"/>
    <n v="1926637.8115755001"/>
    <n v="330190.76555319998"/>
    <n v="-1921180.4769661999"/>
  </r>
  <r>
    <x v="2"/>
    <x v="32"/>
    <x v="0"/>
    <n v="17090542249.4561"/>
    <n v="1467685214"/>
    <n v="15441132814.690599"/>
    <n v="26054363.699840199"/>
    <n v="2237471.6848817999"/>
    <n v="23539855.226319101"/>
  </r>
  <r>
    <x v="2"/>
    <x v="32"/>
    <x v="1"/>
    <n v="20658470196.308399"/>
    <n v="2622655905"/>
    <n v="15055662790.2974"/>
    <n v="31493634.790555499"/>
    <n v="3998213.1526914001"/>
    <n v="22952209.962386899"/>
  </r>
  <r>
    <x v="2"/>
    <x v="32"/>
    <x v="2"/>
    <n v="101785034.0219"/>
    <n v="-56919282297.468002"/>
    <n v="-52669820224.961304"/>
    <n v="155170.28406119999"/>
    <n v="-86772886.481077299"/>
    <n v="-80294623.313664302"/>
  </r>
  <r>
    <x v="2"/>
    <x v="32"/>
    <x v="3"/>
    <n v="15041756562.4526"/>
    <n v="437679284"/>
    <n v="3313052023.5439"/>
    <n v="22931010.054702699"/>
    <n v="667237.76710970001"/>
    <n v="5050715.2504567998"/>
  </r>
  <r>
    <x v="3"/>
    <x v="32"/>
    <x v="0"/>
    <n v="4872065254.9216995"/>
    <n v="2999307320"/>
    <n v="8146363224.9481001"/>
    <n v="7427415.6002935003"/>
    <n v="4572414.5332696997"/>
    <n v="12419050.6770232"/>
  </r>
  <r>
    <x v="3"/>
    <x v="32"/>
    <x v="1"/>
    <n v="6290867590.5394001"/>
    <n v="4628893122"/>
    <n v="8223593358.3720999"/>
    <n v="9590365.8174840994"/>
    <n v="7056702.0734591"/>
    <n v="12536787.2564392"/>
  </r>
  <r>
    <x v="3"/>
    <x v="32"/>
    <x v="2"/>
    <n v="-159006844.3996"/>
    <n v="855070617.10399997"/>
    <n v="898908394.07159996"/>
    <n v="-242404.37162739999"/>
    <n v="1303546.7524609"/>
    <n v="1370377.0126267001"/>
  </r>
  <r>
    <x v="3"/>
    <x v="32"/>
    <x v="3"/>
    <n v="1859302917.0501001"/>
    <n v="671862740"/>
    <n v="1284619236.8929"/>
    <n v="2834489.0245094001"/>
    <n v="1024248.1443143"/>
    <n v="1958389.4018858999"/>
  </r>
  <r>
    <x v="4"/>
    <x v="32"/>
    <x v="0"/>
    <n v="1002529838.6812"/>
    <n v="862671305"/>
    <n v="1688835048.7391"/>
    <n v="1528346.8865813001"/>
    <n v="1315133.9264616"/>
    <n v="2574612.4345637001"/>
  </r>
  <r>
    <x v="4"/>
    <x v="32"/>
    <x v="1"/>
    <n v="1126107385.0437"/>
    <n v="329094624"/>
    <n v="1321117577.8276999"/>
    <n v="1716739.641537"/>
    <n v="501701.52006920002"/>
    <n v="2014030.763949"/>
  </r>
  <r>
    <x v="4"/>
    <x v="32"/>
    <x v="2"/>
    <n v="-531188.87419999996"/>
    <n v="-27502350"/>
    <n v="-26723423.432100002"/>
    <n v="-809.79221840000002"/>
    <n v="-41927.062292199997"/>
    <n v="-40739.596394400003"/>
  </r>
  <r>
    <x v="4"/>
    <x v="32"/>
    <x v="3"/>
    <n v="1944381784.6742001"/>
    <n v="1110008172"/>
    <n v="1248282838.7170999"/>
    <n v="2964190.9220790002"/>
    <n v="1692196.5494689001"/>
    <n v="1902994.9199675"/>
  </r>
  <r>
    <x v="5"/>
    <x v="32"/>
    <x v="0"/>
    <n v="-3529409.7938999999"/>
    <n v="5576340.8799999999"/>
    <n v="32439159.675999999"/>
    <n v="-299676.48155790003"/>
    <n v="473478.0919388"/>
    <n v="2754356.6216652002"/>
  </r>
  <r>
    <x v="5"/>
    <x v="32"/>
    <x v="1"/>
    <n v="12624964.6612"/>
    <n v="18104432.77"/>
    <n v="98799465.167600006"/>
    <n v="1071965.3455941"/>
    <n v="1537218.1270909"/>
    <n v="8388902.9130029008"/>
  </r>
  <r>
    <x v="5"/>
    <x v="32"/>
    <x v="2"/>
    <n v="14137.8241"/>
    <n v="11351.33"/>
    <n v="234147.40179999999"/>
    <n v="1200.4197955"/>
    <n v="963.82308490000003"/>
    <n v="19881.0774704"/>
  </r>
  <r>
    <x v="5"/>
    <x v="32"/>
    <x v="3"/>
    <n v="-43540.3442"/>
    <n v="6013609.7199999997"/>
    <n v="-5177893.4093000004"/>
    <n v="-3696.9402584999998"/>
    <n v="510605.8824528"/>
    <n v="-439646.56115099997"/>
  </r>
  <r>
    <x v="6"/>
    <x v="32"/>
    <x v="0"/>
    <n v="31547472074.3064"/>
    <n v="10311455204.700001"/>
    <n v="49614842620.328003"/>
    <n v="3526958.2969673998"/>
    <n v="1152804.6495250999"/>
    <n v="5546862.2151509002"/>
  </r>
  <r>
    <x v="6"/>
    <x v="32"/>
    <x v="1"/>
    <n v="35360518432.907501"/>
    <n v="21697747548.349998"/>
    <n v="89796897093.585007"/>
    <n v="3953250.9475961002"/>
    <n v="2425774.4189742999"/>
    <n v="10039153.3908066"/>
  </r>
  <r>
    <x v="6"/>
    <x v="32"/>
    <x v="2"/>
    <n v="28535432.744800001"/>
    <n v="12775972564.768"/>
    <n v="12775590147.118799"/>
    <n v="3190.2169859999999"/>
    <n v="1428333.8561328"/>
    <n v="1428291.1024346"/>
  </r>
  <r>
    <x v="6"/>
    <x v="32"/>
    <x v="3"/>
    <n v="50808730126.915604"/>
    <n v="3885003293.6799998"/>
    <n v="9883632597.7434998"/>
    <n v="5680336.9809606001"/>
    <n v="434337.32402130001"/>
    <n v="1104974.7476653999"/>
  </r>
  <r>
    <x v="7"/>
    <x v="32"/>
    <x v="0"/>
    <n v="24583125083.5882"/>
    <n v="8072995559.1000004"/>
    <n v="35341756703.695297"/>
    <n v="5142611.9565356001"/>
    <n v="1688812.2785904"/>
    <n v="7393239.8737511998"/>
  </r>
  <r>
    <x v="7"/>
    <x v="32"/>
    <x v="1"/>
    <n v="55175683784.893402"/>
    <n v="28654321129.330002"/>
    <n v="116853939278.577"/>
    <n v="11542353.959369199"/>
    <n v="5994276.7221438996"/>
    <n v="24444998.886796799"/>
  </r>
  <r>
    <x v="7"/>
    <x v="32"/>
    <x v="2"/>
    <n v="218878.8124"/>
    <n v="8331908281.5"/>
    <n v="8331868353.0900002"/>
    <n v="45.787864399999997"/>
    <n v="1742974.9473880001"/>
    <n v="1742966.5946535"/>
  </r>
  <r>
    <x v="7"/>
    <x v="32"/>
    <x v="3"/>
    <n v="19381807675.625198"/>
    <n v="3357989715.9099998"/>
    <n v="855498177.72210002"/>
    <n v="4054533.9761740002"/>
    <n v="702467.16006380005"/>
    <n v="178964.03091910001"/>
  </r>
  <r>
    <x v="8"/>
    <x v="32"/>
    <x v="0"/>
    <n v="31856326.410999998"/>
    <n v="15175260.4"/>
    <n v="73920228.379500002"/>
    <n v="795215.33726910001"/>
    <n v="378813.29006490001"/>
    <n v="1845237.8527084"/>
  </r>
  <r>
    <x v="8"/>
    <x v="32"/>
    <x v="1"/>
    <n v="79730619.071899995"/>
    <n v="30229613.09"/>
    <n v="161266159.80199999"/>
    <n v="1990280.0567123999"/>
    <n v="754608.4146281"/>
    <n v="4025615.5716924998"/>
  </r>
  <r>
    <x v="8"/>
    <x v="32"/>
    <x v="2"/>
    <n v="-3030205.2256"/>
    <n v="190982978.13999999"/>
    <n v="196373583.20199999"/>
    <n v="-75641.668137800007"/>
    <n v="4767423.3185222"/>
    <n v="4901986.6001498001"/>
  </r>
  <r>
    <x v="8"/>
    <x v="32"/>
    <x v="3"/>
    <n v="-7997758.9289999995"/>
    <n v="522744.62"/>
    <n v="-35970682.710100003"/>
    <n v="-199644.50646529999"/>
    <n v="13049.041937100001"/>
    <n v="-897920.18747130001"/>
  </r>
  <r>
    <x v="9"/>
    <x v="32"/>
    <x v="0"/>
    <n v="5252301538.4041004"/>
    <n v="851943224"/>
    <n v="4715900651.4871998"/>
    <n v="8007082.0776423998"/>
    <n v="1298779.0724086999"/>
    <n v="7189344.1970849"/>
  </r>
  <r>
    <x v="9"/>
    <x v="32"/>
    <x v="1"/>
    <n v="4980025821.6602001"/>
    <n v="1624407430"/>
    <n v="4819406607.2304001"/>
    <n v="7592000.4232901996"/>
    <n v="2476393.1629665"/>
    <n v="7347138.0093975998"/>
  </r>
  <r>
    <x v="9"/>
    <x v="32"/>
    <x v="2"/>
    <n v="599904.12809999997"/>
    <n v="43056"/>
    <n v="30379"/>
    <n v="914.54794770000001"/>
    <n v="65.6384489"/>
    <n v="46.312486900000003"/>
  </r>
  <r>
    <x v="9"/>
    <x v="32"/>
    <x v="3"/>
    <n v="6833146620.1341"/>
    <n v="498464065"/>
    <n v="368491392.74370003"/>
    <n v="10417064.8687858"/>
    <n v="759903.56837410002"/>
    <n v="561761.50684219995"/>
  </r>
  <r>
    <x v="10"/>
    <x v="32"/>
    <x v="0"/>
    <n v="1510839973.7491"/>
    <n v="689296877"/>
    <n v="2348154679.2497001"/>
    <n v="2303260.6920105"/>
    <n v="1050826.3148347"/>
    <n v="3579738.7317304001"/>
  </r>
  <r>
    <x v="10"/>
    <x v="32"/>
    <x v="1"/>
    <n v="2900509934.8062"/>
    <n v="1080090668"/>
    <n v="4105731923.1364999"/>
    <n v="4421798.8904855"/>
    <n v="1646587.608639"/>
    <n v="6259147.9672242003"/>
  </r>
  <r>
    <x v="10"/>
    <x v="32"/>
    <x v="2"/>
    <n v="-12017421.018300001"/>
    <n v="-73219330.159799993"/>
    <n v="-36524984.9604"/>
    <n v="-18320.440239700001"/>
    <n v="-111622.14925639999"/>
    <n v="-55681.980618200003"/>
  </r>
  <r>
    <x v="10"/>
    <x v="32"/>
    <x v="3"/>
    <n v="989899731.78830004"/>
    <n v="286831697"/>
    <n v="538091878.04059994"/>
    <n v="1509092.4127470001"/>
    <n v="437272.10320190003"/>
    <n v="820315.77990720002"/>
  </r>
  <r>
    <x v="0"/>
    <x v="33"/>
    <x v="0"/>
    <n v="578650692.60380006"/>
    <n v="239950607"/>
    <n v="720628307.75880003"/>
    <n v="882147.29411200003"/>
    <n v="365802.34222669998"/>
    <n v="1098590.7731129001"/>
  </r>
  <r>
    <x v="0"/>
    <x v="33"/>
    <x v="1"/>
    <n v="1004776875.7143"/>
    <n v="528834810.01999998"/>
    <n v="1668188722.0699"/>
    <n v="1531772.4724552"/>
    <n v="806203.47068479995"/>
    <n v="2543137.3124608998"/>
  </r>
  <r>
    <x v="0"/>
    <x v="33"/>
    <x v="2"/>
    <n v="36890.184200000003"/>
    <n v="83614250.777999997"/>
    <n v="330556357.35000002"/>
    <n v="56.238723299999997"/>
    <n v="127469.10358150001"/>
    <n v="503929.91819589998"/>
  </r>
  <r>
    <x v="0"/>
    <x v="33"/>
    <x v="3"/>
    <n v="1087960330.8915999"/>
    <n v="274601377"/>
    <n v="122631160.5236"/>
    <n v="1658584.8323770999"/>
    <n v="418627.10055690003"/>
    <n v="186949.9990451"/>
  </r>
  <r>
    <x v="1"/>
    <x v="33"/>
    <x v="0"/>
    <n v="1184235189.9991"/>
    <n v="-159498840"/>
    <n v="2052892990.4872"/>
    <n v="1805354.9089331999"/>
    <n v="-243154.4140851"/>
    <n v="3129615.1889334"/>
  </r>
  <r>
    <x v="1"/>
    <x v="33"/>
    <x v="1"/>
    <n v="2806738731.7424998"/>
    <n v="1566542968"/>
    <n v="8975004232.5326004"/>
    <n v="4278845.6129631996"/>
    <n v="2388179.3593178"/>
    <n v="13682305.749511899"/>
  </r>
  <r>
    <x v="1"/>
    <x v="33"/>
    <x v="2"/>
    <n v="-9015"/>
    <n v="1059044298.904"/>
    <n v="1480799654.194"/>
    <n v="-13.7432789"/>
    <n v="1614502.6257879999"/>
    <n v="2257464.5200737002"/>
  </r>
  <r>
    <x v="1"/>
    <x v="33"/>
    <x v="3"/>
    <n v="2444587091.1978002"/>
    <n v="327605992"/>
    <n v="-1671674359.7632"/>
    <n v="3726748.9960436001"/>
    <n v="499432.1152149"/>
    <n v="-2548451.1328687998"/>
  </r>
  <r>
    <x v="2"/>
    <x v="33"/>
    <x v="0"/>
    <n v="21651112142.905899"/>
    <n v="3554084101"/>
    <n v="21460361885.2607"/>
    <n v="33006907.6828297"/>
    <n v="5418166.2837656001"/>
    <n v="32716110.7896717"/>
  </r>
  <r>
    <x v="2"/>
    <x v="33"/>
    <x v="1"/>
    <n v="26127252752.5201"/>
    <n v="8231582840"/>
    <n v="24342094726.724602"/>
    <n v="39830740.052351102"/>
    <n v="12548967.1426633"/>
    <n v="37109284.185891099"/>
  </r>
  <r>
    <x v="2"/>
    <x v="33"/>
    <x v="2"/>
    <n v="129723585.6461"/>
    <n v="5993526272.6000004"/>
    <n v="4998485266.0923996"/>
    <n v="197762.3314426"/>
    <n v="9137071.9004446995"/>
    <n v="7620141.6649145996"/>
  </r>
  <r>
    <x v="2"/>
    <x v="33"/>
    <x v="3"/>
    <n v="18928632827.805599"/>
    <n v="2098786355"/>
    <n v="5740998930.9738998"/>
    <n v="28856514.722467501"/>
    <n v="3199579.1721104002"/>
    <n v="8752096.4498798996"/>
  </r>
  <r>
    <x v="3"/>
    <x v="33"/>
    <x v="0"/>
    <n v="6720463925.5581999"/>
    <n v="3858743107"/>
    <n v="10256129806.1691"/>
    <n v="10245281.208308199"/>
    <n v="5882615.9443378001"/>
    <n v="15635369.0960979"/>
  </r>
  <r>
    <x v="3"/>
    <x v="33"/>
    <x v="1"/>
    <n v="5832105733.4976997"/>
    <n v="5344527661"/>
    <n v="10084290696.240101"/>
    <n v="8890987.8749639001"/>
    <n v="8147679.8951760996"/>
    <n v="15373402.0617816"/>
  </r>
  <r>
    <x v="3"/>
    <x v="33"/>
    <x v="2"/>
    <n v="-241082836.61340001"/>
    <n v="-14869351321.497999"/>
    <n v="-15088263812.476101"/>
    <n v="-367528.41514519998"/>
    <n v="-22668179.9592016"/>
    <n v="-23001909.900307599"/>
  </r>
  <r>
    <x v="3"/>
    <x v="33"/>
    <x v="3"/>
    <n v="3713201369.4391999"/>
    <n v="897888521"/>
    <n v="1510215000.8845999"/>
    <n v="5660738.9957560999"/>
    <n v="1368822.226152"/>
    <n v="2302307.9270204999"/>
  </r>
  <r>
    <x v="5"/>
    <x v="33"/>
    <x v="0"/>
    <n v="-5465931.4671999998"/>
    <n v="0"/>
    <n v="48306772.675899997"/>
    <n v="-431216.7839944"/>
    <n v="0"/>
    <n v="3811004.8183833999"/>
  </r>
  <r>
    <x v="5"/>
    <x v="33"/>
    <x v="1"/>
    <n v="11240179.4276"/>
    <n v="0"/>
    <n v="86310081.017900005"/>
    <n v="886757.18921390001"/>
    <n v="0"/>
    <n v="6809151.5208668998"/>
  </r>
  <r>
    <x v="5"/>
    <x v="33"/>
    <x v="2"/>
    <n v="1043.5071"/>
    <n v="264551.76400000002"/>
    <n v="64467178.946400002"/>
    <n v="82.324079299999994"/>
    <n v="20870.946069599999"/>
    <n v="5085927.2102621999"/>
  </r>
  <r>
    <x v="5"/>
    <x v="33"/>
    <x v="3"/>
    <n v="-7111097.0361000001"/>
    <n v="0"/>
    <n v="-9158827.9294000007"/>
    <n v="-561006.74020160001"/>
    <n v="0"/>
    <n v="-722555.77088259999"/>
  </r>
  <r>
    <x v="6"/>
    <x v="33"/>
    <x v="0"/>
    <n v="38707138870.051102"/>
    <n v="10701361168"/>
    <n v="59737542835.5728"/>
    <n v="4144244.8201731001"/>
    <n v="1145759.2031841001"/>
    <n v="6395900.3350087004"/>
  </r>
  <r>
    <x v="6"/>
    <x v="33"/>
    <x v="1"/>
    <n v="41351113418.226402"/>
    <n v="19967067745"/>
    <n v="104298946888.056"/>
    <n v="4427326.3949370999"/>
    <n v="2137807.6368307001"/>
    <n v="11166941.887424599"/>
  </r>
  <r>
    <x v="6"/>
    <x v="33"/>
    <x v="2"/>
    <n v="49683495.445600003"/>
    <n v="64165569219.087997"/>
    <n v="93114931611.2789"/>
    <n v="5319.4468684000003"/>
    <n v="6869994.4153044"/>
    <n v="9969506.5116112009"/>
  </r>
  <r>
    <x v="6"/>
    <x v="33"/>
    <x v="3"/>
    <n v="67260241967.877403"/>
    <n v="4248005333"/>
    <n v="11806594928.6903"/>
    <n v="7201330.7497298997"/>
    <n v="454819.82423079998"/>
    <n v="1264092.9116815999"/>
  </r>
  <r>
    <x v="7"/>
    <x v="33"/>
    <x v="0"/>
    <n v="30045223716.553799"/>
    <n v="9504738116.6700001"/>
    <n v="44002985626.597298"/>
    <n v="6109261.061768"/>
    <n v="1932650.8275084"/>
    <n v="8947369.7791770995"/>
  </r>
  <r>
    <x v="7"/>
    <x v="33"/>
    <x v="1"/>
    <n v="62124130544.4244"/>
    <n v="34094613969.299999"/>
    <n v="143852911049.72601"/>
    <n v="12632042.127951801"/>
    <n v="6932645.9174905"/>
    <n v="29250405.867800701"/>
  </r>
  <r>
    <x v="7"/>
    <x v="33"/>
    <x v="2"/>
    <n v="316814.95730000001"/>
    <n v="256464434.38780001"/>
    <n v="11790073591.753401"/>
    <n v="64.419732800000006"/>
    <n v="52148.328050900003"/>
    <n v="2397340.6951132999"/>
  </r>
  <r>
    <x v="7"/>
    <x v="33"/>
    <x v="3"/>
    <n v="26652304139.856499"/>
    <n v="3335241155.1500001"/>
    <n v="-545225852.30079997"/>
    <n v="5419360.0095683001"/>
    <n v="678172.98060380004"/>
    <n v="-110863.77990569999"/>
  </r>
  <r>
    <x v="8"/>
    <x v="33"/>
    <x v="0"/>
    <n v="36679781.413199998"/>
    <n v="35032587.049999997"/>
    <n v="110765539.85439999"/>
    <n v="845545.90625170001"/>
    <n v="807574.62079299998"/>
    <n v="2553378.0510466001"/>
  </r>
  <r>
    <x v="8"/>
    <x v="33"/>
    <x v="1"/>
    <n v="88207234.730800003"/>
    <n v="55840021.840000004"/>
    <n v="214161376.99790001"/>
    <n v="2033361.7964683999"/>
    <n v="1287229.6413094001"/>
    <n v="4936868.9948800998"/>
  </r>
  <r>
    <x v="8"/>
    <x v="33"/>
    <x v="2"/>
    <n v="-5443780.3129000003"/>
    <n v="210729175.486"/>
    <n v="387767325.653"/>
    <n v="-125490.5558529"/>
    <n v="4857749.5501613999"/>
    <n v="8938850.2916781995"/>
  </r>
  <r>
    <x v="8"/>
    <x v="33"/>
    <x v="3"/>
    <n v="-6165028.4458999997"/>
    <n v="9024966.9199999999"/>
    <n v="-34483531.131700002"/>
    <n v="-142116.83831029999"/>
    <n v="208044.41954820001"/>
    <n v="-794917.73009910004"/>
  </r>
  <r>
    <x v="9"/>
    <x v="33"/>
    <x v="0"/>
    <n v="5867581391.4068003"/>
    <n v="1249386075"/>
    <n v="5770204650.3008003"/>
    <n v="8945070.1668047998"/>
    <n v="1904676.7928386"/>
    <n v="8796620.2819708996"/>
  </r>
  <r>
    <x v="9"/>
    <x v="33"/>
    <x v="1"/>
    <n v="5438092382.4667997"/>
    <n v="2208886098"/>
    <n v="6323794435.0890999"/>
    <n v="8290318.3935331004"/>
    <n v="3367425.1482948"/>
    <n v="9640562.4684074"/>
  </r>
  <r>
    <x v="9"/>
    <x v="33"/>
    <x v="2"/>
    <n v="784627.44960000005"/>
    <n v="2778795512.0739999"/>
    <n v="4961442986.3712997"/>
    <n v="1196.1568359"/>
    <n v="4236246.4491940998"/>
    <n v="7563671.0735175004"/>
  </r>
  <r>
    <x v="9"/>
    <x v="33"/>
    <x v="3"/>
    <n v="11207372733.3351"/>
    <n v="955780446"/>
    <n v="939583992.24109995"/>
    <n v="17085529.5901029"/>
    <n v="1457077.8968743"/>
    <n v="1432386.5622916"/>
  </r>
  <r>
    <x v="10"/>
    <x v="33"/>
    <x v="0"/>
    <n v="1738827007.6199999"/>
    <n v="666403411"/>
    <n v="2516642722.9531999"/>
    <n v="2650824.6845753998"/>
    <n v="1015925.4509061"/>
    <n v="3836597.0985190002"/>
  </r>
  <r>
    <x v="10"/>
    <x v="33"/>
    <x v="1"/>
    <n v="3128988131.5475001"/>
    <n v="865175547"/>
    <n v="4102825864.2951999"/>
    <n v="4770111.6560193999"/>
    <n v="1318951.6187799"/>
    <n v="6254717.7090803003"/>
  </r>
  <r>
    <x v="10"/>
    <x v="33"/>
    <x v="2"/>
    <n v="-27098128.934799999"/>
    <n v="231560012.19999999"/>
    <n v="1041779485.9026999"/>
    <n v="-41310.831250800002"/>
    <n v="353010.96291369997"/>
    <n v="1588182.5880396001"/>
  </r>
  <r>
    <x v="10"/>
    <x v="33"/>
    <x v="3"/>
    <n v="1525309246.3275001"/>
    <n v="290025888"/>
    <n v="557942410.06900001"/>
    <n v="2325318.9558576001"/>
    <n v="442141.61599010002"/>
    <n v="850577.72090089996"/>
  </r>
  <r>
    <x v="4"/>
    <x v="33"/>
    <x v="1"/>
    <n v="1358868322.8873999"/>
    <n v="409634421"/>
    <n v="1567116444.3202"/>
    <n v="2071581.4037923"/>
    <n v="624483.64908070001"/>
    <n v="2389053.618332"/>
  </r>
  <r>
    <x v="4"/>
    <x v="33"/>
    <x v="3"/>
    <n v="2582872178.4878998"/>
    <n v="1317336266"/>
    <n v="1487614118.902"/>
    <n v="3937563.2526032999"/>
    <n v="2008266.191229"/>
    <n v="2267853.1045511002"/>
  </r>
  <r>
    <x v="4"/>
    <x v="33"/>
    <x v="0"/>
    <n v="1260420176.8141999"/>
    <n v="1047995362"/>
    <n v="2054495293.6529"/>
    <n v="1921498.1726152999"/>
    <n v="1597658.6300625999"/>
    <n v="3132057.8843626999"/>
  </r>
  <r>
    <x v="4"/>
    <x v="33"/>
    <x v="2"/>
    <n v="-1500903.2808999999"/>
    <n v="252439141.19999999"/>
    <n v="-143733486.32839999"/>
    <n v="-2288.1123014"/>
    <n v="384840.98988200002"/>
    <n v="-219120.28734869999"/>
  </r>
  <r>
    <x v="11"/>
    <x v="34"/>
    <x v="4"/>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6">
  <r>
    <x v="0"/>
    <x v="0"/>
    <x v="0"/>
    <n v="93"/>
    <n v="492110000"/>
  </r>
  <r>
    <x v="0"/>
    <x v="0"/>
    <x v="1"/>
    <n v="26"/>
    <n v="307570000"/>
  </r>
  <r>
    <x v="0"/>
    <x v="0"/>
    <x v="2"/>
    <n v="2"/>
    <n v="45000000"/>
  </r>
  <r>
    <x v="0"/>
    <x v="1"/>
    <x v="0"/>
    <n v="47"/>
    <n v="243890000"/>
  </r>
  <r>
    <x v="0"/>
    <x v="1"/>
    <x v="1"/>
    <n v="11"/>
    <n v="116735000"/>
  </r>
  <r>
    <x v="0"/>
    <x v="1"/>
    <x v="2"/>
    <n v="1"/>
    <n v="25000000"/>
  </r>
  <r>
    <x v="1"/>
    <x v="0"/>
    <x v="0"/>
    <n v="866"/>
    <n v="3372817913"/>
  </r>
  <r>
    <x v="1"/>
    <x v="0"/>
    <x v="1"/>
    <n v="82"/>
    <n v="750270000"/>
  </r>
  <r>
    <x v="1"/>
    <x v="0"/>
    <x v="2"/>
    <n v="4"/>
    <n v="34500000"/>
  </r>
  <r>
    <x v="1"/>
    <x v="0"/>
    <x v="3"/>
    <n v="67"/>
    <n v="427870000"/>
  </r>
  <r>
    <x v="1"/>
    <x v="1"/>
    <x v="0"/>
    <n v="768"/>
    <n v="3596084193"/>
  </r>
  <r>
    <x v="1"/>
    <x v="1"/>
    <x v="1"/>
    <n v="65"/>
    <n v="595410000"/>
  </r>
  <r>
    <x v="1"/>
    <x v="1"/>
    <x v="2"/>
    <n v="8"/>
    <n v="104550000"/>
  </r>
  <r>
    <x v="1"/>
    <x v="1"/>
    <x v="3"/>
    <n v="1"/>
    <n v="5400000"/>
  </r>
  <r>
    <x v="2"/>
    <x v="0"/>
    <x v="0"/>
    <n v="1259"/>
    <n v="4875060000"/>
  </r>
  <r>
    <x v="2"/>
    <x v="0"/>
    <x v="1"/>
    <n v="554"/>
    <n v="4921848323"/>
  </r>
  <r>
    <x v="2"/>
    <x v="0"/>
    <x v="2"/>
    <n v="76"/>
    <n v="1856240000"/>
  </r>
  <r>
    <x v="2"/>
    <x v="1"/>
    <x v="0"/>
    <n v="1360"/>
    <n v="5372052470"/>
  </r>
  <r>
    <x v="2"/>
    <x v="1"/>
    <x v="1"/>
    <n v="612"/>
    <n v="5862518730"/>
  </r>
  <r>
    <x v="2"/>
    <x v="1"/>
    <x v="2"/>
    <n v="68"/>
    <n v="1809720000"/>
  </r>
  <r>
    <x v="3"/>
    <x v="0"/>
    <x v="0"/>
    <n v="1180"/>
    <n v="3351682520"/>
  </r>
  <r>
    <x v="3"/>
    <x v="0"/>
    <x v="1"/>
    <n v="428"/>
    <n v="3043790884"/>
  </r>
  <r>
    <x v="3"/>
    <x v="0"/>
    <x v="2"/>
    <n v="11"/>
    <n v="312400000"/>
  </r>
  <r>
    <x v="3"/>
    <x v="0"/>
    <x v="4"/>
    <n v="31"/>
    <n v="313929000"/>
  </r>
  <r>
    <x v="3"/>
    <x v="1"/>
    <x v="0"/>
    <n v="1354"/>
    <n v="3730400000"/>
  </r>
  <r>
    <x v="3"/>
    <x v="1"/>
    <x v="1"/>
    <n v="431"/>
    <n v="2887940000"/>
  </r>
  <r>
    <x v="3"/>
    <x v="1"/>
    <x v="2"/>
    <n v="17"/>
    <n v="320810000"/>
  </r>
  <r>
    <x v="3"/>
    <x v="1"/>
    <x v="4"/>
    <n v="22"/>
    <n v="188033311"/>
  </r>
  <r>
    <x v="4"/>
    <x v="0"/>
    <x v="0"/>
    <n v="16"/>
    <n v="47640000"/>
  </r>
  <r>
    <x v="4"/>
    <x v="0"/>
    <x v="1"/>
    <n v="70"/>
    <n v="503045000"/>
  </r>
  <r>
    <x v="4"/>
    <x v="0"/>
    <x v="2"/>
    <n v="11"/>
    <n v="121200000"/>
  </r>
  <r>
    <x v="4"/>
    <x v="1"/>
    <x v="0"/>
    <n v="13"/>
    <n v="25930000"/>
  </r>
  <r>
    <x v="4"/>
    <x v="1"/>
    <x v="1"/>
    <n v="64"/>
    <n v="348350000"/>
  </r>
  <r>
    <x v="4"/>
    <x v="1"/>
    <x v="2"/>
    <n v="9"/>
    <n v="148300000"/>
  </r>
  <r>
    <x v="5"/>
    <x v="0"/>
    <x v="0"/>
    <n v="488"/>
    <n v="7734146.9000000004"/>
  </r>
  <r>
    <x v="5"/>
    <x v="0"/>
    <x v="1"/>
    <n v="70"/>
    <n v="2978302.79"/>
  </r>
  <r>
    <x v="5"/>
    <x v="0"/>
    <x v="2"/>
    <n v="6"/>
    <n v="1036000"/>
  </r>
  <r>
    <x v="5"/>
    <x v="1"/>
    <x v="0"/>
    <n v="597"/>
    <n v="9538136.5"/>
  </r>
  <r>
    <x v="5"/>
    <x v="1"/>
    <x v="1"/>
    <n v="89"/>
    <n v="4779739.17"/>
  </r>
  <r>
    <x v="5"/>
    <x v="1"/>
    <x v="2"/>
    <n v="8"/>
    <n v="1309572"/>
  </r>
  <r>
    <x v="6"/>
    <x v="0"/>
    <x v="0"/>
    <n v="886"/>
    <n v="32337470000"/>
  </r>
  <r>
    <x v="6"/>
    <x v="0"/>
    <x v="1"/>
    <n v="155"/>
    <n v="16885700000"/>
  </r>
  <r>
    <x v="6"/>
    <x v="0"/>
    <x v="2"/>
    <n v="7"/>
    <n v="1751500000"/>
  </r>
  <r>
    <x v="6"/>
    <x v="1"/>
    <x v="0"/>
    <n v="534"/>
    <n v="20590844000"/>
  </r>
  <r>
    <x v="6"/>
    <x v="1"/>
    <x v="1"/>
    <n v="116"/>
    <n v="14824400000"/>
  </r>
  <r>
    <x v="6"/>
    <x v="1"/>
    <x v="2"/>
    <n v="10"/>
    <n v="2699000000"/>
  </r>
  <r>
    <x v="7"/>
    <x v="0"/>
    <x v="0"/>
    <n v="6193"/>
    <n v="42093722438.940002"/>
  </r>
  <r>
    <x v="7"/>
    <x v="0"/>
    <x v="1"/>
    <n v="697"/>
    <n v="12979092999.92"/>
  </r>
  <r>
    <x v="7"/>
    <x v="0"/>
    <x v="2"/>
    <n v="51"/>
    <n v="1567650000"/>
  </r>
  <r>
    <x v="7"/>
    <x v="1"/>
    <x v="0"/>
    <n v="5246"/>
    <n v="32674652842.169998"/>
  </r>
  <r>
    <x v="7"/>
    <x v="1"/>
    <x v="1"/>
    <n v="505"/>
    <n v="9499659796.7000008"/>
  </r>
  <r>
    <x v="7"/>
    <x v="1"/>
    <x v="2"/>
    <n v="91"/>
    <n v="2893826999"/>
  </r>
  <r>
    <x v="8"/>
    <x v="0"/>
    <x v="0"/>
    <n v="343"/>
    <n v="77729757.150000006"/>
  </r>
  <r>
    <x v="8"/>
    <x v="0"/>
    <x v="1"/>
    <n v="74"/>
    <n v="40140000"/>
  </r>
  <r>
    <x v="8"/>
    <x v="0"/>
    <x v="2"/>
    <n v="3"/>
    <n v="1790000"/>
  </r>
  <r>
    <x v="8"/>
    <x v="0"/>
    <x v="5"/>
    <n v="31"/>
    <n v="1627500"/>
  </r>
  <r>
    <x v="8"/>
    <x v="1"/>
    <x v="0"/>
    <n v="285"/>
    <n v="69324800"/>
  </r>
  <r>
    <x v="8"/>
    <x v="1"/>
    <x v="1"/>
    <n v="62"/>
    <n v="32340000"/>
  </r>
  <r>
    <x v="8"/>
    <x v="1"/>
    <x v="2"/>
    <n v="5"/>
    <n v="3480000"/>
  </r>
  <r>
    <x v="8"/>
    <x v="1"/>
    <x v="5"/>
    <n v="42"/>
    <n v="1129000"/>
  </r>
  <r>
    <x v="9"/>
    <x v="0"/>
    <x v="0"/>
    <n v="793"/>
    <n v="2742819295"/>
  </r>
  <r>
    <x v="9"/>
    <x v="0"/>
    <x v="1"/>
    <n v="256"/>
    <n v="2525984075"/>
  </r>
  <r>
    <x v="9"/>
    <x v="0"/>
    <x v="2"/>
    <n v="34"/>
    <n v="376490000"/>
  </r>
  <r>
    <x v="9"/>
    <x v="1"/>
    <x v="0"/>
    <n v="746"/>
    <n v="2628504000"/>
  </r>
  <r>
    <x v="9"/>
    <x v="1"/>
    <x v="1"/>
    <n v="256"/>
    <n v="2637125248"/>
  </r>
  <r>
    <x v="9"/>
    <x v="1"/>
    <x v="2"/>
    <n v="33"/>
    <n v="517100000"/>
  </r>
  <r>
    <x v="10"/>
    <x v="0"/>
    <x v="0"/>
    <n v="260"/>
    <n v="485993129"/>
  </r>
  <r>
    <x v="10"/>
    <x v="0"/>
    <x v="1"/>
    <n v="137"/>
    <n v="647000000"/>
  </r>
  <r>
    <x v="10"/>
    <x v="0"/>
    <x v="2"/>
    <n v="13"/>
    <n v="155423375"/>
  </r>
  <r>
    <x v="10"/>
    <x v="0"/>
    <x v="4"/>
    <n v="3"/>
    <n v="1050000"/>
  </r>
  <r>
    <x v="10"/>
    <x v="1"/>
    <x v="0"/>
    <n v="147"/>
    <n v="345475000"/>
  </r>
  <r>
    <x v="10"/>
    <x v="1"/>
    <x v="1"/>
    <n v="91"/>
    <n v="581440000"/>
  </r>
  <r>
    <x v="10"/>
    <x v="1"/>
    <x v="2"/>
    <n v="13"/>
    <n v="198600000"/>
  </r>
  <r>
    <x v="10"/>
    <x v="1"/>
    <x v="4"/>
    <n v="8"/>
    <n v="88150000"/>
  </r>
  <r>
    <x v="0"/>
    <x v="2"/>
    <x v="1"/>
    <n v="38"/>
    <n v="495490000"/>
  </r>
  <r>
    <x v="0"/>
    <x v="2"/>
    <x v="0"/>
    <n v="122"/>
    <n v="511195000"/>
  </r>
  <r>
    <x v="0"/>
    <x v="2"/>
    <x v="2"/>
    <n v="7"/>
    <n v="209600000"/>
  </r>
  <r>
    <x v="0"/>
    <x v="3"/>
    <x v="1"/>
    <n v="30"/>
    <n v="417500000"/>
  </r>
  <r>
    <x v="0"/>
    <x v="3"/>
    <x v="0"/>
    <n v="157"/>
    <n v="680965000"/>
  </r>
  <r>
    <x v="0"/>
    <x v="3"/>
    <x v="2"/>
    <n v="4"/>
    <n v="92500000"/>
  </r>
  <r>
    <x v="0"/>
    <x v="4"/>
    <x v="0"/>
    <n v="167"/>
    <n v="687717807"/>
  </r>
  <r>
    <x v="0"/>
    <x v="4"/>
    <x v="2"/>
    <n v="4"/>
    <n v="89500000"/>
  </r>
  <r>
    <x v="0"/>
    <x v="4"/>
    <x v="1"/>
    <n v="44"/>
    <n v="610776473"/>
  </r>
  <r>
    <x v="0"/>
    <x v="5"/>
    <x v="2"/>
    <n v="3"/>
    <n v="61000000"/>
  </r>
  <r>
    <x v="0"/>
    <x v="5"/>
    <x v="0"/>
    <n v="135"/>
    <n v="609855000"/>
  </r>
  <r>
    <x v="0"/>
    <x v="5"/>
    <x v="1"/>
    <n v="40"/>
    <n v="449190000"/>
  </r>
  <r>
    <x v="0"/>
    <x v="6"/>
    <x v="2"/>
    <n v="3"/>
    <n v="66500000"/>
  </r>
  <r>
    <x v="0"/>
    <x v="6"/>
    <x v="0"/>
    <n v="119"/>
    <n v="565020000"/>
  </r>
  <r>
    <x v="0"/>
    <x v="6"/>
    <x v="1"/>
    <n v="55"/>
    <n v="670055000"/>
  </r>
  <r>
    <x v="0"/>
    <x v="7"/>
    <x v="3"/>
    <n v="9"/>
    <n v="54620000"/>
  </r>
  <r>
    <x v="0"/>
    <x v="7"/>
    <x v="2"/>
    <n v="3"/>
    <n v="108000000"/>
  </r>
  <r>
    <x v="0"/>
    <x v="7"/>
    <x v="1"/>
    <n v="26"/>
    <n v="417650000"/>
  </r>
  <r>
    <x v="0"/>
    <x v="7"/>
    <x v="0"/>
    <n v="66"/>
    <n v="302775000"/>
  </r>
  <r>
    <x v="0"/>
    <x v="8"/>
    <x v="1"/>
    <n v="50"/>
    <n v="780410000"/>
  </r>
  <r>
    <x v="0"/>
    <x v="8"/>
    <x v="3"/>
    <n v="8"/>
    <n v="47710000"/>
  </r>
  <r>
    <x v="0"/>
    <x v="8"/>
    <x v="2"/>
    <n v="5"/>
    <n v="270700000"/>
  </r>
  <r>
    <x v="0"/>
    <x v="8"/>
    <x v="0"/>
    <n v="126"/>
    <n v="725255000"/>
  </r>
  <r>
    <x v="1"/>
    <x v="2"/>
    <x v="2"/>
    <n v="13"/>
    <n v="333025000"/>
  </r>
  <r>
    <x v="1"/>
    <x v="2"/>
    <x v="0"/>
    <n v="678"/>
    <n v="3736980180"/>
  </r>
  <r>
    <x v="1"/>
    <x v="2"/>
    <x v="1"/>
    <n v="70"/>
    <n v="675840000"/>
  </r>
  <r>
    <x v="1"/>
    <x v="3"/>
    <x v="0"/>
    <n v="838"/>
    <n v="4636271224"/>
  </r>
  <r>
    <x v="1"/>
    <x v="3"/>
    <x v="2"/>
    <n v="13"/>
    <n v="163650000"/>
  </r>
  <r>
    <x v="1"/>
    <x v="3"/>
    <x v="1"/>
    <n v="91"/>
    <n v="969841553"/>
  </r>
  <r>
    <x v="1"/>
    <x v="4"/>
    <x v="2"/>
    <n v="24"/>
    <n v="534825000"/>
  </r>
  <r>
    <x v="1"/>
    <x v="4"/>
    <x v="1"/>
    <n v="166"/>
    <n v="1523799693"/>
  </r>
  <r>
    <x v="1"/>
    <x v="4"/>
    <x v="0"/>
    <n v="929"/>
    <n v="5007917992"/>
  </r>
  <r>
    <x v="1"/>
    <x v="5"/>
    <x v="1"/>
    <n v="168"/>
    <n v="1628931159"/>
  </r>
  <r>
    <x v="1"/>
    <x v="5"/>
    <x v="0"/>
    <n v="869"/>
    <n v="4883714366"/>
  </r>
  <r>
    <x v="1"/>
    <x v="5"/>
    <x v="2"/>
    <n v="23"/>
    <n v="426050000"/>
  </r>
  <r>
    <x v="1"/>
    <x v="6"/>
    <x v="1"/>
    <n v="132"/>
    <n v="1169720000"/>
  </r>
  <r>
    <x v="1"/>
    <x v="6"/>
    <x v="2"/>
    <n v="11"/>
    <n v="155090000"/>
  </r>
  <r>
    <x v="1"/>
    <x v="6"/>
    <x v="0"/>
    <n v="770"/>
    <n v="4429935000"/>
  </r>
  <r>
    <x v="1"/>
    <x v="7"/>
    <x v="0"/>
    <n v="1962"/>
    <n v="3805279133"/>
  </r>
  <r>
    <x v="1"/>
    <x v="7"/>
    <x v="1"/>
    <n v="294"/>
    <n v="1452563000"/>
  </r>
  <r>
    <x v="1"/>
    <x v="7"/>
    <x v="2"/>
    <n v="45"/>
    <n v="450360000"/>
  </r>
  <r>
    <x v="1"/>
    <x v="8"/>
    <x v="0"/>
    <n v="3015"/>
    <n v="4854469285"/>
  </r>
  <r>
    <x v="1"/>
    <x v="8"/>
    <x v="2"/>
    <n v="54"/>
    <n v="339465578"/>
  </r>
  <r>
    <x v="1"/>
    <x v="8"/>
    <x v="1"/>
    <n v="343"/>
    <n v="1271847377"/>
  </r>
  <r>
    <x v="2"/>
    <x v="2"/>
    <x v="1"/>
    <n v="627"/>
    <n v="5751710000"/>
  </r>
  <r>
    <x v="2"/>
    <x v="2"/>
    <x v="0"/>
    <n v="1230"/>
    <n v="4226402420"/>
  </r>
  <r>
    <x v="2"/>
    <x v="2"/>
    <x v="2"/>
    <n v="97"/>
    <n v="2618850000"/>
  </r>
  <r>
    <x v="2"/>
    <x v="3"/>
    <x v="6"/>
    <n v="1"/>
    <n v="75366000"/>
  </r>
  <r>
    <x v="2"/>
    <x v="3"/>
    <x v="1"/>
    <n v="667"/>
    <n v="6205277604"/>
  </r>
  <r>
    <x v="2"/>
    <x v="3"/>
    <x v="2"/>
    <n v="135"/>
    <n v="3369462162"/>
  </r>
  <r>
    <x v="2"/>
    <x v="3"/>
    <x v="0"/>
    <n v="1625"/>
    <n v="5652022154"/>
  </r>
  <r>
    <x v="2"/>
    <x v="4"/>
    <x v="0"/>
    <n v="1623"/>
    <n v="5801164174"/>
  </r>
  <r>
    <x v="2"/>
    <x v="4"/>
    <x v="1"/>
    <n v="800"/>
    <n v="7780592589"/>
  </r>
  <r>
    <x v="2"/>
    <x v="4"/>
    <x v="2"/>
    <n v="133"/>
    <n v="3849250000"/>
  </r>
  <r>
    <x v="2"/>
    <x v="5"/>
    <x v="1"/>
    <n v="773"/>
    <n v="7702125981"/>
  </r>
  <r>
    <x v="2"/>
    <x v="5"/>
    <x v="0"/>
    <n v="1497"/>
    <n v="5395315000"/>
  </r>
  <r>
    <x v="2"/>
    <x v="5"/>
    <x v="6"/>
    <n v="1"/>
    <n v="30000000"/>
  </r>
  <r>
    <x v="2"/>
    <x v="5"/>
    <x v="2"/>
    <n v="119"/>
    <n v="3250400000"/>
  </r>
  <r>
    <x v="2"/>
    <x v="6"/>
    <x v="1"/>
    <n v="683"/>
    <n v="6403589407"/>
  </r>
  <r>
    <x v="2"/>
    <x v="6"/>
    <x v="6"/>
    <n v="1"/>
    <n v="350000000"/>
  </r>
  <r>
    <x v="2"/>
    <x v="6"/>
    <x v="2"/>
    <n v="135"/>
    <n v="4303900000"/>
  </r>
  <r>
    <x v="2"/>
    <x v="6"/>
    <x v="0"/>
    <n v="1498"/>
    <n v="5430538000"/>
  </r>
  <r>
    <x v="2"/>
    <x v="7"/>
    <x v="0"/>
    <n v="2012"/>
    <n v="7370988986"/>
  </r>
  <r>
    <x v="2"/>
    <x v="7"/>
    <x v="2"/>
    <n v="137"/>
    <n v="3251206395"/>
  </r>
  <r>
    <x v="2"/>
    <x v="7"/>
    <x v="1"/>
    <n v="902"/>
    <n v="8646067038"/>
  </r>
  <r>
    <x v="2"/>
    <x v="7"/>
    <x v="6"/>
    <n v="1"/>
    <n v="81646500"/>
  </r>
  <r>
    <x v="2"/>
    <x v="8"/>
    <x v="1"/>
    <n v="720"/>
    <n v="7377930434"/>
  </r>
  <r>
    <x v="2"/>
    <x v="8"/>
    <x v="2"/>
    <n v="144"/>
    <n v="3557050000"/>
  </r>
  <r>
    <x v="2"/>
    <x v="8"/>
    <x v="0"/>
    <n v="1723"/>
    <n v="6204213000"/>
  </r>
  <r>
    <x v="3"/>
    <x v="2"/>
    <x v="4"/>
    <n v="11"/>
    <n v="116927277"/>
  </r>
  <r>
    <x v="3"/>
    <x v="2"/>
    <x v="0"/>
    <n v="1090"/>
    <n v="3386131680"/>
  </r>
  <r>
    <x v="3"/>
    <x v="2"/>
    <x v="2"/>
    <n v="15"/>
    <n v="269999000"/>
  </r>
  <r>
    <x v="3"/>
    <x v="2"/>
    <x v="1"/>
    <n v="204"/>
    <n v="1592988680"/>
  </r>
  <r>
    <x v="3"/>
    <x v="3"/>
    <x v="1"/>
    <n v="203"/>
    <n v="1682498742"/>
  </r>
  <r>
    <x v="3"/>
    <x v="3"/>
    <x v="0"/>
    <n v="1272"/>
    <n v="4034973133"/>
  </r>
  <r>
    <x v="3"/>
    <x v="3"/>
    <x v="2"/>
    <n v="12"/>
    <n v="174380000"/>
  </r>
  <r>
    <x v="3"/>
    <x v="3"/>
    <x v="4"/>
    <n v="41"/>
    <n v="375394700"/>
  </r>
  <r>
    <x v="3"/>
    <x v="4"/>
    <x v="1"/>
    <n v="508"/>
    <n v="3513912000"/>
  </r>
  <r>
    <x v="3"/>
    <x v="4"/>
    <x v="4"/>
    <n v="27"/>
    <n v="282630000"/>
  </r>
  <r>
    <x v="3"/>
    <x v="4"/>
    <x v="0"/>
    <n v="1274"/>
    <n v="3229246594"/>
  </r>
  <r>
    <x v="3"/>
    <x v="4"/>
    <x v="2"/>
    <n v="33"/>
    <n v="742100000"/>
  </r>
  <r>
    <x v="3"/>
    <x v="5"/>
    <x v="1"/>
    <n v="501"/>
    <n v="3526791731"/>
  </r>
  <r>
    <x v="3"/>
    <x v="5"/>
    <x v="2"/>
    <n v="36"/>
    <n v="849868992"/>
  </r>
  <r>
    <x v="3"/>
    <x v="5"/>
    <x v="4"/>
    <n v="20"/>
    <n v="209320000"/>
  </r>
  <r>
    <x v="3"/>
    <x v="5"/>
    <x v="0"/>
    <n v="1108"/>
    <n v="2949078000"/>
  </r>
  <r>
    <x v="3"/>
    <x v="6"/>
    <x v="1"/>
    <n v="488"/>
    <n v="3419006844"/>
  </r>
  <r>
    <x v="3"/>
    <x v="6"/>
    <x v="4"/>
    <n v="16"/>
    <n v="179480000"/>
  </r>
  <r>
    <x v="3"/>
    <x v="6"/>
    <x v="0"/>
    <n v="1079"/>
    <n v="2891814990"/>
  </r>
  <r>
    <x v="3"/>
    <x v="6"/>
    <x v="2"/>
    <n v="31"/>
    <n v="581920000"/>
  </r>
  <r>
    <x v="3"/>
    <x v="7"/>
    <x v="0"/>
    <n v="1383"/>
    <n v="3660546000"/>
  </r>
  <r>
    <x v="3"/>
    <x v="7"/>
    <x v="2"/>
    <n v="35"/>
    <n v="796505000"/>
  </r>
  <r>
    <x v="3"/>
    <x v="7"/>
    <x v="1"/>
    <n v="574"/>
    <n v="3945851475"/>
  </r>
  <r>
    <x v="3"/>
    <x v="7"/>
    <x v="4"/>
    <n v="52"/>
    <n v="494161065"/>
  </r>
  <r>
    <x v="3"/>
    <x v="8"/>
    <x v="2"/>
    <n v="39"/>
    <n v="571897625"/>
  </r>
  <r>
    <x v="3"/>
    <x v="8"/>
    <x v="0"/>
    <n v="2830"/>
    <n v="4604719000"/>
  </r>
  <r>
    <x v="3"/>
    <x v="8"/>
    <x v="4"/>
    <n v="99"/>
    <n v="212314153"/>
  </r>
  <r>
    <x v="3"/>
    <x v="8"/>
    <x v="1"/>
    <n v="1172"/>
    <n v="3930955000"/>
  </r>
  <r>
    <x v="4"/>
    <x v="2"/>
    <x v="0"/>
    <n v="14"/>
    <n v="37680000"/>
  </r>
  <r>
    <x v="4"/>
    <x v="2"/>
    <x v="1"/>
    <n v="54"/>
    <n v="342865000"/>
  </r>
  <r>
    <x v="4"/>
    <x v="2"/>
    <x v="2"/>
    <n v="3"/>
    <n v="43000000"/>
  </r>
  <r>
    <x v="4"/>
    <x v="2"/>
    <x v="5"/>
    <n v="1"/>
    <n v="14000000"/>
  </r>
  <r>
    <x v="4"/>
    <x v="3"/>
    <x v="5"/>
    <n v="2"/>
    <n v="27280000"/>
  </r>
  <r>
    <x v="4"/>
    <x v="3"/>
    <x v="0"/>
    <n v="7"/>
    <n v="23780000"/>
  </r>
  <r>
    <x v="4"/>
    <x v="3"/>
    <x v="1"/>
    <n v="63"/>
    <n v="386843848"/>
  </r>
  <r>
    <x v="4"/>
    <x v="3"/>
    <x v="2"/>
    <n v="6"/>
    <n v="77500000"/>
  </r>
  <r>
    <x v="4"/>
    <x v="4"/>
    <x v="1"/>
    <n v="112"/>
    <n v="875490831"/>
  </r>
  <r>
    <x v="4"/>
    <x v="4"/>
    <x v="0"/>
    <n v="44"/>
    <n v="186740000"/>
  </r>
  <r>
    <x v="4"/>
    <x v="4"/>
    <x v="2"/>
    <n v="21"/>
    <n v="309280000"/>
  </r>
  <r>
    <x v="4"/>
    <x v="5"/>
    <x v="1"/>
    <n v="89"/>
    <n v="764450000"/>
  </r>
  <r>
    <x v="4"/>
    <x v="5"/>
    <x v="2"/>
    <n v="10"/>
    <n v="192500000"/>
  </r>
  <r>
    <x v="4"/>
    <x v="5"/>
    <x v="0"/>
    <n v="12"/>
    <n v="49900000"/>
  </r>
  <r>
    <x v="4"/>
    <x v="6"/>
    <x v="1"/>
    <n v="89"/>
    <n v="770500170"/>
  </r>
  <r>
    <x v="4"/>
    <x v="6"/>
    <x v="2"/>
    <n v="7"/>
    <n v="70200000"/>
  </r>
  <r>
    <x v="4"/>
    <x v="6"/>
    <x v="0"/>
    <n v="26"/>
    <n v="122890000"/>
  </r>
  <r>
    <x v="4"/>
    <x v="7"/>
    <x v="2"/>
    <n v="14"/>
    <n v="161100000"/>
  </r>
  <r>
    <x v="4"/>
    <x v="7"/>
    <x v="0"/>
    <n v="21"/>
    <n v="101830000"/>
  </r>
  <r>
    <x v="4"/>
    <x v="7"/>
    <x v="1"/>
    <n v="106"/>
    <n v="824914000"/>
  </r>
  <r>
    <x v="4"/>
    <x v="8"/>
    <x v="1"/>
    <n v="78"/>
    <n v="563438000"/>
  </r>
  <r>
    <x v="4"/>
    <x v="8"/>
    <x v="5"/>
    <n v="2"/>
    <n v="11100000"/>
  </r>
  <r>
    <x v="4"/>
    <x v="8"/>
    <x v="0"/>
    <n v="24"/>
    <n v="118356000"/>
  </r>
  <r>
    <x v="4"/>
    <x v="8"/>
    <x v="2"/>
    <n v="12"/>
    <n v="178000000"/>
  </r>
  <r>
    <x v="5"/>
    <x v="2"/>
    <x v="0"/>
    <n v="1164"/>
    <n v="21685764.780000001"/>
  </r>
  <r>
    <x v="5"/>
    <x v="2"/>
    <x v="1"/>
    <n v="163"/>
    <n v="8838925.6500000004"/>
  </r>
  <r>
    <x v="5"/>
    <x v="2"/>
    <x v="2"/>
    <n v="13"/>
    <n v="1261938"/>
  </r>
  <r>
    <x v="5"/>
    <x v="3"/>
    <x v="1"/>
    <n v="187"/>
    <n v="11499702.09"/>
  </r>
  <r>
    <x v="5"/>
    <x v="3"/>
    <x v="2"/>
    <n v="10"/>
    <n v="787123.5"/>
  </r>
  <r>
    <x v="5"/>
    <x v="3"/>
    <x v="0"/>
    <n v="1398"/>
    <n v="26057145.629999999"/>
  </r>
  <r>
    <x v="5"/>
    <x v="4"/>
    <x v="1"/>
    <n v="234"/>
    <n v="15621685.439999999"/>
  </r>
  <r>
    <x v="5"/>
    <x v="4"/>
    <x v="2"/>
    <n v="19"/>
    <n v="2463300.04"/>
  </r>
  <r>
    <x v="5"/>
    <x v="4"/>
    <x v="0"/>
    <n v="1517"/>
    <n v="30333612.059999999"/>
  </r>
  <r>
    <x v="5"/>
    <x v="5"/>
    <x v="0"/>
    <n v="1254"/>
    <n v="27450715.109999999"/>
  </r>
  <r>
    <x v="5"/>
    <x v="5"/>
    <x v="1"/>
    <n v="222"/>
    <n v="13902192.380000001"/>
  </r>
  <r>
    <x v="5"/>
    <x v="5"/>
    <x v="2"/>
    <n v="19"/>
    <n v="2742372"/>
  </r>
  <r>
    <x v="5"/>
    <x v="6"/>
    <x v="2"/>
    <n v="21"/>
    <n v="3881387.94"/>
  </r>
  <r>
    <x v="5"/>
    <x v="6"/>
    <x v="0"/>
    <n v="1233"/>
    <n v="28375282"/>
  </r>
  <r>
    <x v="5"/>
    <x v="6"/>
    <x v="1"/>
    <n v="220"/>
    <n v="14715046.99"/>
  </r>
  <r>
    <x v="5"/>
    <x v="7"/>
    <x v="0"/>
    <n v="1234"/>
    <n v="28800456.16"/>
  </r>
  <r>
    <x v="5"/>
    <x v="7"/>
    <x v="5"/>
    <n v="1"/>
    <n v="17000"/>
  </r>
  <r>
    <x v="5"/>
    <x v="7"/>
    <x v="2"/>
    <n v="20"/>
    <n v="4122904.05"/>
  </r>
  <r>
    <x v="5"/>
    <x v="7"/>
    <x v="1"/>
    <n v="239"/>
    <n v="16314577.34"/>
  </r>
  <r>
    <x v="5"/>
    <x v="8"/>
    <x v="5"/>
    <n v="2"/>
    <n v="648000"/>
  </r>
  <r>
    <x v="5"/>
    <x v="8"/>
    <x v="2"/>
    <n v="21"/>
    <n v="3550493.5"/>
  </r>
  <r>
    <x v="5"/>
    <x v="8"/>
    <x v="0"/>
    <n v="1370"/>
    <n v="31370930"/>
  </r>
  <r>
    <x v="5"/>
    <x v="8"/>
    <x v="1"/>
    <n v="196"/>
    <n v="11718444.35"/>
  </r>
  <r>
    <x v="6"/>
    <x v="2"/>
    <x v="1"/>
    <n v="89"/>
    <n v="11107000000"/>
  </r>
  <r>
    <x v="6"/>
    <x v="2"/>
    <x v="2"/>
    <n v="3"/>
    <n v="453000000"/>
  </r>
  <r>
    <x v="6"/>
    <x v="2"/>
    <x v="0"/>
    <n v="317"/>
    <n v="11788450000"/>
  </r>
  <r>
    <x v="6"/>
    <x v="3"/>
    <x v="1"/>
    <n v="150"/>
    <n v="15330600000"/>
  </r>
  <r>
    <x v="6"/>
    <x v="3"/>
    <x v="0"/>
    <n v="826"/>
    <n v="28706010000"/>
  </r>
  <r>
    <x v="6"/>
    <x v="3"/>
    <x v="2"/>
    <n v="6"/>
    <n v="1213000000"/>
  </r>
  <r>
    <x v="6"/>
    <x v="4"/>
    <x v="1"/>
    <n v="198"/>
    <n v="22262300000"/>
  </r>
  <r>
    <x v="6"/>
    <x v="4"/>
    <x v="0"/>
    <n v="1166"/>
    <n v="41103768000"/>
  </r>
  <r>
    <x v="6"/>
    <x v="4"/>
    <x v="2"/>
    <n v="12"/>
    <n v="4089000000"/>
  </r>
  <r>
    <x v="6"/>
    <x v="5"/>
    <x v="0"/>
    <n v="846"/>
    <n v="31301110000"/>
  </r>
  <r>
    <x v="6"/>
    <x v="5"/>
    <x v="2"/>
    <n v="8"/>
    <n v="2206500000"/>
  </r>
  <r>
    <x v="6"/>
    <x v="5"/>
    <x v="1"/>
    <n v="156"/>
    <n v="16317180000"/>
  </r>
  <r>
    <x v="6"/>
    <x v="6"/>
    <x v="0"/>
    <n v="1235"/>
    <n v="49506371979"/>
  </r>
  <r>
    <x v="6"/>
    <x v="6"/>
    <x v="1"/>
    <n v="198"/>
    <n v="19114300000"/>
  </r>
  <r>
    <x v="6"/>
    <x v="6"/>
    <x v="2"/>
    <n v="24"/>
    <n v="4705000000"/>
  </r>
  <r>
    <x v="6"/>
    <x v="7"/>
    <x v="1"/>
    <n v="257"/>
    <n v="24513100000"/>
  </r>
  <r>
    <x v="6"/>
    <x v="7"/>
    <x v="0"/>
    <n v="1002"/>
    <n v="42917289563"/>
  </r>
  <r>
    <x v="6"/>
    <x v="7"/>
    <x v="2"/>
    <n v="25"/>
    <n v="5499000000"/>
  </r>
  <r>
    <x v="6"/>
    <x v="8"/>
    <x v="1"/>
    <n v="312"/>
    <n v="17492900000"/>
  </r>
  <r>
    <x v="6"/>
    <x v="8"/>
    <x v="0"/>
    <n v="1013"/>
    <n v="38695190000"/>
  </r>
  <r>
    <x v="6"/>
    <x v="8"/>
    <x v="2"/>
    <n v="26"/>
    <n v="2695000000"/>
  </r>
  <r>
    <x v="7"/>
    <x v="2"/>
    <x v="1"/>
    <n v="363"/>
    <n v="5062260885.3400002"/>
  </r>
  <r>
    <x v="7"/>
    <x v="2"/>
    <x v="0"/>
    <n v="3040"/>
    <n v="16812635080.280001"/>
  </r>
  <r>
    <x v="7"/>
    <x v="2"/>
    <x v="2"/>
    <n v="23"/>
    <n v="688310000"/>
  </r>
  <r>
    <x v="7"/>
    <x v="3"/>
    <x v="1"/>
    <n v="456"/>
    <n v="6770136328.0100002"/>
  </r>
  <r>
    <x v="7"/>
    <x v="3"/>
    <x v="2"/>
    <n v="28"/>
    <n v="877507296.27999997"/>
  </r>
  <r>
    <x v="7"/>
    <x v="3"/>
    <x v="0"/>
    <n v="3736"/>
    <n v="21799056278.25"/>
  </r>
  <r>
    <x v="7"/>
    <x v="4"/>
    <x v="2"/>
    <n v="41"/>
    <n v="1293416000"/>
  </r>
  <r>
    <x v="7"/>
    <x v="4"/>
    <x v="1"/>
    <n v="595"/>
    <n v="11252035746.75"/>
  </r>
  <r>
    <x v="7"/>
    <x v="4"/>
    <x v="0"/>
    <n v="5027"/>
    <n v="35147791113.650002"/>
  </r>
  <r>
    <x v="7"/>
    <x v="5"/>
    <x v="2"/>
    <n v="34"/>
    <n v="1152779000"/>
  </r>
  <r>
    <x v="7"/>
    <x v="5"/>
    <x v="0"/>
    <n v="5733"/>
    <n v="40375436362.949997"/>
  </r>
  <r>
    <x v="7"/>
    <x v="5"/>
    <x v="1"/>
    <n v="610"/>
    <n v="12201283891.129999"/>
  </r>
  <r>
    <x v="7"/>
    <x v="6"/>
    <x v="2"/>
    <n v="52"/>
    <n v="1858110000"/>
  </r>
  <r>
    <x v="7"/>
    <x v="6"/>
    <x v="0"/>
    <n v="5926"/>
    <n v="40560213547.57"/>
  </r>
  <r>
    <x v="7"/>
    <x v="6"/>
    <x v="1"/>
    <n v="588"/>
    <n v="11067681308.1"/>
  </r>
  <r>
    <x v="7"/>
    <x v="7"/>
    <x v="2"/>
    <n v="64"/>
    <n v="2366665000"/>
  </r>
  <r>
    <x v="7"/>
    <x v="7"/>
    <x v="0"/>
    <n v="7604"/>
    <n v="57063342229"/>
  </r>
  <r>
    <x v="7"/>
    <x v="7"/>
    <x v="1"/>
    <n v="799"/>
    <n v="16703728713.389999"/>
  </r>
  <r>
    <x v="7"/>
    <x v="8"/>
    <x v="0"/>
    <n v="7066"/>
    <n v="54850553981.879997"/>
  </r>
  <r>
    <x v="7"/>
    <x v="8"/>
    <x v="2"/>
    <n v="72"/>
    <n v="2206595000"/>
  </r>
  <r>
    <x v="7"/>
    <x v="8"/>
    <x v="1"/>
    <n v="752"/>
    <n v="15737863817.74"/>
  </r>
  <r>
    <x v="8"/>
    <x v="2"/>
    <x v="1"/>
    <n v="107"/>
    <n v="92545000"/>
  </r>
  <r>
    <x v="8"/>
    <x v="2"/>
    <x v="5"/>
    <n v="54"/>
    <n v="3059800"/>
  </r>
  <r>
    <x v="8"/>
    <x v="2"/>
    <x v="0"/>
    <n v="306"/>
    <n v="80135000"/>
  </r>
  <r>
    <x v="8"/>
    <x v="2"/>
    <x v="2"/>
    <n v="7"/>
    <n v="6820000"/>
  </r>
  <r>
    <x v="8"/>
    <x v="3"/>
    <x v="0"/>
    <n v="433"/>
    <n v="112712300"/>
  </r>
  <r>
    <x v="8"/>
    <x v="3"/>
    <x v="2"/>
    <n v="5"/>
    <n v="3285000"/>
  </r>
  <r>
    <x v="8"/>
    <x v="3"/>
    <x v="5"/>
    <n v="48"/>
    <n v="6146200"/>
  </r>
  <r>
    <x v="8"/>
    <x v="3"/>
    <x v="1"/>
    <n v="121"/>
    <n v="91800000"/>
  </r>
  <r>
    <x v="8"/>
    <x v="4"/>
    <x v="5"/>
    <n v="46"/>
    <n v="3766900"/>
  </r>
  <r>
    <x v="8"/>
    <x v="4"/>
    <x v="2"/>
    <n v="4"/>
    <n v="3589900"/>
  </r>
  <r>
    <x v="8"/>
    <x v="4"/>
    <x v="0"/>
    <n v="623"/>
    <n v="125817200"/>
  </r>
  <r>
    <x v="8"/>
    <x v="4"/>
    <x v="1"/>
    <n v="171"/>
    <n v="82922800"/>
  </r>
  <r>
    <x v="8"/>
    <x v="5"/>
    <x v="2"/>
    <n v="19"/>
    <n v="10001800"/>
  </r>
  <r>
    <x v="8"/>
    <x v="5"/>
    <x v="1"/>
    <n v="318"/>
    <n v="61619237.399999999"/>
  </r>
  <r>
    <x v="8"/>
    <x v="5"/>
    <x v="0"/>
    <n v="1339"/>
    <n v="92367900"/>
  </r>
  <r>
    <x v="8"/>
    <x v="5"/>
    <x v="5"/>
    <n v="42"/>
    <n v="2089840"/>
  </r>
  <r>
    <x v="8"/>
    <x v="6"/>
    <x v="2"/>
    <n v="1"/>
    <n v="1200000"/>
  </r>
  <r>
    <x v="8"/>
    <x v="6"/>
    <x v="5"/>
    <n v="25"/>
    <n v="1397890"/>
  </r>
  <r>
    <x v="8"/>
    <x v="6"/>
    <x v="1"/>
    <n v="91"/>
    <n v="54653194.079999998"/>
  </r>
  <r>
    <x v="8"/>
    <x v="6"/>
    <x v="0"/>
    <n v="276"/>
    <n v="64053981"/>
  </r>
  <r>
    <x v="8"/>
    <x v="7"/>
    <x v="2"/>
    <n v="8"/>
    <n v="6072000"/>
  </r>
  <r>
    <x v="8"/>
    <x v="7"/>
    <x v="0"/>
    <n v="499"/>
    <n v="130693248"/>
  </r>
  <r>
    <x v="8"/>
    <x v="7"/>
    <x v="5"/>
    <n v="37"/>
    <n v="1330000"/>
  </r>
  <r>
    <x v="8"/>
    <x v="7"/>
    <x v="1"/>
    <n v="217"/>
    <n v="123623255"/>
  </r>
  <r>
    <x v="8"/>
    <x v="8"/>
    <x v="0"/>
    <n v="420"/>
    <n v="105149600"/>
  </r>
  <r>
    <x v="8"/>
    <x v="8"/>
    <x v="2"/>
    <n v="6"/>
    <n v="4201000"/>
  </r>
  <r>
    <x v="8"/>
    <x v="8"/>
    <x v="5"/>
    <n v="43"/>
    <n v="3014500"/>
  </r>
  <r>
    <x v="8"/>
    <x v="8"/>
    <x v="1"/>
    <n v="136"/>
    <n v="74580490"/>
  </r>
  <r>
    <x v="9"/>
    <x v="2"/>
    <x v="2"/>
    <n v="19"/>
    <n v="330800000"/>
  </r>
  <r>
    <x v="9"/>
    <x v="2"/>
    <x v="0"/>
    <n v="574"/>
    <n v="1888243000"/>
  </r>
  <r>
    <x v="9"/>
    <x v="2"/>
    <x v="1"/>
    <n v="129"/>
    <n v="1453381000"/>
  </r>
  <r>
    <x v="9"/>
    <x v="2"/>
    <x v="5"/>
    <n v="7"/>
    <n v="301790000"/>
  </r>
  <r>
    <x v="9"/>
    <x v="3"/>
    <x v="5"/>
    <n v="15"/>
    <n v="291860000"/>
  </r>
  <r>
    <x v="9"/>
    <x v="3"/>
    <x v="2"/>
    <n v="24"/>
    <n v="300400000"/>
  </r>
  <r>
    <x v="9"/>
    <x v="3"/>
    <x v="0"/>
    <n v="753"/>
    <n v="2416689235"/>
  </r>
  <r>
    <x v="9"/>
    <x v="3"/>
    <x v="1"/>
    <n v="201"/>
    <n v="2049844554"/>
  </r>
  <r>
    <x v="9"/>
    <x v="4"/>
    <x v="1"/>
    <n v="280"/>
    <n v="3198751336"/>
  </r>
  <r>
    <x v="9"/>
    <x v="4"/>
    <x v="0"/>
    <n v="981"/>
    <n v="3431349376"/>
  </r>
  <r>
    <x v="9"/>
    <x v="4"/>
    <x v="2"/>
    <n v="42"/>
    <n v="1360760000"/>
  </r>
  <r>
    <x v="9"/>
    <x v="4"/>
    <x v="5"/>
    <n v="320"/>
    <n v="853600447"/>
  </r>
  <r>
    <x v="9"/>
    <x v="5"/>
    <x v="0"/>
    <n v="945"/>
    <n v="2948540647"/>
  </r>
  <r>
    <x v="9"/>
    <x v="5"/>
    <x v="5"/>
    <n v="270"/>
    <n v="391805994"/>
  </r>
  <r>
    <x v="9"/>
    <x v="5"/>
    <x v="1"/>
    <n v="220"/>
    <n v="2395757020"/>
  </r>
  <r>
    <x v="9"/>
    <x v="5"/>
    <x v="2"/>
    <n v="24"/>
    <n v="468800000"/>
  </r>
  <r>
    <x v="9"/>
    <x v="6"/>
    <x v="5"/>
    <n v="19"/>
    <n v="358110000"/>
  </r>
  <r>
    <x v="9"/>
    <x v="6"/>
    <x v="1"/>
    <n v="237"/>
    <n v="2460085000"/>
  </r>
  <r>
    <x v="9"/>
    <x v="6"/>
    <x v="0"/>
    <n v="818"/>
    <n v="2902579945"/>
  </r>
  <r>
    <x v="9"/>
    <x v="6"/>
    <x v="2"/>
    <n v="25"/>
    <n v="479650000"/>
  </r>
  <r>
    <x v="9"/>
    <x v="7"/>
    <x v="1"/>
    <n v="840"/>
    <n v="3737387160"/>
  </r>
  <r>
    <x v="9"/>
    <x v="7"/>
    <x v="2"/>
    <n v="61"/>
    <n v="933438285"/>
  </r>
  <r>
    <x v="9"/>
    <x v="7"/>
    <x v="0"/>
    <n v="1173"/>
    <n v="3599492114"/>
  </r>
  <r>
    <x v="9"/>
    <x v="8"/>
    <x v="2"/>
    <n v="35"/>
    <n v="751880000"/>
  </r>
  <r>
    <x v="9"/>
    <x v="8"/>
    <x v="1"/>
    <n v="278"/>
    <n v="2593906574"/>
  </r>
  <r>
    <x v="9"/>
    <x v="8"/>
    <x v="0"/>
    <n v="854"/>
    <n v="2806901064"/>
  </r>
  <r>
    <x v="10"/>
    <x v="2"/>
    <x v="0"/>
    <n v="219"/>
    <n v="526803294"/>
  </r>
  <r>
    <x v="10"/>
    <x v="2"/>
    <x v="1"/>
    <n v="115"/>
    <n v="656120000"/>
  </r>
  <r>
    <x v="10"/>
    <x v="2"/>
    <x v="2"/>
    <n v="11"/>
    <n v="136306500"/>
  </r>
  <r>
    <x v="10"/>
    <x v="2"/>
    <x v="4"/>
    <n v="2"/>
    <n v="7250000"/>
  </r>
  <r>
    <x v="10"/>
    <x v="3"/>
    <x v="1"/>
    <n v="144"/>
    <n v="714700000"/>
  </r>
  <r>
    <x v="10"/>
    <x v="3"/>
    <x v="4"/>
    <n v="6"/>
    <n v="21720000"/>
  </r>
  <r>
    <x v="10"/>
    <x v="3"/>
    <x v="0"/>
    <n v="198"/>
    <n v="471860000"/>
  </r>
  <r>
    <x v="10"/>
    <x v="3"/>
    <x v="2"/>
    <n v="13"/>
    <n v="193885000"/>
  </r>
  <r>
    <x v="10"/>
    <x v="4"/>
    <x v="0"/>
    <n v="263"/>
    <n v="680468000"/>
  </r>
  <r>
    <x v="10"/>
    <x v="4"/>
    <x v="2"/>
    <n v="24"/>
    <n v="283250000"/>
  </r>
  <r>
    <x v="10"/>
    <x v="4"/>
    <x v="1"/>
    <n v="207"/>
    <n v="1214455000"/>
  </r>
  <r>
    <x v="10"/>
    <x v="4"/>
    <x v="4"/>
    <n v="10"/>
    <n v="65200000"/>
  </r>
  <r>
    <x v="10"/>
    <x v="5"/>
    <x v="4"/>
    <n v="9"/>
    <n v="59553193"/>
  </r>
  <r>
    <x v="10"/>
    <x v="5"/>
    <x v="2"/>
    <n v="14"/>
    <n v="152850000"/>
  </r>
  <r>
    <x v="10"/>
    <x v="5"/>
    <x v="0"/>
    <n v="246"/>
    <n v="645632000"/>
  </r>
  <r>
    <x v="10"/>
    <x v="5"/>
    <x v="1"/>
    <n v="140"/>
    <n v="875250000"/>
  </r>
  <r>
    <x v="10"/>
    <x v="6"/>
    <x v="4"/>
    <n v="5"/>
    <n v="30200000"/>
  </r>
  <r>
    <x v="10"/>
    <x v="6"/>
    <x v="1"/>
    <n v="173"/>
    <n v="1049011624"/>
  </r>
  <r>
    <x v="10"/>
    <x v="6"/>
    <x v="0"/>
    <n v="294"/>
    <n v="768810000"/>
  </r>
  <r>
    <x v="10"/>
    <x v="6"/>
    <x v="2"/>
    <n v="13"/>
    <n v="170894238"/>
  </r>
  <r>
    <x v="10"/>
    <x v="7"/>
    <x v="4"/>
    <n v="12"/>
    <n v="63713624"/>
  </r>
  <r>
    <x v="10"/>
    <x v="7"/>
    <x v="1"/>
    <n v="216"/>
    <n v="1306880000"/>
  </r>
  <r>
    <x v="10"/>
    <x v="7"/>
    <x v="2"/>
    <n v="20"/>
    <n v="226600000"/>
  </r>
  <r>
    <x v="10"/>
    <x v="7"/>
    <x v="0"/>
    <n v="299"/>
    <n v="780190000"/>
  </r>
  <r>
    <x v="10"/>
    <x v="8"/>
    <x v="1"/>
    <n v="157"/>
    <n v="858170000"/>
  </r>
  <r>
    <x v="10"/>
    <x v="8"/>
    <x v="0"/>
    <n v="259"/>
    <n v="681050000"/>
  </r>
  <r>
    <x v="10"/>
    <x v="8"/>
    <x v="2"/>
    <n v="11"/>
    <n v="108000000"/>
  </r>
  <r>
    <x v="10"/>
    <x v="8"/>
    <x v="4"/>
    <n v="10"/>
    <n v="33886000"/>
  </r>
  <r>
    <x v="0"/>
    <x v="9"/>
    <x v="3"/>
    <n v="1"/>
    <n v="6250000"/>
  </r>
  <r>
    <x v="0"/>
    <x v="9"/>
    <x v="1"/>
    <n v="82"/>
    <n v="853725000"/>
  </r>
  <r>
    <x v="0"/>
    <x v="9"/>
    <x v="0"/>
    <n v="166"/>
    <n v="671465000"/>
  </r>
  <r>
    <x v="0"/>
    <x v="9"/>
    <x v="2"/>
    <n v="3"/>
    <n v="53000000"/>
  </r>
  <r>
    <x v="1"/>
    <x v="9"/>
    <x v="1"/>
    <n v="454"/>
    <n v="1770034610"/>
  </r>
  <r>
    <x v="1"/>
    <x v="9"/>
    <x v="2"/>
    <n v="40"/>
    <n v="425110000"/>
  </r>
  <r>
    <x v="1"/>
    <x v="9"/>
    <x v="0"/>
    <n v="3803"/>
    <n v="6344225976"/>
  </r>
  <r>
    <x v="2"/>
    <x v="9"/>
    <x v="0"/>
    <n v="2371"/>
    <n v="8108325562"/>
  </r>
  <r>
    <x v="2"/>
    <x v="9"/>
    <x v="6"/>
    <n v="1"/>
    <n v="50000000"/>
  </r>
  <r>
    <x v="2"/>
    <x v="9"/>
    <x v="1"/>
    <n v="986"/>
    <n v="7627582561"/>
  </r>
  <r>
    <x v="2"/>
    <x v="9"/>
    <x v="2"/>
    <n v="143"/>
    <n v="3242530000"/>
  </r>
  <r>
    <x v="3"/>
    <x v="9"/>
    <x v="1"/>
    <n v="709"/>
    <n v="3530352494"/>
  </r>
  <r>
    <x v="3"/>
    <x v="9"/>
    <x v="0"/>
    <n v="1930"/>
    <n v="4183053500"/>
  </r>
  <r>
    <x v="3"/>
    <x v="9"/>
    <x v="4"/>
    <n v="131"/>
    <n v="561475000"/>
  </r>
  <r>
    <x v="3"/>
    <x v="9"/>
    <x v="2"/>
    <n v="36"/>
    <n v="646995000"/>
  </r>
  <r>
    <x v="4"/>
    <x v="9"/>
    <x v="2"/>
    <n v="8"/>
    <n v="102300000"/>
  </r>
  <r>
    <x v="4"/>
    <x v="9"/>
    <x v="1"/>
    <n v="164"/>
    <n v="892165000"/>
  </r>
  <r>
    <x v="4"/>
    <x v="9"/>
    <x v="0"/>
    <n v="37"/>
    <n v="122585000"/>
  </r>
  <r>
    <x v="5"/>
    <x v="9"/>
    <x v="2"/>
    <n v="18"/>
    <n v="2897718.8"/>
  </r>
  <r>
    <x v="5"/>
    <x v="9"/>
    <x v="0"/>
    <n v="1261"/>
    <n v="26583042"/>
  </r>
  <r>
    <x v="5"/>
    <x v="9"/>
    <x v="1"/>
    <n v="193"/>
    <n v="12479006.09"/>
  </r>
  <r>
    <x v="6"/>
    <x v="9"/>
    <x v="2"/>
    <n v="37"/>
    <n v="2719100000"/>
  </r>
  <r>
    <x v="6"/>
    <x v="9"/>
    <x v="0"/>
    <n v="1601"/>
    <n v="40802310000"/>
  </r>
  <r>
    <x v="6"/>
    <x v="9"/>
    <x v="1"/>
    <n v="516"/>
    <n v="26639650000"/>
  </r>
  <r>
    <x v="7"/>
    <x v="9"/>
    <x v="1"/>
    <n v="925"/>
    <n v="18175386647"/>
  </r>
  <r>
    <x v="7"/>
    <x v="9"/>
    <x v="0"/>
    <n v="8635"/>
    <n v="60383018281"/>
  </r>
  <r>
    <x v="7"/>
    <x v="9"/>
    <x v="2"/>
    <n v="53"/>
    <n v="1683830000"/>
  </r>
  <r>
    <x v="8"/>
    <x v="9"/>
    <x v="2"/>
    <n v="4"/>
    <n v="3715000"/>
  </r>
  <r>
    <x v="8"/>
    <x v="9"/>
    <x v="1"/>
    <n v="150"/>
    <n v="98996000"/>
  </r>
  <r>
    <x v="8"/>
    <x v="9"/>
    <x v="5"/>
    <n v="31"/>
    <n v="686800"/>
  </r>
  <r>
    <x v="8"/>
    <x v="9"/>
    <x v="0"/>
    <n v="478"/>
    <n v="133724608.09999999"/>
  </r>
  <r>
    <x v="9"/>
    <x v="9"/>
    <x v="2"/>
    <n v="43"/>
    <n v="745190005"/>
  </r>
  <r>
    <x v="9"/>
    <x v="9"/>
    <x v="3"/>
    <n v="1"/>
    <n v="6000000"/>
  </r>
  <r>
    <x v="9"/>
    <x v="9"/>
    <x v="0"/>
    <n v="888"/>
    <n v="3187211057"/>
  </r>
  <r>
    <x v="9"/>
    <x v="9"/>
    <x v="1"/>
    <n v="277"/>
    <n v="2691999000"/>
  </r>
  <r>
    <x v="10"/>
    <x v="9"/>
    <x v="4"/>
    <n v="8"/>
    <n v="41740000"/>
  </r>
  <r>
    <x v="10"/>
    <x v="9"/>
    <x v="0"/>
    <n v="632"/>
    <n v="741715000"/>
  </r>
  <r>
    <x v="10"/>
    <x v="9"/>
    <x v="2"/>
    <n v="40"/>
    <n v="208501866"/>
  </r>
  <r>
    <x v="10"/>
    <x v="9"/>
    <x v="1"/>
    <n v="370"/>
    <n v="986565000"/>
  </r>
  <r>
    <x v="0"/>
    <x v="10"/>
    <x v="0"/>
    <n v="144"/>
    <n v="714387000"/>
  </r>
  <r>
    <x v="0"/>
    <x v="10"/>
    <x v="1"/>
    <n v="61"/>
    <n v="663480000"/>
  </r>
  <r>
    <x v="0"/>
    <x v="10"/>
    <x v="2"/>
    <n v="3"/>
    <n v="100000000"/>
  </r>
  <r>
    <x v="1"/>
    <x v="10"/>
    <x v="1"/>
    <n v="423"/>
    <n v="1949645000"/>
  </r>
  <r>
    <x v="1"/>
    <x v="10"/>
    <x v="2"/>
    <n v="40"/>
    <n v="524410000"/>
  </r>
  <r>
    <x v="1"/>
    <x v="10"/>
    <x v="0"/>
    <n v="3553"/>
    <n v="6280336476"/>
  </r>
  <r>
    <x v="2"/>
    <x v="10"/>
    <x v="0"/>
    <n v="2444"/>
    <n v="7047680000"/>
  </r>
  <r>
    <x v="2"/>
    <x v="10"/>
    <x v="1"/>
    <n v="1084"/>
    <n v="7599124639"/>
  </r>
  <r>
    <x v="2"/>
    <x v="10"/>
    <x v="6"/>
    <n v="2"/>
    <n v="876525000"/>
  </r>
  <r>
    <x v="2"/>
    <x v="10"/>
    <x v="2"/>
    <n v="119"/>
    <n v="2574070000"/>
  </r>
  <r>
    <x v="3"/>
    <x v="10"/>
    <x v="1"/>
    <n v="434"/>
    <n v="3080492944"/>
  </r>
  <r>
    <x v="3"/>
    <x v="10"/>
    <x v="2"/>
    <n v="22"/>
    <n v="474500000"/>
  </r>
  <r>
    <x v="3"/>
    <x v="10"/>
    <x v="0"/>
    <n v="1553"/>
    <n v="3926743434"/>
  </r>
  <r>
    <x v="3"/>
    <x v="10"/>
    <x v="4"/>
    <n v="83"/>
    <n v="575268238"/>
  </r>
  <r>
    <x v="4"/>
    <x v="10"/>
    <x v="2"/>
    <n v="13"/>
    <n v="65800000"/>
  </r>
  <r>
    <x v="4"/>
    <x v="10"/>
    <x v="0"/>
    <n v="27"/>
    <n v="39326000"/>
  </r>
  <r>
    <x v="4"/>
    <x v="10"/>
    <x v="5"/>
    <n v="2"/>
    <n v="1775000"/>
  </r>
  <r>
    <x v="4"/>
    <x v="10"/>
    <x v="1"/>
    <n v="119"/>
    <n v="593555000"/>
  </r>
  <r>
    <x v="5"/>
    <x v="10"/>
    <x v="5"/>
    <n v="1"/>
    <n v="16490.71"/>
  </r>
  <r>
    <x v="5"/>
    <x v="10"/>
    <x v="1"/>
    <n v="148"/>
    <n v="8981405.6899999995"/>
  </r>
  <r>
    <x v="5"/>
    <x v="10"/>
    <x v="2"/>
    <n v="13"/>
    <n v="1786772.9"/>
  </r>
  <r>
    <x v="5"/>
    <x v="10"/>
    <x v="0"/>
    <n v="963"/>
    <n v="20362978.539999999"/>
  </r>
  <r>
    <x v="6"/>
    <x v="10"/>
    <x v="2"/>
    <n v="32"/>
    <n v="3558000000"/>
  </r>
  <r>
    <x v="6"/>
    <x v="10"/>
    <x v="0"/>
    <n v="1036"/>
    <n v="29224360000"/>
  </r>
  <r>
    <x v="6"/>
    <x v="10"/>
    <x v="1"/>
    <n v="289"/>
    <n v="19800300000"/>
  </r>
  <r>
    <x v="7"/>
    <x v="10"/>
    <x v="2"/>
    <n v="68"/>
    <n v="2209140000"/>
  </r>
  <r>
    <x v="7"/>
    <x v="10"/>
    <x v="1"/>
    <n v="919"/>
    <n v="17610955700.139999"/>
  </r>
  <r>
    <x v="7"/>
    <x v="10"/>
    <x v="0"/>
    <n v="9801"/>
    <n v="62242257394.910004"/>
  </r>
  <r>
    <x v="8"/>
    <x v="10"/>
    <x v="0"/>
    <n v="2806"/>
    <n v="128572855.98999999"/>
  </r>
  <r>
    <x v="8"/>
    <x v="10"/>
    <x v="1"/>
    <n v="720"/>
    <n v="79835500"/>
  </r>
  <r>
    <x v="8"/>
    <x v="10"/>
    <x v="3"/>
    <n v="1"/>
    <n v="79000"/>
  </r>
  <r>
    <x v="8"/>
    <x v="10"/>
    <x v="2"/>
    <n v="36"/>
    <n v="6070000"/>
  </r>
  <r>
    <x v="8"/>
    <x v="10"/>
    <x v="5"/>
    <n v="43"/>
    <n v="2642500"/>
  </r>
  <r>
    <x v="9"/>
    <x v="10"/>
    <x v="2"/>
    <n v="49"/>
    <n v="768800000"/>
  </r>
  <r>
    <x v="9"/>
    <x v="10"/>
    <x v="1"/>
    <n v="314"/>
    <n v="3224831000"/>
  </r>
  <r>
    <x v="9"/>
    <x v="10"/>
    <x v="0"/>
    <n v="861"/>
    <n v="2819657456"/>
  </r>
  <r>
    <x v="10"/>
    <x v="10"/>
    <x v="0"/>
    <n v="1543"/>
    <n v="921528000"/>
  </r>
  <r>
    <x v="10"/>
    <x v="10"/>
    <x v="2"/>
    <n v="59"/>
    <n v="252343357"/>
  </r>
  <r>
    <x v="10"/>
    <x v="10"/>
    <x v="4"/>
    <n v="13"/>
    <n v="80800000"/>
  </r>
  <r>
    <x v="10"/>
    <x v="10"/>
    <x v="1"/>
    <n v="721"/>
    <n v="1075535000"/>
  </r>
  <r>
    <x v="0"/>
    <x v="11"/>
    <x v="1"/>
    <n v="47"/>
    <n v="535990000"/>
  </r>
  <r>
    <x v="0"/>
    <x v="11"/>
    <x v="0"/>
    <n v="117"/>
    <n v="622160966"/>
  </r>
  <r>
    <x v="0"/>
    <x v="11"/>
    <x v="2"/>
    <n v="4"/>
    <n v="41000000"/>
  </r>
  <r>
    <x v="1"/>
    <x v="11"/>
    <x v="0"/>
    <n v="2748"/>
    <n v="4933614095"/>
  </r>
  <r>
    <x v="1"/>
    <x v="11"/>
    <x v="1"/>
    <n v="268"/>
    <n v="1112636999"/>
  </r>
  <r>
    <x v="1"/>
    <x v="11"/>
    <x v="2"/>
    <n v="22"/>
    <n v="182400000"/>
  </r>
  <r>
    <x v="2"/>
    <x v="11"/>
    <x v="0"/>
    <n v="2413"/>
    <n v="7237646603"/>
  </r>
  <r>
    <x v="2"/>
    <x v="11"/>
    <x v="6"/>
    <n v="2"/>
    <n v="550000000"/>
  </r>
  <r>
    <x v="2"/>
    <x v="11"/>
    <x v="2"/>
    <n v="129"/>
    <n v="2731350000"/>
  </r>
  <r>
    <x v="2"/>
    <x v="11"/>
    <x v="1"/>
    <n v="1147"/>
    <n v="8539254255"/>
  </r>
  <r>
    <x v="3"/>
    <x v="11"/>
    <x v="0"/>
    <n v="1326"/>
    <n v="3547693284"/>
  </r>
  <r>
    <x v="3"/>
    <x v="11"/>
    <x v="4"/>
    <n v="55"/>
    <n v="403081478"/>
  </r>
  <r>
    <x v="3"/>
    <x v="11"/>
    <x v="1"/>
    <n v="412"/>
    <n v="2831915000"/>
  </r>
  <r>
    <x v="3"/>
    <x v="11"/>
    <x v="2"/>
    <n v="14"/>
    <n v="249100000"/>
  </r>
  <r>
    <x v="4"/>
    <x v="11"/>
    <x v="5"/>
    <n v="1"/>
    <n v="1730000"/>
  </r>
  <r>
    <x v="4"/>
    <x v="11"/>
    <x v="1"/>
    <n v="100"/>
    <n v="479820000"/>
  </r>
  <r>
    <x v="4"/>
    <x v="11"/>
    <x v="0"/>
    <n v="32"/>
    <n v="55272405"/>
  </r>
  <r>
    <x v="4"/>
    <x v="11"/>
    <x v="2"/>
    <n v="15"/>
    <n v="123685000"/>
  </r>
  <r>
    <x v="5"/>
    <x v="11"/>
    <x v="2"/>
    <n v="13"/>
    <n v="2178541.62"/>
  </r>
  <r>
    <x v="5"/>
    <x v="11"/>
    <x v="0"/>
    <n v="951"/>
    <n v="19853647.43"/>
  </r>
  <r>
    <x v="5"/>
    <x v="11"/>
    <x v="5"/>
    <n v="2"/>
    <n v="50000"/>
  </r>
  <r>
    <x v="5"/>
    <x v="11"/>
    <x v="1"/>
    <n v="145"/>
    <n v="8244687.96"/>
  </r>
  <r>
    <x v="6"/>
    <x v="11"/>
    <x v="1"/>
    <n v="312"/>
    <n v="24158700000"/>
  </r>
  <r>
    <x v="6"/>
    <x v="11"/>
    <x v="2"/>
    <n v="29"/>
    <n v="5715000000"/>
  </r>
  <r>
    <x v="6"/>
    <x v="11"/>
    <x v="0"/>
    <n v="1780"/>
    <n v="46957430000"/>
  </r>
  <r>
    <x v="7"/>
    <x v="11"/>
    <x v="1"/>
    <n v="883"/>
    <n v="17141868325.33"/>
  </r>
  <r>
    <x v="7"/>
    <x v="11"/>
    <x v="0"/>
    <n v="7496"/>
    <n v="51947781316.870003"/>
  </r>
  <r>
    <x v="7"/>
    <x v="11"/>
    <x v="2"/>
    <n v="58"/>
    <n v="2137571060"/>
  </r>
  <r>
    <x v="8"/>
    <x v="11"/>
    <x v="5"/>
    <n v="30"/>
    <n v="3023500"/>
  </r>
  <r>
    <x v="8"/>
    <x v="11"/>
    <x v="1"/>
    <n v="396"/>
    <n v="54649500"/>
  </r>
  <r>
    <x v="8"/>
    <x v="11"/>
    <x v="2"/>
    <n v="23"/>
    <n v="7053000"/>
  </r>
  <r>
    <x v="8"/>
    <x v="11"/>
    <x v="3"/>
    <n v="1"/>
    <n v="15000"/>
  </r>
  <r>
    <x v="8"/>
    <x v="11"/>
    <x v="0"/>
    <n v="2068"/>
    <n v="98610900"/>
  </r>
  <r>
    <x v="9"/>
    <x v="11"/>
    <x v="1"/>
    <n v="300"/>
    <n v="2731995372"/>
  </r>
  <r>
    <x v="9"/>
    <x v="11"/>
    <x v="0"/>
    <n v="800"/>
    <n v="2728743000"/>
  </r>
  <r>
    <x v="9"/>
    <x v="11"/>
    <x v="2"/>
    <n v="28"/>
    <n v="374771744"/>
  </r>
  <r>
    <x v="10"/>
    <x v="11"/>
    <x v="4"/>
    <n v="2"/>
    <n v="4400000"/>
  </r>
  <r>
    <x v="10"/>
    <x v="11"/>
    <x v="1"/>
    <n v="321"/>
    <n v="691958000"/>
  </r>
  <r>
    <x v="10"/>
    <x v="11"/>
    <x v="0"/>
    <n v="744"/>
    <n v="759928000"/>
  </r>
  <r>
    <x v="10"/>
    <x v="11"/>
    <x v="2"/>
    <n v="21"/>
    <n v="171560000"/>
  </r>
  <r>
    <x v="0"/>
    <x v="12"/>
    <x v="0"/>
    <n v="140"/>
    <n v="729631896"/>
  </r>
  <r>
    <x v="0"/>
    <x v="12"/>
    <x v="1"/>
    <n v="44"/>
    <n v="660030000"/>
  </r>
  <r>
    <x v="2"/>
    <x v="12"/>
    <x v="0"/>
    <n v="1686"/>
    <n v="6565645721"/>
  </r>
  <r>
    <x v="2"/>
    <x v="12"/>
    <x v="1"/>
    <n v="758"/>
    <n v="6670812448"/>
  </r>
  <r>
    <x v="2"/>
    <x v="12"/>
    <x v="2"/>
    <n v="85"/>
    <n v="2011700000"/>
  </r>
  <r>
    <x v="2"/>
    <x v="12"/>
    <x v="6"/>
    <n v="2"/>
    <n v="37500000"/>
  </r>
  <r>
    <x v="3"/>
    <x v="12"/>
    <x v="0"/>
    <n v="1323"/>
    <n v="3662596000"/>
  </r>
  <r>
    <x v="3"/>
    <x v="12"/>
    <x v="1"/>
    <n v="444"/>
    <n v="3437681307"/>
  </r>
  <r>
    <x v="3"/>
    <x v="12"/>
    <x v="2"/>
    <n v="21"/>
    <n v="289070000"/>
  </r>
  <r>
    <x v="3"/>
    <x v="12"/>
    <x v="4"/>
    <n v="36"/>
    <n v="361320592"/>
  </r>
  <r>
    <x v="4"/>
    <x v="12"/>
    <x v="0"/>
    <n v="23"/>
    <n v="69968000"/>
  </r>
  <r>
    <x v="4"/>
    <x v="12"/>
    <x v="1"/>
    <n v="77"/>
    <n v="459480000"/>
  </r>
  <r>
    <x v="4"/>
    <x v="12"/>
    <x v="2"/>
    <n v="9"/>
    <n v="122200000"/>
  </r>
  <r>
    <x v="5"/>
    <x v="12"/>
    <x v="0"/>
    <n v="793"/>
    <n v="13947755.189999999"/>
  </r>
  <r>
    <x v="5"/>
    <x v="12"/>
    <x v="1"/>
    <n v="119"/>
    <n v="7082266.1600000001"/>
  </r>
  <r>
    <x v="5"/>
    <x v="12"/>
    <x v="2"/>
    <n v="8"/>
    <n v="2419183.79"/>
  </r>
  <r>
    <x v="6"/>
    <x v="12"/>
    <x v="0"/>
    <n v="1329"/>
    <n v="42761230000"/>
  </r>
  <r>
    <x v="6"/>
    <x v="12"/>
    <x v="1"/>
    <n v="301"/>
    <n v="22201120000"/>
  </r>
  <r>
    <x v="6"/>
    <x v="12"/>
    <x v="2"/>
    <n v="21"/>
    <n v="3622285556"/>
  </r>
  <r>
    <x v="7"/>
    <x v="12"/>
    <x v="0"/>
    <n v="6754"/>
    <n v="46914839507.139999"/>
  </r>
  <r>
    <x v="7"/>
    <x v="12"/>
    <x v="1"/>
    <n v="669"/>
    <n v="13642421208.879999"/>
  </r>
  <r>
    <x v="7"/>
    <x v="12"/>
    <x v="2"/>
    <n v="44"/>
    <n v="1675750000"/>
  </r>
  <r>
    <x v="8"/>
    <x v="12"/>
    <x v="0"/>
    <n v="506"/>
    <n v="99409293.989999995"/>
  </r>
  <r>
    <x v="8"/>
    <x v="12"/>
    <x v="1"/>
    <n v="94"/>
    <n v="44023000"/>
  </r>
  <r>
    <x v="8"/>
    <x v="12"/>
    <x v="2"/>
    <n v="4"/>
    <n v="4550000"/>
  </r>
  <r>
    <x v="8"/>
    <x v="12"/>
    <x v="5"/>
    <n v="21"/>
    <n v="2070500"/>
  </r>
  <r>
    <x v="9"/>
    <x v="12"/>
    <x v="0"/>
    <n v="806"/>
    <n v="3090269424"/>
  </r>
  <r>
    <x v="9"/>
    <x v="12"/>
    <x v="1"/>
    <n v="425"/>
    <n v="3792706003"/>
  </r>
  <r>
    <x v="9"/>
    <x v="12"/>
    <x v="2"/>
    <n v="34"/>
    <n v="545215859"/>
  </r>
  <r>
    <x v="10"/>
    <x v="12"/>
    <x v="0"/>
    <n v="413"/>
    <n v="639680000"/>
  </r>
  <r>
    <x v="10"/>
    <x v="12"/>
    <x v="1"/>
    <n v="213"/>
    <n v="795340000"/>
  </r>
  <r>
    <x v="10"/>
    <x v="12"/>
    <x v="2"/>
    <n v="18"/>
    <n v="130850000"/>
  </r>
  <r>
    <x v="1"/>
    <x v="12"/>
    <x v="1"/>
    <n v="160"/>
    <n v="788987152"/>
  </r>
  <r>
    <x v="1"/>
    <x v="12"/>
    <x v="3"/>
    <n v="326"/>
    <n v="1001649000"/>
  </r>
  <r>
    <x v="1"/>
    <x v="12"/>
    <x v="2"/>
    <n v="20"/>
    <n v="170415000"/>
  </r>
  <r>
    <x v="1"/>
    <x v="12"/>
    <x v="5"/>
    <n v="1"/>
    <n v="1000000"/>
  </r>
  <r>
    <x v="1"/>
    <x v="12"/>
    <x v="0"/>
    <n v="1237"/>
    <n v="3172780143"/>
  </r>
  <r>
    <x v="0"/>
    <x v="13"/>
    <x v="0"/>
    <n v="72"/>
    <n v="360355000"/>
  </r>
  <r>
    <x v="0"/>
    <x v="13"/>
    <x v="1"/>
    <n v="24"/>
    <n v="363520000"/>
  </r>
  <r>
    <x v="0"/>
    <x v="13"/>
    <x v="2"/>
    <n v="3"/>
    <n v="183000000"/>
  </r>
  <r>
    <x v="1"/>
    <x v="13"/>
    <x v="0"/>
    <n v="584"/>
    <n v="2671460000"/>
  </r>
  <r>
    <x v="1"/>
    <x v="13"/>
    <x v="1"/>
    <n v="71"/>
    <n v="695995000"/>
  </r>
  <r>
    <x v="1"/>
    <x v="13"/>
    <x v="2"/>
    <n v="11"/>
    <n v="238100000"/>
  </r>
  <r>
    <x v="1"/>
    <x v="13"/>
    <x v="3"/>
    <n v="1"/>
    <n v="1800000"/>
  </r>
  <r>
    <x v="2"/>
    <x v="13"/>
    <x v="0"/>
    <n v="1509"/>
    <n v="6134205000"/>
  </r>
  <r>
    <x v="2"/>
    <x v="13"/>
    <x v="1"/>
    <n v="676"/>
    <n v="7202285573"/>
  </r>
  <r>
    <x v="2"/>
    <x v="13"/>
    <x v="2"/>
    <n v="101"/>
    <n v="2890877000"/>
  </r>
  <r>
    <x v="3"/>
    <x v="13"/>
    <x v="0"/>
    <n v="1150"/>
    <n v="3350868006"/>
  </r>
  <r>
    <x v="3"/>
    <x v="13"/>
    <x v="1"/>
    <n v="409"/>
    <n v="2867430000"/>
  </r>
  <r>
    <x v="3"/>
    <x v="13"/>
    <x v="2"/>
    <n v="13"/>
    <n v="309400000"/>
  </r>
  <r>
    <x v="3"/>
    <x v="13"/>
    <x v="4"/>
    <n v="33"/>
    <n v="293766319"/>
  </r>
  <r>
    <x v="4"/>
    <x v="13"/>
    <x v="0"/>
    <n v="13"/>
    <n v="40020000"/>
  </r>
  <r>
    <x v="4"/>
    <x v="13"/>
    <x v="1"/>
    <n v="49"/>
    <n v="331000000"/>
  </r>
  <r>
    <x v="4"/>
    <x v="13"/>
    <x v="2"/>
    <n v="9"/>
    <n v="96300000"/>
  </r>
  <r>
    <x v="5"/>
    <x v="13"/>
    <x v="0"/>
    <n v="1202"/>
    <n v="16754513.460000001"/>
  </r>
  <r>
    <x v="5"/>
    <x v="13"/>
    <x v="1"/>
    <n v="116"/>
    <n v="4908240.1500000004"/>
  </r>
  <r>
    <x v="5"/>
    <x v="13"/>
    <x v="2"/>
    <n v="7"/>
    <n v="1330529"/>
  </r>
  <r>
    <x v="6"/>
    <x v="13"/>
    <x v="0"/>
    <n v="120"/>
    <n v="6254000000"/>
  </r>
  <r>
    <x v="6"/>
    <x v="13"/>
    <x v="1"/>
    <n v="82"/>
    <n v="10056900000"/>
  </r>
  <r>
    <x v="6"/>
    <x v="13"/>
    <x v="2"/>
    <n v="6"/>
    <n v="1820000000"/>
  </r>
  <r>
    <x v="7"/>
    <x v="13"/>
    <x v="0"/>
    <n v="5025"/>
    <n v="36086753194.379997"/>
  </r>
  <r>
    <x v="7"/>
    <x v="13"/>
    <x v="1"/>
    <n v="569"/>
    <n v="12318233999.959999"/>
  </r>
  <r>
    <x v="7"/>
    <x v="13"/>
    <x v="2"/>
    <n v="106"/>
    <n v="3909466600"/>
  </r>
  <r>
    <x v="8"/>
    <x v="13"/>
    <x v="0"/>
    <n v="441"/>
    <n v="122684438.92"/>
  </r>
  <r>
    <x v="8"/>
    <x v="13"/>
    <x v="1"/>
    <n v="185"/>
    <n v="128357142.36"/>
  </r>
  <r>
    <x v="8"/>
    <x v="13"/>
    <x v="2"/>
    <n v="3"/>
    <n v="2760000"/>
  </r>
  <r>
    <x v="8"/>
    <x v="13"/>
    <x v="5"/>
    <n v="29"/>
    <n v="3112300"/>
  </r>
  <r>
    <x v="9"/>
    <x v="13"/>
    <x v="0"/>
    <n v="712"/>
    <n v="2722688000"/>
  </r>
  <r>
    <x v="9"/>
    <x v="13"/>
    <x v="1"/>
    <n v="270"/>
    <n v="2655931813"/>
  </r>
  <r>
    <x v="9"/>
    <x v="13"/>
    <x v="2"/>
    <n v="30"/>
    <n v="477925000"/>
  </r>
  <r>
    <x v="10"/>
    <x v="13"/>
    <x v="0"/>
    <n v="224"/>
    <n v="681805000"/>
  </r>
  <r>
    <x v="10"/>
    <x v="13"/>
    <x v="1"/>
    <n v="185"/>
    <n v="1086861534"/>
  </r>
  <r>
    <x v="10"/>
    <x v="13"/>
    <x v="2"/>
    <n v="21"/>
    <n v="155560000"/>
  </r>
  <r>
    <x v="10"/>
    <x v="13"/>
    <x v="4"/>
    <n v="14"/>
    <n v="86150000"/>
  </r>
  <r>
    <x v="0"/>
    <x v="14"/>
    <x v="0"/>
    <n v="131"/>
    <n v="787970000"/>
  </r>
  <r>
    <x v="0"/>
    <x v="14"/>
    <x v="1"/>
    <n v="42"/>
    <n v="507335000"/>
  </r>
  <r>
    <x v="0"/>
    <x v="14"/>
    <x v="2"/>
    <n v="2"/>
    <n v="24400000"/>
  </r>
  <r>
    <x v="1"/>
    <x v="14"/>
    <x v="0"/>
    <n v="601"/>
    <n v="3028455000"/>
  </r>
  <r>
    <x v="1"/>
    <x v="14"/>
    <x v="1"/>
    <n v="90"/>
    <n v="966790000"/>
  </r>
  <r>
    <x v="1"/>
    <x v="14"/>
    <x v="2"/>
    <n v="2"/>
    <n v="40850000"/>
  </r>
  <r>
    <x v="1"/>
    <x v="14"/>
    <x v="3"/>
    <n v="1"/>
    <n v="10550000"/>
  </r>
  <r>
    <x v="2"/>
    <x v="14"/>
    <x v="0"/>
    <n v="1948"/>
    <n v="7981935000"/>
  </r>
  <r>
    <x v="2"/>
    <x v="14"/>
    <x v="1"/>
    <n v="840"/>
    <n v="8782501553"/>
  </r>
  <r>
    <x v="2"/>
    <x v="14"/>
    <x v="2"/>
    <n v="117"/>
    <n v="3619370000"/>
  </r>
  <r>
    <x v="2"/>
    <x v="14"/>
    <x v="6"/>
    <n v="3"/>
    <n v="345000000"/>
  </r>
  <r>
    <x v="3"/>
    <x v="14"/>
    <x v="0"/>
    <n v="1515"/>
    <n v="4471159533"/>
  </r>
  <r>
    <x v="3"/>
    <x v="14"/>
    <x v="1"/>
    <n v="510"/>
    <n v="3661818546"/>
  </r>
  <r>
    <x v="3"/>
    <x v="14"/>
    <x v="2"/>
    <n v="21"/>
    <n v="388750000"/>
  </r>
  <r>
    <x v="3"/>
    <x v="14"/>
    <x v="4"/>
    <n v="38"/>
    <n v="347030000"/>
  </r>
  <r>
    <x v="4"/>
    <x v="14"/>
    <x v="0"/>
    <n v="20"/>
    <n v="76580000"/>
  </r>
  <r>
    <x v="4"/>
    <x v="14"/>
    <x v="1"/>
    <n v="69"/>
    <n v="503284875"/>
  </r>
  <r>
    <x v="4"/>
    <x v="14"/>
    <x v="2"/>
    <n v="11"/>
    <n v="141200000"/>
  </r>
  <r>
    <x v="5"/>
    <x v="14"/>
    <x v="0"/>
    <n v="1130"/>
    <n v="17235942.07"/>
  </r>
  <r>
    <x v="5"/>
    <x v="14"/>
    <x v="1"/>
    <n v="108"/>
    <n v="5130142.17"/>
  </r>
  <r>
    <x v="5"/>
    <x v="14"/>
    <x v="2"/>
    <n v="6"/>
    <n v="1314760.5"/>
  </r>
  <r>
    <x v="6"/>
    <x v="14"/>
    <x v="0"/>
    <n v="343"/>
    <n v="16214200000"/>
  </r>
  <r>
    <x v="6"/>
    <x v="14"/>
    <x v="1"/>
    <n v="248"/>
    <n v="32530900000"/>
  </r>
  <r>
    <x v="6"/>
    <x v="14"/>
    <x v="2"/>
    <n v="16"/>
    <n v="3887000000"/>
  </r>
  <r>
    <x v="7"/>
    <x v="14"/>
    <x v="0"/>
    <n v="6227"/>
    <n v="47078943194.669998"/>
  </r>
  <r>
    <x v="7"/>
    <x v="14"/>
    <x v="1"/>
    <n v="630"/>
    <n v="13831407569.84"/>
  </r>
  <r>
    <x v="7"/>
    <x v="14"/>
    <x v="2"/>
    <n v="100"/>
    <n v="3019721930"/>
  </r>
  <r>
    <x v="8"/>
    <x v="14"/>
    <x v="0"/>
    <n v="416"/>
    <n v="111930416.58"/>
  </r>
  <r>
    <x v="8"/>
    <x v="14"/>
    <x v="1"/>
    <n v="168"/>
    <n v="109946092"/>
  </r>
  <r>
    <x v="8"/>
    <x v="14"/>
    <x v="2"/>
    <n v="6"/>
    <n v="6935000"/>
  </r>
  <r>
    <x v="8"/>
    <x v="14"/>
    <x v="5"/>
    <n v="21"/>
    <n v="1378000"/>
  </r>
  <r>
    <x v="9"/>
    <x v="14"/>
    <x v="0"/>
    <n v="942"/>
    <n v="3413719989"/>
  </r>
  <r>
    <x v="9"/>
    <x v="14"/>
    <x v="1"/>
    <n v="857"/>
    <n v="3560313393"/>
  </r>
  <r>
    <x v="9"/>
    <x v="14"/>
    <x v="2"/>
    <n v="58"/>
    <n v="618151788"/>
  </r>
  <r>
    <x v="10"/>
    <x v="14"/>
    <x v="0"/>
    <n v="246"/>
    <n v="664130000"/>
  </r>
  <r>
    <x v="10"/>
    <x v="14"/>
    <x v="1"/>
    <n v="179"/>
    <n v="1117450000"/>
  </r>
  <r>
    <x v="10"/>
    <x v="14"/>
    <x v="2"/>
    <n v="26"/>
    <n v="164400000"/>
  </r>
  <r>
    <x v="10"/>
    <x v="14"/>
    <x v="4"/>
    <n v="10"/>
    <n v="113400000"/>
  </r>
  <r>
    <x v="0"/>
    <x v="15"/>
    <x v="0"/>
    <n v="101"/>
    <n v="501622000"/>
  </r>
  <r>
    <x v="0"/>
    <x v="15"/>
    <x v="1"/>
    <n v="40"/>
    <n v="441812000"/>
  </r>
  <r>
    <x v="1"/>
    <x v="15"/>
    <x v="0"/>
    <n v="551"/>
    <n v="2711538000"/>
  </r>
  <r>
    <x v="1"/>
    <x v="15"/>
    <x v="1"/>
    <n v="90"/>
    <n v="944185000"/>
  </r>
  <r>
    <x v="1"/>
    <x v="15"/>
    <x v="2"/>
    <n v="14"/>
    <n v="220100000"/>
  </r>
  <r>
    <x v="2"/>
    <x v="15"/>
    <x v="0"/>
    <n v="9724"/>
    <n v="6130586000"/>
  </r>
  <r>
    <x v="2"/>
    <x v="15"/>
    <x v="1"/>
    <n v="705"/>
    <n v="7161092523"/>
  </r>
  <r>
    <x v="2"/>
    <x v="15"/>
    <x v="2"/>
    <n v="104"/>
    <n v="2918600000"/>
  </r>
  <r>
    <x v="2"/>
    <x v="15"/>
    <x v="6"/>
    <n v="2"/>
    <n v="90000000"/>
  </r>
  <r>
    <x v="3"/>
    <x v="15"/>
    <x v="0"/>
    <n v="1125"/>
    <n v="3370685734"/>
  </r>
  <r>
    <x v="3"/>
    <x v="15"/>
    <x v="1"/>
    <n v="459"/>
    <n v="3483770908"/>
  </r>
  <r>
    <x v="3"/>
    <x v="15"/>
    <x v="2"/>
    <n v="23"/>
    <n v="512630000"/>
  </r>
  <r>
    <x v="3"/>
    <x v="15"/>
    <x v="4"/>
    <n v="28"/>
    <n v="270410000"/>
  </r>
  <r>
    <x v="4"/>
    <x v="15"/>
    <x v="0"/>
    <n v="14"/>
    <n v="41200000"/>
  </r>
  <r>
    <x v="4"/>
    <x v="15"/>
    <x v="1"/>
    <n v="34"/>
    <n v="252950000"/>
  </r>
  <r>
    <x v="4"/>
    <x v="15"/>
    <x v="2"/>
    <n v="5"/>
    <n v="64750000"/>
  </r>
  <r>
    <x v="4"/>
    <x v="15"/>
    <x v="5"/>
    <n v="1"/>
    <n v="12150000"/>
  </r>
  <r>
    <x v="5"/>
    <x v="15"/>
    <x v="0"/>
    <n v="777"/>
    <n v="14509588.810000001"/>
  </r>
  <r>
    <x v="5"/>
    <x v="15"/>
    <x v="1"/>
    <n v="102"/>
    <n v="4687185.8899999997"/>
  </r>
  <r>
    <x v="5"/>
    <x v="15"/>
    <x v="2"/>
    <n v="8"/>
    <n v="1126491.5"/>
  </r>
  <r>
    <x v="6"/>
    <x v="15"/>
    <x v="0"/>
    <n v="300"/>
    <n v="18961975000"/>
  </r>
  <r>
    <x v="6"/>
    <x v="15"/>
    <x v="1"/>
    <n v="156"/>
    <n v="20502800000"/>
  </r>
  <r>
    <x v="6"/>
    <x v="15"/>
    <x v="2"/>
    <n v="6"/>
    <n v="1935000000"/>
  </r>
  <r>
    <x v="7"/>
    <x v="15"/>
    <x v="0"/>
    <n v="5907"/>
    <n v="44956068818.059998"/>
  </r>
  <r>
    <x v="7"/>
    <x v="15"/>
    <x v="1"/>
    <n v="651"/>
    <n v="13702162683.559999"/>
  </r>
  <r>
    <x v="7"/>
    <x v="15"/>
    <x v="2"/>
    <n v="94"/>
    <n v="3361371400"/>
  </r>
  <r>
    <x v="8"/>
    <x v="15"/>
    <x v="0"/>
    <n v="308"/>
    <n v="91042923.969999999"/>
  </r>
  <r>
    <x v="8"/>
    <x v="15"/>
    <x v="1"/>
    <n v="78"/>
    <n v="52022000"/>
  </r>
  <r>
    <x v="8"/>
    <x v="15"/>
    <x v="2"/>
    <n v="5"/>
    <n v="3650000"/>
  </r>
  <r>
    <x v="8"/>
    <x v="15"/>
    <x v="5"/>
    <n v="22"/>
    <n v="1210000"/>
  </r>
  <r>
    <x v="9"/>
    <x v="15"/>
    <x v="0"/>
    <n v="865"/>
    <n v="3169254000"/>
  </r>
  <r>
    <x v="9"/>
    <x v="15"/>
    <x v="1"/>
    <n v="290"/>
    <n v="2771801960"/>
  </r>
  <r>
    <x v="9"/>
    <x v="15"/>
    <x v="2"/>
    <n v="21"/>
    <n v="419900000"/>
  </r>
  <r>
    <x v="10"/>
    <x v="15"/>
    <x v="0"/>
    <n v="223"/>
    <n v="615090000"/>
  </r>
  <r>
    <x v="10"/>
    <x v="15"/>
    <x v="1"/>
    <n v="141"/>
    <n v="857100000"/>
  </r>
  <r>
    <x v="10"/>
    <x v="15"/>
    <x v="2"/>
    <n v="20"/>
    <n v="109500000"/>
  </r>
  <r>
    <x v="10"/>
    <x v="15"/>
    <x v="4"/>
    <n v="2"/>
    <n v="8600000"/>
  </r>
  <r>
    <x v="0"/>
    <x v="16"/>
    <x v="0"/>
    <n v="102"/>
    <n v="579830000"/>
  </r>
  <r>
    <x v="0"/>
    <x v="16"/>
    <x v="1"/>
    <n v="36"/>
    <n v="420994307"/>
  </r>
  <r>
    <x v="0"/>
    <x v="16"/>
    <x v="2"/>
    <n v="2"/>
    <n v="130000000"/>
  </r>
  <r>
    <x v="1"/>
    <x v="16"/>
    <x v="0"/>
    <n v="613"/>
    <n v="3122120000"/>
  </r>
  <r>
    <x v="1"/>
    <x v="16"/>
    <x v="1"/>
    <n v="106"/>
    <n v="984465000"/>
  </r>
  <r>
    <x v="1"/>
    <x v="16"/>
    <x v="2"/>
    <n v="11"/>
    <n v="193995000"/>
  </r>
  <r>
    <x v="2"/>
    <x v="16"/>
    <x v="0"/>
    <n v="1888"/>
    <n v="7483335000"/>
  </r>
  <r>
    <x v="2"/>
    <x v="16"/>
    <x v="1"/>
    <n v="789"/>
    <n v="7992316884"/>
  </r>
  <r>
    <x v="2"/>
    <x v="16"/>
    <x v="2"/>
    <n v="87"/>
    <n v="2505120000"/>
  </r>
  <r>
    <x v="3"/>
    <x v="16"/>
    <x v="0"/>
    <n v="1322"/>
    <n v="4021417394"/>
  </r>
  <r>
    <x v="3"/>
    <x v="16"/>
    <x v="1"/>
    <n v="502"/>
    <n v="3739423253"/>
  </r>
  <r>
    <x v="3"/>
    <x v="16"/>
    <x v="2"/>
    <n v="14"/>
    <n v="403875000"/>
  </r>
  <r>
    <x v="3"/>
    <x v="16"/>
    <x v="4"/>
    <n v="31"/>
    <n v="334399434"/>
  </r>
  <r>
    <x v="4"/>
    <x v="16"/>
    <x v="0"/>
    <n v="12"/>
    <n v="34700000"/>
  </r>
  <r>
    <x v="4"/>
    <x v="16"/>
    <x v="1"/>
    <n v="61"/>
    <n v="512760000"/>
  </r>
  <r>
    <x v="4"/>
    <x v="16"/>
    <x v="2"/>
    <n v="9"/>
    <n v="153150000"/>
  </r>
  <r>
    <x v="4"/>
    <x v="16"/>
    <x v="5"/>
    <n v="1"/>
    <n v="5570000"/>
  </r>
  <r>
    <x v="5"/>
    <x v="16"/>
    <x v="0"/>
    <n v="1408"/>
    <n v="30060298.300000001"/>
  </r>
  <r>
    <x v="5"/>
    <x v="16"/>
    <x v="1"/>
    <n v="192"/>
    <n v="10676331.09"/>
  </r>
  <r>
    <x v="5"/>
    <x v="16"/>
    <x v="2"/>
    <n v="18"/>
    <n v="2392583.6"/>
  </r>
  <r>
    <x v="6"/>
    <x v="16"/>
    <x v="0"/>
    <n v="479"/>
    <n v="24312450000"/>
  </r>
  <r>
    <x v="6"/>
    <x v="16"/>
    <x v="1"/>
    <n v="142"/>
    <n v="17824000000"/>
  </r>
  <r>
    <x v="6"/>
    <x v="16"/>
    <x v="2"/>
    <n v="9"/>
    <n v="2488000000"/>
  </r>
  <r>
    <x v="7"/>
    <x v="16"/>
    <x v="0"/>
    <n v="6336"/>
    <n v="47431036769.029999"/>
  </r>
  <r>
    <x v="7"/>
    <x v="16"/>
    <x v="1"/>
    <n v="666"/>
    <n v="15010544993.07"/>
  </r>
  <r>
    <x v="7"/>
    <x v="16"/>
    <x v="2"/>
    <n v="80"/>
    <n v="2526135000"/>
  </r>
  <r>
    <x v="8"/>
    <x v="16"/>
    <x v="0"/>
    <n v="388"/>
    <n v="120146500"/>
  </r>
  <r>
    <x v="8"/>
    <x v="16"/>
    <x v="1"/>
    <n v="143"/>
    <n v="91115279"/>
  </r>
  <r>
    <x v="8"/>
    <x v="16"/>
    <x v="2"/>
    <n v="2"/>
    <n v="720000"/>
  </r>
  <r>
    <x v="8"/>
    <x v="16"/>
    <x v="5"/>
    <n v="25"/>
    <n v="4017000"/>
  </r>
  <r>
    <x v="9"/>
    <x v="16"/>
    <x v="0"/>
    <n v="1027"/>
    <n v="3657947887"/>
  </r>
  <r>
    <x v="9"/>
    <x v="16"/>
    <x v="1"/>
    <n v="784"/>
    <n v="3664033324"/>
  </r>
  <r>
    <x v="9"/>
    <x v="16"/>
    <x v="2"/>
    <n v="30"/>
    <n v="440769704"/>
  </r>
  <r>
    <x v="10"/>
    <x v="16"/>
    <x v="0"/>
    <n v="354"/>
    <n v="1157009598"/>
  </r>
  <r>
    <x v="10"/>
    <x v="16"/>
    <x v="1"/>
    <n v="248"/>
    <n v="1539901356"/>
  </r>
  <r>
    <x v="10"/>
    <x v="16"/>
    <x v="2"/>
    <n v="25"/>
    <n v="198450000"/>
  </r>
  <r>
    <x v="10"/>
    <x v="16"/>
    <x v="4"/>
    <n v="6"/>
    <n v="42800000"/>
  </r>
  <r>
    <x v="0"/>
    <x v="17"/>
    <x v="0"/>
    <n v="74"/>
    <n v="400379000"/>
  </r>
  <r>
    <x v="0"/>
    <x v="17"/>
    <x v="1"/>
    <n v="53"/>
    <n v="375579000"/>
  </r>
  <r>
    <x v="0"/>
    <x v="17"/>
    <x v="2"/>
    <n v="4"/>
    <n v="182000000"/>
  </r>
  <r>
    <x v="1"/>
    <x v="17"/>
    <x v="0"/>
    <n v="1171"/>
    <n v="2217826000"/>
  </r>
  <r>
    <x v="1"/>
    <x v="17"/>
    <x v="1"/>
    <n v="166"/>
    <n v="688305000"/>
  </r>
  <r>
    <x v="1"/>
    <x v="17"/>
    <x v="2"/>
    <n v="13"/>
    <n v="150250000"/>
  </r>
  <r>
    <x v="1"/>
    <x v="17"/>
    <x v="3"/>
    <n v="7"/>
    <n v="2505000"/>
  </r>
  <r>
    <x v="2"/>
    <x v="17"/>
    <x v="0"/>
    <n v="1959"/>
    <n v="7874797028"/>
  </r>
  <r>
    <x v="2"/>
    <x v="17"/>
    <x v="1"/>
    <n v="750"/>
    <n v="7680536233"/>
  </r>
  <r>
    <x v="2"/>
    <x v="17"/>
    <x v="2"/>
    <n v="118"/>
    <n v="3616800000"/>
  </r>
  <r>
    <x v="2"/>
    <x v="17"/>
    <x v="6"/>
    <n v="1"/>
    <n v="70000000"/>
  </r>
  <r>
    <x v="3"/>
    <x v="17"/>
    <x v="0"/>
    <n v="1495"/>
    <n v="4594114413"/>
  </r>
  <r>
    <x v="3"/>
    <x v="17"/>
    <x v="1"/>
    <n v="532"/>
    <n v="3906153599"/>
  </r>
  <r>
    <x v="3"/>
    <x v="17"/>
    <x v="2"/>
    <n v="27"/>
    <n v="667820000"/>
  </r>
  <r>
    <x v="3"/>
    <x v="17"/>
    <x v="4"/>
    <n v="66"/>
    <n v="720353998"/>
  </r>
  <r>
    <x v="4"/>
    <x v="17"/>
    <x v="0"/>
    <n v="15"/>
    <n v="44767000"/>
  </r>
  <r>
    <x v="4"/>
    <x v="17"/>
    <x v="1"/>
    <n v="80"/>
    <n v="596496000"/>
  </r>
  <r>
    <x v="4"/>
    <x v="17"/>
    <x v="2"/>
    <n v="6"/>
    <n v="106075000"/>
  </r>
  <r>
    <x v="4"/>
    <x v="17"/>
    <x v="5"/>
    <n v="2"/>
    <n v="8825000"/>
  </r>
  <r>
    <x v="5"/>
    <x v="17"/>
    <x v="0"/>
    <n v="1582"/>
    <n v="38868658.100000001"/>
  </r>
  <r>
    <x v="5"/>
    <x v="17"/>
    <x v="1"/>
    <n v="287"/>
    <n v="18738333.690000001"/>
  </r>
  <r>
    <x v="5"/>
    <x v="17"/>
    <x v="2"/>
    <n v="29"/>
    <n v="5554495"/>
  </r>
  <r>
    <x v="6"/>
    <x v="17"/>
    <x v="0"/>
    <n v="267"/>
    <n v="11760100000"/>
  </r>
  <r>
    <x v="6"/>
    <x v="17"/>
    <x v="1"/>
    <n v="121"/>
    <n v="13645200000"/>
  </r>
  <r>
    <x v="6"/>
    <x v="17"/>
    <x v="2"/>
    <n v="13"/>
    <n v="3293000000"/>
  </r>
  <r>
    <x v="7"/>
    <x v="17"/>
    <x v="0"/>
    <n v="7087"/>
    <n v="51768428314.110001"/>
  </r>
  <r>
    <x v="7"/>
    <x v="17"/>
    <x v="1"/>
    <n v="764"/>
    <n v="17419114160.84"/>
  </r>
  <r>
    <x v="7"/>
    <x v="17"/>
    <x v="2"/>
    <n v="82"/>
    <n v="2917328400"/>
  </r>
  <r>
    <x v="8"/>
    <x v="17"/>
    <x v="0"/>
    <n v="2705"/>
    <n v="155089414.99000001"/>
  </r>
  <r>
    <x v="8"/>
    <x v="17"/>
    <x v="1"/>
    <n v="658"/>
    <n v="81117273.799999997"/>
  </r>
  <r>
    <x v="8"/>
    <x v="17"/>
    <x v="2"/>
    <n v="15"/>
    <n v="3304000"/>
  </r>
  <r>
    <x v="8"/>
    <x v="17"/>
    <x v="5"/>
    <n v="33"/>
    <n v="2870000"/>
  </r>
  <r>
    <x v="9"/>
    <x v="17"/>
    <x v="0"/>
    <n v="859"/>
    <n v="3234794000"/>
  </r>
  <r>
    <x v="9"/>
    <x v="17"/>
    <x v="1"/>
    <n v="281"/>
    <n v="2710671370"/>
  </r>
  <r>
    <x v="9"/>
    <x v="17"/>
    <x v="2"/>
    <n v="27"/>
    <n v="641000000"/>
  </r>
  <r>
    <x v="10"/>
    <x v="17"/>
    <x v="0"/>
    <n v="310"/>
    <n v="1066560000"/>
  </r>
  <r>
    <x v="10"/>
    <x v="17"/>
    <x v="1"/>
    <n v="179"/>
    <n v="1125595000"/>
  </r>
  <r>
    <x v="10"/>
    <x v="17"/>
    <x v="2"/>
    <n v="17"/>
    <n v="252800000"/>
  </r>
  <r>
    <x v="0"/>
    <x v="18"/>
    <x v="0"/>
    <n v="82"/>
    <n v="416001000"/>
  </r>
  <r>
    <x v="0"/>
    <x v="18"/>
    <x v="1"/>
    <n v="63"/>
    <n v="741060000"/>
  </r>
  <r>
    <x v="0"/>
    <x v="18"/>
    <x v="2"/>
    <n v="3"/>
    <n v="65121653"/>
  </r>
  <r>
    <x v="1"/>
    <x v="18"/>
    <x v="0"/>
    <n v="2084"/>
    <n v="2960425000"/>
  </r>
  <r>
    <x v="1"/>
    <x v="18"/>
    <x v="1"/>
    <n v="234"/>
    <n v="938805000"/>
  </r>
  <r>
    <x v="1"/>
    <x v="18"/>
    <x v="2"/>
    <n v="34"/>
    <n v="442985000"/>
  </r>
  <r>
    <x v="1"/>
    <x v="18"/>
    <x v="3"/>
    <n v="6"/>
    <n v="4815000"/>
  </r>
  <r>
    <x v="2"/>
    <x v="18"/>
    <x v="0"/>
    <n v="1986"/>
    <n v="8032440000"/>
  </r>
  <r>
    <x v="2"/>
    <x v="18"/>
    <x v="1"/>
    <n v="710"/>
    <n v="7326928970"/>
  </r>
  <r>
    <x v="2"/>
    <x v="18"/>
    <x v="2"/>
    <n v="112"/>
    <n v="2754875000"/>
  </r>
  <r>
    <x v="2"/>
    <x v="18"/>
    <x v="6"/>
    <n v="2"/>
    <n v="90000000"/>
  </r>
  <r>
    <x v="3"/>
    <x v="18"/>
    <x v="0"/>
    <n v="2878"/>
    <n v="4361198000"/>
  </r>
  <r>
    <x v="3"/>
    <x v="18"/>
    <x v="1"/>
    <n v="1140"/>
    <n v="3575209908"/>
  </r>
  <r>
    <x v="3"/>
    <x v="18"/>
    <x v="2"/>
    <n v="32"/>
    <n v="379270000"/>
  </r>
  <r>
    <x v="3"/>
    <x v="18"/>
    <x v="4"/>
    <n v="142"/>
    <n v="540723000"/>
  </r>
  <r>
    <x v="4"/>
    <x v="18"/>
    <x v="0"/>
    <n v="29"/>
    <n v="104979000"/>
  </r>
  <r>
    <x v="4"/>
    <x v="18"/>
    <x v="1"/>
    <n v="82"/>
    <n v="574657161"/>
  </r>
  <r>
    <x v="4"/>
    <x v="18"/>
    <x v="2"/>
    <n v="7"/>
    <n v="119850000"/>
  </r>
  <r>
    <x v="4"/>
    <x v="18"/>
    <x v="5"/>
    <n v="1"/>
    <n v="14000000"/>
  </r>
  <r>
    <x v="5"/>
    <x v="18"/>
    <x v="0"/>
    <n v="1922"/>
    <n v="50650612.969999999"/>
  </r>
  <r>
    <x v="5"/>
    <x v="18"/>
    <x v="1"/>
    <n v="322"/>
    <n v="21313368.309999999"/>
  </r>
  <r>
    <x v="5"/>
    <x v="18"/>
    <x v="2"/>
    <n v="31"/>
    <n v="5964713.5"/>
  </r>
  <r>
    <x v="6"/>
    <x v="18"/>
    <x v="0"/>
    <n v="399"/>
    <n v="20809020000"/>
  </r>
  <r>
    <x v="6"/>
    <x v="18"/>
    <x v="1"/>
    <n v="210"/>
    <n v="22052800000"/>
  </r>
  <r>
    <x v="6"/>
    <x v="18"/>
    <x v="2"/>
    <n v="13"/>
    <n v="3352000000"/>
  </r>
  <r>
    <x v="6"/>
    <x v="18"/>
    <x v="5"/>
    <n v="1"/>
    <n v="28000000"/>
  </r>
  <r>
    <x v="7"/>
    <x v="18"/>
    <x v="0"/>
    <n v="7187"/>
    <n v="52528090550.389999"/>
  </r>
  <r>
    <x v="7"/>
    <x v="18"/>
    <x v="1"/>
    <n v="934"/>
    <n v="19939855936.009998"/>
  </r>
  <r>
    <x v="7"/>
    <x v="18"/>
    <x v="2"/>
    <n v="86"/>
    <n v="2717454622"/>
  </r>
  <r>
    <x v="8"/>
    <x v="18"/>
    <x v="0"/>
    <n v="754"/>
    <n v="138710812.19999999"/>
  </r>
  <r>
    <x v="8"/>
    <x v="18"/>
    <x v="1"/>
    <n v="148"/>
    <n v="70707100"/>
  </r>
  <r>
    <x v="8"/>
    <x v="18"/>
    <x v="2"/>
    <n v="4"/>
    <n v="1540000"/>
  </r>
  <r>
    <x v="8"/>
    <x v="18"/>
    <x v="5"/>
    <n v="28"/>
    <n v="4404000"/>
  </r>
  <r>
    <x v="9"/>
    <x v="18"/>
    <x v="0"/>
    <n v="671"/>
    <n v="2421449825"/>
  </r>
  <r>
    <x v="9"/>
    <x v="18"/>
    <x v="1"/>
    <n v="276"/>
    <n v="3187909113"/>
  </r>
  <r>
    <x v="9"/>
    <x v="18"/>
    <x v="2"/>
    <n v="33"/>
    <n v="665147547"/>
  </r>
  <r>
    <x v="10"/>
    <x v="18"/>
    <x v="0"/>
    <n v="314"/>
    <n v="1070783000"/>
  </r>
  <r>
    <x v="10"/>
    <x v="18"/>
    <x v="1"/>
    <n v="217"/>
    <n v="1421850000"/>
  </r>
  <r>
    <x v="10"/>
    <x v="18"/>
    <x v="2"/>
    <n v="21"/>
    <n v="366200000"/>
  </r>
  <r>
    <x v="10"/>
    <x v="18"/>
    <x v="4"/>
    <n v="12"/>
    <n v="127100000"/>
  </r>
  <r>
    <x v="0"/>
    <x v="19"/>
    <x v="0"/>
    <n v="104"/>
    <n v="464605000"/>
  </r>
  <r>
    <x v="0"/>
    <x v="19"/>
    <x v="1"/>
    <n v="69"/>
    <n v="660540000"/>
  </r>
  <r>
    <x v="0"/>
    <x v="19"/>
    <x v="2"/>
    <n v="6"/>
    <n v="155000000"/>
  </r>
  <r>
    <x v="1"/>
    <x v="19"/>
    <x v="0"/>
    <n v="2450"/>
    <n v="3681538227"/>
  </r>
  <r>
    <x v="1"/>
    <x v="19"/>
    <x v="1"/>
    <n v="220"/>
    <n v="1019725000"/>
  </r>
  <r>
    <x v="1"/>
    <x v="19"/>
    <x v="2"/>
    <n v="23"/>
    <n v="243420000"/>
  </r>
  <r>
    <x v="1"/>
    <x v="19"/>
    <x v="3"/>
    <n v="1"/>
    <n v="275000"/>
  </r>
  <r>
    <x v="2"/>
    <x v="19"/>
    <x v="0"/>
    <n v="2547"/>
    <n v="8786974550"/>
  </r>
  <r>
    <x v="2"/>
    <x v="19"/>
    <x v="1"/>
    <n v="1014"/>
    <n v="8412252704"/>
  </r>
  <r>
    <x v="2"/>
    <x v="19"/>
    <x v="2"/>
    <n v="115"/>
    <n v="2898650000"/>
  </r>
  <r>
    <x v="2"/>
    <x v="19"/>
    <x v="6"/>
    <n v="1"/>
    <n v="250000000"/>
  </r>
  <r>
    <x v="3"/>
    <x v="19"/>
    <x v="0"/>
    <n v="4694"/>
    <n v="5291543000"/>
  </r>
  <r>
    <x v="3"/>
    <x v="19"/>
    <x v="1"/>
    <n v="1653"/>
    <n v="4191780751"/>
  </r>
  <r>
    <x v="3"/>
    <x v="19"/>
    <x v="2"/>
    <n v="58"/>
    <n v="638876236"/>
  </r>
  <r>
    <x v="3"/>
    <x v="19"/>
    <x v="4"/>
    <n v="96"/>
    <n v="473793230"/>
  </r>
  <r>
    <x v="4"/>
    <x v="19"/>
    <x v="0"/>
    <n v="43"/>
    <n v="113740000"/>
  </r>
  <r>
    <x v="4"/>
    <x v="19"/>
    <x v="1"/>
    <n v="77"/>
    <n v="437440000"/>
  </r>
  <r>
    <x v="4"/>
    <x v="19"/>
    <x v="2"/>
    <n v="24"/>
    <n v="347150000"/>
  </r>
  <r>
    <x v="4"/>
    <x v="19"/>
    <x v="5"/>
    <n v="1"/>
    <n v="14000000"/>
  </r>
  <r>
    <x v="5"/>
    <x v="19"/>
    <x v="0"/>
    <n v="1823"/>
    <n v="47648170.770000003"/>
  </r>
  <r>
    <x v="5"/>
    <x v="19"/>
    <x v="1"/>
    <n v="319"/>
    <n v="21314021.170000002"/>
  </r>
  <r>
    <x v="5"/>
    <x v="19"/>
    <x v="2"/>
    <n v="26"/>
    <n v="4422499.5"/>
  </r>
  <r>
    <x v="5"/>
    <x v="19"/>
    <x v="5"/>
    <n v="1"/>
    <n v="29700"/>
  </r>
  <r>
    <x v="6"/>
    <x v="19"/>
    <x v="0"/>
    <n v="696"/>
    <n v="34696780000"/>
  </r>
  <r>
    <x v="6"/>
    <x v="19"/>
    <x v="1"/>
    <n v="219"/>
    <n v="18413850000"/>
  </r>
  <r>
    <x v="6"/>
    <x v="19"/>
    <x v="2"/>
    <n v="37"/>
    <n v="6823000000"/>
  </r>
  <r>
    <x v="7"/>
    <x v="19"/>
    <x v="0"/>
    <n v="8752"/>
    <n v="57969645902.480003"/>
  </r>
  <r>
    <x v="7"/>
    <x v="19"/>
    <x v="1"/>
    <n v="911"/>
    <n v="18268437440.860001"/>
  </r>
  <r>
    <x v="7"/>
    <x v="19"/>
    <x v="2"/>
    <n v="104"/>
    <n v="3329216401.9000001"/>
  </r>
  <r>
    <x v="8"/>
    <x v="19"/>
    <x v="0"/>
    <n v="597"/>
    <n v="146181205.88"/>
  </r>
  <r>
    <x v="8"/>
    <x v="19"/>
    <x v="1"/>
    <n v="162"/>
    <n v="67434200"/>
  </r>
  <r>
    <x v="8"/>
    <x v="19"/>
    <x v="2"/>
    <n v="10"/>
    <n v="5839000"/>
  </r>
  <r>
    <x v="8"/>
    <x v="19"/>
    <x v="5"/>
    <n v="47"/>
    <n v="2619000"/>
  </r>
  <r>
    <x v="9"/>
    <x v="19"/>
    <x v="0"/>
    <n v="841"/>
    <n v="3255769190"/>
  </r>
  <r>
    <x v="9"/>
    <x v="19"/>
    <x v="1"/>
    <n v="362"/>
    <n v="3612438000"/>
  </r>
  <r>
    <x v="9"/>
    <x v="19"/>
    <x v="2"/>
    <n v="33"/>
    <n v="619900000"/>
  </r>
  <r>
    <x v="10"/>
    <x v="19"/>
    <x v="0"/>
    <n v="300"/>
    <n v="902575000"/>
  </r>
  <r>
    <x v="10"/>
    <x v="19"/>
    <x v="1"/>
    <n v="207"/>
    <n v="933980000"/>
  </r>
  <r>
    <x v="10"/>
    <x v="19"/>
    <x v="2"/>
    <n v="44"/>
    <n v="320800000"/>
  </r>
  <r>
    <x v="10"/>
    <x v="19"/>
    <x v="4"/>
    <n v="1"/>
    <n v="1000000"/>
  </r>
  <r>
    <x v="0"/>
    <x v="20"/>
    <x v="0"/>
    <n v="94"/>
    <n v="514105000"/>
  </r>
  <r>
    <x v="0"/>
    <x v="20"/>
    <x v="1"/>
    <n v="43"/>
    <n v="361603721"/>
  </r>
  <r>
    <x v="0"/>
    <x v="20"/>
    <x v="2"/>
    <n v="9"/>
    <n v="130087000"/>
  </r>
  <r>
    <x v="1"/>
    <x v="20"/>
    <x v="0"/>
    <n v="2950"/>
    <n v="3538967000"/>
  </r>
  <r>
    <x v="1"/>
    <x v="20"/>
    <x v="1"/>
    <n v="212"/>
    <n v="1117590000"/>
  </r>
  <r>
    <x v="1"/>
    <x v="20"/>
    <x v="2"/>
    <n v="24"/>
    <n v="183667268"/>
  </r>
  <r>
    <x v="1"/>
    <x v="20"/>
    <x v="3"/>
    <n v="2"/>
    <n v="605000"/>
  </r>
  <r>
    <x v="2"/>
    <x v="20"/>
    <x v="0"/>
    <n v="2313"/>
    <n v="6814291436"/>
  </r>
  <r>
    <x v="2"/>
    <x v="20"/>
    <x v="1"/>
    <n v="923"/>
    <n v="6982204888"/>
  </r>
  <r>
    <x v="2"/>
    <x v="20"/>
    <x v="2"/>
    <n v="108"/>
    <n v="2236960524"/>
  </r>
  <r>
    <x v="2"/>
    <x v="20"/>
    <x v="6"/>
    <n v="1"/>
    <n v="50000000"/>
  </r>
  <r>
    <x v="3"/>
    <x v="20"/>
    <x v="0"/>
    <n v="4502"/>
    <n v="5599144168"/>
  </r>
  <r>
    <x v="3"/>
    <x v="20"/>
    <x v="1"/>
    <n v="1253"/>
    <n v="3565494352"/>
  </r>
  <r>
    <x v="3"/>
    <x v="20"/>
    <x v="2"/>
    <n v="36"/>
    <n v="474605000"/>
  </r>
  <r>
    <x v="3"/>
    <x v="20"/>
    <x v="4"/>
    <n v="65"/>
    <n v="441733741"/>
  </r>
  <r>
    <x v="4"/>
    <x v="20"/>
    <x v="0"/>
    <n v="32"/>
    <n v="103665000"/>
  </r>
  <r>
    <x v="4"/>
    <x v="20"/>
    <x v="1"/>
    <n v="94"/>
    <n v="573445000"/>
  </r>
  <r>
    <x v="4"/>
    <x v="20"/>
    <x v="2"/>
    <n v="14"/>
    <n v="236500000"/>
  </r>
  <r>
    <x v="4"/>
    <x v="20"/>
    <x v="5"/>
    <n v="1"/>
    <n v="1800000"/>
  </r>
  <r>
    <x v="5"/>
    <x v="20"/>
    <x v="0"/>
    <n v="1759"/>
    <n v="45386643.509999998"/>
  </r>
  <r>
    <x v="5"/>
    <x v="20"/>
    <x v="1"/>
    <n v="254"/>
    <n v="15406992.119999999"/>
  </r>
  <r>
    <x v="5"/>
    <x v="20"/>
    <x v="2"/>
    <n v="26"/>
    <n v="5622477.9000000004"/>
  </r>
  <r>
    <x v="5"/>
    <x v="20"/>
    <x v="5"/>
    <n v="3"/>
    <n v="54500"/>
  </r>
  <r>
    <x v="6"/>
    <x v="20"/>
    <x v="0"/>
    <n v="583"/>
    <n v="24452950000"/>
  </r>
  <r>
    <x v="6"/>
    <x v="20"/>
    <x v="1"/>
    <n v="496"/>
    <n v="35730500000"/>
  </r>
  <r>
    <x v="6"/>
    <x v="20"/>
    <x v="2"/>
    <n v="57"/>
    <n v="7353600000"/>
  </r>
  <r>
    <x v="7"/>
    <x v="20"/>
    <x v="0"/>
    <n v="7740"/>
    <n v="48221145605.699997"/>
  </r>
  <r>
    <x v="7"/>
    <x v="20"/>
    <x v="1"/>
    <n v="826"/>
    <n v="17166404921.43"/>
  </r>
  <r>
    <x v="7"/>
    <x v="20"/>
    <x v="2"/>
    <n v="82"/>
    <n v="2952670000"/>
  </r>
  <r>
    <x v="8"/>
    <x v="20"/>
    <x v="0"/>
    <n v="1526"/>
    <n v="109300917"/>
  </r>
  <r>
    <x v="8"/>
    <x v="20"/>
    <x v="1"/>
    <n v="462"/>
    <n v="53442700"/>
  </r>
  <r>
    <x v="8"/>
    <x v="20"/>
    <x v="2"/>
    <n v="18"/>
    <n v="2605000"/>
  </r>
  <r>
    <x v="8"/>
    <x v="20"/>
    <x v="5"/>
    <n v="30"/>
    <n v="1913500"/>
  </r>
  <r>
    <x v="9"/>
    <x v="20"/>
    <x v="0"/>
    <n v="717"/>
    <n v="2865909035"/>
  </r>
  <r>
    <x v="9"/>
    <x v="20"/>
    <x v="1"/>
    <n v="245"/>
    <n v="2230100000"/>
  </r>
  <r>
    <x v="9"/>
    <x v="20"/>
    <x v="2"/>
    <n v="38"/>
    <n v="852150000"/>
  </r>
  <r>
    <x v="10"/>
    <x v="20"/>
    <x v="0"/>
    <n v="365"/>
    <n v="650670000"/>
  </r>
  <r>
    <x v="10"/>
    <x v="20"/>
    <x v="1"/>
    <n v="302"/>
    <n v="952005000"/>
  </r>
  <r>
    <x v="10"/>
    <x v="20"/>
    <x v="2"/>
    <n v="28"/>
    <n v="171770000"/>
  </r>
  <r>
    <x v="0"/>
    <x v="21"/>
    <x v="0"/>
    <n v="72"/>
    <n v="370520000"/>
  </r>
  <r>
    <x v="0"/>
    <x v="21"/>
    <x v="1"/>
    <n v="51"/>
    <n v="502755000"/>
  </r>
  <r>
    <x v="0"/>
    <x v="21"/>
    <x v="2"/>
    <n v="5"/>
    <n v="170200000"/>
  </r>
  <r>
    <x v="1"/>
    <x v="21"/>
    <x v="0"/>
    <n v="2329"/>
    <n v="2604712000"/>
  </r>
  <r>
    <x v="1"/>
    <x v="21"/>
    <x v="1"/>
    <n v="157"/>
    <n v="1046965000"/>
  </r>
  <r>
    <x v="1"/>
    <x v="21"/>
    <x v="2"/>
    <n v="23"/>
    <n v="185485000"/>
  </r>
  <r>
    <x v="1"/>
    <x v="21"/>
    <x v="3"/>
    <n v="6"/>
    <n v="1335000"/>
  </r>
  <r>
    <x v="2"/>
    <x v="21"/>
    <x v="0"/>
    <n v="2353"/>
    <n v="7284005000"/>
  </r>
  <r>
    <x v="2"/>
    <x v="21"/>
    <x v="1"/>
    <n v="884"/>
    <n v="7667788052"/>
  </r>
  <r>
    <x v="2"/>
    <x v="21"/>
    <x v="2"/>
    <n v="98"/>
    <n v="2248372908"/>
  </r>
  <r>
    <x v="2"/>
    <x v="21"/>
    <x v="6"/>
    <n v="1"/>
    <n v="20000000"/>
  </r>
  <r>
    <x v="3"/>
    <x v="21"/>
    <x v="0"/>
    <n v="3412"/>
    <n v="4874749046"/>
  </r>
  <r>
    <x v="3"/>
    <x v="21"/>
    <x v="1"/>
    <n v="1076"/>
    <n v="3879329716"/>
  </r>
  <r>
    <x v="3"/>
    <x v="21"/>
    <x v="2"/>
    <n v="29"/>
    <n v="612670000"/>
  </r>
  <r>
    <x v="3"/>
    <x v="21"/>
    <x v="4"/>
    <n v="30"/>
    <n v="263746000"/>
  </r>
  <r>
    <x v="4"/>
    <x v="21"/>
    <x v="0"/>
    <n v="42"/>
    <n v="92270000"/>
  </r>
  <r>
    <x v="4"/>
    <x v="21"/>
    <x v="1"/>
    <n v="129"/>
    <n v="584455000"/>
  </r>
  <r>
    <x v="4"/>
    <x v="21"/>
    <x v="2"/>
    <n v="16"/>
    <n v="233850000"/>
  </r>
  <r>
    <x v="4"/>
    <x v="21"/>
    <x v="5"/>
    <n v="1"/>
    <n v="770000"/>
  </r>
  <r>
    <x v="5"/>
    <x v="21"/>
    <x v="0"/>
    <n v="1427"/>
    <n v="34205436.700000003"/>
  </r>
  <r>
    <x v="5"/>
    <x v="21"/>
    <x v="1"/>
    <n v="425"/>
    <n v="24026126.199999999"/>
  </r>
  <r>
    <x v="5"/>
    <x v="21"/>
    <x v="2"/>
    <n v="59"/>
    <n v="12566098.359999999"/>
  </r>
  <r>
    <x v="6"/>
    <x v="21"/>
    <x v="0"/>
    <n v="675"/>
    <n v="25874050000"/>
  </r>
  <r>
    <x v="6"/>
    <x v="21"/>
    <x v="1"/>
    <n v="299"/>
    <n v="27172000000"/>
  </r>
  <r>
    <x v="6"/>
    <x v="21"/>
    <x v="2"/>
    <n v="43"/>
    <n v="5267500000"/>
  </r>
  <r>
    <x v="7"/>
    <x v="21"/>
    <x v="0"/>
    <n v="6225"/>
    <n v="41509223187.629997"/>
  </r>
  <r>
    <x v="7"/>
    <x v="21"/>
    <x v="1"/>
    <n v="699"/>
    <n v="14959813082.709999"/>
  </r>
  <r>
    <x v="7"/>
    <x v="21"/>
    <x v="2"/>
    <n v="67"/>
    <n v="2386540797.4499998"/>
  </r>
  <r>
    <x v="8"/>
    <x v="21"/>
    <x v="0"/>
    <n v="1311"/>
    <n v="116583985.59999999"/>
  </r>
  <r>
    <x v="8"/>
    <x v="21"/>
    <x v="1"/>
    <n v="344"/>
    <n v="77075631.719999999"/>
  </r>
  <r>
    <x v="8"/>
    <x v="21"/>
    <x v="2"/>
    <n v="20"/>
    <n v="4939000"/>
  </r>
  <r>
    <x v="8"/>
    <x v="21"/>
    <x v="5"/>
    <n v="24"/>
    <n v="1435500"/>
  </r>
  <r>
    <x v="9"/>
    <x v="21"/>
    <x v="0"/>
    <n v="928"/>
    <n v="3545374000"/>
  </r>
  <r>
    <x v="9"/>
    <x v="21"/>
    <x v="1"/>
    <n v="316"/>
    <n v="2744726910"/>
  </r>
  <r>
    <x v="9"/>
    <x v="21"/>
    <x v="2"/>
    <n v="45"/>
    <n v="763340000"/>
  </r>
  <r>
    <x v="10"/>
    <x v="21"/>
    <x v="0"/>
    <n v="504"/>
    <n v="851980000"/>
  </r>
  <r>
    <x v="10"/>
    <x v="21"/>
    <x v="1"/>
    <n v="440"/>
    <n v="1211835000"/>
  </r>
  <r>
    <x v="10"/>
    <x v="21"/>
    <x v="2"/>
    <n v="49"/>
    <n v="437250000"/>
  </r>
  <r>
    <x v="10"/>
    <x v="21"/>
    <x v="4"/>
    <n v="10"/>
    <n v="97250000"/>
  </r>
  <r>
    <x v="0"/>
    <x v="22"/>
    <x v="0"/>
    <n v="78"/>
    <n v="428580000"/>
  </r>
  <r>
    <x v="0"/>
    <x v="22"/>
    <x v="1"/>
    <n v="35"/>
    <n v="414300000"/>
  </r>
  <r>
    <x v="0"/>
    <x v="22"/>
    <x v="2"/>
    <n v="3"/>
    <n v="72500000"/>
  </r>
  <r>
    <x v="1"/>
    <x v="22"/>
    <x v="0"/>
    <n v="1351"/>
    <n v="2789643000"/>
  </r>
  <r>
    <x v="1"/>
    <x v="22"/>
    <x v="1"/>
    <n v="178"/>
    <n v="972791000"/>
  </r>
  <r>
    <x v="1"/>
    <x v="22"/>
    <x v="2"/>
    <n v="18"/>
    <n v="160800609"/>
  </r>
  <r>
    <x v="2"/>
    <x v="22"/>
    <x v="0"/>
    <n v="1595"/>
    <n v="5989100000"/>
  </r>
  <r>
    <x v="2"/>
    <x v="22"/>
    <x v="1"/>
    <n v="677"/>
    <n v="7003333727"/>
  </r>
  <r>
    <x v="2"/>
    <x v="22"/>
    <x v="2"/>
    <n v="106"/>
    <n v="2738680000"/>
  </r>
  <r>
    <x v="3"/>
    <x v="22"/>
    <x v="0"/>
    <n v="2663"/>
    <n v="4504008255"/>
  </r>
  <r>
    <x v="3"/>
    <x v="22"/>
    <x v="1"/>
    <n v="901"/>
    <n v="4299823792"/>
  </r>
  <r>
    <x v="3"/>
    <x v="22"/>
    <x v="2"/>
    <n v="45"/>
    <n v="568601561"/>
  </r>
  <r>
    <x v="3"/>
    <x v="22"/>
    <x v="4"/>
    <n v="50"/>
    <n v="549608834"/>
  </r>
  <r>
    <x v="4"/>
    <x v="22"/>
    <x v="0"/>
    <n v="30"/>
    <n v="75320000"/>
  </r>
  <r>
    <x v="4"/>
    <x v="22"/>
    <x v="1"/>
    <n v="95"/>
    <n v="507349000"/>
  </r>
  <r>
    <x v="4"/>
    <x v="22"/>
    <x v="2"/>
    <n v="8"/>
    <n v="193200000"/>
  </r>
  <r>
    <x v="5"/>
    <x v="22"/>
    <x v="0"/>
    <n v="1021"/>
    <n v="21424265.640000001"/>
  </r>
  <r>
    <x v="5"/>
    <x v="22"/>
    <x v="1"/>
    <n v="243"/>
    <n v="11692950.1"/>
  </r>
  <r>
    <x v="5"/>
    <x v="22"/>
    <x v="2"/>
    <n v="39"/>
    <n v="5233610.91"/>
  </r>
  <r>
    <x v="6"/>
    <x v="22"/>
    <x v="0"/>
    <n v="639"/>
    <n v="20809000000"/>
  </r>
  <r>
    <x v="6"/>
    <x v="22"/>
    <x v="1"/>
    <n v="220"/>
    <n v="19396700000"/>
  </r>
  <r>
    <x v="6"/>
    <x v="22"/>
    <x v="2"/>
    <n v="22"/>
    <n v="3462814226"/>
  </r>
  <r>
    <x v="7"/>
    <x v="22"/>
    <x v="0"/>
    <n v="5075"/>
    <n v="37893768061.660004"/>
  </r>
  <r>
    <x v="7"/>
    <x v="22"/>
    <x v="1"/>
    <n v="536"/>
    <n v="11254074823.25"/>
  </r>
  <r>
    <x v="7"/>
    <x v="22"/>
    <x v="2"/>
    <n v="60"/>
    <n v="2059423600"/>
  </r>
  <r>
    <x v="8"/>
    <x v="22"/>
    <x v="0"/>
    <n v="341"/>
    <n v="83987000.349999994"/>
  </r>
  <r>
    <x v="8"/>
    <x v="22"/>
    <x v="1"/>
    <n v="105"/>
    <n v="64350000"/>
  </r>
  <r>
    <x v="8"/>
    <x v="22"/>
    <x v="2"/>
    <n v="5"/>
    <n v="4230000"/>
  </r>
  <r>
    <x v="8"/>
    <x v="22"/>
    <x v="5"/>
    <n v="21"/>
    <n v="630600"/>
  </r>
  <r>
    <x v="9"/>
    <x v="22"/>
    <x v="0"/>
    <n v="917"/>
    <n v="3486316744"/>
  </r>
  <r>
    <x v="9"/>
    <x v="22"/>
    <x v="1"/>
    <n v="394"/>
    <n v="3412870620"/>
  </r>
  <r>
    <x v="9"/>
    <x v="22"/>
    <x v="2"/>
    <n v="46"/>
    <n v="829771363"/>
  </r>
  <r>
    <x v="10"/>
    <x v="22"/>
    <x v="0"/>
    <n v="318"/>
    <n v="664775000"/>
  </r>
  <r>
    <x v="10"/>
    <x v="22"/>
    <x v="1"/>
    <n v="328"/>
    <n v="1048810000"/>
  </r>
  <r>
    <x v="10"/>
    <x v="22"/>
    <x v="2"/>
    <n v="20"/>
    <n v="134350000"/>
  </r>
  <r>
    <x v="0"/>
    <x v="23"/>
    <x v="0"/>
    <n v="71"/>
    <n v="425485000"/>
  </r>
  <r>
    <x v="0"/>
    <x v="23"/>
    <x v="1"/>
    <n v="28"/>
    <n v="351400000"/>
  </r>
  <r>
    <x v="0"/>
    <x v="23"/>
    <x v="2"/>
    <n v="2"/>
    <n v="13000000"/>
  </r>
  <r>
    <x v="1"/>
    <x v="23"/>
    <x v="0"/>
    <n v="866"/>
    <n v="2252264000"/>
  </r>
  <r>
    <x v="1"/>
    <x v="23"/>
    <x v="1"/>
    <n v="150"/>
    <n v="1190435000"/>
  </r>
  <r>
    <x v="1"/>
    <x v="23"/>
    <x v="2"/>
    <n v="21"/>
    <n v="354880609"/>
  </r>
  <r>
    <x v="2"/>
    <x v="23"/>
    <x v="0"/>
    <n v="1345"/>
    <n v="5216365000"/>
  </r>
  <r>
    <x v="2"/>
    <x v="23"/>
    <x v="1"/>
    <n v="421"/>
    <n v="4162024509"/>
  </r>
  <r>
    <x v="2"/>
    <x v="23"/>
    <x v="2"/>
    <n v="97"/>
    <n v="1644400000"/>
  </r>
  <r>
    <x v="3"/>
    <x v="23"/>
    <x v="0"/>
    <n v="1181"/>
    <n v="2751661992"/>
  </r>
  <r>
    <x v="3"/>
    <x v="23"/>
    <x v="1"/>
    <n v="427"/>
    <n v="2642200000"/>
  </r>
  <r>
    <x v="3"/>
    <x v="23"/>
    <x v="2"/>
    <n v="20"/>
    <n v="363340000"/>
  </r>
  <r>
    <x v="3"/>
    <x v="23"/>
    <x v="4"/>
    <n v="41"/>
    <n v="501163397"/>
  </r>
  <r>
    <x v="5"/>
    <x v="23"/>
    <x v="0"/>
    <n v="575"/>
    <n v="11240157.1"/>
  </r>
  <r>
    <x v="5"/>
    <x v="23"/>
    <x v="1"/>
    <n v="160"/>
    <n v="7340744.71"/>
  </r>
  <r>
    <x v="5"/>
    <x v="23"/>
    <x v="2"/>
    <n v="17"/>
    <n v="1893489.25"/>
  </r>
  <r>
    <x v="6"/>
    <x v="23"/>
    <x v="0"/>
    <n v="423"/>
    <n v="15219360000"/>
  </r>
  <r>
    <x v="6"/>
    <x v="23"/>
    <x v="1"/>
    <n v="136"/>
    <n v="13937000000"/>
  </r>
  <r>
    <x v="6"/>
    <x v="23"/>
    <x v="2"/>
    <n v="23"/>
    <n v="5144000000"/>
  </r>
  <r>
    <x v="7"/>
    <x v="23"/>
    <x v="0"/>
    <n v="4942"/>
    <n v="39634458633.489998"/>
  </r>
  <r>
    <x v="7"/>
    <x v="23"/>
    <x v="1"/>
    <n v="662"/>
    <n v="14495122234.35"/>
  </r>
  <r>
    <x v="7"/>
    <x v="23"/>
    <x v="2"/>
    <n v="48"/>
    <n v="1733217304"/>
  </r>
  <r>
    <x v="8"/>
    <x v="23"/>
    <x v="0"/>
    <n v="194"/>
    <n v="49731500"/>
  </r>
  <r>
    <x v="8"/>
    <x v="23"/>
    <x v="1"/>
    <n v="72"/>
    <n v="47408703.700000003"/>
  </r>
  <r>
    <x v="8"/>
    <x v="23"/>
    <x v="2"/>
    <n v="1"/>
    <n v="450000"/>
  </r>
  <r>
    <x v="8"/>
    <x v="23"/>
    <x v="5"/>
    <n v="20"/>
    <n v="819000"/>
  </r>
  <r>
    <x v="9"/>
    <x v="23"/>
    <x v="0"/>
    <n v="948"/>
    <n v="3860638514"/>
  </r>
  <r>
    <x v="9"/>
    <x v="23"/>
    <x v="1"/>
    <n v="349"/>
    <n v="3684860883"/>
  </r>
  <r>
    <x v="9"/>
    <x v="23"/>
    <x v="2"/>
    <n v="44"/>
    <n v="1621540000"/>
  </r>
  <r>
    <x v="10"/>
    <x v="23"/>
    <x v="0"/>
    <n v="440"/>
    <n v="533805000"/>
  </r>
  <r>
    <x v="10"/>
    <x v="23"/>
    <x v="1"/>
    <n v="334"/>
    <n v="984140000"/>
  </r>
  <r>
    <x v="10"/>
    <x v="23"/>
    <x v="2"/>
    <n v="14"/>
    <n v="115100000"/>
  </r>
  <r>
    <x v="10"/>
    <x v="23"/>
    <x v="4"/>
    <n v="12"/>
    <n v="84100000"/>
  </r>
  <r>
    <x v="4"/>
    <x v="23"/>
    <x v="0"/>
    <n v="26"/>
    <n v="83267000"/>
  </r>
  <r>
    <x v="4"/>
    <x v="23"/>
    <x v="2"/>
    <n v="12"/>
    <n v="312500000"/>
  </r>
  <r>
    <x v="4"/>
    <x v="23"/>
    <x v="1"/>
    <n v="74"/>
    <n v="626075000"/>
  </r>
  <r>
    <x v="4"/>
    <x v="23"/>
    <x v="5"/>
    <n v="1"/>
    <n v="8100000"/>
  </r>
  <r>
    <x v="11"/>
    <x v="24"/>
    <x v="7"/>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1">
  <r>
    <x v="0"/>
    <x v="0"/>
    <x v="0"/>
    <n v="25"/>
    <n v="122115000"/>
  </r>
  <r>
    <x v="0"/>
    <x v="0"/>
    <x v="1"/>
    <n v="7"/>
    <n v="73600000"/>
  </r>
  <r>
    <x v="0"/>
    <x v="0"/>
    <x v="2"/>
    <n v="1"/>
    <n v="25000000"/>
  </r>
  <r>
    <x v="1"/>
    <x v="0"/>
    <x v="0"/>
    <n v="248"/>
    <n v="855515000"/>
  </r>
  <r>
    <x v="1"/>
    <x v="0"/>
    <x v="1"/>
    <n v="30"/>
    <n v="257410000"/>
  </r>
  <r>
    <x v="1"/>
    <x v="0"/>
    <x v="2"/>
    <n v="2"/>
    <n v="34950000"/>
  </r>
  <r>
    <x v="2"/>
    <x v="0"/>
    <x v="0"/>
    <n v="873"/>
    <n v="3255948000"/>
  </r>
  <r>
    <x v="2"/>
    <x v="0"/>
    <x v="1"/>
    <n v="335"/>
    <n v="3124610000"/>
  </r>
  <r>
    <x v="2"/>
    <x v="0"/>
    <x v="2"/>
    <n v="41"/>
    <n v="1142800000"/>
  </r>
  <r>
    <x v="3"/>
    <x v="0"/>
    <x v="0"/>
    <n v="708"/>
    <n v="1672845000"/>
  </r>
  <r>
    <x v="3"/>
    <x v="0"/>
    <x v="1"/>
    <n v="190"/>
    <n v="1084165000"/>
  </r>
  <r>
    <x v="3"/>
    <x v="0"/>
    <x v="2"/>
    <n v="5"/>
    <n v="45900000"/>
  </r>
  <r>
    <x v="3"/>
    <x v="0"/>
    <x v="3"/>
    <n v="2"/>
    <n v="19000000"/>
  </r>
  <r>
    <x v="4"/>
    <x v="0"/>
    <x v="0"/>
    <n v="12"/>
    <n v="22430000"/>
  </r>
  <r>
    <x v="4"/>
    <x v="0"/>
    <x v="1"/>
    <n v="35"/>
    <n v="180540000"/>
  </r>
  <r>
    <x v="4"/>
    <x v="0"/>
    <x v="2"/>
    <n v="4"/>
    <n v="71000000"/>
  </r>
  <r>
    <x v="5"/>
    <x v="0"/>
    <x v="0"/>
    <n v="361"/>
    <n v="4578464.34"/>
  </r>
  <r>
    <x v="5"/>
    <x v="0"/>
    <x v="1"/>
    <n v="43"/>
    <n v="1591082.83"/>
  </r>
  <r>
    <x v="5"/>
    <x v="0"/>
    <x v="2"/>
    <n v="4"/>
    <n v="272772"/>
  </r>
  <r>
    <x v="6"/>
    <x v="0"/>
    <x v="0"/>
    <n v="216"/>
    <n v="8320960000"/>
  </r>
  <r>
    <x v="6"/>
    <x v="0"/>
    <x v="1"/>
    <n v="34"/>
    <n v="4418400000"/>
  </r>
  <r>
    <x v="6"/>
    <x v="0"/>
    <x v="2"/>
    <n v="5"/>
    <n v="1005000000"/>
  </r>
  <r>
    <x v="7"/>
    <x v="0"/>
    <x v="0"/>
    <n v="1847"/>
    <n v="7820794443.7600002"/>
  </r>
  <r>
    <x v="7"/>
    <x v="0"/>
    <x v="1"/>
    <n v="99"/>
    <n v="1663949742"/>
  </r>
  <r>
    <x v="7"/>
    <x v="0"/>
    <x v="2"/>
    <n v="25"/>
    <n v="690030000"/>
  </r>
  <r>
    <x v="8"/>
    <x v="0"/>
    <x v="0"/>
    <n v="118"/>
    <n v="21214000"/>
  </r>
  <r>
    <x v="8"/>
    <x v="0"/>
    <x v="1"/>
    <n v="19"/>
    <n v="7763000"/>
  </r>
  <r>
    <x v="8"/>
    <x v="0"/>
    <x v="2"/>
    <n v="2"/>
    <n v="680000"/>
  </r>
  <r>
    <x v="9"/>
    <x v="0"/>
    <x v="0"/>
    <n v="295"/>
    <n v="1049529000"/>
  </r>
  <r>
    <x v="9"/>
    <x v="0"/>
    <x v="1"/>
    <n v="83"/>
    <n v="959675000"/>
  </r>
  <r>
    <x v="9"/>
    <x v="0"/>
    <x v="2"/>
    <n v="11"/>
    <n v="207700000"/>
  </r>
  <r>
    <x v="10"/>
    <x v="0"/>
    <x v="0"/>
    <n v="99"/>
    <n v="193385000"/>
  </r>
  <r>
    <x v="10"/>
    <x v="0"/>
    <x v="1"/>
    <n v="40"/>
    <n v="214540000"/>
  </r>
  <r>
    <x v="10"/>
    <x v="0"/>
    <x v="2"/>
    <n v="8"/>
    <n v="130100000"/>
  </r>
  <r>
    <x v="10"/>
    <x v="0"/>
    <x v="3"/>
    <n v="2"/>
    <n v="8700000"/>
  </r>
  <r>
    <x v="0"/>
    <x v="1"/>
    <x v="1"/>
    <n v="18"/>
    <n v="256190000"/>
  </r>
  <r>
    <x v="0"/>
    <x v="1"/>
    <x v="0"/>
    <n v="79"/>
    <n v="277120000"/>
  </r>
  <r>
    <x v="0"/>
    <x v="1"/>
    <x v="2"/>
    <n v="6"/>
    <n v="193600000"/>
  </r>
  <r>
    <x v="0"/>
    <x v="2"/>
    <x v="1"/>
    <n v="6"/>
    <n v="67400000"/>
  </r>
  <r>
    <x v="0"/>
    <x v="2"/>
    <x v="0"/>
    <n v="97"/>
    <n v="290980000"/>
  </r>
  <r>
    <x v="0"/>
    <x v="2"/>
    <x v="2"/>
    <n v="3"/>
    <n v="71500000"/>
  </r>
  <r>
    <x v="0"/>
    <x v="3"/>
    <x v="0"/>
    <n v="91"/>
    <n v="271215000"/>
  </r>
  <r>
    <x v="0"/>
    <x v="3"/>
    <x v="2"/>
    <n v="2"/>
    <n v="79800000"/>
  </r>
  <r>
    <x v="0"/>
    <x v="3"/>
    <x v="1"/>
    <n v="17"/>
    <n v="252350000"/>
  </r>
  <r>
    <x v="0"/>
    <x v="4"/>
    <x v="2"/>
    <n v="3"/>
    <n v="61000000"/>
  </r>
  <r>
    <x v="0"/>
    <x v="4"/>
    <x v="0"/>
    <n v="71"/>
    <n v="277410000"/>
  </r>
  <r>
    <x v="0"/>
    <x v="4"/>
    <x v="1"/>
    <n v="3"/>
    <n v="43700000"/>
  </r>
  <r>
    <x v="0"/>
    <x v="5"/>
    <x v="2"/>
    <n v="2"/>
    <n v="61500000"/>
  </r>
  <r>
    <x v="0"/>
    <x v="5"/>
    <x v="0"/>
    <n v="57"/>
    <n v="212955000"/>
  </r>
  <r>
    <x v="0"/>
    <x v="5"/>
    <x v="1"/>
    <n v="13"/>
    <n v="157700000"/>
  </r>
  <r>
    <x v="0"/>
    <x v="6"/>
    <x v="4"/>
    <n v="5"/>
    <n v="28020000"/>
  </r>
  <r>
    <x v="0"/>
    <x v="6"/>
    <x v="2"/>
    <n v="2"/>
    <n v="68000000"/>
  </r>
  <r>
    <x v="0"/>
    <x v="6"/>
    <x v="1"/>
    <n v="5"/>
    <n v="97700000"/>
  </r>
  <r>
    <x v="0"/>
    <x v="6"/>
    <x v="0"/>
    <n v="29"/>
    <n v="85345000"/>
  </r>
  <r>
    <x v="0"/>
    <x v="7"/>
    <x v="1"/>
    <n v="17"/>
    <n v="264260000"/>
  </r>
  <r>
    <x v="0"/>
    <x v="7"/>
    <x v="4"/>
    <n v="3"/>
    <n v="10100000"/>
  </r>
  <r>
    <x v="0"/>
    <x v="7"/>
    <x v="2"/>
    <n v="1"/>
    <n v="30000000"/>
  </r>
  <r>
    <x v="0"/>
    <x v="7"/>
    <x v="0"/>
    <n v="42"/>
    <n v="157130000"/>
  </r>
  <r>
    <x v="1"/>
    <x v="1"/>
    <x v="2"/>
    <n v="7"/>
    <n v="256075000"/>
  </r>
  <r>
    <x v="1"/>
    <x v="1"/>
    <x v="0"/>
    <n v="208"/>
    <n v="783580180"/>
  </r>
  <r>
    <x v="1"/>
    <x v="1"/>
    <x v="1"/>
    <n v="27"/>
    <n v="253390000"/>
  </r>
  <r>
    <x v="1"/>
    <x v="2"/>
    <x v="0"/>
    <n v="237"/>
    <n v="901365000"/>
  </r>
  <r>
    <x v="1"/>
    <x v="2"/>
    <x v="1"/>
    <n v="33"/>
    <n v="318225000"/>
  </r>
  <r>
    <x v="1"/>
    <x v="2"/>
    <x v="2"/>
    <n v="9"/>
    <n v="124000000"/>
  </r>
  <r>
    <x v="1"/>
    <x v="3"/>
    <x v="2"/>
    <n v="15"/>
    <n v="288025000"/>
  </r>
  <r>
    <x v="1"/>
    <x v="3"/>
    <x v="1"/>
    <n v="52"/>
    <n v="426495000"/>
  </r>
  <r>
    <x v="1"/>
    <x v="3"/>
    <x v="0"/>
    <n v="275"/>
    <n v="1145285000"/>
  </r>
  <r>
    <x v="1"/>
    <x v="4"/>
    <x v="1"/>
    <n v="57"/>
    <n v="555880000"/>
  </r>
  <r>
    <x v="1"/>
    <x v="4"/>
    <x v="0"/>
    <n v="254"/>
    <n v="1017186492"/>
  </r>
  <r>
    <x v="1"/>
    <x v="4"/>
    <x v="2"/>
    <n v="14"/>
    <n v="279400000"/>
  </r>
  <r>
    <x v="1"/>
    <x v="5"/>
    <x v="1"/>
    <n v="49"/>
    <n v="400830000"/>
  </r>
  <r>
    <x v="1"/>
    <x v="5"/>
    <x v="2"/>
    <n v="6"/>
    <n v="72400000"/>
  </r>
  <r>
    <x v="1"/>
    <x v="5"/>
    <x v="0"/>
    <n v="228"/>
    <n v="1026980000"/>
  </r>
  <r>
    <x v="1"/>
    <x v="6"/>
    <x v="0"/>
    <n v="227"/>
    <n v="694592000"/>
  </r>
  <r>
    <x v="1"/>
    <x v="6"/>
    <x v="1"/>
    <n v="46"/>
    <n v="348430000"/>
  </r>
  <r>
    <x v="1"/>
    <x v="6"/>
    <x v="2"/>
    <n v="15"/>
    <n v="230420000"/>
  </r>
  <r>
    <x v="1"/>
    <x v="7"/>
    <x v="0"/>
    <n v="384"/>
    <n v="1142471000"/>
  </r>
  <r>
    <x v="1"/>
    <x v="7"/>
    <x v="2"/>
    <n v="18"/>
    <n v="155730000"/>
  </r>
  <r>
    <x v="1"/>
    <x v="7"/>
    <x v="1"/>
    <n v="59"/>
    <n v="416855000"/>
  </r>
  <r>
    <x v="2"/>
    <x v="1"/>
    <x v="1"/>
    <n v="328"/>
    <n v="2917775000"/>
  </r>
  <r>
    <x v="2"/>
    <x v="1"/>
    <x v="2"/>
    <n v="48"/>
    <n v="1485750000"/>
  </r>
  <r>
    <x v="2"/>
    <x v="1"/>
    <x v="0"/>
    <n v="782"/>
    <n v="2519130000"/>
  </r>
  <r>
    <x v="2"/>
    <x v="2"/>
    <x v="1"/>
    <n v="370"/>
    <n v="3314515000"/>
  </r>
  <r>
    <x v="2"/>
    <x v="2"/>
    <x v="2"/>
    <n v="72"/>
    <n v="1833300000"/>
  </r>
  <r>
    <x v="2"/>
    <x v="2"/>
    <x v="0"/>
    <n v="1034"/>
    <n v="3326995000"/>
  </r>
  <r>
    <x v="2"/>
    <x v="3"/>
    <x v="0"/>
    <n v="1052"/>
    <n v="3539985000"/>
  </r>
  <r>
    <x v="2"/>
    <x v="3"/>
    <x v="1"/>
    <n v="453"/>
    <n v="4466427000"/>
  </r>
  <r>
    <x v="2"/>
    <x v="3"/>
    <x v="2"/>
    <n v="70"/>
    <n v="2017250000"/>
  </r>
  <r>
    <x v="2"/>
    <x v="4"/>
    <x v="1"/>
    <n v="428"/>
    <n v="4182705000"/>
  </r>
  <r>
    <x v="2"/>
    <x v="4"/>
    <x v="0"/>
    <n v="922"/>
    <n v="2978880000"/>
  </r>
  <r>
    <x v="2"/>
    <x v="4"/>
    <x v="5"/>
    <n v="1"/>
    <n v="30000000"/>
  </r>
  <r>
    <x v="2"/>
    <x v="4"/>
    <x v="2"/>
    <n v="59"/>
    <n v="1803150000"/>
  </r>
  <r>
    <x v="2"/>
    <x v="5"/>
    <x v="1"/>
    <n v="382"/>
    <n v="3491726595"/>
  </r>
  <r>
    <x v="2"/>
    <x v="5"/>
    <x v="5"/>
    <n v="1"/>
    <n v="350000000"/>
  </r>
  <r>
    <x v="2"/>
    <x v="5"/>
    <x v="2"/>
    <n v="75"/>
    <n v="2731400000"/>
  </r>
  <r>
    <x v="2"/>
    <x v="5"/>
    <x v="0"/>
    <n v="973"/>
    <n v="3273330000"/>
  </r>
  <r>
    <x v="2"/>
    <x v="6"/>
    <x v="0"/>
    <n v="1340"/>
    <n v="4607410000"/>
  </r>
  <r>
    <x v="2"/>
    <x v="6"/>
    <x v="2"/>
    <n v="78"/>
    <n v="1639188871"/>
  </r>
  <r>
    <x v="2"/>
    <x v="6"/>
    <x v="1"/>
    <n v="486"/>
    <n v="4536430000"/>
  </r>
  <r>
    <x v="2"/>
    <x v="7"/>
    <x v="1"/>
    <n v="389"/>
    <n v="3958695000"/>
  </r>
  <r>
    <x v="2"/>
    <x v="7"/>
    <x v="2"/>
    <n v="81"/>
    <n v="2128900000"/>
  </r>
  <r>
    <x v="2"/>
    <x v="7"/>
    <x v="0"/>
    <n v="1089"/>
    <n v="3695845000"/>
  </r>
  <r>
    <x v="3"/>
    <x v="1"/>
    <x v="0"/>
    <n v="558"/>
    <n v="1541598140"/>
  </r>
  <r>
    <x v="3"/>
    <x v="1"/>
    <x v="2"/>
    <n v="7"/>
    <n v="92699000"/>
  </r>
  <r>
    <x v="3"/>
    <x v="1"/>
    <x v="1"/>
    <n v="80"/>
    <n v="538770480"/>
  </r>
  <r>
    <x v="3"/>
    <x v="2"/>
    <x v="1"/>
    <n v="76"/>
    <n v="576844800"/>
  </r>
  <r>
    <x v="3"/>
    <x v="2"/>
    <x v="0"/>
    <n v="585"/>
    <n v="1449117000"/>
  </r>
  <r>
    <x v="3"/>
    <x v="2"/>
    <x v="2"/>
    <n v="8"/>
    <n v="112180000"/>
  </r>
  <r>
    <x v="3"/>
    <x v="2"/>
    <x v="3"/>
    <n v="5"/>
    <n v="23174900"/>
  </r>
  <r>
    <x v="3"/>
    <x v="3"/>
    <x v="1"/>
    <n v="175"/>
    <n v="934735000"/>
  </r>
  <r>
    <x v="3"/>
    <x v="3"/>
    <x v="3"/>
    <n v="4"/>
    <n v="40400000"/>
  </r>
  <r>
    <x v="3"/>
    <x v="3"/>
    <x v="0"/>
    <n v="644"/>
    <n v="1428105500"/>
  </r>
  <r>
    <x v="3"/>
    <x v="3"/>
    <x v="2"/>
    <n v="13"/>
    <n v="231800000"/>
  </r>
  <r>
    <x v="3"/>
    <x v="4"/>
    <x v="1"/>
    <n v="156"/>
    <n v="986706731"/>
  </r>
  <r>
    <x v="3"/>
    <x v="4"/>
    <x v="2"/>
    <n v="11"/>
    <n v="216300000"/>
  </r>
  <r>
    <x v="3"/>
    <x v="4"/>
    <x v="3"/>
    <n v="1"/>
    <n v="6000000"/>
  </r>
  <r>
    <x v="3"/>
    <x v="4"/>
    <x v="0"/>
    <n v="529"/>
    <n v="1214075000"/>
  </r>
  <r>
    <x v="3"/>
    <x v="5"/>
    <x v="1"/>
    <n v="147"/>
    <n v="902420000"/>
  </r>
  <r>
    <x v="3"/>
    <x v="5"/>
    <x v="3"/>
    <n v="1"/>
    <n v="3700000"/>
  </r>
  <r>
    <x v="3"/>
    <x v="5"/>
    <x v="0"/>
    <n v="499"/>
    <n v="1147685000"/>
  </r>
  <r>
    <x v="3"/>
    <x v="5"/>
    <x v="2"/>
    <n v="10"/>
    <n v="183000000"/>
  </r>
  <r>
    <x v="3"/>
    <x v="6"/>
    <x v="0"/>
    <n v="657"/>
    <n v="1584067000"/>
  </r>
  <r>
    <x v="3"/>
    <x v="6"/>
    <x v="2"/>
    <n v="8"/>
    <n v="156195000"/>
  </r>
  <r>
    <x v="3"/>
    <x v="6"/>
    <x v="1"/>
    <n v="198"/>
    <n v="1111270000"/>
  </r>
  <r>
    <x v="3"/>
    <x v="6"/>
    <x v="3"/>
    <n v="7"/>
    <n v="69100000"/>
  </r>
  <r>
    <x v="3"/>
    <x v="7"/>
    <x v="2"/>
    <n v="7"/>
    <n v="86800000"/>
  </r>
  <r>
    <x v="3"/>
    <x v="7"/>
    <x v="0"/>
    <n v="1093"/>
    <n v="1818686000"/>
  </r>
  <r>
    <x v="3"/>
    <x v="7"/>
    <x v="3"/>
    <n v="7"/>
    <n v="17550000"/>
  </r>
  <r>
    <x v="3"/>
    <x v="7"/>
    <x v="1"/>
    <n v="293"/>
    <n v="1347395000"/>
  </r>
  <r>
    <x v="4"/>
    <x v="1"/>
    <x v="0"/>
    <n v="11"/>
    <n v="29750000"/>
  </r>
  <r>
    <x v="4"/>
    <x v="1"/>
    <x v="1"/>
    <n v="41"/>
    <n v="237825000"/>
  </r>
  <r>
    <x v="4"/>
    <x v="1"/>
    <x v="2"/>
    <n v="2"/>
    <n v="23000000"/>
  </r>
  <r>
    <x v="4"/>
    <x v="1"/>
    <x v="6"/>
    <n v="1"/>
    <n v="14000000"/>
  </r>
  <r>
    <x v="4"/>
    <x v="2"/>
    <x v="6"/>
    <n v="1"/>
    <n v="8090000"/>
  </r>
  <r>
    <x v="4"/>
    <x v="2"/>
    <x v="0"/>
    <n v="6"/>
    <n v="16480000"/>
  </r>
  <r>
    <x v="4"/>
    <x v="2"/>
    <x v="1"/>
    <n v="48"/>
    <n v="269305000"/>
  </r>
  <r>
    <x v="4"/>
    <x v="2"/>
    <x v="2"/>
    <n v="4"/>
    <n v="44500000"/>
  </r>
  <r>
    <x v="4"/>
    <x v="3"/>
    <x v="1"/>
    <n v="67"/>
    <n v="444790831"/>
  </r>
  <r>
    <x v="4"/>
    <x v="3"/>
    <x v="0"/>
    <n v="34"/>
    <n v="132040000"/>
  </r>
  <r>
    <x v="4"/>
    <x v="3"/>
    <x v="2"/>
    <n v="14"/>
    <n v="205280000"/>
  </r>
  <r>
    <x v="4"/>
    <x v="4"/>
    <x v="1"/>
    <n v="53"/>
    <n v="353000000"/>
  </r>
  <r>
    <x v="4"/>
    <x v="4"/>
    <x v="2"/>
    <n v="4"/>
    <n v="62500000"/>
  </r>
  <r>
    <x v="4"/>
    <x v="4"/>
    <x v="0"/>
    <n v="10"/>
    <n v="37000000"/>
  </r>
  <r>
    <x v="4"/>
    <x v="5"/>
    <x v="1"/>
    <n v="57"/>
    <n v="412450000"/>
  </r>
  <r>
    <x v="4"/>
    <x v="5"/>
    <x v="2"/>
    <n v="3"/>
    <n v="36000000"/>
  </r>
  <r>
    <x v="4"/>
    <x v="5"/>
    <x v="0"/>
    <n v="18"/>
    <n v="71940000"/>
  </r>
  <r>
    <x v="4"/>
    <x v="6"/>
    <x v="2"/>
    <n v="8"/>
    <n v="94900000"/>
  </r>
  <r>
    <x v="4"/>
    <x v="6"/>
    <x v="0"/>
    <n v="12"/>
    <n v="29830000"/>
  </r>
  <r>
    <x v="4"/>
    <x v="6"/>
    <x v="1"/>
    <n v="59"/>
    <n v="454514000"/>
  </r>
  <r>
    <x v="4"/>
    <x v="7"/>
    <x v="1"/>
    <n v="42"/>
    <n v="296983000"/>
  </r>
  <r>
    <x v="4"/>
    <x v="7"/>
    <x v="0"/>
    <n v="11"/>
    <n v="29650000"/>
  </r>
  <r>
    <x v="4"/>
    <x v="7"/>
    <x v="2"/>
    <n v="6"/>
    <n v="111000000"/>
  </r>
  <r>
    <x v="5"/>
    <x v="1"/>
    <x v="0"/>
    <n v="638"/>
    <n v="10730314.560000001"/>
  </r>
  <r>
    <x v="5"/>
    <x v="1"/>
    <x v="1"/>
    <n v="58"/>
    <n v="2400158.4500000002"/>
  </r>
  <r>
    <x v="5"/>
    <x v="1"/>
    <x v="2"/>
    <n v="7"/>
    <n v="387494"/>
  </r>
  <r>
    <x v="5"/>
    <x v="2"/>
    <x v="1"/>
    <n v="68"/>
    <n v="3380801.17"/>
  </r>
  <r>
    <x v="5"/>
    <x v="2"/>
    <x v="2"/>
    <n v="3"/>
    <n v="195793.5"/>
  </r>
  <r>
    <x v="5"/>
    <x v="2"/>
    <x v="0"/>
    <n v="710"/>
    <n v="11284789.17"/>
  </r>
  <r>
    <x v="5"/>
    <x v="3"/>
    <x v="1"/>
    <n v="84"/>
    <n v="5026102.7699999996"/>
  </r>
  <r>
    <x v="5"/>
    <x v="3"/>
    <x v="2"/>
    <n v="8"/>
    <n v="690477.5"/>
  </r>
  <r>
    <x v="5"/>
    <x v="3"/>
    <x v="0"/>
    <n v="744"/>
    <n v="13112157.189999999"/>
  </r>
  <r>
    <x v="5"/>
    <x v="4"/>
    <x v="0"/>
    <n v="620"/>
    <n v="11087899.59"/>
  </r>
  <r>
    <x v="5"/>
    <x v="4"/>
    <x v="2"/>
    <n v="7"/>
    <n v="868420"/>
  </r>
  <r>
    <x v="5"/>
    <x v="4"/>
    <x v="1"/>
    <n v="85"/>
    <n v="4897341.87"/>
  </r>
  <r>
    <x v="5"/>
    <x v="5"/>
    <x v="2"/>
    <n v="8"/>
    <n v="1322276.44"/>
  </r>
  <r>
    <x v="5"/>
    <x v="5"/>
    <x v="0"/>
    <n v="627"/>
    <n v="11834161.949999999"/>
  </r>
  <r>
    <x v="5"/>
    <x v="5"/>
    <x v="1"/>
    <n v="83"/>
    <n v="3728912.41"/>
  </r>
  <r>
    <x v="5"/>
    <x v="6"/>
    <x v="0"/>
    <n v="628"/>
    <n v="12056274.140000001"/>
  </r>
  <r>
    <x v="5"/>
    <x v="6"/>
    <x v="2"/>
    <n v="8"/>
    <n v="1608010"/>
  </r>
  <r>
    <x v="5"/>
    <x v="6"/>
    <x v="1"/>
    <n v="86"/>
    <n v="4997109.12"/>
  </r>
  <r>
    <x v="5"/>
    <x v="7"/>
    <x v="6"/>
    <n v="1"/>
    <n v="70000"/>
  </r>
  <r>
    <x v="5"/>
    <x v="7"/>
    <x v="2"/>
    <n v="12"/>
    <n v="2222877.5"/>
  </r>
  <r>
    <x v="5"/>
    <x v="7"/>
    <x v="0"/>
    <n v="766"/>
    <n v="14875638.24"/>
  </r>
  <r>
    <x v="5"/>
    <x v="7"/>
    <x v="1"/>
    <n v="91"/>
    <n v="3861180.32"/>
  </r>
  <r>
    <x v="6"/>
    <x v="1"/>
    <x v="1"/>
    <n v="28"/>
    <n v="2872100000"/>
  </r>
  <r>
    <x v="6"/>
    <x v="1"/>
    <x v="2"/>
    <n v="1"/>
    <n v="43000000"/>
  </r>
  <r>
    <x v="6"/>
    <x v="1"/>
    <x v="0"/>
    <n v="230"/>
    <n v="8867350000"/>
  </r>
  <r>
    <x v="6"/>
    <x v="2"/>
    <x v="2"/>
    <n v="2"/>
    <n v="100000000"/>
  </r>
  <r>
    <x v="6"/>
    <x v="2"/>
    <x v="1"/>
    <n v="27"/>
    <n v="2825400000"/>
  </r>
  <r>
    <x v="6"/>
    <x v="2"/>
    <x v="0"/>
    <n v="380"/>
    <n v="13547570000"/>
  </r>
  <r>
    <x v="6"/>
    <x v="3"/>
    <x v="1"/>
    <n v="41"/>
    <n v="3712500000"/>
  </r>
  <r>
    <x v="6"/>
    <x v="3"/>
    <x v="0"/>
    <n v="567"/>
    <n v="18980108000"/>
  </r>
  <r>
    <x v="6"/>
    <x v="3"/>
    <x v="2"/>
    <n v="5"/>
    <n v="2790000000"/>
  </r>
  <r>
    <x v="6"/>
    <x v="4"/>
    <x v="1"/>
    <n v="36"/>
    <n v="2084380000"/>
  </r>
  <r>
    <x v="6"/>
    <x v="4"/>
    <x v="0"/>
    <n v="329"/>
    <n v="9520810000"/>
  </r>
  <r>
    <x v="6"/>
    <x v="5"/>
    <x v="0"/>
    <n v="637"/>
    <n v="23872730000"/>
  </r>
  <r>
    <x v="6"/>
    <x v="5"/>
    <x v="1"/>
    <n v="66"/>
    <n v="5752300000"/>
  </r>
  <r>
    <x v="6"/>
    <x v="5"/>
    <x v="2"/>
    <n v="7"/>
    <n v="1247000000"/>
  </r>
  <r>
    <x v="6"/>
    <x v="6"/>
    <x v="1"/>
    <n v="61"/>
    <n v="4712800000"/>
  </r>
  <r>
    <x v="6"/>
    <x v="6"/>
    <x v="0"/>
    <n v="540"/>
    <n v="22226830000"/>
  </r>
  <r>
    <x v="6"/>
    <x v="6"/>
    <x v="2"/>
    <n v="8"/>
    <n v="1005000000"/>
  </r>
  <r>
    <x v="6"/>
    <x v="7"/>
    <x v="1"/>
    <n v="53"/>
    <n v="2746700000"/>
  </r>
  <r>
    <x v="6"/>
    <x v="7"/>
    <x v="0"/>
    <n v="368"/>
    <n v="13934290000"/>
  </r>
  <r>
    <x v="6"/>
    <x v="7"/>
    <x v="2"/>
    <n v="4"/>
    <n v="638000000"/>
  </r>
  <r>
    <x v="7"/>
    <x v="1"/>
    <x v="1"/>
    <n v="81"/>
    <n v="1326658192.74"/>
  </r>
  <r>
    <x v="7"/>
    <x v="1"/>
    <x v="0"/>
    <n v="1158"/>
    <n v="6215598335.8199997"/>
  </r>
  <r>
    <x v="7"/>
    <x v="1"/>
    <x v="2"/>
    <n v="7"/>
    <n v="193850000"/>
  </r>
  <r>
    <x v="7"/>
    <x v="2"/>
    <x v="1"/>
    <n v="105"/>
    <n v="1819793320"/>
  </r>
  <r>
    <x v="7"/>
    <x v="2"/>
    <x v="2"/>
    <n v="7"/>
    <n v="241850000"/>
  </r>
  <r>
    <x v="7"/>
    <x v="2"/>
    <x v="0"/>
    <n v="1448"/>
    <n v="8062711006.3999996"/>
  </r>
  <r>
    <x v="7"/>
    <x v="3"/>
    <x v="2"/>
    <n v="11"/>
    <n v="307540000"/>
  </r>
  <r>
    <x v="7"/>
    <x v="3"/>
    <x v="1"/>
    <n v="131"/>
    <n v="2230118812"/>
  </r>
  <r>
    <x v="7"/>
    <x v="3"/>
    <x v="0"/>
    <n v="1602"/>
    <n v="8868196688.8299999"/>
  </r>
  <r>
    <x v="7"/>
    <x v="4"/>
    <x v="2"/>
    <n v="11"/>
    <n v="347244000"/>
  </r>
  <r>
    <x v="7"/>
    <x v="4"/>
    <x v="0"/>
    <n v="1939"/>
    <n v="10429132362"/>
  </r>
  <r>
    <x v="7"/>
    <x v="4"/>
    <x v="1"/>
    <n v="138"/>
    <n v="2391617885"/>
  </r>
  <r>
    <x v="7"/>
    <x v="5"/>
    <x v="2"/>
    <n v="14"/>
    <n v="568590000"/>
  </r>
  <r>
    <x v="7"/>
    <x v="5"/>
    <x v="0"/>
    <n v="2099"/>
    <n v="10435980633.57"/>
  </r>
  <r>
    <x v="7"/>
    <x v="5"/>
    <x v="1"/>
    <n v="153"/>
    <n v="2664624602"/>
  </r>
  <r>
    <x v="7"/>
    <x v="6"/>
    <x v="2"/>
    <n v="19"/>
    <n v="724060000"/>
  </r>
  <r>
    <x v="7"/>
    <x v="6"/>
    <x v="0"/>
    <n v="2263"/>
    <n v="12404614252"/>
  </r>
  <r>
    <x v="7"/>
    <x v="6"/>
    <x v="1"/>
    <n v="158"/>
    <n v="2865986756.7399998"/>
  </r>
  <r>
    <x v="7"/>
    <x v="7"/>
    <x v="0"/>
    <n v="1777"/>
    <n v="9604893500"/>
  </r>
  <r>
    <x v="7"/>
    <x v="7"/>
    <x v="2"/>
    <n v="24"/>
    <n v="755505000"/>
  </r>
  <r>
    <x v="7"/>
    <x v="7"/>
    <x v="1"/>
    <n v="158"/>
    <n v="3205263150"/>
  </r>
  <r>
    <x v="8"/>
    <x v="1"/>
    <x v="1"/>
    <n v="27"/>
    <n v="15315000"/>
  </r>
  <r>
    <x v="8"/>
    <x v="1"/>
    <x v="6"/>
    <n v="3"/>
    <n v="120000"/>
  </r>
  <r>
    <x v="8"/>
    <x v="1"/>
    <x v="0"/>
    <n v="110"/>
    <n v="21424800"/>
  </r>
  <r>
    <x v="8"/>
    <x v="1"/>
    <x v="2"/>
    <n v="3"/>
    <n v="2150000"/>
  </r>
  <r>
    <x v="8"/>
    <x v="2"/>
    <x v="0"/>
    <n v="109"/>
    <n v="22663600"/>
  </r>
  <r>
    <x v="8"/>
    <x v="2"/>
    <x v="2"/>
    <n v="2"/>
    <n v="2310000"/>
  </r>
  <r>
    <x v="8"/>
    <x v="2"/>
    <x v="6"/>
    <n v="8"/>
    <n v="149000"/>
  </r>
  <r>
    <x v="8"/>
    <x v="2"/>
    <x v="1"/>
    <n v="27"/>
    <n v="14932000"/>
  </r>
  <r>
    <x v="8"/>
    <x v="3"/>
    <x v="6"/>
    <n v="5"/>
    <n v="237000"/>
  </r>
  <r>
    <x v="8"/>
    <x v="3"/>
    <x v="2"/>
    <n v="1"/>
    <n v="450000"/>
  </r>
  <r>
    <x v="8"/>
    <x v="3"/>
    <x v="0"/>
    <n v="107"/>
    <n v="22079200"/>
  </r>
  <r>
    <x v="8"/>
    <x v="3"/>
    <x v="1"/>
    <n v="38"/>
    <n v="23288000"/>
  </r>
  <r>
    <x v="8"/>
    <x v="4"/>
    <x v="2"/>
    <n v="2"/>
    <n v="1439900"/>
  </r>
  <r>
    <x v="8"/>
    <x v="4"/>
    <x v="1"/>
    <n v="48"/>
    <n v="19272810.260000002"/>
  </r>
  <r>
    <x v="8"/>
    <x v="4"/>
    <x v="0"/>
    <n v="146"/>
    <n v="19449000"/>
  </r>
  <r>
    <x v="8"/>
    <x v="4"/>
    <x v="6"/>
    <n v="7"/>
    <n v="1171840"/>
  </r>
  <r>
    <x v="8"/>
    <x v="5"/>
    <x v="2"/>
    <n v="1"/>
    <n v="1200000"/>
  </r>
  <r>
    <x v="8"/>
    <x v="5"/>
    <x v="6"/>
    <n v="6"/>
    <n v="195290"/>
  </r>
  <r>
    <x v="8"/>
    <x v="5"/>
    <x v="1"/>
    <n v="40"/>
    <n v="21278500"/>
  </r>
  <r>
    <x v="8"/>
    <x v="5"/>
    <x v="0"/>
    <n v="101"/>
    <n v="15197981"/>
  </r>
  <r>
    <x v="8"/>
    <x v="6"/>
    <x v="2"/>
    <n v="3"/>
    <n v="2250000"/>
  </r>
  <r>
    <x v="8"/>
    <x v="6"/>
    <x v="0"/>
    <n v="126"/>
    <n v="20910748"/>
  </r>
  <r>
    <x v="8"/>
    <x v="6"/>
    <x v="6"/>
    <n v="5"/>
    <n v="225000"/>
  </r>
  <r>
    <x v="8"/>
    <x v="6"/>
    <x v="1"/>
    <n v="58"/>
    <n v="30416255"/>
  </r>
  <r>
    <x v="8"/>
    <x v="7"/>
    <x v="0"/>
    <n v="140"/>
    <n v="29669400"/>
  </r>
  <r>
    <x v="8"/>
    <x v="7"/>
    <x v="2"/>
    <n v="1"/>
    <n v="51000"/>
  </r>
  <r>
    <x v="8"/>
    <x v="7"/>
    <x v="6"/>
    <n v="8"/>
    <n v="512000"/>
  </r>
  <r>
    <x v="8"/>
    <x v="7"/>
    <x v="1"/>
    <n v="44"/>
    <n v="22255000"/>
  </r>
  <r>
    <x v="9"/>
    <x v="1"/>
    <x v="2"/>
    <n v="6"/>
    <n v="64500000"/>
  </r>
  <r>
    <x v="9"/>
    <x v="1"/>
    <x v="0"/>
    <n v="247"/>
    <n v="809370000"/>
  </r>
  <r>
    <x v="9"/>
    <x v="1"/>
    <x v="1"/>
    <n v="43"/>
    <n v="490650000"/>
  </r>
  <r>
    <x v="9"/>
    <x v="2"/>
    <x v="6"/>
    <n v="2"/>
    <n v="51200000"/>
  </r>
  <r>
    <x v="9"/>
    <x v="2"/>
    <x v="2"/>
    <n v="7"/>
    <n v="67000000"/>
  </r>
  <r>
    <x v="9"/>
    <x v="2"/>
    <x v="0"/>
    <n v="319"/>
    <n v="957773235"/>
  </r>
  <r>
    <x v="9"/>
    <x v="2"/>
    <x v="1"/>
    <n v="58"/>
    <n v="518200000"/>
  </r>
  <r>
    <x v="9"/>
    <x v="3"/>
    <x v="1"/>
    <n v="85"/>
    <n v="1107100000"/>
  </r>
  <r>
    <x v="9"/>
    <x v="3"/>
    <x v="0"/>
    <n v="388"/>
    <n v="1179965190"/>
  </r>
  <r>
    <x v="9"/>
    <x v="3"/>
    <x v="2"/>
    <n v="10"/>
    <n v="222000000"/>
  </r>
  <r>
    <x v="9"/>
    <x v="3"/>
    <x v="6"/>
    <n v="3"/>
    <n v="3390263"/>
  </r>
  <r>
    <x v="9"/>
    <x v="4"/>
    <x v="0"/>
    <n v="433"/>
    <n v="1171393238"/>
  </r>
  <r>
    <x v="9"/>
    <x v="4"/>
    <x v="6"/>
    <n v="5"/>
    <n v="1005931"/>
  </r>
  <r>
    <x v="9"/>
    <x v="4"/>
    <x v="1"/>
    <n v="77"/>
    <n v="908750000"/>
  </r>
  <r>
    <x v="9"/>
    <x v="4"/>
    <x v="2"/>
    <n v="3"/>
    <n v="70000000"/>
  </r>
  <r>
    <x v="9"/>
    <x v="5"/>
    <x v="6"/>
    <n v="2"/>
    <n v="75200000"/>
  </r>
  <r>
    <x v="9"/>
    <x v="5"/>
    <x v="1"/>
    <n v="84"/>
    <n v="923650000"/>
  </r>
  <r>
    <x v="9"/>
    <x v="5"/>
    <x v="0"/>
    <n v="354"/>
    <n v="1225850000"/>
  </r>
  <r>
    <x v="9"/>
    <x v="5"/>
    <x v="2"/>
    <n v="7"/>
    <n v="129650000"/>
  </r>
  <r>
    <x v="9"/>
    <x v="6"/>
    <x v="1"/>
    <n v="95"/>
    <n v="1225204560"/>
  </r>
  <r>
    <x v="9"/>
    <x v="6"/>
    <x v="2"/>
    <n v="13"/>
    <n v="235000000"/>
  </r>
  <r>
    <x v="9"/>
    <x v="6"/>
    <x v="0"/>
    <n v="400"/>
    <n v="1279842938"/>
  </r>
  <r>
    <x v="9"/>
    <x v="7"/>
    <x v="2"/>
    <n v="8"/>
    <n v="170250000"/>
  </r>
  <r>
    <x v="9"/>
    <x v="7"/>
    <x v="1"/>
    <n v="82"/>
    <n v="863450000"/>
  </r>
  <r>
    <x v="9"/>
    <x v="7"/>
    <x v="0"/>
    <n v="326"/>
    <n v="1042330000"/>
  </r>
  <r>
    <x v="10"/>
    <x v="1"/>
    <x v="0"/>
    <n v="145"/>
    <n v="333463294"/>
  </r>
  <r>
    <x v="10"/>
    <x v="1"/>
    <x v="1"/>
    <n v="58"/>
    <n v="308780000"/>
  </r>
  <r>
    <x v="10"/>
    <x v="1"/>
    <x v="2"/>
    <n v="5"/>
    <n v="51500000"/>
  </r>
  <r>
    <x v="10"/>
    <x v="1"/>
    <x v="3"/>
    <n v="1"/>
    <n v="7000000"/>
  </r>
  <r>
    <x v="10"/>
    <x v="2"/>
    <x v="1"/>
    <n v="73"/>
    <n v="336950000"/>
  </r>
  <r>
    <x v="10"/>
    <x v="2"/>
    <x v="3"/>
    <n v="3"/>
    <n v="14220000"/>
  </r>
  <r>
    <x v="10"/>
    <x v="2"/>
    <x v="0"/>
    <n v="128"/>
    <n v="278360000"/>
  </r>
  <r>
    <x v="10"/>
    <x v="2"/>
    <x v="2"/>
    <n v="7"/>
    <n v="59600000"/>
  </r>
  <r>
    <x v="10"/>
    <x v="3"/>
    <x v="0"/>
    <n v="149"/>
    <n v="364395000"/>
  </r>
  <r>
    <x v="10"/>
    <x v="3"/>
    <x v="2"/>
    <n v="18"/>
    <n v="206750000"/>
  </r>
  <r>
    <x v="10"/>
    <x v="3"/>
    <x v="1"/>
    <n v="99"/>
    <n v="528735000"/>
  </r>
  <r>
    <x v="10"/>
    <x v="3"/>
    <x v="3"/>
    <n v="4"/>
    <n v="24500000"/>
  </r>
  <r>
    <x v="10"/>
    <x v="4"/>
    <x v="3"/>
    <n v="3"/>
    <n v="44400000"/>
  </r>
  <r>
    <x v="10"/>
    <x v="4"/>
    <x v="2"/>
    <n v="6"/>
    <n v="63400000"/>
  </r>
  <r>
    <x v="10"/>
    <x v="4"/>
    <x v="0"/>
    <n v="141"/>
    <n v="330077000"/>
  </r>
  <r>
    <x v="10"/>
    <x v="4"/>
    <x v="1"/>
    <n v="55"/>
    <n v="315600000"/>
  </r>
  <r>
    <x v="10"/>
    <x v="5"/>
    <x v="2"/>
    <n v="6"/>
    <n v="78700000"/>
  </r>
  <r>
    <x v="10"/>
    <x v="5"/>
    <x v="3"/>
    <n v="5"/>
    <n v="30200000"/>
  </r>
  <r>
    <x v="10"/>
    <x v="5"/>
    <x v="1"/>
    <n v="85"/>
    <n v="491150000"/>
  </r>
  <r>
    <x v="10"/>
    <x v="5"/>
    <x v="0"/>
    <n v="159"/>
    <n v="373510000"/>
  </r>
  <r>
    <x v="10"/>
    <x v="6"/>
    <x v="3"/>
    <n v="6"/>
    <n v="19613624"/>
  </r>
  <r>
    <x v="10"/>
    <x v="6"/>
    <x v="1"/>
    <n v="111"/>
    <n v="612030000"/>
  </r>
  <r>
    <x v="10"/>
    <x v="6"/>
    <x v="2"/>
    <n v="10"/>
    <n v="107000000"/>
  </r>
  <r>
    <x v="10"/>
    <x v="6"/>
    <x v="0"/>
    <n v="180"/>
    <n v="434950000"/>
  </r>
  <r>
    <x v="10"/>
    <x v="7"/>
    <x v="1"/>
    <n v="87"/>
    <n v="434900000"/>
  </r>
  <r>
    <x v="10"/>
    <x v="7"/>
    <x v="0"/>
    <n v="152"/>
    <n v="372180000"/>
  </r>
  <r>
    <x v="10"/>
    <x v="7"/>
    <x v="2"/>
    <n v="8"/>
    <n v="78000000"/>
  </r>
  <r>
    <x v="10"/>
    <x v="7"/>
    <x v="3"/>
    <n v="5"/>
    <n v="23200000"/>
  </r>
  <r>
    <x v="0"/>
    <x v="8"/>
    <x v="1"/>
    <n v="23"/>
    <n v="285990000"/>
  </r>
  <r>
    <x v="0"/>
    <x v="8"/>
    <x v="0"/>
    <n v="84"/>
    <n v="302370000"/>
  </r>
  <r>
    <x v="0"/>
    <x v="8"/>
    <x v="2"/>
    <n v="1"/>
    <n v="5000000"/>
  </r>
  <r>
    <x v="1"/>
    <x v="8"/>
    <x v="1"/>
    <n v="83"/>
    <n v="622975000"/>
  </r>
  <r>
    <x v="1"/>
    <x v="8"/>
    <x v="2"/>
    <n v="15"/>
    <n v="208550000"/>
  </r>
  <r>
    <x v="1"/>
    <x v="8"/>
    <x v="0"/>
    <n v="503"/>
    <n v="1530155000"/>
  </r>
  <r>
    <x v="2"/>
    <x v="8"/>
    <x v="0"/>
    <n v="1497"/>
    <n v="4950340000"/>
  </r>
  <r>
    <x v="2"/>
    <x v="8"/>
    <x v="5"/>
    <n v="1"/>
    <n v="50000000"/>
  </r>
  <r>
    <x v="2"/>
    <x v="8"/>
    <x v="1"/>
    <n v="509"/>
    <n v="3965487000"/>
  </r>
  <r>
    <x v="2"/>
    <x v="8"/>
    <x v="2"/>
    <n v="83"/>
    <n v="1838980000"/>
  </r>
  <r>
    <x v="3"/>
    <x v="8"/>
    <x v="1"/>
    <n v="161"/>
    <n v="952300000"/>
  </r>
  <r>
    <x v="3"/>
    <x v="8"/>
    <x v="0"/>
    <n v="744"/>
    <n v="1634747000"/>
  </r>
  <r>
    <x v="3"/>
    <x v="8"/>
    <x v="3"/>
    <n v="8"/>
    <n v="17000000"/>
  </r>
  <r>
    <x v="3"/>
    <x v="8"/>
    <x v="2"/>
    <n v="11"/>
    <n v="194000000"/>
  </r>
  <r>
    <x v="4"/>
    <x v="8"/>
    <x v="2"/>
    <n v="5"/>
    <n v="85500000"/>
  </r>
  <r>
    <x v="4"/>
    <x v="8"/>
    <x v="1"/>
    <n v="91"/>
    <n v="537050000"/>
  </r>
  <r>
    <x v="4"/>
    <x v="8"/>
    <x v="0"/>
    <n v="24"/>
    <n v="62650000"/>
  </r>
  <r>
    <x v="5"/>
    <x v="8"/>
    <x v="2"/>
    <n v="7"/>
    <n v="867931.9"/>
  </r>
  <r>
    <x v="5"/>
    <x v="8"/>
    <x v="0"/>
    <n v="706"/>
    <n v="12927702.99"/>
  </r>
  <r>
    <x v="5"/>
    <x v="8"/>
    <x v="1"/>
    <n v="81"/>
    <n v="4216544.5199999996"/>
  </r>
  <r>
    <x v="6"/>
    <x v="8"/>
    <x v="2"/>
    <n v="10"/>
    <n v="615700000"/>
  </r>
  <r>
    <x v="6"/>
    <x v="8"/>
    <x v="0"/>
    <n v="532"/>
    <n v="17179550000"/>
  </r>
  <r>
    <x v="6"/>
    <x v="8"/>
    <x v="1"/>
    <n v="97"/>
    <n v="5646100000"/>
  </r>
  <r>
    <x v="7"/>
    <x v="8"/>
    <x v="1"/>
    <n v="168"/>
    <n v="3235282260"/>
  </r>
  <r>
    <x v="7"/>
    <x v="8"/>
    <x v="0"/>
    <n v="2276"/>
    <n v="11496205771.120001"/>
  </r>
  <r>
    <x v="7"/>
    <x v="8"/>
    <x v="2"/>
    <n v="14"/>
    <n v="542815000"/>
  </r>
  <r>
    <x v="8"/>
    <x v="8"/>
    <x v="1"/>
    <n v="56"/>
    <n v="32480000"/>
  </r>
  <r>
    <x v="8"/>
    <x v="8"/>
    <x v="6"/>
    <n v="1"/>
    <n v="20000"/>
  </r>
  <r>
    <x v="8"/>
    <x v="8"/>
    <x v="0"/>
    <n v="140"/>
    <n v="34196708.049999997"/>
  </r>
  <r>
    <x v="9"/>
    <x v="8"/>
    <x v="2"/>
    <n v="10"/>
    <n v="169000000"/>
  </r>
  <r>
    <x v="9"/>
    <x v="8"/>
    <x v="4"/>
    <n v="1"/>
    <n v="6000000"/>
  </r>
  <r>
    <x v="9"/>
    <x v="8"/>
    <x v="0"/>
    <n v="290"/>
    <n v="1018091057"/>
  </r>
  <r>
    <x v="9"/>
    <x v="8"/>
    <x v="1"/>
    <n v="74"/>
    <n v="835200000"/>
  </r>
  <r>
    <x v="10"/>
    <x v="8"/>
    <x v="3"/>
    <n v="3"/>
    <n v="27200000"/>
  </r>
  <r>
    <x v="10"/>
    <x v="8"/>
    <x v="0"/>
    <n v="309"/>
    <n v="447425000"/>
  </r>
  <r>
    <x v="10"/>
    <x v="8"/>
    <x v="2"/>
    <n v="17"/>
    <n v="92201866"/>
  </r>
  <r>
    <x v="10"/>
    <x v="8"/>
    <x v="1"/>
    <n v="169"/>
    <n v="622715000"/>
  </r>
  <r>
    <x v="0"/>
    <x v="9"/>
    <x v="0"/>
    <n v="59"/>
    <n v="265810000"/>
  </r>
  <r>
    <x v="0"/>
    <x v="9"/>
    <x v="1"/>
    <n v="18"/>
    <n v="184500000"/>
  </r>
  <r>
    <x v="0"/>
    <x v="9"/>
    <x v="2"/>
    <n v="2"/>
    <n v="90000000"/>
  </r>
  <r>
    <x v="1"/>
    <x v="9"/>
    <x v="1"/>
    <n v="82"/>
    <n v="610621000"/>
  </r>
  <r>
    <x v="1"/>
    <x v="9"/>
    <x v="2"/>
    <n v="17"/>
    <n v="242520000"/>
  </r>
  <r>
    <x v="1"/>
    <x v="9"/>
    <x v="0"/>
    <n v="510"/>
    <n v="1444165000"/>
  </r>
  <r>
    <x v="2"/>
    <x v="9"/>
    <x v="0"/>
    <n v="1414"/>
    <n v="4009210000"/>
  </r>
  <r>
    <x v="2"/>
    <x v="9"/>
    <x v="1"/>
    <n v="498"/>
    <n v="3930870000"/>
  </r>
  <r>
    <x v="2"/>
    <x v="9"/>
    <x v="5"/>
    <n v="2"/>
    <n v="876525000"/>
  </r>
  <r>
    <x v="2"/>
    <x v="9"/>
    <x v="2"/>
    <n v="54"/>
    <n v="1463300000"/>
  </r>
  <r>
    <x v="3"/>
    <x v="9"/>
    <x v="1"/>
    <n v="153"/>
    <n v="947397944"/>
  </r>
  <r>
    <x v="3"/>
    <x v="9"/>
    <x v="2"/>
    <n v="5"/>
    <n v="88650000"/>
  </r>
  <r>
    <x v="3"/>
    <x v="9"/>
    <x v="0"/>
    <n v="702"/>
    <n v="1672757434"/>
  </r>
  <r>
    <x v="3"/>
    <x v="9"/>
    <x v="3"/>
    <n v="7"/>
    <n v="46650000"/>
  </r>
  <r>
    <x v="4"/>
    <x v="9"/>
    <x v="2"/>
    <n v="3"/>
    <n v="17000000"/>
  </r>
  <r>
    <x v="4"/>
    <x v="9"/>
    <x v="0"/>
    <n v="16"/>
    <n v="31820000"/>
  </r>
  <r>
    <x v="4"/>
    <x v="9"/>
    <x v="1"/>
    <n v="63"/>
    <n v="294650000"/>
  </r>
  <r>
    <x v="5"/>
    <x v="9"/>
    <x v="6"/>
    <n v="1"/>
    <n v="16490.71"/>
  </r>
  <r>
    <x v="5"/>
    <x v="9"/>
    <x v="1"/>
    <n v="70"/>
    <n v="3902293.83"/>
  </r>
  <r>
    <x v="5"/>
    <x v="9"/>
    <x v="2"/>
    <n v="3"/>
    <n v="250363.4"/>
  </r>
  <r>
    <x v="5"/>
    <x v="9"/>
    <x v="0"/>
    <n v="546"/>
    <n v="10385499.039999999"/>
  </r>
  <r>
    <x v="6"/>
    <x v="9"/>
    <x v="2"/>
    <n v="8"/>
    <n v="881000000"/>
  </r>
  <r>
    <x v="6"/>
    <x v="9"/>
    <x v="0"/>
    <n v="352"/>
    <n v="11427220000"/>
  </r>
  <r>
    <x v="6"/>
    <x v="9"/>
    <x v="1"/>
    <n v="62"/>
    <n v="3583800000"/>
  </r>
  <r>
    <x v="7"/>
    <x v="9"/>
    <x v="2"/>
    <n v="13"/>
    <n v="323950000"/>
  </r>
  <r>
    <x v="7"/>
    <x v="9"/>
    <x v="1"/>
    <n v="159"/>
    <n v="3013079200.1399999"/>
  </r>
  <r>
    <x v="7"/>
    <x v="9"/>
    <x v="0"/>
    <n v="2816"/>
    <n v="13073163544.190001"/>
  </r>
  <r>
    <x v="8"/>
    <x v="9"/>
    <x v="0"/>
    <n v="172"/>
    <n v="25506472.800000001"/>
  </r>
  <r>
    <x v="8"/>
    <x v="9"/>
    <x v="1"/>
    <n v="40"/>
    <n v="15246000"/>
  </r>
  <r>
    <x v="8"/>
    <x v="9"/>
    <x v="4"/>
    <n v="1"/>
    <n v="79000"/>
  </r>
  <r>
    <x v="8"/>
    <x v="9"/>
    <x v="2"/>
    <n v="1"/>
    <n v="450000"/>
  </r>
  <r>
    <x v="8"/>
    <x v="9"/>
    <x v="6"/>
    <n v="4"/>
    <n v="795000"/>
  </r>
  <r>
    <x v="9"/>
    <x v="9"/>
    <x v="2"/>
    <n v="12"/>
    <n v="255000000"/>
  </r>
  <r>
    <x v="9"/>
    <x v="9"/>
    <x v="1"/>
    <n v="94"/>
    <n v="1086276000"/>
  </r>
  <r>
    <x v="9"/>
    <x v="9"/>
    <x v="0"/>
    <n v="288"/>
    <n v="1002113456"/>
  </r>
  <r>
    <x v="10"/>
    <x v="9"/>
    <x v="0"/>
    <n v="609"/>
    <n v="531088000"/>
  </r>
  <r>
    <x v="10"/>
    <x v="9"/>
    <x v="2"/>
    <n v="36"/>
    <n v="182993357"/>
  </r>
  <r>
    <x v="10"/>
    <x v="9"/>
    <x v="3"/>
    <n v="2"/>
    <n v="12800000"/>
  </r>
  <r>
    <x v="10"/>
    <x v="9"/>
    <x v="1"/>
    <n v="255"/>
    <n v="548550000"/>
  </r>
  <r>
    <x v="0"/>
    <x v="10"/>
    <x v="1"/>
    <n v="15"/>
    <n v="252960000"/>
  </r>
  <r>
    <x v="0"/>
    <x v="10"/>
    <x v="0"/>
    <n v="45"/>
    <n v="157470000"/>
  </r>
  <r>
    <x v="0"/>
    <x v="10"/>
    <x v="2"/>
    <n v="2"/>
    <n v="30000000"/>
  </r>
  <r>
    <x v="1"/>
    <x v="10"/>
    <x v="0"/>
    <n v="397"/>
    <n v="887120000"/>
  </r>
  <r>
    <x v="1"/>
    <x v="10"/>
    <x v="1"/>
    <n v="70"/>
    <n v="321941000"/>
  </r>
  <r>
    <x v="1"/>
    <x v="10"/>
    <x v="2"/>
    <n v="5"/>
    <n v="80500000"/>
  </r>
  <r>
    <x v="2"/>
    <x v="10"/>
    <x v="0"/>
    <n v="1445"/>
    <n v="4179400000"/>
  </r>
  <r>
    <x v="2"/>
    <x v="10"/>
    <x v="5"/>
    <n v="2"/>
    <n v="550000000"/>
  </r>
  <r>
    <x v="2"/>
    <x v="10"/>
    <x v="2"/>
    <n v="66"/>
    <n v="1500750000"/>
  </r>
  <r>
    <x v="2"/>
    <x v="10"/>
    <x v="1"/>
    <n v="588"/>
    <n v="4687120000"/>
  </r>
  <r>
    <x v="3"/>
    <x v="10"/>
    <x v="0"/>
    <n v="646"/>
    <n v="1597198000"/>
  </r>
  <r>
    <x v="3"/>
    <x v="10"/>
    <x v="3"/>
    <n v="5"/>
    <n v="7950000"/>
  </r>
  <r>
    <x v="3"/>
    <x v="10"/>
    <x v="1"/>
    <n v="133"/>
    <n v="755240000"/>
  </r>
  <r>
    <x v="3"/>
    <x v="10"/>
    <x v="2"/>
    <n v="7"/>
    <n v="129500000"/>
  </r>
  <r>
    <x v="4"/>
    <x v="10"/>
    <x v="6"/>
    <n v="1"/>
    <n v="1730000"/>
  </r>
  <r>
    <x v="4"/>
    <x v="10"/>
    <x v="1"/>
    <n v="46"/>
    <n v="239900000"/>
  </r>
  <r>
    <x v="4"/>
    <x v="10"/>
    <x v="0"/>
    <n v="26"/>
    <n v="40012405"/>
  </r>
  <r>
    <x v="4"/>
    <x v="10"/>
    <x v="2"/>
    <n v="5"/>
    <n v="68500000"/>
  </r>
  <r>
    <x v="5"/>
    <x v="10"/>
    <x v="2"/>
    <n v="5"/>
    <n v="786350.4"/>
  </r>
  <r>
    <x v="5"/>
    <x v="10"/>
    <x v="0"/>
    <n v="560"/>
    <n v="10360800.41"/>
  </r>
  <r>
    <x v="5"/>
    <x v="10"/>
    <x v="6"/>
    <n v="2"/>
    <n v="50000"/>
  </r>
  <r>
    <x v="5"/>
    <x v="10"/>
    <x v="1"/>
    <n v="63"/>
    <n v="3525341.26"/>
  </r>
  <r>
    <x v="6"/>
    <x v="10"/>
    <x v="1"/>
    <n v="61"/>
    <n v="3558900000"/>
  </r>
  <r>
    <x v="6"/>
    <x v="10"/>
    <x v="2"/>
    <n v="5"/>
    <n v="279000000"/>
  </r>
  <r>
    <x v="6"/>
    <x v="10"/>
    <x v="0"/>
    <n v="624"/>
    <n v="19884720000"/>
  </r>
  <r>
    <x v="7"/>
    <x v="10"/>
    <x v="1"/>
    <n v="169"/>
    <n v="3122441424.3299999"/>
  </r>
  <r>
    <x v="7"/>
    <x v="10"/>
    <x v="0"/>
    <n v="2088"/>
    <n v="10915802799.219999"/>
  </r>
  <r>
    <x v="7"/>
    <x v="10"/>
    <x v="2"/>
    <n v="17"/>
    <n v="649970000"/>
  </r>
  <r>
    <x v="8"/>
    <x v="10"/>
    <x v="6"/>
    <n v="6"/>
    <n v="537000"/>
  </r>
  <r>
    <x v="8"/>
    <x v="10"/>
    <x v="1"/>
    <n v="52"/>
    <n v="21129000"/>
  </r>
  <r>
    <x v="8"/>
    <x v="10"/>
    <x v="2"/>
    <n v="3"/>
    <n v="2100000"/>
  </r>
  <r>
    <x v="8"/>
    <x v="10"/>
    <x v="0"/>
    <n v="219"/>
    <n v="27869300"/>
  </r>
  <r>
    <x v="9"/>
    <x v="10"/>
    <x v="1"/>
    <n v="81"/>
    <n v="777450000"/>
  </r>
  <r>
    <x v="9"/>
    <x v="10"/>
    <x v="0"/>
    <n v="291"/>
    <n v="1055607000"/>
  </r>
  <r>
    <x v="9"/>
    <x v="10"/>
    <x v="2"/>
    <n v="8"/>
    <n v="109700000"/>
  </r>
  <r>
    <x v="10"/>
    <x v="10"/>
    <x v="3"/>
    <n v="1"/>
    <n v="500000"/>
  </r>
  <r>
    <x v="10"/>
    <x v="10"/>
    <x v="1"/>
    <n v="149"/>
    <n v="401258000"/>
  </r>
  <r>
    <x v="10"/>
    <x v="10"/>
    <x v="0"/>
    <n v="374"/>
    <n v="470823000"/>
  </r>
  <r>
    <x v="10"/>
    <x v="10"/>
    <x v="2"/>
    <n v="14"/>
    <n v="92860000"/>
  </r>
  <r>
    <x v="0"/>
    <x v="11"/>
    <x v="2"/>
    <n v="1"/>
    <n v="5000000"/>
  </r>
  <r>
    <x v="0"/>
    <x v="11"/>
    <x v="0"/>
    <n v="43"/>
    <n v="187900000"/>
  </r>
  <r>
    <x v="0"/>
    <x v="11"/>
    <x v="1"/>
    <n v="9"/>
    <n v="72500000"/>
  </r>
  <r>
    <x v="1"/>
    <x v="11"/>
    <x v="1"/>
    <n v="31"/>
    <n v="339325000"/>
  </r>
  <r>
    <x v="1"/>
    <x v="11"/>
    <x v="4"/>
    <n v="22"/>
    <n v="97760000"/>
  </r>
  <r>
    <x v="1"/>
    <x v="11"/>
    <x v="0"/>
    <n v="189"/>
    <n v="655425000"/>
  </r>
  <r>
    <x v="1"/>
    <x v="11"/>
    <x v="2"/>
    <n v="2"/>
    <n v="16500000"/>
  </r>
  <r>
    <x v="2"/>
    <x v="11"/>
    <x v="1"/>
    <n v="293"/>
    <n v="2596135000"/>
  </r>
  <r>
    <x v="2"/>
    <x v="11"/>
    <x v="2"/>
    <n v="40"/>
    <n v="1034100000"/>
  </r>
  <r>
    <x v="2"/>
    <x v="11"/>
    <x v="0"/>
    <n v="786"/>
    <n v="2797255000"/>
  </r>
  <r>
    <x v="3"/>
    <x v="11"/>
    <x v="2"/>
    <n v="5"/>
    <n v="156500000"/>
  </r>
  <r>
    <x v="3"/>
    <x v="11"/>
    <x v="3"/>
    <n v="2"/>
    <n v="5000000"/>
  </r>
  <r>
    <x v="3"/>
    <x v="11"/>
    <x v="1"/>
    <n v="172"/>
    <n v="1024860000"/>
  </r>
  <r>
    <x v="3"/>
    <x v="11"/>
    <x v="0"/>
    <n v="598"/>
    <n v="1459791000"/>
  </r>
  <r>
    <x v="4"/>
    <x v="11"/>
    <x v="2"/>
    <n v="3"/>
    <n v="31900000"/>
  </r>
  <r>
    <x v="4"/>
    <x v="11"/>
    <x v="1"/>
    <n v="40"/>
    <n v="252500000"/>
  </r>
  <r>
    <x v="4"/>
    <x v="11"/>
    <x v="0"/>
    <n v="16"/>
    <n v="47640000"/>
  </r>
  <r>
    <x v="5"/>
    <x v="11"/>
    <x v="2"/>
    <n v="1"/>
    <n v="11000"/>
  </r>
  <r>
    <x v="5"/>
    <x v="11"/>
    <x v="0"/>
    <n v="299"/>
    <n v="3719429.04"/>
  </r>
  <r>
    <x v="5"/>
    <x v="11"/>
    <x v="1"/>
    <n v="33"/>
    <n v="972503.2"/>
  </r>
  <r>
    <x v="6"/>
    <x v="11"/>
    <x v="2"/>
    <n v="4"/>
    <n v="404500000"/>
  </r>
  <r>
    <x v="6"/>
    <x v="11"/>
    <x v="0"/>
    <n v="464"/>
    <n v="16775900000"/>
  </r>
  <r>
    <x v="6"/>
    <x v="11"/>
    <x v="1"/>
    <n v="32"/>
    <n v="2390400000"/>
  </r>
  <r>
    <x v="7"/>
    <x v="11"/>
    <x v="0"/>
    <n v="1871"/>
    <n v="9970795270.9500008"/>
  </r>
  <r>
    <x v="7"/>
    <x v="11"/>
    <x v="1"/>
    <n v="122"/>
    <n v="2117853000"/>
  </r>
  <r>
    <x v="7"/>
    <x v="11"/>
    <x v="2"/>
    <n v="12"/>
    <n v="489400000"/>
  </r>
  <r>
    <x v="8"/>
    <x v="11"/>
    <x v="2"/>
    <n v="1"/>
    <n v="250000"/>
  </r>
  <r>
    <x v="8"/>
    <x v="11"/>
    <x v="1"/>
    <n v="29"/>
    <n v="14697000"/>
  </r>
  <r>
    <x v="8"/>
    <x v="11"/>
    <x v="0"/>
    <n v="156"/>
    <n v="28571045.149999999"/>
  </r>
  <r>
    <x v="9"/>
    <x v="11"/>
    <x v="1"/>
    <n v="73"/>
    <n v="714690000"/>
  </r>
  <r>
    <x v="9"/>
    <x v="11"/>
    <x v="2"/>
    <n v="9"/>
    <n v="113300000"/>
  </r>
  <r>
    <x v="9"/>
    <x v="11"/>
    <x v="0"/>
    <n v="292"/>
    <n v="972725000"/>
  </r>
  <r>
    <x v="10"/>
    <x v="11"/>
    <x v="1"/>
    <n v="81"/>
    <n v="363680000"/>
  </r>
  <r>
    <x v="10"/>
    <x v="11"/>
    <x v="2"/>
    <n v="8"/>
    <n v="89923375"/>
  </r>
  <r>
    <x v="10"/>
    <x v="11"/>
    <x v="3"/>
    <n v="1"/>
    <n v="500000"/>
  </r>
  <r>
    <x v="10"/>
    <x v="11"/>
    <x v="0"/>
    <n v="178"/>
    <n v="332415000"/>
  </r>
  <r>
    <x v="0"/>
    <x v="12"/>
    <x v="0"/>
    <n v="52"/>
    <n v="215430000"/>
  </r>
  <r>
    <x v="0"/>
    <x v="12"/>
    <x v="1"/>
    <n v="15"/>
    <n v="268390000"/>
  </r>
  <r>
    <x v="2"/>
    <x v="12"/>
    <x v="0"/>
    <n v="1092"/>
    <n v="4011875000"/>
  </r>
  <r>
    <x v="2"/>
    <x v="12"/>
    <x v="1"/>
    <n v="407"/>
    <n v="3570667567"/>
  </r>
  <r>
    <x v="2"/>
    <x v="12"/>
    <x v="2"/>
    <n v="44"/>
    <n v="990700000"/>
  </r>
  <r>
    <x v="2"/>
    <x v="12"/>
    <x v="5"/>
    <n v="1"/>
    <n v="17500000"/>
  </r>
  <r>
    <x v="3"/>
    <x v="12"/>
    <x v="0"/>
    <n v="669"/>
    <n v="1703906000"/>
  </r>
  <r>
    <x v="3"/>
    <x v="12"/>
    <x v="1"/>
    <n v="148"/>
    <n v="1008595000"/>
  </r>
  <r>
    <x v="3"/>
    <x v="12"/>
    <x v="2"/>
    <n v="11"/>
    <n v="128070000"/>
  </r>
  <r>
    <x v="3"/>
    <x v="12"/>
    <x v="3"/>
    <n v="5"/>
    <n v="43667156"/>
  </r>
  <r>
    <x v="4"/>
    <x v="12"/>
    <x v="0"/>
    <n v="18"/>
    <n v="50858000"/>
  </r>
  <r>
    <x v="4"/>
    <x v="12"/>
    <x v="1"/>
    <n v="45"/>
    <n v="321280000"/>
  </r>
  <r>
    <x v="4"/>
    <x v="12"/>
    <x v="2"/>
    <n v="5"/>
    <n v="82500000"/>
  </r>
  <r>
    <x v="5"/>
    <x v="12"/>
    <x v="0"/>
    <n v="459"/>
    <n v="7226070.7199999997"/>
  </r>
  <r>
    <x v="5"/>
    <x v="12"/>
    <x v="1"/>
    <n v="52"/>
    <n v="2313037.13"/>
  </r>
  <r>
    <x v="5"/>
    <x v="12"/>
    <x v="2"/>
    <n v="4"/>
    <n v="2058691"/>
  </r>
  <r>
    <x v="6"/>
    <x v="12"/>
    <x v="0"/>
    <n v="619"/>
    <n v="20404160000"/>
  </r>
  <r>
    <x v="6"/>
    <x v="12"/>
    <x v="1"/>
    <n v="83"/>
    <n v="4805100000"/>
  </r>
  <r>
    <x v="6"/>
    <x v="12"/>
    <x v="2"/>
    <n v="4"/>
    <n v="213600000"/>
  </r>
  <r>
    <x v="7"/>
    <x v="12"/>
    <x v="0"/>
    <n v="1984"/>
    <n v="10454432224.77"/>
  </r>
  <r>
    <x v="7"/>
    <x v="12"/>
    <x v="1"/>
    <n v="135"/>
    <n v="2325174782.8800001"/>
  </r>
  <r>
    <x v="7"/>
    <x v="12"/>
    <x v="2"/>
    <n v="15"/>
    <n v="411485000"/>
  </r>
  <r>
    <x v="8"/>
    <x v="12"/>
    <x v="0"/>
    <n v="172"/>
    <n v="29511500"/>
  </r>
  <r>
    <x v="8"/>
    <x v="12"/>
    <x v="1"/>
    <n v="29"/>
    <n v="15831000"/>
  </r>
  <r>
    <x v="8"/>
    <x v="12"/>
    <x v="2"/>
    <n v="2"/>
    <n v="1950000"/>
  </r>
  <r>
    <x v="8"/>
    <x v="12"/>
    <x v="6"/>
    <n v="3"/>
    <n v="1660000"/>
  </r>
  <r>
    <x v="9"/>
    <x v="12"/>
    <x v="0"/>
    <n v="320"/>
    <n v="1324722411"/>
  </r>
  <r>
    <x v="9"/>
    <x v="12"/>
    <x v="1"/>
    <n v="129"/>
    <n v="1501333584"/>
  </r>
  <r>
    <x v="9"/>
    <x v="12"/>
    <x v="2"/>
    <n v="8"/>
    <n v="130000000"/>
  </r>
  <r>
    <x v="10"/>
    <x v="12"/>
    <x v="0"/>
    <n v="237"/>
    <n v="391555000"/>
  </r>
  <r>
    <x v="10"/>
    <x v="12"/>
    <x v="1"/>
    <n v="116"/>
    <n v="485925000"/>
  </r>
  <r>
    <x v="10"/>
    <x v="12"/>
    <x v="2"/>
    <n v="12"/>
    <n v="97500000"/>
  </r>
  <r>
    <x v="1"/>
    <x v="12"/>
    <x v="1"/>
    <n v="42"/>
    <n v="269810000"/>
  </r>
  <r>
    <x v="1"/>
    <x v="12"/>
    <x v="4"/>
    <n v="64"/>
    <n v="200740000"/>
  </r>
  <r>
    <x v="1"/>
    <x v="12"/>
    <x v="2"/>
    <n v="12"/>
    <n v="114375000"/>
  </r>
  <r>
    <x v="1"/>
    <x v="12"/>
    <x v="0"/>
    <n v="219"/>
    <n v="662096000"/>
  </r>
  <r>
    <x v="0"/>
    <x v="13"/>
    <x v="0"/>
    <n v="22"/>
    <n v="87870000"/>
  </r>
  <r>
    <x v="0"/>
    <x v="13"/>
    <x v="1"/>
    <n v="8"/>
    <n v="108800000"/>
  </r>
  <r>
    <x v="1"/>
    <x v="13"/>
    <x v="0"/>
    <n v="193"/>
    <n v="712745000"/>
  </r>
  <r>
    <x v="1"/>
    <x v="13"/>
    <x v="1"/>
    <n v="22"/>
    <n v="179600000"/>
  </r>
  <r>
    <x v="1"/>
    <x v="13"/>
    <x v="2"/>
    <n v="4"/>
    <n v="78100000"/>
  </r>
  <r>
    <x v="2"/>
    <x v="13"/>
    <x v="0"/>
    <n v="950"/>
    <n v="3608075000"/>
  </r>
  <r>
    <x v="2"/>
    <x v="13"/>
    <x v="1"/>
    <n v="354"/>
    <n v="3806195000"/>
  </r>
  <r>
    <x v="2"/>
    <x v="13"/>
    <x v="2"/>
    <n v="58"/>
    <n v="1571000000"/>
  </r>
  <r>
    <x v="3"/>
    <x v="13"/>
    <x v="0"/>
    <n v="559"/>
    <n v="1438333006"/>
  </r>
  <r>
    <x v="3"/>
    <x v="13"/>
    <x v="1"/>
    <n v="147"/>
    <n v="874985000"/>
  </r>
  <r>
    <x v="3"/>
    <x v="13"/>
    <x v="2"/>
    <n v="3"/>
    <n v="48600000"/>
  </r>
  <r>
    <x v="3"/>
    <x v="13"/>
    <x v="3"/>
    <n v="5"/>
    <n v="22800000"/>
  </r>
  <r>
    <x v="4"/>
    <x v="13"/>
    <x v="0"/>
    <n v="10"/>
    <n v="21570000"/>
  </r>
  <r>
    <x v="4"/>
    <x v="13"/>
    <x v="1"/>
    <n v="28"/>
    <n v="167100000"/>
  </r>
  <r>
    <x v="4"/>
    <x v="13"/>
    <x v="2"/>
    <n v="6"/>
    <n v="84000000"/>
  </r>
  <r>
    <x v="5"/>
    <x v="13"/>
    <x v="0"/>
    <n v="754"/>
    <n v="8916534.8399999999"/>
  </r>
  <r>
    <x v="5"/>
    <x v="13"/>
    <x v="1"/>
    <n v="59"/>
    <n v="1822214.09"/>
  </r>
  <r>
    <x v="5"/>
    <x v="13"/>
    <x v="2"/>
    <n v="2"/>
    <n v="384545"/>
  </r>
  <r>
    <x v="6"/>
    <x v="13"/>
    <x v="0"/>
    <n v="90"/>
    <n v="4762300000"/>
  </r>
  <r>
    <x v="6"/>
    <x v="13"/>
    <x v="1"/>
    <n v="16"/>
    <n v="1578700000"/>
  </r>
  <r>
    <x v="6"/>
    <x v="13"/>
    <x v="2"/>
    <n v="2"/>
    <n v="150000000"/>
  </r>
  <r>
    <x v="7"/>
    <x v="13"/>
    <x v="0"/>
    <n v="1649"/>
    <n v="8811654914.2399998"/>
  </r>
  <r>
    <x v="7"/>
    <x v="13"/>
    <x v="1"/>
    <n v="106"/>
    <n v="2045782000"/>
  </r>
  <r>
    <x v="7"/>
    <x v="13"/>
    <x v="2"/>
    <n v="31"/>
    <n v="1017995000"/>
  </r>
  <r>
    <x v="8"/>
    <x v="13"/>
    <x v="0"/>
    <n v="113"/>
    <n v="21073438.920000002"/>
  </r>
  <r>
    <x v="8"/>
    <x v="13"/>
    <x v="1"/>
    <n v="36"/>
    <n v="28545142.359999999"/>
  </r>
  <r>
    <x v="8"/>
    <x v="13"/>
    <x v="2"/>
    <n v="1"/>
    <n v="1200000"/>
  </r>
  <r>
    <x v="8"/>
    <x v="13"/>
    <x v="6"/>
    <n v="9"/>
    <n v="980000"/>
  </r>
  <r>
    <x v="9"/>
    <x v="13"/>
    <x v="0"/>
    <n v="294"/>
    <n v="1070894000"/>
  </r>
  <r>
    <x v="9"/>
    <x v="13"/>
    <x v="1"/>
    <n v="95"/>
    <n v="937050000"/>
  </r>
  <r>
    <x v="9"/>
    <x v="13"/>
    <x v="2"/>
    <n v="11"/>
    <n v="186500000"/>
  </r>
  <r>
    <x v="10"/>
    <x v="13"/>
    <x v="0"/>
    <n v="102"/>
    <n v="250155000"/>
  </r>
  <r>
    <x v="10"/>
    <x v="13"/>
    <x v="1"/>
    <n v="85"/>
    <n v="408920000"/>
  </r>
  <r>
    <x v="10"/>
    <x v="13"/>
    <x v="2"/>
    <n v="17"/>
    <n v="96000000"/>
  </r>
  <r>
    <x v="10"/>
    <x v="13"/>
    <x v="3"/>
    <n v="3"/>
    <n v="15400000"/>
  </r>
  <r>
    <x v="0"/>
    <x v="14"/>
    <x v="0"/>
    <n v="36"/>
    <n v="179750000"/>
  </r>
  <r>
    <x v="0"/>
    <x v="14"/>
    <x v="1"/>
    <n v="5"/>
    <n v="93060000"/>
  </r>
  <r>
    <x v="0"/>
    <x v="14"/>
    <x v="2"/>
    <n v="1"/>
    <n v="6000000"/>
  </r>
  <r>
    <x v="1"/>
    <x v="14"/>
    <x v="0"/>
    <n v="179"/>
    <n v="728100000"/>
  </r>
  <r>
    <x v="1"/>
    <x v="14"/>
    <x v="1"/>
    <n v="35"/>
    <n v="408210000"/>
  </r>
  <r>
    <x v="2"/>
    <x v="14"/>
    <x v="0"/>
    <n v="1227"/>
    <n v="4650170000"/>
  </r>
  <r>
    <x v="2"/>
    <x v="14"/>
    <x v="1"/>
    <n v="461"/>
    <n v="4813525000"/>
  </r>
  <r>
    <x v="2"/>
    <x v="14"/>
    <x v="2"/>
    <n v="56"/>
    <n v="2062720000"/>
  </r>
  <r>
    <x v="2"/>
    <x v="14"/>
    <x v="5"/>
    <n v="3"/>
    <n v="345000000"/>
  </r>
  <r>
    <x v="3"/>
    <x v="14"/>
    <x v="0"/>
    <n v="649"/>
    <n v="1650775698"/>
  </r>
  <r>
    <x v="3"/>
    <x v="14"/>
    <x v="1"/>
    <n v="150"/>
    <n v="941153593"/>
  </r>
  <r>
    <x v="3"/>
    <x v="14"/>
    <x v="2"/>
    <n v="10"/>
    <n v="182400000"/>
  </r>
  <r>
    <x v="3"/>
    <x v="14"/>
    <x v="3"/>
    <n v="10"/>
    <n v="46130000"/>
  </r>
  <r>
    <x v="4"/>
    <x v="14"/>
    <x v="0"/>
    <n v="13"/>
    <n v="33140000"/>
  </r>
  <r>
    <x v="4"/>
    <x v="14"/>
    <x v="1"/>
    <n v="37"/>
    <n v="241714449"/>
  </r>
  <r>
    <x v="4"/>
    <x v="14"/>
    <x v="2"/>
    <n v="3"/>
    <n v="36500000"/>
  </r>
  <r>
    <x v="5"/>
    <x v="14"/>
    <x v="0"/>
    <n v="717"/>
    <n v="9142978.6300000008"/>
  </r>
  <r>
    <x v="5"/>
    <x v="14"/>
    <x v="1"/>
    <n v="56"/>
    <n v="2104407.2599999998"/>
  </r>
  <r>
    <x v="5"/>
    <x v="14"/>
    <x v="2"/>
    <n v="2"/>
    <n v="435967.5"/>
  </r>
  <r>
    <x v="6"/>
    <x v="14"/>
    <x v="0"/>
    <n v="214"/>
    <n v="9409300000"/>
  </r>
  <r>
    <x v="6"/>
    <x v="14"/>
    <x v="1"/>
    <n v="39"/>
    <n v="4270000000"/>
  </r>
  <r>
    <x v="6"/>
    <x v="14"/>
    <x v="2"/>
    <n v="7"/>
    <n v="1125000000"/>
  </r>
  <r>
    <x v="7"/>
    <x v="14"/>
    <x v="0"/>
    <n v="1863"/>
    <n v="10929687423"/>
  </r>
  <r>
    <x v="7"/>
    <x v="14"/>
    <x v="1"/>
    <n v="97"/>
    <n v="2007080188"/>
  </r>
  <r>
    <x v="7"/>
    <x v="14"/>
    <x v="2"/>
    <n v="23"/>
    <n v="518375000"/>
  </r>
  <r>
    <x v="8"/>
    <x v="14"/>
    <x v="0"/>
    <n v="104"/>
    <n v="21506916.579999998"/>
  </r>
  <r>
    <x v="8"/>
    <x v="14"/>
    <x v="1"/>
    <n v="34"/>
    <n v="20920592"/>
  </r>
  <r>
    <x v="8"/>
    <x v="14"/>
    <x v="2"/>
    <n v="1"/>
    <n v="1200000"/>
  </r>
  <r>
    <x v="8"/>
    <x v="14"/>
    <x v="6"/>
    <n v="1"/>
    <n v="20000"/>
  </r>
  <r>
    <x v="9"/>
    <x v="14"/>
    <x v="0"/>
    <n v="364"/>
    <n v="1401452552"/>
  </r>
  <r>
    <x v="9"/>
    <x v="14"/>
    <x v="1"/>
    <n v="116"/>
    <n v="1375653467"/>
  </r>
  <r>
    <x v="9"/>
    <x v="14"/>
    <x v="2"/>
    <n v="17"/>
    <n v="198500000"/>
  </r>
  <r>
    <x v="10"/>
    <x v="14"/>
    <x v="0"/>
    <n v="124"/>
    <n v="260650000"/>
  </r>
  <r>
    <x v="10"/>
    <x v="14"/>
    <x v="1"/>
    <n v="75"/>
    <n v="411700000"/>
  </r>
  <r>
    <x v="10"/>
    <x v="14"/>
    <x v="2"/>
    <n v="17"/>
    <n v="47000000"/>
  </r>
  <r>
    <x v="10"/>
    <x v="14"/>
    <x v="3"/>
    <n v="1"/>
    <n v="7000000"/>
  </r>
  <r>
    <x v="0"/>
    <x v="15"/>
    <x v="0"/>
    <n v="21"/>
    <n v="67270000"/>
  </r>
  <r>
    <x v="0"/>
    <x v="15"/>
    <x v="1"/>
    <n v="4"/>
    <n v="47763000"/>
  </r>
  <r>
    <x v="1"/>
    <x v="15"/>
    <x v="0"/>
    <n v="170"/>
    <n v="666280000"/>
  </r>
  <r>
    <x v="1"/>
    <x v="15"/>
    <x v="1"/>
    <n v="35"/>
    <n v="365890000"/>
  </r>
  <r>
    <x v="1"/>
    <x v="15"/>
    <x v="2"/>
    <n v="7"/>
    <n v="82350000"/>
  </r>
  <r>
    <x v="2"/>
    <x v="15"/>
    <x v="0"/>
    <n v="9190"/>
    <n v="3695785000"/>
  </r>
  <r>
    <x v="2"/>
    <x v="15"/>
    <x v="1"/>
    <n v="384"/>
    <n v="3975135000"/>
  </r>
  <r>
    <x v="2"/>
    <x v="15"/>
    <x v="2"/>
    <n v="53"/>
    <n v="1427700000"/>
  </r>
  <r>
    <x v="2"/>
    <x v="15"/>
    <x v="5"/>
    <n v="1"/>
    <n v="20000000"/>
  </r>
  <r>
    <x v="3"/>
    <x v="15"/>
    <x v="0"/>
    <n v="482"/>
    <n v="1202006597"/>
  </r>
  <r>
    <x v="3"/>
    <x v="15"/>
    <x v="1"/>
    <n v="143"/>
    <n v="832235908"/>
  </r>
  <r>
    <x v="3"/>
    <x v="15"/>
    <x v="2"/>
    <n v="12"/>
    <n v="221230000"/>
  </r>
  <r>
    <x v="3"/>
    <x v="15"/>
    <x v="3"/>
    <n v="6"/>
    <n v="42000000"/>
  </r>
  <r>
    <x v="4"/>
    <x v="15"/>
    <x v="0"/>
    <n v="12"/>
    <n v="31300000"/>
  </r>
  <r>
    <x v="4"/>
    <x v="15"/>
    <x v="1"/>
    <n v="22"/>
    <n v="132400000"/>
  </r>
  <r>
    <x v="4"/>
    <x v="15"/>
    <x v="2"/>
    <n v="2"/>
    <n v="14250000"/>
  </r>
  <r>
    <x v="4"/>
    <x v="15"/>
    <x v="6"/>
    <n v="1"/>
    <n v="12150000"/>
  </r>
  <r>
    <x v="5"/>
    <x v="15"/>
    <x v="0"/>
    <n v="457"/>
    <n v="7290035.7999999998"/>
  </r>
  <r>
    <x v="5"/>
    <x v="15"/>
    <x v="1"/>
    <n v="52"/>
    <n v="1741166.07"/>
  </r>
  <r>
    <x v="5"/>
    <x v="15"/>
    <x v="2"/>
    <n v="3"/>
    <n v="268100.5"/>
  </r>
  <r>
    <x v="6"/>
    <x v="15"/>
    <x v="0"/>
    <n v="167"/>
    <n v="11019050000"/>
  </r>
  <r>
    <x v="6"/>
    <x v="15"/>
    <x v="1"/>
    <n v="29"/>
    <n v="2685200000"/>
  </r>
  <r>
    <x v="6"/>
    <x v="15"/>
    <x v="2"/>
    <n v="3"/>
    <n v="1185000000"/>
  </r>
  <r>
    <x v="7"/>
    <x v="15"/>
    <x v="0"/>
    <n v="1805"/>
    <n v="10945641104.91"/>
  </r>
  <r>
    <x v="7"/>
    <x v="15"/>
    <x v="1"/>
    <n v="156"/>
    <n v="2994455556.3800001"/>
  </r>
  <r>
    <x v="7"/>
    <x v="15"/>
    <x v="2"/>
    <n v="28"/>
    <n v="1135950000"/>
  </r>
  <r>
    <x v="8"/>
    <x v="15"/>
    <x v="0"/>
    <n v="88"/>
    <n v="20662023.969999999"/>
  </r>
  <r>
    <x v="8"/>
    <x v="15"/>
    <x v="1"/>
    <n v="31"/>
    <n v="19367000"/>
  </r>
  <r>
    <x v="8"/>
    <x v="15"/>
    <x v="2"/>
    <n v="1"/>
    <n v="650000"/>
  </r>
  <r>
    <x v="8"/>
    <x v="15"/>
    <x v="6"/>
    <n v="4"/>
    <n v="146000"/>
  </r>
  <r>
    <x v="9"/>
    <x v="15"/>
    <x v="0"/>
    <n v="397"/>
    <n v="1438494000"/>
  </r>
  <r>
    <x v="9"/>
    <x v="15"/>
    <x v="1"/>
    <n v="106"/>
    <n v="1136200000"/>
  </r>
  <r>
    <x v="9"/>
    <x v="15"/>
    <x v="2"/>
    <n v="8"/>
    <n v="168500000"/>
  </r>
  <r>
    <x v="10"/>
    <x v="15"/>
    <x v="0"/>
    <n v="113"/>
    <n v="241150000"/>
  </r>
  <r>
    <x v="10"/>
    <x v="15"/>
    <x v="1"/>
    <n v="57"/>
    <n v="277350000"/>
  </r>
  <r>
    <x v="10"/>
    <x v="15"/>
    <x v="2"/>
    <n v="15"/>
    <n v="37500000"/>
  </r>
  <r>
    <x v="0"/>
    <x v="16"/>
    <x v="0"/>
    <n v="26"/>
    <n v="111590000"/>
  </r>
  <r>
    <x v="0"/>
    <x v="16"/>
    <x v="1"/>
    <n v="7"/>
    <n v="120115000"/>
  </r>
  <r>
    <x v="0"/>
    <x v="16"/>
    <x v="2"/>
    <n v="2"/>
    <n v="130000000"/>
  </r>
  <r>
    <x v="1"/>
    <x v="16"/>
    <x v="0"/>
    <n v="159"/>
    <n v="683370000"/>
  </r>
  <r>
    <x v="1"/>
    <x v="16"/>
    <x v="1"/>
    <n v="44"/>
    <n v="403540000"/>
  </r>
  <r>
    <x v="1"/>
    <x v="16"/>
    <x v="2"/>
    <n v="3"/>
    <n v="27800000"/>
  </r>
  <r>
    <x v="2"/>
    <x v="16"/>
    <x v="0"/>
    <n v="1160"/>
    <n v="4198320000"/>
  </r>
  <r>
    <x v="2"/>
    <x v="16"/>
    <x v="1"/>
    <n v="437"/>
    <n v="4588960000"/>
  </r>
  <r>
    <x v="2"/>
    <x v="16"/>
    <x v="2"/>
    <n v="55"/>
    <n v="1540970000"/>
  </r>
  <r>
    <x v="3"/>
    <x v="16"/>
    <x v="0"/>
    <n v="570"/>
    <n v="1566317902"/>
  </r>
  <r>
    <x v="3"/>
    <x v="16"/>
    <x v="1"/>
    <n v="153"/>
    <n v="1020573000"/>
  </r>
  <r>
    <x v="3"/>
    <x v="16"/>
    <x v="2"/>
    <n v="6"/>
    <n v="145150000"/>
  </r>
  <r>
    <x v="3"/>
    <x v="16"/>
    <x v="3"/>
    <n v="3"/>
    <n v="15600000"/>
  </r>
  <r>
    <x v="4"/>
    <x v="16"/>
    <x v="0"/>
    <n v="9"/>
    <n v="24550000"/>
  </r>
  <r>
    <x v="4"/>
    <x v="16"/>
    <x v="1"/>
    <n v="35"/>
    <n v="242700000"/>
  </r>
  <r>
    <x v="4"/>
    <x v="16"/>
    <x v="2"/>
    <n v="5"/>
    <n v="110000000"/>
  </r>
  <r>
    <x v="5"/>
    <x v="16"/>
    <x v="0"/>
    <n v="832"/>
    <n v="15367513.15"/>
  </r>
  <r>
    <x v="5"/>
    <x v="16"/>
    <x v="1"/>
    <n v="81"/>
    <n v="3551719.39"/>
  </r>
  <r>
    <x v="5"/>
    <x v="16"/>
    <x v="2"/>
    <n v="10"/>
    <n v="995555.2"/>
  </r>
  <r>
    <x v="6"/>
    <x v="16"/>
    <x v="0"/>
    <n v="319"/>
    <n v="15685950000"/>
  </r>
  <r>
    <x v="6"/>
    <x v="16"/>
    <x v="1"/>
    <n v="42"/>
    <n v="3914500000"/>
  </r>
  <r>
    <x v="6"/>
    <x v="16"/>
    <x v="2"/>
    <n v="2"/>
    <n v="433000000"/>
  </r>
  <r>
    <x v="7"/>
    <x v="16"/>
    <x v="0"/>
    <n v="2036"/>
    <n v="11815465663.4"/>
  </r>
  <r>
    <x v="7"/>
    <x v="16"/>
    <x v="1"/>
    <n v="133"/>
    <n v="2647569364.6799998"/>
  </r>
  <r>
    <x v="7"/>
    <x v="16"/>
    <x v="2"/>
    <n v="27"/>
    <n v="829160000"/>
  </r>
  <r>
    <x v="8"/>
    <x v="16"/>
    <x v="0"/>
    <n v="108"/>
    <n v="33780000"/>
  </r>
  <r>
    <x v="8"/>
    <x v="16"/>
    <x v="1"/>
    <n v="43"/>
    <n v="23577000"/>
  </r>
  <r>
    <x v="8"/>
    <x v="16"/>
    <x v="2"/>
    <n v="2"/>
    <n v="720000"/>
  </r>
  <r>
    <x v="8"/>
    <x v="16"/>
    <x v="6"/>
    <n v="6"/>
    <n v="1830000"/>
  </r>
  <r>
    <x v="9"/>
    <x v="16"/>
    <x v="0"/>
    <n v="405"/>
    <n v="1484216904"/>
  </r>
  <r>
    <x v="9"/>
    <x v="16"/>
    <x v="1"/>
    <n v="133"/>
    <n v="1400310852"/>
  </r>
  <r>
    <x v="9"/>
    <x v="16"/>
    <x v="2"/>
    <n v="12"/>
    <n v="214300000"/>
  </r>
  <r>
    <x v="10"/>
    <x v="16"/>
    <x v="0"/>
    <n v="144"/>
    <n v="375170000"/>
  </r>
  <r>
    <x v="10"/>
    <x v="16"/>
    <x v="1"/>
    <n v="107"/>
    <n v="564705000"/>
  </r>
  <r>
    <x v="10"/>
    <x v="16"/>
    <x v="2"/>
    <n v="19"/>
    <n v="105500000"/>
  </r>
  <r>
    <x v="10"/>
    <x v="16"/>
    <x v="3"/>
    <n v="1"/>
    <n v="1500000"/>
  </r>
  <r>
    <x v="0"/>
    <x v="17"/>
    <x v="0"/>
    <n v="18"/>
    <n v="88590000"/>
  </r>
  <r>
    <x v="0"/>
    <x v="17"/>
    <x v="1"/>
    <n v="9"/>
    <n v="75100000"/>
  </r>
  <r>
    <x v="0"/>
    <x v="17"/>
    <x v="2"/>
    <n v="1"/>
    <n v="40000000"/>
  </r>
  <r>
    <x v="1"/>
    <x v="17"/>
    <x v="0"/>
    <n v="125"/>
    <n v="403990000"/>
  </r>
  <r>
    <x v="1"/>
    <x v="17"/>
    <x v="1"/>
    <n v="19"/>
    <n v="245950000"/>
  </r>
  <r>
    <x v="1"/>
    <x v="17"/>
    <x v="2"/>
    <n v="5"/>
    <n v="64150000"/>
  </r>
  <r>
    <x v="2"/>
    <x v="17"/>
    <x v="0"/>
    <n v="1185"/>
    <n v="4433640000"/>
  </r>
  <r>
    <x v="2"/>
    <x v="17"/>
    <x v="1"/>
    <n v="417"/>
    <n v="4431115000"/>
  </r>
  <r>
    <x v="2"/>
    <x v="17"/>
    <x v="2"/>
    <n v="65"/>
    <n v="2218100000"/>
  </r>
  <r>
    <x v="3"/>
    <x v="17"/>
    <x v="0"/>
    <n v="628"/>
    <n v="1622641413"/>
  </r>
  <r>
    <x v="3"/>
    <x v="17"/>
    <x v="1"/>
    <n v="201"/>
    <n v="1224378019"/>
  </r>
  <r>
    <x v="3"/>
    <x v="17"/>
    <x v="2"/>
    <n v="9"/>
    <n v="266900000"/>
  </r>
  <r>
    <x v="3"/>
    <x v="17"/>
    <x v="3"/>
    <n v="7"/>
    <n v="66200000"/>
  </r>
  <r>
    <x v="4"/>
    <x v="17"/>
    <x v="0"/>
    <n v="12"/>
    <n v="28955000"/>
  </r>
  <r>
    <x v="4"/>
    <x v="17"/>
    <x v="1"/>
    <n v="42"/>
    <n v="238329000"/>
  </r>
  <r>
    <x v="4"/>
    <x v="17"/>
    <x v="2"/>
    <n v="1"/>
    <n v="20000000"/>
  </r>
  <r>
    <x v="4"/>
    <x v="17"/>
    <x v="6"/>
    <n v="1"/>
    <n v="8500000"/>
  </r>
  <r>
    <x v="5"/>
    <x v="17"/>
    <x v="0"/>
    <n v="925"/>
    <n v="18983601.010000002"/>
  </r>
  <r>
    <x v="5"/>
    <x v="17"/>
    <x v="1"/>
    <n v="112"/>
    <n v="5509758.7599999998"/>
  </r>
  <r>
    <x v="5"/>
    <x v="17"/>
    <x v="2"/>
    <n v="10"/>
    <n v="2100345"/>
  </r>
  <r>
    <x v="6"/>
    <x v="17"/>
    <x v="0"/>
    <n v="158"/>
    <n v="6014750000"/>
  </r>
  <r>
    <x v="6"/>
    <x v="17"/>
    <x v="1"/>
    <n v="31"/>
    <n v="2943900000"/>
  </r>
  <r>
    <x v="6"/>
    <x v="17"/>
    <x v="2"/>
    <n v="3"/>
    <n v="515000000"/>
  </r>
  <r>
    <x v="7"/>
    <x v="17"/>
    <x v="0"/>
    <n v="2340"/>
    <n v="13337558151.77"/>
  </r>
  <r>
    <x v="7"/>
    <x v="17"/>
    <x v="1"/>
    <n v="199"/>
    <n v="3813405391.6199999"/>
  </r>
  <r>
    <x v="7"/>
    <x v="17"/>
    <x v="2"/>
    <n v="20"/>
    <n v="625298400"/>
  </r>
  <r>
    <x v="8"/>
    <x v="17"/>
    <x v="0"/>
    <n v="179"/>
    <n v="28767714.989999998"/>
  </r>
  <r>
    <x v="8"/>
    <x v="17"/>
    <x v="1"/>
    <n v="30"/>
    <n v="15127773.800000001"/>
  </r>
  <r>
    <x v="8"/>
    <x v="17"/>
    <x v="2"/>
    <n v="2"/>
    <n v="1235000"/>
  </r>
  <r>
    <x v="8"/>
    <x v="17"/>
    <x v="6"/>
    <n v="6"/>
    <n v="660000"/>
  </r>
  <r>
    <x v="9"/>
    <x v="17"/>
    <x v="0"/>
    <n v="378"/>
    <n v="1424755000"/>
  </r>
  <r>
    <x v="9"/>
    <x v="17"/>
    <x v="1"/>
    <n v="111"/>
    <n v="1155220000"/>
  </r>
  <r>
    <x v="9"/>
    <x v="17"/>
    <x v="2"/>
    <n v="9"/>
    <n v="179800000"/>
  </r>
  <r>
    <x v="10"/>
    <x v="17"/>
    <x v="0"/>
    <n v="130"/>
    <n v="370010000"/>
  </r>
  <r>
    <x v="10"/>
    <x v="17"/>
    <x v="1"/>
    <n v="86"/>
    <n v="475970000"/>
  </r>
  <r>
    <x v="10"/>
    <x v="17"/>
    <x v="2"/>
    <n v="14"/>
    <n v="194800000"/>
  </r>
  <r>
    <x v="0"/>
    <x v="18"/>
    <x v="0"/>
    <n v="18"/>
    <n v="72710000"/>
  </r>
  <r>
    <x v="0"/>
    <x v="18"/>
    <x v="1"/>
    <n v="12"/>
    <n v="180450000"/>
  </r>
  <r>
    <x v="0"/>
    <x v="18"/>
    <x v="2"/>
    <n v="2"/>
    <n v="57000000"/>
  </r>
  <r>
    <x v="1"/>
    <x v="18"/>
    <x v="0"/>
    <n v="271"/>
    <n v="805796000"/>
  </r>
  <r>
    <x v="1"/>
    <x v="18"/>
    <x v="1"/>
    <n v="40"/>
    <n v="332255000"/>
  </r>
  <r>
    <x v="1"/>
    <x v="18"/>
    <x v="2"/>
    <n v="6"/>
    <n v="101270000"/>
  </r>
  <r>
    <x v="2"/>
    <x v="18"/>
    <x v="0"/>
    <n v="1249"/>
    <n v="4749990000"/>
  </r>
  <r>
    <x v="2"/>
    <x v="18"/>
    <x v="1"/>
    <n v="401"/>
    <n v="4182280875"/>
  </r>
  <r>
    <x v="2"/>
    <x v="18"/>
    <x v="2"/>
    <n v="62"/>
    <n v="1615620000"/>
  </r>
  <r>
    <x v="2"/>
    <x v="18"/>
    <x v="5"/>
    <n v="2"/>
    <n v="90000000"/>
  </r>
  <r>
    <x v="3"/>
    <x v="18"/>
    <x v="0"/>
    <n v="1003"/>
    <n v="1634725000"/>
  </r>
  <r>
    <x v="3"/>
    <x v="18"/>
    <x v="1"/>
    <n v="243"/>
    <n v="1004892473"/>
  </r>
  <r>
    <x v="3"/>
    <x v="18"/>
    <x v="2"/>
    <n v="11"/>
    <n v="112660000"/>
  </r>
  <r>
    <x v="3"/>
    <x v="18"/>
    <x v="3"/>
    <n v="15"/>
    <n v="32280000"/>
  </r>
  <r>
    <x v="4"/>
    <x v="18"/>
    <x v="0"/>
    <n v="26"/>
    <n v="92199000"/>
  </r>
  <r>
    <x v="4"/>
    <x v="18"/>
    <x v="1"/>
    <n v="46"/>
    <n v="280926050"/>
  </r>
  <r>
    <x v="4"/>
    <x v="18"/>
    <x v="2"/>
    <n v="3"/>
    <n v="47350000"/>
  </r>
  <r>
    <x v="5"/>
    <x v="18"/>
    <x v="0"/>
    <n v="1184"/>
    <n v="25851616.09"/>
  </r>
  <r>
    <x v="5"/>
    <x v="18"/>
    <x v="1"/>
    <n v="153"/>
    <n v="8818053.5299999993"/>
  </r>
  <r>
    <x v="5"/>
    <x v="18"/>
    <x v="2"/>
    <n v="18"/>
    <n v="3335910"/>
  </r>
  <r>
    <x v="6"/>
    <x v="18"/>
    <x v="0"/>
    <n v="210"/>
    <n v="11696620000"/>
  </r>
  <r>
    <x v="6"/>
    <x v="18"/>
    <x v="1"/>
    <n v="41"/>
    <n v="4442500000"/>
  </r>
  <r>
    <x v="6"/>
    <x v="18"/>
    <x v="2"/>
    <n v="1"/>
    <n v="95000000"/>
  </r>
  <r>
    <x v="6"/>
    <x v="18"/>
    <x v="6"/>
    <n v="1"/>
    <n v="28000000"/>
  </r>
  <r>
    <x v="7"/>
    <x v="18"/>
    <x v="0"/>
    <n v="2093"/>
    <n v="11966873936.799999"/>
  </r>
  <r>
    <x v="7"/>
    <x v="18"/>
    <x v="1"/>
    <n v="193"/>
    <n v="3471172004.4299998"/>
  </r>
  <r>
    <x v="7"/>
    <x v="18"/>
    <x v="2"/>
    <n v="21"/>
    <n v="690454622"/>
  </r>
  <r>
    <x v="8"/>
    <x v="18"/>
    <x v="0"/>
    <n v="133"/>
    <n v="34318712.200000003"/>
  </r>
  <r>
    <x v="8"/>
    <x v="18"/>
    <x v="1"/>
    <n v="30"/>
    <n v="20108000"/>
  </r>
  <r>
    <x v="8"/>
    <x v="18"/>
    <x v="2"/>
    <n v="1"/>
    <n v="1400000"/>
  </r>
  <r>
    <x v="8"/>
    <x v="18"/>
    <x v="6"/>
    <n v="3"/>
    <n v="425000"/>
  </r>
  <r>
    <x v="9"/>
    <x v="18"/>
    <x v="0"/>
    <n v="299"/>
    <n v="1073595000"/>
  </r>
  <r>
    <x v="9"/>
    <x v="18"/>
    <x v="1"/>
    <n v="93"/>
    <n v="1060779113"/>
  </r>
  <r>
    <x v="9"/>
    <x v="18"/>
    <x v="2"/>
    <n v="16"/>
    <n v="313650000"/>
  </r>
  <r>
    <x v="10"/>
    <x v="18"/>
    <x v="0"/>
    <n v="161"/>
    <n v="474868000"/>
  </r>
  <r>
    <x v="10"/>
    <x v="18"/>
    <x v="1"/>
    <n v="113"/>
    <n v="686700000"/>
  </r>
  <r>
    <x v="10"/>
    <x v="18"/>
    <x v="2"/>
    <n v="7"/>
    <n v="91200000"/>
  </r>
  <r>
    <x v="10"/>
    <x v="18"/>
    <x v="3"/>
    <n v="9"/>
    <n v="99700000"/>
  </r>
  <r>
    <x v="0"/>
    <x v="19"/>
    <x v="0"/>
    <n v="26"/>
    <n v="126080000"/>
  </r>
  <r>
    <x v="0"/>
    <x v="19"/>
    <x v="1"/>
    <n v="14"/>
    <n v="164335000"/>
  </r>
  <r>
    <x v="0"/>
    <x v="19"/>
    <x v="2"/>
    <n v="5"/>
    <n v="115000000"/>
  </r>
  <r>
    <x v="1"/>
    <x v="19"/>
    <x v="0"/>
    <n v="338"/>
    <n v="1012027500"/>
  </r>
  <r>
    <x v="1"/>
    <x v="19"/>
    <x v="1"/>
    <n v="43"/>
    <n v="327295000"/>
  </r>
  <r>
    <x v="1"/>
    <x v="19"/>
    <x v="2"/>
    <n v="5"/>
    <n v="73450000"/>
  </r>
  <r>
    <x v="2"/>
    <x v="19"/>
    <x v="0"/>
    <n v="1508"/>
    <n v="5068565000"/>
  </r>
  <r>
    <x v="2"/>
    <x v="19"/>
    <x v="1"/>
    <n v="504"/>
    <n v="4607935000"/>
  </r>
  <r>
    <x v="2"/>
    <x v="19"/>
    <x v="2"/>
    <n v="59"/>
    <n v="1925000000"/>
  </r>
  <r>
    <x v="2"/>
    <x v="19"/>
    <x v="5"/>
    <n v="1"/>
    <n v="250000000"/>
  </r>
  <r>
    <x v="3"/>
    <x v="19"/>
    <x v="0"/>
    <n v="1937"/>
    <n v="2135200000"/>
  </r>
  <r>
    <x v="3"/>
    <x v="19"/>
    <x v="1"/>
    <n v="336"/>
    <n v="1081821200"/>
  </r>
  <r>
    <x v="3"/>
    <x v="19"/>
    <x v="2"/>
    <n v="20"/>
    <n v="228066236"/>
  </r>
  <r>
    <x v="3"/>
    <x v="19"/>
    <x v="3"/>
    <n v="20"/>
    <n v="83325000"/>
  </r>
  <r>
    <x v="4"/>
    <x v="19"/>
    <x v="0"/>
    <n v="31"/>
    <n v="89220000"/>
  </r>
  <r>
    <x v="4"/>
    <x v="19"/>
    <x v="1"/>
    <n v="34"/>
    <n v="219570000"/>
  </r>
  <r>
    <x v="4"/>
    <x v="19"/>
    <x v="2"/>
    <n v="10"/>
    <n v="217800000"/>
  </r>
  <r>
    <x v="5"/>
    <x v="19"/>
    <x v="0"/>
    <n v="1115"/>
    <n v="25271231.18"/>
  </r>
  <r>
    <x v="5"/>
    <x v="19"/>
    <x v="1"/>
    <n v="167"/>
    <n v="9169632.5"/>
  </r>
  <r>
    <x v="5"/>
    <x v="19"/>
    <x v="2"/>
    <n v="11"/>
    <n v="1584989"/>
  </r>
  <r>
    <x v="5"/>
    <x v="19"/>
    <x v="6"/>
    <n v="1"/>
    <n v="29700"/>
  </r>
  <r>
    <x v="6"/>
    <x v="19"/>
    <x v="0"/>
    <n v="332"/>
    <n v="17010680000"/>
  </r>
  <r>
    <x v="6"/>
    <x v="19"/>
    <x v="1"/>
    <n v="52"/>
    <n v="5017550000"/>
  </r>
  <r>
    <x v="6"/>
    <x v="19"/>
    <x v="2"/>
    <n v="7"/>
    <n v="2080000000"/>
  </r>
  <r>
    <x v="7"/>
    <x v="19"/>
    <x v="0"/>
    <n v="2375"/>
    <n v="13029419126.59"/>
  </r>
  <r>
    <x v="7"/>
    <x v="19"/>
    <x v="1"/>
    <n v="182"/>
    <n v="3090989159.3800001"/>
  </r>
  <r>
    <x v="7"/>
    <x v="19"/>
    <x v="2"/>
    <n v="23"/>
    <n v="674318000"/>
  </r>
  <r>
    <x v="8"/>
    <x v="19"/>
    <x v="0"/>
    <n v="151"/>
    <n v="39039925.880000003"/>
  </r>
  <r>
    <x v="8"/>
    <x v="19"/>
    <x v="1"/>
    <n v="34"/>
    <n v="22849000"/>
  </r>
  <r>
    <x v="8"/>
    <x v="19"/>
    <x v="2"/>
    <n v="2"/>
    <n v="819000"/>
  </r>
  <r>
    <x v="8"/>
    <x v="19"/>
    <x v="6"/>
    <n v="7"/>
    <n v="263000"/>
  </r>
  <r>
    <x v="9"/>
    <x v="19"/>
    <x v="0"/>
    <n v="359"/>
    <n v="1325614190"/>
  </r>
  <r>
    <x v="9"/>
    <x v="19"/>
    <x v="1"/>
    <n v="150"/>
    <n v="1594578000"/>
  </r>
  <r>
    <x v="9"/>
    <x v="19"/>
    <x v="2"/>
    <n v="6"/>
    <n v="165000000"/>
  </r>
  <r>
    <x v="10"/>
    <x v="19"/>
    <x v="0"/>
    <n v="157"/>
    <n v="459655000"/>
  </r>
  <r>
    <x v="10"/>
    <x v="19"/>
    <x v="1"/>
    <n v="101"/>
    <n v="478000000"/>
  </r>
  <r>
    <x v="10"/>
    <x v="19"/>
    <x v="2"/>
    <n v="23"/>
    <n v="188050000"/>
  </r>
  <r>
    <x v="0"/>
    <x v="20"/>
    <x v="0"/>
    <n v="30"/>
    <n v="151050000"/>
  </r>
  <r>
    <x v="0"/>
    <x v="20"/>
    <x v="1"/>
    <n v="4"/>
    <n v="37850000"/>
  </r>
  <r>
    <x v="0"/>
    <x v="20"/>
    <x v="2"/>
    <n v="2"/>
    <n v="19000000"/>
  </r>
  <r>
    <x v="1"/>
    <x v="20"/>
    <x v="0"/>
    <n v="462"/>
    <n v="1106600000"/>
  </r>
  <r>
    <x v="1"/>
    <x v="20"/>
    <x v="1"/>
    <n v="34"/>
    <n v="223870000"/>
  </r>
  <r>
    <x v="1"/>
    <x v="20"/>
    <x v="2"/>
    <n v="8"/>
    <n v="87430000"/>
  </r>
  <r>
    <x v="1"/>
    <x v="20"/>
    <x v="4"/>
    <n v="1"/>
    <n v="330000"/>
  </r>
  <r>
    <x v="2"/>
    <x v="20"/>
    <x v="0"/>
    <n v="1397"/>
    <n v="4063161436"/>
  </r>
  <r>
    <x v="2"/>
    <x v="20"/>
    <x v="1"/>
    <n v="434"/>
    <n v="3611285000"/>
  </r>
  <r>
    <x v="2"/>
    <x v="20"/>
    <x v="2"/>
    <n v="55"/>
    <n v="1465480000"/>
  </r>
  <r>
    <x v="3"/>
    <x v="20"/>
    <x v="0"/>
    <n v="2108"/>
    <n v="2505244906"/>
  </r>
  <r>
    <x v="3"/>
    <x v="20"/>
    <x v="1"/>
    <n v="341"/>
    <n v="1283822352"/>
  </r>
  <r>
    <x v="3"/>
    <x v="20"/>
    <x v="2"/>
    <n v="14"/>
    <n v="96425000"/>
  </r>
  <r>
    <x v="3"/>
    <x v="20"/>
    <x v="3"/>
    <n v="8"/>
    <n v="77150000"/>
  </r>
  <r>
    <x v="4"/>
    <x v="20"/>
    <x v="0"/>
    <n v="23"/>
    <n v="65175000"/>
  </r>
  <r>
    <x v="4"/>
    <x v="20"/>
    <x v="1"/>
    <n v="39"/>
    <n v="241250000"/>
  </r>
  <r>
    <x v="4"/>
    <x v="20"/>
    <x v="2"/>
    <n v="4"/>
    <n v="75000000"/>
  </r>
  <r>
    <x v="4"/>
    <x v="20"/>
    <x v="6"/>
    <n v="1"/>
    <n v="1800000"/>
  </r>
  <r>
    <x v="5"/>
    <x v="20"/>
    <x v="0"/>
    <n v="1054"/>
    <n v="23009625.73"/>
  </r>
  <r>
    <x v="5"/>
    <x v="20"/>
    <x v="1"/>
    <n v="127"/>
    <n v="6111987.6900000004"/>
  </r>
  <r>
    <x v="5"/>
    <x v="20"/>
    <x v="2"/>
    <n v="13"/>
    <n v="2590968.9"/>
  </r>
  <r>
    <x v="5"/>
    <x v="20"/>
    <x v="6"/>
    <n v="3"/>
    <n v="54500"/>
  </r>
  <r>
    <x v="6"/>
    <x v="20"/>
    <x v="0"/>
    <n v="298"/>
    <n v="13115800000"/>
  </r>
  <r>
    <x v="6"/>
    <x v="20"/>
    <x v="1"/>
    <n v="238"/>
    <n v="11429600000"/>
  </r>
  <r>
    <x v="6"/>
    <x v="20"/>
    <x v="2"/>
    <n v="28"/>
    <n v="3318500000"/>
  </r>
  <r>
    <x v="7"/>
    <x v="20"/>
    <x v="0"/>
    <n v="1948"/>
    <n v="9920754053.7399998"/>
  </r>
  <r>
    <x v="7"/>
    <x v="20"/>
    <x v="1"/>
    <n v="145"/>
    <n v="2789948607.2600002"/>
  </r>
  <r>
    <x v="7"/>
    <x v="20"/>
    <x v="2"/>
    <n v="24"/>
    <n v="812565000"/>
  </r>
  <r>
    <x v="8"/>
    <x v="20"/>
    <x v="0"/>
    <n v="152"/>
    <n v="28988200"/>
  </r>
  <r>
    <x v="8"/>
    <x v="20"/>
    <x v="1"/>
    <n v="42"/>
    <n v="19201000"/>
  </r>
  <r>
    <x v="8"/>
    <x v="20"/>
    <x v="6"/>
    <n v="5"/>
    <n v="121500"/>
  </r>
  <r>
    <x v="9"/>
    <x v="20"/>
    <x v="0"/>
    <n v="321"/>
    <n v="1177489000"/>
  </r>
  <r>
    <x v="9"/>
    <x v="20"/>
    <x v="1"/>
    <n v="93"/>
    <n v="822085000"/>
  </r>
  <r>
    <x v="9"/>
    <x v="20"/>
    <x v="2"/>
    <n v="10"/>
    <n v="189500000"/>
  </r>
  <r>
    <x v="10"/>
    <x v="20"/>
    <x v="0"/>
    <n v="224"/>
    <n v="383265000"/>
  </r>
  <r>
    <x v="10"/>
    <x v="20"/>
    <x v="1"/>
    <n v="146"/>
    <n v="494685000"/>
  </r>
  <r>
    <x v="10"/>
    <x v="20"/>
    <x v="2"/>
    <n v="9"/>
    <n v="100000000"/>
  </r>
  <r>
    <x v="0"/>
    <x v="21"/>
    <x v="0"/>
    <n v="17"/>
    <n v="75460000"/>
  </r>
  <r>
    <x v="0"/>
    <x v="21"/>
    <x v="1"/>
    <n v="7"/>
    <n v="82100000"/>
  </r>
  <r>
    <x v="0"/>
    <x v="21"/>
    <x v="2"/>
    <n v="2"/>
    <n v="110000000"/>
  </r>
  <r>
    <x v="1"/>
    <x v="21"/>
    <x v="0"/>
    <n v="368"/>
    <n v="837425000"/>
  </r>
  <r>
    <x v="1"/>
    <x v="21"/>
    <x v="1"/>
    <n v="52"/>
    <n v="402800000"/>
  </r>
  <r>
    <x v="1"/>
    <x v="21"/>
    <x v="2"/>
    <n v="6"/>
    <n v="64200000"/>
  </r>
  <r>
    <x v="2"/>
    <x v="21"/>
    <x v="0"/>
    <n v="1512"/>
    <n v="4416990000"/>
  </r>
  <r>
    <x v="2"/>
    <x v="21"/>
    <x v="1"/>
    <n v="468"/>
    <n v="4240015000"/>
  </r>
  <r>
    <x v="2"/>
    <x v="21"/>
    <x v="2"/>
    <n v="47"/>
    <n v="1160650000"/>
  </r>
  <r>
    <x v="2"/>
    <x v="21"/>
    <x v="5"/>
    <n v="1"/>
    <n v="20000000"/>
  </r>
  <r>
    <x v="3"/>
    <x v="21"/>
    <x v="0"/>
    <n v="1819"/>
    <n v="2259001046"/>
  </r>
  <r>
    <x v="3"/>
    <x v="21"/>
    <x v="1"/>
    <n v="335"/>
    <n v="1248716645"/>
  </r>
  <r>
    <x v="3"/>
    <x v="21"/>
    <x v="2"/>
    <n v="10"/>
    <n v="136570000"/>
  </r>
  <r>
    <x v="3"/>
    <x v="21"/>
    <x v="3"/>
    <n v="2"/>
    <n v="24000000"/>
  </r>
  <r>
    <x v="4"/>
    <x v="21"/>
    <x v="0"/>
    <n v="30"/>
    <n v="61580000"/>
  </r>
  <r>
    <x v="4"/>
    <x v="21"/>
    <x v="1"/>
    <n v="55"/>
    <n v="312105000"/>
  </r>
  <r>
    <x v="4"/>
    <x v="21"/>
    <x v="2"/>
    <n v="5"/>
    <n v="72000000"/>
  </r>
  <r>
    <x v="5"/>
    <x v="21"/>
    <x v="0"/>
    <n v="866"/>
    <n v="19519157.82"/>
  </r>
  <r>
    <x v="5"/>
    <x v="21"/>
    <x v="1"/>
    <n v="216"/>
    <n v="10048008.35"/>
  </r>
  <r>
    <x v="5"/>
    <x v="21"/>
    <x v="2"/>
    <n v="28"/>
    <n v="6074732.7599999998"/>
  </r>
  <r>
    <x v="6"/>
    <x v="21"/>
    <x v="0"/>
    <n v="300"/>
    <n v="13479900000"/>
  </r>
  <r>
    <x v="6"/>
    <x v="21"/>
    <x v="1"/>
    <n v="96"/>
    <n v="7975000000"/>
  </r>
  <r>
    <x v="6"/>
    <x v="21"/>
    <x v="2"/>
    <n v="10"/>
    <n v="1703500000"/>
  </r>
  <r>
    <x v="7"/>
    <x v="21"/>
    <x v="0"/>
    <n v="1797"/>
    <n v="9609981448.5300007"/>
  </r>
  <r>
    <x v="7"/>
    <x v="21"/>
    <x v="1"/>
    <n v="117"/>
    <n v="2202773083"/>
  </r>
  <r>
    <x v="7"/>
    <x v="21"/>
    <x v="2"/>
    <n v="17"/>
    <n v="574168741.45000005"/>
  </r>
  <r>
    <x v="8"/>
    <x v="21"/>
    <x v="0"/>
    <n v="193"/>
    <n v="37851705.600000001"/>
  </r>
  <r>
    <x v="8"/>
    <x v="21"/>
    <x v="1"/>
    <n v="58"/>
    <n v="26465000"/>
  </r>
  <r>
    <x v="8"/>
    <x v="21"/>
    <x v="2"/>
    <n v="1"/>
    <n v="1050000"/>
  </r>
  <r>
    <x v="8"/>
    <x v="21"/>
    <x v="6"/>
    <n v="4"/>
    <n v="55000"/>
  </r>
  <r>
    <x v="9"/>
    <x v="21"/>
    <x v="0"/>
    <n v="497"/>
    <n v="1839545000"/>
  </r>
  <r>
    <x v="9"/>
    <x v="21"/>
    <x v="1"/>
    <n v="109"/>
    <n v="1034825000"/>
  </r>
  <r>
    <x v="9"/>
    <x v="21"/>
    <x v="2"/>
    <n v="21"/>
    <n v="340900000"/>
  </r>
  <r>
    <x v="10"/>
    <x v="21"/>
    <x v="0"/>
    <n v="306"/>
    <n v="482035000"/>
  </r>
  <r>
    <x v="10"/>
    <x v="21"/>
    <x v="1"/>
    <n v="222"/>
    <n v="715480000"/>
  </r>
  <r>
    <x v="10"/>
    <x v="21"/>
    <x v="2"/>
    <n v="26"/>
    <n v="315500000"/>
  </r>
  <r>
    <x v="10"/>
    <x v="21"/>
    <x v="3"/>
    <n v="5"/>
    <n v="41500000"/>
  </r>
  <r>
    <x v="0"/>
    <x v="22"/>
    <x v="0"/>
    <n v="16"/>
    <n v="64140000"/>
  </r>
  <r>
    <x v="0"/>
    <x v="22"/>
    <x v="1"/>
    <n v="5"/>
    <n v="72750000"/>
  </r>
  <r>
    <x v="0"/>
    <x v="22"/>
    <x v="2"/>
    <n v="1"/>
    <n v="40000000"/>
  </r>
  <r>
    <x v="1"/>
    <x v="22"/>
    <x v="0"/>
    <n v="339"/>
    <n v="1029857000"/>
  </r>
  <r>
    <x v="1"/>
    <x v="22"/>
    <x v="1"/>
    <n v="36"/>
    <n v="249550000"/>
  </r>
  <r>
    <x v="1"/>
    <x v="22"/>
    <x v="2"/>
    <n v="6"/>
    <n v="33895000"/>
  </r>
  <r>
    <x v="2"/>
    <x v="22"/>
    <x v="0"/>
    <n v="1051"/>
    <n v="3730195000"/>
  </r>
  <r>
    <x v="2"/>
    <x v="22"/>
    <x v="1"/>
    <n v="369"/>
    <n v="3901080000"/>
  </r>
  <r>
    <x v="2"/>
    <x v="22"/>
    <x v="2"/>
    <n v="58"/>
    <n v="1694700000"/>
  </r>
  <r>
    <x v="3"/>
    <x v="22"/>
    <x v="0"/>
    <n v="1429"/>
    <n v="2035602255"/>
  </r>
  <r>
    <x v="3"/>
    <x v="22"/>
    <x v="1"/>
    <n v="297"/>
    <n v="1184664881"/>
  </r>
  <r>
    <x v="3"/>
    <x v="22"/>
    <x v="2"/>
    <n v="21"/>
    <n v="240630000"/>
  </r>
  <r>
    <x v="3"/>
    <x v="22"/>
    <x v="3"/>
    <n v="7"/>
    <n v="66685000"/>
  </r>
  <r>
    <x v="4"/>
    <x v="22"/>
    <x v="0"/>
    <n v="24"/>
    <n v="58850000"/>
  </r>
  <r>
    <x v="4"/>
    <x v="22"/>
    <x v="1"/>
    <n v="39"/>
    <n v="231950000"/>
  </r>
  <r>
    <x v="4"/>
    <x v="22"/>
    <x v="2"/>
    <n v="3"/>
    <n v="95000000"/>
  </r>
  <r>
    <x v="5"/>
    <x v="22"/>
    <x v="0"/>
    <n v="660"/>
    <n v="13028498.26"/>
  </r>
  <r>
    <x v="5"/>
    <x v="22"/>
    <x v="1"/>
    <n v="125"/>
    <n v="4554289.29"/>
  </r>
  <r>
    <x v="5"/>
    <x v="22"/>
    <x v="2"/>
    <n v="18"/>
    <n v="1256908.5"/>
  </r>
  <r>
    <x v="6"/>
    <x v="22"/>
    <x v="0"/>
    <n v="266"/>
    <n v="10061200000"/>
  </r>
  <r>
    <x v="6"/>
    <x v="22"/>
    <x v="1"/>
    <n v="54"/>
    <n v="5557000000"/>
  </r>
  <r>
    <x v="6"/>
    <x v="22"/>
    <x v="2"/>
    <n v="9"/>
    <n v="1619000000"/>
  </r>
  <r>
    <x v="7"/>
    <x v="22"/>
    <x v="0"/>
    <n v="1000"/>
    <n v="6341024202.1300001"/>
  </r>
  <r>
    <x v="7"/>
    <x v="22"/>
    <x v="1"/>
    <n v="113"/>
    <n v="1962251048.4000001"/>
  </r>
  <r>
    <x v="7"/>
    <x v="22"/>
    <x v="2"/>
    <n v="11"/>
    <n v="404115000"/>
  </r>
  <r>
    <x v="8"/>
    <x v="22"/>
    <x v="0"/>
    <n v="106"/>
    <n v="29314000"/>
  </r>
  <r>
    <x v="8"/>
    <x v="22"/>
    <x v="1"/>
    <n v="30"/>
    <n v="18284000"/>
  </r>
  <r>
    <x v="8"/>
    <x v="22"/>
    <x v="6"/>
    <n v="2"/>
    <n v="90000"/>
  </r>
  <r>
    <x v="9"/>
    <x v="22"/>
    <x v="0"/>
    <n v="421"/>
    <n v="1464669108"/>
  </r>
  <r>
    <x v="9"/>
    <x v="22"/>
    <x v="1"/>
    <n v="126"/>
    <n v="1355015000"/>
  </r>
  <r>
    <x v="9"/>
    <x v="22"/>
    <x v="2"/>
    <n v="19"/>
    <n v="367350000"/>
  </r>
  <r>
    <x v="10"/>
    <x v="22"/>
    <x v="0"/>
    <n v="206"/>
    <n v="434485000"/>
  </r>
  <r>
    <x v="10"/>
    <x v="22"/>
    <x v="1"/>
    <n v="147"/>
    <n v="623150000"/>
  </r>
  <r>
    <x v="10"/>
    <x v="22"/>
    <x v="2"/>
    <n v="8"/>
    <n v="60500000"/>
  </r>
  <r>
    <x v="0"/>
    <x v="23"/>
    <x v="0"/>
    <n v="28"/>
    <n v="157665000"/>
  </r>
  <r>
    <x v="0"/>
    <x v="23"/>
    <x v="1"/>
    <n v="6"/>
    <n v="80150000"/>
  </r>
  <r>
    <x v="0"/>
    <x v="23"/>
    <x v="2"/>
    <n v="1"/>
    <n v="10000000"/>
  </r>
  <r>
    <x v="1"/>
    <x v="23"/>
    <x v="0"/>
    <n v="227"/>
    <n v="776410000"/>
  </r>
  <r>
    <x v="1"/>
    <x v="23"/>
    <x v="1"/>
    <n v="53"/>
    <n v="352120000"/>
  </r>
  <r>
    <x v="1"/>
    <x v="23"/>
    <x v="2"/>
    <n v="8"/>
    <n v="64250000"/>
  </r>
  <r>
    <x v="2"/>
    <x v="23"/>
    <x v="0"/>
    <n v="866"/>
    <n v="3083550000"/>
  </r>
  <r>
    <x v="2"/>
    <x v="23"/>
    <x v="1"/>
    <n v="242"/>
    <n v="2320310000"/>
  </r>
  <r>
    <x v="2"/>
    <x v="23"/>
    <x v="2"/>
    <n v="59"/>
    <n v="1096300000"/>
  </r>
  <r>
    <x v="3"/>
    <x v="23"/>
    <x v="0"/>
    <n v="608"/>
    <n v="1142133061"/>
  </r>
  <r>
    <x v="3"/>
    <x v="23"/>
    <x v="1"/>
    <n v="148"/>
    <n v="710230000"/>
  </r>
  <r>
    <x v="3"/>
    <x v="23"/>
    <x v="2"/>
    <n v="7"/>
    <n v="143370000"/>
  </r>
  <r>
    <x v="3"/>
    <x v="23"/>
    <x v="3"/>
    <n v="2"/>
    <n v="35900000"/>
  </r>
  <r>
    <x v="5"/>
    <x v="23"/>
    <x v="0"/>
    <n v="384"/>
    <n v="6455907.1399999997"/>
  </r>
  <r>
    <x v="5"/>
    <x v="23"/>
    <x v="1"/>
    <n v="69"/>
    <n v="2347024.1"/>
  </r>
  <r>
    <x v="5"/>
    <x v="23"/>
    <x v="2"/>
    <n v="10"/>
    <n v="440562.25"/>
  </r>
  <r>
    <x v="6"/>
    <x v="23"/>
    <x v="0"/>
    <n v="187"/>
    <n v="7452000000"/>
  </r>
  <r>
    <x v="6"/>
    <x v="23"/>
    <x v="1"/>
    <n v="33"/>
    <n v="4162000000"/>
  </r>
  <r>
    <x v="6"/>
    <x v="23"/>
    <x v="2"/>
    <n v="9"/>
    <n v="1986000000"/>
  </r>
  <r>
    <x v="7"/>
    <x v="23"/>
    <x v="0"/>
    <n v="918"/>
    <n v="6358704865.1000004"/>
  </r>
  <r>
    <x v="7"/>
    <x v="23"/>
    <x v="1"/>
    <n v="120"/>
    <n v="2711819484.3499999"/>
  </r>
  <r>
    <x v="7"/>
    <x v="23"/>
    <x v="2"/>
    <n v="13"/>
    <n v="334156600"/>
  </r>
  <r>
    <x v="8"/>
    <x v="23"/>
    <x v="0"/>
    <n v="66"/>
    <n v="18729000"/>
  </r>
  <r>
    <x v="8"/>
    <x v="23"/>
    <x v="1"/>
    <n v="30"/>
    <n v="21109703.699999999"/>
  </r>
  <r>
    <x v="8"/>
    <x v="23"/>
    <x v="2"/>
    <n v="1"/>
    <n v="450000"/>
  </r>
  <r>
    <x v="8"/>
    <x v="23"/>
    <x v="6"/>
    <n v="1"/>
    <n v="120000"/>
  </r>
  <r>
    <x v="9"/>
    <x v="23"/>
    <x v="0"/>
    <n v="428"/>
    <n v="1560875000"/>
  </r>
  <r>
    <x v="9"/>
    <x v="23"/>
    <x v="1"/>
    <n v="120"/>
    <n v="1246010000"/>
  </r>
  <r>
    <x v="9"/>
    <x v="23"/>
    <x v="2"/>
    <n v="16"/>
    <n v="1023000000"/>
  </r>
  <r>
    <x v="10"/>
    <x v="23"/>
    <x v="0"/>
    <n v="199"/>
    <n v="302460000"/>
  </r>
  <r>
    <x v="10"/>
    <x v="23"/>
    <x v="1"/>
    <n v="139"/>
    <n v="569440000"/>
  </r>
  <r>
    <x v="10"/>
    <x v="23"/>
    <x v="2"/>
    <n v="8"/>
    <n v="76000000"/>
  </r>
  <r>
    <x v="4"/>
    <x v="23"/>
    <x v="0"/>
    <n v="18"/>
    <n v="54770000"/>
  </r>
  <r>
    <x v="4"/>
    <x v="23"/>
    <x v="2"/>
    <n v="2"/>
    <n v="25000000"/>
  </r>
  <r>
    <x v="4"/>
    <x v="23"/>
    <x v="1"/>
    <n v="37"/>
    <n v="211445000"/>
  </r>
  <r>
    <x v="11"/>
    <x v="24"/>
    <x v="7"/>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E03BFA-9D9C-4B46-9B5A-DFBA9337DE36}" name="Tableau croisé dynamique5" cacheId="57" applyNumberFormats="0" applyBorderFormats="0" applyFontFormats="0" applyPatternFormats="0" applyAlignmentFormats="0" applyWidthHeightFormats="1" dataCaption="Valeurs" updatedVersion="8" minRefreshableVersion="3" useAutoFormatting="1" colGrandTotals="0" itemPrintTitles="1" createdVersion="6" indent="0" outline="1" outlineData="1" multipleFieldFilters="0">
  <location ref="C3:E18" firstHeaderRow="1" firstDataRow="4" firstDataCol="1"/>
  <pivotFields count="7">
    <pivotField axis="axisRow" showAll="0">
      <items count="13">
        <item x="0"/>
        <item x="1"/>
        <item x="2"/>
        <item x="3"/>
        <item x="4"/>
        <item x="5"/>
        <item x="6"/>
        <item x="7"/>
        <item x="8"/>
        <item x="9"/>
        <item x="10"/>
        <item x="11"/>
        <item t="default"/>
      </items>
    </pivotField>
    <pivotField axis="axisCol" showAll="0">
      <items count="15">
        <item h="1" x="0"/>
        <item x="1"/>
        <item x="2"/>
        <item x="3"/>
        <item x="4"/>
        <item x="5"/>
        <item x="6"/>
        <item x="7"/>
        <item x="8"/>
        <item x="9"/>
        <item x="10"/>
        <item x="11"/>
        <item x="12"/>
        <item x="13"/>
        <item t="default"/>
      </items>
    </pivotField>
    <pivotField showAll="0"/>
    <pivotField showAll="0"/>
    <pivotField dataField="1" showAll="0"/>
    <pivotField axis="axisCol" showAll="0" defaultSubtotal="0">
      <items count="6">
        <item sd="0" x="1"/>
        <item sd="0" x="2"/>
        <item x="3"/>
        <item x="4"/>
        <item x="0"/>
        <item x="5"/>
      </items>
    </pivotField>
    <pivotField axis="axisCol" showAll="0" defaultSubtotal="0">
      <items count="5">
        <item sd="0" x="1"/>
        <item x="0"/>
        <item sd="0" x="2"/>
        <item x="3"/>
        <item x="4"/>
      </items>
    </pivotField>
  </pivotFields>
  <rowFields count="1">
    <field x="0"/>
  </rowFields>
  <rowItems count="12">
    <i>
      <x/>
    </i>
    <i>
      <x v="1"/>
    </i>
    <i>
      <x v="2"/>
    </i>
    <i>
      <x v="3"/>
    </i>
    <i>
      <x v="4"/>
    </i>
    <i>
      <x v="5"/>
    </i>
    <i>
      <x v="6"/>
    </i>
    <i>
      <x v="7"/>
    </i>
    <i>
      <x v="8"/>
    </i>
    <i>
      <x v="9"/>
    </i>
    <i>
      <x v="10"/>
    </i>
    <i t="grand">
      <x/>
    </i>
  </rowItems>
  <colFields count="3">
    <field x="6"/>
    <field x="5"/>
    <field x="1"/>
  </colFields>
  <colItems count="2">
    <i>
      <x/>
    </i>
    <i>
      <x v="2"/>
    </i>
  </colItems>
  <dataFields count="1">
    <dataField name="Somme de montant" fld="4" baseField="0" baseItem="0" numFmtId="179"/>
  </dataFields>
  <formats count="3">
    <format dxfId="15">
      <pivotArea outline="0" collapsedLevelsAreSubtotals="1" fieldPosition="0"/>
    </format>
    <format dxfId="14">
      <pivotArea outline="0" collapsedLevelsAreSubtotals="1" fieldPosition="0"/>
    </format>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40FED3-1A71-4257-A86B-A649BA3E62BF}" name="Tableau croisé dynamique6" cacheId="59" applyNumberFormats="0" applyBorderFormats="0" applyFontFormats="0" applyPatternFormats="0" applyAlignmentFormats="0" applyWidthHeightFormats="1" dataCaption="Valeurs" updatedVersion="8" minRefreshableVersion="3" useAutoFormatting="1" colGrandTotals="0" itemPrintTitles="1" createdVersion="6" indent="0" outline="1" outlineData="1" multipleFieldFilters="0">
  <location ref="G3:I18" firstHeaderRow="1" firstDataRow="4" firstDataCol="1"/>
  <pivotFields count="7">
    <pivotField axis="axisRow" showAll="0">
      <items count="13">
        <item x="0"/>
        <item x="1"/>
        <item x="2"/>
        <item x="3"/>
        <item x="4"/>
        <item x="5"/>
        <item x="6"/>
        <item x="7"/>
        <item x="8"/>
        <item x="9"/>
        <item x="10"/>
        <item x="11"/>
        <item t="default"/>
      </items>
    </pivotField>
    <pivotField axis="axisCol" showAll="0">
      <items count="15">
        <item h="1" x="0"/>
        <item x="1"/>
        <item x="2"/>
        <item x="3"/>
        <item x="4"/>
        <item x="5"/>
        <item x="6"/>
        <item x="7"/>
        <item x="8"/>
        <item x="9"/>
        <item x="10"/>
        <item x="11"/>
        <item x="12"/>
        <item x="13"/>
        <item t="default"/>
      </items>
    </pivotField>
    <pivotField showAll="0"/>
    <pivotField showAll="0"/>
    <pivotField dataField="1" showAll="0"/>
    <pivotField axis="axisCol" showAll="0" defaultSubtotal="0">
      <items count="6">
        <item sd="0" x="1"/>
        <item sd="0" x="2"/>
        <item sd="0" x="3"/>
        <item sd="0" x="4"/>
        <item h="1" sd="0" x="0"/>
        <item h="1" x="5"/>
      </items>
    </pivotField>
    <pivotField axis="axisCol" showAll="0" defaultSubtotal="0">
      <items count="5">
        <item sd="0" x="1"/>
        <item sd="0" x="0"/>
        <item sd="0" x="2"/>
        <item x="3"/>
        <item x="4"/>
      </items>
    </pivotField>
  </pivotFields>
  <rowFields count="1">
    <field x="0"/>
  </rowFields>
  <rowItems count="12">
    <i>
      <x/>
    </i>
    <i>
      <x v="1"/>
    </i>
    <i>
      <x v="2"/>
    </i>
    <i>
      <x v="3"/>
    </i>
    <i>
      <x v="4"/>
    </i>
    <i>
      <x v="5"/>
    </i>
    <i>
      <x v="6"/>
    </i>
    <i>
      <x v="7"/>
    </i>
    <i>
      <x v="8"/>
    </i>
    <i>
      <x v="9"/>
    </i>
    <i>
      <x v="10"/>
    </i>
    <i t="grand">
      <x/>
    </i>
  </rowItems>
  <colFields count="3">
    <field x="6"/>
    <field x="5"/>
    <field x="1"/>
  </colFields>
  <colItems count="2">
    <i>
      <x/>
    </i>
    <i>
      <x v="2"/>
    </i>
  </colItems>
  <dataFields count="1">
    <dataField name="Somme de montant" fld="4" baseField="0" baseItem="0" numFmtId="179"/>
  </dataFields>
  <formats count="3">
    <format dxfId="18">
      <pivotArea outline="0" collapsedLevelsAreSubtotals="1" fieldPosition="0"/>
    </format>
    <format dxfId="17">
      <pivotArea outline="0" collapsedLevelsAreSubtotals="1" fieldPosition="0"/>
    </format>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E4274F-F7F7-42B7-9D6C-9085E80196F9}" name="Tableau croisé dynamique2" cacheId="25" applyNumberFormats="0" applyBorderFormats="0" applyFontFormats="0" applyPatternFormats="0" applyAlignmentFormats="0" applyWidthHeightFormats="1" dataCaption="Valeurs" updatedVersion="8" minRefreshableVersion="3" useAutoFormatting="1" itemPrintTitles="1" createdVersion="8" indent="0" outline="1" outlineData="1" multipleFieldFilters="0">
  <location ref="A2:D6"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efaultSubtotal="0" defaultAttributeDrillState="1">
      <items count="2">
        <item x="1"/>
        <item x="0"/>
      </items>
    </pivotField>
    <pivotField dataField="1" subtotalTop="0" showAll="0" defaultSubtotal="0"/>
  </pivotFields>
  <rowFields count="1">
    <field x="1"/>
  </rowFields>
  <rowItems count="3">
    <i>
      <x/>
    </i>
    <i>
      <x v="1"/>
    </i>
    <i t="grand">
      <x/>
    </i>
  </rowItems>
  <colFields count="1">
    <field x="0"/>
  </colFields>
  <colItems count="3">
    <i>
      <x/>
    </i>
    <i>
      <x v="1"/>
    </i>
    <i t="grand">
      <x/>
    </i>
  </colItems>
  <dataFields count="1">
    <dataField name="Somme de ClientCntIn" fld="2" baseField="0" baseItem="0"/>
  </dataFields>
  <pivotHierarchies count="10">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ock!$A$1:$G$866">
        <x15:activeTabTopLevelEntity name="[Pl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eau croisé dynamique11" cacheId="27" applyNumberFormats="0" applyBorderFormats="0" applyFontFormats="0" applyPatternFormats="0" applyAlignmentFormats="0" applyWidthHeightFormats="1" dataCaption="Valeurs" updatedVersion="8" minRefreshableVersion="3" useAutoFormatting="1" colGrandTotals="0" itemPrintTitles="1" createdVersion="6" indent="0" outline="1" outlineData="1" multipleFieldFilters="0">
  <location ref="I1:M15" firstHeaderRow="1" firstDataRow="3" firstDataCol="1"/>
  <pivotFields count="4">
    <pivotField axis="axisRow" showAll="0" defaultSubtotal="0">
      <items count="12">
        <item x="2"/>
        <item x="3"/>
        <item x="6"/>
        <item x="1"/>
        <item x="4"/>
        <item x="0"/>
        <item x="5"/>
        <item x="9"/>
        <item x="7"/>
        <item x="10"/>
        <item x="8"/>
        <item h="1" x="11"/>
      </items>
    </pivotField>
    <pivotField axis="axisCol" showAll="0" defaultSubtotal="0">
      <items count="30">
        <item h="1" x="1"/>
        <item h="1" x="0"/>
        <item h="1" x="29"/>
        <item h="1" x="3"/>
        <item h="1" x="2"/>
        <item h="1" x="5"/>
        <item h="1" x="4"/>
        <item h="1" x="6"/>
        <item h="1" x="7"/>
        <item h="1" x="8"/>
        <item h="1" x="9"/>
        <item h="1" x="10"/>
        <item h="1" x="11"/>
        <item x="12"/>
        <item h="1" x="13"/>
        <item h="1" x="14"/>
        <item h="1" x="15"/>
        <item h="1" x="16"/>
        <item h="1" x="17"/>
        <item h="1" x="18"/>
        <item h="1" x="19"/>
        <item h="1" x="20"/>
        <item h="1" x="21"/>
        <item h="1" x="22"/>
        <item h="1" x="23"/>
        <item h="1" x="24"/>
        <item h="1" x="25"/>
        <item h="1" x="26"/>
        <item h="1" x="27"/>
        <item x="28"/>
      </items>
    </pivotField>
    <pivotField axis="axisCol" showAll="0" defaultSubtotal="0">
      <items count="3">
        <item x="0"/>
        <item x="1"/>
        <item x="2"/>
      </items>
    </pivotField>
    <pivotField dataField="1" showAll="0" defaultSubtotal="0"/>
  </pivotFields>
  <rowFields count="1">
    <field x="0"/>
  </rowFields>
  <rowItems count="12">
    <i>
      <x/>
    </i>
    <i>
      <x v="1"/>
    </i>
    <i>
      <x v="2"/>
    </i>
    <i>
      <x v="3"/>
    </i>
    <i>
      <x v="4"/>
    </i>
    <i>
      <x v="5"/>
    </i>
    <i>
      <x v="6"/>
    </i>
    <i>
      <x v="7"/>
    </i>
    <i>
      <x v="8"/>
    </i>
    <i>
      <x v="9"/>
    </i>
    <i>
      <x v="10"/>
    </i>
    <i t="grand">
      <x/>
    </i>
  </rowItems>
  <colFields count="2">
    <field x="1"/>
    <field x="2"/>
  </colFields>
  <colItems count="4">
    <i>
      <x v="13"/>
      <x/>
    </i>
    <i r="1">
      <x v="1"/>
    </i>
    <i>
      <x v="29"/>
      <x/>
    </i>
    <i r="1">
      <x v="1"/>
    </i>
  </colItems>
  <dataFields count="1">
    <dataField name="Somme de Nb_contrats" fld="3" baseField="0" baseItem="7" numFmtId="166"/>
  </dataFields>
  <formats count="11">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fieldPosition="0">
        <references count="1">
          <reference field="4294967294" count="1">
            <x v="0"/>
          </reference>
        </references>
      </pivotArea>
    </format>
    <format dxfId="8">
      <pivotArea outline="0" collapsedLevelsAreSubtotals="1" fieldPosition="0">
        <references count="2">
          <reference field="1" count="2" selected="0">
            <x v="0"/>
            <x v="1"/>
          </reference>
          <reference field="2" count="2" selected="0">
            <x v="0"/>
            <x v="1"/>
          </reference>
        </references>
      </pivotArea>
    </format>
    <format dxfId="7">
      <pivotArea outline="0" collapsedLevelsAreSubtotals="1" fieldPosition="0">
        <references count="2">
          <reference field="1" count="2" selected="0">
            <x v="0"/>
            <x v="1"/>
          </reference>
          <reference field="2" count="2" selected="0">
            <x v="0"/>
            <x v="1"/>
          </reference>
        </references>
      </pivotArea>
    </format>
    <format dxfId="6">
      <pivotArea dataOnly="0" labelOnly="1" fieldPosition="0">
        <references count="2">
          <reference field="1" count="1" selected="0">
            <x v="0"/>
          </reference>
          <reference field="2" count="2">
            <x v="0"/>
            <x v="1"/>
          </reference>
        </references>
      </pivotArea>
    </format>
    <format dxfId="5">
      <pivotArea dataOnly="0" labelOnly="1" fieldPosition="0">
        <references count="2">
          <reference field="1" count="1" selected="0">
            <x v="1"/>
          </reference>
          <reference field="2" count="2">
            <x v="0"/>
            <x v="1"/>
          </reference>
        </references>
      </pivotArea>
    </format>
    <format dxfId="4">
      <pivotArea dataOnly="0" labelOnly="1" fieldPosition="0">
        <references count="2">
          <reference field="1" count="1" selected="0">
            <x v="0"/>
          </reference>
          <reference field="2" count="2">
            <x v="0"/>
            <x v="1"/>
          </reference>
        </references>
      </pivotArea>
    </format>
    <format dxfId="3">
      <pivotArea dataOnly="0" labelOnly="1" fieldPosition="0">
        <references count="2">
          <reference field="1" count="1" selected="0">
            <x v="1"/>
          </reference>
          <reference field="2" count="2">
            <x v="0"/>
            <x v="1"/>
          </reference>
        </references>
      </pivotArea>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Tableau croisé dynamique2" cacheId="36" applyNumberFormats="0" applyBorderFormats="0" applyFontFormats="0" applyPatternFormats="0" applyAlignmentFormats="0" applyWidthHeightFormats="1" dataCaption="Valeurs" updatedVersion="8" minRefreshableVersion="3" useAutoFormatting="1" itemPrintTitles="1" createdVersion="5" indent="0" outline="1" outlineData="1" multipleFieldFilters="0">
  <location ref="X3:AA16" firstHeaderRow="1" firstDataRow="2" firstDataCol="1" rowPageCount="1" colPageCount="1"/>
  <pivotFields count="9">
    <pivotField axis="axisRow" showAll="0">
      <items count="13">
        <item x="0"/>
        <item x="1"/>
        <item x="2"/>
        <item x="3"/>
        <item x="4"/>
        <item x="5"/>
        <item x="6"/>
        <item x="7"/>
        <item x="8"/>
        <item x="9"/>
        <item x="10"/>
        <item h="1" x="11"/>
        <item t="default"/>
      </items>
    </pivotField>
    <pivotField axis="axisCol" showAll="0">
      <items count="40">
        <item h="1" x="34"/>
        <item h="1" m="1" x="35"/>
        <item h="1" m="1" x="36"/>
        <item h="1" m="1" x="37"/>
        <item h="1" m="1" x="38"/>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x="33"/>
        <item t="default"/>
      </items>
    </pivotField>
    <pivotField axis="axisPage" multipleItemSelectionAllowed="1" showAll="0">
      <items count="10">
        <item x="0"/>
        <item h="1" x="1"/>
        <item h="1" x="2"/>
        <item x="3"/>
        <item h="1" x="4"/>
        <item h="1" m="1" x="5"/>
        <item h="1" m="1" x="7"/>
        <item h="1" m="1" x="8"/>
        <item h="1" m="1" x="6"/>
        <item t="default"/>
      </items>
    </pivotField>
    <pivotField showAll="0"/>
    <pivotField showAll="0"/>
    <pivotField showAll="0"/>
    <pivotField showAll="0"/>
    <pivotField showAll="0"/>
    <pivotField dataField="1" showAll="0"/>
  </pivotFields>
  <rowFields count="1">
    <field x="0"/>
  </rowFields>
  <rowItems count="12">
    <i>
      <x/>
    </i>
    <i>
      <x v="1"/>
    </i>
    <i>
      <x v="2"/>
    </i>
    <i>
      <x v="3"/>
    </i>
    <i>
      <x v="4"/>
    </i>
    <i>
      <x v="5"/>
    </i>
    <i>
      <x v="6"/>
    </i>
    <i>
      <x v="7"/>
    </i>
    <i>
      <x v="8"/>
    </i>
    <i>
      <x v="9"/>
    </i>
    <i>
      <x v="10"/>
    </i>
    <i t="grand">
      <x/>
    </i>
  </rowItems>
  <colFields count="1">
    <field x="1"/>
  </colFields>
  <colItems count="3">
    <i>
      <x v="28"/>
    </i>
    <i>
      <x v="38"/>
    </i>
    <i t="grand">
      <x/>
    </i>
  </colItems>
  <pageFields count="1">
    <pageField fld="2" hier="-1"/>
  </pageFields>
  <dataFields count="1">
    <dataField name="Somme de PNB en EUR" fld="8" baseField="0" baseItem="7"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eau croisé dynamique1" cacheId="36" applyNumberFormats="0" applyBorderFormats="0" applyFontFormats="0" applyPatternFormats="0" applyAlignmentFormats="0" applyWidthHeightFormats="1" dataCaption="Valeurs" updatedVersion="8" minRefreshableVersion="3" useAutoFormatting="1" itemPrintTitles="1" createdVersion="5" indent="0" outline="1" outlineData="1" multipleFieldFilters="0">
  <location ref="Q1:T14" firstHeaderRow="1" firstDataRow="2" firstDataCol="1"/>
  <pivotFields count="9">
    <pivotField axis="axisRow" showAll="0">
      <items count="13">
        <item x="0"/>
        <item x="1"/>
        <item x="2"/>
        <item x="3"/>
        <item x="4"/>
        <item x="5"/>
        <item x="6"/>
        <item x="7"/>
        <item x="8"/>
        <item x="9"/>
        <item x="10"/>
        <item h="1" x="11"/>
        <item t="default"/>
      </items>
    </pivotField>
    <pivotField axis="axisCol" showAll="0">
      <items count="40">
        <item h="1" x="34"/>
        <item h="1" m="1" x="35"/>
        <item h="1" m="1" x="36"/>
        <item h="1" m="1" x="37"/>
        <item h="1" m="1" x="38"/>
        <item h="1" x="0"/>
        <item h="1" x="1"/>
        <item h="1" x="2"/>
        <item h="1" x="3"/>
        <item h="1" x="4"/>
        <item h="1" x="5"/>
        <item h="1" x="6"/>
        <item h="1" x="7"/>
        <item h="1" x="8"/>
        <item h="1" x="9"/>
        <item h="1" x="10"/>
        <item h="1" x="11"/>
        <item h="1" x="12"/>
        <item h="1" x="13"/>
        <item h="1" x="14"/>
        <item h="1" x="15"/>
        <item h="1" x="16"/>
        <item h="1" x="17"/>
        <item h="1" x="18"/>
        <item h="1" x="19"/>
        <item h="1" x="20"/>
        <item h="1" x="21"/>
        <item h="1" x="22"/>
        <item x="23"/>
        <item h="1" x="24"/>
        <item h="1" x="25"/>
        <item h="1" x="26"/>
        <item h="1" x="27"/>
        <item h="1" x="28"/>
        <item h="1" x="29"/>
        <item h="1" x="30"/>
        <item h="1" x="31"/>
        <item h="1" x="32"/>
        <item x="33"/>
        <item t="default"/>
      </items>
    </pivotField>
    <pivotField showAll="0"/>
    <pivotField showAll="0"/>
    <pivotField showAll="0"/>
    <pivotField showAll="0"/>
    <pivotField showAll="0"/>
    <pivotField showAll="0"/>
    <pivotField dataField="1" showAll="0"/>
  </pivotFields>
  <rowFields count="1">
    <field x="0"/>
  </rowFields>
  <rowItems count="12">
    <i>
      <x/>
    </i>
    <i>
      <x v="1"/>
    </i>
    <i>
      <x v="2"/>
    </i>
    <i>
      <x v="3"/>
    </i>
    <i>
      <x v="4"/>
    </i>
    <i>
      <x v="5"/>
    </i>
    <i>
      <x v="6"/>
    </i>
    <i>
      <x v="7"/>
    </i>
    <i>
      <x v="8"/>
    </i>
    <i>
      <x v="9"/>
    </i>
    <i>
      <x v="10"/>
    </i>
    <i t="grand">
      <x/>
    </i>
  </rowItems>
  <colFields count="1">
    <field x="1"/>
  </colFields>
  <colItems count="3">
    <i>
      <x v="28"/>
    </i>
    <i>
      <x v="38"/>
    </i>
    <i t="grand">
      <x/>
    </i>
  </colItems>
  <dataFields count="1">
    <dataField name="Somme de PNB en EUR" fld="8" baseField="0" baseItem="7" numFmtId="166"/>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ableau croisé dynamique6" cacheId="30" applyNumberFormats="0" applyBorderFormats="0" applyFontFormats="0" applyPatternFormats="0" applyAlignmentFormats="0" applyWidthHeightFormats="1" dataCaption="Valeurs" updatedVersion="8" minRefreshableVersion="3" useAutoFormatting="1" colGrandTotals="0" itemPrintTitles="1" createdVersion="5" indent="0" compact="0" compactData="0" multipleFieldFilters="0">
  <location ref="Z4:AD153" firstHeaderRow="1" firstDataRow="2" firstDataCol="2" rowPageCount="1" colPageCount="1"/>
  <pivotFields count="5">
    <pivotField axis="axisCol" compact="0" outline="0" showAll="0">
      <items count="43">
        <item h="1" x="41"/>
        <item h="1" x="8"/>
        <item h="1" x="11"/>
        <item h="1" x="12"/>
        <item h="1" x="14"/>
        <item h="1" x="9"/>
        <item h="1" x="10"/>
        <item h="1" x="13"/>
        <item h="1" x="15"/>
        <item h="1" x="16"/>
        <item h="1" x="18"/>
        <item h="1" x="17"/>
        <item h="1" x="19"/>
        <item h="1" x="0"/>
        <item h="1" x="1"/>
        <item h="1" x="2"/>
        <item h="1" x="3"/>
        <item h="1" x="4"/>
        <item h="1" x="5"/>
        <item h="1" x="6"/>
        <item h="1" x="20"/>
        <item h="1" x="7"/>
        <item h="1" x="21"/>
        <item h="1" x="22"/>
        <item h="1" x="23"/>
        <item h="1" x="24"/>
        <item h="1" x="25"/>
        <item h="1" x="26"/>
        <item h="1" x="27"/>
        <item x="28"/>
        <item h="1" x="29"/>
        <item h="1" x="30"/>
        <item h="1" x="31"/>
        <item h="1" x="32"/>
        <item h="1" x="33"/>
        <item h="1" x="34"/>
        <item h="1" x="35"/>
        <item h="1" x="36"/>
        <item h="1" x="37"/>
        <item h="1" x="38"/>
        <item x="39"/>
        <item x="40"/>
        <item t="default"/>
      </items>
    </pivotField>
    <pivotField axis="axisRow" compact="0" outline="0" showAll="0">
      <items count="3">
        <item h="1" x="1"/>
        <item x="0"/>
        <item t="default"/>
      </items>
    </pivotField>
    <pivotField axis="axisRow" compact="0" outline="0" showAll="0" sortType="ascending">
      <items count="304">
        <item x="0"/>
        <item x="156"/>
        <item x="294"/>
        <item x="1"/>
        <item x="2"/>
        <item x="215"/>
        <item x="224"/>
        <item x="203"/>
        <item x="3"/>
        <item x="204"/>
        <item x="4"/>
        <item x="5"/>
        <item x="6"/>
        <item x="7"/>
        <item x="8"/>
        <item x="9"/>
        <item x="219"/>
        <item x="10"/>
        <item x="11"/>
        <item x="157"/>
        <item x="12"/>
        <item x="13"/>
        <item x="14"/>
        <item x="173"/>
        <item x="158"/>
        <item x="159"/>
        <item x="15"/>
        <item x="16"/>
        <item x="17"/>
        <item x="18"/>
        <item x="19"/>
        <item x="259"/>
        <item x="20"/>
        <item x="205"/>
        <item x="216"/>
        <item x="21"/>
        <item x="22"/>
        <item x="23"/>
        <item x="24"/>
        <item x="25"/>
        <item x="26"/>
        <item x="27"/>
        <item x="28"/>
        <item x="223"/>
        <item x="29"/>
        <item x="30"/>
        <item x="213"/>
        <item x="31"/>
        <item x="32"/>
        <item x="33"/>
        <item x="227"/>
        <item x="34"/>
        <item x="35"/>
        <item x="36"/>
        <item x="37"/>
        <item x="160"/>
        <item x="38"/>
        <item x="214"/>
        <item x="218"/>
        <item x="255"/>
        <item x="174"/>
        <item x="39"/>
        <item x="161"/>
        <item x="202"/>
        <item x="40"/>
        <item x="264"/>
        <item x="41"/>
        <item x="42"/>
        <item x="43"/>
        <item x="225"/>
        <item x="175"/>
        <item x="200"/>
        <item x="44"/>
        <item x="212"/>
        <item x="267"/>
        <item x="45"/>
        <item x="46"/>
        <item x="47"/>
        <item x="48"/>
        <item x="262"/>
        <item x="206"/>
        <item x="211"/>
        <item x="49"/>
        <item x="50"/>
        <item x="201"/>
        <item x="51"/>
        <item x="52"/>
        <item x="221"/>
        <item x="53"/>
        <item x="54"/>
        <item x="286"/>
        <item x="55"/>
        <item x="56"/>
        <item x="57"/>
        <item x="58"/>
        <item x="59"/>
        <item x="162"/>
        <item x="60"/>
        <item x="217"/>
        <item x="61"/>
        <item x="62"/>
        <item x="63"/>
        <item x="163"/>
        <item x="64"/>
        <item x="65"/>
        <item x="66"/>
        <item x="67"/>
        <item x="68"/>
        <item x="176"/>
        <item x="69"/>
        <item x="70"/>
        <item x="71"/>
        <item x="72"/>
        <item x="73"/>
        <item x="74"/>
        <item x="75"/>
        <item x="164"/>
        <item x="76"/>
        <item x="265"/>
        <item x="228"/>
        <item x="177"/>
        <item x="77"/>
        <item x="78"/>
        <item x="79"/>
        <item x="299"/>
        <item x="178"/>
        <item x="80"/>
        <item x="81"/>
        <item x="82"/>
        <item x="83"/>
        <item x="84"/>
        <item x="85"/>
        <item x="86"/>
        <item x="179"/>
        <item x="87"/>
        <item x="230"/>
        <item x="88"/>
        <item x="180"/>
        <item x="89"/>
        <item x="90"/>
        <item x="91"/>
        <item x="92"/>
        <item x="93"/>
        <item x="94"/>
        <item x="95"/>
        <item x="210"/>
        <item x="96"/>
        <item x="97"/>
        <item x="98"/>
        <item x="99"/>
        <item x="100"/>
        <item x="101"/>
        <item x="102"/>
        <item x="209"/>
        <item x="103"/>
        <item x="165"/>
        <item x="104"/>
        <item x="233"/>
        <item x="105"/>
        <item x="106"/>
        <item x="107"/>
        <item x="108"/>
        <item x="109"/>
        <item x="110"/>
        <item x="111"/>
        <item x="181"/>
        <item x="112"/>
        <item x="113"/>
        <item x="114"/>
        <item x="115"/>
        <item x="182"/>
        <item x="116"/>
        <item x="166"/>
        <item x="117"/>
        <item x="167"/>
        <item x="168"/>
        <item x="235"/>
        <item x="183"/>
        <item x="184"/>
        <item x="185"/>
        <item x="186"/>
        <item x="187"/>
        <item x="188"/>
        <item x="189"/>
        <item x="190"/>
        <item x="191"/>
        <item x="192"/>
        <item x="231"/>
        <item x="193"/>
        <item x="220"/>
        <item x="118"/>
        <item x="260"/>
        <item x="119"/>
        <item x="207"/>
        <item x="284"/>
        <item x="120"/>
        <item x="121"/>
        <item x="194"/>
        <item x="208"/>
        <item x="122"/>
        <item x="123"/>
        <item x="124"/>
        <item x="241"/>
        <item x="125"/>
        <item x="126"/>
        <item x="127"/>
        <item x="128"/>
        <item x="129"/>
        <item x="130"/>
        <item x="131"/>
        <item x="132"/>
        <item x="266"/>
        <item x="133"/>
        <item x="134"/>
        <item x="135"/>
        <item x="136"/>
        <item x="137"/>
        <item x="169"/>
        <item x="138"/>
        <item x="139"/>
        <item x="140"/>
        <item x="141"/>
        <item x="142"/>
        <item x="143"/>
        <item x="237"/>
        <item x="195"/>
        <item x="144"/>
        <item x="145"/>
        <item x="146"/>
        <item x="147"/>
        <item x="148"/>
        <item x="149"/>
        <item x="150"/>
        <item x="151"/>
        <item x="152"/>
        <item x="269"/>
        <item x="196"/>
        <item x="153"/>
        <item x="154"/>
        <item x="170"/>
        <item x="171"/>
        <item x="172"/>
        <item x="197"/>
        <item x="288"/>
        <item x="198"/>
        <item x="199"/>
        <item x="222"/>
        <item x="226"/>
        <item x="232"/>
        <item x="229"/>
        <item x="236"/>
        <item x="234"/>
        <item x="239"/>
        <item x="238"/>
        <item x="240"/>
        <item x="246"/>
        <item x="243"/>
        <item x="244"/>
        <item x="248"/>
        <item x="247"/>
        <item x="242"/>
        <item x="245"/>
        <item x="252"/>
        <item x="253"/>
        <item x="256"/>
        <item x="249"/>
        <item x="250"/>
        <item x="251"/>
        <item x="258"/>
        <item x="257"/>
        <item x="254"/>
        <item x="263"/>
        <item x="261"/>
        <item x="277"/>
        <item x="274"/>
        <item x="272"/>
        <item x="278"/>
        <item x="273"/>
        <item x="268"/>
        <item x="271"/>
        <item x="270"/>
        <item x="275"/>
        <item x="279"/>
        <item x="276"/>
        <item x="280"/>
        <item x="281"/>
        <item x="282"/>
        <item x="283"/>
        <item x="285"/>
        <item x="287"/>
        <item x="293"/>
        <item x="289"/>
        <item x="291"/>
        <item x="295"/>
        <item x="290"/>
        <item x="292"/>
        <item x="298"/>
        <item x="297"/>
        <item x="296"/>
        <item x="300"/>
        <item x="301"/>
        <item x="155"/>
        <item x="302"/>
        <item t="default"/>
      </items>
    </pivotField>
    <pivotField dataField="1" compact="0" outline="0" multipleItemSelectionAllowed="1" showAll="0"/>
    <pivotField axis="axisPage" compact="0" outline="0" showAll="0" defaultSubtotal="0">
      <items count="3">
        <item x="1"/>
        <item x="0"/>
        <item x="2"/>
      </items>
    </pivotField>
  </pivotFields>
  <rowFields count="2">
    <field x="1"/>
    <field x="2"/>
  </rowFields>
  <rowItems count="148">
    <i>
      <x v="1"/>
      <x v="4"/>
    </i>
    <i r="1">
      <x v="8"/>
    </i>
    <i r="1">
      <x v="13"/>
    </i>
    <i r="1">
      <x v="14"/>
    </i>
    <i r="1">
      <x v="17"/>
    </i>
    <i r="1">
      <x v="28"/>
    </i>
    <i r="1">
      <x v="30"/>
    </i>
    <i r="1">
      <x v="35"/>
    </i>
    <i r="1">
      <x v="36"/>
    </i>
    <i r="1">
      <x v="41"/>
    </i>
    <i r="1">
      <x v="42"/>
    </i>
    <i r="1">
      <x v="45"/>
    </i>
    <i r="1">
      <x v="48"/>
    </i>
    <i r="1">
      <x v="49"/>
    </i>
    <i r="1">
      <x v="54"/>
    </i>
    <i r="1">
      <x v="56"/>
    </i>
    <i r="1">
      <x v="72"/>
    </i>
    <i r="1">
      <x v="76"/>
    </i>
    <i r="1">
      <x v="77"/>
    </i>
    <i r="1">
      <x v="83"/>
    </i>
    <i r="1">
      <x v="85"/>
    </i>
    <i r="1">
      <x v="86"/>
    </i>
    <i r="1">
      <x v="88"/>
    </i>
    <i r="1">
      <x v="94"/>
    </i>
    <i r="1">
      <x v="99"/>
    </i>
    <i r="1">
      <x v="100"/>
    </i>
    <i r="1">
      <x v="101"/>
    </i>
    <i r="1">
      <x v="103"/>
    </i>
    <i r="1">
      <x v="104"/>
    </i>
    <i r="1">
      <x v="105"/>
    </i>
    <i r="1">
      <x v="109"/>
    </i>
    <i r="1">
      <x v="111"/>
    </i>
    <i r="1">
      <x v="113"/>
    </i>
    <i r="1">
      <x v="114"/>
    </i>
    <i r="1">
      <x v="115"/>
    </i>
    <i r="1">
      <x v="116"/>
    </i>
    <i r="1">
      <x v="123"/>
    </i>
    <i r="1">
      <x v="131"/>
    </i>
    <i r="1">
      <x v="132"/>
    </i>
    <i r="1">
      <x v="134"/>
    </i>
    <i r="1">
      <x v="136"/>
    </i>
    <i r="1">
      <x v="138"/>
    </i>
    <i r="1">
      <x v="139"/>
    </i>
    <i r="1">
      <x v="142"/>
    </i>
    <i r="1">
      <x v="143"/>
    </i>
    <i r="1">
      <x v="144"/>
    </i>
    <i r="1">
      <x v="147"/>
    </i>
    <i r="1">
      <x v="149"/>
    </i>
    <i r="1">
      <x v="152"/>
    </i>
    <i r="1">
      <x v="158"/>
    </i>
    <i r="1">
      <x v="164"/>
    </i>
    <i r="1">
      <x v="165"/>
    </i>
    <i r="1">
      <x v="167"/>
    </i>
    <i r="1">
      <x v="168"/>
    </i>
    <i r="1">
      <x v="169"/>
    </i>
    <i r="1">
      <x v="170"/>
    </i>
    <i r="1">
      <x v="171"/>
    </i>
    <i r="1">
      <x v="173"/>
    </i>
    <i r="1">
      <x v="174"/>
    </i>
    <i r="1">
      <x v="175"/>
    </i>
    <i r="1">
      <x v="177"/>
    </i>
    <i r="1">
      <x v="178"/>
    </i>
    <i r="1">
      <x v="179"/>
    </i>
    <i r="1">
      <x v="180"/>
    </i>
    <i r="1">
      <x v="181"/>
    </i>
    <i r="1">
      <x v="182"/>
    </i>
    <i r="1">
      <x v="183"/>
    </i>
    <i r="1">
      <x v="184"/>
    </i>
    <i r="1">
      <x v="185"/>
    </i>
    <i r="1">
      <x v="186"/>
    </i>
    <i r="1">
      <x v="188"/>
    </i>
    <i r="1">
      <x v="189"/>
    </i>
    <i r="1">
      <x v="190"/>
    </i>
    <i r="1">
      <x v="191"/>
    </i>
    <i r="1">
      <x v="196"/>
    </i>
    <i r="1">
      <x v="200"/>
    </i>
    <i r="1">
      <x v="201"/>
    </i>
    <i r="1">
      <x v="205"/>
    </i>
    <i r="1">
      <x v="207"/>
    </i>
    <i r="1">
      <x v="209"/>
    </i>
    <i r="1">
      <x v="212"/>
    </i>
    <i r="1">
      <x v="213"/>
    </i>
    <i r="1">
      <x v="214"/>
    </i>
    <i r="1">
      <x v="215"/>
    </i>
    <i r="1">
      <x v="216"/>
    </i>
    <i r="1">
      <x v="219"/>
    </i>
    <i r="1">
      <x v="220"/>
    </i>
    <i r="1">
      <x v="221"/>
    </i>
    <i r="1">
      <x v="222"/>
    </i>
    <i r="1">
      <x v="223"/>
    </i>
    <i r="1">
      <x v="226"/>
    </i>
    <i r="1">
      <x v="228"/>
    </i>
    <i r="1">
      <x v="229"/>
    </i>
    <i r="1">
      <x v="230"/>
    </i>
    <i r="1">
      <x v="232"/>
    </i>
    <i r="1">
      <x v="234"/>
    </i>
    <i r="1">
      <x v="237"/>
    </i>
    <i r="1">
      <x v="238"/>
    </i>
    <i r="1">
      <x v="239"/>
    </i>
    <i r="1">
      <x v="240"/>
    </i>
    <i r="1">
      <x v="241"/>
    </i>
    <i r="1">
      <x v="242"/>
    </i>
    <i r="1">
      <x v="244"/>
    </i>
    <i r="1">
      <x v="245"/>
    </i>
    <i r="1">
      <x v="246"/>
    </i>
    <i r="1">
      <x v="247"/>
    </i>
    <i r="1">
      <x v="248"/>
    </i>
    <i r="1">
      <x v="249"/>
    </i>
    <i r="1">
      <x v="250"/>
    </i>
    <i r="1">
      <x v="251"/>
    </i>
    <i r="1">
      <x v="252"/>
    </i>
    <i r="1">
      <x v="254"/>
    </i>
    <i r="1">
      <x v="255"/>
    </i>
    <i r="1">
      <x v="256"/>
    </i>
    <i r="1">
      <x v="257"/>
    </i>
    <i r="1">
      <x v="258"/>
    </i>
    <i r="1">
      <x v="259"/>
    </i>
    <i r="1">
      <x v="260"/>
    </i>
    <i r="1">
      <x v="261"/>
    </i>
    <i r="1">
      <x v="262"/>
    </i>
    <i r="1">
      <x v="263"/>
    </i>
    <i r="1">
      <x v="264"/>
    </i>
    <i r="1">
      <x v="266"/>
    </i>
    <i r="1">
      <x v="267"/>
    </i>
    <i r="1">
      <x v="268"/>
    </i>
    <i r="1">
      <x v="269"/>
    </i>
    <i r="1">
      <x v="270"/>
    </i>
    <i r="1">
      <x v="271"/>
    </i>
    <i r="1">
      <x v="272"/>
    </i>
    <i r="1">
      <x v="273"/>
    </i>
    <i r="1">
      <x v="274"/>
    </i>
    <i r="1">
      <x v="275"/>
    </i>
    <i r="1">
      <x v="276"/>
    </i>
    <i r="1">
      <x v="277"/>
    </i>
    <i r="1">
      <x v="278"/>
    </i>
    <i r="1">
      <x v="279"/>
    </i>
    <i r="1">
      <x v="280"/>
    </i>
    <i r="1">
      <x v="282"/>
    </i>
    <i r="1">
      <x v="283"/>
    </i>
    <i r="1">
      <x v="286"/>
    </i>
    <i r="1">
      <x v="287"/>
    </i>
    <i r="1">
      <x v="288"/>
    </i>
    <i r="1">
      <x v="289"/>
    </i>
    <i r="1">
      <x v="291"/>
    </i>
    <i r="1">
      <x v="296"/>
    </i>
    <i r="1">
      <x v="297"/>
    </i>
    <i t="default">
      <x v="1"/>
    </i>
    <i t="grand">
      <x/>
    </i>
  </rowItems>
  <colFields count="1">
    <field x="0"/>
  </colFields>
  <colItems count="3">
    <i>
      <x v="29"/>
    </i>
    <i>
      <x v="40"/>
    </i>
    <i>
      <x v="41"/>
    </i>
  </colItems>
  <pageFields count="1">
    <pageField fld="4" item="0" hier="-1"/>
  </pageFields>
  <dataFields count="1">
    <dataField name="Somme de Count(Distinct(Party_Id))" fld="3"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ableau croisé dynamique5" cacheId="29" applyNumberFormats="0" applyBorderFormats="0" applyFontFormats="0" applyPatternFormats="0" applyAlignmentFormats="0" applyWidthHeightFormats="1" dataCaption="Valeurs" updatedVersion="8" minRefreshableVersion="3" useAutoFormatting="1" colGrandTotals="0" itemPrintTitles="1" createdVersion="5" indent="0" compact="0" compactData="0" multipleFieldFilters="0">
  <location ref="L4:P42" firstHeaderRow="1" firstDataRow="2" firstDataCol="2" rowPageCount="1" colPageCount="1"/>
  <pivotFields count="5">
    <pivotField axis="axisCol" compact="0" outline="0" showAll="0">
      <items count="43">
        <item h="1" x="0"/>
        <item h="1" x="2"/>
        <item h="1" x="41"/>
        <item h="1" x="4"/>
        <item h="1" x="6"/>
        <item h="1" x="1"/>
        <item h="1" x="3"/>
        <item h="1" x="5"/>
        <item h="1" x="9"/>
        <item h="1" x="8"/>
        <item h="1" x="11"/>
        <item h="1" x="12"/>
        <item h="1" x="15"/>
        <item h="1" x="10"/>
        <item h="1" x="13"/>
        <item h="1" x="14"/>
        <item h="1" x="16"/>
        <item h="1" x="17"/>
        <item h="1" x="19"/>
        <item h="1" x="20"/>
        <item h="1" x="7"/>
        <item h="1" x="18"/>
        <item h="1" x="21"/>
        <item h="1" x="22"/>
        <item h="1" x="23"/>
        <item h="1" x="24"/>
        <item h="1" x="25"/>
        <item h="1" x="26"/>
        <item h="1" x="28"/>
        <item x="27"/>
        <item h="1" x="29"/>
        <item h="1" x="30"/>
        <item h="1" x="31"/>
        <item h="1" x="32"/>
        <item h="1" x="33"/>
        <item h="1" x="34"/>
        <item h="1" x="35"/>
        <item h="1" x="36"/>
        <item h="1" x="37"/>
        <item h="1" x="38"/>
        <item x="39"/>
        <item x="40"/>
        <item t="default"/>
      </items>
    </pivotField>
    <pivotField axis="axisRow" compact="0" outline="0" showAll="0">
      <items count="3">
        <item x="0"/>
        <item h="1" x="1"/>
        <item t="default"/>
      </items>
    </pivotField>
    <pivotField axis="axisRow" compact="0" outline="0" showAll="0">
      <items count="80">
        <item x="45"/>
        <item x="0"/>
        <item x="1"/>
        <item x="2"/>
        <item x="3"/>
        <item x="46"/>
        <item x="4"/>
        <item x="42"/>
        <item x="5"/>
        <item x="6"/>
        <item x="43"/>
        <item x="7"/>
        <item x="8"/>
        <item x="47"/>
        <item x="48"/>
        <item x="9"/>
        <item x="49"/>
        <item x="10"/>
        <item x="50"/>
        <item x="51"/>
        <item x="11"/>
        <item x="12"/>
        <item x="13"/>
        <item x="14"/>
        <item x="15"/>
        <item x="16"/>
        <item x="17"/>
        <item x="18"/>
        <item x="19"/>
        <item x="20"/>
        <item x="21"/>
        <item x="22"/>
        <item x="23"/>
        <item x="24"/>
        <item x="25"/>
        <item x="26"/>
        <item x="27"/>
        <item x="28"/>
        <item x="29"/>
        <item x="30"/>
        <item x="52"/>
        <item x="44"/>
        <item x="31"/>
        <item x="32"/>
        <item x="33"/>
        <item x="34"/>
        <item x="35"/>
        <item x="36"/>
        <item x="37"/>
        <item x="38"/>
        <item x="39"/>
        <item x="40"/>
        <item x="41"/>
        <item x="53"/>
        <item x="54"/>
        <item x="78"/>
        <item x="55"/>
        <item x="56"/>
        <item x="57"/>
        <item x="58"/>
        <item x="59"/>
        <item x="60"/>
        <item x="61"/>
        <item x="62"/>
        <item x="63"/>
        <item x="64"/>
        <item x="65"/>
        <item x="66"/>
        <item x="67"/>
        <item x="68"/>
        <item x="69"/>
        <item x="70"/>
        <item x="71"/>
        <item x="72"/>
        <item x="73"/>
        <item x="74"/>
        <item x="75"/>
        <item x="76"/>
        <item x="77"/>
        <item t="default"/>
      </items>
    </pivotField>
    <pivotField dataField="1" compact="0" outline="0" multipleItemSelectionAllowed="1" showAll="0"/>
    <pivotField axis="axisPage" compact="0" outline="0" showAll="0" defaultSubtotal="0">
      <items count="3">
        <item x="1"/>
        <item x="0"/>
        <item x="2"/>
      </items>
    </pivotField>
  </pivotFields>
  <rowFields count="2">
    <field x="1"/>
    <field x="2"/>
  </rowFields>
  <rowItems count="37">
    <i>
      <x/>
      <x v="2"/>
    </i>
    <i r="1">
      <x v="4"/>
    </i>
    <i r="1">
      <x v="6"/>
    </i>
    <i r="1">
      <x v="11"/>
    </i>
    <i r="1">
      <x v="12"/>
    </i>
    <i r="1">
      <x v="16"/>
    </i>
    <i r="1">
      <x v="19"/>
    </i>
    <i r="1">
      <x v="20"/>
    </i>
    <i r="1">
      <x v="23"/>
    </i>
    <i r="1">
      <x v="27"/>
    </i>
    <i r="1">
      <x v="28"/>
    </i>
    <i r="1">
      <x v="29"/>
    </i>
    <i r="1">
      <x v="30"/>
    </i>
    <i r="1">
      <x v="32"/>
    </i>
    <i r="1">
      <x v="33"/>
    </i>
    <i r="1">
      <x v="35"/>
    </i>
    <i r="1">
      <x v="38"/>
    </i>
    <i r="1">
      <x v="39"/>
    </i>
    <i r="1">
      <x v="41"/>
    </i>
    <i r="1">
      <x v="42"/>
    </i>
    <i r="1">
      <x v="43"/>
    </i>
    <i r="1">
      <x v="44"/>
    </i>
    <i r="1">
      <x v="47"/>
    </i>
    <i r="1">
      <x v="50"/>
    </i>
    <i r="1">
      <x v="53"/>
    </i>
    <i r="1">
      <x v="64"/>
    </i>
    <i r="1">
      <x v="66"/>
    </i>
    <i r="1">
      <x v="67"/>
    </i>
    <i r="1">
      <x v="68"/>
    </i>
    <i r="1">
      <x v="69"/>
    </i>
    <i r="1">
      <x v="72"/>
    </i>
    <i r="1">
      <x v="74"/>
    </i>
    <i r="1">
      <x v="75"/>
    </i>
    <i r="1">
      <x v="76"/>
    </i>
    <i r="1">
      <x v="78"/>
    </i>
    <i t="default">
      <x/>
    </i>
    <i t="grand">
      <x/>
    </i>
  </rowItems>
  <colFields count="1">
    <field x="0"/>
  </colFields>
  <colItems count="3">
    <i>
      <x v="29"/>
    </i>
    <i>
      <x v="40"/>
    </i>
    <i>
      <x v="41"/>
    </i>
  </colItems>
  <pageFields count="1">
    <pageField fld="4" item="0" hier="-1"/>
  </pageFields>
  <dataFields count="1">
    <dataField name="Somme de Count(Distinct(Party_Id))" fld="3"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0.xml"/><Relationship Id="rId1" Type="http://schemas.openxmlformats.org/officeDocument/2006/relationships/printerSettings" Target="../printerSettings/printerSettings9.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0.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4.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BW81"/>
  <sheetViews>
    <sheetView workbookViewId="0">
      <pane xSplit="3" ySplit="1" topLeftCell="D2" activePane="bottomRight" state="frozen"/>
      <selection activeCell="BE75" sqref="BE75"/>
      <selection pane="topRight" activeCell="BE75" sqref="BE75"/>
      <selection pane="bottomLeft" activeCell="BE75" sqref="BE75"/>
      <selection pane="bottomRight" activeCell="F18" sqref="F18"/>
    </sheetView>
  </sheetViews>
  <sheetFormatPr baseColWidth="10" defaultColWidth="11.44140625" defaultRowHeight="14.4"/>
  <cols>
    <col min="1" max="1" width="10.6640625" style="27" bestFit="1" customWidth="1"/>
    <col min="2" max="2" width="11.6640625" bestFit="1" customWidth="1"/>
    <col min="3" max="3" width="14.5546875" bestFit="1" customWidth="1"/>
    <col min="4" max="4" width="16.109375" bestFit="1" customWidth="1"/>
    <col min="5" max="5" width="24.33203125" customWidth="1"/>
    <col min="6" max="6" width="21" bestFit="1" customWidth="1"/>
    <col min="7" max="7" width="23.6640625" customWidth="1"/>
    <col min="8" max="8" width="20.33203125" customWidth="1"/>
    <col min="9" max="10" width="24.109375" bestFit="1" customWidth="1"/>
    <col min="11" max="12" width="23.33203125" bestFit="1" customWidth="1"/>
    <col min="13" max="13" width="17.33203125" bestFit="1" customWidth="1"/>
    <col min="14" max="14" width="22.33203125" bestFit="1" customWidth="1"/>
    <col min="15" max="15" width="25.33203125" bestFit="1" customWidth="1"/>
    <col min="16" max="16" width="23" bestFit="1" customWidth="1"/>
    <col min="17" max="17" width="26" bestFit="1" customWidth="1"/>
    <col min="18" max="18" width="26.88671875" bestFit="1" customWidth="1"/>
    <col min="19" max="19" width="29.88671875" bestFit="1" customWidth="1"/>
    <col min="20" max="20" width="23.109375" bestFit="1" customWidth="1"/>
    <col min="21" max="21" width="26.109375" bestFit="1" customWidth="1"/>
    <col min="22" max="22" width="23.88671875" bestFit="1" customWidth="1"/>
    <col min="23" max="23" width="27" bestFit="1" customWidth="1"/>
    <col min="24" max="24" width="27.6640625" bestFit="1" customWidth="1"/>
    <col min="25" max="25" width="30.6640625" bestFit="1" customWidth="1"/>
    <col min="26" max="26" width="23" bestFit="1" customWidth="1"/>
    <col min="27" max="27" width="26" bestFit="1" customWidth="1"/>
    <col min="28" max="28" width="23.6640625" bestFit="1" customWidth="1"/>
    <col min="29" max="29" width="26.88671875" bestFit="1" customWidth="1"/>
    <col min="30" max="30" width="27.5546875" bestFit="1" customWidth="1"/>
    <col min="31" max="31" width="30.5546875" bestFit="1" customWidth="1"/>
    <col min="32" max="32" width="23" bestFit="1" customWidth="1"/>
    <col min="33" max="33" width="26" bestFit="1" customWidth="1"/>
    <col min="34" max="34" width="23.6640625" bestFit="1" customWidth="1"/>
    <col min="35" max="35" width="26.88671875" bestFit="1" customWidth="1"/>
    <col min="36" max="36" width="27.5546875" bestFit="1" customWidth="1"/>
    <col min="37" max="37" width="30.5546875" bestFit="1" customWidth="1"/>
    <col min="38" max="38" width="23" bestFit="1" customWidth="1"/>
    <col min="39" max="39" width="26" bestFit="1" customWidth="1"/>
    <col min="40" max="40" width="23.6640625" bestFit="1" customWidth="1"/>
    <col min="41" max="41" width="26.88671875" bestFit="1" customWidth="1"/>
    <col min="42" max="42" width="27.5546875" bestFit="1" customWidth="1"/>
    <col min="43" max="43" width="30.5546875" bestFit="1" customWidth="1"/>
    <col min="44" max="44" width="22.5546875" bestFit="1" customWidth="1"/>
    <col min="45" max="45" width="25.5546875" bestFit="1" customWidth="1"/>
    <col min="46" max="46" width="23.33203125" bestFit="1" customWidth="1"/>
    <col min="47" max="47" width="26.44140625" bestFit="1" customWidth="1"/>
    <col min="48" max="48" width="27.109375" bestFit="1" customWidth="1"/>
    <col min="49" max="49" width="30.109375" bestFit="1" customWidth="1"/>
    <col min="66" max="66" width="17.33203125" bestFit="1" customWidth="1"/>
  </cols>
  <sheetData>
    <row r="1" spans="1:49">
      <c r="A1" s="236" t="s">
        <v>270</v>
      </c>
      <c r="B1" s="237" t="s">
        <v>303</v>
      </c>
      <c r="C1" s="237" t="s">
        <v>304</v>
      </c>
      <c r="D1" s="237" t="s">
        <v>305</v>
      </c>
      <c r="E1" s="237" t="s">
        <v>306</v>
      </c>
      <c r="F1" s="237" t="s">
        <v>307</v>
      </c>
      <c r="G1" s="237" t="s">
        <v>308</v>
      </c>
      <c r="H1" s="237" t="s">
        <v>309</v>
      </c>
      <c r="I1" s="237" t="s">
        <v>310</v>
      </c>
      <c r="J1" s="237" t="s">
        <v>311</v>
      </c>
      <c r="K1" s="237" t="s">
        <v>312</v>
      </c>
      <c r="L1" s="237" t="s">
        <v>313</v>
      </c>
      <c r="M1" s="237" t="s">
        <v>314</v>
      </c>
      <c r="N1" s="237" t="s">
        <v>315</v>
      </c>
      <c r="O1" s="237" t="s">
        <v>316</v>
      </c>
      <c r="P1" s="237" t="s">
        <v>317</v>
      </c>
      <c r="Q1" s="237" t="s">
        <v>318</v>
      </c>
      <c r="R1" s="237" t="s">
        <v>319</v>
      </c>
      <c r="S1" s="237" t="s">
        <v>320</v>
      </c>
      <c r="T1" s="239" t="s">
        <v>321</v>
      </c>
      <c r="U1" s="239" t="s">
        <v>322</v>
      </c>
      <c r="V1" s="239" t="s">
        <v>323</v>
      </c>
      <c r="W1" s="239" t="s">
        <v>324</v>
      </c>
      <c r="X1" s="239" t="s">
        <v>325</v>
      </c>
      <c r="Y1" s="239" t="s">
        <v>326</v>
      </c>
      <c r="Z1" s="240" t="s">
        <v>327</v>
      </c>
      <c r="AA1" s="240" t="s">
        <v>328</v>
      </c>
      <c r="AB1" s="240" t="s">
        <v>329</v>
      </c>
      <c r="AC1" s="240" t="s">
        <v>330</v>
      </c>
      <c r="AD1" s="240" t="s">
        <v>331</v>
      </c>
      <c r="AE1" s="240" t="s">
        <v>332</v>
      </c>
      <c r="AF1" s="241" t="s">
        <v>333</v>
      </c>
      <c r="AG1" s="241" t="s">
        <v>334</v>
      </c>
      <c r="AH1" s="241" t="s">
        <v>335</v>
      </c>
      <c r="AI1" s="241" t="s">
        <v>336</v>
      </c>
      <c r="AJ1" s="241" t="s">
        <v>337</v>
      </c>
      <c r="AK1" s="241" t="s">
        <v>338</v>
      </c>
      <c r="AL1" s="242" t="s">
        <v>339</v>
      </c>
      <c r="AM1" s="242" t="s">
        <v>340</v>
      </c>
      <c r="AN1" s="242" t="s">
        <v>341</v>
      </c>
      <c r="AO1" s="242" t="s">
        <v>342</v>
      </c>
      <c r="AP1" s="242" t="s">
        <v>343</v>
      </c>
      <c r="AQ1" s="242" t="s">
        <v>344</v>
      </c>
      <c r="AR1" s="243" t="s">
        <v>345</v>
      </c>
      <c r="AS1" s="243" t="s">
        <v>346</v>
      </c>
      <c r="AT1" s="243" t="s">
        <v>347</v>
      </c>
      <c r="AU1" s="243" t="s">
        <v>348</v>
      </c>
      <c r="AV1" s="243" t="s">
        <v>349</v>
      </c>
      <c r="AW1" s="243" t="s">
        <v>350</v>
      </c>
    </row>
    <row r="2" spans="1:49" s="343" customFormat="1">
      <c r="A2" s="468">
        <v>44926</v>
      </c>
      <c r="B2" s="341" t="s">
        <v>123</v>
      </c>
      <c r="C2" s="342">
        <v>1118</v>
      </c>
      <c r="D2" s="342">
        <v>16</v>
      </c>
      <c r="E2" s="342">
        <v>1153</v>
      </c>
      <c r="F2" s="342">
        <v>1203</v>
      </c>
      <c r="G2" s="342">
        <v>3952</v>
      </c>
      <c r="H2" s="342">
        <v>5529</v>
      </c>
      <c r="I2" s="342">
        <v>1153</v>
      </c>
      <c r="J2" s="342">
        <v>1203</v>
      </c>
      <c r="K2" s="342">
        <v>3952</v>
      </c>
      <c r="L2" s="342">
        <v>5529</v>
      </c>
      <c r="M2" s="347">
        <v>594.96733263895499</v>
      </c>
      <c r="N2" s="341" t="s">
        <v>351</v>
      </c>
      <c r="O2" s="341" t="s">
        <v>351</v>
      </c>
      <c r="P2" s="341" t="s">
        <v>351</v>
      </c>
      <c r="Q2" s="341" t="s">
        <v>351</v>
      </c>
      <c r="R2" s="341" t="s">
        <v>351</v>
      </c>
      <c r="S2" s="341" t="s">
        <v>351</v>
      </c>
      <c r="T2" s="341" t="s">
        <v>351</v>
      </c>
      <c r="U2" s="341" t="s">
        <v>351</v>
      </c>
      <c r="V2" s="341" t="s">
        <v>351</v>
      </c>
      <c r="W2" s="341" t="s">
        <v>351</v>
      </c>
      <c r="X2" s="341" t="s">
        <v>351</v>
      </c>
      <c r="Y2" s="341" t="s">
        <v>351</v>
      </c>
      <c r="Z2" s="341" t="s">
        <v>351</v>
      </c>
      <c r="AA2" s="341" t="s">
        <v>351</v>
      </c>
      <c r="AB2" s="341" t="s">
        <v>351</v>
      </c>
      <c r="AC2" s="341" t="s">
        <v>351</v>
      </c>
      <c r="AD2" s="341" t="s">
        <v>351</v>
      </c>
      <c r="AE2" s="341" t="s">
        <v>351</v>
      </c>
      <c r="AF2" s="341" t="s">
        <v>351</v>
      </c>
      <c r="AG2" s="341" t="s">
        <v>351</v>
      </c>
      <c r="AH2" s="341" t="s">
        <v>351</v>
      </c>
      <c r="AI2" s="341" t="s">
        <v>351</v>
      </c>
      <c r="AJ2" s="341" t="s">
        <v>351</v>
      </c>
      <c r="AK2" s="341" t="s">
        <v>351</v>
      </c>
      <c r="AL2" s="341" t="s">
        <v>351</v>
      </c>
      <c r="AM2" s="341" t="s">
        <v>351</v>
      </c>
      <c r="AN2" s="341" t="s">
        <v>351</v>
      </c>
      <c r="AO2" s="341" t="s">
        <v>351</v>
      </c>
      <c r="AP2" s="341" t="s">
        <v>351</v>
      </c>
      <c r="AQ2" s="341" t="s">
        <v>351</v>
      </c>
      <c r="AR2" s="341" t="s">
        <v>351</v>
      </c>
      <c r="AS2" s="341" t="s">
        <v>351</v>
      </c>
      <c r="AT2" s="341" t="s">
        <v>351</v>
      </c>
      <c r="AU2" s="341" t="s">
        <v>351</v>
      </c>
      <c r="AV2" s="341" t="s">
        <v>351</v>
      </c>
      <c r="AW2" s="341" t="s">
        <v>351</v>
      </c>
    </row>
    <row r="3" spans="1:49" s="343" customFormat="1">
      <c r="A3" s="468">
        <v>44926</v>
      </c>
      <c r="B3" s="341" t="s">
        <v>124</v>
      </c>
      <c r="C3" s="342">
        <v>3501</v>
      </c>
      <c r="D3" s="342">
        <v>76</v>
      </c>
      <c r="E3" s="342">
        <v>3541</v>
      </c>
      <c r="F3" s="342">
        <v>3707</v>
      </c>
      <c r="G3" s="342">
        <v>9135</v>
      </c>
      <c r="H3" s="342">
        <v>10697</v>
      </c>
      <c r="I3" s="342">
        <v>3541</v>
      </c>
      <c r="J3" s="342">
        <v>3707</v>
      </c>
      <c r="K3" s="342">
        <v>9135</v>
      </c>
      <c r="L3" s="342">
        <v>10697</v>
      </c>
      <c r="M3" s="347">
        <v>541.95244493778102</v>
      </c>
      <c r="N3" s="341" t="s">
        <v>351</v>
      </c>
      <c r="O3" s="341" t="s">
        <v>351</v>
      </c>
      <c r="P3" s="341" t="s">
        <v>351</v>
      </c>
      <c r="Q3" s="341" t="s">
        <v>351</v>
      </c>
      <c r="R3" s="341" t="s">
        <v>351</v>
      </c>
      <c r="S3" s="341" t="s">
        <v>351</v>
      </c>
      <c r="T3" s="341" t="s">
        <v>351</v>
      </c>
      <c r="U3" s="341" t="s">
        <v>351</v>
      </c>
      <c r="V3" s="341" t="s">
        <v>351</v>
      </c>
      <c r="W3" s="341" t="s">
        <v>351</v>
      </c>
      <c r="X3" s="341" t="s">
        <v>351</v>
      </c>
      <c r="Y3" s="341" t="s">
        <v>351</v>
      </c>
      <c r="Z3" s="341" t="s">
        <v>351</v>
      </c>
      <c r="AA3" s="341" t="s">
        <v>351</v>
      </c>
      <c r="AB3" s="341" t="s">
        <v>351</v>
      </c>
      <c r="AC3" s="341" t="s">
        <v>351</v>
      </c>
      <c r="AD3" s="341" t="s">
        <v>351</v>
      </c>
      <c r="AE3" s="341" t="s">
        <v>351</v>
      </c>
      <c r="AF3" s="341" t="s">
        <v>351</v>
      </c>
      <c r="AG3" s="341" t="s">
        <v>351</v>
      </c>
      <c r="AH3" s="341" t="s">
        <v>351</v>
      </c>
      <c r="AI3" s="341" t="s">
        <v>351</v>
      </c>
      <c r="AJ3" s="341" t="s">
        <v>351</v>
      </c>
      <c r="AK3" s="341" t="s">
        <v>351</v>
      </c>
      <c r="AL3" s="341" t="s">
        <v>351</v>
      </c>
      <c r="AM3" s="341" t="s">
        <v>351</v>
      </c>
      <c r="AN3" s="341" t="s">
        <v>351</v>
      </c>
      <c r="AO3" s="341" t="s">
        <v>351</v>
      </c>
      <c r="AP3" s="341" t="s">
        <v>351</v>
      </c>
      <c r="AQ3" s="341" t="s">
        <v>351</v>
      </c>
      <c r="AR3" s="341" t="s">
        <v>351</v>
      </c>
      <c r="AS3" s="341" t="s">
        <v>351</v>
      </c>
      <c r="AT3" s="341" t="s">
        <v>351</v>
      </c>
      <c r="AU3" s="341" t="s">
        <v>351</v>
      </c>
      <c r="AV3" s="341" t="s">
        <v>351</v>
      </c>
      <c r="AW3" s="341" t="s">
        <v>351</v>
      </c>
    </row>
    <row r="4" spans="1:49" s="343" customFormat="1">
      <c r="A4" s="468">
        <v>44926</v>
      </c>
      <c r="B4" s="341" t="s">
        <v>131</v>
      </c>
      <c r="C4" s="342">
        <v>54277</v>
      </c>
      <c r="D4" s="342">
        <v>303</v>
      </c>
      <c r="E4" s="342">
        <v>54150</v>
      </c>
      <c r="F4" s="342">
        <v>54049</v>
      </c>
      <c r="G4" s="342">
        <v>178872</v>
      </c>
      <c r="H4" s="342">
        <v>198452</v>
      </c>
      <c r="I4" s="342">
        <v>54150</v>
      </c>
      <c r="J4" s="342">
        <v>54049</v>
      </c>
      <c r="K4" s="342">
        <v>178872</v>
      </c>
      <c r="L4" s="342">
        <v>198452</v>
      </c>
      <c r="M4" s="347">
        <v>632.52800876917195</v>
      </c>
      <c r="N4" s="341" t="s">
        <v>351</v>
      </c>
      <c r="O4" s="341" t="s">
        <v>351</v>
      </c>
      <c r="P4" s="341" t="s">
        <v>351</v>
      </c>
      <c r="Q4" s="341" t="s">
        <v>351</v>
      </c>
      <c r="R4" s="341" t="s">
        <v>351</v>
      </c>
      <c r="S4" s="341" t="s">
        <v>351</v>
      </c>
      <c r="T4" s="341" t="s">
        <v>351</v>
      </c>
      <c r="U4" s="341" t="s">
        <v>351</v>
      </c>
      <c r="V4" s="341" t="s">
        <v>351</v>
      </c>
      <c r="W4" s="341" t="s">
        <v>351</v>
      </c>
      <c r="X4" s="341" t="s">
        <v>351</v>
      </c>
      <c r="Y4" s="341" t="s">
        <v>351</v>
      </c>
      <c r="Z4" s="341" t="s">
        <v>351</v>
      </c>
      <c r="AA4" s="341" t="s">
        <v>351</v>
      </c>
      <c r="AB4" s="341" t="s">
        <v>351</v>
      </c>
      <c r="AC4" s="341" t="s">
        <v>351</v>
      </c>
      <c r="AD4" s="341" t="s">
        <v>351</v>
      </c>
      <c r="AE4" s="341" t="s">
        <v>351</v>
      </c>
      <c r="AF4" s="341" t="s">
        <v>351</v>
      </c>
      <c r="AG4" s="341" t="s">
        <v>351</v>
      </c>
      <c r="AH4" s="341" t="s">
        <v>351</v>
      </c>
      <c r="AI4" s="341" t="s">
        <v>351</v>
      </c>
      <c r="AJ4" s="341" t="s">
        <v>351</v>
      </c>
      <c r="AK4" s="341" t="s">
        <v>351</v>
      </c>
      <c r="AL4" s="341" t="s">
        <v>351</v>
      </c>
      <c r="AM4" s="341" t="s">
        <v>351</v>
      </c>
      <c r="AN4" s="341" t="s">
        <v>351</v>
      </c>
      <c r="AO4" s="341" t="s">
        <v>351</v>
      </c>
      <c r="AP4" s="341" t="s">
        <v>351</v>
      </c>
      <c r="AQ4" s="341" t="s">
        <v>351</v>
      </c>
      <c r="AR4" s="341" t="s">
        <v>351</v>
      </c>
      <c r="AS4" s="341" t="s">
        <v>351</v>
      </c>
      <c r="AT4" s="341" t="s">
        <v>351</v>
      </c>
      <c r="AU4" s="341" t="s">
        <v>351</v>
      </c>
      <c r="AV4" s="341" t="s">
        <v>351</v>
      </c>
      <c r="AW4" s="341" t="s">
        <v>351</v>
      </c>
    </row>
    <row r="5" spans="1:49" s="343" customFormat="1">
      <c r="A5" s="468">
        <v>44926</v>
      </c>
      <c r="B5" s="341" t="s">
        <v>132</v>
      </c>
      <c r="C5" s="342">
        <v>25466</v>
      </c>
      <c r="D5" s="342">
        <v>45</v>
      </c>
      <c r="E5" s="342">
        <v>25291</v>
      </c>
      <c r="F5" s="342">
        <v>24757</v>
      </c>
      <c r="G5" s="342">
        <v>78870</v>
      </c>
      <c r="H5" s="342">
        <v>93529</v>
      </c>
      <c r="I5" s="342">
        <v>25291</v>
      </c>
      <c r="J5" s="342">
        <v>24757</v>
      </c>
      <c r="K5" s="342">
        <v>78870</v>
      </c>
      <c r="L5" s="342">
        <v>93529</v>
      </c>
      <c r="M5" s="347">
        <v>558.73145184754196</v>
      </c>
      <c r="N5" s="341" t="s">
        <v>351</v>
      </c>
      <c r="O5" s="341" t="s">
        <v>351</v>
      </c>
      <c r="P5" s="341" t="s">
        <v>351</v>
      </c>
      <c r="Q5" s="341" t="s">
        <v>351</v>
      </c>
      <c r="R5" s="341" t="s">
        <v>351</v>
      </c>
      <c r="S5" s="341" t="s">
        <v>351</v>
      </c>
      <c r="T5" s="341" t="s">
        <v>351</v>
      </c>
      <c r="U5" s="341" t="s">
        <v>351</v>
      </c>
      <c r="V5" s="341" t="s">
        <v>351</v>
      </c>
      <c r="W5" s="341" t="s">
        <v>351</v>
      </c>
      <c r="X5" s="341" t="s">
        <v>351</v>
      </c>
      <c r="Y5" s="341" t="s">
        <v>351</v>
      </c>
      <c r="Z5" s="341" t="s">
        <v>351</v>
      </c>
      <c r="AA5" s="341" t="s">
        <v>351</v>
      </c>
      <c r="AB5" s="341" t="s">
        <v>351</v>
      </c>
      <c r="AC5" s="341" t="s">
        <v>351</v>
      </c>
      <c r="AD5" s="341" t="s">
        <v>351</v>
      </c>
      <c r="AE5" s="341" t="s">
        <v>351</v>
      </c>
      <c r="AF5" s="341" t="s">
        <v>351</v>
      </c>
      <c r="AG5" s="341" t="s">
        <v>351</v>
      </c>
      <c r="AH5" s="341" t="s">
        <v>351</v>
      </c>
      <c r="AI5" s="341" t="s">
        <v>351</v>
      </c>
      <c r="AJ5" s="341" t="s">
        <v>351</v>
      </c>
      <c r="AK5" s="341" t="s">
        <v>351</v>
      </c>
      <c r="AL5" s="341" t="s">
        <v>351</v>
      </c>
      <c r="AM5" s="341" t="s">
        <v>351</v>
      </c>
      <c r="AN5" s="341" t="s">
        <v>351</v>
      </c>
      <c r="AO5" s="341" t="s">
        <v>351</v>
      </c>
      <c r="AP5" s="341" t="s">
        <v>351</v>
      </c>
      <c r="AQ5" s="341" t="s">
        <v>351</v>
      </c>
      <c r="AR5" s="341" t="s">
        <v>351</v>
      </c>
      <c r="AS5" s="341" t="s">
        <v>351</v>
      </c>
      <c r="AT5" s="341" t="s">
        <v>351</v>
      </c>
      <c r="AU5" s="341" t="s">
        <v>351</v>
      </c>
      <c r="AV5" s="341" t="s">
        <v>351</v>
      </c>
      <c r="AW5" s="341" t="s">
        <v>351</v>
      </c>
    </row>
    <row r="6" spans="1:49" s="343" customFormat="1">
      <c r="A6" s="468">
        <v>44926</v>
      </c>
      <c r="B6" s="341" t="s">
        <v>135</v>
      </c>
      <c r="C6" s="342">
        <v>6118</v>
      </c>
      <c r="D6" s="342">
        <v>11</v>
      </c>
      <c r="E6" s="342">
        <v>6147</v>
      </c>
      <c r="F6" s="342">
        <v>6117</v>
      </c>
      <c r="G6" s="342">
        <v>28922</v>
      </c>
      <c r="H6" s="342">
        <v>30859</v>
      </c>
      <c r="I6" s="342">
        <v>6147</v>
      </c>
      <c r="J6" s="342">
        <v>6117</v>
      </c>
      <c r="K6" s="342">
        <v>28922</v>
      </c>
      <c r="L6" s="342">
        <v>30859</v>
      </c>
      <c r="M6" s="347">
        <v>515.95499270279197</v>
      </c>
      <c r="N6" s="341" t="s">
        <v>351</v>
      </c>
      <c r="O6" s="341" t="s">
        <v>351</v>
      </c>
      <c r="P6" s="341" t="s">
        <v>351</v>
      </c>
      <c r="Q6" s="341" t="s">
        <v>351</v>
      </c>
      <c r="R6" s="341" t="s">
        <v>351</v>
      </c>
      <c r="S6" s="341" t="s">
        <v>351</v>
      </c>
      <c r="T6" s="341" t="s">
        <v>351</v>
      </c>
      <c r="U6" s="341" t="s">
        <v>351</v>
      </c>
      <c r="V6" s="341" t="s">
        <v>351</v>
      </c>
      <c r="W6" s="341" t="s">
        <v>351</v>
      </c>
      <c r="X6" s="341" t="s">
        <v>351</v>
      </c>
      <c r="Y6" s="341" t="s">
        <v>351</v>
      </c>
      <c r="Z6" s="341" t="s">
        <v>351</v>
      </c>
      <c r="AA6" s="341" t="s">
        <v>351</v>
      </c>
      <c r="AB6" s="341" t="s">
        <v>351</v>
      </c>
      <c r="AC6" s="341" t="s">
        <v>351</v>
      </c>
      <c r="AD6" s="341" t="s">
        <v>351</v>
      </c>
      <c r="AE6" s="341" t="s">
        <v>351</v>
      </c>
      <c r="AF6" s="341" t="s">
        <v>351</v>
      </c>
      <c r="AG6" s="341" t="s">
        <v>351</v>
      </c>
      <c r="AH6" s="341" t="s">
        <v>351</v>
      </c>
      <c r="AI6" s="341" t="s">
        <v>351</v>
      </c>
      <c r="AJ6" s="341" t="s">
        <v>351</v>
      </c>
      <c r="AK6" s="341" t="s">
        <v>351</v>
      </c>
      <c r="AL6" s="341" t="s">
        <v>351</v>
      </c>
      <c r="AM6" s="341" t="s">
        <v>351</v>
      </c>
      <c r="AN6" s="341" t="s">
        <v>351</v>
      </c>
      <c r="AO6" s="341" t="s">
        <v>351</v>
      </c>
      <c r="AP6" s="341" t="s">
        <v>351</v>
      </c>
      <c r="AQ6" s="341" t="s">
        <v>351</v>
      </c>
      <c r="AR6" s="341" t="s">
        <v>351</v>
      </c>
      <c r="AS6" s="341" t="s">
        <v>351</v>
      </c>
      <c r="AT6" s="341" t="s">
        <v>351</v>
      </c>
      <c r="AU6" s="341" t="s">
        <v>351</v>
      </c>
      <c r="AV6" s="341" t="s">
        <v>351</v>
      </c>
      <c r="AW6" s="341" t="s">
        <v>351</v>
      </c>
    </row>
    <row r="7" spans="1:49" s="343" customFormat="1">
      <c r="A7" s="468">
        <v>44926</v>
      </c>
      <c r="B7" s="341" t="s">
        <v>352</v>
      </c>
      <c r="C7" s="342">
        <v>59099</v>
      </c>
      <c r="D7" s="342">
        <v>93</v>
      </c>
      <c r="E7" s="341" t="s">
        <v>351</v>
      </c>
      <c r="F7" s="341" t="s">
        <v>351</v>
      </c>
      <c r="G7" s="341" t="s">
        <v>351</v>
      </c>
      <c r="H7" s="341" t="s">
        <v>351</v>
      </c>
      <c r="I7" s="341" t="s">
        <v>351</v>
      </c>
      <c r="J7" s="341" t="s">
        <v>351</v>
      </c>
      <c r="K7" s="341" t="s">
        <v>351</v>
      </c>
      <c r="L7" s="341" t="s">
        <v>351</v>
      </c>
      <c r="M7" s="348" t="s">
        <v>351</v>
      </c>
      <c r="N7" s="341" t="s">
        <v>351</v>
      </c>
      <c r="O7" s="341" t="s">
        <v>351</v>
      </c>
      <c r="P7" s="341" t="s">
        <v>351</v>
      </c>
      <c r="Q7" s="341" t="s">
        <v>351</v>
      </c>
      <c r="R7" s="341" t="s">
        <v>351</v>
      </c>
      <c r="S7" s="341" t="s">
        <v>351</v>
      </c>
      <c r="T7" s="341" t="s">
        <v>351</v>
      </c>
      <c r="U7" s="341" t="s">
        <v>351</v>
      </c>
      <c r="V7" s="341" t="s">
        <v>351</v>
      </c>
      <c r="W7" s="341" t="s">
        <v>351</v>
      </c>
      <c r="X7" s="341" t="s">
        <v>351</v>
      </c>
      <c r="Y7" s="341" t="s">
        <v>351</v>
      </c>
      <c r="Z7" s="341" t="s">
        <v>351</v>
      </c>
      <c r="AA7" s="341" t="s">
        <v>351</v>
      </c>
      <c r="AB7" s="341" t="s">
        <v>351</v>
      </c>
      <c r="AC7" s="341" t="s">
        <v>351</v>
      </c>
      <c r="AD7" s="341" t="s">
        <v>351</v>
      </c>
      <c r="AE7" s="341" t="s">
        <v>351</v>
      </c>
      <c r="AF7" s="341" t="s">
        <v>351</v>
      </c>
      <c r="AG7" s="341" t="s">
        <v>351</v>
      </c>
      <c r="AH7" s="341" t="s">
        <v>351</v>
      </c>
      <c r="AI7" s="341" t="s">
        <v>351</v>
      </c>
      <c r="AJ7" s="341" t="s">
        <v>351</v>
      </c>
      <c r="AK7" s="341" t="s">
        <v>351</v>
      </c>
      <c r="AL7" s="341" t="s">
        <v>351</v>
      </c>
      <c r="AM7" s="341" t="s">
        <v>351</v>
      </c>
      <c r="AN7" s="341" t="s">
        <v>351</v>
      </c>
      <c r="AO7" s="341" t="s">
        <v>351</v>
      </c>
      <c r="AP7" s="341" t="s">
        <v>351</v>
      </c>
      <c r="AQ7" s="341" t="s">
        <v>351</v>
      </c>
      <c r="AR7" s="341" t="s">
        <v>351</v>
      </c>
      <c r="AS7" s="341" t="s">
        <v>351</v>
      </c>
      <c r="AT7" s="341" t="s">
        <v>351</v>
      </c>
      <c r="AU7" s="341" t="s">
        <v>351</v>
      </c>
      <c r="AV7" s="341" t="s">
        <v>351</v>
      </c>
      <c r="AW7" s="341" t="s">
        <v>351</v>
      </c>
    </row>
    <row r="8" spans="1:49" s="343" customFormat="1">
      <c r="A8" s="468">
        <v>44926</v>
      </c>
      <c r="B8" s="341" t="s">
        <v>136</v>
      </c>
      <c r="C8" s="342">
        <v>20940</v>
      </c>
      <c r="D8" s="342">
        <v>162</v>
      </c>
      <c r="E8" s="342">
        <v>18380</v>
      </c>
      <c r="F8" s="342">
        <v>15217</v>
      </c>
      <c r="G8" s="342">
        <v>38981</v>
      </c>
      <c r="H8" s="342">
        <v>39962</v>
      </c>
      <c r="I8" s="342">
        <v>18380</v>
      </c>
      <c r="J8" s="342">
        <v>15217</v>
      </c>
      <c r="K8" s="342">
        <v>38981</v>
      </c>
      <c r="L8" s="342">
        <v>39962</v>
      </c>
      <c r="M8" s="347">
        <v>422.22455040064699</v>
      </c>
      <c r="N8" s="341" t="s">
        <v>351</v>
      </c>
      <c r="O8" s="341" t="s">
        <v>351</v>
      </c>
      <c r="P8" s="341" t="s">
        <v>351</v>
      </c>
      <c r="Q8" s="341" t="s">
        <v>351</v>
      </c>
      <c r="R8" s="341" t="s">
        <v>351</v>
      </c>
      <c r="S8" s="341" t="s">
        <v>351</v>
      </c>
      <c r="T8" s="341" t="s">
        <v>351</v>
      </c>
      <c r="U8" s="341" t="s">
        <v>351</v>
      </c>
      <c r="V8" s="341" t="s">
        <v>351</v>
      </c>
      <c r="W8" s="341" t="s">
        <v>351</v>
      </c>
      <c r="X8" s="341" t="s">
        <v>351</v>
      </c>
      <c r="Y8" s="341" t="s">
        <v>351</v>
      </c>
      <c r="Z8" s="341" t="s">
        <v>351</v>
      </c>
      <c r="AA8" s="341" t="s">
        <v>351</v>
      </c>
      <c r="AB8" s="341" t="s">
        <v>351</v>
      </c>
      <c r="AC8" s="341" t="s">
        <v>351</v>
      </c>
      <c r="AD8" s="341" t="s">
        <v>351</v>
      </c>
      <c r="AE8" s="341" t="s">
        <v>351</v>
      </c>
      <c r="AF8" s="341" t="s">
        <v>351</v>
      </c>
      <c r="AG8" s="341" t="s">
        <v>351</v>
      </c>
      <c r="AH8" s="341" t="s">
        <v>351</v>
      </c>
      <c r="AI8" s="341" t="s">
        <v>351</v>
      </c>
      <c r="AJ8" s="341" t="s">
        <v>351</v>
      </c>
      <c r="AK8" s="341" t="s">
        <v>351</v>
      </c>
      <c r="AL8" s="341" t="s">
        <v>351</v>
      </c>
      <c r="AM8" s="341" t="s">
        <v>351</v>
      </c>
      <c r="AN8" s="341" t="s">
        <v>351</v>
      </c>
      <c r="AO8" s="341" t="s">
        <v>351</v>
      </c>
      <c r="AP8" s="341" t="s">
        <v>351</v>
      </c>
      <c r="AQ8" s="341" t="s">
        <v>351</v>
      </c>
      <c r="AR8" s="341" t="s">
        <v>351</v>
      </c>
      <c r="AS8" s="341" t="s">
        <v>351</v>
      </c>
      <c r="AT8" s="341" t="s">
        <v>351</v>
      </c>
      <c r="AU8" s="341" t="s">
        <v>351</v>
      </c>
      <c r="AV8" s="341" t="s">
        <v>351</v>
      </c>
      <c r="AW8" s="341" t="s">
        <v>351</v>
      </c>
    </row>
    <row r="9" spans="1:49" s="343" customFormat="1">
      <c r="A9" s="468">
        <v>44926</v>
      </c>
      <c r="B9" s="341" t="s">
        <v>137</v>
      </c>
      <c r="C9" s="342">
        <v>5559</v>
      </c>
      <c r="D9" s="342">
        <v>70</v>
      </c>
      <c r="E9" s="342">
        <v>5587</v>
      </c>
      <c r="F9" s="342">
        <v>5588</v>
      </c>
      <c r="G9" s="342">
        <v>9902</v>
      </c>
      <c r="H9" s="342">
        <v>10990</v>
      </c>
      <c r="I9" s="342">
        <v>5587</v>
      </c>
      <c r="J9" s="342">
        <v>5588</v>
      </c>
      <c r="K9" s="342">
        <v>9902</v>
      </c>
      <c r="L9" s="342">
        <v>10990</v>
      </c>
      <c r="M9" s="347">
        <v>390.81095011740501</v>
      </c>
      <c r="N9" s="341" t="s">
        <v>351</v>
      </c>
      <c r="O9" s="341" t="s">
        <v>351</v>
      </c>
      <c r="P9" s="341" t="s">
        <v>351</v>
      </c>
      <c r="Q9" s="341" t="s">
        <v>351</v>
      </c>
      <c r="R9" s="341" t="s">
        <v>351</v>
      </c>
      <c r="S9" s="341" t="s">
        <v>351</v>
      </c>
      <c r="T9" s="341" t="s">
        <v>351</v>
      </c>
      <c r="U9" s="341" t="s">
        <v>351</v>
      </c>
      <c r="V9" s="341" t="s">
        <v>351</v>
      </c>
      <c r="W9" s="341" t="s">
        <v>351</v>
      </c>
      <c r="X9" s="341" t="s">
        <v>351</v>
      </c>
      <c r="Y9" s="341" t="s">
        <v>351</v>
      </c>
      <c r="Z9" s="341" t="s">
        <v>351</v>
      </c>
      <c r="AA9" s="341" t="s">
        <v>351</v>
      </c>
      <c r="AB9" s="341" t="s">
        <v>351</v>
      </c>
      <c r="AC9" s="341" t="s">
        <v>351</v>
      </c>
      <c r="AD9" s="341" t="s">
        <v>351</v>
      </c>
      <c r="AE9" s="341" t="s">
        <v>351</v>
      </c>
      <c r="AF9" s="341" t="s">
        <v>351</v>
      </c>
      <c r="AG9" s="341" t="s">
        <v>351</v>
      </c>
      <c r="AH9" s="341" t="s">
        <v>351</v>
      </c>
      <c r="AI9" s="341" t="s">
        <v>351</v>
      </c>
      <c r="AJ9" s="341" t="s">
        <v>351</v>
      </c>
      <c r="AK9" s="341" t="s">
        <v>351</v>
      </c>
      <c r="AL9" s="341" t="s">
        <v>351</v>
      </c>
      <c r="AM9" s="341" t="s">
        <v>351</v>
      </c>
      <c r="AN9" s="341" t="s">
        <v>351</v>
      </c>
      <c r="AO9" s="341" t="s">
        <v>351</v>
      </c>
      <c r="AP9" s="341" t="s">
        <v>351</v>
      </c>
      <c r="AQ9" s="341" t="s">
        <v>351</v>
      </c>
      <c r="AR9" s="341" t="s">
        <v>351</v>
      </c>
      <c r="AS9" s="341" t="s">
        <v>351</v>
      </c>
      <c r="AT9" s="341" t="s">
        <v>351</v>
      </c>
      <c r="AU9" s="341" t="s">
        <v>351</v>
      </c>
      <c r="AV9" s="341" t="s">
        <v>351</v>
      </c>
      <c r="AW9" s="341" t="s">
        <v>351</v>
      </c>
    </row>
    <row r="10" spans="1:49" s="343" customFormat="1">
      <c r="A10" s="468">
        <v>44926</v>
      </c>
      <c r="B10" s="341" t="s">
        <v>353</v>
      </c>
      <c r="C10" s="342">
        <v>85201</v>
      </c>
      <c r="D10" s="342">
        <v>334</v>
      </c>
      <c r="E10" s="341" t="s">
        <v>351</v>
      </c>
      <c r="F10" s="341" t="s">
        <v>351</v>
      </c>
      <c r="G10" s="341" t="s">
        <v>351</v>
      </c>
      <c r="H10" s="341" t="s">
        <v>351</v>
      </c>
      <c r="I10" s="341" t="s">
        <v>351</v>
      </c>
      <c r="J10" s="341" t="s">
        <v>351</v>
      </c>
      <c r="K10" s="341" t="s">
        <v>351</v>
      </c>
      <c r="L10" s="341" t="s">
        <v>351</v>
      </c>
      <c r="M10" s="348" t="s">
        <v>351</v>
      </c>
      <c r="N10" s="341" t="s">
        <v>351</v>
      </c>
      <c r="O10" s="341" t="s">
        <v>351</v>
      </c>
      <c r="P10" s="341" t="s">
        <v>351</v>
      </c>
      <c r="Q10" s="341" t="s">
        <v>351</v>
      </c>
      <c r="R10" s="341" t="s">
        <v>351</v>
      </c>
      <c r="S10" s="341" t="s">
        <v>351</v>
      </c>
      <c r="T10" s="341" t="s">
        <v>351</v>
      </c>
      <c r="U10" s="341" t="s">
        <v>351</v>
      </c>
      <c r="V10" s="341" t="s">
        <v>351</v>
      </c>
      <c r="W10" s="341" t="s">
        <v>351</v>
      </c>
      <c r="X10" s="341" t="s">
        <v>351</v>
      </c>
      <c r="Y10" s="341" t="s">
        <v>351</v>
      </c>
      <c r="Z10" s="341" t="s">
        <v>351</v>
      </c>
      <c r="AA10" s="341" t="s">
        <v>351</v>
      </c>
      <c r="AB10" s="341" t="s">
        <v>351</v>
      </c>
      <c r="AC10" s="341" t="s">
        <v>351</v>
      </c>
      <c r="AD10" s="341" t="s">
        <v>351</v>
      </c>
      <c r="AE10" s="341" t="s">
        <v>351</v>
      </c>
      <c r="AF10" s="341" t="s">
        <v>351</v>
      </c>
      <c r="AG10" s="341" t="s">
        <v>351</v>
      </c>
      <c r="AH10" s="341" t="s">
        <v>351</v>
      </c>
      <c r="AI10" s="341" t="s">
        <v>351</v>
      </c>
      <c r="AJ10" s="341" t="s">
        <v>351</v>
      </c>
      <c r="AK10" s="341" t="s">
        <v>351</v>
      </c>
      <c r="AL10" s="341" t="s">
        <v>351</v>
      </c>
      <c r="AM10" s="341" t="s">
        <v>351</v>
      </c>
      <c r="AN10" s="341" t="s">
        <v>351</v>
      </c>
      <c r="AO10" s="341" t="s">
        <v>351</v>
      </c>
      <c r="AP10" s="341" t="s">
        <v>351</v>
      </c>
      <c r="AQ10" s="341" t="s">
        <v>351</v>
      </c>
      <c r="AR10" s="341" t="s">
        <v>351</v>
      </c>
      <c r="AS10" s="341" t="s">
        <v>351</v>
      </c>
      <c r="AT10" s="341" t="s">
        <v>351</v>
      </c>
      <c r="AU10" s="341" t="s">
        <v>351</v>
      </c>
      <c r="AV10" s="341" t="s">
        <v>351</v>
      </c>
      <c r="AW10" s="341" t="s">
        <v>351</v>
      </c>
    </row>
    <row r="11" spans="1:49" s="343" customFormat="1">
      <c r="A11" s="468">
        <v>44926</v>
      </c>
      <c r="B11" s="341" t="s">
        <v>138</v>
      </c>
      <c r="C11" s="342">
        <v>47909</v>
      </c>
      <c r="D11" s="342">
        <v>313</v>
      </c>
      <c r="E11" s="342">
        <v>46445</v>
      </c>
      <c r="F11" s="342">
        <v>45214</v>
      </c>
      <c r="G11" s="342">
        <v>120196</v>
      </c>
      <c r="H11" s="342">
        <v>137744</v>
      </c>
      <c r="I11" s="342">
        <v>46445</v>
      </c>
      <c r="J11" s="342">
        <v>45214</v>
      </c>
      <c r="K11" s="342">
        <v>120196</v>
      </c>
      <c r="L11" s="342">
        <v>137744</v>
      </c>
      <c r="M11" s="347">
        <v>527.64622190241801</v>
      </c>
      <c r="N11" s="341" t="s">
        <v>351</v>
      </c>
      <c r="O11" s="341" t="s">
        <v>351</v>
      </c>
      <c r="P11" s="341" t="s">
        <v>351</v>
      </c>
      <c r="Q11" s="341" t="s">
        <v>351</v>
      </c>
      <c r="R11" s="341" t="s">
        <v>351</v>
      </c>
      <c r="S11" s="341" t="s">
        <v>351</v>
      </c>
      <c r="T11" s="341" t="s">
        <v>351</v>
      </c>
      <c r="U11" s="341" t="s">
        <v>351</v>
      </c>
      <c r="V11" s="341" t="s">
        <v>351</v>
      </c>
      <c r="W11" s="341" t="s">
        <v>351</v>
      </c>
      <c r="X11" s="341" t="s">
        <v>351</v>
      </c>
      <c r="Y11" s="341" t="s">
        <v>351</v>
      </c>
      <c r="Z11" s="341" t="s">
        <v>351</v>
      </c>
      <c r="AA11" s="341" t="s">
        <v>351</v>
      </c>
      <c r="AB11" s="341" t="s">
        <v>351</v>
      </c>
      <c r="AC11" s="341" t="s">
        <v>351</v>
      </c>
      <c r="AD11" s="341" t="s">
        <v>351</v>
      </c>
      <c r="AE11" s="341" t="s">
        <v>351</v>
      </c>
      <c r="AF11" s="341" t="s">
        <v>351</v>
      </c>
      <c r="AG11" s="341" t="s">
        <v>351</v>
      </c>
      <c r="AH11" s="341" t="s">
        <v>351</v>
      </c>
      <c r="AI11" s="341" t="s">
        <v>351</v>
      </c>
      <c r="AJ11" s="341" t="s">
        <v>351</v>
      </c>
      <c r="AK11" s="341" t="s">
        <v>351</v>
      </c>
      <c r="AL11" s="341" t="s">
        <v>351</v>
      </c>
      <c r="AM11" s="341" t="s">
        <v>351</v>
      </c>
      <c r="AN11" s="341" t="s">
        <v>351</v>
      </c>
      <c r="AO11" s="341" t="s">
        <v>351</v>
      </c>
      <c r="AP11" s="341" t="s">
        <v>351</v>
      </c>
      <c r="AQ11" s="341" t="s">
        <v>351</v>
      </c>
      <c r="AR11" s="341" t="s">
        <v>351</v>
      </c>
      <c r="AS11" s="341" t="s">
        <v>351</v>
      </c>
      <c r="AT11" s="341" t="s">
        <v>351</v>
      </c>
      <c r="AU11" s="341" t="s">
        <v>351</v>
      </c>
      <c r="AV11" s="341" t="s">
        <v>351</v>
      </c>
      <c r="AW11" s="341" t="s">
        <v>351</v>
      </c>
    </row>
    <row r="12" spans="1:49" s="343" customFormat="1">
      <c r="A12" s="468">
        <v>44926</v>
      </c>
      <c r="B12" s="341" t="s">
        <v>139</v>
      </c>
      <c r="C12" s="342">
        <v>2962</v>
      </c>
      <c r="D12" s="342">
        <v>25</v>
      </c>
      <c r="E12" s="342">
        <v>2999</v>
      </c>
      <c r="F12" s="342">
        <v>2885</v>
      </c>
      <c r="G12" s="342">
        <v>5699</v>
      </c>
      <c r="H12" s="342">
        <v>6918</v>
      </c>
      <c r="I12" s="342">
        <v>2999</v>
      </c>
      <c r="J12" s="342">
        <v>2885</v>
      </c>
      <c r="K12" s="342">
        <v>5699</v>
      </c>
      <c r="L12" s="342">
        <v>6918</v>
      </c>
      <c r="M12" s="347">
        <v>318.79819300568602</v>
      </c>
      <c r="N12" s="341" t="s">
        <v>351</v>
      </c>
      <c r="O12" s="341" t="s">
        <v>351</v>
      </c>
      <c r="P12" s="341" t="s">
        <v>351</v>
      </c>
      <c r="Q12" s="341" t="s">
        <v>351</v>
      </c>
      <c r="R12" s="341" t="s">
        <v>351</v>
      </c>
      <c r="S12" s="341" t="s">
        <v>351</v>
      </c>
      <c r="T12" s="341" t="s">
        <v>351</v>
      </c>
      <c r="U12" s="341" t="s">
        <v>351</v>
      </c>
      <c r="V12" s="341" t="s">
        <v>351</v>
      </c>
      <c r="W12" s="341" t="s">
        <v>351</v>
      </c>
      <c r="X12" s="341" t="s">
        <v>351</v>
      </c>
      <c r="Y12" s="341" t="s">
        <v>351</v>
      </c>
      <c r="Z12" s="341" t="s">
        <v>351</v>
      </c>
      <c r="AA12" s="341" t="s">
        <v>351</v>
      </c>
      <c r="AB12" s="341" t="s">
        <v>351</v>
      </c>
      <c r="AC12" s="341" t="s">
        <v>351</v>
      </c>
      <c r="AD12" s="341" t="s">
        <v>351</v>
      </c>
      <c r="AE12" s="341" t="s">
        <v>351</v>
      </c>
      <c r="AF12" s="341" t="s">
        <v>351</v>
      </c>
      <c r="AG12" s="341" t="s">
        <v>351</v>
      </c>
      <c r="AH12" s="341" t="s">
        <v>351</v>
      </c>
      <c r="AI12" s="341" t="s">
        <v>351</v>
      </c>
      <c r="AJ12" s="341" t="s">
        <v>351</v>
      </c>
      <c r="AK12" s="341" t="s">
        <v>351</v>
      </c>
      <c r="AL12" s="341" t="s">
        <v>351</v>
      </c>
      <c r="AM12" s="341" t="s">
        <v>351</v>
      </c>
      <c r="AN12" s="341" t="s">
        <v>351</v>
      </c>
      <c r="AO12" s="341" t="s">
        <v>351</v>
      </c>
      <c r="AP12" s="341" t="s">
        <v>351</v>
      </c>
      <c r="AQ12" s="341" t="s">
        <v>351</v>
      </c>
      <c r="AR12" s="341" t="s">
        <v>351</v>
      </c>
      <c r="AS12" s="341" t="s">
        <v>351</v>
      </c>
      <c r="AT12" s="341" t="s">
        <v>351</v>
      </c>
      <c r="AU12" s="341" t="s">
        <v>351</v>
      </c>
      <c r="AV12" s="341" t="s">
        <v>351</v>
      </c>
      <c r="AW12" s="341" t="s">
        <v>351</v>
      </c>
    </row>
    <row r="13" spans="1:49" s="343" customFormat="1">
      <c r="A13" s="468">
        <v>44926</v>
      </c>
      <c r="B13" s="341" t="s">
        <v>141</v>
      </c>
      <c r="C13" s="342">
        <v>18833</v>
      </c>
      <c r="D13" s="342">
        <v>169</v>
      </c>
      <c r="E13" s="342">
        <v>18731</v>
      </c>
      <c r="F13" s="342">
        <v>18755</v>
      </c>
      <c r="G13" s="342">
        <v>48106</v>
      </c>
      <c r="H13" s="342">
        <v>50070</v>
      </c>
      <c r="I13" s="342">
        <v>18731</v>
      </c>
      <c r="J13" s="342">
        <v>18755</v>
      </c>
      <c r="K13" s="342">
        <v>48106</v>
      </c>
      <c r="L13" s="342">
        <v>50070</v>
      </c>
      <c r="M13" s="347">
        <v>407.22978869288801</v>
      </c>
      <c r="N13" s="341" t="s">
        <v>351</v>
      </c>
      <c r="O13" s="341" t="s">
        <v>351</v>
      </c>
      <c r="P13" s="341" t="s">
        <v>351</v>
      </c>
      <c r="Q13" s="341" t="s">
        <v>351</v>
      </c>
      <c r="R13" s="341" t="s">
        <v>351</v>
      </c>
      <c r="S13" s="341" t="s">
        <v>351</v>
      </c>
      <c r="T13" s="341" t="s">
        <v>351</v>
      </c>
      <c r="U13" s="341" t="s">
        <v>351</v>
      </c>
      <c r="V13" s="341" t="s">
        <v>351</v>
      </c>
      <c r="W13" s="341" t="s">
        <v>351</v>
      </c>
      <c r="X13" s="341" t="s">
        <v>351</v>
      </c>
      <c r="Y13" s="341" t="s">
        <v>351</v>
      </c>
      <c r="Z13" s="341" t="s">
        <v>351</v>
      </c>
      <c r="AA13" s="341" t="s">
        <v>351</v>
      </c>
      <c r="AB13" s="341" t="s">
        <v>351</v>
      </c>
      <c r="AC13" s="341" t="s">
        <v>351</v>
      </c>
      <c r="AD13" s="341" t="s">
        <v>351</v>
      </c>
      <c r="AE13" s="341" t="s">
        <v>351</v>
      </c>
      <c r="AF13" s="341" t="s">
        <v>351</v>
      </c>
      <c r="AG13" s="341" t="s">
        <v>351</v>
      </c>
      <c r="AH13" s="341" t="s">
        <v>351</v>
      </c>
      <c r="AI13" s="341" t="s">
        <v>351</v>
      </c>
      <c r="AJ13" s="341" t="s">
        <v>351</v>
      </c>
      <c r="AK13" s="341" t="s">
        <v>351</v>
      </c>
      <c r="AL13" s="341" t="s">
        <v>351</v>
      </c>
      <c r="AM13" s="341" t="s">
        <v>351</v>
      </c>
      <c r="AN13" s="341" t="s">
        <v>351</v>
      </c>
      <c r="AO13" s="341" t="s">
        <v>351</v>
      </c>
      <c r="AP13" s="341" t="s">
        <v>351</v>
      </c>
      <c r="AQ13" s="341" t="s">
        <v>351</v>
      </c>
      <c r="AR13" s="341" t="s">
        <v>351</v>
      </c>
      <c r="AS13" s="341" t="s">
        <v>351</v>
      </c>
      <c r="AT13" s="341" t="s">
        <v>351</v>
      </c>
      <c r="AU13" s="341" t="s">
        <v>351</v>
      </c>
      <c r="AV13" s="341" t="s">
        <v>351</v>
      </c>
      <c r="AW13" s="341" t="s">
        <v>351</v>
      </c>
    </row>
    <row r="14" spans="1:49" s="343" customFormat="1">
      <c r="A14" s="468">
        <v>44926</v>
      </c>
      <c r="B14" s="341" t="s">
        <v>140</v>
      </c>
      <c r="C14" s="342">
        <v>2759</v>
      </c>
      <c r="D14" s="342">
        <v>5</v>
      </c>
      <c r="E14" s="342">
        <v>2701</v>
      </c>
      <c r="F14" s="342">
        <v>2312</v>
      </c>
      <c r="G14" s="342">
        <v>4377</v>
      </c>
      <c r="H14" s="342">
        <v>4443</v>
      </c>
      <c r="I14" s="342">
        <v>2701</v>
      </c>
      <c r="J14" s="342">
        <v>2312</v>
      </c>
      <c r="K14" s="342">
        <v>4377</v>
      </c>
      <c r="L14" s="342">
        <v>4443</v>
      </c>
      <c r="M14" s="347">
        <v>415.33313623780498</v>
      </c>
      <c r="N14" s="341" t="s">
        <v>351</v>
      </c>
      <c r="O14" s="341" t="s">
        <v>351</v>
      </c>
      <c r="P14" s="341" t="s">
        <v>351</v>
      </c>
      <c r="Q14" s="341" t="s">
        <v>351</v>
      </c>
      <c r="R14" s="341" t="s">
        <v>351</v>
      </c>
      <c r="S14" s="341" t="s">
        <v>351</v>
      </c>
      <c r="T14" s="341" t="s">
        <v>351</v>
      </c>
      <c r="U14" s="341" t="s">
        <v>351</v>
      </c>
      <c r="V14" s="341" t="s">
        <v>351</v>
      </c>
      <c r="W14" s="341" t="s">
        <v>351</v>
      </c>
      <c r="X14" s="341" t="s">
        <v>351</v>
      </c>
      <c r="Y14" s="341" t="s">
        <v>351</v>
      </c>
      <c r="Z14" s="341" t="s">
        <v>351</v>
      </c>
      <c r="AA14" s="341" t="s">
        <v>351</v>
      </c>
      <c r="AB14" s="341" t="s">
        <v>351</v>
      </c>
      <c r="AC14" s="341" t="s">
        <v>351</v>
      </c>
      <c r="AD14" s="341" t="s">
        <v>351</v>
      </c>
      <c r="AE14" s="341" t="s">
        <v>351</v>
      </c>
      <c r="AF14" s="341" t="s">
        <v>351</v>
      </c>
      <c r="AG14" s="341" t="s">
        <v>351</v>
      </c>
      <c r="AH14" s="341" t="s">
        <v>351</v>
      </c>
      <c r="AI14" s="341" t="s">
        <v>351</v>
      </c>
      <c r="AJ14" s="341" t="s">
        <v>351</v>
      </c>
      <c r="AK14" s="341" t="s">
        <v>351</v>
      </c>
      <c r="AL14" s="341" t="s">
        <v>351</v>
      </c>
      <c r="AM14" s="341" t="s">
        <v>351</v>
      </c>
      <c r="AN14" s="341" t="s">
        <v>351</v>
      </c>
      <c r="AO14" s="341" t="s">
        <v>351</v>
      </c>
      <c r="AP14" s="341" t="s">
        <v>351</v>
      </c>
      <c r="AQ14" s="341" t="s">
        <v>351</v>
      </c>
      <c r="AR14" s="341" t="s">
        <v>351</v>
      </c>
      <c r="AS14" s="341" t="s">
        <v>351</v>
      </c>
      <c r="AT14" s="341" t="s">
        <v>351</v>
      </c>
      <c r="AU14" s="341" t="s">
        <v>351</v>
      </c>
      <c r="AV14" s="341" t="s">
        <v>351</v>
      </c>
      <c r="AW14" s="341" t="s">
        <v>351</v>
      </c>
    </row>
    <row r="15" spans="1:49" s="343" customFormat="1">
      <c r="A15" s="468">
        <v>44926</v>
      </c>
      <c r="B15" s="341" t="s">
        <v>354</v>
      </c>
      <c r="C15" s="342">
        <v>16</v>
      </c>
      <c r="D15" s="342">
        <v>0</v>
      </c>
      <c r="E15" s="445" t="s">
        <v>351</v>
      </c>
      <c r="F15" s="445" t="s">
        <v>351</v>
      </c>
      <c r="G15" s="445" t="s">
        <v>351</v>
      </c>
      <c r="H15" s="445" t="s">
        <v>351</v>
      </c>
      <c r="I15" s="341" t="s">
        <v>351</v>
      </c>
      <c r="J15" s="341" t="s">
        <v>351</v>
      </c>
      <c r="K15" s="341" t="s">
        <v>351</v>
      </c>
      <c r="L15" s="341" t="s">
        <v>351</v>
      </c>
      <c r="M15" s="345" t="s">
        <v>351</v>
      </c>
      <c r="N15" s="341" t="s">
        <v>351</v>
      </c>
      <c r="O15" s="341" t="s">
        <v>351</v>
      </c>
      <c r="P15" s="341" t="s">
        <v>351</v>
      </c>
      <c r="Q15" s="341" t="s">
        <v>351</v>
      </c>
      <c r="R15" s="341" t="s">
        <v>351</v>
      </c>
      <c r="S15" s="341" t="s">
        <v>351</v>
      </c>
      <c r="T15" s="341" t="s">
        <v>351</v>
      </c>
      <c r="U15" s="341" t="s">
        <v>351</v>
      </c>
      <c r="V15" s="341" t="s">
        <v>351</v>
      </c>
      <c r="W15" s="341" t="s">
        <v>351</v>
      </c>
      <c r="X15" s="341" t="s">
        <v>351</v>
      </c>
      <c r="Y15" s="341" t="s">
        <v>351</v>
      </c>
      <c r="Z15" s="341" t="s">
        <v>351</v>
      </c>
      <c r="AA15" s="341" t="s">
        <v>351</v>
      </c>
      <c r="AB15" s="341" t="s">
        <v>351</v>
      </c>
      <c r="AC15" s="341" t="s">
        <v>351</v>
      </c>
      <c r="AD15" s="341" t="s">
        <v>351</v>
      </c>
      <c r="AE15" s="341" t="s">
        <v>351</v>
      </c>
      <c r="AF15" s="341" t="s">
        <v>351</v>
      </c>
      <c r="AG15" s="341" t="s">
        <v>351</v>
      </c>
      <c r="AH15" s="341" t="s">
        <v>351</v>
      </c>
      <c r="AI15" s="341" t="s">
        <v>351</v>
      </c>
      <c r="AJ15" s="341" t="s">
        <v>351</v>
      </c>
      <c r="AK15" s="341" t="s">
        <v>351</v>
      </c>
      <c r="AL15" s="341" t="s">
        <v>351</v>
      </c>
      <c r="AM15" s="341" t="s">
        <v>351</v>
      </c>
      <c r="AN15" s="341" t="s">
        <v>351</v>
      </c>
      <c r="AO15" s="341" t="s">
        <v>351</v>
      </c>
      <c r="AP15" s="341" t="s">
        <v>351</v>
      </c>
      <c r="AQ15" s="341" t="s">
        <v>351</v>
      </c>
      <c r="AR15" s="341" t="s">
        <v>351</v>
      </c>
      <c r="AS15" s="341" t="s">
        <v>351</v>
      </c>
      <c r="AT15" s="341" t="s">
        <v>351</v>
      </c>
      <c r="AU15" s="341" t="s">
        <v>351</v>
      </c>
      <c r="AV15" s="341" t="s">
        <v>351</v>
      </c>
      <c r="AW15" s="341" t="s">
        <v>351</v>
      </c>
    </row>
    <row r="16" spans="1:49" s="343" customFormat="1">
      <c r="A16" s="469"/>
      <c r="B16" s="344"/>
      <c r="C16" s="391"/>
      <c r="D16" s="392"/>
      <c r="E16" s="242"/>
      <c r="F16" s="242"/>
      <c r="G16" s="242"/>
      <c r="H16" s="242"/>
      <c r="I16" s="344"/>
      <c r="J16" s="344"/>
      <c r="K16" s="344"/>
      <c r="L16" s="344"/>
      <c r="M16" s="345"/>
      <c r="N16" s="346"/>
      <c r="O16" s="346"/>
      <c r="P16" s="346"/>
      <c r="Q16" s="346"/>
      <c r="R16" s="346"/>
      <c r="S16" s="346"/>
      <c r="T16" s="346"/>
      <c r="U16" s="346"/>
      <c r="V16" s="346"/>
      <c r="W16" s="346"/>
      <c r="X16" s="346"/>
      <c r="Y16" s="346"/>
      <c r="Z16" s="346"/>
      <c r="AA16" s="346"/>
      <c r="AB16" s="346"/>
      <c r="AC16" s="346"/>
      <c r="AD16" s="346"/>
      <c r="AE16" s="346"/>
      <c r="AF16" s="346"/>
      <c r="AG16" s="346"/>
      <c r="AH16" s="346"/>
      <c r="AI16" s="346"/>
      <c r="AJ16" s="346"/>
      <c r="AK16" s="346"/>
      <c r="AL16" s="346"/>
      <c r="AM16" s="346"/>
      <c r="AN16" s="346"/>
      <c r="AO16" s="346"/>
      <c r="AP16" s="346"/>
      <c r="AQ16" s="346"/>
      <c r="AR16" s="346"/>
      <c r="AS16" s="346"/>
      <c r="AT16" s="346"/>
      <c r="AU16" s="346"/>
      <c r="AV16" s="346"/>
      <c r="AW16" s="346"/>
    </row>
    <row r="17" spans="1:49" s="343" customFormat="1">
      <c r="A17" s="469"/>
      <c r="B17" s="344"/>
      <c r="C17" s="391"/>
      <c r="D17" s="392"/>
      <c r="E17" s="242"/>
      <c r="F17" s="242"/>
      <c r="G17" s="242"/>
      <c r="H17" s="242"/>
      <c r="I17" s="344"/>
      <c r="J17" s="344"/>
      <c r="K17" s="344"/>
      <c r="L17" s="344"/>
      <c r="M17" s="345"/>
      <c r="N17" s="346"/>
      <c r="O17" s="346"/>
      <c r="P17" s="346"/>
      <c r="Q17" s="346"/>
      <c r="R17" s="346"/>
      <c r="S17" s="346"/>
      <c r="T17" s="346"/>
      <c r="U17" s="346"/>
      <c r="V17" s="346"/>
      <c r="W17" s="346"/>
      <c r="X17" s="346"/>
      <c r="Y17" s="346"/>
      <c r="Z17" s="346"/>
      <c r="AA17" s="346"/>
      <c r="AB17" s="346"/>
      <c r="AC17" s="346"/>
      <c r="AD17" s="346"/>
      <c r="AE17" s="346"/>
      <c r="AF17" s="346"/>
      <c r="AG17" s="346"/>
      <c r="AH17" s="346"/>
      <c r="AI17" s="346"/>
      <c r="AJ17" s="346"/>
      <c r="AK17" s="346"/>
      <c r="AL17" s="346"/>
      <c r="AM17" s="346"/>
      <c r="AN17" s="346"/>
      <c r="AO17" s="346"/>
      <c r="AP17" s="346"/>
      <c r="AQ17" s="346"/>
      <c r="AR17" s="346"/>
      <c r="AS17" s="346"/>
      <c r="AT17" s="346"/>
      <c r="AU17" s="346"/>
      <c r="AV17" s="346"/>
      <c r="AW17" s="346"/>
    </row>
    <row r="18" spans="1:49" s="343" customFormat="1">
      <c r="A18" s="469"/>
      <c r="B18" s="344"/>
      <c r="C18" s="391"/>
      <c r="D18" s="392"/>
      <c r="E18" s="242"/>
      <c r="F18" s="242"/>
      <c r="G18" s="242"/>
      <c r="H18" s="242"/>
      <c r="I18" s="344"/>
      <c r="J18" s="344"/>
      <c r="K18" s="344"/>
      <c r="L18" s="344"/>
      <c r="M18" s="345"/>
      <c r="N18" s="346"/>
      <c r="O18" s="346"/>
      <c r="P18" s="346"/>
      <c r="Q18" s="346"/>
      <c r="R18" s="346"/>
      <c r="S18" s="346"/>
      <c r="T18" s="346"/>
      <c r="U18" s="346"/>
      <c r="V18" s="346"/>
      <c r="W18" s="346"/>
      <c r="X18" s="346"/>
      <c r="Y18" s="346"/>
      <c r="Z18" s="346"/>
      <c r="AA18" s="346"/>
      <c r="AB18" s="346"/>
      <c r="AC18" s="346"/>
      <c r="AD18" s="346"/>
      <c r="AE18" s="346"/>
      <c r="AF18" s="346"/>
      <c r="AG18" s="346"/>
      <c r="AH18" s="346"/>
      <c r="AI18" s="346"/>
      <c r="AJ18" s="346"/>
      <c r="AK18" s="346"/>
      <c r="AL18" s="346"/>
      <c r="AM18" s="346"/>
      <c r="AN18" s="346"/>
      <c r="AO18" s="346"/>
      <c r="AP18" s="346"/>
      <c r="AQ18" s="346"/>
      <c r="AR18" s="346"/>
      <c r="AS18" s="346"/>
      <c r="AT18" s="346"/>
      <c r="AU18" s="346"/>
      <c r="AV18" s="346"/>
      <c r="AW18" s="346"/>
    </row>
    <row r="19" spans="1:49" s="343" customFormat="1">
      <c r="A19" s="469"/>
      <c r="B19" s="344"/>
      <c r="C19" s="391"/>
      <c r="D19" s="392"/>
      <c r="E19" s="242"/>
      <c r="F19" s="242"/>
      <c r="G19" s="242"/>
      <c r="H19" s="242"/>
      <c r="I19" s="344"/>
      <c r="J19" s="344"/>
      <c r="K19" s="344"/>
      <c r="L19" s="344"/>
      <c r="M19" s="345"/>
      <c r="N19" s="346"/>
      <c r="O19" s="346"/>
      <c r="P19" s="346"/>
      <c r="Q19" s="346"/>
      <c r="R19" s="346"/>
      <c r="S19" s="346"/>
      <c r="T19" s="346"/>
      <c r="U19" s="346"/>
      <c r="V19" s="346"/>
      <c r="W19" s="346"/>
      <c r="X19" s="346"/>
      <c r="Y19" s="346"/>
      <c r="Z19" s="346"/>
      <c r="AA19" s="346"/>
      <c r="AB19" s="346"/>
      <c r="AC19" s="346"/>
      <c r="AD19" s="346"/>
      <c r="AE19" s="346"/>
      <c r="AF19" s="346"/>
      <c r="AG19" s="346"/>
      <c r="AH19" s="346"/>
      <c r="AI19" s="346"/>
      <c r="AJ19" s="346"/>
      <c r="AK19" s="346"/>
      <c r="AL19" s="346"/>
      <c r="AM19" s="346"/>
      <c r="AN19" s="346"/>
      <c r="AO19" s="346"/>
      <c r="AP19" s="346"/>
      <c r="AQ19" s="346"/>
      <c r="AR19" s="346"/>
      <c r="AS19" s="346"/>
      <c r="AT19" s="346"/>
      <c r="AU19" s="346"/>
      <c r="AV19" s="346"/>
      <c r="AW19" s="346"/>
    </row>
    <row r="20" spans="1:49" s="343" customFormat="1">
      <c r="A20" s="469"/>
      <c r="B20" s="344"/>
      <c r="C20" s="391"/>
      <c r="D20" s="392"/>
      <c r="E20" s="242"/>
      <c r="F20" s="242"/>
      <c r="G20" s="242"/>
      <c r="H20" s="242"/>
      <c r="I20" s="344"/>
      <c r="J20" s="344"/>
      <c r="K20" s="344"/>
      <c r="L20" s="344"/>
      <c r="M20" s="345"/>
      <c r="N20" s="346"/>
      <c r="O20" s="346"/>
      <c r="P20" s="346"/>
      <c r="Q20" s="346"/>
      <c r="R20" s="346"/>
      <c r="S20" s="346"/>
      <c r="T20" s="346"/>
      <c r="U20" s="346"/>
      <c r="V20" s="346"/>
      <c r="W20" s="346"/>
      <c r="X20" s="346"/>
      <c r="Y20" s="346"/>
      <c r="Z20" s="346"/>
      <c r="AA20" s="346"/>
      <c r="AB20" s="346"/>
      <c r="AC20" s="346"/>
      <c r="AD20" s="346"/>
      <c r="AE20" s="346"/>
      <c r="AF20" s="346"/>
      <c r="AG20" s="346"/>
      <c r="AH20" s="346"/>
      <c r="AI20" s="346"/>
      <c r="AJ20" s="346"/>
      <c r="AK20" s="346"/>
      <c r="AL20" s="346"/>
      <c r="AM20" s="346"/>
      <c r="AN20" s="346"/>
      <c r="AO20" s="346"/>
      <c r="AP20" s="346"/>
      <c r="AQ20" s="346"/>
      <c r="AR20" s="346"/>
      <c r="AS20" s="346"/>
      <c r="AT20" s="346"/>
      <c r="AU20" s="346"/>
      <c r="AV20" s="346"/>
      <c r="AW20" s="346"/>
    </row>
    <row r="21" spans="1:49" s="343" customFormat="1">
      <c r="A21" s="469"/>
      <c r="B21" s="344"/>
      <c r="C21" s="391"/>
      <c r="D21" s="392"/>
      <c r="E21" s="242"/>
      <c r="F21" s="242"/>
      <c r="G21" s="242"/>
      <c r="H21" s="242"/>
      <c r="I21" s="344"/>
      <c r="J21" s="344"/>
      <c r="K21" s="344"/>
      <c r="L21" s="344"/>
      <c r="M21" s="345"/>
      <c r="N21" s="346"/>
      <c r="O21" s="346"/>
      <c r="P21" s="346"/>
      <c r="Q21" s="346"/>
      <c r="R21" s="346"/>
      <c r="S21" s="346"/>
      <c r="T21" s="346"/>
      <c r="U21" s="346"/>
      <c r="V21" s="346"/>
      <c r="W21" s="346"/>
      <c r="X21" s="346"/>
      <c r="Y21" s="346"/>
      <c r="Z21" s="346"/>
      <c r="AA21" s="346"/>
      <c r="AB21" s="346"/>
      <c r="AC21" s="346"/>
      <c r="AD21" s="346"/>
      <c r="AE21" s="346"/>
      <c r="AF21" s="346"/>
      <c r="AG21" s="346"/>
      <c r="AH21" s="346"/>
      <c r="AI21" s="346"/>
      <c r="AJ21" s="346"/>
      <c r="AK21" s="346"/>
      <c r="AL21" s="346"/>
      <c r="AM21" s="346"/>
      <c r="AN21" s="346"/>
      <c r="AO21" s="346"/>
      <c r="AP21" s="346"/>
      <c r="AQ21" s="346"/>
      <c r="AR21" s="346"/>
      <c r="AS21" s="346"/>
      <c r="AT21" s="346"/>
      <c r="AU21" s="346"/>
      <c r="AV21" s="346"/>
      <c r="AW21" s="346"/>
    </row>
    <row r="22" spans="1:49" s="343" customFormat="1">
      <c r="A22" s="469"/>
      <c r="B22" s="344"/>
      <c r="C22" s="391"/>
      <c r="D22" s="392"/>
      <c r="E22" s="242"/>
      <c r="F22" s="242"/>
      <c r="G22" s="242"/>
      <c r="H22" s="242"/>
      <c r="I22" s="344"/>
      <c r="J22" s="344"/>
      <c r="K22" s="344"/>
      <c r="L22" s="344"/>
      <c r="M22" s="345"/>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row>
    <row r="23" spans="1:49" s="343" customFormat="1">
      <c r="A23" s="469"/>
      <c r="B23" s="344"/>
      <c r="C23" s="391"/>
      <c r="D23" s="392"/>
      <c r="E23" s="242"/>
      <c r="F23" s="242"/>
      <c r="G23" s="242"/>
      <c r="H23" s="242"/>
      <c r="I23" s="344"/>
      <c r="J23" s="344"/>
      <c r="K23" s="344"/>
      <c r="L23" s="344"/>
      <c r="M23" s="345"/>
      <c r="N23" s="346"/>
      <c r="O23" s="346"/>
      <c r="P23" s="346"/>
      <c r="Q23" s="346"/>
      <c r="R23" s="346"/>
      <c r="S23" s="346"/>
      <c r="T23" s="346"/>
      <c r="U23" s="346"/>
      <c r="V23" s="346"/>
      <c r="W23" s="346"/>
      <c r="X23" s="346"/>
      <c r="Y23" s="346"/>
      <c r="Z23" s="346"/>
      <c r="AA23" s="346"/>
      <c r="AB23" s="346"/>
      <c r="AC23" s="346"/>
      <c r="AD23" s="346"/>
      <c r="AE23" s="346"/>
      <c r="AF23" s="346"/>
      <c r="AG23" s="346"/>
      <c r="AH23" s="346"/>
      <c r="AI23" s="346"/>
      <c r="AJ23" s="346"/>
      <c r="AK23" s="346"/>
      <c r="AL23" s="346"/>
      <c r="AM23" s="346"/>
      <c r="AN23" s="346"/>
      <c r="AO23" s="346"/>
      <c r="AP23" s="346"/>
      <c r="AQ23" s="346"/>
      <c r="AR23" s="346"/>
      <c r="AS23" s="346"/>
      <c r="AT23" s="346"/>
      <c r="AU23" s="346"/>
      <c r="AV23" s="346"/>
      <c r="AW23" s="346"/>
    </row>
    <row r="24" spans="1:49" s="343" customFormat="1">
      <c r="A24" s="469"/>
      <c r="B24" s="344"/>
      <c r="C24" s="391"/>
      <c r="D24" s="392"/>
      <c r="E24" s="242"/>
      <c r="F24" s="242"/>
      <c r="G24" s="242"/>
      <c r="H24" s="242"/>
      <c r="I24" s="344"/>
      <c r="J24" s="344"/>
      <c r="K24" s="344"/>
      <c r="L24" s="344"/>
      <c r="M24" s="345"/>
      <c r="N24" s="346"/>
      <c r="O24" s="346"/>
      <c r="P24" s="346"/>
      <c r="Q24" s="346"/>
      <c r="R24" s="346"/>
      <c r="S24" s="346"/>
      <c r="T24" s="346"/>
      <c r="U24" s="346"/>
      <c r="V24" s="346"/>
      <c r="W24" s="346"/>
      <c r="X24" s="346"/>
      <c r="Y24" s="346"/>
      <c r="Z24" s="346"/>
      <c r="AA24" s="346"/>
      <c r="AB24" s="346"/>
      <c r="AC24" s="346"/>
      <c r="AD24" s="346"/>
      <c r="AE24" s="346"/>
      <c r="AF24" s="346"/>
      <c r="AG24" s="346"/>
      <c r="AH24" s="346"/>
      <c r="AI24" s="346"/>
      <c r="AJ24" s="346"/>
      <c r="AK24" s="346"/>
      <c r="AL24" s="346"/>
      <c r="AM24" s="346"/>
      <c r="AN24" s="346"/>
      <c r="AO24" s="346"/>
      <c r="AP24" s="346"/>
      <c r="AQ24" s="346"/>
      <c r="AR24" s="346"/>
      <c r="AS24" s="346"/>
      <c r="AT24" s="346"/>
      <c r="AU24" s="346"/>
      <c r="AV24" s="346"/>
      <c r="AW24" s="346"/>
    </row>
    <row r="25" spans="1:49" s="343" customFormat="1">
      <c r="A25" s="469"/>
      <c r="B25" s="344"/>
      <c r="C25" s="391"/>
      <c r="D25" s="392"/>
      <c r="E25" s="242"/>
      <c r="F25" s="242"/>
      <c r="G25" s="242"/>
      <c r="H25" s="242"/>
      <c r="I25" s="344"/>
      <c r="J25" s="344"/>
      <c r="K25" s="344"/>
      <c r="L25" s="344"/>
      <c r="M25" s="345"/>
      <c r="N25" s="346"/>
      <c r="O25" s="346"/>
      <c r="P25" s="346"/>
      <c r="Q25" s="346"/>
      <c r="R25" s="346"/>
      <c r="S25" s="346"/>
      <c r="T25" s="346"/>
      <c r="U25" s="346"/>
      <c r="V25" s="346"/>
      <c r="W25" s="346"/>
      <c r="X25" s="346"/>
      <c r="Y25" s="346"/>
      <c r="Z25" s="346"/>
      <c r="AA25" s="346"/>
      <c r="AB25" s="346"/>
      <c r="AC25" s="346"/>
      <c r="AD25" s="346"/>
      <c r="AE25" s="346"/>
      <c r="AF25" s="346"/>
      <c r="AG25" s="346"/>
      <c r="AH25" s="346"/>
      <c r="AI25" s="346"/>
      <c r="AJ25" s="346"/>
      <c r="AK25" s="346"/>
      <c r="AL25" s="346"/>
      <c r="AM25" s="346"/>
      <c r="AN25" s="346"/>
      <c r="AO25" s="346"/>
      <c r="AP25" s="346"/>
      <c r="AQ25" s="346"/>
      <c r="AR25" s="346"/>
      <c r="AS25" s="346"/>
      <c r="AT25" s="346"/>
      <c r="AU25" s="346"/>
      <c r="AV25" s="346"/>
      <c r="AW25" s="346"/>
    </row>
    <row r="26" spans="1:49" s="343" customFormat="1">
      <c r="A26" s="469"/>
      <c r="B26" s="344"/>
      <c r="C26" s="391"/>
      <c r="D26" s="392"/>
      <c r="E26" s="242"/>
      <c r="F26" s="242"/>
      <c r="G26" s="242"/>
      <c r="H26" s="242"/>
      <c r="I26" s="344"/>
      <c r="J26" s="344"/>
      <c r="K26" s="344"/>
      <c r="L26" s="344"/>
      <c r="M26" s="345"/>
      <c r="N26" s="346"/>
      <c r="O26" s="346"/>
      <c r="P26" s="346"/>
      <c r="Q26" s="346"/>
      <c r="R26" s="346"/>
      <c r="S26" s="346"/>
      <c r="T26" s="346"/>
      <c r="U26" s="346"/>
      <c r="V26" s="346"/>
      <c r="W26" s="346"/>
      <c r="X26" s="346"/>
      <c r="Y26" s="346"/>
      <c r="Z26" s="346"/>
      <c r="AA26" s="346"/>
      <c r="AB26" s="346"/>
      <c r="AC26" s="346"/>
      <c r="AD26" s="346"/>
      <c r="AE26" s="346"/>
      <c r="AF26" s="346"/>
      <c r="AG26" s="346"/>
      <c r="AH26" s="346"/>
      <c r="AI26" s="346"/>
      <c r="AJ26" s="346"/>
      <c r="AK26" s="346"/>
      <c r="AL26" s="346"/>
      <c r="AM26" s="346"/>
      <c r="AN26" s="346"/>
      <c r="AO26" s="346"/>
      <c r="AP26" s="346"/>
      <c r="AQ26" s="346"/>
      <c r="AR26" s="346"/>
      <c r="AS26" s="346"/>
      <c r="AT26" s="346"/>
      <c r="AU26" s="346"/>
      <c r="AV26" s="346"/>
      <c r="AW26" s="346"/>
    </row>
    <row r="27" spans="1:49" s="343" customFormat="1">
      <c r="A27" s="469"/>
      <c r="B27" s="344"/>
      <c r="C27" s="391"/>
      <c r="D27" s="392"/>
      <c r="E27" s="242"/>
      <c r="F27" s="242"/>
      <c r="G27" s="242"/>
      <c r="H27" s="242"/>
      <c r="I27" s="344"/>
      <c r="J27" s="344"/>
      <c r="K27" s="344"/>
      <c r="L27" s="344"/>
      <c r="M27" s="345"/>
      <c r="N27" s="346"/>
      <c r="O27" s="346"/>
      <c r="P27" s="346"/>
      <c r="Q27" s="346"/>
      <c r="R27" s="346"/>
      <c r="S27" s="346"/>
      <c r="T27" s="346"/>
      <c r="U27" s="346"/>
      <c r="V27" s="346"/>
      <c r="W27" s="346"/>
      <c r="X27" s="346"/>
      <c r="Y27" s="346"/>
      <c r="Z27" s="346"/>
      <c r="AA27" s="346"/>
      <c r="AB27" s="346"/>
      <c r="AC27" s="346"/>
      <c r="AD27" s="346"/>
      <c r="AE27" s="346"/>
      <c r="AF27" s="346"/>
      <c r="AG27" s="346"/>
      <c r="AH27" s="346"/>
      <c r="AI27" s="346"/>
      <c r="AJ27" s="346"/>
      <c r="AK27" s="346"/>
      <c r="AL27" s="346"/>
      <c r="AM27" s="346"/>
      <c r="AN27" s="346"/>
      <c r="AO27" s="346"/>
      <c r="AP27" s="346"/>
      <c r="AQ27" s="346"/>
      <c r="AR27" s="346"/>
      <c r="AS27" s="346"/>
      <c r="AT27" s="346"/>
      <c r="AU27" s="346"/>
      <c r="AV27" s="346"/>
      <c r="AW27" s="346"/>
    </row>
    <row r="28" spans="1:49" s="343" customFormat="1">
      <c r="A28" s="469"/>
      <c r="B28" s="344"/>
      <c r="C28" s="391"/>
      <c r="D28" s="392"/>
      <c r="E28" s="242"/>
      <c r="F28" s="242"/>
      <c r="G28" s="242"/>
      <c r="H28" s="242"/>
      <c r="I28" s="344"/>
      <c r="J28" s="344"/>
      <c r="K28" s="344"/>
      <c r="L28" s="344"/>
      <c r="M28" s="345"/>
      <c r="N28" s="346"/>
      <c r="O28" s="346"/>
      <c r="P28" s="346"/>
      <c r="Q28" s="346"/>
      <c r="R28" s="346"/>
      <c r="S28" s="346"/>
      <c r="T28" s="346"/>
      <c r="U28" s="346"/>
      <c r="V28" s="346"/>
      <c r="W28" s="346"/>
      <c r="X28" s="346"/>
      <c r="Y28" s="346"/>
      <c r="Z28" s="346"/>
      <c r="AA28" s="346"/>
      <c r="AB28" s="346"/>
      <c r="AC28" s="346"/>
      <c r="AD28" s="346"/>
      <c r="AE28" s="346"/>
      <c r="AF28" s="346"/>
      <c r="AG28" s="346"/>
      <c r="AH28" s="346"/>
      <c r="AI28" s="346"/>
      <c r="AJ28" s="346"/>
      <c r="AK28" s="346"/>
      <c r="AL28" s="346"/>
      <c r="AM28" s="346"/>
      <c r="AN28" s="346"/>
      <c r="AO28" s="346"/>
      <c r="AP28" s="346"/>
      <c r="AQ28" s="346"/>
      <c r="AR28" s="346"/>
      <c r="AS28" s="346"/>
      <c r="AT28" s="346"/>
      <c r="AU28" s="346"/>
      <c r="AV28" s="346"/>
      <c r="AW28" s="346"/>
    </row>
    <row r="29" spans="1:49" s="343" customFormat="1">
      <c r="A29" s="469"/>
      <c r="B29" s="344"/>
      <c r="C29" s="391"/>
      <c r="D29" s="392"/>
      <c r="E29" s="242"/>
      <c r="F29" s="242"/>
      <c r="G29" s="242"/>
      <c r="H29" s="242"/>
      <c r="I29" s="344"/>
      <c r="J29" s="344"/>
      <c r="K29" s="344"/>
      <c r="L29" s="344"/>
      <c r="M29" s="345"/>
      <c r="N29" s="346"/>
      <c r="O29" s="346"/>
      <c r="P29" s="346"/>
      <c r="Q29" s="346"/>
      <c r="R29" s="346"/>
      <c r="S29" s="346"/>
      <c r="T29" s="346"/>
      <c r="U29" s="346"/>
      <c r="V29" s="346"/>
      <c r="W29" s="346"/>
      <c r="X29" s="346"/>
      <c r="Y29" s="346"/>
      <c r="Z29" s="346"/>
      <c r="AA29" s="346"/>
      <c r="AB29" s="346"/>
      <c r="AC29" s="346"/>
      <c r="AD29" s="346"/>
      <c r="AE29" s="346"/>
      <c r="AF29" s="346"/>
      <c r="AG29" s="346"/>
      <c r="AH29" s="346"/>
      <c r="AI29" s="346"/>
      <c r="AJ29" s="346"/>
      <c r="AK29" s="346"/>
      <c r="AL29" s="346"/>
      <c r="AM29" s="346"/>
      <c r="AN29" s="346"/>
      <c r="AO29" s="346"/>
      <c r="AP29" s="346"/>
      <c r="AQ29" s="346"/>
      <c r="AR29" s="346"/>
      <c r="AS29" s="346"/>
      <c r="AT29" s="346"/>
      <c r="AU29" s="346"/>
      <c r="AV29" s="346"/>
      <c r="AW29" s="346"/>
    </row>
    <row r="30" spans="1:49" s="824" customFormat="1">
      <c r="A30" s="818">
        <v>45291</v>
      </c>
      <c r="B30" s="819" t="s">
        <v>123</v>
      </c>
      <c r="C30" s="820">
        <v>2237</v>
      </c>
      <c r="D30" s="820">
        <v>13</v>
      </c>
      <c r="E30" s="821">
        <v>2234</v>
      </c>
      <c r="F30" s="821">
        <v>2242</v>
      </c>
      <c r="G30" s="822">
        <v>11270</v>
      </c>
      <c r="H30" s="821">
        <v>10746</v>
      </c>
      <c r="I30" s="819" t="s">
        <v>351</v>
      </c>
      <c r="J30" s="819" t="s">
        <v>351</v>
      </c>
      <c r="K30" s="819" t="s">
        <v>351</v>
      </c>
      <c r="L30" s="819" t="s">
        <v>351</v>
      </c>
      <c r="M30" s="820">
        <v>669.615101740623</v>
      </c>
      <c r="N30" s="820">
        <v>16634</v>
      </c>
      <c r="O30" s="820">
        <v>50339</v>
      </c>
      <c r="P30" s="823">
        <v>1134</v>
      </c>
      <c r="Q30" s="820">
        <v>1192</v>
      </c>
      <c r="R30" s="820">
        <v>1059</v>
      </c>
      <c r="S30" s="820">
        <v>1347</v>
      </c>
      <c r="T30" s="820">
        <v>1563</v>
      </c>
      <c r="U30" s="820">
        <v>2213</v>
      </c>
      <c r="V30" s="820">
        <v>101</v>
      </c>
      <c r="W30" s="820">
        <v>121</v>
      </c>
      <c r="X30" s="820">
        <v>116</v>
      </c>
      <c r="Y30" s="820">
        <v>184</v>
      </c>
      <c r="Z30" s="820">
        <v>302</v>
      </c>
      <c r="AA30" s="820">
        <v>534</v>
      </c>
      <c r="AB30" s="820">
        <v>11</v>
      </c>
      <c r="AC30" s="820">
        <v>27</v>
      </c>
      <c r="AD30" s="820">
        <v>13</v>
      </c>
      <c r="AE30" s="820">
        <v>29</v>
      </c>
      <c r="AF30" s="820">
        <v>5095</v>
      </c>
      <c r="AG30" s="820">
        <v>31118</v>
      </c>
      <c r="AH30" s="820">
        <v>346</v>
      </c>
      <c r="AI30" s="820">
        <v>227</v>
      </c>
      <c r="AJ30" s="820">
        <v>320</v>
      </c>
      <c r="AK30" s="820">
        <v>271</v>
      </c>
      <c r="AL30" s="820">
        <v>3889</v>
      </c>
      <c r="AM30" s="820">
        <v>8641</v>
      </c>
      <c r="AN30" s="820">
        <v>211</v>
      </c>
      <c r="AO30" s="820">
        <v>380</v>
      </c>
      <c r="AP30" s="820">
        <v>149</v>
      </c>
      <c r="AQ30" s="820">
        <v>431</v>
      </c>
      <c r="AR30" s="820">
        <v>1222</v>
      </c>
      <c r="AS30" s="820">
        <v>844</v>
      </c>
      <c r="AT30" s="820">
        <v>76</v>
      </c>
      <c r="AU30" s="820">
        <v>44</v>
      </c>
      <c r="AV30" s="820">
        <v>140</v>
      </c>
      <c r="AW30" s="820">
        <v>49</v>
      </c>
    </row>
    <row r="31" spans="1:49" s="824" customFormat="1">
      <c r="A31" s="818">
        <v>45291</v>
      </c>
      <c r="B31" s="819" t="s">
        <v>124</v>
      </c>
      <c r="C31" s="820">
        <v>2670</v>
      </c>
      <c r="D31" s="820">
        <v>76</v>
      </c>
      <c r="E31" s="821">
        <v>2705</v>
      </c>
      <c r="F31" s="821">
        <v>2474</v>
      </c>
      <c r="G31" s="822">
        <v>7144</v>
      </c>
      <c r="H31" s="821">
        <v>7374</v>
      </c>
      <c r="I31" s="819" t="s">
        <v>351</v>
      </c>
      <c r="J31" s="819" t="s">
        <v>351</v>
      </c>
      <c r="K31" s="819" t="s">
        <v>351</v>
      </c>
      <c r="L31" s="819" t="s">
        <v>351</v>
      </c>
      <c r="M31" s="820">
        <v>637.71580345285497</v>
      </c>
      <c r="N31" s="820">
        <v>71491</v>
      </c>
      <c r="O31" s="820">
        <v>141663</v>
      </c>
      <c r="P31" s="820">
        <v>4285</v>
      </c>
      <c r="Q31" s="820">
        <v>4969</v>
      </c>
      <c r="R31" s="820">
        <v>5189</v>
      </c>
      <c r="S31" s="820">
        <v>7804</v>
      </c>
      <c r="T31" s="820">
        <v>18248</v>
      </c>
      <c r="U31" s="820">
        <v>24622</v>
      </c>
      <c r="V31" s="820">
        <v>1034</v>
      </c>
      <c r="W31" s="820">
        <v>1019</v>
      </c>
      <c r="X31" s="820">
        <v>1542</v>
      </c>
      <c r="Y31" s="820">
        <v>1744</v>
      </c>
      <c r="Z31" s="820">
        <v>6416</v>
      </c>
      <c r="AA31" s="820">
        <v>10101</v>
      </c>
      <c r="AB31" s="820">
        <v>364</v>
      </c>
      <c r="AC31" s="820">
        <v>530</v>
      </c>
      <c r="AD31" s="820">
        <v>459</v>
      </c>
      <c r="AE31" s="820">
        <v>578</v>
      </c>
      <c r="AF31" s="820">
        <v>6314</v>
      </c>
      <c r="AG31" s="820">
        <v>8968</v>
      </c>
      <c r="AH31" s="820">
        <v>499</v>
      </c>
      <c r="AI31" s="820">
        <v>0</v>
      </c>
      <c r="AJ31" s="820">
        <v>513</v>
      </c>
      <c r="AK31" s="820">
        <v>987</v>
      </c>
      <c r="AL31" s="820">
        <v>9918</v>
      </c>
      <c r="AM31" s="820">
        <v>63521</v>
      </c>
      <c r="AN31" s="820">
        <v>534</v>
      </c>
      <c r="AO31" s="820">
        <v>1401</v>
      </c>
      <c r="AP31" s="820">
        <v>584</v>
      </c>
      <c r="AQ31" s="820">
        <v>2200</v>
      </c>
      <c r="AR31" s="820">
        <v>2153</v>
      </c>
      <c r="AS31" s="820">
        <v>2145</v>
      </c>
      <c r="AT31" s="820">
        <v>189</v>
      </c>
      <c r="AU31" s="820">
        <v>132</v>
      </c>
      <c r="AV31" s="820">
        <v>278</v>
      </c>
      <c r="AW31" s="820">
        <v>112</v>
      </c>
    </row>
    <row r="32" spans="1:49" s="824" customFormat="1">
      <c r="A32" s="818">
        <v>45291</v>
      </c>
      <c r="B32" s="819" t="s">
        <v>131</v>
      </c>
      <c r="C32" s="820">
        <v>56817</v>
      </c>
      <c r="D32" s="820">
        <v>309</v>
      </c>
      <c r="E32" s="821">
        <v>56518</v>
      </c>
      <c r="F32" s="821">
        <v>55649</v>
      </c>
      <c r="G32" s="822">
        <v>201958</v>
      </c>
      <c r="H32" s="821">
        <v>213346</v>
      </c>
      <c r="I32" s="819" t="s">
        <v>351</v>
      </c>
      <c r="J32" s="819" t="s">
        <v>351</v>
      </c>
      <c r="K32" s="819" t="s">
        <v>351</v>
      </c>
      <c r="L32" s="819" t="s">
        <v>351</v>
      </c>
      <c r="M32" s="820">
        <v>635.44296431103305</v>
      </c>
      <c r="N32" s="820">
        <v>726144</v>
      </c>
      <c r="O32" s="820">
        <v>501043</v>
      </c>
      <c r="P32" s="820">
        <v>32394</v>
      </c>
      <c r="Q32" s="820">
        <v>25178</v>
      </c>
      <c r="R32" s="820">
        <v>40446</v>
      </c>
      <c r="S32" s="820">
        <v>32514</v>
      </c>
      <c r="T32" s="820">
        <v>40771</v>
      </c>
      <c r="U32" s="820">
        <v>32545</v>
      </c>
      <c r="V32" s="820">
        <v>1863</v>
      </c>
      <c r="W32" s="820">
        <v>1889</v>
      </c>
      <c r="X32" s="820">
        <v>2378</v>
      </c>
      <c r="Y32" s="820">
        <v>2531</v>
      </c>
      <c r="Z32" s="820">
        <v>93023</v>
      </c>
      <c r="AA32" s="820">
        <v>95595</v>
      </c>
      <c r="AB32" s="820">
        <v>5335</v>
      </c>
      <c r="AC32" s="820">
        <v>4913</v>
      </c>
      <c r="AD32" s="820">
        <v>6770</v>
      </c>
      <c r="AE32" s="820">
        <v>6396</v>
      </c>
      <c r="AF32" s="820">
        <v>46988</v>
      </c>
      <c r="AG32" s="820">
        <v>45294</v>
      </c>
      <c r="AH32" s="820">
        <v>5122</v>
      </c>
      <c r="AI32" s="820">
        <v>0</v>
      </c>
      <c r="AJ32" s="820">
        <v>4426</v>
      </c>
      <c r="AK32" s="820">
        <v>0</v>
      </c>
      <c r="AL32" s="820">
        <v>260236</v>
      </c>
      <c r="AM32" s="820">
        <v>59826</v>
      </c>
      <c r="AN32" s="820">
        <v>3791</v>
      </c>
      <c r="AO32" s="820">
        <v>3825</v>
      </c>
      <c r="AP32" s="820">
        <v>4537</v>
      </c>
      <c r="AQ32" s="820">
        <v>4425</v>
      </c>
      <c r="AR32" s="820">
        <v>47240</v>
      </c>
      <c r="AS32" s="820">
        <v>43809</v>
      </c>
      <c r="AT32" s="820">
        <v>3075</v>
      </c>
      <c r="AU32" s="820">
        <v>2839</v>
      </c>
      <c r="AV32" s="820">
        <v>4187</v>
      </c>
      <c r="AW32" s="820">
        <v>3758</v>
      </c>
    </row>
    <row r="33" spans="1:49" s="824" customFormat="1">
      <c r="A33" s="818">
        <v>45291</v>
      </c>
      <c r="B33" s="819" t="s">
        <v>135</v>
      </c>
      <c r="C33" s="820">
        <v>3835</v>
      </c>
      <c r="D33" s="820">
        <v>99</v>
      </c>
      <c r="E33" s="821">
        <v>4137</v>
      </c>
      <c r="F33" s="821">
        <v>4669</v>
      </c>
      <c r="G33" s="822">
        <v>20506</v>
      </c>
      <c r="H33" s="821">
        <v>26041</v>
      </c>
      <c r="I33" s="819" t="s">
        <v>351</v>
      </c>
      <c r="J33" s="819" t="s">
        <v>351</v>
      </c>
      <c r="K33" s="819" t="s">
        <v>351</v>
      </c>
      <c r="L33" s="819" t="s">
        <v>351</v>
      </c>
      <c r="M33" s="820">
        <v>624.08480565370996</v>
      </c>
      <c r="N33" s="820">
        <v>53503</v>
      </c>
      <c r="O33" s="820">
        <v>49353</v>
      </c>
      <c r="P33" s="820">
        <v>2523</v>
      </c>
      <c r="Q33" s="820">
        <v>3002</v>
      </c>
      <c r="R33" s="820">
        <v>2613</v>
      </c>
      <c r="S33" s="820">
        <v>4271</v>
      </c>
      <c r="T33" s="820">
        <v>1335</v>
      </c>
      <c r="U33" s="820">
        <v>1540</v>
      </c>
      <c r="V33" s="820">
        <v>112</v>
      </c>
      <c r="W33" s="820">
        <v>96</v>
      </c>
      <c r="X33" s="820">
        <v>133</v>
      </c>
      <c r="Y33" s="820">
        <v>109</v>
      </c>
      <c r="Z33" s="820">
        <v>3161</v>
      </c>
      <c r="AA33" s="820">
        <v>5391</v>
      </c>
      <c r="AB33" s="820">
        <v>74</v>
      </c>
      <c r="AC33" s="820">
        <v>298</v>
      </c>
      <c r="AD33" s="820">
        <v>85</v>
      </c>
      <c r="AE33" s="820">
        <v>348</v>
      </c>
      <c r="AF33" s="820">
        <v>28921</v>
      </c>
      <c r="AG33" s="820">
        <v>12215</v>
      </c>
      <c r="AH33" s="820">
        <v>1240</v>
      </c>
      <c r="AI33" s="820">
        <v>716</v>
      </c>
      <c r="AJ33" s="820">
        <v>1398</v>
      </c>
      <c r="AK33" s="820">
        <v>1519</v>
      </c>
      <c r="AL33" s="820">
        <v>3045</v>
      </c>
      <c r="AM33" s="820">
        <v>5428</v>
      </c>
      <c r="AN33" s="820">
        <v>100</v>
      </c>
      <c r="AO33" s="820">
        <v>297</v>
      </c>
      <c r="AP33" s="820">
        <v>120</v>
      </c>
      <c r="AQ33" s="820">
        <v>267</v>
      </c>
      <c r="AR33" s="820">
        <v>3709</v>
      </c>
      <c r="AS33" s="820">
        <v>5854</v>
      </c>
      <c r="AT33" s="820">
        <v>93</v>
      </c>
      <c r="AU33" s="820">
        <v>379</v>
      </c>
      <c r="AV33" s="820">
        <v>106</v>
      </c>
      <c r="AW33" s="820">
        <v>410</v>
      </c>
    </row>
    <row r="34" spans="1:49" s="824" customFormat="1">
      <c r="A34" s="818">
        <v>45291</v>
      </c>
      <c r="B34" s="819" t="s">
        <v>132</v>
      </c>
      <c r="C34" s="820">
        <v>23279</v>
      </c>
      <c r="D34" s="820">
        <v>38</v>
      </c>
      <c r="E34" s="821">
        <v>22628</v>
      </c>
      <c r="F34" s="821">
        <v>23918</v>
      </c>
      <c r="G34" s="822">
        <v>81747</v>
      </c>
      <c r="H34" s="821">
        <v>102569</v>
      </c>
      <c r="I34" s="819" t="s">
        <v>351</v>
      </c>
      <c r="J34" s="819" t="s">
        <v>351</v>
      </c>
      <c r="K34" s="819" t="s">
        <v>351</v>
      </c>
      <c r="L34" s="819" t="s">
        <v>351</v>
      </c>
      <c r="M34" s="820">
        <v>718.41829689298004</v>
      </c>
      <c r="N34" s="820">
        <v>521313</v>
      </c>
      <c r="O34" s="820">
        <v>422016</v>
      </c>
      <c r="P34" s="820">
        <v>27491</v>
      </c>
      <c r="Q34" s="820">
        <v>28876</v>
      </c>
      <c r="R34" s="820">
        <v>36116</v>
      </c>
      <c r="S34" s="820">
        <v>40941</v>
      </c>
      <c r="T34" s="820">
        <v>37569</v>
      </c>
      <c r="U34" s="820">
        <v>35710</v>
      </c>
      <c r="V34" s="820">
        <v>1669</v>
      </c>
      <c r="W34" s="820">
        <v>1833</v>
      </c>
      <c r="X34" s="820">
        <v>3659</v>
      </c>
      <c r="Y34" s="820">
        <v>3030</v>
      </c>
      <c r="Z34" s="820">
        <v>10786</v>
      </c>
      <c r="AA34" s="820">
        <v>12796</v>
      </c>
      <c r="AB34" s="820">
        <v>588</v>
      </c>
      <c r="AC34" s="820">
        <v>753</v>
      </c>
      <c r="AD34" s="820">
        <v>782</v>
      </c>
      <c r="AE34" s="820">
        <v>930</v>
      </c>
      <c r="AF34" s="820">
        <v>235360</v>
      </c>
      <c r="AG34" s="820">
        <v>82466</v>
      </c>
      <c r="AH34" s="820">
        <v>9618</v>
      </c>
      <c r="AI34" s="820">
        <v>5583</v>
      </c>
      <c r="AJ34" s="820">
        <v>10222</v>
      </c>
      <c r="AK34" s="820">
        <v>6831</v>
      </c>
      <c r="AL34" s="820">
        <v>59269</v>
      </c>
      <c r="AM34" s="820">
        <v>55391</v>
      </c>
      <c r="AN34" s="820">
        <v>3988</v>
      </c>
      <c r="AO34" s="820">
        <v>3858</v>
      </c>
      <c r="AP34" s="820">
        <v>5718</v>
      </c>
      <c r="AQ34" s="820">
        <v>7673</v>
      </c>
      <c r="AR34" s="820">
        <v>18842</v>
      </c>
      <c r="AS34" s="820">
        <v>19742</v>
      </c>
      <c r="AT34" s="820">
        <v>1213</v>
      </c>
      <c r="AU34" s="820">
        <v>1090</v>
      </c>
      <c r="AV34" s="820">
        <v>1365</v>
      </c>
      <c r="AW34" s="820">
        <v>2582</v>
      </c>
    </row>
    <row r="35" spans="1:49" s="824" customFormat="1">
      <c r="A35" s="818">
        <v>45291</v>
      </c>
      <c r="B35" s="819" t="s">
        <v>352</v>
      </c>
      <c r="C35" s="820">
        <v>59442</v>
      </c>
      <c r="D35" s="820">
        <v>98</v>
      </c>
      <c r="E35" s="821" t="s">
        <v>351</v>
      </c>
      <c r="F35" s="821" t="s">
        <v>351</v>
      </c>
      <c r="G35" s="822" t="s">
        <v>351</v>
      </c>
      <c r="H35" s="821" t="s">
        <v>351</v>
      </c>
      <c r="I35" s="819" t="s">
        <v>351</v>
      </c>
      <c r="J35" s="819" t="s">
        <v>351</v>
      </c>
      <c r="K35" s="819" t="s">
        <v>351</v>
      </c>
      <c r="L35" s="819" t="s">
        <v>351</v>
      </c>
      <c r="M35" s="820" t="s">
        <v>351</v>
      </c>
      <c r="N35" s="820" t="s">
        <v>351</v>
      </c>
      <c r="O35" s="820" t="s">
        <v>351</v>
      </c>
      <c r="P35" s="820" t="s">
        <v>351</v>
      </c>
      <c r="Q35" s="820" t="s">
        <v>351</v>
      </c>
      <c r="R35" s="820" t="s">
        <v>351</v>
      </c>
      <c r="S35" s="820" t="s">
        <v>351</v>
      </c>
      <c r="T35" s="820" t="s">
        <v>351</v>
      </c>
      <c r="U35" s="820" t="s">
        <v>351</v>
      </c>
      <c r="V35" s="820" t="s">
        <v>351</v>
      </c>
      <c r="W35" s="820" t="s">
        <v>351</v>
      </c>
      <c r="X35" s="820" t="s">
        <v>351</v>
      </c>
      <c r="Y35" s="820" t="s">
        <v>351</v>
      </c>
      <c r="Z35" s="820" t="s">
        <v>351</v>
      </c>
      <c r="AA35" s="820" t="s">
        <v>351</v>
      </c>
      <c r="AB35" s="820" t="s">
        <v>351</v>
      </c>
      <c r="AC35" s="820" t="s">
        <v>351</v>
      </c>
      <c r="AD35" s="820" t="s">
        <v>351</v>
      </c>
      <c r="AE35" s="820" t="s">
        <v>351</v>
      </c>
      <c r="AF35" s="820" t="s">
        <v>351</v>
      </c>
      <c r="AG35" s="820" t="s">
        <v>351</v>
      </c>
      <c r="AH35" s="820" t="s">
        <v>351</v>
      </c>
      <c r="AI35" s="820" t="s">
        <v>351</v>
      </c>
      <c r="AJ35" s="820" t="s">
        <v>351</v>
      </c>
      <c r="AK35" s="820" t="s">
        <v>351</v>
      </c>
      <c r="AL35" s="820" t="s">
        <v>351</v>
      </c>
      <c r="AM35" s="820" t="s">
        <v>351</v>
      </c>
      <c r="AN35" s="820" t="s">
        <v>351</v>
      </c>
      <c r="AO35" s="820" t="s">
        <v>351</v>
      </c>
      <c r="AP35" s="820" t="s">
        <v>351</v>
      </c>
      <c r="AQ35" s="820" t="s">
        <v>351</v>
      </c>
      <c r="AR35" s="820" t="s">
        <v>351</v>
      </c>
      <c r="AS35" s="820" t="s">
        <v>351</v>
      </c>
      <c r="AT35" s="820" t="s">
        <v>351</v>
      </c>
      <c r="AU35" s="820" t="s">
        <v>351</v>
      </c>
      <c r="AV35" s="820" t="s">
        <v>351</v>
      </c>
      <c r="AW35" s="820" t="s">
        <v>351</v>
      </c>
    </row>
    <row r="36" spans="1:49" s="824" customFormat="1">
      <c r="A36" s="818">
        <v>45291</v>
      </c>
      <c r="B36" s="819" t="s">
        <v>136</v>
      </c>
      <c r="C36" s="820">
        <v>16895</v>
      </c>
      <c r="D36" s="820">
        <v>156</v>
      </c>
      <c r="E36" s="821">
        <v>18066</v>
      </c>
      <c r="F36" s="821">
        <v>18384</v>
      </c>
      <c r="G36" s="822">
        <v>43013</v>
      </c>
      <c r="H36" s="821">
        <v>47741</v>
      </c>
      <c r="I36" s="819" t="s">
        <v>351</v>
      </c>
      <c r="J36" s="819" t="s">
        <v>351</v>
      </c>
      <c r="K36" s="819" t="s">
        <v>351</v>
      </c>
      <c r="L36" s="819" t="s">
        <v>351</v>
      </c>
      <c r="M36" s="820">
        <v>669.69057665260198</v>
      </c>
      <c r="N36" s="820">
        <v>141059</v>
      </c>
      <c r="O36" s="820">
        <v>142820</v>
      </c>
      <c r="P36" s="820">
        <v>8441</v>
      </c>
      <c r="Q36" s="820">
        <v>8269</v>
      </c>
      <c r="R36" s="820">
        <v>10148</v>
      </c>
      <c r="S36" s="820">
        <v>9416</v>
      </c>
      <c r="T36" s="820">
        <v>18118</v>
      </c>
      <c r="U36" s="820">
        <v>15949</v>
      </c>
      <c r="V36" s="820">
        <v>752</v>
      </c>
      <c r="W36" s="820">
        <v>564</v>
      </c>
      <c r="X36" s="820">
        <v>1303</v>
      </c>
      <c r="Y36" s="820">
        <v>920</v>
      </c>
      <c r="Z36" s="820">
        <v>8867</v>
      </c>
      <c r="AA36" s="820">
        <v>7028</v>
      </c>
      <c r="AB36" s="820">
        <v>364</v>
      </c>
      <c r="AC36" s="820">
        <v>664</v>
      </c>
      <c r="AD36" s="820">
        <v>859</v>
      </c>
      <c r="AE36" s="820">
        <v>851</v>
      </c>
      <c r="AF36" s="820">
        <v>24384</v>
      </c>
      <c r="AG36" s="820">
        <v>17602</v>
      </c>
      <c r="AH36" s="820">
        <v>2106</v>
      </c>
      <c r="AI36" s="820">
        <v>1938</v>
      </c>
      <c r="AJ36" s="820">
        <v>2328</v>
      </c>
      <c r="AK36" s="820">
        <v>1379</v>
      </c>
      <c r="AL36" s="820">
        <v>8208</v>
      </c>
      <c r="AM36" s="820">
        <v>7951</v>
      </c>
      <c r="AN36" s="820">
        <v>537</v>
      </c>
      <c r="AO36" s="820">
        <v>578</v>
      </c>
      <c r="AP36" s="820">
        <v>652</v>
      </c>
      <c r="AQ36" s="820">
        <v>639</v>
      </c>
      <c r="AR36" s="820">
        <v>9282</v>
      </c>
      <c r="AS36" s="820">
        <v>7218</v>
      </c>
      <c r="AT36" s="820">
        <v>279</v>
      </c>
      <c r="AU36" s="820">
        <v>249</v>
      </c>
      <c r="AV36" s="820">
        <v>779</v>
      </c>
      <c r="AW36" s="820">
        <v>409</v>
      </c>
    </row>
    <row r="37" spans="1:49" s="824" customFormat="1">
      <c r="A37" s="818">
        <v>45291</v>
      </c>
      <c r="B37" s="819" t="s">
        <v>137</v>
      </c>
      <c r="C37" s="820">
        <v>7633</v>
      </c>
      <c r="D37" s="820">
        <v>61</v>
      </c>
      <c r="E37" s="825">
        <v>7389</v>
      </c>
      <c r="F37" s="825">
        <v>7366</v>
      </c>
      <c r="G37" s="822">
        <v>16569</v>
      </c>
      <c r="H37" s="825">
        <v>18310</v>
      </c>
      <c r="I37" s="819" t="s">
        <v>351</v>
      </c>
      <c r="J37" s="819" t="s">
        <v>351</v>
      </c>
      <c r="K37" s="819" t="s">
        <v>351</v>
      </c>
      <c r="L37" s="819" t="s">
        <v>351</v>
      </c>
      <c r="M37" s="819">
        <v>445.97111640611399</v>
      </c>
      <c r="N37" s="819">
        <v>29549</v>
      </c>
      <c r="O37" s="819">
        <v>44192</v>
      </c>
      <c r="P37" s="819">
        <v>2471</v>
      </c>
      <c r="Q37" s="819">
        <v>2902</v>
      </c>
      <c r="R37" s="819">
        <v>3061</v>
      </c>
      <c r="S37" s="819">
        <v>3933</v>
      </c>
      <c r="T37" s="819">
        <v>8159</v>
      </c>
      <c r="U37" s="819">
        <v>16201</v>
      </c>
      <c r="V37" s="819">
        <v>582</v>
      </c>
      <c r="W37" s="819">
        <v>1048</v>
      </c>
      <c r="X37" s="819">
        <v>881</v>
      </c>
      <c r="Y37" s="819">
        <v>1651</v>
      </c>
      <c r="Z37" s="819">
        <v>684</v>
      </c>
      <c r="AA37" s="819">
        <v>757</v>
      </c>
      <c r="AB37" s="819">
        <v>34</v>
      </c>
      <c r="AC37" s="819">
        <v>61</v>
      </c>
      <c r="AD37" s="819">
        <v>58</v>
      </c>
      <c r="AE37" s="819">
        <v>110</v>
      </c>
      <c r="AF37" s="819">
        <v>4762</v>
      </c>
      <c r="AG37" s="819">
        <v>0</v>
      </c>
      <c r="AH37" s="819">
        <v>524</v>
      </c>
      <c r="AI37" s="819">
        <v>0</v>
      </c>
      <c r="AJ37" s="819">
        <v>508</v>
      </c>
      <c r="AK37" s="819">
        <v>0</v>
      </c>
      <c r="AL37" s="819">
        <v>6301</v>
      </c>
      <c r="AM37" s="819">
        <v>10267</v>
      </c>
      <c r="AN37" s="819">
        <v>678</v>
      </c>
      <c r="AO37" s="819">
        <v>770</v>
      </c>
      <c r="AP37" s="819">
        <v>791</v>
      </c>
      <c r="AQ37" s="819">
        <v>866</v>
      </c>
      <c r="AR37" s="819">
        <v>3992</v>
      </c>
      <c r="AS37" s="819">
        <v>5339</v>
      </c>
      <c r="AT37" s="819">
        <v>185</v>
      </c>
      <c r="AU37" s="819">
        <v>295</v>
      </c>
      <c r="AV37" s="819">
        <v>300</v>
      </c>
      <c r="AW37" s="819">
        <v>388</v>
      </c>
    </row>
    <row r="38" spans="1:49" s="824" customFormat="1">
      <c r="A38" s="818">
        <v>45291</v>
      </c>
      <c r="B38" s="819" t="s">
        <v>353</v>
      </c>
      <c r="C38" s="820">
        <v>72228</v>
      </c>
      <c r="D38" s="820">
        <v>299</v>
      </c>
      <c r="E38" s="821" t="s">
        <v>351</v>
      </c>
      <c r="F38" s="821" t="s">
        <v>351</v>
      </c>
      <c r="G38" s="822" t="s">
        <v>351</v>
      </c>
      <c r="H38" s="821" t="s">
        <v>351</v>
      </c>
      <c r="I38" s="819" t="s">
        <v>351</v>
      </c>
      <c r="J38" s="819" t="s">
        <v>351</v>
      </c>
      <c r="K38" s="819" t="s">
        <v>351</v>
      </c>
      <c r="L38" s="819" t="s">
        <v>351</v>
      </c>
      <c r="M38" s="820" t="s">
        <v>351</v>
      </c>
      <c r="N38" s="820" t="s">
        <v>351</v>
      </c>
      <c r="O38" s="820" t="s">
        <v>351</v>
      </c>
      <c r="P38" s="820" t="s">
        <v>351</v>
      </c>
      <c r="Q38" s="820" t="s">
        <v>351</v>
      </c>
      <c r="R38" s="820" t="s">
        <v>351</v>
      </c>
      <c r="S38" s="820" t="s">
        <v>351</v>
      </c>
      <c r="T38" s="820" t="s">
        <v>351</v>
      </c>
      <c r="U38" s="820" t="s">
        <v>351</v>
      </c>
      <c r="V38" s="820" t="s">
        <v>351</v>
      </c>
      <c r="W38" s="820" t="s">
        <v>351</v>
      </c>
      <c r="X38" s="820" t="s">
        <v>351</v>
      </c>
      <c r="Y38" s="820" t="s">
        <v>351</v>
      </c>
      <c r="Z38" s="820" t="s">
        <v>351</v>
      </c>
      <c r="AA38" s="820" t="s">
        <v>351</v>
      </c>
      <c r="AB38" s="820" t="s">
        <v>351</v>
      </c>
      <c r="AC38" s="820" t="s">
        <v>351</v>
      </c>
      <c r="AD38" s="820" t="s">
        <v>351</v>
      </c>
      <c r="AE38" s="820" t="s">
        <v>351</v>
      </c>
      <c r="AF38" s="820" t="s">
        <v>351</v>
      </c>
      <c r="AG38" s="820" t="s">
        <v>351</v>
      </c>
      <c r="AH38" s="820" t="s">
        <v>351</v>
      </c>
      <c r="AI38" s="820" t="s">
        <v>351</v>
      </c>
      <c r="AJ38" s="820" t="s">
        <v>351</v>
      </c>
      <c r="AK38" s="820" t="s">
        <v>351</v>
      </c>
      <c r="AL38" s="820" t="s">
        <v>351</v>
      </c>
      <c r="AM38" s="820" t="s">
        <v>351</v>
      </c>
      <c r="AN38" s="820" t="s">
        <v>351</v>
      </c>
      <c r="AO38" s="820" t="s">
        <v>351</v>
      </c>
      <c r="AP38" s="820" t="s">
        <v>351</v>
      </c>
      <c r="AQ38" s="820" t="s">
        <v>351</v>
      </c>
      <c r="AR38" s="820" t="s">
        <v>351</v>
      </c>
      <c r="AS38" s="820" t="s">
        <v>351</v>
      </c>
      <c r="AT38" s="820" t="s">
        <v>351</v>
      </c>
      <c r="AU38" s="820" t="s">
        <v>351</v>
      </c>
      <c r="AV38" s="820" t="s">
        <v>351</v>
      </c>
      <c r="AW38" s="820" t="s">
        <v>351</v>
      </c>
    </row>
    <row r="39" spans="1:49" s="824" customFormat="1">
      <c r="A39" s="818">
        <v>45291</v>
      </c>
      <c r="B39" s="819" t="s">
        <v>138</v>
      </c>
      <c r="C39" s="820">
        <v>44677</v>
      </c>
      <c r="D39" s="820">
        <v>272</v>
      </c>
      <c r="E39" s="821">
        <v>45557</v>
      </c>
      <c r="F39" s="821">
        <v>46431</v>
      </c>
      <c r="G39" s="822">
        <v>160101</v>
      </c>
      <c r="H39" s="821">
        <v>176749</v>
      </c>
      <c r="I39" s="819" t="s">
        <v>351</v>
      </c>
      <c r="J39" s="819" t="s">
        <v>351</v>
      </c>
      <c r="K39" s="819" t="s">
        <v>351</v>
      </c>
      <c r="L39" s="819" t="s">
        <v>351</v>
      </c>
      <c r="M39" s="820">
        <v>573.38692251177702</v>
      </c>
      <c r="N39" s="820">
        <v>593715</v>
      </c>
      <c r="O39" s="820">
        <v>517965</v>
      </c>
      <c r="P39" s="820">
        <v>47900</v>
      </c>
      <c r="Q39" s="820">
        <v>43233</v>
      </c>
      <c r="R39" s="820">
        <v>53839</v>
      </c>
      <c r="S39" s="820">
        <v>40903</v>
      </c>
      <c r="T39" s="820">
        <v>85102</v>
      </c>
      <c r="U39" s="820">
        <v>86540</v>
      </c>
      <c r="V39" s="820">
        <v>5652</v>
      </c>
      <c r="W39" s="820">
        <v>6941</v>
      </c>
      <c r="X39" s="820">
        <v>5671</v>
      </c>
      <c r="Y39" s="820">
        <v>7467</v>
      </c>
      <c r="Z39" s="820">
        <v>29182</v>
      </c>
      <c r="AA39" s="820">
        <v>20624</v>
      </c>
      <c r="AB39" s="820">
        <v>2743</v>
      </c>
      <c r="AC39" s="820">
        <v>2056</v>
      </c>
      <c r="AD39" s="820">
        <v>2192</v>
      </c>
      <c r="AE39" s="820">
        <v>1266</v>
      </c>
      <c r="AF39" s="820">
        <v>76788</v>
      </c>
      <c r="AG39" s="820">
        <v>32151</v>
      </c>
      <c r="AH39" s="820">
        <v>5745</v>
      </c>
      <c r="AI39" s="820">
        <v>54</v>
      </c>
      <c r="AJ39" s="820">
        <v>8780</v>
      </c>
      <c r="AK39" s="820">
        <v>73</v>
      </c>
      <c r="AL39" s="820">
        <v>98452</v>
      </c>
      <c r="AM39" s="820">
        <v>126246</v>
      </c>
      <c r="AN39" s="820">
        <v>7673</v>
      </c>
      <c r="AO39" s="820">
        <v>6631</v>
      </c>
      <c r="AP39" s="820">
        <v>8195</v>
      </c>
      <c r="AQ39" s="820">
        <v>8480</v>
      </c>
      <c r="AR39" s="820">
        <v>44755</v>
      </c>
      <c r="AS39" s="820">
        <v>47693</v>
      </c>
      <c r="AT39" s="820">
        <v>2696</v>
      </c>
      <c r="AU39" s="820">
        <v>3594</v>
      </c>
      <c r="AV39" s="820">
        <v>3245</v>
      </c>
      <c r="AW39" s="820">
        <v>4245</v>
      </c>
    </row>
    <row r="40" spans="1:49" s="824" customFormat="1">
      <c r="A40" s="818">
        <v>45291</v>
      </c>
      <c r="B40" s="819" t="s">
        <v>139</v>
      </c>
      <c r="C40" s="820">
        <v>2407</v>
      </c>
      <c r="D40" s="820">
        <v>15</v>
      </c>
      <c r="E40" s="821">
        <v>2435</v>
      </c>
      <c r="F40" s="821">
        <v>2469</v>
      </c>
      <c r="G40" s="822">
        <v>4649</v>
      </c>
      <c r="H40" s="821">
        <v>6195</v>
      </c>
      <c r="I40" s="819" t="s">
        <v>351</v>
      </c>
      <c r="J40" s="819" t="s">
        <v>351</v>
      </c>
      <c r="K40" s="819" t="s">
        <v>351</v>
      </c>
      <c r="L40" s="819" t="s">
        <v>351</v>
      </c>
      <c r="M40" s="820">
        <v>429.526879244849</v>
      </c>
      <c r="N40" s="820">
        <v>34126</v>
      </c>
      <c r="O40" s="820">
        <v>36180</v>
      </c>
      <c r="P40" s="820">
        <v>2012</v>
      </c>
      <c r="Q40" s="820">
        <v>2313</v>
      </c>
      <c r="R40" s="820">
        <v>2094</v>
      </c>
      <c r="S40" s="820">
        <v>2289</v>
      </c>
      <c r="T40" s="820">
        <v>12289</v>
      </c>
      <c r="U40" s="820">
        <v>13265</v>
      </c>
      <c r="V40" s="820">
        <v>287</v>
      </c>
      <c r="W40" s="820">
        <v>451</v>
      </c>
      <c r="X40" s="820">
        <v>472</v>
      </c>
      <c r="Y40" s="820">
        <v>625</v>
      </c>
      <c r="Z40" s="820">
        <v>264</v>
      </c>
      <c r="AA40" s="820">
        <v>226</v>
      </c>
      <c r="AB40" s="820">
        <v>24</v>
      </c>
      <c r="AC40" s="820">
        <v>12</v>
      </c>
      <c r="AD40" s="820">
        <v>17</v>
      </c>
      <c r="AE40" s="820">
        <v>18</v>
      </c>
      <c r="AF40" s="820">
        <v>4536</v>
      </c>
      <c r="AG40" s="820">
        <v>5686</v>
      </c>
      <c r="AH40" s="820">
        <v>345</v>
      </c>
      <c r="AI40" s="820">
        <v>422</v>
      </c>
      <c r="AJ40" s="820">
        <v>336</v>
      </c>
      <c r="AK40" s="820">
        <v>438</v>
      </c>
      <c r="AL40" s="820">
        <v>5080</v>
      </c>
      <c r="AM40" s="820">
        <v>4479</v>
      </c>
      <c r="AN40" s="820">
        <v>329</v>
      </c>
      <c r="AO40" s="820">
        <v>327</v>
      </c>
      <c r="AP40" s="820">
        <v>388</v>
      </c>
      <c r="AQ40" s="820">
        <v>303</v>
      </c>
      <c r="AR40" s="820">
        <v>2274</v>
      </c>
      <c r="AS40" s="820">
        <v>2628</v>
      </c>
      <c r="AT40" s="820">
        <v>129</v>
      </c>
      <c r="AU40" s="820">
        <v>140</v>
      </c>
      <c r="AV40" s="820">
        <v>167</v>
      </c>
      <c r="AW40" s="820">
        <v>214</v>
      </c>
    </row>
    <row r="41" spans="1:49" s="824" customFormat="1">
      <c r="A41" s="818">
        <v>45291</v>
      </c>
      <c r="B41" s="819" t="s">
        <v>141</v>
      </c>
      <c r="C41" s="820">
        <v>13962</v>
      </c>
      <c r="D41" s="820">
        <v>143</v>
      </c>
      <c r="E41" s="821">
        <v>14291</v>
      </c>
      <c r="F41" s="821">
        <v>15036</v>
      </c>
      <c r="G41" s="822">
        <v>45459</v>
      </c>
      <c r="H41" s="821">
        <v>52217</v>
      </c>
      <c r="I41" s="819" t="s">
        <v>351</v>
      </c>
      <c r="J41" s="819" t="s">
        <v>351</v>
      </c>
      <c r="K41" s="819" t="s">
        <v>351</v>
      </c>
      <c r="L41" s="819" t="s">
        <v>351</v>
      </c>
      <c r="M41" s="820">
        <v>507.96210917216098</v>
      </c>
      <c r="N41" s="820">
        <v>139263</v>
      </c>
      <c r="O41" s="820">
        <v>144983</v>
      </c>
      <c r="P41" s="820">
        <v>11317</v>
      </c>
      <c r="Q41" s="820">
        <v>10912</v>
      </c>
      <c r="R41" s="820">
        <v>9686</v>
      </c>
      <c r="S41" s="820">
        <v>10087</v>
      </c>
      <c r="T41" s="820">
        <v>15351</v>
      </c>
      <c r="U41" s="820">
        <v>14936</v>
      </c>
      <c r="V41" s="820">
        <v>1341</v>
      </c>
      <c r="W41" s="820">
        <v>1077</v>
      </c>
      <c r="X41" s="820">
        <v>1357</v>
      </c>
      <c r="Y41" s="820">
        <v>1261</v>
      </c>
      <c r="Z41" s="820">
        <v>7122</v>
      </c>
      <c r="AA41" s="820">
        <v>12998</v>
      </c>
      <c r="AB41" s="820">
        <v>445</v>
      </c>
      <c r="AC41" s="820">
        <v>1041</v>
      </c>
      <c r="AD41" s="820">
        <v>406</v>
      </c>
      <c r="AE41" s="820">
        <v>933</v>
      </c>
      <c r="AF41" s="820">
        <v>20616</v>
      </c>
      <c r="AG41" s="820">
        <v>0</v>
      </c>
      <c r="AH41" s="820">
        <v>2403</v>
      </c>
      <c r="AI41" s="820">
        <v>0</v>
      </c>
      <c r="AJ41" s="820">
        <v>1534</v>
      </c>
      <c r="AK41" s="820">
        <v>0</v>
      </c>
      <c r="AL41" s="820">
        <v>18901</v>
      </c>
      <c r="AM41" s="820">
        <v>25089</v>
      </c>
      <c r="AN41" s="820">
        <v>1673</v>
      </c>
      <c r="AO41" s="820">
        <v>2368</v>
      </c>
      <c r="AP41" s="820">
        <v>1659</v>
      </c>
      <c r="AQ41" s="820">
        <v>2048</v>
      </c>
      <c r="AR41" s="820">
        <v>13178</v>
      </c>
      <c r="AS41" s="820">
        <v>15309</v>
      </c>
      <c r="AT41" s="820">
        <v>1097</v>
      </c>
      <c r="AU41" s="820">
        <v>1170</v>
      </c>
      <c r="AV41" s="820">
        <v>966</v>
      </c>
      <c r="AW41" s="820">
        <v>1251</v>
      </c>
    </row>
    <row r="42" spans="1:49" s="824" customFormat="1">
      <c r="A42" s="818">
        <v>45291</v>
      </c>
      <c r="B42" s="819" t="s">
        <v>140</v>
      </c>
      <c r="C42" s="820">
        <v>2730</v>
      </c>
      <c r="D42" s="820">
        <v>3</v>
      </c>
      <c r="E42" s="826">
        <v>2730</v>
      </c>
      <c r="F42" s="826">
        <v>2929</v>
      </c>
      <c r="G42" s="827">
        <v>6465</v>
      </c>
      <c r="H42" s="826">
        <v>7524</v>
      </c>
      <c r="I42" s="819" t="s">
        <v>351</v>
      </c>
      <c r="J42" s="819" t="s">
        <v>351</v>
      </c>
      <c r="K42" s="819" t="s">
        <v>351</v>
      </c>
      <c r="L42" s="819" t="s">
        <v>351</v>
      </c>
      <c r="M42" s="819">
        <v>435.83805711522399</v>
      </c>
      <c r="N42" s="819">
        <v>35066</v>
      </c>
      <c r="O42" s="819">
        <v>31417</v>
      </c>
      <c r="P42" s="819">
        <v>3024</v>
      </c>
      <c r="Q42" s="819">
        <v>4670</v>
      </c>
      <c r="R42" s="819">
        <v>3459</v>
      </c>
      <c r="S42" s="819">
        <v>5251</v>
      </c>
      <c r="T42" s="819">
        <v>6980</v>
      </c>
      <c r="U42" s="819">
        <v>8668</v>
      </c>
      <c r="V42" s="819">
        <v>800</v>
      </c>
      <c r="W42" s="819">
        <v>416</v>
      </c>
      <c r="X42" s="819">
        <v>666</v>
      </c>
      <c r="Y42" s="819">
        <v>648</v>
      </c>
      <c r="Z42" s="819">
        <v>581</v>
      </c>
      <c r="AA42" s="819">
        <v>665</v>
      </c>
      <c r="AB42" s="819">
        <v>31</v>
      </c>
      <c r="AC42" s="819">
        <v>66</v>
      </c>
      <c r="AD42" s="819">
        <v>33</v>
      </c>
      <c r="AE42" s="819">
        <v>40</v>
      </c>
      <c r="AF42" s="819">
        <v>5639</v>
      </c>
      <c r="AG42" s="819">
        <v>3251</v>
      </c>
      <c r="AH42" s="819">
        <v>396</v>
      </c>
      <c r="AI42" s="819">
        <v>174</v>
      </c>
      <c r="AJ42" s="819">
        <v>890</v>
      </c>
      <c r="AK42" s="819">
        <v>295</v>
      </c>
      <c r="AL42" s="819">
        <v>10065</v>
      </c>
      <c r="AM42" s="819">
        <v>7967</v>
      </c>
      <c r="AN42" s="819">
        <v>812</v>
      </c>
      <c r="AO42" s="819">
        <v>2405</v>
      </c>
      <c r="AP42" s="819">
        <v>897</v>
      </c>
      <c r="AQ42" s="819">
        <v>2480</v>
      </c>
      <c r="AR42" s="819">
        <v>2808</v>
      </c>
      <c r="AS42" s="819">
        <v>2790</v>
      </c>
      <c r="AT42" s="819">
        <v>150</v>
      </c>
      <c r="AU42" s="819">
        <v>143</v>
      </c>
      <c r="AV42" s="819">
        <v>210</v>
      </c>
      <c r="AW42" s="819">
        <v>281</v>
      </c>
    </row>
    <row r="43" spans="1:49">
      <c r="A43" s="586">
        <v>45291</v>
      </c>
      <c r="B43" s="587" t="s">
        <v>354</v>
      </c>
      <c r="C43" s="588">
        <v>16</v>
      </c>
      <c r="D43" s="588">
        <v>0</v>
      </c>
      <c r="E43" s="589" t="s">
        <v>351</v>
      </c>
      <c r="F43" s="589" t="s">
        <v>351</v>
      </c>
      <c r="G43" s="589" t="s">
        <v>351</v>
      </c>
      <c r="H43" s="589" t="s">
        <v>351</v>
      </c>
      <c r="I43" t="s">
        <v>351</v>
      </c>
      <c r="J43" t="s">
        <v>351</v>
      </c>
      <c r="K43" t="s">
        <v>351</v>
      </c>
      <c r="L43" t="s">
        <v>351</v>
      </c>
      <c r="M43" t="s">
        <v>351</v>
      </c>
      <c r="N43" t="s">
        <v>351</v>
      </c>
      <c r="O43" t="s">
        <v>351</v>
      </c>
      <c r="P43" t="s">
        <v>351</v>
      </c>
      <c r="Q43" t="s">
        <v>351</v>
      </c>
      <c r="R43" t="s">
        <v>351</v>
      </c>
      <c r="S43" t="s">
        <v>351</v>
      </c>
      <c r="T43" t="s">
        <v>351</v>
      </c>
      <c r="U43" t="s">
        <v>351</v>
      </c>
      <c r="V43" t="s">
        <v>351</v>
      </c>
      <c r="W43" t="s">
        <v>351</v>
      </c>
      <c r="X43" t="s">
        <v>351</v>
      </c>
      <c r="Y43" t="s">
        <v>351</v>
      </c>
      <c r="Z43" t="s">
        <v>351</v>
      </c>
      <c r="AA43" t="s">
        <v>351</v>
      </c>
      <c r="AB43" t="s">
        <v>351</v>
      </c>
      <c r="AC43" t="s">
        <v>351</v>
      </c>
      <c r="AD43" t="s">
        <v>351</v>
      </c>
      <c r="AE43" t="s">
        <v>351</v>
      </c>
      <c r="AF43" t="s">
        <v>351</v>
      </c>
      <c r="AG43" t="s">
        <v>351</v>
      </c>
      <c r="AH43" t="s">
        <v>351</v>
      </c>
      <c r="AI43" t="s">
        <v>351</v>
      </c>
      <c r="AJ43" t="s">
        <v>351</v>
      </c>
      <c r="AK43" t="s">
        <v>351</v>
      </c>
      <c r="AL43" t="s">
        <v>351</v>
      </c>
      <c r="AM43" t="s">
        <v>351</v>
      </c>
      <c r="AN43" t="s">
        <v>351</v>
      </c>
      <c r="AO43" t="s">
        <v>351</v>
      </c>
      <c r="AP43" t="s">
        <v>351</v>
      </c>
      <c r="AQ43" t="s">
        <v>351</v>
      </c>
      <c r="AR43" t="s">
        <v>351</v>
      </c>
      <c r="AS43" t="s">
        <v>351</v>
      </c>
      <c r="AT43" t="s">
        <v>351</v>
      </c>
      <c r="AU43" t="s">
        <v>351</v>
      </c>
      <c r="AV43" t="s">
        <v>351</v>
      </c>
      <c r="AW43" t="s">
        <v>351</v>
      </c>
    </row>
    <row r="44" spans="1:49">
      <c r="A44" s="586">
        <v>45260</v>
      </c>
      <c r="B44" s="587" t="s">
        <v>124</v>
      </c>
      <c r="C44" s="588">
        <v>2529</v>
      </c>
      <c r="D44" s="588">
        <v>76</v>
      </c>
      <c r="E44" s="589">
        <v>2523</v>
      </c>
      <c r="F44" s="589">
        <v>2330</v>
      </c>
      <c r="G44" s="589">
        <v>6619</v>
      </c>
      <c r="H44" s="589">
        <v>6893</v>
      </c>
    </row>
    <row r="45" spans="1:49">
      <c r="A45" s="586">
        <v>45260</v>
      </c>
      <c r="B45" s="587" t="s">
        <v>131</v>
      </c>
      <c r="C45" s="588">
        <v>53136</v>
      </c>
      <c r="D45" s="588">
        <v>309</v>
      </c>
      <c r="E45" s="589">
        <v>51594</v>
      </c>
      <c r="F45" s="589">
        <v>51481</v>
      </c>
      <c r="G45" s="589">
        <v>185247</v>
      </c>
      <c r="H45" s="589">
        <v>197647</v>
      </c>
    </row>
    <row r="46" spans="1:49">
      <c r="A46" s="586">
        <v>45260</v>
      </c>
      <c r="B46" s="587" t="s">
        <v>132</v>
      </c>
      <c r="C46" s="588">
        <v>21769</v>
      </c>
      <c r="D46" s="588">
        <v>39</v>
      </c>
      <c r="E46" s="589">
        <v>20894</v>
      </c>
      <c r="F46" s="589">
        <v>22213</v>
      </c>
      <c r="G46" s="589">
        <v>74385</v>
      </c>
      <c r="H46" s="589">
        <v>93317</v>
      </c>
    </row>
    <row r="47" spans="1:49">
      <c r="A47" s="586">
        <v>45260</v>
      </c>
      <c r="B47" s="587" t="s">
        <v>135</v>
      </c>
      <c r="C47" s="588">
        <v>3736</v>
      </c>
      <c r="D47" s="588">
        <v>11</v>
      </c>
      <c r="E47" s="589">
        <v>4023</v>
      </c>
      <c r="F47" s="589">
        <v>4475</v>
      </c>
      <c r="G47" s="589">
        <v>19891</v>
      </c>
      <c r="H47" s="589">
        <v>24970</v>
      </c>
      <c r="I47" s="338"/>
      <c r="J47" s="338"/>
      <c r="K47" s="338"/>
      <c r="L47" s="338"/>
      <c r="M47" s="338"/>
      <c r="N47" s="338"/>
      <c r="O47" s="338"/>
      <c r="P47" s="338"/>
      <c r="Q47" s="338"/>
      <c r="R47" s="338"/>
      <c r="S47" s="338"/>
      <c r="T47" s="338"/>
      <c r="U47" s="338"/>
      <c r="V47" s="338"/>
      <c r="W47" s="338"/>
      <c r="X47" s="338"/>
      <c r="Y47" s="338"/>
      <c r="Z47" s="338"/>
      <c r="AA47" s="338"/>
      <c r="AB47" s="338"/>
      <c r="AC47" s="338"/>
      <c r="AD47" s="338"/>
      <c r="AE47" s="338"/>
      <c r="AF47" s="338"/>
      <c r="AG47" s="338"/>
      <c r="AH47" s="338"/>
      <c r="AI47" s="338"/>
      <c r="AJ47" s="338"/>
      <c r="AK47" s="338"/>
      <c r="AL47" s="338"/>
      <c r="AM47" s="338"/>
      <c r="AN47" s="338"/>
      <c r="AO47" s="338"/>
      <c r="AP47" s="338"/>
      <c r="AQ47" s="338"/>
      <c r="AR47" s="338"/>
      <c r="AS47" s="338"/>
      <c r="AT47" s="338"/>
      <c r="AU47" s="338"/>
      <c r="AV47" s="338"/>
      <c r="AW47" s="338"/>
    </row>
    <row r="48" spans="1:49">
      <c r="A48" s="586">
        <v>45260</v>
      </c>
      <c r="B48" s="587" t="s">
        <v>352</v>
      </c>
      <c r="C48" s="588">
        <v>55531</v>
      </c>
      <c r="D48" s="588">
        <v>98</v>
      </c>
      <c r="E48" s="590" t="s">
        <v>351</v>
      </c>
      <c r="F48" s="590" t="s">
        <v>351</v>
      </c>
      <c r="G48" s="590" t="s">
        <v>351</v>
      </c>
      <c r="H48" s="590" t="s">
        <v>351</v>
      </c>
      <c r="I48" s="339"/>
      <c r="J48" s="339"/>
      <c r="K48" s="339"/>
      <c r="L48" s="339"/>
      <c r="M48" s="339"/>
      <c r="N48" s="338"/>
      <c r="O48" s="338"/>
      <c r="P48" s="338"/>
      <c r="Q48" s="338"/>
      <c r="R48" s="338"/>
      <c r="S48" s="338"/>
      <c r="T48" s="338"/>
      <c r="U48" s="338"/>
      <c r="V48" s="338"/>
      <c r="W48" s="338"/>
      <c r="X48" s="338"/>
      <c r="Y48" s="338"/>
      <c r="Z48" s="338"/>
      <c r="AA48" s="338"/>
      <c r="AB48" s="338"/>
      <c r="AC48" s="338"/>
      <c r="AD48" s="338"/>
      <c r="AE48" s="338"/>
      <c r="AF48" s="338"/>
      <c r="AG48" s="338"/>
      <c r="AH48" s="338"/>
      <c r="AI48" s="338"/>
      <c r="AJ48" s="338"/>
      <c r="AK48" s="338"/>
      <c r="AL48" s="338"/>
      <c r="AM48" s="338"/>
      <c r="AN48" s="338"/>
      <c r="AO48" s="338"/>
      <c r="AP48" s="338"/>
      <c r="AQ48" s="338"/>
      <c r="AR48" s="338"/>
      <c r="AS48" s="338"/>
      <c r="AT48" s="338"/>
      <c r="AU48" s="338"/>
      <c r="AV48" s="338"/>
      <c r="AW48" s="338"/>
    </row>
    <row r="49" spans="1:75">
      <c r="A49" s="586">
        <v>45260</v>
      </c>
      <c r="B49" s="587" t="s">
        <v>136</v>
      </c>
      <c r="C49" s="588">
        <v>16278</v>
      </c>
      <c r="D49" s="588">
        <v>167</v>
      </c>
      <c r="E49" s="589">
        <v>16654</v>
      </c>
      <c r="F49" s="589">
        <v>17173</v>
      </c>
      <c r="G49" s="589">
        <v>39256</v>
      </c>
      <c r="H49" s="589">
        <v>44343</v>
      </c>
      <c r="I49" s="339"/>
      <c r="J49" s="339"/>
      <c r="K49" s="339"/>
      <c r="L49" s="339"/>
      <c r="M49" s="339"/>
      <c r="N49" s="338"/>
      <c r="O49" s="338"/>
      <c r="P49" s="338"/>
      <c r="Q49" s="338"/>
      <c r="R49" s="338"/>
      <c r="S49" s="338"/>
      <c r="T49" s="338"/>
      <c r="U49" s="338"/>
      <c r="V49" s="338"/>
      <c r="W49" s="338"/>
      <c r="X49" s="338"/>
      <c r="Y49" s="338"/>
      <c r="Z49" s="338"/>
      <c r="AA49" s="338"/>
      <c r="AB49" s="338"/>
      <c r="AC49" s="338"/>
      <c r="AD49" s="338"/>
      <c r="AE49" s="338"/>
      <c r="AF49" s="338"/>
      <c r="AG49" s="338"/>
      <c r="AH49" s="338"/>
      <c r="AI49" s="338"/>
      <c r="AJ49" s="338"/>
      <c r="AK49" s="338"/>
      <c r="AL49" s="338"/>
      <c r="AM49" s="338"/>
      <c r="AN49" s="338"/>
      <c r="AO49" s="338"/>
      <c r="AP49" s="338"/>
      <c r="AQ49" s="338"/>
      <c r="AR49" s="338"/>
      <c r="AS49" s="338"/>
      <c r="AT49" s="338"/>
      <c r="AU49" s="338"/>
      <c r="AV49" s="338"/>
      <c r="AW49" s="338"/>
      <c r="BJ49" s="340" t="s">
        <v>414</v>
      </c>
      <c r="BK49" s="338" t="s">
        <v>303</v>
      </c>
      <c r="BL49" s="339" t="s">
        <v>415</v>
      </c>
      <c r="BM49" s="339" t="s">
        <v>416</v>
      </c>
      <c r="BN49" s="339" t="s">
        <v>314</v>
      </c>
      <c r="BO49" s="339"/>
    </row>
    <row r="50" spans="1:75">
      <c r="A50" s="586">
        <v>45260</v>
      </c>
      <c r="B50" s="587" t="s">
        <v>137</v>
      </c>
      <c r="C50" s="588">
        <v>7421</v>
      </c>
      <c r="D50" s="588">
        <v>66</v>
      </c>
      <c r="E50" s="589">
        <v>7068</v>
      </c>
      <c r="F50" s="589">
        <v>7072</v>
      </c>
      <c r="G50" s="589">
        <v>15880</v>
      </c>
      <c r="H50" s="589">
        <v>17645</v>
      </c>
      <c r="I50" s="339"/>
      <c r="J50" s="339"/>
      <c r="K50" s="339"/>
      <c r="L50" s="339"/>
      <c r="M50" s="339"/>
      <c r="N50" s="338"/>
      <c r="O50" s="338"/>
      <c r="P50" s="338"/>
      <c r="Q50" s="338"/>
      <c r="R50" s="338"/>
      <c r="S50" s="338"/>
      <c r="T50" s="338"/>
      <c r="U50" s="338"/>
      <c r="V50" s="338"/>
      <c r="W50" s="338"/>
      <c r="X50" s="338"/>
      <c r="Y50" s="338"/>
      <c r="Z50" s="338"/>
      <c r="AA50" s="338"/>
      <c r="AB50" s="338"/>
      <c r="AC50" s="338"/>
      <c r="AD50" s="338"/>
      <c r="AE50" s="338"/>
      <c r="AF50" s="338"/>
      <c r="AG50" s="338"/>
      <c r="AH50" s="338"/>
      <c r="AI50" s="338"/>
      <c r="AJ50" s="338"/>
      <c r="AK50" s="338"/>
      <c r="AL50" s="338"/>
      <c r="AM50" s="338"/>
      <c r="AN50" s="338"/>
      <c r="AO50" s="338"/>
      <c r="AP50" s="338"/>
      <c r="AQ50" s="338"/>
      <c r="AR50" s="338"/>
      <c r="AS50" s="338"/>
      <c r="AT50" s="338"/>
      <c r="AU50" s="338"/>
      <c r="AV50" s="338"/>
      <c r="AW50" s="338"/>
      <c r="BJ50" s="340">
        <v>44926</v>
      </c>
      <c r="BK50" s="338" t="s">
        <v>123</v>
      </c>
      <c r="BL50" s="339">
        <v>125669</v>
      </c>
      <c r="BM50" s="339">
        <v>21122</v>
      </c>
      <c r="BN50" s="339">
        <v>594.96733263895499</v>
      </c>
      <c r="BO50" s="339" t="s">
        <v>62</v>
      </c>
    </row>
    <row r="51" spans="1:75">
      <c r="A51" s="586">
        <v>45260</v>
      </c>
      <c r="B51" s="587" t="s">
        <v>353</v>
      </c>
      <c r="C51" s="588">
        <v>66118</v>
      </c>
      <c r="D51" s="588">
        <v>304</v>
      </c>
      <c r="E51" s="590" t="s">
        <v>351</v>
      </c>
      <c r="F51" s="590" t="s">
        <v>351</v>
      </c>
      <c r="G51" s="590" t="s">
        <v>351</v>
      </c>
      <c r="H51" s="590" t="s">
        <v>351</v>
      </c>
      <c r="I51" s="339"/>
      <c r="J51" s="339"/>
      <c r="K51" s="339"/>
      <c r="L51" s="339"/>
      <c r="M51" s="339"/>
      <c r="N51" s="338"/>
      <c r="O51" s="338"/>
      <c r="P51" s="338"/>
      <c r="Q51" s="338"/>
      <c r="R51" s="338"/>
      <c r="S51" s="338"/>
      <c r="T51" s="338"/>
      <c r="U51" s="338"/>
      <c r="V51" s="338"/>
      <c r="W51" s="338"/>
      <c r="X51" s="338"/>
      <c r="Y51" s="338"/>
      <c r="Z51" s="338"/>
      <c r="AA51" s="338"/>
      <c r="AB51" s="338"/>
      <c r="AC51" s="338"/>
      <c r="AD51" s="338"/>
      <c r="AE51" s="338"/>
      <c r="AF51" s="338"/>
      <c r="AG51" s="338"/>
      <c r="AH51" s="338"/>
      <c r="AI51" s="338"/>
      <c r="AJ51" s="338"/>
      <c r="AK51" s="338"/>
      <c r="AL51" s="338"/>
      <c r="AM51" s="338"/>
      <c r="AN51" s="338"/>
      <c r="AO51" s="338"/>
      <c r="AP51" s="338"/>
      <c r="AQ51" s="338"/>
      <c r="AR51" s="338"/>
      <c r="AS51" s="338"/>
      <c r="AT51" s="338"/>
      <c r="AU51" s="338"/>
      <c r="AV51" s="338"/>
      <c r="AW51" s="338"/>
      <c r="BJ51" s="340">
        <v>44926</v>
      </c>
      <c r="BK51" s="338" t="s">
        <v>124</v>
      </c>
      <c r="BL51" s="339">
        <v>371064</v>
      </c>
      <c r="BM51" s="339">
        <v>68468</v>
      </c>
      <c r="BN51" s="339">
        <v>541.95244493778102</v>
      </c>
      <c r="BO51" s="339" t="s">
        <v>62</v>
      </c>
    </row>
    <row r="52" spans="1:75">
      <c r="A52" s="586">
        <v>45260</v>
      </c>
      <c r="B52" s="587" t="s">
        <v>138</v>
      </c>
      <c r="C52" s="588">
        <v>41988</v>
      </c>
      <c r="D52" s="588">
        <v>270</v>
      </c>
      <c r="E52" s="589">
        <v>42318</v>
      </c>
      <c r="F52" s="589">
        <v>42480</v>
      </c>
      <c r="G52" s="589">
        <v>148099</v>
      </c>
      <c r="H52" s="589">
        <v>161372</v>
      </c>
      <c r="I52" s="339"/>
      <c r="J52" s="339"/>
      <c r="K52" s="339"/>
      <c r="L52" s="339"/>
      <c r="M52" s="339"/>
      <c r="N52" s="338"/>
      <c r="O52" s="338"/>
      <c r="P52" s="338"/>
      <c r="Q52" s="338"/>
      <c r="R52" s="338"/>
      <c r="S52" s="338"/>
      <c r="T52" s="338"/>
      <c r="U52" s="338"/>
      <c r="V52" s="338"/>
      <c r="W52" s="338"/>
      <c r="X52" s="338"/>
      <c r="Y52" s="338"/>
      <c r="Z52" s="338"/>
      <c r="AA52" s="338"/>
      <c r="AB52" s="338"/>
      <c r="AC52" s="338"/>
      <c r="AD52" s="338"/>
      <c r="AE52" s="338"/>
      <c r="AF52" s="338"/>
      <c r="AG52" s="338"/>
      <c r="AH52" s="338"/>
      <c r="AI52" s="338"/>
      <c r="AJ52" s="338"/>
      <c r="AK52" s="338"/>
      <c r="AL52" s="338"/>
      <c r="AM52" s="338"/>
      <c r="AN52" s="338"/>
      <c r="AO52" s="338"/>
      <c r="AP52" s="338"/>
      <c r="AQ52" s="338"/>
      <c r="AR52" s="338"/>
      <c r="AS52" s="338"/>
      <c r="AT52" s="338"/>
      <c r="AU52" s="338"/>
      <c r="AV52" s="338"/>
      <c r="AW52" s="338"/>
      <c r="BJ52" s="340">
        <v>44926</v>
      </c>
      <c r="BK52" s="338" t="s">
        <v>131</v>
      </c>
      <c r="BL52" s="339">
        <v>2273565</v>
      </c>
      <c r="BM52" s="339">
        <v>359441</v>
      </c>
      <c r="BN52" s="339">
        <v>632.52800876917195</v>
      </c>
      <c r="BO52" s="339" t="s">
        <v>62</v>
      </c>
    </row>
    <row r="53" spans="1:75">
      <c r="A53" s="586">
        <v>45260</v>
      </c>
      <c r="B53" s="587" t="s">
        <v>139</v>
      </c>
      <c r="C53" s="588">
        <v>2260</v>
      </c>
      <c r="D53" s="588">
        <v>18</v>
      </c>
      <c r="E53" s="589">
        <v>2251</v>
      </c>
      <c r="F53" s="589">
        <v>2292</v>
      </c>
      <c r="G53" s="589">
        <v>4285</v>
      </c>
      <c r="H53" s="589">
        <v>5836</v>
      </c>
      <c r="I53" s="338"/>
      <c r="J53" s="338"/>
      <c r="K53" s="338"/>
      <c r="L53" s="338"/>
      <c r="M53" s="338"/>
      <c r="N53" s="338"/>
      <c r="O53" s="338"/>
      <c r="P53" s="338"/>
      <c r="Q53" s="338"/>
      <c r="R53" s="338"/>
      <c r="S53" s="338"/>
      <c r="T53" s="338"/>
      <c r="U53" s="338"/>
      <c r="V53" s="338"/>
      <c r="W53" s="338"/>
      <c r="X53" s="338"/>
      <c r="Y53" s="338"/>
      <c r="Z53" s="338"/>
      <c r="AA53" s="338"/>
      <c r="AB53" s="338"/>
      <c r="AC53" s="338"/>
      <c r="AD53" s="338"/>
      <c r="AE53" s="338"/>
      <c r="AF53" s="338"/>
      <c r="AG53" s="338"/>
      <c r="AH53" s="338"/>
      <c r="AI53" s="338"/>
      <c r="AJ53" s="338"/>
      <c r="AK53" s="338"/>
      <c r="AL53" s="338"/>
      <c r="AM53" s="338"/>
      <c r="AN53" s="338"/>
      <c r="AO53" s="338"/>
      <c r="AP53" s="338"/>
      <c r="AQ53" s="338"/>
      <c r="AR53" s="338"/>
      <c r="AS53" s="338"/>
      <c r="AT53" s="338"/>
      <c r="AU53" s="338"/>
      <c r="AV53" s="338"/>
      <c r="AW53" s="338"/>
      <c r="BJ53" s="340">
        <v>44926</v>
      </c>
      <c r="BK53" s="338" t="s">
        <v>132</v>
      </c>
      <c r="BL53" s="339">
        <v>960180</v>
      </c>
      <c r="BM53" s="339">
        <v>171850</v>
      </c>
      <c r="BN53" s="338">
        <v>558.73145184754196</v>
      </c>
      <c r="BO53" s="339" t="s">
        <v>417</v>
      </c>
    </row>
    <row r="54" spans="1:75">
      <c r="A54" s="586">
        <v>45260</v>
      </c>
      <c r="B54" s="587" t="s">
        <v>141</v>
      </c>
      <c r="C54" s="588">
        <v>12872</v>
      </c>
      <c r="D54" s="588">
        <v>142</v>
      </c>
      <c r="E54" s="589">
        <v>13345</v>
      </c>
      <c r="F54" s="589">
        <v>14217</v>
      </c>
      <c r="G54" s="589">
        <v>42131</v>
      </c>
      <c r="H54" s="589">
        <v>49422</v>
      </c>
      <c r="I54" s="339"/>
      <c r="J54" s="339"/>
      <c r="K54" s="339"/>
      <c r="L54" s="339"/>
      <c r="M54" s="339"/>
      <c r="N54" s="338"/>
      <c r="O54" s="338"/>
      <c r="P54" s="338"/>
      <c r="Q54" s="338"/>
      <c r="R54" s="338"/>
      <c r="S54" s="338"/>
      <c r="T54" s="338"/>
      <c r="U54" s="338"/>
      <c r="V54" s="338"/>
      <c r="W54" s="338"/>
      <c r="X54" s="338"/>
      <c r="Y54" s="338"/>
      <c r="Z54" s="338"/>
      <c r="AA54" s="338"/>
      <c r="AB54" s="338"/>
      <c r="AC54" s="338"/>
      <c r="AD54" s="338"/>
      <c r="AE54" s="338"/>
      <c r="AF54" s="338"/>
      <c r="AG54" s="338"/>
      <c r="AH54" s="338"/>
      <c r="AI54" s="338"/>
      <c r="AJ54" s="338"/>
      <c r="AK54" s="338"/>
      <c r="AL54" s="338"/>
      <c r="AM54" s="338"/>
      <c r="AN54" s="338"/>
      <c r="AO54" s="338"/>
      <c r="AP54" s="338"/>
      <c r="AQ54" s="338"/>
      <c r="AR54" s="338"/>
      <c r="AS54" s="338"/>
      <c r="AT54" s="338"/>
      <c r="AU54" s="338"/>
      <c r="AV54" s="338"/>
      <c r="AW54" s="338"/>
      <c r="BJ54" s="340">
        <v>44926</v>
      </c>
      <c r="BK54" s="338" t="s">
        <v>135</v>
      </c>
      <c r="BL54" s="339">
        <v>109594</v>
      </c>
      <c r="BM54" s="339">
        <v>21241</v>
      </c>
      <c r="BN54" s="339">
        <v>515.95499270279197</v>
      </c>
      <c r="BO54" s="339" t="s">
        <v>417</v>
      </c>
    </row>
    <row r="55" spans="1:75">
      <c r="A55" s="586">
        <v>45260</v>
      </c>
      <c r="B55" s="587" t="s">
        <v>140</v>
      </c>
      <c r="C55" s="588">
        <v>2572</v>
      </c>
      <c r="D55" s="588">
        <v>4</v>
      </c>
      <c r="E55" s="589">
        <v>2515</v>
      </c>
      <c r="F55" s="589">
        <v>2790</v>
      </c>
      <c r="G55" s="589">
        <v>5614</v>
      </c>
      <c r="H55" s="589">
        <v>7115</v>
      </c>
      <c r="I55" s="339"/>
      <c r="J55" s="339"/>
      <c r="K55" s="339"/>
      <c r="L55" s="339"/>
      <c r="M55" s="339"/>
      <c r="N55" s="338"/>
      <c r="O55" s="338"/>
      <c r="P55" s="338"/>
      <c r="Q55" s="338"/>
      <c r="R55" s="338"/>
      <c r="S55" s="338"/>
      <c r="T55" s="338"/>
      <c r="U55" s="338"/>
      <c r="V55" s="338"/>
      <c r="W55" s="338"/>
      <c r="X55" s="338"/>
      <c r="Y55" s="338"/>
      <c r="Z55" s="338"/>
      <c r="AA55" s="338"/>
      <c r="AB55" s="338"/>
      <c r="AC55" s="338"/>
      <c r="AD55" s="338"/>
      <c r="AE55" s="338"/>
      <c r="AF55" s="338"/>
      <c r="AG55" s="338"/>
      <c r="AH55" s="338"/>
      <c r="AI55" s="338"/>
      <c r="AJ55" s="338"/>
      <c r="AK55" s="338"/>
      <c r="AL55" s="338"/>
      <c r="AM55" s="338"/>
      <c r="AN55" s="338"/>
      <c r="AO55" s="338"/>
      <c r="AP55" s="338"/>
      <c r="AQ55" s="338"/>
      <c r="AR55" s="338"/>
      <c r="AS55" s="338"/>
      <c r="AT55" s="338"/>
      <c r="AU55" s="338"/>
      <c r="AV55" s="338"/>
      <c r="AW55" s="338"/>
      <c r="BJ55" s="340">
        <v>44926</v>
      </c>
      <c r="BK55" s="338" t="s">
        <v>136</v>
      </c>
      <c r="BL55" s="339">
        <v>584363</v>
      </c>
      <c r="BM55" s="339">
        <v>138401</v>
      </c>
      <c r="BN55" s="339">
        <v>422.22455040064699</v>
      </c>
      <c r="BO55" s="339" t="s">
        <v>62</v>
      </c>
    </row>
    <row r="56" spans="1:75">
      <c r="A56" s="586">
        <v>45260</v>
      </c>
      <c r="B56" s="587" t="s">
        <v>354</v>
      </c>
      <c r="C56" s="588">
        <v>16</v>
      </c>
      <c r="D56" s="588">
        <v>0</v>
      </c>
      <c r="E56" s="591"/>
      <c r="F56" s="591"/>
      <c r="G56" s="591"/>
      <c r="H56" s="591"/>
      <c r="I56" s="338"/>
      <c r="J56" s="338"/>
      <c r="K56" s="338"/>
      <c r="L56" s="338"/>
      <c r="M56" s="338"/>
      <c r="N56" s="338"/>
      <c r="O56" s="338"/>
      <c r="P56" s="338"/>
      <c r="Q56" s="338"/>
      <c r="R56" s="338"/>
      <c r="S56" s="338"/>
      <c r="T56" s="338"/>
      <c r="U56" s="338"/>
      <c r="V56" s="338"/>
      <c r="W56" s="338"/>
      <c r="X56" s="338"/>
      <c r="Y56" s="338"/>
      <c r="Z56" s="338"/>
      <c r="AA56" s="338"/>
      <c r="AB56" s="338"/>
      <c r="AC56" s="338"/>
      <c r="AD56" s="338"/>
      <c r="AE56" s="338"/>
      <c r="AF56" s="338"/>
      <c r="AG56" s="338"/>
      <c r="AH56" s="338"/>
      <c r="AI56" s="338"/>
      <c r="AJ56" s="338"/>
      <c r="AK56" s="338"/>
      <c r="AL56" s="338"/>
      <c r="AM56" s="338"/>
      <c r="AN56" s="338"/>
      <c r="AO56" s="338"/>
      <c r="AP56" s="338"/>
      <c r="AQ56" s="338"/>
      <c r="AR56" s="338"/>
      <c r="AS56" s="338"/>
      <c r="AT56" s="338"/>
      <c r="AU56" s="338"/>
      <c r="AV56" s="338"/>
      <c r="AW56" s="338"/>
      <c r="BJ56" s="340">
        <v>44926</v>
      </c>
      <c r="BK56" s="338" t="s">
        <v>137</v>
      </c>
      <c r="BL56" s="339">
        <v>272958</v>
      </c>
      <c r="BM56" s="339">
        <v>69844</v>
      </c>
      <c r="BN56" s="338">
        <v>390.81095011740501</v>
      </c>
      <c r="BO56" s="339" t="s">
        <v>62</v>
      </c>
    </row>
    <row r="57" spans="1:75">
      <c r="E57" s="451"/>
      <c r="F57" s="451" t="s">
        <v>351</v>
      </c>
      <c r="G57" s="339" t="s">
        <v>351</v>
      </c>
      <c r="H57" s="339" t="s">
        <v>351</v>
      </c>
      <c r="I57" s="339"/>
      <c r="J57" s="339"/>
      <c r="K57" s="339"/>
      <c r="L57" s="339"/>
      <c r="M57" s="339"/>
      <c r="N57" s="338"/>
      <c r="O57" s="338"/>
      <c r="P57" s="338"/>
      <c r="Q57" s="338"/>
      <c r="R57" s="338"/>
      <c r="S57" s="338"/>
      <c r="T57" s="338"/>
      <c r="U57" s="338"/>
      <c r="V57" s="338"/>
      <c r="W57" s="338"/>
      <c r="X57" s="338"/>
      <c r="Y57" s="338"/>
      <c r="Z57" s="338"/>
      <c r="AA57" s="338"/>
      <c r="AB57" s="338"/>
      <c r="AC57" s="338"/>
      <c r="AD57" s="338"/>
      <c r="AE57" s="338"/>
      <c r="AF57" s="338"/>
      <c r="AG57" s="338"/>
      <c r="AH57" s="338"/>
      <c r="AI57" s="338"/>
      <c r="AJ57" s="338"/>
      <c r="AK57" s="338"/>
      <c r="AL57" s="338"/>
      <c r="AM57" s="338"/>
      <c r="AN57" s="338"/>
      <c r="AO57" s="338"/>
      <c r="AP57" s="338"/>
      <c r="AQ57" s="338"/>
      <c r="AR57" s="338"/>
      <c r="AS57" s="338"/>
      <c r="AT57" s="338"/>
      <c r="AU57" s="338"/>
      <c r="AV57" s="338"/>
      <c r="AW57" s="338"/>
      <c r="BJ57" s="340">
        <v>44926</v>
      </c>
      <c r="BK57" s="338" t="s">
        <v>139</v>
      </c>
      <c r="BL57" s="339">
        <v>81861</v>
      </c>
      <c r="BM57" s="339">
        <v>25678</v>
      </c>
      <c r="BN57" s="339">
        <v>318.79819300568602</v>
      </c>
      <c r="BO57" s="339" t="s">
        <v>62</v>
      </c>
    </row>
    <row r="58" spans="1:75">
      <c r="E58" s="451"/>
      <c r="F58" s="451"/>
      <c r="G58" s="339"/>
      <c r="H58" s="339"/>
      <c r="I58" s="339"/>
      <c r="J58" s="339"/>
      <c r="K58" s="339"/>
      <c r="L58" s="339"/>
      <c r="M58" s="339"/>
      <c r="N58" s="338"/>
      <c r="O58" s="338"/>
      <c r="P58" s="338"/>
      <c r="Q58" s="338"/>
      <c r="R58" s="338"/>
      <c r="S58" s="338"/>
      <c r="T58" s="338"/>
      <c r="U58" s="338"/>
      <c r="V58" s="338"/>
      <c r="W58" s="338"/>
      <c r="X58" s="338"/>
      <c r="Y58" s="338"/>
      <c r="Z58" s="338"/>
      <c r="AA58" s="338"/>
      <c r="AB58" s="338"/>
      <c r="AC58" s="338"/>
      <c r="AD58" s="338"/>
      <c r="AE58" s="338"/>
      <c r="AF58" s="338"/>
      <c r="AG58" s="338"/>
      <c r="AH58" s="338"/>
      <c r="AI58" s="338"/>
      <c r="AJ58" s="338"/>
      <c r="AK58" s="338"/>
      <c r="AL58" s="338"/>
      <c r="AM58" s="338"/>
      <c r="AN58" s="338"/>
      <c r="AO58" s="338"/>
      <c r="AP58" s="338"/>
      <c r="AQ58" s="338"/>
      <c r="AR58" s="338"/>
      <c r="AS58" s="338"/>
      <c r="AT58" s="338"/>
      <c r="AU58" s="338"/>
      <c r="AV58" s="338"/>
      <c r="AW58" s="338"/>
      <c r="BJ58" s="340">
        <v>44926</v>
      </c>
      <c r="BK58" s="338" t="s">
        <v>141</v>
      </c>
      <c r="BL58" s="339">
        <v>522655</v>
      </c>
      <c r="BM58" s="339">
        <v>128344</v>
      </c>
      <c r="BN58" s="339">
        <v>407.22978869288801</v>
      </c>
      <c r="BO58" s="339" t="s">
        <v>62</v>
      </c>
    </row>
    <row r="59" spans="1:75">
      <c r="A59" s="339"/>
      <c r="B59" s="339"/>
      <c r="C59" s="339"/>
      <c r="D59" s="339"/>
      <c r="E59" s="451"/>
      <c r="F59" s="451"/>
      <c r="G59" s="339"/>
      <c r="H59" s="339"/>
      <c r="I59" s="339"/>
      <c r="J59" s="339"/>
      <c r="K59" s="339"/>
      <c r="L59" s="339"/>
      <c r="M59" s="339"/>
      <c r="N59" s="338"/>
      <c r="O59" s="338"/>
      <c r="P59" s="338"/>
      <c r="Q59" s="338"/>
      <c r="R59" s="338"/>
      <c r="S59" s="338"/>
      <c r="T59" s="338"/>
      <c r="U59" s="338"/>
      <c r="V59" s="338"/>
      <c r="W59" s="338"/>
      <c r="X59" s="338"/>
      <c r="Y59" s="338"/>
      <c r="Z59" s="338"/>
      <c r="AA59" s="338"/>
      <c r="AB59" s="338"/>
      <c r="AC59" s="338"/>
      <c r="AD59" s="338"/>
      <c r="AE59" s="338"/>
      <c r="AF59" s="338"/>
      <c r="AG59" s="338"/>
      <c r="AH59" s="338"/>
      <c r="AI59" s="338"/>
      <c r="AJ59" s="338"/>
      <c r="AK59" s="338"/>
      <c r="AL59" s="338"/>
      <c r="AM59" s="338"/>
      <c r="AN59" s="338"/>
      <c r="AO59" s="338"/>
      <c r="AP59" s="338"/>
      <c r="AQ59" s="338"/>
      <c r="AR59" s="338"/>
      <c r="AS59" s="338"/>
      <c r="AT59" s="338"/>
      <c r="AU59" s="338"/>
      <c r="AV59" s="338"/>
      <c r="AW59" s="338"/>
      <c r="BJ59" s="470">
        <v>44926</v>
      </c>
      <c r="BK59" s="471" t="s">
        <v>140</v>
      </c>
      <c r="BL59" s="472">
        <v>154533</v>
      </c>
      <c r="BM59" s="472">
        <v>37207</v>
      </c>
      <c r="BN59" s="472">
        <v>415.33313623780498</v>
      </c>
      <c r="BO59" s="472" t="s">
        <v>417</v>
      </c>
    </row>
    <row r="60" spans="1:75">
      <c r="A60" s="338"/>
      <c r="B60" s="338"/>
      <c r="C60" s="338"/>
      <c r="D60" s="338"/>
      <c r="E60" s="451"/>
      <c r="F60" s="451"/>
      <c r="G60" s="339"/>
      <c r="H60" s="339"/>
      <c r="I60" s="339"/>
      <c r="J60" s="338"/>
      <c r="K60" s="338"/>
      <c r="L60" s="338"/>
      <c r="M60" s="338"/>
      <c r="N60" s="338"/>
      <c r="O60" s="338"/>
      <c r="P60" s="338"/>
      <c r="Q60" s="338"/>
      <c r="R60" s="338"/>
      <c r="S60" s="338"/>
      <c r="T60" s="338"/>
      <c r="U60" s="338"/>
      <c r="V60" s="338"/>
      <c r="W60" s="338"/>
      <c r="X60" s="338"/>
      <c r="Y60" s="338"/>
      <c r="Z60" s="338"/>
      <c r="AA60" s="338"/>
      <c r="AB60" s="338"/>
      <c r="AC60" s="338"/>
      <c r="AD60" s="338"/>
      <c r="AE60" s="338"/>
      <c r="AF60" s="338"/>
      <c r="AG60" s="338"/>
      <c r="AH60" s="338"/>
      <c r="AI60" s="338"/>
      <c r="AJ60" s="338"/>
      <c r="AK60" s="338"/>
      <c r="AL60" s="338"/>
      <c r="AM60" s="338"/>
      <c r="AN60" s="338"/>
      <c r="AO60" s="338"/>
      <c r="AP60" s="338"/>
      <c r="AQ60" s="338"/>
      <c r="AR60" s="338"/>
      <c r="AS60" s="338"/>
      <c r="AT60" s="338"/>
      <c r="AU60" s="338"/>
      <c r="AV60" s="338"/>
      <c r="AW60" s="338"/>
      <c r="BJ60" s="892">
        <v>45291</v>
      </c>
      <c r="BK60" s="893" t="s">
        <v>123</v>
      </c>
      <c r="BL60" s="893">
        <v>136568</v>
      </c>
      <c r="BM60" s="893">
        <v>20395</v>
      </c>
      <c r="BN60" s="893">
        <v>669.615101740623</v>
      </c>
      <c r="BO60" s="339" t="s">
        <v>62</v>
      </c>
    </row>
    <row r="61" spans="1:75">
      <c r="A61" s="338"/>
      <c r="B61" s="338"/>
      <c r="C61" s="338"/>
      <c r="D61" s="338"/>
      <c r="E61" s="451"/>
      <c r="F61" s="451"/>
      <c r="G61" s="339"/>
      <c r="H61" s="339"/>
      <c r="I61" s="339"/>
      <c r="J61" s="338"/>
      <c r="K61" s="338"/>
      <c r="L61" s="338"/>
      <c r="M61" s="339"/>
      <c r="N61" s="339"/>
      <c r="O61" s="339"/>
      <c r="P61" s="339"/>
      <c r="Q61" s="339"/>
      <c r="R61" s="339"/>
      <c r="S61" s="339"/>
      <c r="T61" s="339"/>
      <c r="U61" s="339"/>
      <c r="V61" s="339"/>
      <c r="W61" s="339"/>
      <c r="X61" s="339"/>
      <c r="Y61" s="339"/>
      <c r="Z61" s="339"/>
      <c r="AA61" s="339"/>
      <c r="AB61" s="339"/>
      <c r="AC61" s="339"/>
      <c r="AD61" s="339"/>
      <c r="AE61" s="339"/>
      <c r="AF61" s="339"/>
      <c r="AG61" s="339"/>
      <c r="AH61" s="339"/>
      <c r="AI61" s="339"/>
      <c r="AJ61" s="339"/>
      <c r="AK61" s="339"/>
      <c r="AL61" s="339"/>
      <c r="AM61" s="339"/>
      <c r="AN61" s="339"/>
      <c r="AO61" s="339"/>
      <c r="AP61" s="339"/>
      <c r="AQ61" s="339"/>
      <c r="AR61" s="339"/>
      <c r="AS61" s="339"/>
      <c r="AT61" s="339"/>
      <c r="AU61" s="339"/>
      <c r="AV61" s="339"/>
      <c r="AW61" s="339"/>
      <c r="BJ61" s="892">
        <v>45291</v>
      </c>
      <c r="BK61" s="893" t="s">
        <v>124</v>
      </c>
      <c r="BL61" s="893">
        <v>422576</v>
      </c>
      <c r="BM61" s="893">
        <v>66264</v>
      </c>
      <c r="BN61" s="893">
        <v>637.71580345285497</v>
      </c>
      <c r="BO61" s="339" t="s">
        <v>62</v>
      </c>
      <c r="BW61" s="350"/>
    </row>
    <row r="62" spans="1:75">
      <c r="A62" s="338"/>
      <c r="B62" s="338"/>
      <c r="C62" s="338"/>
      <c r="D62" s="338"/>
      <c r="E62" s="451"/>
      <c r="F62" s="451"/>
      <c r="G62" s="339"/>
      <c r="H62" s="339"/>
      <c r="I62" s="339"/>
      <c r="J62" s="338"/>
      <c r="K62" s="338"/>
      <c r="L62" s="338"/>
      <c r="M62" s="339"/>
      <c r="N62" s="339"/>
      <c r="O62" s="339"/>
      <c r="P62" s="339"/>
      <c r="Q62" s="339"/>
      <c r="R62" s="339"/>
      <c r="S62" s="339"/>
      <c r="T62" s="339"/>
      <c r="U62" s="339"/>
      <c r="V62" s="339"/>
      <c r="W62" s="339"/>
      <c r="X62" s="339"/>
      <c r="Y62" s="339"/>
      <c r="Z62" s="339"/>
      <c r="AA62" s="339"/>
      <c r="AB62" s="339"/>
      <c r="AC62" s="339"/>
      <c r="AD62" s="339"/>
      <c r="AE62" s="339"/>
      <c r="AF62" s="339"/>
      <c r="AG62" s="339"/>
      <c r="AH62" s="339"/>
      <c r="AI62" s="339"/>
      <c r="AJ62" s="339"/>
      <c r="AK62" s="339"/>
      <c r="AL62" s="339"/>
      <c r="AM62" s="339"/>
      <c r="AN62" s="339"/>
      <c r="AO62" s="339"/>
      <c r="AP62" s="339"/>
      <c r="AQ62" s="339"/>
      <c r="AR62" s="339"/>
      <c r="AS62" s="339"/>
      <c r="AT62" s="339"/>
      <c r="AU62" s="339"/>
      <c r="AV62" s="339"/>
      <c r="AW62" s="339"/>
      <c r="BJ62" s="892">
        <v>45291</v>
      </c>
      <c r="BK62" s="893" t="s">
        <v>131</v>
      </c>
      <c r="BL62" s="893">
        <v>2402254</v>
      </c>
      <c r="BM62" s="893">
        <v>378044</v>
      </c>
      <c r="BN62" s="893">
        <v>635.44296431103305</v>
      </c>
      <c r="BO62" s="339" t="s">
        <v>62</v>
      </c>
      <c r="BW62" s="350"/>
    </row>
    <row r="63" spans="1:75">
      <c r="A63" s="338"/>
      <c r="B63" s="338"/>
      <c r="C63" s="338"/>
      <c r="D63" s="338"/>
      <c r="E63" s="451"/>
      <c r="F63" s="451"/>
      <c r="G63" s="339"/>
      <c r="H63" s="339"/>
      <c r="I63" s="339"/>
      <c r="J63" s="338"/>
      <c r="K63" s="338"/>
      <c r="L63" s="338"/>
      <c r="M63" s="339"/>
      <c r="N63" s="339"/>
      <c r="O63" s="339"/>
      <c r="P63" s="339"/>
      <c r="Q63" s="339"/>
      <c r="R63" s="339"/>
      <c r="S63" s="339"/>
      <c r="T63" s="339"/>
      <c r="U63" s="339"/>
      <c r="V63" s="339"/>
      <c r="W63" s="339"/>
      <c r="X63" s="339"/>
      <c r="Y63" s="339"/>
      <c r="Z63" s="339"/>
      <c r="AA63" s="339"/>
      <c r="AB63" s="339"/>
      <c r="AC63" s="339"/>
      <c r="AD63" s="339"/>
      <c r="AE63" s="339"/>
      <c r="AF63" s="339"/>
      <c r="AG63" s="339"/>
      <c r="AH63" s="339"/>
      <c r="AI63" s="339"/>
      <c r="AJ63" s="339"/>
      <c r="AK63" s="339"/>
      <c r="AL63" s="339"/>
      <c r="AM63" s="339"/>
      <c r="AN63" s="339"/>
      <c r="AO63" s="339"/>
      <c r="AP63" s="339"/>
      <c r="AQ63" s="339"/>
      <c r="AR63" s="339"/>
      <c r="AS63" s="339"/>
      <c r="AT63" s="339"/>
      <c r="AU63" s="339"/>
      <c r="AV63" s="339"/>
      <c r="AW63" s="339"/>
      <c r="BJ63" s="892">
        <v>45291</v>
      </c>
      <c r="BK63" s="893" t="s">
        <v>132</v>
      </c>
      <c r="BL63" s="893">
        <v>1248611</v>
      </c>
      <c r="BM63" s="893">
        <v>173800</v>
      </c>
      <c r="BN63" s="893">
        <v>718.41829689298004</v>
      </c>
      <c r="BO63" s="443" t="s">
        <v>417</v>
      </c>
      <c r="BW63" s="350"/>
    </row>
    <row r="64" spans="1:75">
      <c r="A64" s="338"/>
      <c r="B64" s="338"/>
      <c r="C64" s="338"/>
      <c r="D64" s="338"/>
      <c r="E64" s="451"/>
      <c r="F64" s="451"/>
      <c r="G64" s="339"/>
      <c r="H64" s="339"/>
      <c r="I64" s="339"/>
      <c r="J64" s="338"/>
      <c r="K64" s="338"/>
      <c r="L64" s="338"/>
      <c r="M64" s="339"/>
      <c r="N64" s="339"/>
      <c r="O64" s="339"/>
      <c r="P64" s="339"/>
      <c r="Q64" s="339"/>
      <c r="R64" s="339"/>
      <c r="S64" s="339"/>
      <c r="T64" s="339"/>
      <c r="U64" s="339"/>
      <c r="V64" s="339"/>
      <c r="W64" s="339"/>
      <c r="X64" s="339"/>
      <c r="Y64" s="339"/>
      <c r="Z64" s="339"/>
      <c r="AA64" s="339"/>
      <c r="AB64" s="339"/>
      <c r="AC64" s="339"/>
      <c r="AD64" s="339"/>
      <c r="AE64" s="339"/>
      <c r="AF64" s="339"/>
      <c r="AG64" s="339"/>
      <c r="AH64" s="339"/>
      <c r="AI64" s="339"/>
      <c r="AJ64" s="339"/>
      <c r="AK64" s="339"/>
      <c r="AL64" s="339"/>
      <c r="AM64" s="339"/>
      <c r="AN64" s="339"/>
      <c r="AO64" s="339"/>
      <c r="AP64" s="339"/>
      <c r="AQ64" s="339"/>
      <c r="AR64" s="339"/>
      <c r="AS64" s="339"/>
      <c r="AT64" s="339"/>
      <c r="AU64" s="339"/>
      <c r="AV64" s="339"/>
      <c r="AW64" s="339"/>
      <c r="BJ64" s="892">
        <v>45291</v>
      </c>
      <c r="BK64" s="893" t="s">
        <v>135</v>
      </c>
      <c r="BL64" s="893">
        <v>132462</v>
      </c>
      <c r="BM64" s="893">
        <v>21225</v>
      </c>
      <c r="BN64" s="893">
        <v>624.08480565370996</v>
      </c>
      <c r="BO64" s="443" t="s">
        <v>417</v>
      </c>
      <c r="BW64" s="350"/>
    </row>
    <row r="65" spans="1:75">
      <c r="A65" s="338"/>
      <c r="B65" s="338"/>
      <c r="C65" s="338"/>
      <c r="D65" s="338"/>
      <c r="E65" s="451"/>
      <c r="F65" s="451"/>
      <c r="G65" s="339"/>
      <c r="H65" s="339"/>
      <c r="I65" s="339"/>
      <c r="J65" s="338"/>
      <c r="K65" s="338"/>
      <c r="L65" s="338"/>
      <c r="M65" s="339"/>
      <c r="N65" s="339"/>
      <c r="O65" s="339"/>
      <c r="P65" s="339"/>
      <c r="Q65" s="339"/>
      <c r="R65" s="339"/>
      <c r="S65" s="339"/>
      <c r="T65" s="339"/>
      <c r="U65" s="339"/>
      <c r="V65" s="339"/>
      <c r="W65" s="339"/>
      <c r="X65" s="339"/>
      <c r="Y65" s="339"/>
      <c r="Z65" s="339"/>
      <c r="AA65" s="339"/>
      <c r="AB65" s="339"/>
      <c r="AC65" s="339"/>
      <c r="AD65" s="339"/>
      <c r="AE65" s="339"/>
      <c r="AF65" s="339"/>
      <c r="AG65" s="339"/>
      <c r="AH65" s="339"/>
      <c r="AI65" s="339"/>
      <c r="AJ65" s="339"/>
      <c r="AK65" s="339"/>
      <c r="AL65" s="339"/>
      <c r="AM65" s="339"/>
      <c r="AN65" s="339"/>
      <c r="AO65" s="339"/>
      <c r="AP65" s="339"/>
      <c r="AQ65" s="339"/>
      <c r="AR65" s="339"/>
      <c r="AS65" s="339"/>
      <c r="AT65" s="339"/>
      <c r="AU65" s="339"/>
      <c r="AV65" s="339"/>
      <c r="AW65" s="339"/>
      <c r="BJ65" s="892">
        <v>45291</v>
      </c>
      <c r="BK65" s="893" t="s">
        <v>136</v>
      </c>
      <c r="BL65" s="893">
        <v>952300</v>
      </c>
      <c r="BM65" s="893">
        <v>142200</v>
      </c>
      <c r="BN65" s="893">
        <v>669.69057665260198</v>
      </c>
      <c r="BO65" s="339" t="s">
        <v>62</v>
      </c>
      <c r="BW65" s="350"/>
    </row>
    <row r="66" spans="1:75">
      <c r="A66" s="338"/>
      <c r="B66" s="338"/>
      <c r="C66" s="338"/>
      <c r="D66" s="338"/>
      <c r="E66" s="451"/>
      <c r="F66" s="451"/>
      <c r="G66" s="339"/>
      <c r="H66" s="339"/>
      <c r="I66" s="339"/>
      <c r="J66" s="338"/>
      <c r="K66" s="338"/>
      <c r="L66" s="338"/>
      <c r="M66" s="338"/>
      <c r="N66" s="338"/>
      <c r="O66" s="338"/>
      <c r="P66" s="338"/>
      <c r="Q66" s="338"/>
      <c r="R66" s="338"/>
      <c r="S66" s="338"/>
      <c r="T66" s="338"/>
      <c r="U66" s="338"/>
      <c r="V66" s="338"/>
      <c r="W66" s="338"/>
      <c r="X66" s="338"/>
      <c r="Y66" s="338"/>
      <c r="Z66" s="338"/>
      <c r="AA66" s="338"/>
      <c r="AB66" s="338"/>
      <c r="AC66" s="338"/>
      <c r="AD66" s="338"/>
      <c r="AE66" s="338"/>
      <c r="AF66" s="338"/>
      <c r="AG66" s="338"/>
      <c r="AH66" s="338"/>
      <c r="AI66" s="338"/>
      <c r="AJ66" s="338"/>
      <c r="AK66" s="338"/>
      <c r="AL66" s="338"/>
      <c r="AM66" s="338"/>
      <c r="AN66" s="338"/>
      <c r="AO66" s="338"/>
      <c r="AP66" s="338"/>
      <c r="AQ66" s="338"/>
      <c r="AR66" s="338"/>
      <c r="AS66" s="338"/>
      <c r="AT66" s="338"/>
      <c r="AU66" s="338"/>
      <c r="AV66" s="338"/>
      <c r="AW66" s="338"/>
      <c r="BJ66" s="892">
        <v>45291</v>
      </c>
      <c r="BK66" s="893" t="s">
        <v>137</v>
      </c>
      <c r="BL66" s="893">
        <v>306953</v>
      </c>
      <c r="BM66" s="893">
        <v>68828</v>
      </c>
      <c r="BN66" s="893">
        <v>445.97111640611399</v>
      </c>
      <c r="BO66" s="339" t="s">
        <v>62</v>
      </c>
      <c r="BW66" s="350"/>
    </row>
    <row r="67" spans="1:75">
      <c r="A67" s="338"/>
      <c r="B67" s="338"/>
      <c r="C67" s="338"/>
      <c r="D67" s="338"/>
      <c r="E67" s="451"/>
      <c r="F67" s="451"/>
      <c r="G67" s="339"/>
      <c r="H67" s="339"/>
      <c r="I67" s="339"/>
      <c r="J67" s="338"/>
      <c r="K67" s="338"/>
      <c r="L67" s="338"/>
      <c r="M67" s="339"/>
      <c r="N67" s="339"/>
      <c r="O67" s="339"/>
      <c r="P67" s="339"/>
      <c r="Q67" s="339"/>
      <c r="R67" s="339"/>
      <c r="S67" s="339"/>
      <c r="T67" s="339"/>
      <c r="U67" s="339"/>
      <c r="V67" s="339"/>
      <c r="W67" s="339"/>
      <c r="X67" s="339"/>
      <c r="Y67" s="339"/>
      <c r="Z67" s="339"/>
      <c r="AA67" s="339"/>
      <c r="AB67" s="339"/>
      <c r="AC67" s="339"/>
      <c r="AD67" s="339"/>
      <c r="AE67" s="339"/>
      <c r="AF67" s="339"/>
      <c r="AG67" s="339"/>
      <c r="AH67" s="339"/>
      <c r="AI67" s="339"/>
      <c r="AJ67" s="339"/>
      <c r="AK67" s="339"/>
      <c r="AL67" s="339"/>
      <c r="AM67" s="339"/>
      <c r="AN67" s="339"/>
      <c r="AO67" s="339"/>
      <c r="AP67" s="339"/>
      <c r="AQ67" s="339"/>
      <c r="AR67" s="339"/>
      <c r="AS67" s="339"/>
      <c r="AT67" s="339"/>
      <c r="AU67" s="339"/>
      <c r="AV67" s="339"/>
      <c r="AW67" s="339"/>
      <c r="BJ67" s="892">
        <v>45291</v>
      </c>
      <c r="BK67" s="893" t="s">
        <v>138</v>
      </c>
      <c r="BL67" s="893">
        <v>1459436</v>
      </c>
      <c r="BM67" s="893">
        <v>254529</v>
      </c>
      <c r="BN67" s="893">
        <v>573.38692251177702</v>
      </c>
      <c r="BO67" s="443" t="s">
        <v>417</v>
      </c>
      <c r="BW67" s="350"/>
    </row>
    <row r="68" spans="1:75">
      <c r="A68" s="338"/>
      <c r="B68" s="338"/>
      <c r="C68" s="338"/>
      <c r="D68" s="338"/>
      <c r="E68" s="451"/>
      <c r="F68" s="451"/>
      <c r="G68" s="339"/>
      <c r="H68" s="339"/>
      <c r="I68" s="339"/>
      <c r="J68" s="338"/>
      <c r="K68" s="338"/>
      <c r="L68" s="338"/>
      <c r="M68" s="339"/>
      <c r="N68" s="339"/>
      <c r="O68" s="339"/>
      <c r="P68" s="339"/>
      <c r="Q68" s="339"/>
      <c r="R68" s="339"/>
      <c r="S68" s="339"/>
      <c r="T68" s="339"/>
      <c r="U68" s="339"/>
      <c r="V68" s="339"/>
      <c r="W68" s="339"/>
      <c r="X68" s="339"/>
      <c r="Y68" s="339"/>
      <c r="Z68" s="339"/>
      <c r="AA68" s="339"/>
      <c r="AB68" s="339"/>
      <c r="AC68" s="339"/>
      <c r="AD68" s="339"/>
      <c r="AE68" s="339"/>
      <c r="AF68" s="339"/>
      <c r="AG68" s="339"/>
      <c r="AH68" s="339"/>
      <c r="AI68" s="339"/>
      <c r="AJ68" s="339"/>
      <c r="AK68" s="339"/>
      <c r="AL68" s="339"/>
      <c r="AM68" s="339"/>
      <c r="AN68" s="339"/>
      <c r="AO68" s="339"/>
      <c r="AP68" s="339"/>
      <c r="AQ68" s="339"/>
      <c r="AR68" s="339"/>
      <c r="AS68" s="339"/>
      <c r="AT68" s="339"/>
      <c r="AU68" s="339"/>
      <c r="AV68" s="339"/>
      <c r="AW68" s="339"/>
      <c r="BJ68" s="892">
        <v>45291</v>
      </c>
      <c r="BK68" s="893" t="s">
        <v>139</v>
      </c>
      <c r="BL68" s="893">
        <v>111939</v>
      </c>
      <c r="BM68" s="893">
        <v>26061</v>
      </c>
      <c r="BN68" s="893">
        <v>429.526879244849</v>
      </c>
      <c r="BO68" s="339" t="s">
        <v>62</v>
      </c>
      <c r="BW68" s="350"/>
    </row>
    <row r="69" spans="1:75">
      <c r="A69" s="338"/>
      <c r="B69" s="338"/>
      <c r="C69" s="338"/>
      <c r="D69" s="338"/>
      <c r="E69" s="451"/>
      <c r="F69" s="451"/>
      <c r="G69" s="339"/>
      <c r="H69" s="339"/>
      <c r="I69" s="339"/>
      <c r="J69" s="338"/>
      <c r="K69" s="338"/>
      <c r="L69" s="338"/>
      <c r="M69" s="338"/>
      <c r="N69" s="338"/>
      <c r="O69" s="338"/>
      <c r="P69" s="338"/>
      <c r="Q69" s="338"/>
      <c r="R69" s="338"/>
      <c r="S69" s="338"/>
      <c r="T69" s="338"/>
      <c r="U69" s="338"/>
      <c r="V69" s="338"/>
      <c r="W69" s="338"/>
      <c r="X69" s="338"/>
      <c r="Y69" s="338"/>
      <c r="Z69" s="338"/>
      <c r="AA69" s="338"/>
      <c r="AB69" s="338"/>
      <c r="AC69" s="338"/>
      <c r="AD69" s="338"/>
      <c r="AE69" s="338"/>
      <c r="AF69" s="338"/>
      <c r="AG69" s="338"/>
      <c r="AH69" s="338"/>
      <c r="AI69" s="338"/>
      <c r="AJ69" s="338"/>
      <c r="AK69" s="338"/>
      <c r="AL69" s="338"/>
      <c r="AM69" s="338"/>
      <c r="AN69" s="338"/>
      <c r="AO69" s="338"/>
      <c r="AP69" s="338"/>
      <c r="AQ69" s="338"/>
      <c r="AR69" s="338"/>
      <c r="AS69" s="338"/>
      <c r="AT69" s="338"/>
      <c r="AU69" s="338"/>
      <c r="AV69" s="338"/>
      <c r="AW69" s="338"/>
      <c r="BJ69" s="892">
        <v>45291</v>
      </c>
      <c r="BK69" s="893" t="s">
        <v>141</v>
      </c>
      <c r="BL69" s="893">
        <v>645630</v>
      </c>
      <c r="BM69" s="893">
        <v>127102</v>
      </c>
      <c r="BN69" s="893">
        <v>507.96210917216098</v>
      </c>
      <c r="BO69" s="339" t="s">
        <v>62</v>
      </c>
      <c r="BW69" s="350"/>
    </row>
    <row r="70" spans="1:75">
      <c r="A70" s="338"/>
      <c r="B70" s="338"/>
      <c r="C70" s="338"/>
      <c r="D70" s="338"/>
      <c r="E70" s="451"/>
      <c r="F70" s="451"/>
      <c r="G70" s="339"/>
      <c r="H70" s="339"/>
      <c r="I70" s="339"/>
      <c r="J70" s="338"/>
      <c r="K70" s="338"/>
      <c r="L70" s="338"/>
      <c r="M70" s="339"/>
      <c r="N70" s="339"/>
      <c r="O70" s="339"/>
      <c r="P70" s="339"/>
      <c r="Q70" s="339"/>
      <c r="R70" s="339"/>
      <c r="S70" s="339"/>
      <c r="T70" s="339"/>
      <c r="U70" s="339"/>
      <c r="V70" s="339"/>
      <c r="W70" s="339"/>
      <c r="X70" s="339"/>
      <c r="Y70" s="339"/>
      <c r="Z70" s="339"/>
      <c r="AA70" s="339"/>
      <c r="AB70" s="339"/>
      <c r="AC70" s="339"/>
      <c r="AD70" s="339"/>
      <c r="AE70" s="339"/>
      <c r="AF70" s="339"/>
      <c r="AG70" s="339"/>
      <c r="AH70" s="339"/>
      <c r="AI70" s="339"/>
      <c r="AJ70" s="339"/>
      <c r="AK70" s="339"/>
      <c r="AL70" s="339"/>
      <c r="AM70" s="339"/>
      <c r="AN70" s="339"/>
      <c r="AO70" s="339"/>
      <c r="AP70" s="339"/>
      <c r="AQ70" s="339"/>
      <c r="AR70" s="339"/>
      <c r="AS70" s="339"/>
      <c r="AT70" s="339"/>
      <c r="AU70" s="339"/>
      <c r="AV70" s="339"/>
      <c r="AW70" s="339"/>
      <c r="BJ70" s="892">
        <v>45291</v>
      </c>
      <c r="BK70" s="893" t="s">
        <v>140</v>
      </c>
      <c r="BL70" s="893">
        <v>162232</v>
      </c>
      <c r="BM70" s="893">
        <v>37223</v>
      </c>
      <c r="BN70" s="893">
        <v>435.83805711522399</v>
      </c>
      <c r="BO70" s="443" t="s">
        <v>417</v>
      </c>
      <c r="BW70" s="350"/>
    </row>
    <row r="71" spans="1:75">
      <c r="A71" s="338"/>
      <c r="B71" s="338"/>
      <c r="C71" s="338"/>
      <c r="D71" s="338"/>
      <c r="E71" s="451"/>
      <c r="F71" s="451"/>
      <c r="G71" s="339"/>
      <c r="H71" s="339"/>
      <c r="I71" s="339"/>
      <c r="J71" s="338"/>
      <c r="K71" s="338"/>
      <c r="L71" s="338"/>
      <c r="M71" s="339"/>
      <c r="N71" s="339"/>
      <c r="O71" s="339"/>
      <c r="P71" s="339"/>
      <c r="Q71" s="339"/>
      <c r="R71" s="339"/>
      <c r="S71" s="339"/>
      <c r="T71" s="339"/>
      <c r="U71" s="339"/>
      <c r="V71" s="339"/>
      <c r="W71" s="339"/>
      <c r="X71" s="339"/>
      <c r="Y71" s="339"/>
      <c r="Z71" s="339"/>
      <c r="AA71" s="339"/>
      <c r="AB71" s="339"/>
      <c r="AC71" s="339"/>
      <c r="AD71" s="339"/>
      <c r="AE71" s="339"/>
      <c r="AF71" s="339"/>
      <c r="AG71" s="339"/>
      <c r="AH71" s="339"/>
      <c r="AI71" s="339"/>
      <c r="AJ71" s="339"/>
      <c r="AK71" s="339"/>
      <c r="AL71" s="339"/>
      <c r="AM71" s="339"/>
      <c r="AN71" s="339"/>
      <c r="AO71" s="339"/>
      <c r="AP71" s="339"/>
      <c r="AQ71" s="339"/>
      <c r="AR71" s="339"/>
      <c r="AS71" s="339"/>
      <c r="AT71" s="339"/>
      <c r="AU71" s="339"/>
      <c r="AV71" s="339"/>
      <c r="AW71" s="339"/>
      <c r="BW71" s="350"/>
    </row>
    <row r="72" spans="1:75">
      <c r="A72" s="338"/>
      <c r="B72" s="338"/>
      <c r="C72" s="338"/>
      <c r="D72" s="338"/>
      <c r="E72" s="451"/>
      <c r="F72" s="451"/>
      <c r="G72" s="339"/>
      <c r="H72" s="339"/>
      <c r="I72" s="339"/>
      <c r="J72" s="338"/>
      <c r="K72" s="338"/>
      <c r="L72" s="338"/>
      <c r="M72" s="339"/>
      <c r="N72" s="339"/>
      <c r="O72" s="339"/>
      <c r="P72" s="339"/>
      <c r="Q72" s="339"/>
      <c r="R72" s="339"/>
      <c r="S72" s="339"/>
      <c r="T72" s="339"/>
      <c r="U72" s="339"/>
      <c r="V72" s="339"/>
      <c r="W72" s="339"/>
      <c r="X72" s="339"/>
      <c r="Y72" s="339"/>
      <c r="Z72" s="339"/>
      <c r="AA72" s="339"/>
      <c r="AB72" s="339"/>
      <c r="AC72" s="339"/>
      <c r="AD72" s="339"/>
      <c r="AE72" s="339"/>
      <c r="AF72" s="339"/>
      <c r="AG72" s="339"/>
      <c r="AH72" s="339"/>
      <c r="AI72" s="339"/>
      <c r="AJ72" s="339"/>
      <c r="AK72" s="339"/>
      <c r="AL72" s="339"/>
      <c r="AM72" s="339"/>
      <c r="AN72" s="339"/>
      <c r="AO72" s="339"/>
      <c r="AP72" s="339"/>
      <c r="AQ72" s="339"/>
      <c r="AR72" s="339"/>
      <c r="AS72" s="339"/>
      <c r="AT72" s="339"/>
      <c r="AU72" s="339"/>
      <c r="AV72" s="339"/>
      <c r="AW72" s="339"/>
      <c r="BW72" s="350"/>
    </row>
    <row r="73" spans="1:75">
      <c r="A73" s="340"/>
      <c r="B73" s="338"/>
      <c r="C73" s="339"/>
      <c r="D73" s="339"/>
      <c r="E73" s="451"/>
      <c r="F73" s="451"/>
      <c r="G73" s="339"/>
      <c r="H73" s="339"/>
      <c r="I73" s="339"/>
      <c r="J73" s="338"/>
      <c r="K73" s="338"/>
      <c r="L73" s="338"/>
      <c r="M73" s="339"/>
      <c r="N73" s="339"/>
      <c r="O73" s="339"/>
      <c r="P73" s="339"/>
      <c r="Q73" s="339"/>
      <c r="R73" s="339"/>
      <c r="S73" s="339"/>
      <c r="T73" s="339"/>
      <c r="U73" s="339"/>
      <c r="V73" s="339"/>
      <c r="W73" s="339"/>
      <c r="X73" s="339"/>
      <c r="Y73" s="339"/>
      <c r="Z73" s="339"/>
      <c r="AA73" s="339"/>
      <c r="AB73" s="339"/>
      <c r="AC73" s="339"/>
      <c r="AD73" s="339"/>
      <c r="AE73" s="339"/>
      <c r="AF73" s="339"/>
      <c r="AG73" s="339"/>
      <c r="AH73" s="339"/>
      <c r="AI73" s="339"/>
      <c r="AJ73" s="339"/>
      <c r="AK73" s="339"/>
      <c r="AL73" s="339"/>
      <c r="AM73" s="339"/>
      <c r="AN73" s="339"/>
      <c r="AO73" s="339"/>
      <c r="AP73" s="339"/>
      <c r="AQ73" s="339"/>
      <c r="AR73" s="339"/>
      <c r="AS73" s="339"/>
      <c r="AT73" s="339"/>
      <c r="AU73" s="339"/>
      <c r="AV73" s="339"/>
      <c r="AW73" s="339"/>
      <c r="BW73" s="350"/>
    </row>
    <row r="74" spans="1:75">
      <c r="A74" s="340"/>
      <c r="B74" s="338"/>
      <c r="C74" s="339"/>
      <c r="D74" s="339"/>
      <c r="E74" s="451"/>
      <c r="F74" s="451"/>
      <c r="G74" s="339"/>
      <c r="H74" s="339"/>
      <c r="I74" s="339"/>
      <c r="J74" s="338" t="s">
        <v>351</v>
      </c>
      <c r="K74" s="338" t="s">
        <v>351</v>
      </c>
      <c r="L74" s="338" t="s">
        <v>351</v>
      </c>
      <c r="M74" s="338" t="s">
        <v>351</v>
      </c>
      <c r="N74" s="338" t="s">
        <v>351</v>
      </c>
      <c r="O74" s="338" t="s">
        <v>351</v>
      </c>
      <c r="P74" s="338" t="s">
        <v>351</v>
      </c>
      <c r="Q74" s="338" t="s">
        <v>351</v>
      </c>
      <c r="R74" s="338" t="s">
        <v>351</v>
      </c>
      <c r="S74" s="338" t="s">
        <v>351</v>
      </c>
      <c r="T74" s="338" t="s">
        <v>351</v>
      </c>
      <c r="U74" s="338" t="s">
        <v>351</v>
      </c>
      <c r="V74" s="338" t="s">
        <v>351</v>
      </c>
      <c r="W74" s="338" t="s">
        <v>351</v>
      </c>
      <c r="X74" s="338" t="s">
        <v>351</v>
      </c>
      <c r="Y74" s="338" t="s">
        <v>351</v>
      </c>
      <c r="Z74" s="338" t="s">
        <v>351</v>
      </c>
      <c r="AA74" s="338" t="s">
        <v>351</v>
      </c>
      <c r="AB74" s="338" t="s">
        <v>351</v>
      </c>
      <c r="AC74" s="338" t="s">
        <v>351</v>
      </c>
      <c r="AD74" s="338" t="s">
        <v>351</v>
      </c>
      <c r="AE74" s="338" t="s">
        <v>351</v>
      </c>
      <c r="AF74" s="338" t="s">
        <v>351</v>
      </c>
      <c r="AG74" s="338" t="s">
        <v>351</v>
      </c>
      <c r="AH74" s="338" t="s">
        <v>351</v>
      </c>
      <c r="AI74" s="338" t="s">
        <v>351</v>
      </c>
      <c r="AJ74" s="338" t="s">
        <v>351</v>
      </c>
      <c r="AK74" s="338" t="s">
        <v>351</v>
      </c>
      <c r="AL74" s="338" t="s">
        <v>351</v>
      </c>
      <c r="AM74" s="338" t="s">
        <v>351</v>
      </c>
      <c r="AN74" s="338" t="s">
        <v>351</v>
      </c>
      <c r="AO74" s="338" t="s">
        <v>351</v>
      </c>
      <c r="AP74" s="338" t="s">
        <v>351</v>
      </c>
      <c r="AQ74" s="338" t="s">
        <v>351</v>
      </c>
      <c r="AR74" s="338" t="s">
        <v>351</v>
      </c>
      <c r="AS74" s="338" t="s">
        <v>351</v>
      </c>
      <c r="AT74" s="338" t="s">
        <v>351</v>
      </c>
      <c r="AU74" s="338" t="s">
        <v>351</v>
      </c>
      <c r="AV74" s="338" t="s">
        <v>351</v>
      </c>
      <c r="AW74" s="338" t="s">
        <v>351</v>
      </c>
      <c r="BW74" s="350"/>
    </row>
    <row r="75" spans="1:75">
      <c r="E75" s="451"/>
      <c r="F75" s="451"/>
      <c r="G75" s="339"/>
      <c r="H75" s="339"/>
      <c r="I75" s="339"/>
      <c r="BW75" s="350"/>
    </row>
    <row r="76" spans="1:75">
      <c r="BW76" s="350"/>
    </row>
    <row r="77" spans="1:75">
      <c r="BW77" s="350"/>
    </row>
    <row r="78" spans="1:75">
      <c r="BW78" s="350"/>
    </row>
    <row r="79" spans="1:75">
      <c r="BW79" s="350"/>
    </row>
    <row r="80" spans="1:75">
      <c r="BW80" s="350"/>
    </row>
    <row r="81" spans="75:75">
      <c r="BW81" s="350"/>
    </row>
  </sheetData>
  <pageMargins left="0.7" right="0.7" top="0.75" bottom="0.75" header="0.3" footer="0.3"/>
  <pageSetup paperSize="9" orientation="portrait" verticalDpi="0" r:id="rId1"/>
  <headerFooter>
    <oddFooter>&amp;R&amp;1#&amp;"Calibri"&amp;10&amp;K000000C2 - 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4">
    <tabColor rgb="FF92D050"/>
  </sheetPr>
  <dimension ref="A1:BB116"/>
  <sheetViews>
    <sheetView zoomScale="85" zoomScaleNormal="85" workbookViewId="0">
      <pane xSplit="1" topLeftCell="B1" activePane="topRight" state="frozen"/>
      <selection activeCell="BE75" sqref="BE75"/>
      <selection pane="topRight" activeCell="C14" activeCellId="1" sqref="C9:C12 C14:C20"/>
    </sheetView>
  </sheetViews>
  <sheetFormatPr baseColWidth="10" defaultColWidth="8.88671875" defaultRowHeight="14.4"/>
  <cols>
    <col min="1" max="1" width="26.44140625" style="742" bestFit="1" customWidth="1"/>
    <col min="2" max="2" width="28.44140625" style="742" customWidth="1"/>
    <col min="3" max="3" width="39" style="742" bestFit="1" customWidth="1"/>
    <col min="4" max="4" width="64.5546875" style="742" customWidth="1"/>
    <col min="5" max="5" width="76.109375" style="742" customWidth="1"/>
    <col min="6" max="6" width="37.33203125" style="742" customWidth="1"/>
    <col min="7" max="7" width="35.33203125" style="742" bestFit="1" customWidth="1"/>
    <col min="8" max="8" width="40.109375" style="742" bestFit="1" customWidth="1"/>
    <col min="9" max="9" width="34" style="742" bestFit="1" customWidth="1"/>
    <col min="10" max="10" width="59.33203125" style="742" bestFit="1" customWidth="1"/>
    <col min="11" max="11" width="21.109375" style="742" customWidth="1"/>
    <col min="12" max="12" width="65.6640625" style="742" customWidth="1"/>
    <col min="13" max="13" width="42.88671875" style="742" bestFit="1" customWidth="1"/>
    <col min="14" max="14" width="57.5546875" style="742" customWidth="1"/>
    <col min="15" max="15" width="54.44140625" style="742" customWidth="1"/>
    <col min="16" max="16" width="43.33203125" style="742" customWidth="1"/>
    <col min="17" max="17" width="34" style="742" bestFit="1" customWidth="1"/>
    <col min="18" max="18" width="40.33203125" style="742" bestFit="1" customWidth="1"/>
    <col min="19" max="19" width="34" style="742" bestFit="1" customWidth="1"/>
    <col min="20" max="20" width="49.33203125" style="742" bestFit="1" customWidth="1"/>
    <col min="21" max="21" width="63.109375" style="742" bestFit="1" customWidth="1"/>
    <col min="22" max="23" width="54.33203125" style="742" bestFit="1" customWidth="1"/>
    <col min="24" max="24" width="17.5546875" style="742" bestFit="1" customWidth="1"/>
    <col min="25" max="25" width="20.109375" style="742" bestFit="1" customWidth="1"/>
    <col min="26" max="26" width="42.88671875" style="742" bestFit="1" customWidth="1"/>
    <col min="27" max="27" width="64.33203125" style="742" bestFit="1" customWidth="1"/>
    <col min="28" max="28" width="84.6640625" style="742" bestFit="1" customWidth="1"/>
    <col min="29" max="29" width="83.33203125" style="742" bestFit="1" customWidth="1"/>
    <col min="30" max="30" width="34" style="742" bestFit="1" customWidth="1"/>
    <col min="31" max="31" width="40.33203125" style="742" bestFit="1" customWidth="1"/>
    <col min="32" max="32" width="34" style="742" bestFit="1" customWidth="1"/>
    <col min="33" max="33" width="49.33203125" style="742" bestFit="1" customWidth="1"/>
    <col min="34" max="34" width="63.109375" style="742" bestFit="1" customWidth="1"/>
    <col min="35" max="36" width="54.33203125" style="742" bestFit="1" customWidth="1"/>
    <col min="37" max="37" width="17.5546875" style="742" bestFit="1" customWidth="1"/>
    <col min="38" max="38" width="10" style="742" bestFit="1" customWidth="1"/>
    <col min="39" max="39" width="37.6640625" style="742" bestFit="1" customWidth="1"/>
    <col min="40" max="40" width="45.44140625" style="742" bestFit="1" customWidth="1"/>
    <col min="41" max="41" width="34" style="742" bestFit="1" customWidth="1"/>
    <col min="42" max="42" width="47.88671875" style="742" bestFit="1" customWidth="1"/>
    <col min="43" max="43" width="55.5546875" style="742" bestFit="1" customWidth="1"/>
    <col min="44" max="44" width="17.5546875" style="742" bestFit="1" customWidth="1"/>
    <col min="45" max="45" width="28.88671875" style="742" bestFit="1" customWidth="1"/>
    <col min="46" max="47" width="32.6640625" style="742" bestFit="1" customWidth="1"/>
    <col min="48" max="48" width="27.6640625" style="742" bestFit="1" customWidth="1"/>
    <col min="49" max="49" width="42.88671875" style="742" bestFit="1" customWidth="1"/>
    <col min="50" max="50" width="58" style="742" bestFit="1" customWidth="1"/>
    <col min="51" max="51" width="65.6640625" style="742" bestFit="1" customWidth="1"/>
    <col min="52" max="52" width="66.88671875" style="742" bestFit="1" customWidth="1"/>
    <col min="53" max="53" width="50.44140625" style="742" bestFit="1" customWidth="1"/>
    <col min="54" max="54" width="51.6640625" style="742" bestFit="1" customWidth="1"/>
    <col min="55" max="16384" width="8.88671875" style="742"/>
  </cols>
  <sheetData>
    <row r="1" spans="1:54" ht="12.75" customHeight="1">
      <c r="A1" s="923"/>
      <c r="B1" s="923"/>
      <c r="C1" s="923"/>
      <c r="D1" s="923"/>
      <c r="E1" s="923"/>
      <c r="F1" s="923"/>
      <c r="G1" s="923"/>
      <c r="H1" s="923"/>
      <c r="I1" s="923"/>
      <c r="J1" s="923"/>
      <c r="K1" s="923"/>
      <c r="L1" s="923"/>
      <c r="M1" s="923"/>
      <c r="N1" s="923"/>
      <c r="O1" s="923"/>
      <c r="P1" s="923"/>
      <c r="Q1" s="923"/>
      <c r="R1" s="923"/>
      <c r="S1" s="923"/>
      <c r="T1" s="923"/>
      <c r="U1" s="923"/>
      <c r="V1" s="923"/>
      <c r="W1" s="923"/>
      <c r="X1" s="923"/>
      <c r="Y1" s="923"/>
      <c r="Z1" s="923"/>
      <c r="AA1" s="923"/>
      <c r="AB1" s="923"/>
      <c r="AC1" s="923"/>
      <c r="AD1" s="923"/>
      <c r="AE1" s="923"/>
      <c r="AF1" s="923"/>
      <c r="AG1" s="923"/>
      <c r="AH1" s="923"/>
      <c r="AI1" s="923"/>
      <c r="AJ1" s="923"/>
      <c r="AK1" s="923"/>
      <c r="AL1" s="923"/>
      <c r="AM1" s="923"/>
      <c r="AN1" s="923"/>
      <c r="AO1" s="923"/>
      <c r="AP1" s="923"/>
      <c r="AQ1" s="923"/>
      <c r="AR1" s="923"/>
      <c r="AS1" s="923"/>
      <c r="AT1" s="923"/>
      <c r="AU1" s="923"/>
      <c r="AV1" s="923"/>
      <c r="AW1" s="923"/>
      <c r="AX1" s="923"/>
      <c r="AY1" s="923"/>
      <c r="AZ1" s="923"/>
      <c r="BA1" s="923"/>
      <c r="BB1" s="923"/>
    </row>
    <row r="2" spans="1:54" ht="12.75" customHeight="1">
      <c r="AC2" s="923"/>
      <c r="AD2" s="923"/>
      <c r="AE2" s="923"/>
      <c r="AF2" s="923"/>
      <c r="AG2" s="923"/>
      <c r="AH2" s="923"/>
      <c r="AI2" s="923"/>
      <c r="AJ2" s="923"/>
      <c r="AK2" s="923"/>
      <c r="AL2" s="923"/>
      <c r="AM2" s="923"/>
      <c r="AN2" s="923"/>
      <c r="AO2" s="923"/>
      <c r="AP2" s="923"/>
      <c r="AQ2" s="923"/>
      <c r="AR2" s="923"/>
      <c r="AS2" s="923"/>
      <c r="AT2" s="923"/>
      <c r="AU2" s="923"/>
      <c r="AV2" s="923"/>
      <c r="AW2" s="923"/>
      <c r="AX2" s="923"/>
      <c r="AY2" s="923"/>
      <c r="AZ2" s="923"/>
      <c r="BA2" s="923"/>
      <c r="BB2" s="923"/>
    </row>
    <row r="3" spans="1:54" ht="15">
      <c r="A3" s="924" t="s">
        <v>0</v>
      </c>
      <c r="B3" s="923"/>
      <c r="C3" s="923"/>
      <c r="D3" s="923"/>
      <c r="E3" s="923"/>
      <c r="F3" s="923"/>
      <c r="G3" s="923"/>
      <c r="H3" s="923"/>
      <c r="I3" s="923"/>
      <c r="J3" s="923"/>
      <c r="K3" s="923"/>
      <c r="L3" s="923"/>
      <c r="M3" s="923"/>
      <c r="N3" s="923"/>
      <c r="O3" s="923"/>
      <c r="P3" s="923"/>
      <c r="Q3" s="923"/>
      <c r="R3" s="923"/>
      <c r="S3" s="923"/>
      <c r="T3" s="923"/>
      <c r="U3" s="923"/>
      <c r="V3" s="923"/>
      <c r="W3" s="923"/>
      <c r="X3" s="923"/>
      <c r="Y3" s="923"/>
      <c r="Z3" s="923"/>
      <c r="AA3" s="923"/>
      <c r="AB3" s="923"/>
      <c r="AC3" s="923"/>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row>
    <row r="4" spans="1:54" ht="15.6" thickBot="1">
      <c r="A4" s="924" t="s">
        <v>446</v>
      </c>
      <c r="B4" s="923"/>
      <c r="C4" s="923"/>
      <c r="D4" s="923"/>
      <c r="E4" s="923"/>
      <c r="F4" s="923"/>
      <c r="G4" s="923"/>
      <c r="H4" s="923"/>
      <c r="I4" s="923"/>
      <c r="J4" s="923"/>
      <c r="K4" s="923"/>
      <c r="L4" s="923"/>
      <c r="M4" s="923"/>
      <c r="N4" s="923"/>
      <c r="O4" s="923"/>
      <c r="P4" s="923"/>
      <c r="Q4" s="923"/>
      <c r="R4" s="923"/>
      <c r="S4" s="923"/>
      <c r="T4" s="923"/>
      <c r="U4" s="923"/>
      <c r="V4" s="923"/>
      <c r="W4" s="923"/>
      <c r="X4" s="923"/>
      <c r="Y4" s="923"/>
      <c r="Z4" s="923"/>
      <c r="AA4" s="923"/>
      <c r="AB4" s="923"/>
      <c r="AC4" s="923"/>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row>
    <row r="5" spans="1:54" ht="22.5" customHeight="1" thickBot="1">
      <c r="A5" s="916" t="s">
        <v>1</v>
      </c>
      <c r="B5" s="917"/>
      <c r="C5" s="917"/>
      <c r="D5" s="917"/>
      <c r="E5" s="917"/>
      <c r="F5" s="917"/>
      <c r="G5" s="917"/>
      <c r="H5" s="917"/>
      <c r="I5" s="917"/>
      <c r="J5" s="918"/>
    </row>
    <row r="6" spans="1:54" ht="15.6" thickBot="1">
      <c r="A6" s="482"/>
      <c r="B6" s="483"/>
      <c r="C6" s="744"/>
      <c r="D6" s="744"/>
      <c r="E6" s="744"/>
      <c r="F6" s="744"/>
      <c r="G6" s="744"/>
      <c r="H6" s="744"/>
      <c r="I6" s="744"/>
      <c r="J6" s="744"/>
      <c r="K6" s="745"/>
      <c r="L6" s="743" t="s">
        <v>218</v>
      </c>
      <c r="M6" s="744"/>
      <c r="N6" s="744"/>
      <c r="O6" s="744"/>
      <c r="P6" s="745"/>
      <c r="Q6" s="743" t="s">
        <v>219</v>
      </c>
      <c r="R6" s="744"/>
      <c r="S6" s="744"/>
      <c r="T6" s="744"/>
      <c r="U6" s="745"/>
      <c r="V6" s="743" t="s">
        <v>2</v>
      </c>
      <c r="W6" s="483"/>
      <c r="X6" s="744"/>
      <c r="Y6" s="745"/>
      <c r="Z6" s="743" t="s">
        <v>193</v>
      </c>
      <c r="AA6" s="744"/>
      <c r="AB6" s="745"/>
    </row>
    <row r="7" spans="1:54" ht="30.6" thickBot="1">
      <c r="A7" s="743" t="s">
        <v>3</v>
      </c>
      <c r="B7" s="484" t="s">
        <v>4</v>
      </c>
      <c r="C7" s="484" t="s">
        <v>5</v>
      </c>
      <c r="D7" s="484" t="s">
        <v>6</v>
      </c>
      <c r="E7" s="484" t="s">
        <v>220</v>
      </c>
      <c r="F7" s="484" t="s">
        <v>221</v>
      </c>
      <c r="G7" s="484" t="s">
        <v>7</v>
      </c>
      <c r="H7" s="484" t="s">
        <v>8</v>
      </c>
      <c r="I7" s="484" t="s">
        <v>9</v>
      </c>
      <c r="J7" s="484" t="s">
        <v>10</v>
      </c>
      <c r="K7" s="484" t="s">
        <v>11</v>
      </c>
      <c r="L7" s="484" t="s">
        <v>222</v>
      </c>
      <c r="M7" s="485" t="s">
        <v>223</v>
      </c>
      <c r="N7" s="484" t="s">
        <v>224</v>
      </c>
      <c r="O7" s="484" t="s">
        <v>225</v>
      </c>
      <c r="P7" s="484" t="s">
        <v>226</v>
      </c>
      <c r="Q7" s="484" t="s">
        <v>222</v>
      </c>
      <c r="R7" s="484" t="s">
        <v>223</v>
      </c>
      <c r="S7" s="484" t="s">
        <v>224</v>
      </c>
      <c r="T7" s="484" t="s">
        <v>225</v>
      </c>
      <c r="U7" s="484" t="s">
        <v>226</v>
      </c>
      <c r="V7" s="484" t="s">
        <v>12</v>
      </c>
      <c r="W7" s="484" t="s">
        <v>227</v>
      </c>
      <c r="X7" s="484" t="s">
        <v>228</v>
      </c>
      <c r="Y7" s="484" t="s">
        <v>229</v>
      </c>
      <c r="Z7" s="484" t="s">
        <v>194</v>
      </c>
      <c r="AA7" s="484" t="s">
        <v>230</v>
      </c>
      <c r="AB7" s="484" t="s">
        <v>82</v>
      </c>
    </row>
    <row r="8" spans="1:54" ht="15.6" thickBot="1">
      <c r="A8" s="486" t="s">
        <v>63</v>
      </c>
      <c r="B8" s="355">
        <v>606960</v>
      </c>
      <c r="C8" s="355">
        <v>465556</v>
      </c>
      <c r="D8" s="356">
        <v>0.76702912877200002</v>
      </c>
      <c r="E8" s="478"/>
      <c r="F8" s="478"/>
      <c r="G8" s="478"/>
      <c r="H8" s="478"/>
      <c r="I8" s="487"/>
      <c r="J8" s="478"/>
      <c r="K8" s="478"/>
      <c r="L8" s="478"/>
      <c r="M8" s="356">
        <v>-9.9710330440000005E-3</v>
      </c>
      <c r="N8" s="478"/>
      <c r="O8" s="478"/>
      <c r="P8" s="478"/>
      <c r="Q8" s="478"/>
      <c r="R8" s="478"/>
      <c r="S8" s="478"/>
      <c r="T8" s="478"/>
      <c r="U8" s="478"/>
      <c r="V8" s="487"/>
      <c r="W8" s="488"/>
      <c r="X8" s="489"/>
      <c r="Y8" s="490"/>
      <c r="Z8" s="491"/>
      <c r="AA8" s="492"/>
      <c r="AB8" s="492"/>
    </row>
    <row r="9" spans="1:54" ht="15" thickBot="1">
      <c r="A9" s="493" t="s">
        <v>16</v>
      </c>
      <c r="B9" s="357">
        <v>236552</v>
      </c>
      <c r="C9" s="357">
        <v>173800</v>
      </c>
      <c r="D9" s="358">
        <v>0.73472217525100003</v>
      </c>
      <c r="E9" s="494"/>
      <c r="F9" s="494"/>
      <c r="G9" s="494"/>
      <c r="H9" s="494"/>
      <c r="I9" s="495"/>
      <c r="J9" s="494"/>
      <c r="K9" s="494"/>
      <c r="L9" s="494"/>
      <c r="M9" s="358">
        <v>1.8117991779E-2</v>
      </c>
      <c r="N9" s="494"/>
      <c r="O9" s="494"/>
      <c r="P9" s="494"/>
      <c r="Q9" s="494"/>
      <c r="R9" s="494"/>
      <c r="S9" s="494"/>
      <c r="T9" s="494"/>
      <c r="U9" s="496"/>
      <c r="V9" s="495"/>
      <c r="W9" s="497"/>
      <c r="X9" s="497"/>
      <c r="Y9" s="498"/>
      <c r="Z9" s="499"/>
      <c r="AA9" s="500"/>
      <c r="AB9" s="500"/>
    </row>
    <row r="10" spans="1:54" ht="15" thickBot="1">
      <c r="A10" s="501" t="s">
        <v>23</v>
      </c>
      <c r="B10" s="357">
        <v>29945</v>
      </c>
      <c r="C10" s="357">
        <v>21225</v>
      </c>
      <c r="D10" s="358">
        <f>C10/B10</f>
        <v>0.70879946568709296</v>
      </c>
      <c r="E10" s="494"/>
      <c r="F10" s="494"/>
      <c r="G10" s="494"/>
      <c r="H10" s="494"/>
      <c r="I10" s="495"/>
      <c r="J10" s="494"/>
      <c r="K10" s="494"/>
      <c r="L10" s="494"/>
      <c r="M10" s="358"/>
      <c r="N10" s="494"/>
      <c r="O10" s="494"/>
      <c r="P10" s="494"/>
      <c r="Q10" s="494"/>
      <c r="R10" s="494"/>
      <c r="S10" s="494"/>
      <c r="T10" s="494"/>
      <c r="U10" s="496"/>
      <c r="V10" s="495"/>
      <c r="W10" s="497"/>
      <c r="X10" s="497"/>
      <c r="Y10" s="498"/>
      <c r="Z10" s="499"/>
      <c r="AA10" s="500"/>
      <c r="AB10" s="500"/>
    </row>
    <row r="11" spans="1:54" ht="15" thickBot="1">
      <c r="A11" s="501" t="s">
        <v>15</v>
      </c>
      <c r="B11" s="357">
        <v>314006</v>
      </c>
      <c r="C11" s="357">
        <v>254529</v>
      </c>
      <c r="D11" s="358">
        <v>0.81058642191499997</v>
      </c>
      <c r="E11" s="494"/>
      <c r="F11" s="494"/>
      <c r="G11" s="494"/>
      <c r="H11" s="494"/>
      <c r="I11" s="495"/>
      <c r="J11" s="494"/>
      <c r="K11" s="494"/>
      <c r="L11" s="494"/>
      <c r="M11" s="358">
        <v>-3.4306943139999998E-3</v>
      </c>
      <c r="N11" s="494"/>
      <c r="O11" s="494"/>
      <c r="P11" s="494"/>
      <c r="Q11" s="494"/>
      <c r="R11" s="494"/>
      <c r="S11" s="494"/>
      <c r="T11" s="494"/>
      <c r="U11" s="496"/>
      <c r="V11" s="495"/>
      <c r="W11" s="497"/>
      <c r="X11" s="497"/>
      <c r="Y11" s="498"/>
      <c r="Z11" s="499"/>
      <c r="AA11" s="500"/>
      <c r="AB11" s="500"/>
    </row>
    <row r="12" spans="1:54" ht="15" thickBot="1">
      <c r="A12" s="501" t="s">
        <v>20</v>
      </c>
      <c r="B12" s="357">
        <v>56402</v>
      </c>
      <c r="C12" s="357">
        <v>37227</v>
      </c>
      <c r="D12" s="358">
        <v>0.66002978617700003</v>
      </c>
      <c r="E12" s="494"/>
      <c r="F12" s="494"/>
      <c r="G12" s="494"/>
      <c r="H12" s="494"/>
      <c r="I12" s="495"/>
      <c r="J12" s="494"/>
      <c r="K12" s="494"/>
      <c r="L12" s="494"/>
      <c r="M12" s="358">
        <v>3.9752018690000002E-2</v>
      </c>
      <c r="N12" s="494"/>
      <c r="O12" s="494"/>
      <c r="P12" s="494"/>
      <c r="Q12" s="494"/>
      <c r="R12" s="494"/>
      <c r="S12" s="494"/>
      <c r="T12" s="494"/>
      <c r="U12" s="496"/>
      <c r="V12" s="495"/>
      <c r="W12" s="497"/>
      <c r="X12" s="497"/>
      <c r="Y12" s="498"/>
      <c r="Z12" s="499"/>
      <c r="AA12" s="500"/>
      <c r="AB12" s="500"/>
    </row>
    <row r="13" spans="1:54" ht="15.6" thickBot="1">
      <c r="A13" s="486" t="s">
        <v>62</v>
      </c>
      <c r="B13" s="359">
        <v>1365579</v>
      </c>
      <c r="C13" s="359">
        <v>830395</v>
      </c>
      <c r="D13" s="360">
        <v>0.60809004825000001</v>
      </c>
      <c r="E13" s="479"/>
      <c r="F13" s="479"/>
      <c r="G13" s="479"/>
      <c r="H13" s="479"/>
      <c r="I13" s="502"/>
      <c r="J13" s="479"/>
      <c r="K13" s="479"/>
      <c r="L13" s="479"/>
      <c r="M13" s="360">
        <v>1.6217765001000001E-2</v>
      </c>
      <c r="N13" s="479"/>
      <c r="O13" s="479"/>
      <c r="P13" s="479"/>
      <c r="Q13" s="479"/>
      <c r="R13" s="479"/>
      <c r="S13" s="479"/>
      <c r="T13" s="479"/>
      <c r="U13" s="479"/>
      <c r="V13" s="502"/>
      <c r="W13" s="503"/>
      <c r="X13" s="504"/>
      <c r="Y13" s="505"/>
      <c r="Z13" s="506"/>
      <c r="AA13" s="507"/>
      <c r="AB13" s="507"/>
    </row>
    <row r="14" spans="1:54" ht="15" thickBot="1">
      <c r="A14" s="493" t="s">
        <v>21</v>
      </c>
      <c r="B14" s="357">
        <v>31510</v>
      </c>
      <c r="C14" s="357">
        <v>20395</v>
      </c>
      <c r="D14" s="358">
        <v>0.64725483973300002</v>
      </c>
      <c r="E14" s="494"/>
      <c r="F14" s="494"/>
      <c r="G14" s="494"/>
      <c r="H14" s="494"/>
      <c r="I14" s="495"/>
      <c r="J14" s="494"/>
      <c r="K14" s="494"/>
      <c r="L14" s="494"/>
      <c r="M14" s="358">
        <v>-2.8437419869999998E-3</v>
      </c>
      <c r="N14" s="494"/>
      <c r="O14" s="494"/>
      <c r="P14" s="494"/>
      <c r="Q14" s="494"/>
      <c r="R14" s="494"/>
      <c r="S14" s="494"/>
      <c r="T14" s="494"/>
      <c r="U14" s="496"/>
      <c r="V14" s="495"/>
      <c r="W14" s="497"/>
      <c r="X14" s="497"/>
      <c r="Y14" s="498"/>
      <c r="Z14" s="499"/>
      <c r="AA14" s="500"/>
      <c r="AB14" s="500"/>
    </row>
    <row r="15" spans="1:54" ht="15" thickBot="1">
      <c r="A15" s="501" t="s">
        <v>18</v>
      </c>
      <c r="B15" s="357">
        <v>114127</v>
      </c>
      <c r="C15" s="357">
        <v>66264</v>
      </c>
      <c r="D15" s="358">
        <v>0.580616330929</v>
      </c>
      <c r="E15" s="494"/>
      <c r="F15" s="494"/>
      <c r="G15" s="494"/>
      <c r="H15" s="494"/>
      <c r="I15" s="495"/>
      <c r="J15" s="494"/>
      <c r="K15" s="494"/>
      <c r="L15" s="494"/>
      <c r="M15" s="358">
        <v>2.9401105643000001E-2</v>
      </c>
      <c r="N15" s="494"/>
      <c r="O15" s="494"/>
      <c r="P15" s="494"/>
      <c r="Q15" s="494"/>
      <c r="R15" s="494"/>
      <c r="S15" s="494"/>
      <c r="T15" s="494"/>
      <c r="U15" s="496"/>
      <c r="V15" s="495"/>
      <c r="W15" s="497"/>
      <c r="X15" s="497"/>
      <c r="Y15" s="498"/>
      <c r="Z15" s="499"/>
      <c r="AA15" s="500"/>
      <c r="AB15" s="500"/>
    </row>
    <row r="16" spans="1:54" ht="15" thickBot="1">
      <c r="A16" s="501" t="s">
        <v>13</v>
      </c>
      <c r="B16" s="357">
        <v>594816</v>
      </c>
      <c r="C16" s="357">
        <v>378044</v>
      </c>
      <c r="D16" s="358">
        <v>0.63556461157699995</v>
      </c>
      <c r="E16" s="494"/>
      <c r="F16" s="494"/>
      <c r="G16" s="494"/>
      <c r="H16" s="494"/>
      <c r="I16" s="495"/>
      <c r="J16" s="494"/>
      <c r="K16" s="494"/>
      <c r="L16" s="494"/>
      <c r="M16" s="358">
        <v>-3.6635657069999999E-3</v>
      </c>
      <c r="N16" s="494"/>
      <c r="O16" s="494"/>
      <c r="P16" s="494"/>
      <c r="Q16" s="494"/>
      <c r="R16" s="494"/>
      <c r="S16" s="494"/>
      <c r="T16" s="494"/>
      <c r="U16" s="496"/>
      <c r="V16" s="495"/>
      <c r="W16" s="497"/>
      <c r="X16" s="497"/>
      <c r="Y16" s="498"/>
      <c r="Z16" s="499"/>
      <c r="AA16" s="500"/>
      <c r="AB16" s="500"/>
    </row>
    <row r="17" spans="1:54" ht="15" thickBot="1">
      <c r="A17" s="501" t="s">
        <v>14</v>
      </c>
      <c r="B17" s="357">
        <v>237395</v>
      </c>
      <c r="C17" s="357">
        <v>142200</v>
      </c>
      <c r="D17" s="358">
        <v>0.59900166389300002</v>
      </c>
      <c r="E17" s="494"/>
      <c r="F17" s="494"/>
      <c r="G17" s="494"/>
      <c r="H17" s="494"/>
      <c r="I17" s="495"/>
      <c r="J17" s="494"/>
      <c r="K17" s="494"/>
      <c r="L17" s="494"/>
      <c r="M17" s="358">
        <v>4.0631141446000003E-2</v>
      </c>
      <c r="N17" s="494"/>
      <c r="O17" s="494"/>
      <c r="P17" s="494"/>
      <c r="Q17" s="494"/>
      <c r="R17" s="494"/>
      <c r="S17" s="494"/>
      <c r="T17" s="494"/>
      <c r="U17" s="496"/>
      <c r="V17" s="495"/>
      <c r="W17" s="497"/>
      <c r="X17" s="497"/>
      <c r="Y17" s="498"/>
      <c r="Z17" s="499"/>
      <c r="AA17" s="500"/>
      <c r="AB17" s="500"/>
    </row>
    <row r="18" spans="1:54" ht="15" thickBot="1">
      <c r="A18" s="501" t="s">
        <v>19</v>
      </c>
      <c r="B18" s="357">
        <v>100290</v>
      </c>
      <c r="C18" s="357">
        <v>68828</v>
      </c>
      <c r="D18" s="358">
        <v>0.68628975969600003</v>
      </c>
      <c r="E18" s="494"/>
      <c r="F18" s="494"/>
      <c r="G18" s="494"/>
      <c r="H18" s="494"/>
      <c r="I18" s="495"/>
      <c r="J18" s="494"/>
      <c r="K18" s="494"/>
      <c r="L18" s="494"/>
      <c r="M18" s="358">
        <v>1.9543044355000001E-2</v>
      </c>
      <c r="N18" s="494"/>
      <c r="O18" s="494"/>
      <c r="P18" s="494"/>
      <c r="Q18" s="494"/>
      <c r="R18" s="494"/>
      <c r="S18" s="494"/>
      <c r="T18" s="494"/>
      <c r="U18" s="496"/>
      <c r="V18" s="495"/>
      <c r="W18" s="497"/>
      <c r="X18" s="497"/>
      <c r="Y18" s="498"/>
      <c r="Z18" s="499"/>
      <c r="AA18" s="500"/>
      <c r="AB18" s="500"/>
    </row>
    <row r="19" spans="1:54" ht="15" thickBot="1">
      <c r="A19" s="501" t="s">
        <v>22</v>
      </c>
      <c r="B19" s="357">
        <v>33959</v>
      </c>
      <c r="C19" s="357">
        <v>26061</v>
      </c>
      <c r="D19" s="358">
        <v>0.76742542477599995</v>
      </c>
      <c r="E19" s="494"/>
      <c r="F19" s="494"/>
      <c r="G19" s="494"/>
      <c r="H19" s="494"/>
      <c r="I19" s="495"/>
      <c r="J19" s="494"/>
      <c r="K19" s="494"/>
      <c r="L19" s="494"/>
      <c r="M19" s="358">
        <v>1.4525518158E-2</v>
      </c>
      <c r="N19" s="494"/>
      <c r="O19" s="494"/>
      <c r="P19" s="494"/>
      <c r="Q19" s="494"/>
      <c r="R19" s="494"/>
      <c r="S19" s="494"/>
      <c r="T19" s="494"/>
      <c r="U19" s="496"/>
      <c r="V19" s="495"/>
      <c r="W19" s="497"/>
      <c r="X19" s="497"/>
      <c r="Y19" s="498"/>
      <c r="Z19" s="499"/>
      <c r="AA19" s="500"/>
      <c r="AB19" s="500"/>
    </row>
    <row r="20" spans="1:54" ht="15" thickBot="1">
      <c r="A20" s="501" t="s">
        <v>17</v>
      </c>
      <c r="B20" s="357">
        <v>253482</v>
      </c>
      <c r="C20" s="357">
        <v>128603</v>
      </c>
      <c r="D20" s="358">
        <v>0.50734568924000001</v>
      </c>
      <c r="E20" s="494"/>
      <c r="F20" s="494"/>
      <c r="G20" s="494"/>
      <c r="H20" s="494"/>
      <c r="I20" s="495"/>
      <c r="J20" s="494"/>
      <c r="K20" s="494"/>
      <c r="L20" s="494"/>
      <c r="M20" s="358">
        <v>3.4716427001999998E-2</v>
      </c>
      <c r="N20" s="494"/>
      <c r="O20" s="494"/>
      <c r="P20" s="494"/>
      <c r="Q20" s="494"/>
      <c r="R20" s="494"/>
      <c r="S20" s="494"/>
      <c r="T20" s="494"/>
      <c r="U20" s="496"/>
      <c r="V20" s="495"/>
      <c r="W20" s="497"/>
      <c r="X20" s="497"/>
      <c r="Y20" s="498"/>
      <c r="Z20" s="499"/>
      <c r="AA20" s="500"/>
      <c r="AB20" s="500"/>
    </row>
    <row r="21" spans="1:54" ht="12.75" customHeight="1" thickBot="1">
      <c r="A21" s="508" t="s">
        <v>64</v>
      </c>
      <c r="B21" s="361">
        <v>1972539</v>
      </c>
      <c r="C21" s="361">
        <v>1295951</v>
      </c>
      <c r="D21" s="362">
        <v>0.65699638891800005</v>
      </c>
      <c r="E21" s="509"/>
      <c r="F21" s="510"/>
      <c r="G21" s="511"/>
      <c r="H21" s="511"/>
      <c r="I21" s="512"/>
      <c r="J21" s="511"/>
      <c r="K21" s="513"/>
      <c r="L21" s="514"/>
      <c r="M21" s="363">
        <v>8.0488163979999996E-3</v>
      </c>
      <c r="N21" s="514"/>
      <c r="O21" s="514"/>
      <c r="P21" s="514"/>
      <c r="Q21" s="514"/>
      <c r="R21" s="514"/>
      <c r="S21" s="514"/>
      <c r="T21" s="514"/>
      <c r="U21" s="514"/>
      <c r="V21" s="512"/>
      <c r="W21" s="514"/>
      <c r="X21" s="514"/>
      <c r="Y21" s="515"/>
      <c r="Z21" s="516"/>
      <c r="AA21" s="517"/>
      <c r="AB21" s="518"/>
    </row>
    <row r="22" spans="1:54" ht="15" thickBot="1">
      <c r="A22" s="311"/>
      <c r="C22" s="313"/>
      <c r="D22" s="313" t="s">
        <v>203</v>
      </c>
      <c r="E22" s="313"/>
      <c r="F22" s="313"/>
      <c r="G22" s="313"/>
      <c r="H22" s="313"/>
      <c r="I22" s="313"/>
      <c r="J22" s="313"/>
      <c r="K22" s="313"/>
      <c r="L22" s="313"/>
      <c r="M22" s="313"/>
      <c r="N22" s="313"/>
      <c r="O22" s="313"/>
      <c r="P22" s="313"/>
      <c r="Q22" s="313"/>
      <c r="R22" s="313"/>
      <c r="S22" s="313"/>
      <c r="T22" s="313"/>
      <c r="U22" s="313"/>
      <c r="V22" s="313"/>
      <c r="W22" s="313"/>
      <c r="X22" s="313"/>
      <c r="Y22" s="313"/>
      <c r="Z22" s="313"/>
      <c r="AA22" s="313"/>
      <c r="AB22" s="311" t="s">
        <v>55</v>
      </c>
      <c r="AC22" s="314" t="s">
        <v>56</v>
      </c>
      <c r="AD22" s="313"/>
      <c r="AE22" s="313"/>
      <c r="AF22" s="313"/>
      <c r="AG22" s="313"/>
      <c r="AH22" s="313"/>
      <c r="AI22" s="313"/>
      <c r="AJ22" s="313"/>
      <c r="AK22" s="313"/>
      <c r="AL22" s="313"/>
      <c r="AM22" s="313"/>
      <c r="AN22" s="313"/>
      <c r="AO22" s="313"/>
      <c r="AP22" s="313"/>
      <c r="AQ22" s="313"/>
      <c r="AR22" s="313"/>
      <c r="AS22" s="313"/>
      <c r="AT22" s="313"/>
      <c r="AU22" s="313"/>
      <c r="AV22" s="313"/>
      <c r="AW22" s="313"/>
      <c r="AX22" s="313"/>
      <c r="AY22" s="313"/>
      <c r="AZ22" s="313"/>
      <c r="BA22" s="313"/>
      <c r="BB22" s="313"/>
    </row>
    <row r="23" spans="1:54">
      <c r="A23" s="315"/>
      <c r="B23" s="313" t="s">
        <v>208</v>
      </c>
      <c r="C23" s="742" t="s">
        <v>208</v>
      </c>
      <c r="D23" s="742" t="s">
        <v>208</v>
      </c>
      <c r="AB23" s="315" t="s">
        <v>57</v>
      </c>
      <c r="AC23" s="316" t="s">
        <v>58</v>
      </c>
    </row>
    <row r="24" spans="1:54" ht="12.75" customHeight="1" thickBot="1"/>
    <row r="25" spans="1:54" ht="21" thickBot="1">
      <c r="A25" s="920" t="s">
        <v>164</v>
      </c>
      <c r="B25" s="921"/>
      <c r="C25" s="921"/>
      <c r="D25" s="921"/>
      <c r="E25" s="921"/>
      <c r="F25" s="921"/>
      <c r="G25" s="921"/>
      <c r="H25" s="921"/>
      <c r="I25" s="921"/>
      <c r="J25" s="921"/>
      <c r="K25" s="921"/>
      <c r="L25" s="921"/>
      <c r="M25" s="922"/>
    </row>
    <row r="26" spans="1:54" ht="15.6" thickBot="1">
      <c r="A26" s="519"/>
      <c r="B26" s="743" t="s">
        <v>24</v>
      </c>
      <c r="C26" s="744"/>
      <c r="D26" s="745"/>
      <c r="E26" s="743" t="s">
        <v>25</v>
      </c>
      <c r="F26" s="744"/>
      <c r="G26" s="744"/>
      <c r="H26" s="744"/>
      <c r="I26" s="744"/>
      <c r="J26" s="745"/>
      <c r="K26" s="743" t="s">
        <v>26</v>
      </c>
      <c r="L26" s="743" t="s">
        <v>2</v>
      </c>
      <c r="M26" s="745"/>
      <c r="N26" s="743" t="s">
        <v>193</v>
      </c>
      <c r="O26" s="745"/>
    </row>
    <row r="27" spans="1:54" ht="45.6" thickBot="1">
      <c r="A27" s="300" t="s">
        <v>3</v>
      </c>
      <c r="B27" s="484" t="s">
        <v>27</v>
      </c>
      <c r="C27" s="484" t="s">
        <v>28</v>
      </c>
      <c r="D27" s="484" t="s">
        <v>29</v>
      </c>
      <c r="E27" s="484" t="s">
        <v>30</v>
      </c>
      <c r="F27" s="484" t="s">
        <v>31</v>
      </c>
      <c r="G27" s="484" t="s">
        <v>32</v>
      </c>
      <c r="H27" s="484" t="s">
        <v>33</v>
      </c>
      <c r="I27" s="484" t="s">
        <v>34</v>
      </c>
      <c r="J27" s="484" t="s">
        <v>35</v>
      </c>
      <c r="K27" s="520" t="s">
        <v>36</v>
      </c>
      <c r="L27" s="484" t="s">
        <v>38</v>
      </c>
      <c r="M27" s="484" t="s">
        <v>37</v>
      </c>
      <c r="N27" s="484" t="s">
        <v>197</v>
      </c>
      <c r="O27" s="484" t="s">
        <v>82</v>
      </c>
    </row>
    <row r="28" spans="1:54" s="323" customFormat="1" ht="15.6" thickBot="1">
      <c r="A28" s="521" t="s">
        <v>63</v>
      </c>
      <c r="B28" s="600">
        <v>568740.08721000003</v>
      </c>
      <c r="C28" s="522"/>
      <c r="D28" s="358">
        <v>0.14268972643200001</v>
      </c>
      <c r="E28" s="600">
        <v>354193.60924000002</v>
      </c>
      <c r="F28" s="522"/>
      <c r="G28" s="522"/>
      <c r="H28" s="522"/>
      <c r="I28" s="522"/>
      <c r="J28" s="522"/>
      <c r="K28" s="356">
        <v>0.48359501330100002</v>
      </c>
      <c r="L28" s="522"/>
      <c r="M28" s="522"/>
      <c r="N28" s="522"/>
      <c r="O28" s="522"/>
    </row>
    <row r="29" spans="1:54" ht="15.6" thickTop="1" thickBot="1">
      <c r="A29" s="493" t="s">
        <v>16</v>
      </c>
      <c r="B29" s="600">
        <v>268254.8566</v>
      </c>
      <c r="C29" s="494"/>
      <c r="D29" s="358">
        <v>0.123768255804</v>
      </c>
      <c r="E29" s="600">
        <v>158831.65117999999</v>
      </c>
      <c r="F29" s="523"/>
      <c r="G29" s="495"/>
      <c r="H29" s="494"/>
      <c r="I29" s="523"/>
      <c r="J29" s="494"/>
      <c r="K29" s="358">
        <v>0.40114791181300002</v>
      </c>
      <c r="L29" s="495"/>
      <c r="M29" s="495"/>
      <c r="N29" s="524"/>
      <c r="O29" s="500"/>
    </row>
    <row r="30" spans="1:54" ht="15" thickBot="1">
      <c r="A30" s="501" t="s">
        <v>23</v>
      </c>
      <c r="B30" s="600">
        <v>30518.945879999999</v>
      </c>
      <c r="C30" s="494"/>
      <c r="D30" s="358">
        <v>1.2383807603999999E-2</v>
      </c>
      <c r="E30" s="600">
        <v>12002.00325</v>
      </c>
      <c r="F30" s="523"/>
      <c r="G30" s="495"/>
      <c r="H30" s="494"/>
      <c r="I30" s="523"/>
      <c r="J30" s="494"/>
      <c r="K30" s="358">
        <v>0.16239653133599999</v>
      </c>
      <c r="L30" s="495"/>
      <c r="M30" s="495"/>
      <c r="N30" s="524"/>
      <c r="O30" s="500"/>
    </row>
    <row r="31" spans="1:54" ht="15" thickBot="1">
      <c r="A31" s="501" t="s">
        <v>15</v>
      </c>
      <c r="B31" s="600">
        <v>231758.83730000001</v>
      </c>
      <c r="C31" s="494"/>
      <c r="D31" s="358">
        <v>0.13759800335700001</v>
      </c>
      <c r="E31" s="600">
        <v>156732.96943</v>
      </c>
      <c r="F31" s="523"/>
      <c r="G31" s="495"/>
      <c r="H31" s="494"/>
      <c r="I31" s="523"/>
      <c r="J31" s="494"/>
      <c r="K31" s="358">
        <v>0.54515464783900003</v>
      </c>
      <c r="L31" s="495"/>
      <c r="M31" s="495"/>
      <c r="N31" s="524"/>
      <c r="O31" s="500"/>
    </row>
    <row r="32" spans="1:54" ht="15" thickBot="1">
      <c r="A32" s="501" t="s">
        <v>20</v>
      </c>
      <c r="B32" s="600">
        <v>68726.393309999999</v>
      </c>
      <c r="C32" s="494"/>
      <c r="D32" s="358">
        <v>0.243154180473</v>
      </c>
      <c r="E32" s="600">
        <v>38628.98863</v>
      </c>
      <c r="F32" s="523"/>
      <c r="G32" s="495"/>
      <c r="H32" s="494"/>
      <c r="I32" s="523"/>
      <c r="J32" s="494"/>
      <c r="K32" s="358">
        <v>0.41529672053</v>
      </c>
      <c r="L32" s="495"/>
      <c r="M32" s="495"/>
      <c r="N32" s="524"/>
      <c r="O32" s="500"/>
    </row>
    <row r="33" spans="1:15" ht="15.6" thickBot="1">
      <c r="A33" s="525" t="s">
        <v>62</v>
      </c>
      <c r="B33" s="600">
        <v>1615519.4344800001</v>
      </c>
      <c r="C33" s="494"/>
      <c r="D33" s="364">
        <v>6.2775092660000004E-2</v>
      </c>
      <c r="E33" s="600">
        <v>685803.80275999999</v>
      </c>
      <c r="F33" s="523"/>
      <c r="G33" s="495"/>
      <c r="H33" s="494"/>
      <c r="I33" s="523"/>
      <c r="J33" s="494"/>
      <c r="K33" s="360">
        <v>0.43386643857700002</v>
      </c>
      <c r="L33" s="495"/>
      <c r="M33" s="495"/>
      <c r="N33" s="524"/>
      <c r="O33" s="500"/>
    </row>
    <row r="34" spans="1:15" ht="15" thickBot="1">
      <c r="A34" s="493" t="s">
        <v>21</v>
      </c>
      <c r="B34" s="600">
        <v>59084.240810000003</v>
      </c>
      <c r="C34" s="494"/>
      <c r="D34" s="358">
        <v>-7.9404160392000003E-2</v>
      </c>
      <c r="E34" s="600">
        <v>18143.391520000001</v>
      </c>
      <c r="F34" s="523"/>
      <c r="G34" s="495"/>
      <c r="H34" s="494"/>
      <c r="I34" s="523"/>
      <c r="J34" s="494"/>
      <c r="K34" s="358">
        <v>0.41467205470899998</v>
      </c>
      <c r="L34" s="495"/>
      <c r="M34" s="495"/>
      <c r="N34" s="524"/>
      <c r="O34" s="500"/>
    </row>
    <row r="35" spans="1:15" ht="15" thickBot="1">
      <c r="A35" s="501" t="s">
        <v>18</v>
      </c>
      <c r="B35" s="600">
        <v>233006.06</v>
      </c>
      <c r="C35" s="494"/>
      <c r="D35" s="358">
        <v>-8.0580690216000006E-2</v>
      </c>
      <c r="E35" s="600">
        <v>72160.051170000006</v>
      </c>
      <c r="F35" s="523"/>
      <c r="G35" s="495"/>
      <c r="H35" s="494"/>
      <c r="I35" s="523"/>
      <c r="J35" s="494"/>
      <c r="K35" s="358">
        <v>0.674347360309</v>
      </c>
      <c r="L35" s="495"/>
      <c r="M35" s="495"/>
      <c r="N35" s="524"/>
      <c r="O35" s="500"/>
    </row>
    <row r="36" spans="1:15" ht="15" thickBot="1">
      <c r="A36" s="501" t="s">
        <v>13</v>
      </c>
      <c r="B36" s="600">
        <v>681460.93559999997</v>
      </c>
      <c r="C36" s="494"/>
      <c r="D36" s="358">
        <v>0.11583392205199999</v>
      </c>
      <c r="E36" s="600">
        <v>308150.22366999998</v>
      </c>
      <c r="F36" s="523"/>
      <c r="G36" s="495"/>
      <c r="H36" s="494"/>
      <c r="I36" s="523"/>
      <c r="J36" s="494"/>
      <c r="K36" s="358">
        <v>0.34018856692900001</v>
      </c>
      <c r="L36" s="495"/>
      <c r="M36" s="495"/>
      <c r="N36" s="524"/>
      <c r="O36" s="500"/>
    </row>
    <row r="37" spans="1:15" ht="15" thickBot="1">
      <c r="A37" s="501" t="s">
        <v>14</v>
      </c>
      <c r="B37" s="600">
        <v>84623.835149999999</v>
      </c>
      <c r="C37" s="494"/>
      <c r="D37" s="358">
        <v>0.13997184942900001</v>
      </c>
      <c r="E37" s="600">
        <v>44532.481440000003</v>
      </c>
      <c r="F37" s="523"/>
      <c r="G37" s="495"/>
      <c r="H37" s="494"/>
      <c r="I37" s="523"/>
      <c r="J37" s="494"/>
      <c r="K37" s="358">
        <v>0.49132666692100002</v>
      </c>
      <c r="L37" s="495"/>
      <c r="M37" s="495"/>
      <c r="N37" s="524"/>
      <c r="O37" s="500"/>
    </row>
    <row r="38" spans="1:15" ht="15" thickBot="1">
      <c r="A38" s="723" t="s">
        <v>19</v>
      </c>
      <c r="B38" s="600">
        <v>142187.6366</v>
      </c>
      <c r="C38" s="494"/>
      <c r="D38" s="605">
        <v>-2.2626130045000001E-2</v>
      </c>
      <c r="E38" s="726">
        <v>57935.68535</v>
      </c>
      <c r="F38" s="523"/>
      <c r="G38" s="495"/>
      <c r="H38" s="494"/>
      <c r="I38" s="523"/>
      <c r="J38" s="494"/>
      <c r="K38" s="358">
        <v>0.497690475809</v>
      </c>
      <c r="L38" s="495"/>
      <c r="M38" s="495"/>
      <c r="N38" s="524"/>
      <c r="O38" s="500"/>
    </row>
    <row r="39" spans="1:15" ht="15" thickBot="1">
      <c r="A39" s="501" t="s">
        <v>22</v>
      </c>
      <c r="B39" s="600">
        <v>102731.20991000001</v>
      </c>
      <c r="C39" s="494"/>
      <c r="D39" s="358">
        <v>0.106045855174</v>
      </c>
      <c r="E39" s="600">
        <v>57431.781230000001</v>
      </c>
      <c r="F39" s="523"/>
      <c r="G39" s="495"/>
      <c r="H39" s="494"/>
      <c r="I39" s="523"/>
      <c r="J39" s="494"/>
      <c r="K39" s="358">
        <v>0.66708410761799997</v>
      </c>
      <c r="L39" s="495"/>
      <c r="M39" s="495"/>
      <c r="N39" s="524"/>
      <c r="O39" s="500"/>
    </row>
    <row r="40" spans="1:15" ht="15" thickBot="1">
      <c r="A40" s="501" t="s">
        <v>17</v>
      </c>
      <c r="B40" s="600">
        <v>312425.51640999998</v>
      </c>
      <c r="C40" s="494"/>
      <c r="D40" s="358">
        <v>0.11910497823299999</v>
      </c>
      <c r="E40" s="600">
        <v>127450.18838000001</v>
      </c>
      <c r="F40" s="523"/>
      <c r="G40" s="495"/>
      <c r="H40" s="494"/>
      <c r="I40" s="523"/>
      <c r="J40" s="494"/>
      <c r="K40" s="358">
        <v>0.394182219587</v>
      </c>
      <c r="L40" s="495"/>
      <c r="M40" s="495"/>
      <c r="N40" s="524"/>
      <c r="O40" s="500"/>
    </row>
    <row r="41" spans="1:15" ht="16.2" thickTop="1" thickBot="1">
      <c r="A41" s="526" t="s">
        <v>64</v>
      </c>
      <c r="B41" s="601">
        <v>2184259.5216899998</v>
      </c>
      <c r="C41" s="527"/>
      <c r="D41" s="358">
        <v>8.2487075534000004E-2</v>
      </c>
      <c r="E41" s="601">
        <v>1039997.412</v>
      </c>
      <c r="F41" s="528"/>
      <c r="G41" s="529"/>
      <c r="H41" s="527"/>
      <c r="I41" s="528"/>
      <c r="J41" s="527"/>
      <c r="K41" s="365">
        <v>0.45400623390299999</v>
      </c>
      <c r="L41" s="529"/>
      <c r="M41" s="529"/>
      <c r="N41" s="530"/>
      <c r="O41" s="531"/>
    </row>
    <row r="42" spans="1:15" ht="12.75" customHeight="1" thickBot="1">
      <c r="B42" s="742" t="s">
        <v>206</v>
      </c>
      <c r="C42" s="742" t="s">
        <v>145</v>
      </c>
      <c r="D42" s="479"/>
      <c r="E42" s="742" t="s">
        <v>207</v>
      </c>
    </row>
    <row r="43" spans="1:15" ht="12.75" customHeight="1" thickBot="1">
      <c r="C43" s="742" t="s">
        <v>142</v>
      </c>
      <c r="D43" s="478"/>
    </row>
    <row r="44" spans="1:15" ht="12.75" customHeight="1" thickBot="1"/>
    <row r="45" spans="1:15" ht="21" thickBot="1">
      <c r="A45" s="916" t="s">
        <v>165</v>
      </c>
      <c r="B45" s="917"/>
      <c r="C45" s="917"/>
      <c r="D45" s="917"/>
      <c r="E45" s="917"/>
      <c r="F45" s="917"/>
      <c r="G45" s="917"/>
      <c r="H45" s="917"/>
      <c r="I45" s="917"/>
      <c r="J45" s="917"/>
      <c r="K45" s="917"/>
      <c r="L45" s="917"/>
      <c r="M45" s="918"/>
    </row>
    <row r="46" spans="1:15" ht="15.6" thickBot="1">
      <c r="A46" s="519"/>
      <c r="B46" s="743" t="s">
        <v>24</v>
      </c>
      <c r="C46" s="744"/>
      <c r="D46" s="745"/>
      <c r="E46" s="743" t="s">
        <v>25</v>
      </c>
      <c r="F46" s="744"/>
      <c r="G46" s="744"/>
      <c r="H46" s="744"/>
      <c r="I46" s="744"/>
      <c r="J46" s="745"/>
      <c r="K46" s="743" t="s">
        <v>26</v>
      </c>
      <c r="L46" s="743" t="s">
        <v>2</v>
      </c>
      <c r="M46" s="745"/>
      <c r="N46" s="743" t="s">
        <v>193</v>
      </c>
      <c r="O46" s="745"/>
    </row>
    <row r="47" spans="1:15" ht="45.6" thickBot="1">
      <c r="A47" s="300" t="s">
        <v>3</v>
      </c>
      <c r="B47" s="484" t="s">
        <v>27</v>
      </c>
      <c r="C47" s="484" t="s">
        <v>28</v>
      </c>
      <c r="D47" s="484" t="s">
        <v>29</v>
      </c>
      <c r="E47" s="484" t="s">
        <v>30</v>
      </c>
      <c r="F47" s="484" t="s">
        <v>31</v>
      </c>
      <c r="G47" s="484" t="s">
        <v>32</v>
      </c>
      <c r="H47" s="484" t="s">
        <v>33</v>
      </c>
      <c r="I47" s="484" t="s">
        <v>34</v>
      </c>
      <c r="J47" s="484" t="s">
        <v>35</v>
      </c>
      <c r="K47" s="520" t="s">
        <v>36</v>
      </c>
      <c r="L47" s="484" t="s">
        <v>38</v>
      </c>
      <c r="M47" s="484" t="s">
        <v>37</v>
      </c>
      <c r="N47" s="484" t="s">
        <v>197</v>
      </c>
      <c r="O47" s="484" t="s">
        <v>82</v>
      </c>
    </row>
    <row r="48" spans="1:15" ht="15.6" thickBot="1">
      <c r="A48" s="521" t="s">
        <v>63</v>
      </c>
      <c r="B48" s="600">
        <v>22006.425220000001</v>
      </c>
      <c r="D48" s="358">
        <v>8.2042271671000006E-2</v>
      </c>
      <c r="E48" s="600">
        <v>7411.04961</v>
      </c>
      <c r="K48" s="900">
        <v>1.714236939E-3</v>
      </c>
      <c r="L48" s="575"/>
      <c r="M48" s="575"/>
      <c r="N48" s="575"/>
      <c r="O48" s="575"/>
    </row>
    <row r="49" spans="1:15" ht="15.6" thickTop="1" thickBot="1">
      <c r="A49" s="493" t="s">
        <v>16</v>
      </c>
      <c r="B49" s="600">
        <v>11861.761399999999</v>
      </c>
      <c r="C49" s="494"/>
      <c r="D49" s="358">
        <v>0.18321577082099999</v>
      </c>
      <c r="E49" s="600">
        <v>3724.2779300000002</v>
      </c>
      <c r="F49" s="523"/>
      <c r="G49" s="495"/>
      <c r="H49" s="494"/>
      <c r="I49" s="523"/>
      <c r="J49" s="494"/>
      <c r="K49" s="901">
        <v>1.19517877E-3</v>
      </c>
      <c r="L49" s="902"/>
      <c r="M49" s="902"/>
      <c r="N49" s="903"/>
      <c r="O49" s="904"/>
    </row>
    <row r="50" spans="1:15" ht="15" thickBot="1">
      <c r="A50" s="501" t="s">
        <v>23</v>
      </c>
      <c r="B50" s="600">
        <v>5799.2669100000003</v>
      </c>
      <c r="C50" s="494"/>
      <c r="D50" s="358">
        <v>3.1603268960611197E-5</v>
      </c>
      <c r="E50" s="600">
        <v>1424.41806</v>
      </c>
      <c r="F50" s="523"/>
      <c r="G50" s="495"/>
      <c r="H50" s="494"/>
      <c r="I50" s="523"/>
      <c r="J50" s="494"/>
      <c r="K50" s="358">
        <v>4.1880173430000004E-3</v>
      </c>
      <c r="L50" s="495"/>
      <c r="M50" s="495"/>
      <c r="N50" s="524"/>
      <c r="O50" s="500"/>
    </row>
    <row r="51" spans="1:15" ht="15" thickBot="1">
      <c r="A51" s="501" t="s">
        <v>15</v>
      </c>
      <c r="B51" s="600">
        <v>8082.0348800000002</v>
      </c>
      <c r="C51" s="494"/>
      <c r="D51" s="358">
        <v>0.184599576628</v>
      </c>
      <c r="E51" s="600">
        <v>3563.2117499999999</v>
      </c>
      <c r="F51" s="523"/>
      <c r="G51" s="495"/>
      <c r="H51" s="494"/>
      <c r="I51" s="523"/>
      <c r="J51" s="494"/>
      <c r="K51" s="358">
        <v>1.786014456E-3</v>
      </c>
      <c r="L51" s="495"/>
      <c r="M51" s="495"/>
      <c r="N51" s="524"/>
      <c r="O51" s="500"/>
    </row>
    <row r="52" spans="1:15" ht="15" thickBot="1">
      <c r="A52" s="501" t="s">
        <v>20</v>
      </c>
      <c r="B52" s="600">
        <v>2062.6289400000001</v>
      </c>
      <c r="C52" s="494"/>
      <c r="D52" s="358">
        <v>-0.40903171723999998</v>
      </c>
      <c r="E52" s="600">
        <v>123.55992999999999</v>
      </c>
      <c r="F52" s="523"/>
      <c r="G52" s="495"/>
      <c r="H52" s="494"/>
      <c r="I52" s="523"/>
      <c r="J52" s="494"/>
      <c r="K52" s="358">
        <v>3.3886912929999998E-3</v>
      </c>
      <c r="L52" s="495"/>
      <c r="M52" s="495"/>
      <c r="N52" s="524"/>
      <c r="O52" s="500"/>
    </row>
    <row r="53" spans="1:15" ht="15.6" thickBot="1">
      <c r="A53" s="525" t="s">
        <v>62</v>
      </c>
      <c r="B53" s="602">
        <v>159440.57889</v>
      </c>
      <c r="C53" s="494"/>
      <c r="D53" s="364">
        <v>2.2225167819E-2</v>
      </c>
      <c r="E53" s="600">
        <v>26983.808949999999</v>
      </c>
      <c r="F53" s="523"/>
      <c r="G53" s="495"/>
      <c r="H53" s="494"/>
      <c r="I53" s="523"/>
      <c r="J53" s="494"/>
      <c r="K53" s="360">
        <v>4.5397327479999999E-3</v>
      </c>
      <c r="L53" s="495"/>
      <c r="M53" s="495"/>
      <c r="N53" s="524"/>
      <c r="O53" s="500"/>
    </row>
    <row r="54" spans="1:15" ht="15" thickBot="1">
      <c r="A54" s="493" t="s">
        <v>21</v>
      </c>
      <c r="B54" s="600">
        <v>4861.3197899999996</v>
      </c>
      <c r="C54" s="494"/>
      <c r="D54" s="358">
        <v>0.234243541818</v>
      </c>
      <c r="E54" s="600">
        <v>1203.72468</v>
      </c>
      <c r="F54" s="523"/>
      <c r="G54" s="495"/>
      <c r="H54" s="500"/>
      <c r="I54" s="523"/>
      <c r="J54" s="500"/>
      <c r="K54" s="358">
        <v>4.1653714640000001E-3</v>
      </c>
      <c r="L54" s="495"/>
      <c r="M54" s="495"/>
      <c r="N54" s="524"/>
      <c r="O54" s="500"/>
    </row>
    <row r="55" spans="1:15" ht="15" thickBot="1">
      <c r="A55" s="501" t="s">
        <v>18</v>
      </c>
      <c r="B55" s="600">
        <v>13770.659589999999</v>
      </c>
      <c r="C55" s="494"/>
      <c r="D55" s="358">
        <v>1.8205600166000001E-2</v>
      </c>
      <c r="E55" s="600">
        <v>2547.83653</v>
      </c>
      <c r="F55" s="523"/>
      <c r="G55" s="495"/>
      <c r="H55" s="494"/>
      <c r="I55" s="523"/>
      <c r="J55" s="494"/>
      <c r="K55" s="358">
        <v>7.7433420409999997E-3</v>
      </c>
      <c r="L55" s="495"/>
      <c r="M55" s="495"/>
      <c r="N55" s="524"/>
      <c r="O55" s="500"/>
    </row>
    <row r="56" spans="1:15" ht="15" thickBot="1">
      <c r="A56" s="501" t="s">
        <v>13</v>
      </c>
      <c r="B56" s="600">
        <v>89031.118369999997</v>
      </c>
      <c r="C56" s="494"/>
      <c r="D56" s="358">
        <v>5.4654933076000001E-2</v>
      </c>
      <c r="E56" s="600">
        <v>14513.93578</v>
      </c>
      <c r="F56" s="523"/>
      <c r="G56" s="495"/>
      <c r="H56" s="494"/>
      <c r="I56" s="523"/>
      <c r="J56" s="494"/>
      <c r="K56" s="358">
        <v>5.4611440750000004E-3</v>
      </c>
      <c r="L56" s="495"/>
      <c r="M56" s="495"/>
      <c r="N56" s="524"/>
      <c r="O56" s="500"/>
    </row>
    <row r="57" spans="1:15" ht="15" thickBot="1">
      <c r="A57" s="501" t="s">
        <v>14</v>
      </c>
      <c r="B57" s="600">
        <v>3064.8099699999998</v>
      </c>
      <c r="C57" s="494"/>
      <c r="D57" s="358">
        <v>0.14447542582299999</v>
      </c>
      <c r="E57" s="600">
        <v>731.31389999999999</v>
      </c>
      <c r="F57" s="523"/>
      <c r="G57" s="495"/>
      <c r="H57" s="494"/>
      <c r="I57" s="523"/>
      <c r="J57" s="494"/>
      <c r="K57" s="358">
        <v>1.2213274299999999E-3</v>
      </c>
      <c r="L57" s="495"/>
      <c r="M57" s="495"/>
      <c r="N57" s="524"/>
      <c r="O57" s="500"/>
    </row>
    <row r="58" spans="1:15" ht="15" thickBot="1">
      <c r="A58" s="501" t="s">
        <v>19</v>
      </c>
      <c r="B58" s="600">
        <v>5564.3597499999996</v>
      </c>
      <c r="C58" s="494"/>
      <c r="D58" s="358">
        <v>-9.4886166797000002E-2</v>
      </c>
      <c r="E58" s="600">
        <v>404.91838000000001</v>
      </c>
      <c r="F58" s="523"/>
      <c r="G58" s="495"/>
      <c r="H58" s="494"/>
      <c r="I58" s="523"/>
      <c r="J58" s="500"/>
      <c r="K58" s="358">
        <v>2.1896526920000001E-3</v>
      </c>
      <c r="L58" s="495"/>
      <c r="M58" s="495"/>
      <c r="N58" s="524"/>
      <c r="O58" s="500"/>
    </row>
    <row r="59" spans="1:15" ht="15" thickBot="1">
      <c r="A59" s="501" t="s">
        <v>22</v>
      </c>
      <c r="B59" s="600">
        <v>6533.2435400000004</v>
      </c>
      <c r="C59" s="494"/>
      <c r="D59" s="358">
        <v>-0.16471751587200001</v>
      </c>
      <c r="E59" s="600">
        <v>1012.24109</v>
      </c>
      <c r="F59" s="523"/>
      <c r="G59" s="495"/>
      <c r="H59" s="494"/>
      <c r="I59" s="523"/>
      <c r="J59" s="494"/>
      <c r="K59" s="358">
        <v>6.9887694909999999E-3</v>
      </c>
      <c r="L59" s="495"/>
      <c r="M59" s="495"/>
      <c r="N59" s="524"/>
      <c r="O59" s="500"/>
    </row>
    <row r="60" spans="1:15" ht="15" thickBot="1">
      <c r="A60" s="501" t="s">
        <v>17</v>
      </c>
      <c r="B60" s="600">
        <v>36615.067880000002</v>
      </c>
      <c r="C60" s="494"/>
      <c r="D60" s="358">
        <v>-2.2200204728000002E-2</v>
      </c>
      <c r="E60" s="600">
        <v>6569.8385900000003</v>
      </c>
      <c r="F60" s="523"/>
      <c r="G60" s="495"/>
      <c r="H60" s="494"/>
      <c r="I60" s="523"/>
      <c r="J60" s="494"/>
      <c r="K60" s="358">
        <v>4.8447433510000002E-3</v>
      </c>
      <c r="L60" s="495"/>
      <c r="M60" s="495"/>
      <c r="N60" s="524"/>
      <c r="O60" s="500"/>
    </row>
    <row r="61" spans="1:15" ht="16.2" thickTop="1" thickBot="1">
      <c r="A61" s="526" t="s">
        <v>64</v>
      </c>
      <c r="B61" s="601">
        <v>181447.00411000001</v>
      </c>
      <c r="C61" s="527"/>
      <c r="D61" s="358">
        <v>2.9125167204000001E-2</v>
      </c>
      <c r="E61" s="601">
        <v>34394.858560000001</v>
      </c>
      <c r="F61" s="528"/>
      <c r="G61" s="529"/>
      <c r="H61" s="527"/>
      <c r="I61" s="528"/>
      <c r="J61" s="527"/>
      <c r="K61" s="365">
        <v>3.3954227090000001E-3</v>
      </c>
      <c r="L61" s="529"/>
      <c r="M61" s="529"/>
      <c r="N61" s="530"/>
      <c r="O61" s="531"/>
    </row>
    <row r="62" spans="1:15" ht="12.75" customHeight="1" thickBot="1">
      <c r="B62" s="742" t="s">
        <v>206</v>
      </c>
      <c r="C62" s="742" t="s">
        <v>145</v>
      </c>
      <c r="D62" s="533"/>
      <c r="E62" s="742" t="s">
        <v>207</v>
      </c>
    </row>
    <row r="63" spans="1:15" ht="12.75" customHeight="1" thickBot="1">
      <c r="C63" s="742" t="s">
        <v>142</v>
      </c>
      <c r="D63" s="534"/>
    </row>
    <row r="64" spans="1:15" ht="12.75" customHeight="1" thickBot="1"/>
    <row r="65" spans="1:9" ht="21" thickBot="1">
      <c r="A65" s="916" t="s">
        <v>39</v>
      </c>
      <c r="B65" s="917"/>
      <c r="C65" s="917"/>
      <c r="D65" s="917"/>
      <c r="E65" s="917"/>
      <c r="F65" s="917"/>
      <c r="G65" s="918"/>
    </row>
    <row r="66" spans="1:9" ht="15.6" thickBot="1">
      <c r="A66" s="519"/>
      <c r="B66" s="743" t="s">
        <v>24</v>
      </c>
      <c r="C66" s="745"/>
      <c r="D66" s="743" t="s">
        <v>25</v>
      </c>
      <c r="E66" s="743" t="s">
        <v>26</v>
      </c>
      <c r="F66" s="743" t="s">
        <v>2</v>
      </c>
      <c r="G66" s="745"/>
      <c r="H66" s="743" t="s">
        <v>193</v>
      </c>
      <c r="I66" s="745"/>
    </row>
    <row r="67" spans="1:9" ht="15.6" thickBot="1">
      <c r="A67" s="300" t="s">
        <v>3</v>
      </c>
      <c r="B67" s="484" t="s">
        <v>24</v>
      </c>
      <c r="C67" s="484" t="s">
        <v>40</v>
      </c>
      <c r="D67" s="484" t="s">
        <v>41</v>
      </c>
      <c r="E67" s="484" t="s">
        <v>42</v>
      </c>
      <c r="F67" s="484" t="s">
        <v>43</v>
      </c>
      <c r="G67" s="484" t="s">
        <v>44</v>
      </c>
      <c r="H67" s="484" t="s">
        <v>198</v>
      </c>
      <c r="I67" s="484" t="s">
        <v>82</v>
      </c>
    </row>
    <row r="68" spans="1:9" ht="15" thickBot="1">
      <c r="A68" s="493" t="s">
        <v>16</v>
      </c>
      <c r="B68" s="357">
        <v>363804</v>
      </c>
      <c r="C68" s="494"/>
      <c r="D68" s="357">
        <v>235368</v>
      </c>
      <c r="E68" s="367">
        <v>0.83246835443</v>
      </c>
      <c r="F68" s="495"/>
      <c r="G68" s="495"/>
      <c r="H68" s="495"/>
      <c r="I68" s="500"/>
    </row>
    <row r="69" spans="1:9" ht="15" thickBot="1">
      <c r="A69" s="501" t="s">
        <v>23</v>
      </c>
      <c r="B69" s="357">
        <v>47482</v>
      </c>
      <c r="C69" s="494"/>
      <c r="D69" s="357">
        <v>27681</v>
      </c>
      <c r="E69" s="367">
        <v>0.79681386249300001</v>
      </c>
      <c r="F69" s="495"/>
      <c r="G69" s="495"/>
      <c r="H69" s="495"/>
      <c r="I69" s="500"/>
    </row>
    <row r="70" spans="1:9" ht="15" thickBot="1">
      <c r="A70" s="501" t="s">
        <v>15</v>
      </c>
      <c r="B70" s="357">
        <v>242442</v>
      </c>
      <c r="C70" s="494"/>
      <c r="D70" s="357">
        <v>76788</v>
      </c>
      <c r="E70" s="367">
        <v>0.86223573738100001</v>
      </c>
      <c r="F70" s="495"/>
      <c r="G70" s="495"/>
      <c r="H70" s="495"/>
      <c r="I70" s="500"/>
    </row>
    <row r="71" spans="1:9" ht="15" thickBot="1">
      <c r="A71" s="501" t="s">
        <v>20</v>
      </c>
      <c r="B71" s="357">
        <v>33319</v>
      </c>
      <c r="C71" s="494"/>
      <c r="D71" s="357">
        <v>5639</v>
      </c>
      <c r="E71" s="367">
        <v>0.77035484997400006</v>
      </c>
      <c r="F71" s="495"/>
      <c r="G71" s="495"/>
      <c r="H71" s="495"/>
      <c r="I71" s="500"/>
    </row>
    <row r="72" spans="1:9" ht="15" thickBot="1">
      <c r="A72" s="493" t="s">
        <v>21</v>
      </c>
      <c r="B72" s="357">
        <v>28190</v>
      </c>
      <c r="C72" s="494"/>
      <c r="D72" s="423">
        <v>5095</v>
      </c>
      <c r="E72" s="367">
        <v>0.62279970580999999</v>
      </c>
      <c r="F72" s="495"/>
      <c r="G72" s="495"/>
      <c r="H72" s="495"/>
      <c r="I72" s="500"/>
    </row>
    <row r="73" spans="1:9" ht="15" thickBot="1">
      <c r="A73" s="501" t="s">
        <v>18</v>
      </c>
      <c r="B73" s="357">
        <v>57930</v>
      </c>
      <c r="C73" s="494"/>
      <c r="D73" s="357">
        <v>6314</v>
      </c>
      <c r="E73" s="367">
        <v>0.77745080284900003</v>
      </c>
      <c r="F73" s="495"/>
      <c r="G73" s="495"/>
      <c r="H73" s="495"/>
      <c r="I73" s="500"/>
    </row>
    <row r="74" spans="1:9" ht="15" thickBot="1">
      <c r="A74" s="501" t="s">
        <v>13</v>
      </c>
      <c r="B74" s="357">
        <v>268031</v>
      </c>
      <c r="C74" s="494"/>
      <c r="D74" s="357">
        <v>46989</v>
      </c>
      <c r="E74" s="367">
        <v>0.53997153770399997</v>
      </c>
      <c r="F74" s="495"/>
      <c r="G74" s="495"/>
      <c r="H74" s="495"/>
      <c r="I74" s="500"/>
    </row>
    <row r="75" spans="1:9" ht="15" thickBot="1">
      <c r="A75" s="501" t="s">
        <v>14</v>
      </c>
      <c r="B75" s="357">
        <v>175929</v>
      </c>
      <c r="C75" s="494"/>
      <c r="D75" s="357">
        <v>24384</v>
      </c>
      <c r="E75" s="367">
        <v>0.48921237693300001</v>
      </c>
      <c r="F75" s="495"/>
      <c r="G75" s="495"/>
      <c r="H75" s="495"/>
      <c r="I75" s="500"/>
    </row>
    <row r="76" spans="1:9" ht="15" thickBot="1">
      <c r="A76" s="501" t="s">
        <v>19</v>
      </c>
      <c r="B76" s="423">
        <v>40420</v>
      </c>
      <c r="C76" s="725">
        <v>48620</v>
      </c>
      <c r="D76" s="724">
        <v>4762</v>
      </c>
      <c r="E76" s="424">
        <v>0.55802870924600001</v>
      </c>
      <c r="F76" s="495"/>
      <c r="G76" s="495"/>
      <c r="H76" s="495"/>
      <c r="I76" s="500"/>
    </row>
    <row r="77" spans="1:9" ht="15" thickBot="1">
      <c r="A77" s="501" t="s">
        <v>22</v>
      </c>
      <c r="B77" s="423">
        <v>32676</v>
      </c>
      <c r="C77" s="725">
        <v>5186</v>
      </c>
      <c r="D77" s="724">
        <v>4536</v>
      </c>
      <c r="E77" s="424">
        <v>0.61682207129400002</v>
      </c>
      <c r="F77" s="495"/>
      <c r="G77" s="495"/>
      <c r="H77" s="495"/>
      <c r="I77" s="500"/>
    </row>
    <row r="78" spans="1:9" ht="15" thickBot="1">
      <c r="A78" s="501" t="s">
        <v>17</v>
      </c>
      <c r="B78" s="423">
        <v>106390</v>
      </c>
      <c r="C78" s="725">
        <v>102428</v>
      </c>
      <c r="D78" s="724">
        <v>20624</v>
      </c>
      <c r="E78" s="424">
        <v>0.67749585935000001</v>
      </c>
      <c r="F78" s="495"/>
      <c r="G78" s="495"/>
      <c r="H78" s="495"/>
      <c r="I78" s="500"/>
    </row>
    <row r="79" spans="1:9" ht="12.75" customHeight="1">
      <c r="B79" s="335">
        <v>1349131</v>
      </c>
      <c r="D79" s="335">
        <v>430499</v>
      </c>
      <c r="E79" s="742">
        <v>0.67313810475799996</v>
      </c>
    </row>
    <row r="80" spans="1:9" ht="12.75" customHeight="1">
      <c r="B80" s="742">
        <v>0</v>
      </c>
      <c r="D80" s="742">
        <v>0</v>
      </c>
      <c r="E80" s="742">
        <v>0</v>
      </c>
    </row>
    <row r="81" spans="1:17" ht="16.95" customHeight="1" thickBot="1">
      <c r="B81" s="742">
        <v>1241824</v>
      </c>
      <c r="D81" s="742">
        <v>252520</v>
      </c>
      <c r="E81" s="742">
        <v>0.61384093071699997</v>
      </c>
    </row>
    <row r="82" spans="1:17" ht="21.6" customHeight="1" thickBot="1">
      <c r="A82" s="920" t="s">
        <v>65</v>
      </c>
      <c r="B82" s="921"/>
      <c r="C82" s="921"/>
      <c r="D82" s="921"/>
      <c r="E82" s="921"/>
      <c r="F82" s="921"/>
      <c r="G82" s="921"/>
      <c r="H82" s="921"/>
      <c r="I82" s="921"/>
      <c r="J82" s="921"/>
      <c r="K82" s="922"/>
    </row>
    <row r="83" spans="1:17" ht="15.6" thickBot="1">
      <c r="A83" s="519"/>
      <c r="B83" s="743" t="s">
        <v>24</v>
      </c>
      <c r="C83" s="744"/>
      <c r="D83" s="744"/>
      <c r="E83" s="744"/>
      <c r="F83" s="744"/>
      <c r="G83" s="744"/>
      <c r="H83" s="745"/>
      <c r="I83" s="743" t="s">
        <v>25</v>
      </c>
      <c r="J83" s="745"/>
      <c r="K83" s="743" t="s">
        <v>26</v>
      </c>
      <c r="L83" s="744"/>
      <c r="M83" s="744"/>
      <c r="N83" s="744"/>
      <c r="O83" s="745"/>
      <c r="P83" s="743" t="s">
        <v>193</v>
      </c>
      <c r="Q83" s="745"/>
    </row>
    <row r="84" spans="1:17" ht="45.6" thickBot="1">
      <c r="A84" s="300" t="s">
        <v>3</v>
      </c>
      <c r="B84" s="484" t="s">
        <v>45</v>
      </c>
      <c r="C84" s="484" t="s">
        <v>46</v>
      </c>
      <c r="D84" s="484" t="s">
        <v>231</v>
      </c>
      <c r="E84" s="484" t="s">
        <v>47</v>
      </c>
      <c r="F84" s="484" t="s">
        <v>48</v>
      </c>
      <c r="G84" s="484" t="s">
        <v>28</v>
      </c>
      <c r="H84" s="485" t="s">
        <v>49</v>
      </c>
      <c r="I84" s="484" t="s">
        <v>50</v>
      </c>
      <c r="J84" s="484" t="s">
        <v>51</v>
      </c>
      <c r="K84" s="485" t="s">
        <v>52</v>
      </c>
      <c r="L84" s="484" t="s">
        <v>232</v>
      </c>
      <c r="M84" s="484" t="s">
        <v>233</v>
      </c>
      <c r="N84" s="484" t="s">
        <v>234</v>
      </c>
      <c r="O84" s="484" t="s">
        <v>53</v>
      </c>
      <c r="P84" s="484" t="s">
        <v>198</v>
      </c>
      <c r="Q84" s="484" t="s">
        <v>82</v>
      </c>
    </row>
    <row r="85" spans="1:17" ht="15.6" thickBot="1">
      <c r="A85" s="535" t="s">
        <v>63</v>
      </c>
      <c r="B85" s="355">
        <v>499582</v>
      </c>
      <c r="C85" s="355">
        <v>361920.49157999997</v>
      </c>
      <c r="D85" s="487"/>
      <c r="E85" s="355">
        <v>368504.08593</v>
      </c>
      <c r="F85" s="355">
        <v>80775.416509999995</v>
      </c>
      <c r="G85" s="478"/>
      <c r="H85" s="356">
        <v>1.5922239006999999E-2</v>
      </c>
      <c r="I85" s="487"/>
      <c r="J85" s="487"/>
      <c r="K85" s="356">
        <v>0.90539054377899997</v>
      </c>
      <c r="L85" s="478"/>
      <c r="M85" s="478"/>
      <c r="N85" s="356">
        <v>0.88351250231099998</v>
      </c>
      <c r="O85" s="356">
        <v>0.37871061698199998</v>
      </c>
      <c r="P85" s="487"/>
      <c r="Q85" s="492"/>
    </row>
    <row r="86" spans="1:17" ht="15" thickBot="1">
      <c r="A86" s="501" t="s">
        <v>16</v>
      </c>
      <c r="B86" s="357">
        <v>178900</v>
      </c>
      <c r="C86" s="357">
        <v>201092.84909999999</v>
      </c>
      <c r="D86" s="499"/>
      <c r="E86" s="357">
        <v>279238.89276999998</v>
      </c>
      <c r="F86" s="357">
        <v>26980.69011</v>
      </c>
      <c r="G86" s="494"/>
      <c r="H86" s="358">
        <v>-1.5711636806E-2</v>
      </c>
      <c r="I86" s="495"/>
      <c r="J86" s="495"/>
      <c r="K86" s="358">
        <v>0.85082853854999996</v>
      </c>
      <c r="L86" s="494"/>
      <c r="M86" s="494"/>
      <c r="N86" s="358">
        <v>0.86724737499500004</v>
      </c>
      <c r="O86" s="358">
        <v>0.37682393555799998</v>
      </c>
      <c r="P86" s="495"/>
      <c r="Q86" s="500"/>
    </row>
    <row r="87" spans="1:17" ht="15" thickBot="1">
      <c r="A87" s="501" t="s">
        <v>23</v>
      </c>
      <c r="B87" s="357">
        <v>27048</v>
      </c>
      <c r="C87" s="357">
        <v>54511.449890000004</v>
      </c>
      <c r="D87" s="499"/>
      <c r="E87" s="357">
        <v>37205.97352</v>
      </c>
      <c r="F87" s="357">
        <v>15455.512049999999</v>
      </c>
      <c r="G87" s="494"/>
      <c r="H87" s="358"/>
      <c r="I87" s="495"/>
      <c r="J87" s="495"/>
      <c r="K87" s="358"/>
      <c r="L87" s="494"/>
      <c r="M87" s="494"/>
      <c r="N87" s="358"/>
      <c r="O87" s="358"/>
      <c r="P87" s="495"/>
      <c r="Q87" s="500"/>
    </row>
    <row r="88" spans="1:17" ht="15" thickBot="1">
      <c r="A88" s="501" t="s">
        <v>15</v>
      </c>
      <c r="B88" s="357">
        <v>268937</v>
      </c>
      <c r="C88" s="357">
        <v>96312.809450000001</v>
      </c>
      <c r="D88" s="499"/>
      <c r="E88" s="357">
        <v>61904.767849999997</v>
      </c>
      <c r="F88" s="357">
        <v>53468.958379999996</v>
      </c>
      <c r="G88" s="494"/>
      <c r="H88" s="358">
        <v>0.13898354810800001</v>
      </c>
      <c r="I88" s="495"/>
      <c r="J88" s="495"/>
      <c r="K88" s="358">
        <v>0.93478149837500002</v>
      </c>
      <c r="L88" s="494"/>
      <c r="M88" s="494"/>
      <c r="N88" s="358">
        <v>0.94592788703899999</v>
      </c>
      <c r="O88" s="358">
        <v>0.40991792683700001</v>
      </c>
      <c r="P88" s="495"/>
      <c r="Q88" s="500"/>
    </row>
    <row r="89" spans="1:17" ht="15" thickBot="1">
      <c r="A89" s="501" t="s">
        <v>20</v>
      </c>
      <c r="B89" s="357">
        <v>51745</v>
      </c>
      <c r="C89" s="357">
        <v>64514.833030000002</v>
      </c>
      <c r="D89" s="499"/>
      <c r="E89" s="357">
        <v>27360.425309999999</v>
      </c>
      <c r="F89" s="357">
        <v>325.76801999999998</v>
      </c>
      <c r="G89" s="494"/>
      <c r="H89" s="358">
        <v>-5.1627588051999997E-2</v>
      </c>
      <c r="I89" s="495"/>
      <c r="J89" s="495"/>
      <c r="K89" s="358">
        <v>0.95916942004399997</v>
      </c>
      <c r="L89" s="494"/>
      <c r="M89" s="494"/>
      <c r="N89" s="358">
        <v>0.53502114431299996</v>
      </c>
      <c r="O89" s="358">
        <v>0.17414779595400001</v>
      </c>
      <c r="P89" s="495"/>
      <c r="Q89" s="500"/>
    </row>
    <row r="90" spans="1:17" ht="15.6" thickBot="1">
      <c r="A90" s="536" t="s">
        <v>62</v>
      </c>
      <c r="B90" s="359">
        <v>943558</v>
      </c>
      <c r="C90" s="359">
        <v>1149096.1729900001</v>
      </c>
      <c r="D90" s="502"/>
      <c r="E90" s="359">
        <v>1514831.5665500001</v>
      </c>
      <c r="F90" s="359">
        <v>450705.42197000002</v>
      </c>
      <c r="G90" s="479"/>
      <c r="H90" s="360">
        <v>5.8059699627999999E-2</v>
      </c>
      <c r="I90" s="502"/>
      <c r="J90" s="502"/>
      <c r="K90" s="360">
        <v>0.772363754598</v>
      </c>
      <c r="L90" s="479"/>
      <c r="M90" s="479"/>
      <c r="N90" s="360">
        <v>0.51272674456099998</v>
      </c>
      <c r="O90" s="360">
        <v>0.55888703568700004</v>
      </c>
      <c r="P90" s="502"/>
      <c r="Q90" s="507"/>
    </row>
    <row r="91" spans="1:17" ht="15" thickBot="1">
      <c r="A91" s="501" t="s">
        <v>21</v>
      </c>
      <c r="B91" s="357">
        <v>19281</v>
      </c>
      <c r="C91" s="357">
        <v>37164.729769999998</v>
      </c>
      <c r="D91" s="499"/>
      <c r="E91" s="357">
        <v>25292.052489999998</v>
      </c>
      <c r="F91" s="357">
        <v>22342.654159999998</v>
      </c>
      <c r="G91" s="494"/>
      <c r="H91" s="358">
        <v>-5.1122237432999998E-2</v>
      </c>
      <c r="I91" s="495"/>
      <c r="J91" s="495"/>
      <c r="K91" s="358">
        <v>0.78867369453199998</v>
      </c>
      <c r="L91" s="494"/>
      <c r="M91" s="494"/>
      <c r="N91" s="358">
        <v>0.47839602113700003</v>
      </c>
      <c r="O91" s="358">
        <v>0.38764403039899997</v>
      </c>
      <c r="P91" s="495"/>
      <c r="Q91" s="500"/>
    </row>
    <row r="92" spans="1:17" ht="16.5" customHeight="1" thickBot="1">
      <c r="A92" s="501" t="s">
        <v>18</v>
      </c>
      <c r="B92" s="357">
        <v>68564</v>
      </c>
      <c r="C92" s="357">
        <v>49870.325579999997</v>
      </c>
      <c r="D92" s="499"/>
      <c r="E92" s="357">
        <v>95149.069799999997</v>
      </c>
      <c r="F92" s="357">
        <v>61058.13536</v>
      </c>
      <c r="G92" s="494"/>
      <c r="H92" s="358">
        <v>-1.5598336024999999E-2</v>
      </c>
      <c r="I92" s="495"/>
      <c r="J92" s="495"/>
      <c r="K92" s="358">
        <v>0.80295484727699995</v>
      </c>
      <c r="L92" s="494"/>
      <c r="M92" s="494"/>
      <c r="N92" s="358">
        <v>0.59753415903899998</v>
      </c>
      <c r="O92" s="358">
        <v>0.79557527465800004</v>
      </c>
      <c r="P92" s="495"/>
      <c r="Q92" s="500"/>
    </row>
    <row r="93" spans="1:17" ht="15" thickBot="1">
      <c r="A93" s="501" t="s">
        <v>13</v>
      </c>
      <c r="B93" s="357">
        <v>424466</v>
      </c>
      <c r="C93" s="357">
        <v>522458.05025999999</v>
      </c>
      <c r="D93" s="499"/>
      <c r="E93" s="357">
        <v>981968.28362999996</v>
      </c>
      <c r="F93" s="423">
        <v>214952.00271</v>
      </c>
      <c r="G93" s="494"/>
      <c r="H93" s="605">
        <v>7.5482677326000003E-2</v>
      </c>
      <c r="I93" s="495"/>
      <c r="J93" s="495"/>
      <c r="K93" s="358">
        <v>0.74517251959999997</v>
      </c>
      <c r="L93" s="494"/>
      <c r="M93" s="494"/>
      <c r="N93" s="358">
        <v>0.69511684620799996</v>
      </c>
      <c r="O93" s="358">
        <v>0.72598427696199996</v>
      </c>
      <c r="P93" s="495"/>
      <c r="Q93" s="500"/>
    </row>
    <row r="94" spans="1:17" ht="15" thickBot="1">
      <c r="A94" s="501" t="s">
        <v>14</v>
      </c>
      <c r="B94" s="357">
        <v>183028</v>
      </c>
      <c r="C94" s="357">
        <v>73930.475999999995</v>
      </c>
      <c r="D94" s="499"/>
      <c r="E94" s="357">
        <v>51641.005120000002</v>
      </c>
      <c r="F94" s="357">
        <v>33358.318350000001</v>
      </c>
      <c r="G94" s="494"/>
      <c r="H94" s="358">
        <v>0.24268996699299999</v>
      </c>
      <c r="I94" s="495"/>
      <c r="J94" s="495"/>
      <c r="K94" s="358">
        <v>0.73701828410600001</v>
      </c>
      <c r="L94" s="494"/>
      <c r="M94" s="494"/>
      <c r="N94" s="358">
        <v>0.11360253425400001</v>
      </c>
      <c r="O94" s="358">
        <v>0.37791842475300003</v>
      </c>
      <c r="P94" s="495"/>
      <c r="Q94" s="500"/>
    </row>
    <row r="95" spans="1:17" ht="15" thickBot="1">
      <c r="A95" s="501" t="s">
        <v>19</v>
      </c>
      <c r="B95" s="357">
        <v>74940</v>
      </c>
      <c r="C95" s="357">
        <v>66586.439559999999</v>
      </c>
      <c r="D95" s="499"/>
      <c r="E95" s="357">
        <v>74576.287150000004</v>
      </c>
      <c r="F95" s="357">
        <v>9864.4872899999991</v>
      </c>
      <c r="G95" s="494"/>
      <c r="H95" s="358">
        <v>6.7668520381000005E-2</v>
      </c>
      <c r="I95" s="495"/>
      <c r="J95" s="495"/>
      <c r="K95" s="358">
        <v>0.90901958505199998</v>
      </c>
      <c r="L95" s="494"/>
      <c r="M95" s="494"/>
      <c r="N95" s="358">
        <v>0.29846404654199998</v>
      </c>
      <c r="O95" s="358">
        <v>0.24584471435999999</v>
      </c>
      <c r="P95" s="495"/>
      <c r="Q95" s="500"/>
    </row>
    <row r="96" spans="1:17" ht="15" thickBot="1">
      <c r="A96" s="501" t="s">
        <v>22</v>
      </c>
      <c r="B96" s="357">
        <v>31949</v>
      </c>
      <c r="C96" s="357">
        <v>33702.65122</v>
      </c>
      <c r="D96" s="499"/>
      <c r="E96" s="357">
        <v>12598.486290000001</v>
      </c>
      <c r="F96" s="357">
        <v>16447.68593</v>
      </c>
      <c r="G96" s="494"/>
      <c r="H96" s="358">
        <v>-5.1190852683999997E-2</v>
      </c>
      <c r="I96" s="495"/>
      <c r="J96" s="495"/>
      <c r="K96" s="358">
        <v>0.949848432523</v>
      </c>
      <c r="L96" s="494"/>
      <c r="M96" s="494"/>
      <c r="N96" s="358">
        <v>0</v>
      </c>
      <c r="O96" s="358">
        <v>8.4877786730999993E-2</v>
      </c>
      <c r="P96" s="495"/>
      <c r="Q96" s="500"/>
    </row>
    <row r="97" spans="1:28" ht="15" thickBot="1">
      <c r="A97" s="501" t="s">
        <v>17</v>
      </c>
      <c r="B97" s="357">
        <v>141330</v>
      </c>
      <c r="C97" s="357">
        <v>365383.50060000003</v>
      </c>
      <c r="D97" s="499"/>
      <c r="E97" s="357">
        <v>273606.38206999999</v>
      </c>
      <c r="F97" s="357">
        <v>92682.138170000006</v>
      </c>
      <c r="G97" s="494"/>
      <c r="H97" s="358">
        <v>2.9327321505E-2</v>
      </c>
      <c r="I97" s="495"/>
      <c r="J97" s="495"/>
      <c r="K97" s="358">
        <v>0.763924636283</v>
      </c>
      <c r="L97" s="494"/>
      <c r="M97" s="494"/>
      <c r="N97" s="358">
        <v>0.68112594288499995</v>
      </c>
      <c r="O97" s="358">
        <v>0.43658390550699999</v>
      </c>
      <c r="P97" s="495"/>
      <c r="Q97" s="500"/>
    </row>
    <row r="98" spans="1:28" ht="15.6" thickBot="1">
      <c r="A98" s="508" t="s">
        <v>64</v>
      </c>
      <c r="B98" s="368">
        <v>1443140</v>
      </c>
      <c r="C98" s="368">
        <v>1511016.66457</v>
      </c>
      <c r="D98" s="537"/>
      <c r="E98" s="368">
        <v>1883335.6524799999</v>
      </c>
      <c r="F98" s="368">
        <v>531480.83848000003</v>
      </c>
      <c r="G98" s="480"/>
      <c r="H98" s="365">
        <v>4.906870118E-2</v>
      </c>
      <c r="I98" s="537"/>
      <c r="J98" s="537"/>
      <c r="K98" s="914">
        <v>0.82015215081399995</v>
      </c>
      <c r="L98" s="510"/>
      <c r="M98" s="510"/>
      <c r="N98" s="182">
        <v>0.66289290782999999</v>
      </c>
      <c r="O98" s="365">
        <v>0.494160658852</v>
      </c>
      <c r="P98" s="537"/>
      <c r="Q98" s="538"/>
      <c r="R98" s="313"/>
      <c r="S98" s="313"/>
      <c r="T98" s="313"/>
      <c r="U98" s="313"/>
      <c r="V98" s="313"/>
      <c r="W98" s="313"/>
      <c r="X98" s="313"/>
      <c r="Y98" s="313"/>
      <c r="Z98" s="313"/>
      <c r="AA98" s="313"/>
      <c r="AB98" s="313"/>
    </row>
    <row r="99" spans="1:28" ht="12.75" customHeight="1">
      <c r="B99" s="742" t="s">
        <v>204</v>
      </c>
      <c r="C99" s="919" t="s">
        <v>205</v>
      </c>
      <c r="D99" s="919"/>
      <c r="E99" s="919"/>
    </row>
    <row r="100" spans="1:28" ht="12.75" customHeight="1">
      <c r="C100" s="334">
        <f>SUM(C86:C97)</f>
        <v>2714624.2874499997</v>
      </c>
      <c r="D100" s="334">
        <f>SUM(E86:E97)</f>
        <v>3435373.1925499998</v>
      </c>
      <c r="E100" s="334">
        <f>SUM(F86:F97)</f>
        <v>997641.77250000008</v>
      </c>
      <c r="F100" s="335">
        <f>SUM(C86:C89,C91:C97,E86:F89,E91:F97)</f>
        <v>4033006.0909900004</v>
      </c>
    </row>
    <row r="101" spans="1:28" ht="12.75" customHeight="1"/>
    <row r="102" spans="1:28" ht="12.75" customHeight="1"/>
    <row r="103" spans="1:28" ht="12.75" customHeight="1"/>
    <row r="104" spans="1:28" ht="12.75" customHeight="1">
      <c r="D104" s="334">
        <f>SUM(C93,E93:F93)</f>
        <v>1719378.3365999998</v>
      </c>
    </row>
    <row r="105" spans="1:28" ht="12.75" customHeight="1"/>
    <row r="106" spans="1:28" ht="12.75" customHeight="1"/>
    <row r="107" spans="1:28" ht="12.75" customHeight="1"/>
    <row r="108" spans="1:28" ht="12.75" customHeight="1">
      <c r="B108" s="330">
        <v>2019</v>
      </c>
      <c r="C108" s="330">
        <v>2020</v>
      </c>
      <c r="D108" s="742" t="s">
        <v>216</v>
      </c>
      <c r="E108" s="334">
        <f>SUM(C93,E93,F93)</f>
        <v>1719378.3365999998</v>
      </c>
    </row>
    <row r="109" spans="1:28" ht="12.75" customHeight="1">
      <c r="A109" s="742" t="s">
        <v>137</v>
      </c>
      <c r="B109" s="539">
        <v>125114.89982999999</v>
      </c>
      <c r="C109" s="539">
        <f>SUM(C94,E94,F94)</f>
        <v>158929.79947</v>
      </c>
      <c r="D109" s="336">
        <f>+C109/B109-1</f>
        <v>0.27027076460074717</v>
      </c>
    </row>
    <row r="110" spans="1:28" ht="12.75" customHeight="1">
      <c r="A110" s="742" t="s">
        <v>137</v>
      </c>
      <c r="B110" s="539">
        <v>1270433445.82952</v>
      </c>
      <c r="C110" s="539">
        <v>1405959268.2848899</v>
      </c>
      <c r="D110" s="336">
        <f>+C110/B110-1</f>
        <v>0.10667683765746538</v>
      </c>
    </row>
    <row r="111" spans="1:28" ht="12.75" customHeight="1">
      <c r="A111" s="742" t="s">
        <v>137</v>
      </c>
      <c r="B111" s="539">
        <v>10154.133900000001</v>
      </c>
      <c r="C111" s="539">
        <v>11471.4159</v>
      </c>
    </row>
    <row r="112" spans="1:28" ht="12.75" customHeight="1"/>
    <row r="116" spans="1:3">
      <c r="A116" s="742" t="s">
        <v>136</v>
      </c>
      <c r="B116" s="742">
        <v>5.8094000000000001</v>
      </c>
      <c r="C116" s="742">
        <v>6.7915999999999999</v>
      </c>
    </row>
  </sheetData>
  <mergeCells count="11">
    <mergeCell ref="A45:M45"/>
    <mergeCell ref="A65:G65"/>
    <mergeCell ref="C99:E99"/>
    <mergeCell ref="A82:K82"/>
    <mergeCell ref="AC1:BB1"/>
    <mergeCell ref="AC2:BB2"/>
    <mergeCell ref="A5:J5"/>
    <mergeCell ref="A1:AB1"/>
    <mergeCell ref="A25:M25"/>
    <mergeCell ref="A4:AC4"/>
    <mergeCell ref="A3:AC3"/>
  </mergeCells>
  <pageMargins left="0.7" right="0.7" top="0.75" bottom="0.75" header="0.3" footer="0.3"/>
  <pageSetup paperSize="9" orientation="portrait" verticalDpi="0" r:id="rId1"/>
  <headerFooter>
    <oddFooter>&amp;R&amp;1#&amp;"Calibri"&amp;10&amp;K000000C2 -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3">
    <tabColor rgb="FF92D050"/>
  </sheetPr>
  <dimension ref="A1:BB94"/>
  <sheetViews>
    <sheetView topLeftCell="A9" zoomScale="85" zoomScaleNormal="85" workbookViewId="0">
      <pane xSplit="2" topLeftCell="C1" activePane="topRight" state="frozen"/>
      <selection activeCell="BE75" sqref="BE75"/>
      <selection pane="topRight" activeCell="B2" sqref="B2"/>
    </sheetView>
  </sheetViews>
  <sheetFormatPr baseColWidth="10" defaultColWidth="8.88671875" defaultRowHeight="14.4"/>
  <cols>
    <col min="1" max="1" width="30.21875" style="742" customWidth="1"/>
    <col min="2" max="2" width="38.6640625" style="742" customWidth="1"/>
    <col min="3" max="3" width="43.5546875" style="742" customWidth="1"/>
    <col min="4" max="4" width="54.77734375" style="742" customWidth="1"/>
    <col min="5" max="5" width="57.88671875" style="742" customWidth="1"/>
    <col min="6" max="6" width="44" style="742" customWidth="1"/>
    <col min="7" max="7" width="69.109375" style="742" customWidth="1"/>
    <col min="8" max="8" width="70.6640625" style="742" customWidth="1"/>
    <col min="9" max="9" width="68.6640625" style="742" customWidth="1"/>
    <col min="10" max="10" width="49.33203125" style="742" customWidth="1"/>
    <col min="11" max="11" width="63.109375" style="742" bestFit="1" customWidth="1"/>
    <col min="12" max="13" width="54.33203125" style="742" bestFit="1" customWidth="1"/>
    <col min="14" max="14" width="32.44140625" style="742" bestFit="1" customWidth="1"/>
    <col min="15" max="15" width="19.5546875" style="742" bestFit="1" customWidth="1"/>
    <col min="16" max="16384" width="8.88671875" style="742"/>
  </cols>
  <sheetData>
    <row r="1" spans="1:54" ht="11.4" customHeight="1">
      <c r="A1" s="923"/>
      <c r="B1" s="923"/>
      <c r="C1" s="923"/>
      <c r="D1" s="923"/>
      <c r="E1" s="923"/>
      <c r="F1" s="923"/>
      <c r="G1" s="923"/>
      <c r="H1" s="923"/>
      <c r="I1" s="923"/>
      <c r="J1" s="923"/>
      <c r="K1" s="923"/>
      <c r="L1" s="923"/>
      <c r="M1" s="923"/>
    </row>
    <row r="2" spans="1:54" ht="13.2" customHeight="1">
      <c r="E2" s="323"/>
      <c r="H2" s="923"/>
      <c r="I2" s="923"/>
      <c r="J2" s="923"/>
      <c r="K2" s="923"/>
      <c r="L2" s="923"/>
      <c r="M2" s="923"/>
    </row>
    <row r="3" spans="1:54" ht="15">
      <c r="A3" s="746" t="s">
        <v>0</v>
      </c>
      <c r="B3" s="467"/>
      <c r="C3" s="467"/>
      <c r="D3" s="467"/>
      <c r="E3" s="467"/>
      <c r="F3" s="467"/>
      <c r="G3" s="467"/>
      <c r="H3" s="467"/>
      <c r="I3" s="467"/>
      <c r="J3" s="467"/>
      <c r="K3" s="467"/>
      <c r="L3" s="467"/>
      <c r="M3" s="467"/>
      <c r="N3" s="467"/>
      <c r="O3" s="467"/>
      <c r="P3" s="467"/>
      <c r="Q3" s="467"/>
      <c r="R3" s="467"/>
      <c r="S3" s="467"/>
      <c r="T3" s="467"/>
      <c r="U3" s="467"/>
      <c r="V3" s="467"/>
      <c r="W3" s="467"/>
      <c r="X3" s="467"/>
      <c r="Y3" s="467"/>
      <c r="Z3" s="467"/>
      <c r="AA3" s="467"/>
      <c r="AB3" s="467"/>
      <c r="AC3" s="467"/>
      <c r="AD3" s="297"/>
      <c r="AE3" s="297"/>
      <c r="AF3" s="297"/>
      <c r="AG3" s="297"/>
      <c r="AH3" s="297"/>
      <c r="AI3" s="297"/>
      <c r="AJ3" s="297"/>
      <c r="AK3" s="297"/>
      <c r="AL3" s="297"/>
      <c r="AM3" s="297"/>
      <c r="AN3" s="297"/>
      <c r="AO3" s="297"/>
      <c r="AP3" s="297"/>
      <c r="AQ3" s="297"/>
      <c r="AR3" s="297"/>
      <c r="AS3" s="297"/>
      <c r="AT3" s="297"/>
      <c r="AU3" s="297"/>
      <c r="AV3" s="297"/>
      <c r="AW3" s="297"/>
      <c r="AX3" s="297"/>
      <c r="AY3" s="297"/>
      <c r="AZ3" s="297"/>
      <c r="BA3" s="297"/>
      <c r="BB3" s="297"/>
    </row>
    <row r="4" spans="1:54" ht="15.6" thickBot="1">
      <c r="A4" s="746" t="s">
        <v>449</v>
      </c>
      <c r="B4" s="467"/>
      <c r="C4" s="467"/>
      <c r="D4" s="467"/>
      <c r="E4" s="467"/>
      <c r="F4" s="467"/>
      <c r="G4" s="467"/>
      <c r="H4" s="467"/>
      <c r="I4" s="467"/>
      <c r="J4" s="467"/>
      <c r="K4" s="467"/>
      <c r="L4" s="467"/>
      <c r="M4" s="467"/>
      <c r="N4" s="467"/>
      <c r="O4" s="467"/>
      <c r="P4" s="467"/>
      <c r="Q4" s="467"/>
      <c r="R4" s="467"/>
      <c r="S4" s="467"/>
      <c r="T4" s="467"/>
      <c r="U4" s="467"/>
      <c r="V4" s="467"/>
      <c r="W4" s="467"/>
      <c r="X4" s="467"/>
      <c r="Y4" s="467"/>
      <c r="Z4" s="467"/>
      <c r="AA4" s="467"/>
      <c r="AB4" s="467"/>
      <c r="AC4" s="467"/>
      <c r="AD4" s="297"/>
      <c r="AE4" s="297"/>
      <c r="AF4" s="297"/>
      <c r="AG4" s="297"/>
      <c r="AH4" s="297"/>
      <c r="AI4" s="297"/>
      <c r="AJ4" s="297"/>
      <c r="AK4" s="297"/>
      <c r="AL4" s="297"/>
      <c r="AM4" s="297"/>
      <c r="AN4" s="297"/>
      <c r="AO4" s="297"/>
      <c r="AP4" s="297"/>
      <c r="AQ4" s="297"/>
      <c r="AR4" s="297"/>
      <c r="AS4" s="297"/>
      <c r="AT4" s="297"/>
      <c r="AU4" s="297"/>
      <c r="AV4" s="297"/>
      <c r="AW4" s="297"/>
      <c r="AX4" s="297"/>
      <c r="AY4" s="297"/>
      <c r="AZ4" s="297"/>
      <c r="BA4" s="297"/>
      <c r="BB4" s="297"/>
    </row>
    <row r="5" spans="1:54" ht="22.5" customHeight="1" thickBot="1">
      <c r="A5" s="916" t="s">
        <v>1</v>
      </c>
      <c r="B5" s="917"/>
      <c r="C5" s="917"/>
      <c r="D5" s="917"/>
      <c r="E5" s="917"/>
      <c r="F5" s="917"/>
      <c r="G5" s="917"/>
      <c r="H5" s="917"/>
      <c r="I5" s="917"/>
      <c r="J5" s="918"/>
    </row>
    <row r="6" spans="1:54" ht="15.6" thickBot="1">
      <c r="A6" s="929"/>
      <c r="B6" s="926"/>
      <c r="C6" s="926"/>
      <c r="D6" s="926"/>
      <c r="E6" s="926"/>
      <c r="F6" s="926"/>
      <c r="G6" s="926"/>
      <c r="H6" s="926"/>
      <c r="I6" s="927"/>
      <c r="J6" s="298" t="s">
        <v>2</v>
      </c>
    </row>
    <row r="7" spans="1:54" ht="15.6" thickBot="1">
      <c r="A7" s="299" t="s">
        <v>3</v>
      </c>
      <c r="B7" s="300" t="s">
        <v>4</v>
      </c>
      <c r="C7" s="300" t="s">
        <v>5</v>
      </c>
      <c r="D7" s="300" t="s">
        <v>6</v>
      </c>
      <c r="E7" s="300" t="s">
        <v>7</v>
      </c>
      <c r="F7" s="300" t="s">
        <v>8</v>
      </c>
      <c r="G7" s="300" t="s">
        <v>9</v>
      </c>
      <c r="H7" s="300" t="s">
        <v>10</v>
      </c>
      <c r="I7" s="300" t="s">
        <v>11</v>
      </c>
      <c r="J7" s="301" t="s">
        <v>12</v>
      </c>
      <c r="K7" s="742" t="s">
        <v>194</v>
      </c>
      <c r="L7" s="742" t="s">
        <v>82</v>
      </c>
    </row>
    <row r="8" spans="1:54" ht="15" thickBot="1">
      <c r="A8" s="302" t="s">
        <v>16</v>
      </c>
      <c r="B8" s="369">
        <v>239018</v>
      </c>
      <c r="C8" s="369">
        <v>171850</v>
      </c>
      <c r="D8" s="370">
        <v>0.718983507518</v>
      </c>
      <c r="E8" s="303">
        <v>0.108341221012</v>
      </c>
      <c r="F8" s="303">
        <v>1.6623284429000001E-2</v>
      </c>
      <c r="G8" s="304">
        <v>-1280</v>
      </c>
      <c r="H8" s="303">
        <v>-7.3932882800000002E-3</v>
      </c>
      <c r="I8" s="167">
        <v>0.13910708370700001</v>
      </c>
      <c r="J8" s="142">
        <v>565.91111111111104</v>
      </c>
      <c r="K8" s="770">
        <v>15045</v>
      </c>
      <c r="U8" s="742" t="s">
        <v>216</v>
      </c>
      <c r="V8" s="742">
        <v>177.92307692307699</v>
      </c>
      <c r="W8" s="742" t="s">
        <v>217</v>
      </c>
      <c r="X8" s="742" t="s">
        <v>217</v>
      </c>
      <c r="Y8" s="742" t="s">
        <v>217</v>
      </c>
      <c r="Z8" s="742">
        <v>4641</v>
      </c>
      <c r="AA8" s="742">
        <v>27756</v>
      </c>
      <c r="AB8" s="742">
        <v>1.495151906916</v>
      </c>
    </row>
    <row r="9" spans="1:54" ht="15" thickBot="1">
      <c r="A9" s="306" t="s">
        <v>20</v>
      </c>
      <c r="B9" s="369">
        <v>54157</v>
      </c>
      <c r="C9" s="369">
        <v>37212</v>
      </c>
      <c r="D9" s="370">
        <v>0.68711339254299997</v>
      </c>
      <c r="E9" s="303">
        <v>6.0244606292999998E-2</v>
      </c>
      <c r="F9" s="167">
        <v>2.2729146626000001E-2</v>
      </c>
      <c r="G9" s="304">
        <v>284</v>
      </c>
      <c r="H9" s="303">
        <v>7.6906412470000001E-3</v>
      </c>
      <c r="I9" s="167">
        <v>7.0287364222999998E-2</v>
      </c>
      <c r="J9" s="142">
        <v>551.79999999999995</v>
      </c>
      <c r="K9" s="770">
        <v>900</v>
      </c>
      <c r="U9" s="742" t="s">
        <v>216</v>
      </c>
      <c r="V9" s="742">
        <v>313.66666666666703</v>
      </c>
      <c r="W9" s="742" t="s">
        <v>217</v>
      </c>
      <c r="X9" s="742" t="s">
        <v>217</v>
      </c>
      <c r="Y9" s="742" t="s">
        <v>217</v>
      </c>
      <c r="Z9" s="742">
        <v>1750</v>
      </c>
      <c r="AA9" s="742">
        <v>3764</v>
      </c>
      <c r="AB9" s="742">
        <v>0.53771428571400004</v>
      </c>
    </row>
    <row r="10" spans="1:54" ht="15" thickBot="1">
      <c r="A10" s="306" t="s">
        <v>23</v>
      </c>
      <c r="B10" s="369">
        <v>26991</v>
      </c>
      <c r="C10" s="369">
        <v>21241</v>
      </c>
      <c r="D10" s="370">
        <v>0.78696602571200003</v>
      </c>
      <c r="E10" s="303">
        <v>0.29842019452399998</v>
      </c>
      <c r="F10" s="303">
        <v>0.19418676561500001</v>
      </c>
      <c r="G10" s="304">
        <v>241</v>
      </c>
      <c r="H10" s="303">
        <v>1.1476190476000001E-2</v>
      </c>
      <c r="I10" s="167">
        <v>0.16800629531700001</v>
      </c>
      <c r="J10" s="142">
        <v>556.18181818181802</v>
      </c>
      <c r="K10" s="770">
        <v>3375</v>
      </c>
      <c r="U10" s="742" t="s">
        <v>216</v>
      </c>
      <c r="V10" s="742">
        <v>101.866666666667</v>
      </c>
      <c r="W10" s="742" t="s">
        <v>217</v>
      </c>
      <c r="X10" s="742" t="s">
        <v>217</v>
      </c>
      <c r="Y10" s="742" t="s">
        <v>217</v>
      </c>
      <c r="Z10" s="742">
        <v>1532</v>
      </c>
      <c r="AA10" s="742">
        <v>6112</v>
      </c>
      <c r="AB10" s="742">
        <v>0.99738903394199996</v>
      </c>
    </row>
    <row r="11" spans="1:54" ht="15" thickBot="1">
      <c r="A11" s="306" t="s">
        <v>15</v>
      </c>
      <c r="B11" s="369">
        <v>292739</v>
      </c>
      <c r="C11" s="369">
        <v>244594</v>
      </c>
      <c r="D11" s="370">
        <v>0.83553609187699995</v>
      </c>
      <c r="E11" s="303">
        <v>0.168036967068</v>
      </c>
      <c r="F11" s="303">
        <v>8.4683677903999999E-2</v>
      </c>
      <c r="G11" s="304">
        <v>603</v>
      </c>
      <c r="H11" s="303">
        <v>2.4714026329999998E-3</v>
      </c>
      <c r="I11" s="167">
        <v>0.114951907513</v>
      </c>
      <c r="J11" s="142">
        <v>153.06389776357801</v>
      </c>
      <c r="K11" s="770">
        <v>32638</v>
      </c>
      <c r="U11" s="742" t="s">
        <v>216</v>
      </c>
      <c r="V11" s="742">
        <v>24.405479452053999</v>
      </c>
      <c r="W11" s="742" t="s">
        <v>217</v>
      </c>
      <c r="X11" s="742" t="s">
        <v>217</v>
      </c>
      <c r="Y11" s="742" t="s">
        <v>217</v>
      </c>
      <c r="Z11" s="742">
        <v>10365</v>
      </c>
      <c r="AA11" s="742">
        <v>35632</v>
      </c>
      <c r="AB11" s="742">
        <v>0.85943077665199996</v>
      </c>
    </row>
    <row r="12" spans="1:54" s="801" customFormat="1" ht="15" thickBot="1">
      <c r="A12" s="796" t="s">
        <v>21</v>
      </c>
      <c r="B12" s="401">
        <v>33534</v>
      </c>
      <c r="C12" s="401">
        <v>21122</v>
      </c>
      <c r="D12" s="399">
        <v>0.629868193475</v>
      </c>
      <c r="E12" s="797">
        <v>3.0715966088E-2</v>
      </c>
      <c r="F12" s="797">
        <v>-6.2452838562999997E-2</v>
      </c>
      <c r="G12" s="798">
        <v>-118</v>
      </c>
      <c r="H12" s="797">
        <v>-5.5555555550000002E-3</v>
      </c>
      <c r="I12" s="797">
        <v>0.15184459098200001</v>
      </c>
      <c r="J12" s="799">
        <v>69.875</v>
      </c>
      <c r="K12" s="800">
        <v>2199</v>
      </c>
      <c r="U12" s="801" t="s">
        <v>216</v>
      </c>
      <c r="V12" s="801">
        <v>29.24</v>
      </c>
      <c r="W12" s="801" t="s">
        <v>217</v>
      </c>
      <c r="X12" s="801" t="s">
        <v>217</v>
      </c>
      <c r="Y12" s="801" t="s">
        <v>217</v>
      </c>
      <c r="Z12" s="801">
        <v>787</v>
      </c>
      <c r="AA12" s="801">
        <v>2925.8576874205801</v>
      </c>
      <c r="AB12" s="801">
        <v>0.92884371029199997</v>
      </c>
    </row>
    <row r="13" spans="1:54" ht="15" thickBot="1">
      <c r="A13" s="306" t="s">
        <v>18</v>
      </c>
      <c r="B13" s="369">
        <v>112567</v>
      </c>
      <c r="C13" s="369">
        <v>68468</v>
      </c>
      <c r="D13" s="370">
        <v>0.60824220242100002</v>
      </c>
      <c r="E13" s="303">
        <v>3.9903494662000001E-2</v>
      </c>
      <c r="F13" s="303">
        <v>1.1405176190000001E-3</v>
      </c>
      <c r="G13" s="304">
        <v>-128</v>
      </c>
      <c r="H13" s="303">
        <v>-1.8659980169999999E-3</v>
      </c>
      <c r="I13" s="303">
        <v>9.5259679493999994E-2</v>
      </c>
      <c r="J13" s="142">
        <v>46.065789473683999</v>
      </c>
      <c r="K13" s="770">
        <v>4679</v>
      </c>
      <c r="U13" s="742" t="s">
        <v>216</v>
      </c>
      <c r="V13" s="742">
        <v>14.932584269662</v>
      </c>
      <c r="W13" s="742" t="s">
        <v>217</v>
      </c>
      <c r="X13" s="742" t="s">
        <v>217</v>
      </c>
      <c r="Y13" s="742" t="s">
        <v>217</v>
      </c>
      <c r="Z13" s="742">
        <v>1584</v>
      </c>
      <c r="AA13" s="742">
        <v>5316.8390151515196</v>
      </c>
      <c r="AB13" s="742">
        <v>0.83901515151499995</v>
      </c>
    </row>
    <row r="14" spans="1:54" ht="15" thickBot="1">
      <c r="A14" s="306" t="s">
        <v>13</v>
      </c>
      <c r="B14" s="369">
        <v>583742</v>
      </c>
      <c r="C14" s="369">
        <v>359441</v>
      </c>
      <c r="D14" s="370">
        <v>0.61575319233400005</v>
      </c>
      <c r="E14" s="303">
        <v>0.13315500074299999</v>
      </c>
      <c r="F14" s="303">
        <v>9.0136812637999997E-2</v>
      </c>
      <c r="G14" s="304">
        <v>845</v>
      </c>
      <c r="H14" s="303">
        <v>2.356412229E-3</v>
      </c>
      <c r="I14" s="303">
        <v>8.7738879098999994E-2</v>
      </c>
      <c r="J14" s="142">
        <v>179.13201320132001</v>
      </c>
      <c r="K14" s="770">
        <v>0</v>
      </c>
      <c r="U14" s="742" t="s">
        <v>216</v>
      </c>
      <c r="V14" s="742">
        <v>50.917491749173998</v>
      </c>
      <c r="W14" s="742" t="s">
        <v>217</v>
      </c>
      <c r="X14" s="742" t="s">
        <v>217</v>
      </c>
      <c r="Y14" s="742" t="s">
        <v>217</v>
      </c>
      <c r="Z14" s="742">
        <v>0</v>
      </c>
    </row>
    <row r="15" spans="1:54" ht="15" thickBot="1">
      <c r="A15" s="306" t="s">
        <v>14</v>
      </c>
      <c r="B15" s="369">
        <v>245791</v>
      </c>
      <c r="C15" s="369">
        <v>138401</v>
      </c>
      <c r="D15" s="370">
        <v>0.56308408363200002</v>
      </c>
      <c r="E15" s="303">
        <v>7.0760502912999998E-2</v>
      </c>
      <c r="F15" s="303">
        <v>-3.5425552674000001E-2</v>
      </c>
      <c r="G15" s="304">
        <v>-462</v>
      </c>
      <c r="H15" s="303">
        <v>-3.3270201559999998E-3</v>
      </c>
      <c r="I15" s="303">
        <v>0.157139470344</v>
      </c>
      <c r="J15" s="142">
        <v>129.25925925925901</v>
      </c>
      <c r="K15" s="770">
        <v>0</v>
      </c>
      <c r="U15" s="742" t="s">
        <v>216</v>
      </c>
      <c r="V15" s="742">
        <v>32.572972972972998</v>
      </c>
      <c r="W15" s="742" t="s">
        <v>217</v>
      </c>
      <c r="X15" s="742" t="s">
        <v>217</v>
      </c>
      <c r="Y15" s="742" t="s">
        <v>217</v>
      </c>
      <c r="Z15" s="742">
        <v>6336</v>
      </c>
      <c r="AA15" s="742">
        <v>24104</v>
      </c>
      <c r="AB15" s="742">
        <v>0.95107323232300001</v>
      </c>
    </row>
    <row r="16" spans="1:54" ht="15" thickBot="1">
      <c r="A16" s="306" t="s">
        <v>19</v>
      </c>
      <c r="B16" s="369">
        <v>102416</v>
      </c>
      <c r="C16" s="369">
        <v>69844</v>
      </c>
      <c r="D16" s="370">
        <v>0.68196375566300005</v>
      </c>
      <c r="E16" s="303">
        <v>5.4597248665000001E-2</v>
      </c>
      <c r="F16" s="303">
        <v>-1.8609445E-4</v>
      </c>
      <c r="G16" s="304">
        <v>-652</v>
      </c>
      <c r="H16" s="303">
        <v>-9.2487517019999993E-3</v>
      </c>
      <c r="I16" s="303">
        <v>9.0556422405000003E-2</v>
      </c>
      <c r="J16" s="142">
        <v>79.414285714285</v>
      </c>
      <c r="K16" s="770">
        <v>4500</v>
      </c>
      <c r="U16" s="742" t="s">
        <v>216</v>
      </c>
      <c r="V16" s="742">
        <v>22.460526315789</v>
      </c>
      <c r="W16" s="742" t="s">
        <v>217</v>
      </c>
      <c r="X16" s="742" t="s">
        <v>217</v>
      </c>
      <c r="Y16" s="742" t="s">
        <v>217</v>
      </c>
      <c r="Z16" s="742">
        <v>2375</v>
      </c>
      <c r="AA16" s="742">
        <v>6828</v>
      </c>
      <c r="AB16" s="742">
        <v>0.718736842105</v>
      </c>
    </row>
    <row r="17" spans="1:54" ht="15" thickBot="1">
      <c r="A17" s="306" t="s">
        <v>22</v>
      </c>
      <c r="B17" s="369">
        <v>32837</v>
      </c>
      <c r="C17" s="369">
        <v>25678</v>
      </c>
      <c r="D17" s="370">
        <v>0.78198373785599995</v>
      </c>
      <c r="E17" s="303">
        <v>8.9193756033999996E-2</v>
      </c>
      <c r="F17" s="303">
        <v>3.3070485998999997E-2</v>
      </c>
      <c r="G17" s="304">
        <v>86</v>
      </c>
      <c r="H17" s="303">
        <v>3.3604251320000001E-3</v>
      </c>
      <c r="I17" s="303">
        <v>8.7837837836999999E-2</v>
      </c>
      <c r="J17" s="142">
        <v>118.48</v>
      </c>
      <c r="K17" s="770">
        <v>3374</v>
      </c>
      <c r="U17" s="742" t="s">
        <v>216</v>
      </c>
      <c r="V17" s="742">
        <v>22.805555555554999</v>
      </c>
      <c r="W17" s="742" t="s">
        <v>217</v>
      </c>
      <c r="X17" s="742" t="s">
        <v>217</v>
      </c>
      <c r="Y17" s="742" t="s">
        <v>217</v>
      </c>
      <c r="Z17" s="742">
        <v>811</v>
      </c>
      <c r="AA17" s="742">
        <v>3285.0123304562298</v>
      </c>
      <c r="AB17" s="742">
        <v>1.012330456226</v>
      </c>
    </row>
    <row r="18" spans="1:54" ht="15" thickBot="1">
      <c r="A18" s="307" t="s">
        <v>17</v>
      </c>
      <c r="B18" s="371">
        <v>248436</v>
      </c>
      <c r="C18" s="371">
        <v>129865</v>
      </c>
      <c r="D18" s="372">
        <v>0.522730200132</v>
      </c>
      <c r="E18" s="308">
        <v>0.100909817183</v>
      </c>
      <c r="F18" s="308">
        <v>7.2754349359999996E-3</v>
      </c>
      <c r="G18" s="309">
        <v>-266</v>
      </c>
      <c r="H18" s="308">
        <v>-2.0440940280000001E-3</v>
      </c>
      <c r="I18" s="308">
        <v>0.14822772046800001</v>
      </c>
      <c r="J18" s="142">
        <v>111.437869822485</v>
      </c>
      <c r="K18" s="770">
        <v>0</v>
      </c>
      <c r="U18" s="742" t="s">
        <v>216</v>
      </c>
      <c r="V18" s="742">
        <v>29.484848484848001</v>
      </c>
      <c r="W18" s="742" t="s">
        <v>217</v>
      </c>
      <c r="X18" s="742" t="s">
        <v>217</v>
      </c>
      <c r="Y18" s="742" t="s">
        <v>217</v>
      </c>
      <c r="Z18" s="742">
        <v>3375</v>
      </c>
      <c r="AA18" s="742">
        <v>19462.882962963002</v>
      </c>
      <c r="AB18" s="742">
        <v>1.441481481481</v>
      </c>
    </row>
    <row r="19" spans="1:54" ht="12.75" customHeight="1">
      <c r="A19" s="311" t="s">
        <v>300</v>
      </c>
      <c r="B19" s="312"/>
      <c r="C19" s="313"/>
      <c r="D19" s="313"/>
      <c r="E19" s="313"/>
      <c r="F19" s="313"/>
      <c r="G19" s="313"/>
      <c r="H19" s="313"/>
      <c r="I19" s="313"/>
      <c r="J19" s="313"/>
      <c r="K19" s="313"/>
      <c r="L19" s="313"/>
      <c r="M19" s="313"/>
      <c r="N19" s="313"/>
      <c r="O19" s="313"/>
      <c r="P19" s="313"/>
      <c r="Q19" s="313"/>
      <c r="R19" s="313"/>
      <c r="S19" s="313"/>
      <c r="T19" s="313"/>
      <c r="U19" s="313"/>
      <c r="V19" s="313"/>
      <c r="W19" s="313"/>
      <c r="X19" s="313"/>
      <c r="Y19" s="313"/>
      <c r="Z19" s="313"/>
      <c r="AA19" s="313"/>
      <c r="AB19" s="311" t="s">
        <v>55</v>
      </c>
      <c r="AC19" s="314" t="s">
        <v>56</v>
      </c>
      <c r="AD19" s="313"/>
      <c r="AE19" s="313"/>
      <c r="AF19" s="313"/>
      <c r="AG19" s="313"/>
      <c r="AH19" s="313"/>
      <c r="AI19" s="313"/>
      <c r="AJ19" s="313"/>
      <c r="AK19" s="313"/>
      <c r="AL19" s="313"/>
      <c r="AM19" s="313"/>
      <c r="AN19" s="313"/>
      <c r="AO19" s="313"/>
      <c r="AP19" s="313"/>
      <c r="AQ19" s="313"/>
      <c r="AR19" s="313"/>
      <c r="AS19" s="313"/>
      <c r="AT19" s="313"/>
      <c r="AU19" s="313"/>
      <c r="AV19" s="313"/>
      <c r="AW19" s="313"/>
      <c r="AX19" s="313"/>
      <c r="AY19" s="313"/>
      <c r="AZ19" s="313"/>
      <c r="BA19" s="313"/>
      <c r="BB19" s="313"/>
    </row>
    <row r="20" spans="1:54" ht="12.75" customHeight="1">
      <c r="A20" s="315" t="s">
        <v>411</v>
      </c>
      <c r="D20" s="749"/>
      <c r="AB20" s="315" t="s">
        <v>57</v>
      </c>
      <c r="AC20" s="316" t="s">
        <v>58</v>
      </c>
    </row>
    <row r="21" spans="1:54" ht="12.75" customHeight="1" thickBot="1">
      <c r="D21" s="141">
        <v>14065.213589999999</v>
      </c>
      <c r="E21" s="742">
        <f>+D21+(1620400000/655.957/1000)</f>
        <v>16535.497465314998</v>
      </c>
    </row>
    <row r="22" spans="1:54" ht="22.5" customHeight="1" thickBot="1">
      <c r="A22" s="916" t="s">
        <v>164</v>
      </c>
      <c r="B22" s="917"/>
      <c r="C22" s="917"/>
      <c r="D22" s="917"/>
      <c r="E22" s="917"/>
      <c r="F22" s="917"/>
      <c r="G22" s="917"/>
      <c r="H22" s="917"/>
      <c r="I22" s="917"/>
      <c r="J22" s="917"/>
      <c r="K22" s="917"/>
      <c r="L22" s="917"/>
      <c r="M22" s="918"/>
    </row>
    <row r="23" spans="1:54" ht="15.6" thickBot="1">
      <c r="A23" s="317"/>
      <c r="B23" s="925" t="s">
        <v>24</v>
      </c>
      <c r="C23" s="926"/>
      <c r="D23" s="927"/>
      <c r="E23" s="925" t="s">
        <v>25</v>
      </c>
      <c r="F23" s="926"/>
      <c r="G23" s="926"/>
      <c r="H23" s="926"/>
      <c r="I23" s="926"/>
      <c r="J23" s="927"/>
      <c r="K23" s="743" t="s">
        <v>26</v>
      </c>
      <c r="L23" s="925" t="s">
        <v>2</v>
      </c>
      <c r="M23" s="928"/>
    </row>
    <row r="24" spans="1:54" ht="15.6" thickBot="1">
      <c r="A24" s="299" t="s">
        <v>3</v>
      </c>
      <c r="B24" s="300" t="s">
        <v>27</v>
      </c>
      <c r="C24" s="300" t="s">
        <v>28</v>
      </c>
      <c r="D24" s="300" t="s">
        <v>29</v>
      </c>
      <c r="E24" s="835" t="s">
        <v>30</v>
      </c>
      <c r="F24" s="835" t="s">
        <v>31</v>
      </c>
      <c r="G24" s="300" t="s">
        <v>32</v>
      </c>
      <c r="H24" s="300" t="s">
        <v>33</v>
      </c>
      <c r="I24" s="300" t="s">
        <v>34</v>
      </c>
      <c r="J24" s="300" t="s">
        <v>35</v>
      </c>
      <c r="K24" s="300" t="s">
        <v>36</v>
      </c>
      <c r="L24" s="300" t="s">
        <v>38</v>
      </c>
      <c r="M24" s="301" t="s">
        <v>37</v>
      </c>
      <c r="N24" s="742" t="s">
        <v>197</v>
      </c>
      <c r="O24" s="742" t="s">
        <v>82</v>
      </c>
    </row>
    <row r="25" spans="1:54" ht="15" thickBot="1">
      <c r="A25" s="318" t="s">
        <v>16</v>
      </c>
      <c r="B25" s="373">
        <v>238710.12125</v>
      </c>
      <c r="C25" s="167">
        <v>5.5047246752999997E-2</v>
      </c>
      <c r="D25" s="370">
        <v>5.5047246752999997E-2</v>
      </c>
      <c r="E25" s="373">
        <v>138741.64366999999</v>
      </c>
      <c r="F25" s="320">
        <v>1650</v>
      </c>
      <c r="G25" s="321">
        <v>-9.5394736842000005E-2</v>
      </c>
      <c r="H25" s="319">
        <v>10704.66876</v>
      </c>
      <c r="I25" s="320">
        <v>-9.4039055972999996E-2</v>
      </c>
      <c r="J25" s="319">
        <v>0.354651439771</v>
      </c>
      <c r="K25" s="370">
        <v>0.354651439771</v>
      </c>
      <c r="L25" s="321">
        <v>224.08888888888899</v>
      </c>
      <c r="M25" s="322">
        <v>149175.01448000001</v>
      </c>
      <c r="N25" s="323">
        <v>0.930059528759</v>
      </c>
      <c r="O25" s="323">
        <v>1.162202285492</v>
      </c>
    </row>
    <row r="26" spans="1:54" ht="15" thickBot="1">
      <c r="A26" s="324" t="s">
        <v>20</v>
      </c>
      <c r="B26" s="373">
        <v>55283.885450000002</v>
      </c>
      <c r="C26" s="167">
        <v>0.170924506984</v>
      </c>
      <c r="D26" s="370">
        <v>0.170924506984</v>
      </c>
      <c r="E26" s="373">
        <v>32890.29494</v>
      </c>
      <c r="F26" s="320">
        <v>17659.668269999998</v>
      </c>
      <c r="G26" s="321">
        <v>413</v>
      </c>
      <c r="H26" s="167">
        <v>-0.35869565217299998</v>
      </c>
      <c r="I26" s="141">
        <v>1965.77901</v>
      </c>
      <c r="J26" s="319">
        <v>-0.17651752698600001</v>
      </c>
      <c r="K26" s="370">
        <v>0.421598381385</v>
      </c>
      <c r="L26" s="321">
        <v>1724.6</v>
      </c>
      <c r="M26" s="322">
        <v>860.2</v>
      </c>
      <c r="N26" s="148">
        <v>24525.997889999999</v>
      </c>
      <c r="O26" s="323">
        <v>1.341037991094</v>
      </c>
    </row>
    <row r="27" spans="1:54" ht="15" thickBot="1">
      <c r="A27" s="324" t="s">
        <v>23</v>
      </c>
      <c r="B27" s="373">
        <v>30145.628219999999</v>
      </c>
      <c r="C27" s="167">
        <v>9.1110921114000001E-2</v>
      </c>
      <c r="D27" s="370">
        <v>9.1110921114000001E-2</v>
      </c>
      <c r="E27" s="373">
        <v>15329.029570000001</v>
      </c>
      <c r="F27" s="320">
        <v>8502.8857100000005</v>
      </c>
      <c r="G27" s="321">
        <v>97</v>
      </c>
      <c r="H27" s="167">
        <v>-0.110091743119</v>
      </c>
      <c r="I27" s="141">
        <v>1024.28208</v>
      </c>
      <c r="J27" s="319">
        <v>3.1055111962E-2</v>
      </c>
      <c r="K27" s="370">
        <v>0.158070297719</v>
      </c>
      <c r="L27" s="321">
        <v>140.09090909090901</v>
      </c>
      <c r="M27" s="322">
        <v>83.727272727271995</v>
      </c>
      <c r="N27" s="323">
        <v>16.388269999999999</v>
      </c>
      <c r="O27" s="323">
        <v>935.36593978498001</v>
      </c>
    </row>
    <row r="28" spans="1:54" ht="15" thickBot="1">
      <c r="A28" s="324" t="s">
        <v>15</v>
      </c>
      <c r="B28" s="373">
        <v>214843.10312000001</v>
      </c>
      <c r="C28" s="167">
        <v>0.14951711898799999</v>
      </c>
      <c r="D28" s="370">
        <v>0.21597932325800001</v>
      </c>
      <c r="E28" s="373">
        <v>165776.32621</v>
      </c>
      <c r="F28" s="320">
        <v>37221.173970000003</v>
      </c>
      <c r="G28" s="321">
        <v>6941</v>
      </c>
      <c r="H28" s="167">
        <v>-7.0443283780999996E-2</v>
      </c>
      <c r="I28" s="141">
        <v>11978.400449999999</v>
      </c>
      <c r="J28" s="319">
        <v>-0.13712147346199999</v>
      </c>
      <c r="K28" s="370">
        <v>0.539242459442</v>
      </c>
      <c r="L28" s="321">
        <v>276.48562300319497</v>
      </c>
      <c r="M28" s="322">
        <v>81.261980830669998</v>
      </c>
      <c r="N28" s="323">
        <v>139252.46442999999</v>
      </c>
      <c r="O28" s="323">
        <v>1.1904731947730001</v>
      </c>
    </row>
    <row r="29" spans="1:54" s="801" customFormat="1" ht="15" thickBot="1">
      <c r="A29" s="796" t="s">
        <v>21</v>
      </c>
      <c r="B29" s="802">
        <v>64180.434309999997</v>
      </c>
      <c r="C29" s="803">
        <v>-1.3629909024999999E-2</v>
      </c>
      <c r="D29" s="399">
        <v>-1.3629909024999999E-2</v>
      </c>
      <c r="E29" s="802">
        <v>23507.309389999999</v>
      </c>
      <c r="F29" s="804">
        <v>8714.8700499999995</v>
      </c>
      <c r="G29" s="798">
        <v>121</v>
      </c>
      <c r="H29" s="803">
        <v>-0.34239130434699999</v>
      </c>
      <c r="I29" s="805">
        <v>1287.7063599999999</v>
      </c>
      <c r="J29" s="797">
        <v>-0.39216869616700001</v>
      </c>
      <c r="K29" s="399">
        <v>0.46899841017400001</v>
      </c>
      <c r="L29" s="798">
        <v>138.3125</v>
      </c>
      <c r="M29" s="806">
        <v>59.8125</v>
      </c>
      <c r="N29" s="801">
        <v>25916.33293</v>
      </c>
      <c r="O29" s="801">
        <v>0.90704612622000003</v>
      </c>
    </row>
    <row r="30" spans="1:54" ht="15" thickBot="1">
      <c r="A30" s="324" t="s">
        <v>18</v>
      </c>
      <c r="B30" s="373">
        <v>253427.41610999999</v>
      </c>
      <c r="C30" s="167">
        <v>4.5731658778999998E-2</v>
      </c>
      <c r="D30" s="370">
        <v>4.5731658778999998E-2</v>
      </c>
      <c r="E30" s="373">
        <v>115392.1338</v>
      </c>
      <c r="F30" s="320">
        <v>29394.27838</v>
      </c>
      <c r="G30" s="321">
        <v>1019</v>
      </c>
      <c r="H30" s="167">
        <v>-0.415711009174</v>
      </c>
      <c r="I30" s="141">
        <v>6990.4855200000002</v>
      </c>
      <c r="J30" s="319">
        <v>-0.106989568989</v>
      </c>
      <c r="K30" s="370">
        <v>0.69268098359399999</v>
      </c>
      <c r="L30" s="321">
        <v>323.97368421052602</v>
      </c>
      <c r="M30" s="322">
        <v>59.697368421051998</v>
      </c>
      <c r="N30" s="323">
        <v>112456.727</v>
      </c>
      <c r="O30" s="323">
        <v>1.0261025452029999</v>
      </c>
    </row>
    <row r="31" spans="1:54" ht="15" thickBot="1">
      <c r="A31" s="324" t="s">
        <v>13</v>
      </c>
      <c r="B31" s="373">
        <v>610718.96285999997</v>
      </c>
      <c r="C31" s="167">
        <v>0.175103549518</v>
      </c>
      <c r="D31" s="370">
        <v>0.175103549518</v>
      </c>
      <c r="E31" s="373">
        <v>301556.29554000002</v>
      </c>
      <c r="F31" s="320">
        <v>181158.25344999999</v>
      </c>
      <c r="G31" s="321">
        <v>1889</v>
      </c>
      <c r="H31" s="167">
        <v>-0.253654681943</v>
      </c>
      <c r="I31" s="141">
        <v>17765.110100000002</v>
      </c>
      <c r="J31" s="319">
        <v>-0.237641703387</v>
      </c>
      <c r="K31" s="370">
        <v>0.33495289422800001</v>
      </c>
      <c r="L31" s="321">
        <v>107.409240924092</v>
      </c>
      <c r="M31" s="322">
        <v>70.346534653465</v>
      </c>
      <c r="N31" s="323">
        <v>365616.17437999998</v>
      </c>
      <c r="O31" s="323">
        <v>0.824789264455</v>
      </c>
    </row>
    <row r="32" spans="1:54" ht="15" thickBot="1">
      <c r="A32" s="324" t="s">
        <v>14</v>
      </c>
      <c r="B32" s="373">
        <v>106543.57364</v>
      </c>
      <c r="C32" s="167">
        <v>-0.219090316708</v>
      </c>
      <c r="D32" s="370">
        <v>4.5966768260999998E-2</v>
      </c>
      <c r="E32" s="373">
        <v>54373.626340000003</v>
      </c>
      <c r="F32" s="320">
        <v>22310.372370000001</v>
      </c>
      <c r="G32" s="321">
        <v>564</v>
      </c>
      <c r="H32" s="167">
        <v>-0.38695652173900003</v>
      </c>
      <c r="I32" s="141">
        <v>1284.58726</v>
      </c>
      <c r="J32" s="319">
        <v>-0.25599333401399998</v>
      </c>
      <c r="K32" s="370">
        <v>0.47940082477500001</v>
      </c>
      <c r="L32" s="321">
        <v>98.450617283949995</v>
      </c>
      <c r="M32" s="322">
        <v>50.975308641974998</v>
      </c>
      <c r="N32" s="323">
        <v>55401.065269999999</v>
      </c>
      <c r="O32" s="323">
        <v>0.981454527543</v>
      </c>
    </row>
    <row r="33" spans="1:16" ht="15" thickBot="1">
      <c r="A33" s="324" t="s">
        <v>19</v>
      </c>
      <c r="B33" s="373">
        <v>150198.14329000001</v>
      </c>
      <c r="C33" s="167">
        <v>0.24818761563899999</v>
      </c>
      <c r="D33" s="370">
        <v>0.100121648531</v>
      </c>
      <c r="E33" s="373">
        <v>75981.496079999997</v>
      </c>
      <c r="F33" s="320">
        <v>27356.789690000001</v>
      </c>
      <c r="G33" s="321">
        <v>1048</v>
      </c>
      <c r="H33" s="167">
        <v>-0.36523319200400001</v>
      </c>
      <c r="I33" s="141">
        <v>5610.6802399999997</v>
      </c>
      <c r="J33" s="319">
        <v>-0.27364344013300002</v>
      </c>
      <c r="K33" s="370">
        <v>0.52248499152500005</v>
      </c>
      <c r="L33" s="321">
        <v>231.44285714285701</v>
      </c>
      <c r="M33" s="322">
        <v>90.8</v>
      </c>
      <c r="N33" s="323">
        <v>91326.624639999995</v>
      </c>
      <c r="O33" s="323">
        <v>0.83197530161099997</v>
      </c>
    </row>
    <row r="34" spans="1:16" ht="15" thickBot="1">
      <c r="A34" s="324" t="s">
        <v>22</v>
      </c>
      <c r="B34" s="373">
        <v>103484.96687</v>
      </c>
      <c r="C34" s="167">
        <v>0.17605544218499999</v>
      </c>
      <c r="D34" s="370">
        <v>0.118385975497</v>
      </c>
      <c r="E34" s="373">
        <v>57751.706389999999</v>
      </c>
      <c r="F34" s="320">
        <v>14777.79386</v>
      </c>
      <c r="G34" s="321">
        <v>451</v>
      </c>
      <c r="H34" s="167">
        <v>-0.27839999999999998</v>
      </c>
      <c r="I34" s="141">
        <v>3111.5253200000002</v>
      </c>
      <c r="J34" s="319">
        <v>-0.184445104542</v>
      </c>
      <c r="K34" s="370">
        <v>0.65955088468300005</v>
      </c>
      <c r="L34" s="321">
        <v>530.6</v>
      </c>
      <c r="M34" s="322">
        <v>91.48</v>
      </c>
      <c r="N34" s="323">
        <v>53817.960709999999</v>
      </c>
      <c r="O34" s="323">
        <v>1.0730935477320001</v>
      </c>
    </row>
    <row r="35" spans="1:16" ht="15" thickBot="1">
      <c r="A35" s="325" t="s">
        <v>17</v>
      </c>
      <c r="B35" s="374">
        <v>279174.44965999998</v>
      </c>
      <c r="C35" s="167">
        <v>0.101573833967</v>
      </c>
      <c r="D35" s="372">
        <v>0.101573833967</v>
      </c>
      <c r="E35" s="374">
        <v>117474.90466</v>
      </c>
      <c r="F35" s="327">
        <v>50279.861149999997</v>
      </c>
      <c r="G35" s="328">
        <v>1083</v>
      </c>
      <c r="H35" s="167">
        <v>-0.14387351778599999</v>
      </c>
      <c r="I35" s="141">
        <v>8606.1942600000002</v>
      </c>
      <c r="J35" s="326">
        <v>-0.24001777110200001</v>
      </c>
      <c r="K35" s="372">
        <v>0.39935878691600002</v>
      </c>
      <c r="L35" s="328">
        <v>89.071005917158999</v>
      </c>
      <c r="M35" s="329">
        <v>36.609467455621001</v>
      </c>
      <c r="N35" s="323">
        <v>93420.807610000003</v>
      </c>
      <c r="O35" s="323">
        <v>1.2574811507770001</v>
      </c>
    </row>
    <row r="36" spans="1:16" ht="12.75" customHeight="1" thickBot="1">
      <c r="C36" s="330" t="s">
        <v>142</v>
      </c>
      <c r="D36" s="478">
        <v>0.15904989338</v>
      </c>
      <c r="K36" s="478">
        <v>0.43521177315100001</v>
      </c>
    </row>
    <row r="37" spans="1:16" ht="12.75" customHeight="1" thickBot="1">
      <c r="C37" s="330" t="s">
        <v>145</v>
      </c>
      <c r="D37" s="479">
        <v>9.4726312019000003E-2</v>
      </c>
      <c r="K37" s="479">
        <v>0.451236407314</v>
      </c>
      <c r="L37" s="875"/>
    </row>
    <row r="38" spans="1:16" ht="12.75" customHeight="1" thickBot="1">
      <c r="C38" s="742" t="s">
        <v>209</v>
      </c>
      <c r="D38" s="480">
        <v>0.110258548502</v>
      </c>
      <c r="K38" s="480">
        <v>0.44468820259399999</v>
      </c>
    </row>
    <row r="39" spans="1:16" ht="22.5" customHeight="1" thickBot="1">
      <c r="A39" s="916" t="s">
        <v>165</v>
      </c>
      <c r="B39" s="917"/>
      <c r="C39" s="917"/>
      <c r="D39" s="917"/>
      <c r="E39" s="917"/>
      <c r="F39" s="917"/>
      <c r="G39" s="917"/>
      <c r="H39" s="917"/>
      <c r="I39" s="917"/>
      <c r="J39" s="917"/>
      <c r="K39" s="917"/>
      <c r="L39" s="917"/>
      <c r="M39" s="918"/>
    </row>
    <row r="40" spans="1:16" ht="15.6" thickBot="1">
      <c r="A40" s="317"/>
      <c r="B40" s="925" t="s">
        <v>24</v>
      </c>
      <c r="C40" s="926"/>
      <c r="D40" s="927"/>
      <c r="E40" s="925" t="s">
        <v>25</v>
      </c>
      <c r="F40" s="926"/>
      <c r="G40" s="926"/>
      <c r="H40" s="926"/>
      <c r="I40" s="926"/>
      <c r="J40" s="927"/>
      <c r="K40" s="743" t="s">
        <v>26</v>
      </c>
      <c r="L40" s="925" t="s">
        <v>2</v>
      </c>
      <c r="M40" s="928"/>
    </row>
    <row r="41" spans="1:16" ht="15.6" thickBot="1">
      <c r="A41" s="299" t="s">
        <v>3</v>
      </c>
      <c r="B41" s="300" t="s">
        <v>27</v>
      </c>
      <c r="C41" s="300" t="s">
        <v>28</v>
      </c>
      <c r="D41" s="300" t="s">
        <v>29</v>
      </c>
      <c r="E41" s="300" t="s">
        <v>30</v>
      </c>
      <c r="F41" s="300" t="s">
        <v>31</v>
      </c>
      <c r="G41" s="300" t="s">
        <v>32</v>
      </c>
      <c r="H41" s="300" t="s">
        <v>33</v>
      </c>
      <c r="I41" s="300" t="s">
        <v>34</v>
      </c>
      <c r="J41" s="300" t="s">
        <v>35</v>
      </c>
      <c r="K41" s="300" t="s">
        <v>36</v>
      </c>
      <c r="L41" s="300" t="s">
        <v>38</v>
      </c>
      <c r="M41" s="301" t="s">
        <v>37</v>
      </c>
      <c r="N41" s="742" t="s">
        <v>197</v>
      </c>
      <c r="O41" s="742" t="s">
        <v>82</v>
      </c>
    </row>
    <row r="42" spans="1:16" ht="15" thickBot="1">
      <c r="A42" s="318" t="s">
        <v>16</v>
      </c>
      <c r="B42" s="373">
        <v>10025.019689999999</v>
      </c>
      <c r="C42" s="319">
        <v>0.279087439391</v>
      </c>
      <c r="D42" s="370">
        <v>0.279087439391</v>
      </c>
      <c r="E42" s="373">
        <v>3775.57168</v>
      </c>
      <c r="F42" s="320">
        <v>2991.5022100000001</v>
      </c>
      <c r="G42" s="321">
        <v>4</v>
      </c>
      <c r="H42" s="319">
        <v>1</v>
      </c>
      <c r="I42" s="320">
        <v>536.29111999999998</v>
      </c>
      <c r="J42" s="319">
        <v>8.335744918784</v>
      </c>
      <c r="K42" s="370">
        <v>1.1365724509999999E-3</v>
      </c>
      <c r="L42" s="321">
        <v>1.1365724509999999E-3</v>
      </c>
      <c r="M42" s="322">
        <v>0.93333333333299995</v>
      </c>
      <c r="N42" s="323">
        <v>0.75555555555499998</v>
      </c>
      <c r="O42" s="323">
        <v>2550.16716</v>
      </c>
      <c r="P42" s="742">
        <v>1.480519292703</v>
      </c>
    </row>
    <row r="43" spans="1:16" ht="15" thickBot="1">
      <c r="A43" s="324" t="s">
        <v>20</v>
      </c>
      <c r="B43" s="373">
        <v>3490.2532000000001</v>
      </c>
      <c r="C43" s="319">
        <v>-0.14249312934300001</v>
      </c>
      <c r="D43" s="370">
        <v>-0.14249312934300001</v>
      </c>
      <c r="E43" s="373">
        <v>852.79979000000003</v>
      </c>
      <c r="F43" s="320">
        <v>419.99702000000002</v>
      </c>
      <c r="G43" s="321">
        <v>3</v>
      </c>
      <c r="H43" s="319">
        <v>-0.25</v>
      </c>
      <c r="I43" s="320">
        <v>28.20307</v>
      </c>
      <c r="J43" s="319">
        <v>-0.288461412315</v>
      </c>
      <c r="K43" s="370">
        <v>6.8847299490000001E-3</v>
      </c>
      <c r="L43" s="321">
        <v>6.8847299490000001E-3</v>
      </c>
      <c r="M43" s="322">
        <v>9.8000000000000007</v>
      </c>
      <c r="N43" s="323">
        <v>4.8</v>
      </c>
      <c r="O43" s="323">
        <v>658.50352999999996</v>
      </c>
      <c r="P43" s="742">
        <v>1.295057279343</v>
      </c>
    </row>
    <row r="44" spans="1:16" ht="15" thickBot="1">
      <c r="A44" s="324" t="s">
        <v>23</v>
      </c>
      <c r="B44" s="373">
        <v>5799.0836399999998</v>
      </c>
      <c r="C44" s="319">
        <v>0.249263760931</v>
      </c>
      <c r="D44" s="370">
        <v>0.249263760931</v>
      </c>
      <c r="E44" s="373">
        <v>1900.7926600000001</v>
      </c>
      <c r="F44" s="320">
        <v>1617.22462</v>
      </c>
      <c r="G44" s="321">
        <v>1</v>
      </c>
      <c r="H44" s="319">
        <v>-0.66666666666600005</v>
      </c>
      <c r="I44" s="320">
        <v>53.35716</v>
      </c>
      <c r="J44" s="319">
        <v>-0.78915661198499998</v>
      </c>
      <c r="K44" s="370">
        <v>3.7837299610000001E-3</v>
      </c>
      <c r="L44" s="321">
        <v>3.7837299610000001E-3</v>
      </c>
      <c r="M44" s="322">
        <v>1.7272727272720001</v>
      </c>
      <c r="N44" s="323">
        <v>1.272727272727</v>
      </c>
      <c r="O44" s="323">
        <v>0.61741999999999997</v>
      </c>
      <c r="P44" s="742">
        <v>3078.6055845291698</v>
      </c>
    </row>
    <row r="45" spans="1:16" ht="15" thickBot="1">
      <c r="A45" s="324" t="s">
        <v>15</v>
      </c>
      <c r="B45" s="373">
        <v>7194.8721599999999</v>
      </c>
      <c r="C45" s="319">
        <v>0.51160125520199995</v>
      </c>
      <c r="D45" s="370">
        <v>0.59899826035000003</v>
      </c>
      <c r="E45" s="373">
        <v>3158.1735699999999</v>
      </c>
      <c r="F45" s="320">
        <v>2352.00569</v>
      </c>
      <c r="G45" s="321">
        <v>7</v>
      </c>
      <c r="H45" s="319">
        <v>-0.61111111111100003</v>
      </c>
      <c r="I45" s="320">
        <v>143.19399999999999</v>
      </c>
      <c r="J45" s="319">
        <v>-0.36010466123399998</v>
      </c>
      <c r="K45" s="370">
        <v>1.757746577E-3</v>
      </c>
      <c r="L45" s="321">
        <v>1.757746577E-3</v>
      </c>
      <c r="M45" s="322">
        <v>0.37699680511099998</v>
      </c>
      <c r="N45" s="323">
        <v>0.24281150159699999</v>
      </c>
      <c r="O45" s="323">
        <v>3300.5244600000001</v>
      </c>
      <c r="P45" s="742">
        <v>0.956870221164</v>
      </c>
    </row>
    <row r="46" spans="1:16" ht="13.95" customHeight="1" thickBot="1">
      <c r="A46" s="324" t="s">
        <v>21</v>
      </c>
      <c r="B46" s="373">
        <v>3938.7038499999999</v>
      </c>
      <c r="C46" s="319">
        <v>-8.7449131164999999E-2</v>
      </c>
      <c r="D46" s="370">
        <v>-8.7449131164999999E-2</v>
      </c>
      <c r="E46" s="373">
        <v>1285.1452300000001</v>
      </c>
      <c r="F46" s="320">
        <v>1239.4105199999999</v>
      </c>
      <c r="G46" s="321">
        <v>0</v>
      </c>
      <c r="H46" s="319"/>
      <c r="I46" s="320">
        <v>0</v>
      </c>
      <c r="J46" s="319"/>
      <c r="K46" s="370">
        <v>2.9962088780000002E-3</v>
      </c>
      <c r="L46" s="321">
        <v>2.9962088780000002E-3</v>
      </c>
      <c r="M46" s="322">
        <v>0.4375</v>
      </c>
      <c r="N46" s="323">
        <v>0.375</v>
      </c>
      <c r="O46" s="323">
        <v>4573.4705199999999</v>
      </c>
      <c r="P46" s="742">
        <v>0.28100000303400002</v>
      </c>
    </row>
    <row r="47" spans="1:16" ht="15" thickBot="1">
      <c r="A47" s="324" t="s">
        <v>18</v>
      </c>
      <c r="B47" s="373">
        <v>13524.439060000001</v>
      </c>
      <c r="C47" s="319">
        <v>7.3281998759999996E-3</v>
      </c>
      <c r="D47" s="370">
        <v>7.3281998759999996E-3</v>
      </c>
      <c r="E47" s="373">
        <v>1680.87257</v>
      </c>
      <c r="F47" s="320">
        <v>1013.32862</v>
      </c>
      <c r="G47" s="321">
        <v>2</v>
      </c>
      <c r="H47" s="319">
        <v>1</v>
      </c>
      <c r="I47" s="320">
        <v>117.30952000000001</v>
      </c>
      <c r="J47" s="319">
        <v>0.78953483192499996</v>
      </c>
      <c r="K47" s="370">
        <v>7.4783616409999998E-3</v>
      </c>
      <c r="L47" s="321">
        <v>7.4783616409999998E-3</v>
      </c>
      <c r="M47" s="322">
        <v>0.38157894736800002</v>
      </c>
      <c r="N47" s="323">
        <v>0.210526315789</v>
      </c>
      <c r="O47" s="323">
        <v>1600.71468</v>
      </c>
      <c r="P47" s="742">
        <v>1.0500763134119999</v>
      </c>
    </row>
    <row r="48" spans="1:16" ht="15" thickBot="1">
      <c r="A48" s="324" t="s">
        <v>13</v>
      </c>
      <c r="B48" s="373">
        <v>84417.296669999996</v>
      </c>
      <c r="C48" s="319">
        <v>8.9388159305000006E-2</v>
      </c>
      <c r="D48" s="370">
        <v>8.9388159305000006E-2</v>
      </c>
      <c r="E48" s="373">
        <v>15682.49827</v>
      </c>
      <c r="F48" s="320">
        <v>13729.7788</v>
      </c>
      <c r="G48" s="321">
        <v>9</v>
      </c>
      <c r="H48" s="331">
        <v>-0.357142857142</v>
      </c>
      <c r="I48" s="320">
        <v>670.42656999999997</v>
      </c>
      <c r="J48" s="331">
        <v>-0.61013208979300004</v>
      </c>
      <c r="K48" s="370">
        <v>5.6856049690000004E-3</v>
      </c>
      <c r="L48" s="321">
        <v>5.6856049690000004E-3</v>
      </c>
      <c r="M48" s="322">
        <v>0.51485148514800005</v>
      </c>
      <c r="N48" s="323">
        <v>0.46534653465300002</v>
      </c>
      <c r="O48" s="323">
        <v>22867.352589999999</v>
      </c>
      <c r="P48" s="742">
        <v>0.68580296771399996</v>
      </c>
    </row>
    <row r="49" spans="1:16" ht="15" thickBot="1">
      <c r="A49" s="324" t="s">
        <v>14</v>
      </c>
      <c r="B49" s="373">
        <v>3843.4900600000001</v>
      </c>
      <c r="C49" s="319">
        <v>-0.183072336792</v>
      </c>
      <c r="D49" s="370">
        <v>9.4210005592000004E-2</v>
      </c>
      <c r="E49" s="373">
        <v>594.52323999999999</v>
      </c>
      <c r="F49" s="320">
        <v>571.32131000000004</v>
      </c>
      <c r="G49" s="321">
        <v>0</v>
      </c>
      <c r="H49" s="319">
        <v>-1</v>
      </c>
      <c r="I49" s="320">
        <v>0</v>
      </c>
      <c r="J49" s="319">
        <v>-1</v>
      </c>
      <c r="K49" s="370">
        <v>1.3341958429999999E-3</v>
      </c>
      <c r="L49" s="321">
        <v>1.3341958429999999E-3</v>
      </c>
      <c r="M49" s="322">
        <v>6.7901234566999993E-2</v>
      </c>
      <c r="N49" s="323">
        <v>6.1728395061000002E-2</v>
      </c>
      <c r="O49" s="323">
        <v>302.89120000000003</v>
      </c>
      <c r="P49" s="742">
        <v>1.962827708431</v>
      </c>
    </row>
    <row r="50" spans="1:16" ht="15" thickBot="1">
      <c r="A50" s="324" t="s">
        <v>19</v>
      </c>
      <c r="B50" s="373">
        <v>6347.1016</v>
      </c>
      <c r="C50" s="319">
        <v>1.1104317228E-2</v>
      </c>
      <c r="D50" s="370">
        <v>-0.10883769844500001</v>
      </c>
      <c r="E50" s="373">
        <v>293.73942</v>
      </c>
      <c r="F50" s="320">
        <v>293.73942</v>
      </c>
      <c r="G50" s="321">
        <v>1</v>
      </c>
      <c r="H50" s="331"/>
      <c r="I50" s="320">
        <v>85.853039999999993</v>
      </c>
      <c r="J50" s="331"/>
      <c r="K50" s="370">
        <v>3.1680157129999999E-3</v>
      </c>
      <c r="L50" s="321">
        <v>3.1680157129999999E-3</v>
      </c>
      <c r="M50" s="322">
        <v>5.7142857142E-2</v>
      </c>
      <c r="N50" s="323">
        <v>5.7142857142E-2</v>
      </c>
      <c r="O50" s="323">
        <v>1140.71219</v>
      </c>
      <c r="P50" s="742">
        <v>0.25750528711300003</v>
      </c>
    </row>
    <row r="51" spans="1:16" ht="15" thickBot="1">
      <c r="A51" s="324" t="s">
        <v>22</v>
      </c>
      <c r="B51" s="373">
        <v>8714.5199300000004</v>
      </c>
      <c r="C51" s="319">
        <v>8.3140530519999999E-3</v>
      </c>
      <c r="D51" s="370">
        <v>-4.1129988373999997E-2</v>
      </c>
      <c r="E51" s="373">
        <v>1706.48063</v>
      </c>
      <c r="F51" s="320">
        <v>517.31219999999996</v>
      </c>
      <c r="G51" s="321">
        <v>5</v>
      </c>
      <c r="H51" s="319">
        <v>4</v>
      </c>
      <c r="I51" s="320">
        <v>173.42227</v>
      </c>
      <c r="J51" s="319">
        <v>1.674783607872</v>
      </c>
      <c r="K51" s="370">
        <v>8.005254731E-3</v>
      </c>
      <c r="L51" s="321">
        <v>8.005254731E-3</v>
      </c>
      <c r="M51" s="322">
        <v>1.76</v>
      </c>
      <c r="N51" s="323">
        <v>0.68</v>
      </c>
      <c r="O51" s="323">
        <v>2244.4759199999999</v>
      </c>
      <c r="P51" s="742">
        <v>0.76030248967799996</v>
      </c>
    </row>
    <row r="52" spans="1:16" ht="15" thickBot="1">
      <c r="A52" s="325" t="s">
        <v>17</v>
      </c>
      <c r="B52" s="374">
        <v>37446.385300000002</v>
      </c>
      <c r="C52" s="326">
        <v>5.3275700964999999E-2</v>
      </c>
      <c r="D52" s="372">
        <v>5.3275700964999999E-2</v>
      </c>
      <c r="E52" s="374">
        <v>7700.5606699999998</v>
      </c>
      <c r="F52" s="327">
        <v>5599.0509700000002</v>
      </c>
      <c r="G52" s="328">
        <v>4</v>
      </c>
      <c r="H52" s="326">
        <v>0</v>
      </c>
      <c r="I52" s="327">
        <v>686.32547999999997</v>
      </c>
      <c r="J52" s="326">
        <v>0.324117651984</v>
      </c>
      <c r="K52" s="372">
        <v>5.1171728139999999E-3</v>
      </c>
      <c r="L52" s="328">
        <v>5.1171728139999999E-3</v>
      </c>
      <c r="M52" s="329">
        <v>0.30177514792799998</v>
      </c>
      <c r="N52" s="323">
        <v>0.21301775147900001</v>
      </c>
      <c r="O52" s="323">
        <v>10778.15798</v>
      </c>
      <c r="P52" s="742">
        <v>0.71445980698</v>
      </c>
    </row>
    <row r="53" spans="1:16" ht="12.75" customHeight="1" thickBot="1">
      <c r="C53" s="330" t="s">
        <v>142</v>
      </c>
      <c r="D53" s="478">
        <v>1.5516102372000001E-2</v>
      </c>
      <c r="K53" s="478">
        <v>2.0869654390000001E-3</v>
      </c>
    </row>
    <row r="54" spans="1:16" ht="12.75" customHeight="1" thickBot="1">
      <c r="C54" s="330" t="s">
        <v>145</v>
      </c>
      <c r="D54" s="479">
        <v>1.7424263046000001E-2</v>
      </c>
      <c r="K54" s="479">
        <v>5.1979066640000003E-3</v>
      </c>
    </row>
    <row r="55" spans="1:16" ht="12.75" customHeight="1" thickBot="1">
      <c r="D55" s="480">
        <v>1.7182787466E-2</v>
      </c>
      <c r="K55" s="480">
        <v>3.9266714019999998E-3</v>
      </c>
    </row>
    <row r="56" spans="1:16" ht="22.5" customHeight="1" thickBot="1">
      <c r="A56" s="916" t="s">
        <v>39</v>
      </c>
      <c r="B56" s="917"/>
      <c r="C56" s="917"/>
      <c r="D56" s="917"/>
      <c r="E56" s="917"/>
      <c r="F56" s="917"/>
      <c r="G56" s="918"/>
    </row>
    <row r="57" spans="1:16" ht="15.6" thickBot="1">
      <c r="A57" s="317"/>
      <c r="B57" s="925" t="s">
        <v>24</v>
      </c>
      <c r="C57" s="927"/>
      <c r="D57" s="743" t="s">
        <v>25</v>
      </c>
      <c r="E57" s="743" t="s">
        <v>26</v>
      </c>
      <c r="F57" s="925" t="s">
        <v>2</v>
      </c>
      <c r="G57" s="928"/>
    </row>
    <row r="58" spans="1:16" ht="15.6" thickBot="1">
      <c r="A58" s="299" t="s">
        <v>3</v>
      </c>
      <c r="B58" s="300" t="s">
        <v>24</v>
      </c>
      <c r="C58" s="300" t="s">
        <v>40</v>
      </c>
      <c r="D58" s="300" t="s">
        <v>41</v>
      </c>
      <c r="E58" s="300" t="s">
        <v>42</v>
      </c>
      <c r="F58" s="300" t="s">
        <v>43</v>
      </c>
      <c r="G58" s="301" t="s">
        <v>44</v>
      </c>
      <c r="H58" s="742" t="s">
        <v>198</v>
      </c>
      <c r="I58" s="742" t="s">
        <v>82</v>
      </c>
    </row>
    <row r="59" spans="1:16" ht="15" thickBot="1">
      <c r="A59" s="302" t="s">
        <v>16</v>
      </c>
      <c r="B59" s="369">
        <v>312680</v>
      </c>
      <c r="C59" s="303">
        <v>5.3126828001999998E-2</v>
      </c>
      <c r="D59" s="369">
        <v>82419</v>
      </c>
      <c r="E59" s="370">
        <v>0.83892929880699996</v>
      </c>
      <c r="F59" s="304">
        <v>4313.3023255813996</v>
      </c>
      <c r="G59" s="305">
        <v>2293.72340425532</v>
      </c>
      <c r="H59" s="742">
        <v>15045</v>
      </c>
      <c r="I59" s="742">
        <v>7.1655034895309999</v>
      </c>
    </row>
    <row r="60" spans="1:16" ht="15" thickBot="1">
      <c r="A60" s="306" t="s">
        <v>20</v>
      </c>
      <c r="B60" s="369">
        <v>29836</v>
      </c>
      <c r="C60" s="303">
        <v>0.17012395648799999</v>
      </c>
      <c r="D60" s="369">
        <v>3425</v>
      </c>
      <c r="E60" s="370">
        <v>0.72718477910299995</v>
      </c>
      <c r="F60" s="304">
        <v>5743.25</v>
      </c>
      <c r="G60" s="305">
        <v>1531</v>
      </c>
      <c r="H60" s="742">
        <v>1500</v>
      </c>
      <c r="I60" s="767">
        <v>1500</v>
      </c>
    </row>
    <row r="61" spans="1:16" ht="15" thickBot="1">
      <c r="A61" s="306" t="s">
        <v>23</v>
      </c>
      <c r="B61" s="369">
        <v>26864</v>
      </c>
      <c r="C61" s="303">
        <v>0.23762007595500001</v>
      </c>
      <c r="D61" s="369">
        <v>12772</v>
      </c>
      <c r="E61" s="370">
        <v>0.78070712301599998</v>
      </c>
      <c r="F61" s="304">
        <v>518.92857142857099</v>
      </c>
      <c r="G61" s="305">
        <v>487.58333333333297</v>
      </c>
      <c r="H61" s="742">
        <v>5231</v>
      </c>
      <c r="I61" s="742">
        <v>1.118524182756</v>
      </c>
    </row>
    <row r="62" spans="1:16" ht="15" thickBot="1">
      <c r="A62" s="306" t="s">
        <v>15</v>
      </c>
      <c r="B62" s="369">
        <v>185477</v>
      </c>
      <c r="C62" s="303">
        <v>0.184297860614</v>
      </c>
      <c r="D62" s="369">
        <v>32151</v>
      </c>
      <c r="E62" s="370">
        <v>0.52666459520599995</v>
      </c>
      <c r="F62" s="304">
        <v>325.41052631578901</v>
      </c>
      <c r="G62" s="305">
        <v>354.47315436241598</v>
      </c>
      <c r="H62" s="742">
        <v>39675</v>
      </c>
      <c r="I62" s="742">
        <v>2.6624574669180001</v>
      </c>
    </row>
    <row r="63" spans="1:16" ht="15" thickBot="1">
      <c r="A63" s="306" t="s">
        <v>21</v>
      </c>
      <c r="B63" s="369">
        <v>18425</v>
      </c>
      <c r="C63" s="303">
        <v>0.27104028697499999</v>
      </c>
      <c r="D63" s="369">
        <v>31118</v>
      </c>
      <c r="E63" s="370">
        <v>0.63867058043699998</v>
      </c>
      <c r="F63" s="304">
        <v>664.47368421052602</v>
      </c>
      <c r="G63" s="305">
        <v>1944.875</v>
      </c>
      <c r="H63" s="742">
        <v>10448</v>
      </c>
      <c r="I63" s="742">
        <v>2.9783690658489999</v>
      </c>
    </row>
    <row r="64" spans="1:16" ht="15" thickBot="1">
      <c r="A64" s="306" t="s">
        <v>18</v>
      </c>
      <c r="B64" s="369">
        <v>7</v>
      </c>
      <c r="C64" s="303">
        <v>-0.99988751044500002</v>
      </c>
      <c r="D64" s="369">
        <v>8968</v>
      </c>
      <c r="E64" s="370">
        <v>5.84214523573056E-5</v>
      </c>
      <c r="F64" s="304">
        <v>263.911392405063</v>
      </c>
      <c r="G64" s="305">
        <v>118</v>
      </c>
      <c r="H64" s="742">
        <v>10873</v>
      </c>
      <c r="I64" s="742">
        <v>0.82479536466400005</v>
      </c>
    </row>
    <row r="65" spans="1:17" ht="15" thickBot="1">
      <c r="A65" s="306" t="s">
        <v>13</v>
      </c>
      <c r="B65" s="369">
        <v>525129</v>
      </c>
      <c r="C65" s="303">
        <v>7.7625373998E-2</v>
      </c>
      <c r="D65" s="369">
        <v>97014</v>
      </c>
      <c r="E65" s="370">
        <v>0.830166842402</v>
      </c>
      <c r="F65" s="304">
        <v>1532.59210526316</v>
      </c>
      <c r="G65" s="305">
        <v>320.17821782178203</v>
      </c>
      <c r="H65" s="742">
        <v>52327</v>
      </c>
      <c r="I65" s="742">
        <v>1.853995069467</v>
      </c>
    </row>
    <row r="66" spans="1:17" ht="15" thickBot="1">
      <c r="A66" s="306" t="s">
        <v>14</v>
      </c>
      <c r="B66" s="369">
        <v>158223</v>
      </c>
      <c r="C66" s="303">
        <v>3.0459927317999999E-2</v>
      </c>
      <c r="D66" s="369">
        <v>17602</v>
      </c>
      <c r="E66" s="370">
        <v>0.474180099854</v>
      </c>
      <c r="F66" s="304">
        <v>106.650273224044</v>
      </c>
      <c r="G66" s="305">
        <v>108.654320987654</v>
      </c>
      <c r="H66" s="742">
        <v>21400</v>
      </c>
      <c r="I66" s="742">
        <v>0.82252336448499996</v>
      </c>
    </row>
    <row r="67" spans="1:17" ht="15" thickBot="1">
      <c r="A67" s="306" t="s">
        <v>19</v>
      </c>
      <c r="B67" s="728">
        <f>Source!GI25</f>
        <v>48250</v>
      </c>
      <c r="C67" s="303"/>
      <c r="D67" s="728">
        <v>0</v>
      </c>
      <c r="E67" s="777">
        <f>Source!GG24/'Mois Y-1'!C16</f>
        <v>0.59979382624133781</v>
      </c>
      <c r="F67" s="304">
        <v>85.118421052631007</v>
      </c>
      <c r="G67" s="305">
        <v>0</v>
      </c>
      <c r="H67" s="742">
        <v>6901</v>
      </c>
      <c r="I67" s="742">
        <v>0</v>
      </c>
    </row>
    <row r="68" spans="1:17" ht="15" thickBot="1">
      <c r="A68" s="306" t="s">
        <v>22</v>
      </c>
      <c r="B68" s="369">
        <v>5942</v>
      </c>
      <c r="C68" s="303">
        <v>-0.59248336876700003</v>
      </c>
      <c r="D68" s="369">
        <v>0</v>
      </c>
      <c r="E68" s="370">
        <v>0.202702702702</v>
      </c>
      <c r="F68" s="304">
        <v>88.419354838708998</v>
      </c>
      <c r="G68" s="305">
        <v>0</v>
      </c>
      <c r="H68" s="742">
        <v>3129</v>
      </c>
      <c r="I68" s="742">
        <v>0</v>
      </c>
    </row>
    <row r="69" spans="1:17" ht="15" thickBot="1">
      <c r="A69" s="307" t="s">
        <v>17</v>
      </c>
      <c r="B69" s="371">
        <v>0</v>
      </c>
      <c r="C69" s="308"/>
      <c r="D69" s="371">
        <v>0</v>
      </c>
      <c r="E69" s="372">
        <v>0</v>
      </c>
      <c r="F69" s="309">
        <v>158.15942028985501</v>
      </c>
      <c r="G69" s="310">
        <v>0</v>
      </c>
      <c r="H69" s="742">
        <v>22611</v>
      </c>
      <c r="I69" s="742">
        <v>0</v>
      </c>
    </row>
    <row r="70" spans="1:17" ht="12.75" customHeight="1" thickBot="1">
      <c r="D70" s="742" t="s">
        <v>142</v>
      </c>
      <c r="E70" s="478">
        <v>0.79836494282500003</v>
      </c>
    </row>
    <row r="71" spans="1:17" ht="14.4" customHeight="1" thickBot="1">
      <c r="B71" s="335">
        <f>SUM(B63:B69)</f>
        <v>755976</v>
      </c>
      <c r="D71" s="742" t="s">
        <v>145</v>
      </c>
      <c r="E71" s="479">
        <v>0.538190256985</v>
      </c>
    </row>
    <row r="72" spans="1:17" ht="15.6" customHeight="1" thickBot="1">
      <c r="E72" s="480">
        <v>0.71777884216999999</v>
      </c>
    </row>
    <row r="73" spans="1:17" ht="22.5" customHeight="1" thickBot="1">
      <c r="A73" s="920" t="s">
        <v>65</v>
      </c>
      <c r="B73" s="921"/>
      <c r="C73" s="921"/>
      <c r="D73" s="921"/>
      <c r="E73" s="921"/>
      <c r="F73" s="921"/>
      <c r="G73" s="921"/>
      <c r="H73" s="921"/>
      <c r="I73" s="921"/>
      <c r="J73" s="921"/>
      <c r="K73" s="922"/>
    </row>
    <row r="74" spans="1:17" ht="15.6" thickBot="1">
      <c r="A74" s="317"/>
      <c r="B74" s="930" t="s">
        <v>24</v>
      </c>
      <c r="C74" s="931"/>
      <c r="D74" s="931"/>
      <c r="E74" s="931"/>
      <c r="F74" s="931"/>
      <c r="G74" s="932"/>
      <c r="H74" s="930" t="s">
        <v>25</v>
      </c>
      <c r="I74" s="932"/>
      <c r="J74" s="930" t="s">
        <v>26</v>
      </c>
      <c r="K74" s="933"/>
    </row>
    <row r="75" spans="1:17" ht="15.6" thickBot="1">
      <c r="A75" s="299" t="s">
        <v>3</v>
      </c>
      <c r="B75" s="300" t="s">
        <v>45</v>
      </c>
      <c r="C75" s="300" t="s">
        <v>46</v>
      </c>
      <c r="D75" s="300" t="s">
        <v>47</v>
      </c>
      <c r="E75" s="300" t="s">
        <v>48</v>
      </c>
      <c r="F75" s="300" t="s">
        <v>28</v>
      </c>
      <c r="G75" s="300" t="s">
        <v>49</v>
      </c>
      <c r="H75" s="300" t="s">
        <v>50</v>
      </c>
      <c r="I75" s="300" t="s">
        <v>51</v>
      </c>
      <c r="J75" s="300" t="s">
        <v>52</v>
      </c>
      <c r="K75" s="301" t="s">
        <v>53</v>
      </c>
      <c r="L75" s="742" t="s">
        <v>198</v>
      </c>
      <c r="M75" s="742" t="s">
        <v>82</v>
      </c>
    </row>
    <row r="76" spans="1:17" ht="15" thickBot="1">
      <c r="A76" s="302" t="s">
        <v>16</v>
      </c>
      <c r="B76" s="369">
        <v>179673</v>
      </c>
      <c r="C76" s="373">
        <v>196923.35477999999</v>
      </c>
      <c r="D76" s="373">
        <v>268548.61416</v>
      </c>
      <c r="E76" s="373">
        <v>49938.403619999997</v>
      </c>
      <c r="F76" s="303">
        <v>2.0028719192999998E-2</v>
      </c>
      <c r="G76" s="370">
        <v>2.0028719192999998E-2</v>
      </c>
      <c r="H76" s="304">
        <v>19814</v>
      </c>
      <c r="I76" s="304">
        <v>12117</v>
      </c>
      <c r="J76" s="370">
        <v>0.853855106197</v>
      </c>
      <c r="K76" s="375">
        <v>0.36382310154199998</v>
      </c>
      <c r="L76" s="742">
        <v>14159</v>
      </c>
      <c r="M76" s="742">
        <v>1.399392612472</v>
      </c>
      <c r="N76" s="742">
        <v>0</v>
      </c>
      <c r="O76" s="742">
        <v>0.30659199981200003</v>
      </c>
      <c r="P76" s="742">
        <v>4719</v>
      </c>
      <c r="Q76" s="742">
        <v>1.2468743377830001</v>
      </c>
    </row>
    <row r="77" spans="1:17" ht="15" thickBot="1">
      <c r="A77" s="306" t="s">
        <v>20</v>
      </c>
      <c r="B77" s="369">
        <v>49618</v>
      </c>
      <c r="C77" s="373">
        <v>64517.851900000001</v>
      </c>
      <c r="D77" s="373">
        <v>27351.853299999999</v>
      </c>
      <c r="E77" s="373">
        <v>5350.56945</v>
      </c>
      <c r="F77" s="303">
        <v>0.25757647310100001</v>
      </c>
      <c r="G77" s="370">
        <v>0.25757647293800001</v>
      </c>
      <c r="H77" s="304">
        <v>2790</v>
      </c>
      <c r="I77" s="304">
        <v>623</v>
      </c>
      <c r="J77" s="370">
        <v>0.95630441792900001</v>
      </c>
      <c r="K77" s="375">
        <v>0.17083198967999999</v>
      </c>
      <c r="L77" s="742">
        <v>3639</v>
      </c>
      <c r="M77" s="742">
        <v>0.76669414674299996</v>
      </c>
      <c r="N77" s="742">
        <v>0</v>
      </c>
      <c r="O77" s="742">
        <v>0.15573635765900001</v>
      </c>
      <c r="P77" s="742">
        <v>1750</v>
      </c>
      <c r="Q77" s="742">
        <v>0.486285714285</v>
      </c>
    </row>
    <row r="78" spans="1:17" ht="15" thickBot="1">
      <c r="A78" s="306" t="s">
        <v>23</v>
      </c>
      <c r="B78" s="369">
        <v>24951</v>
      </c>
      <c r="C78" s="373">
        <v>58003.382619999997</v>
      </c>
      <c r="D78" s="373">
        <v>36352.611290000001</v>
      </c>
      <c r="E78" s="373">
        <v>15291.944079999999</v>
      </c>
      <c r="F78" s="303">
        <v>9.7972084367000001E-2</v>
      </c>
      <c r="G78" s="370">
        <v>9.7972084367000001E-2</v>
      </c>
      <c r="H78" s="304">
        <v>5858</v>
      </c>
      <c r="I78" s="304">
        <v>5170</v>
      </c>
      <c r="J78" s="370">
        <v>0.945341556423</v>
      </c>
      <c r="K78" s="375">
        <v>0.62807777411599996</v>
      </c>
      <c r="L78" s="742">
        <v>4900</v>
      </c>
      <c r="M78" s="742">
        <v>1.1955102040809999</v>
      </c>
      <c r="N78" s="742">
        <v>0</v>
      </c>
      <c r="O78" s="742">
        <v>0.46075637870699998</v>
      </c>
      <c r="P78" s="742">
        <v>1532</v>
      </c>
      <c r="Q78" s="742">
        <v>0.92232375979100001</v>
      </c>
    </row>
    <row r="79" spans="1:17" ht="15" thickBot="1">
      <c r="A79" s="306" t="s">
        <v>15</v>
      </c>
      <c r="B79" s="369">
        <v>250421</v>
      </c>
      <c r="C79" s="373">
        <v>92928.106280000007</v>
      </c>
      <c r="D79" s="373">
        <v>59735.306909999999</v>
      </c>
      <c r="E79" s="373">
        <v>43333.719899999996</v>
      </c>
      <c r="F79" s="303">
        <v>3.3353556896000003E-2</v>
      </c>
      <c r="G79" s="370">
        <v>9.3099474574000002E-2</v>
      </c>
      <c r="H79" s="304">
        <v>47704</v>
      </c>
      <c r="I79" s="304">
        <v>14691</v>
      </c>
      <c r="J79" s="370">
        <v>0.932545360883</v>
      </c>
      <c r="K79" s="375">
        <v>0.39145686321000001</v>
      </c>
      <c r="L79" s="742">
        <v>42963</v>
      </c>
      <c r="M79" s="742">
        <v>1.1103507669379999</v>
      </c>
      <c r="N79" s="742">
        <v>0</v>
      </c>
      <c r="O79" s="742">
        <v>0.38431996645499999</v>
      </c>
      <c r="P79" s="742">
        <v>9340</v>
      </c>
      <c r="Q79" s="742">
        <v>0.93468950749400004</v>
      </c>
    </row>
    <row r="80" spans="1:17" ht="15" thickBot="1">
      <c r="A80" s="306" t="s">
        <v>21</v>
      </c>
      <c r="B80" s="369">
        <v>18550</v>
      </c>
      <c r="C80" s="373">
        <v>38549.99901</v>
      </c>
      <c r="D80" s="373">
        <v>26141.52447</v>
      </c>
      <c r="E80" s="373">
        <v>24676.611980000001</v>
      </c>
      <c r="F80" s="303">
        <v>4.8922010382000003E-2</v>
      </c>
      <c r="G80" s="370">
        <v>4.8922010382000003E-2</v>
      </c>
      <c r="H80" s="304">
        <v>844</v>
      </c>
      <c r="I80" s="304">
        <v>447</v>
      </c>
      <c r="J80" s="370">
        <v>0.77426380077599999</v>
      </c>
      <c r="K80" s="375">
        <v>0.40213994886799997</v>
      </c>
      <c r="L80" s="742">
        <v>2160</v>
      </c>
      <c r="M80" s="742">
        <v>0.39074074073999998</v>
      </c>
      <c r="N80" s="742">
        <v>0.40213994886799997</v>
      </c>
      <c r="O80" s="742">
        <v>2160</v>
      </c>
      <c r="P80" s="742">
        <v>0.39074074073999998</v>
      </c>
      <c r="Q80" s="742">
        <v>0.62642947903400004</v>
      </c>
    </row>
    <row r="81" spans="1:17" ht="15" thickBot="1">
      <c r="A81" s="306" t="s">
        <v>18</v>
      </c>
      <c r="B81" s="369">
        <v>70433</v>
      </c>
      <c r="C81" s="373">
        <v>52202.892899999999</v>
      </c>
      <c r="D81" s="373">
        <v>92291.450760000007</v>
      </c>
      <c r="E81" s="373">
        <v>64848.588470000002</v>
      </c>
      <c r="F81" s="303">
        <v>1.8925068950000001E-3</v>
      </c>
      <c r="G81" s="370">
        <v>1.8925069430000001E-3</v>
      </c>
      <c r="H81" s="304">
        <v>2146</v>
      </c>
      <c r="I81" s="304">
        <v>9927</v>
      </c>
      <c r="J81" s="370">
        <v>0.80658117660799999</v>
      </c>
      <c r="K81" s="375">
        <v>0.77123619793099996</v>
      </c>
      <c r="L81" s="742">
        <v>3975</v>
      </c>
      <c r="M81" s="742">
        <v>0.53987421383599998</v>
      </c>
      <c r="N81" s="742">
        <v>0.77123619793099996</v>
      </c>
      <c r="O81" s="742">
        <v>3975</v>
      </c>
      <c r="P81" s="742">
        <v>0.53987421383599998</v>
      </c>
      <c r="Q81" s="742">
        <v>0.74579124579099998</v>
      </c>
    </row>
    <row r="82" spans="1:17" ht="15" thickBot="1">
      <c r="A82" s="306" t="s">
        <v>13</v>
      </c>
      <c r="B82" s="369">
        <v>421135</v>
      </c>
      <c r="C82" s="373">
        <v>490381.82948000001</v>
      </c>
      <c r="D82" s="373">
        <v>896333.78876999998</v>
      </c>
      <c r="E82" s="727">
        <v>211988.26871</v>
      </c>
      <c r="F82" s="303">
        <v>-0.224750692669</v>
      </c>
      <c r="G82" s="751">
        <v>-0.224750692669</v>
      </c>
      <c r="H82" s="304">
        <v>43813</v>
      </c>
      <c r="I82" s="304">
        <v>87509</v>
      </c>
      <c r="J82" s="370">
        <v>0.74153755414599998</v>
      </c>
      <c r="K82" s="375">
        <v>0.72052993397999998</v>
      </c>
      <c r="L82" s="742">
        <v>43326</v>
      </c>
      <c r="M82" s="742">
        <v>1.0112403637530001</v>
      </c>
      <c r="N82" s="742">
        <v>0.72052993397999998</v>
      </c>
      <c r="O82" s="742">
        <v>43326</v>
      </c>
      <c r="P82" s="742">
        <v>1.0112403637530001</v>
      </c>
      <c r="Q82" s="742">
        <v>1.4093344445760001</v>
      </c>
    </row>
    <row r="83" spans="1:17" ht="15" thickBot="1">
      <c r="A83" s="306" t="s">
        <v>14</v>
      </c>
      <c r="B83" s="369">
        <v>183635</v>
      </c>
      <c r="C83" s="373">
        <v>78725.128899999996</v>
      </c>
      <c r="D83" s="373">
        <v>58700.160279999996</v>
      </c>
      <c r="E83" s="373">
        <v>46131.827140000001</v>
      </c>
      <c r="F83" s="303">
        <v>-0.16429385988299999</v>
      </c>
      <c r="G83" s="370">
        <v>0.11936228900699999</v>
      </c>
      <c r="H83" s="304">
        <v>8753</v>
      </c>
      <c r="I83" s="304">
        <v>5936</v>
      </c>
      <c r="J83" s="370">
        <v>0.70584750110100003</v>
      </c>
      <c r="K83" s="375">
        <v>0.39558240186100002</v>
      </c>
      <c r="L83" s="742">
        <v>13300</v>
      </c>
      <c r="M83" s="742">
        <v>0.65812030075100003</v>
      </c>
      <c r="N83" s="742">
        <v>0.39558240186100002</v>
      </c>
      <c r="O83" s="742">
        <v>13300</v>
      </c>
      <c r="P83" s="742">
        <v>0.65812030075100003</v>
      </c>
      <c r="Q83" s="742">
        <v>1.3712384259249999</v>
      </c>
    </row>
    <row r="84" spans="1:17" ht="15" thickBot="1">
      <c r="A84" s="306" t="s">
        <v>19</v>
      </c>
      <c r="B84" s="369">
        <v>77237</v>
      </c>
      <c r="C84" s="373">
        <v>60981.139660000001</v>
      </c>
      <c r="D84" s="373">
        <v>71365.698279999997</v>
      </c>
      <c r="E84" s="373">
        <v>13696.659729999999</v>
      </c>
      <c r="F84" s="303">
        <v>8.2344994434999999E-2</v>
      </c>
      <c r="G84" s="370">
        <v>-4.6047930110000003E-2</v>
      </c>
      <c r="H84" s="304">
        <v>5340</v>
      </c>
      <c r="I84" s="304">
        <v>688</v>
      </c>
      <c r="J84" s="370">
        <v>0.90387148502299997</v>
      </c>
      <c r="K84" s="375">
        <v>0.247895309546</v>
      </c>
      <c r="L84" s="742">
        <v>0</v>
      </c>
      <c r="N84" s="742">
        <v>0.247895309546</v>
      </c>
      <c r="O84" s="742">
        <v>0</v>
      </c>
      <c r="Q84" s="742">
        <v>0.70520000000000005</v>
      </c>
    </row>
    <row r="85" spans="1:17" ht="15" thickBot="1">
      <c r="A85" s="306" t="s">
        <v>22</v>
      </c>
      <c r="B85" s="369">
        <v>30817</v>
      </c>
      <c r="C85" s="373">
        <v>43393.746709999999</v>
      </c>
      <c r="D85" s="373">
        <v>13637.613079999999</v>
      </c>
      <c r="E85" s="373">
        <v>16652.89892</v>
      </c>
      <c r="F85" s="303">
        <v>9.4013662427000003E-2</v>
      </c>
      <c r="G85" s="370">
        <v>4.0367225281000001E-2</v>
      </c>
      <c r="H85" s="304">
        <v>2628</v>
      </c>
      <c r="I85" s="304">
        <v>195</v>
      </c>
      <c r="J85" s="370">
        <v>0.94863307111100004</v>
      </c>
      <c r="K85" s="375">
        <v>8.5364903808000006E-2</v>
      </c>
      <c r="L85" s="742">
        <v>2812</v>
      </c>
      <c r="M85" s="742">
        <v>0.93456614509199998</v>
      </c>
      <c r="N85" s="742">
        <v>8.5364903808000006E-2</v>
      </c>
      <c r="O85" s="742">
        <v>2812</v>
      </c>
      <c r="P85" s="742">
        <v>0.93456614509199998</v>
      </c>
      <c r="Q85" s="742">
        <v>0.93448702101299996</v>
      </c>
    </row>
    <row r="86" spans="1:17" ht="15" thickBot="1">
      <c r="A86" s="307" t="s">
        <v>17</v>
      </c>
      <c r="B86" s="371">
        <v>138116</v>
      </c>
      <c r="C86" s="374">
        <v>348169.60436</v>
      </c>
      <c r="D86" s="374">
        <v>268573.17047999997</v>
      </c>
      <c r="E86" s="374">
        <v>94082.640509999997</v>
      </c>
      <c r="F86" s="308">
        <v>-2.3685429623999998E-2</v>
      </c>
      <c r="G86" s="372">
        <v>-2.3685429623999998E-2</v>
      </c>
      <c r="H86" s="309">
        <v>15317</v>
      </c>
      <c r="I86" s="309">
        <v>12026</v>
      </c>
      <c r="J86" s="372">
        <v>0.74116197589800004</v>
      </c>
      <c r="K86" s="376">
        <v>0.44065760597499998</v>
      </c>
      <c r="L86" s="742">
        <v>14224</v>
      </c>
      <c r="M86" s="742">
        <v>1.0768419572550001</v>
      </c>
      <c r="N86" s="742">
        <v>0.44065760597499998</v>
      </c>
      <c r="O86" s="742">
        <v>14224</v>
      </c>
      <c r="P86" s="742">
        <v>1.0768419572550001</v>
      </c>
      <c r="Q86" s="742">
        <v>1.2408888888880001</v>
      </c>
    </row>
    <row r="87" spans="1:17" ht="12.75" customHeight="1" thickBot="1">
      <c r="A87" s="297"/>
      <c r="B87" s="297">
        <v>1438704</v>
      </c>
      <c r="C87" s="297">
        <v>1471978.8208600001</v>
      </c>
      <c r="D87" s="297"/>
      <c r="E87" s="297"/>
      <c r="F87" s="297"/>
      <c r="G87" s="297"/>
      <c r="H87" s="297"/>
      <c r="I87" s="297"/>
      <c r="J87" s="478">
        <v>0.90613159001300003</v>
      </c>
      <c r="K87" s="478">
        <v>0.34703549598900002</v>
      </c>
      <c r="L87" s="297"/>
      <c r="M87" s="297"/>
    </row>
    <row r="88" spans="1:17" ht="15.6" thickBot="1">
      <c r="A88" s="311"/>
      <c r="B88" s="313"/>
      <c r="C88" s="313"/>
      <c r="D88" s="313"/>
      <c r="E88" s="313"/>
      <c r="F88" s="332" t="s">
        <v>142</v>
      </c>
      <c r="G88" s="478">
        <v>2.6886563501000001E-2</v>
      </c>
      <c r="H88" s="314"/>
      <c r="I88" s="313"/>
      <c r="J88" s="479">
        <v>0.75867854633300003</v>
      </c>
      <c r="K88" s="479">
        <v>0.54813047656400005</v>
      </c>
      <c r="L88" s="313"/>
      <c r="M88" s="313"/>
    </row>
    <row r="89" spans="1:17" ht="15.6" thickBot="1">
      <c r="A89" s="315" t="s">
        <v>412</v>
      </c>
      <c r="F89" s="333" t="s">
        <v>145</v>
      </c>
      <c r="G89" s="479">
        <v>2.8136159099999999E-2</v>
      </c>
      <c r="H89" s="316" t="s">
        <v>58</v>
      </c>
      <c r="J89" s="481">
        <v>0.81136611350499999</v>
      </c>
      <c r="K89" s="480">
        <v>0.47627570142699999</v>
      </c>
    </row>
    <row r="90" spans="1:17" ht="15.6" thickBot="1">
      <c r="G90" s="480">
        <v>2.78726589E-2</v>
      </c>
    </row>
    <row r="93" spans="1:17">
      <c r="B93" s="334">
        <f>SUM(C83,D83,E83)</f>
        <v>183557.11632</v>
      </c>
    </row>
    <row r="94" spans="1:17">
      <c r="B94" s="742">
        <v>1270433445.82952</v>
      </c>
    </row>
  </sheetData>
  <mergeCells count="20">
    <mergeCell ref="A56:G56"/>
    <mergeCell ref="B57:C57"/>
    <mergeCell ref="F57:G57"/>
    <mergeCell ref="A73:K73"/>
    <mergeCell ref="B74:G74"/>
    <mergeCell ref="H74:I74"/>
    <mergeCell ref="J74:K74"/>
    <mergeCell ref="A1:G1"/>
    <mergeCell ref="H1:M1"/>
    <mergeCell ref="H2:M2"/>
    <mergeCell ref="A39:M39"/>
    <mergeCell ref="B40:D40"/>
    <mergeCell ref="E40:J40"/>
    <mergeCell ref="L40:M40"/>
    <mergeCell ref="A5:J5"/>
    <mergeCell ref="A6:I6"/>
    <mergeCell ref="A22:M22"/>
    <mergeCell ref="B23:D23"/>
    <mergeCell ref="E23:J23"/>
    <mergeCell ref="L23:M23"/>
  </mergeCells>
  <pageMargins left="0.7" right="0.7" top="0.75" bottom="0.75" header="0.3" footer="0.3"/>
  <pageSetup paperSize="9" orientation="portrait" verticalDpi="0" r:id="rId1"/>
  <headerFooter>
    <oddFooter>&amp;R&amp;1#&amp;"Calibri"&amp;10&amp;K000000C2 -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567B-AC60-4B77-AACD-375FAA361B18}">
  <dimension ref="C3:F49"/>
  <sheetViews>
    <sheetView topLeftCell="A16" workbookViewId="0">
      <selection activeCell="E31" sqref="E31"/>
    </sheetView>
  </sheetViews>
  <sheetFormatPr baseColWidth="10" defaultRowHeight="14.4"/>
  <cols>
    <col min="3" max="3" width="24.6640625" customWidth="1"/>
    <col min="4" max="4" width="21" customWidth="1"/>
    <col min="5" max="5" width="11.5546875" customWidth="1"/>
  </cols>
  <sheetData>
    <row r="3" spans="3:5">
      <c r="D3">
        <v>2022</v>
      </c>
      <c r="E3">
        <v>2023</v>
      </c>
    </row>
    <row r="4" spans="3:5">
      <c r="C4" t="s">
        <v>21</v>
      </c>
      <c r="D4" s="65">
        <f>'Mois Y-1'!K29</f>
        <v>0.46899841017400001</v>
      </c>
      <c r="E4" s="65">
        <f>VLOOKUP(C4,'Mois courant'!A33:K44,11,0)</f>
        <v>0.41467205470899998</v>
      </c>
    </row>
    <row r="5" spans="3:5">
      <c r="C5" t="s">
        <v>18</v>
      </c>
      <c r="D5" s="65">
        <f>'Mois Y-1'!K30</f>
        <v>0.69268098359399999</v>
      </c>
      <c r="E5" s="65">
        <f>VLOOKUP(C5,'Mois courant'!A34:K45,11,0)</f>
        <v>0.674347360309</v>
      </c>
    </row>
    <row r="6" spans="3:5">
      <c r="C6" t="s">
        <v>13</v>
      </c>
      <c r="D6" s="65">
        <f>'Mois Y-1'!K31</f>
        <v>0.33495289422800001</v>
      </c>
      <c r="E6" s="65">
        <f>VLOOKUP(C6,'Mois courant'!A35:K46,11,0)</f>
        <v>0.34018856692900001</v>
      </c>
    </row>
    <row r="7" spans="3:5">
      <c r="C7" t="s">
        <v>14</v>
      </c>
      <c r="D7" s="65">
        <f>'Mois Y-1'!K32</f>
        <v>0.47940082477500001</v>
      </c>
      <c r="E7" s="65">
        <f>VLOOKUP(C7,'Mois courant'!A36:K47,11,0)</f>
        <v>0.49132666692100002</v>
      </c>
    </row>
    <row r="8" spans="3:5">
      <c r="C8" t="s">
        <v>19</v>
      </c>
      <c r="D8" s="65">
        <f>'Mois Y-1'!K33</f>
        <v>0.52248499152500005</v>
      </c>
      <c r="E8" s="65">
        <f>VLOOKUP(C8,'Mois courant'!A37:K48,11,0)</f>
        <v>0.497690475809</v>
      </c>
    </row>
    <row r="9" spans="3:5">
      <c r="C9" t="s">
        <v>22</v>
      </c>
      <c r="D9" s="65">
        <f>'Mois Y-1'!K34</f>
        <v>0.65955088468300005</v>
      </c>
      <c r="E9" s="65">
        <f>VLOOKUP(C9,'Mois courant'!A38:K49,11,0)</f>
        <v>0.66708410761799997</v>
      </c>
    </row>
    <row r="10" spans="3:5">
      <c r="C10" t="s">
        <v>17</v>
      </c>
      <c r="D10" s="65">
        <f>'Mois Y-1'!K35</f>
        <v>0.39935878691600002</v>
      </c>
      <c r="E10" s="65">
        <f>VLOOKUP(C10,'Mois courant'!A39:K50,11,0)</f>
        <v>0.394182219587</v>
      </c>
    </row>
    <row r="11" spans="3:5">
      <c r="C11" t="s">
        <v>16</v>
      </c>
      <c r="D11" s="65">
        <f>'Mois Y-1'!K25</f>
        <v>0.354651439771</v>
      </c>
      <c r="E11" s="65">
        <f>VLOOKUP(C11,'Mois courant'!A29:K40,11,0)</f>
        <v>0.40114791181300002</v>
      </c>
    </row>
    <row r="12" spans="3:5">
      <c r="C12" t="s">
        <v>20</v>
      </c>
      <c r="D12" s="65">
        <f>'Mois Y-1'!K26</f>
        <v>0.421598381385</v>
      </c>
      <c r="E12" s="65">
        <f>VLOOKUP(C12,'Mois courant'!A30:K41,11,0)</f>
        <v>0.41529672053</v>
      </c>
    </row>
    <row r="13" spans="3:5">
      <c r="C13" t="s">
        <v>23</v>
      </c>
      <c r="D13" s="65">
        <f>'Mois Y-1'!K27</f>
        <v>0.158070297719</v>
      </c>
      <c r="E13" s="876">
        <f>'Mois courant'!K30</f>
        <v>0.16239653133599999</v>
      </c>
    </row>
    <row r="14" spans="3:5">
      <c r="C14" t="s">
        <v>15</v>
      </c>
      <c r="D14" s="65">
        <f>'Mois Y-1'!K28</f>
        <v>0.539242459442</v>
      </c>
      <c r="E14" s="876">
        <v>0.54793417915300002</v>
      </c>
    </row>
    <row r="23" spans="4:6">
      <c r="E23">
        <v>2022</v>
      </c>
      <c r="F23" s="870">
        <v>2023</v>
      </c>
    </row>
    <row r="24" spans="4:6">
      <c r="D24" t="s">
        <v>62</v>
      </c>
      <c r="E24" s="65">
        <v>0.42676461703899998</v>
      </c>
      <c r="F24" s="65">
        <f>'Mois courant'!K33</f>
        <v>0.43386643857700002</v>
      </c>
    </row>
    <row r="25" spans="4:6">
      <c r="D25" t="s">
        <v>63</v>
      </c>
      <c r="E25" s="65">
        <v>0.45487271290499998</v>
      </c>
      <c r="F25" s="65">
        <f>'Mois courant'!K28</f>
        <v>0.48359501330100002</v>
      </c>
    </row>
    <row r="39" spans="3:3">
      <c r="C39" s="870" t="s">
        <v>21</v>
      </c>
    </row>
    <row r="40" spans="3:3">
      <c r="C40" s="870" t="s">
        <v>18</v>
      </c>
    </row>
    <row r="41" spans="3:3">
      <c r="C41" s="870" t="s">
        <v>13</v>
      </c>
    </row>
    <row r="42" spans="3:3">
      <c r="C42" s="870" t="s">
        <v>14</v>
      </c>
    </row>
    <row r="43" spans="3:3">
      <c r="C43" s="870" t="s">
        <v>19</v>
      </c>
    </row>
    <row r="44" spans="3:3">
      <c r="C44" s="870" t="s">
        <v>22</v>
      </c>
    </row>
    <row r="45" spans="3:3">
      <c r="C45" s="870" t="s">
        <v>17</v>
      </c>
    </row>
    <row r="46" spans="3:3">
      <c r="C46" s="870" t="s">
        <v>16</v>
      </c>
    </row>
    <row r="47" spans="3:3">
      <c r="C47" s="870" t="s">
        <v>20</v>
      </c>
    </row>
    <row r="48" spans="3:3">
      <c r="C48" s="870" t="s">
        <v>23</v>
      </c>
    </row>
    <row r="49" spans="3:3">
      <c r="C49" s="870" t="s">
        <v>15</v>
      </c>
    </row>
  </sheetData>
  <pageMargins left="0.7" right="0.7" top="0.75" bottom="0.75" header="0.3" footer="0.3"/>
  <pageSetup paperSize="9" orientation="portrait" verticalDpi="0" r:id="rId1"/>
  <headerFooter>
    <oddFooter>&amp;R&amp;1#&amp;"Calibri"&amp;10&amp;K000000C2 -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W1122"/>
  <sheetViews>
    <sheetView showGridLines="0" tabSelected="1" view="pageBreakPreview" topLeftCell="A1039" zoomScaleNormal="100" zoomScaleSheetLayoutView="100" workbookViewId="0">
      <selection activeCell="N1045" sqref="N1045"/>
    </sheetView>
  </sheetViews>
  <sheetFormatPr baseColWidth="10" defaultColWidth="11.44140625" defaultRowHeight="14.4"/>
  <cols>
    <col min="1" max="1" width="5.33203125" style="197" customWidth="1"/>
    <col min="2" max="2" width="3.44140625" style="197" customWidth="1"/>
    <col min="3" max="3" width="1.5546875" style="197" customWidth="1"/>
    <col min="4" max="8" width="11.44140625" style="197"/>
    <col min="9" max="9" width="11.88671875" style="197" customWidth="1"/>
    <col min="10" max="11" width="11.44140625" style="197"/>
    <col min="12" max="12" width="11.44140625" style="197" customWidth="1"/>
    <col min="13" max="13" width="12.6640625" style="197" customWidth="1"/>
    <col min="14" max="14" width="11.44140625" style="197"/>
    <col min="15" max="15" width="16.88671875" style="197" customWidth="1"/>
    <col min="16" max="16" width="15.109375" style="197" bestFit="1" customWidth="1"/>
    <col min="17" max="18" width="11.44140625" style="197"/>
    <col min="19" max="19" width="10.109375" style="197" customWidth="1"/>
    <col min="20" max="21" width="8.33203125" style="197" customWidth="1"/>
    <col min="22" max="16384" width="11.44140625" style="197"/>
  </cols>
  <sheetData>
    <row r="2" spans="3:20" ht="23.4">
      <c r="C2" s="200" t="s">
        <v>263</v>
      </c>
      <c r="D2" s="201"/>
      <c r="E2" s="201"/>
      <c r="F2" s="201"/>
      <c r="G2" s="201"/>
      <c r="H2" s="201"/>
      <c r="I2" s="200"/>
      <c r="J2" s="200"/>
      <c r="K2" s="200"/>
      <c r="L2" s="200"/>
      <c r="N2" s="943">
        <v>45301</v>
      </c>
      <c r="O2" s="944"/>
      <c r="P2" s="200"/>
      <c r="Q2" s="200"/>
      <c r="T2" s="200"/>
    </row>
    <row r="3" spans="3:20" ht="5.4" customHeight="1">
      <c r="D3" s="136"/>
      <c r="E3" s="136"/>
      <c r="F3" s="136"/>
      <c r="G3" s="136"/>
      <c r="H3" s="136"/>
      <c r="I3" s="136"/>
      <c r="J3" s="136"/>
      <c r="K3" s="136"/>
      <c r="L3" s="136"/>
    </row>
    <row r="4" spans="3:20" ht="5.4" customHeight="1">
      <c r="D4" s="136"/>
      <c r="E4" s="136"/>
      <c r="F4" s="136"/>
      <c r="G4" s="136"/>
      <c r="H4" s="136"/>
      <c r="I4" s="136"/>
      <c r="J4" s="136"/>
      <c r="K4" s="136"/>
      <c r="L4" s="136"/>
    </row>
    <row r="5" spans="3:20" ht="18">
      <c r="C5" s="56"/>
      <c r="D5" s="75"/>
      <c r="E5" s="75"/>
      <c r="F5" s="75"/>
      <c r="G5" s="75"/>
      <c r="H5" s="75"/>
      <c r="I5" s="75"/>
      <c r="J5" s="75"/>
      <c r="K5" s="75"/>
      <c r="L5" s="75"/>
      <c r="M5" s="56"/>
      <c r="N5" s="943"/>
      <c r="O5" s="944"/>
      <c r="P5" s="56"/>
      <c r="Q5" s="56"/>
      <c r="R5" s="56"/>
      <c r="S5" s="56"/>
      <c r="T5" s="56"/>
    </row>
    <row r="6" spans="3:20">
      <c r="C6" s="56"/>
      <c r="D6" s="75"/>
      <c r="E6" s="75"/>
      <c r="F6" s="75"/>
      <c r="G6" s="75"/>
      <c r="H6" s="75"/>
      <c r="I6" s="75"/>
      <c r="J6" s="75"/>
      <c r="K6" s="75"/>
      <c r="L6" s="75"/>
      <c r="M6" s="56"/>
      <c r="N6" s="56"/>
      <c r="O6" s="56"/>
      <c r="P6" s="56"/>
      <c r="Q6" s="56"/>
      <c r="R6" s="56"/>
      <c r="S6" s="56"/>
      <c r="T6" s="56"/>
    </row>
    <row r="7" spans="3:20">
      <c r="C7" s="56"/>
      <c r="D7" s="75"/>
      <c r="E7" s="75"/>
      <c r="F7" s="75"/>
      <c r="G7" s="75"/>
      <c r="H7" s="75"/>
      <c r="I7" s="75"/>
      <c r="J7" s="75"/>
      <c r="K7" s="75"/>
      <c r="L7" s="75"/>
      <c r="M7" s="56"/>
      <c r="N7" s="56"/>
      <c r="O7" s="56"/>
      <c r="P7" s="56"/>
      <c r="Q7" s="56"/>
      <c r="R7" s="56"/>
      <c r="S7" s="56"/>
      <c r="T7" s="56"/>
    </row>
    <row r="8" spans="3:20">
      <c r="C8" s="56"/>
      <c r="D8" s="56"/>
      <c r="E8" s="56"/>
      <c r="F8" s="56"/>
      <c r="G8" s="56"/>
      <c r="H8" s="56"/>
      <c r="I8" s="56"/>
      <c r="J8" s="56"/>
      <c r="K8" s="56"/>
      <c r="L8" s="56"/>
      <c r="M8" s="56"/>
      <c r="N8" s="56"/>
      <c r="O8" s="56"/>
      <c r="P8" s="56"/>
      <c r="Q8" s="56"/>
      <c r="R8" s="56"/>
      <c r="S8" s="56"/>
      <c r="T8" s="56"/>
    </row>
    <row r="9" spans="3:20">
      <c r="C9" s="56"/>
      <c r="D9" s="56"/>
      <c r="E9" s="56"/>
      <c r="F9" s="56"/>
      <c r="G9" s="56"/>
      <c r="H9" s="56"/>
      <c r="I9" s="56"/>
      <c r="J9" s="56"/>
      <c r="K9" s="56"/>
      <c r="L9" s="56"/>
      <c r="M9" s="56"/>
      <c r="N9" s="56"/>
      <c r="O9" s="56"/>
      <c r="P9" s="56"/>
      <c r="Q9" s="56"/>
      <c r="R9" s="56"/>
      <c r="S9" s="56"/>
      <c r="T9" s="56"/>
    </row>
    <row r="10" spans="3:20">
      <c r="C10" s="56"/>
      <c r="D10" s="56"/>
      <c r="E10" s="56"/>
      <c r="F10" s="56"/>
      <c r="G10" s="56"/>
      <c r="H10" s="56"/>
      <c r="I10" s="56"/>
      <c r="J10" s="56"/>
      <c r="K10" s="56"/>
      <c r="L10" s="56"/>
      <c r="M10" s="56"/>
      <c r="N10" s="56"/>
      <c r="O10" s="56"/>
      <c r="P10" s="56"/>
      <c r="Q10" s="56"/>
      <c r="R10" s="56"/>
      <c r="S10" s="56"/>
      <c r="T10" s="56"/>
    </row>
    <row r="11" spans="3:20">
      <c r="C11" s="56"/>
      <c r="D11" s="56"/>
      <c r="E11" s="56"/>
      <c r="F11" s="56"/>
      <c r="G11" s="56"/>
      <c r="H11" s="56"/>
      <c r="I11" s="56"/>
      <c r="J11" s="56"/>
      <c r="K11" s="56"/>
      <c r="L11" s="56"/>
      <c r="M11" s="56"/>
      <c r="N11" s="56"/>
      <c r="O11" s="56"/>
      <c r="P11" s="56"/>
      <c r="Q11" s="56"/>
      <c r="R11" s="56"/>
      <c r="S11" s="56"/>
      <c r="T11" s="56"/>
    </row>
    <row r="12" spans="3:20">
      <c r="C12" s="56"/>
      <c r="D12" s="56"/>
      <c r="E12" s="56"/>
      <c r="F12" s="56"/>
      <c r="G12" s="56"/>
      <c r="H12" s="56"/>
      <c r="I12" s="56"/>
      <c r="J12" s="56"/>
      <c r="K12" s="56"/>
      <c r="L12" s="56"/>
      <c r="M12" s="56"/>
      <c r="N12" s="56"/>
      <c r="O12" s="56"/>
      <c r="P12" s="56"/>
      <c r="Q12" s="56"/>
      <c r="R12" s="56"/>
      <c r="S12" s="56"/>
      <c r="T12" s="56"/>
    </row>
    <row r="13" spans="3:20">
      <c r="C13" s="56"/>
      <c r="D13" s="56"/>
      <c r="E13" s="56"/>
      <c r="F13" s="56"/>
      <c r="G13" s="56"/>
      <c r="H13" s="56"/>
      <c r="I13" s="56"/>
      <c r="J13" s="56"/>
      <c r="K13" s="56"/>
      <c r="L13" s="56"/>
      <c r="M13" s="56"/>
      <c r="N13" s="56"/>
      <c r="O13" s="56"/>
      <c r="P13" s="56"/>
      <c r="Q13" s="56"/>
      <c r="R13" s="56"/>
      <c r="S13" s="56"/>
      <c r="T13" s="56"/>
    </row>
    <row r="14" spans="3:20">
      <c r="C14" s="56"/>
      <c r="D14" s="56"/>
      <c r="E14" s="56"/>
      <c r="F14" s="56"/>
      <c r="G14" s="56"/>
      <c r="H14" s="56"/>
      <c r="I14" s="56"/>
      <c r="J14" s="56"/>
      <c r="K14" s="56"/>
      <c r="L14" s="56"/>
      <c r="M14" s="56"/>
      <c r="N14" s="56"/>
      <c r="O14" s="56"/>
      <c r="P14" s="56"/>
      <c r="Q14" s="56"/>
      <c r="R14" s="56"/>
      <c r="S14" s="56"/>
      <c r="T14" s="56"/>
    </row>
    <row r="15" spans="3:20">
      <c r="C15" s="56"/>
      <c r="D15" s="56"/>
      <c r="E15" s="56"/>
      <c r="F15" s="56"/>
      <c r="G15" s="56"/>
      <c r="H15" s="56"/>
      <c r="I15" s="56"/>
      <c r="J15" s="56"/>
      <c r="K15" s="56"/>
      <c r="L15" s="56"/>
      <c r="M15" s="56"/>
      <c r="N15" s="56"/>
      <c r="O15" s="56"/>
      <c r="P15" s="56"/>
      <c r="Q15" s="56"/>
      <c r="R15" s="56"/>
      <c r="S15" s="56"/>
      <c r="T15" s="56"/>
    </row>
    <row r="16" spans="3:20">
      <c r="C16" s="56"/>
      <c r="D16" s="56"/>
      <c r="E16" s="56"/>
      <c r="F16" s="56"/>
      <c r="G16" s="56"/>
      <c r="H16" s="56"/>
      <c r="I16" s="56"/>
      <c r="J16" s="56"/>
      <c r="K16" s="56"/>
      <c r="L16" s="56"/>
      <c r="M16" s="56"/>
      <c r="N16" s="56"/>
      <c r="O16" s="56"/>
      <c r="P16" s="56"/>
      <c r="Q16" s="56"/>
      <c r="R16" s="56"/>
      <c r="S16" s="56"/>
      <c r="T16" s="56"/>
    </row>
    <row r="17" spans="3:20">
      <c r="C17" s="56"/>
      <c r="D17" s="56"/>
      <c r="E17" s="56"/>
      <c r="F17" s="56"/>
      <c r="G17" s="56"/>
      <c r="H17" s="56"/>
      <c r="I17" s="56"/>
      <c r="J17" s="56"/>
      <c r="K17" s="56"/>
      <c r="L17" s="56"/>
      <c r="M17" s="56"/>
      <c r="N17" s="56"/>
      <c r="O17" s="56"/>
      <c r="P17" s="56"/>
      <c r="Q17" s="56"/>
      <c r="R17" s="56"/>
      <c r="S17" s="56"/>
      <c r="T17" s="56"/>
    </row>
    <row r="18" spans="3:20">
      <c r="C18" s="56"/>
      <c r="D18" s="56"/>
      <c r="E18" s="56"/>
      <c r="F18" s="56"/>
      <c r="G18" s="56"/>
      <c r="H18" s="56"/>
      <c r="I18" s="56"/>
      <c r="J18" s="56"/>
      <c r="K18" s="56"/>
      <c r="L18" s="56"/>
      <c r="M18" s="56"/>
      <c r="N18" s="56"/>
      <c r="O18" s="56"/>
      <c r="P18" s="56"/>
      <c r="Q18" s="56"/>
      <c r="R18" s="56"/>
      <c r="S18" s="56"/>
      <c r="T18" s="56"/>
    </row>
    <row r="19" spans="3:20">
      <c r="C19" s="56"/>
      <c r="D19" s="56"/>
      <c r="E19" s="56"/>
      <c r="F19" s="56"/>
      <c r="G19" s="56"/>
      <c r="H19" s="56"/>
      <c r="I19" s="56"/>
      <c r="J19" s="56"/>
      <c r="K19" s="56"/>
      <c r="L19" s="56"/>
      <c r="M19" s="56"/>
      <c r="N19" s="56"/>
      <c r="O19" s="56"/>
      <c r="P19" s="56"/>
      <c r="Q19" s="56"/>
      <c r="R19" s="56"/>
      <c r="S19" s="56"/>
      <c r="T19" s="56"/>
    </row>
    <row r="20" spans="3:20">
      <c r="C20" s="56"/>
      <c r="D20" s="56"/>
      <c r="E20" s="56"/>
      <c r="F20" s="56"/>
      <c r="G20" s="56"/>
      <c r="H20" s="56"/>
      <c r="I20" s="56"/>
      <c r="J20" s="56"/>
      <c r="K20" s="56"/>
      <c r="L20" s="56"/>
      <c r="M20" s="56"/>
      <c r="N20" s="56"/>
      <c r="O20" s="56"/>
      <c r="P20" s="56"/>
      <c r="Q20" s="56"/>
      <c r="R20" s="56"/>
      <c r="S20" s="56"/>
      <c r="T20" s="56"/>
    </row>
    <row r="21" spans="3:20">
      <c r="C21" s="56"/>
      <c r="D21" s="56"/>
      <c r="E21" s="56"/>
      <c r="F21" s="56"/>
      <c r="G21" s="56"/>
      <c r="H21" s="56"/>
      <c r="I21" s="56"/>
      <c r="J21" s="56"/>
      <c r="K21" s="56"/>
      <c r="L21" s="56"/>
      <c r="M21" s="56"/>
      <c r="N21" s="56"/>
      <c r="O21" s="56"/>
      <c r="P21" s="56"/>
      <c r="Q21" s="56"/>
      <c r="R21" s="56"/>
      <c r="S21" s="56"/>
      <c r="T21" s="56"/>
    </row>
    <row r="22" spans="3:20">
      <c r="C22" s="56"/>
      <c r="D22" s="56"/>
      <c r="E22" s="56"/>
      <c r="F22" s="56"/>
      <c r="G22" s="56"/>
      <c r="H22" s="56"/>
      <c r="I22" s="56"/>
      <c r="J22" s="56"/>
      <c r="K22" s="56"/>
      <c r="L22" s="56"/>
      <c r="M22" s="56"/>
      <c r="N22" s="56"/>
      <c r="O22" s="56"/>
      <c r="P22" s="56"/>
      <c r="Q22" s="56"/>
      <c r="R22" s="56"/>
      <c r="S22" s="56"/>
      <c r="T22" s="56"/>
    </row>
    <row r="23" spans="3:20">
      <c r="C23" s="56"/>
      <c r="D23" s="56"/>
      <c r="E23" s="56"/>
      <c r="F23" s="56"/>
      <c r="G23" s="56"/>
      <c r="H23" s="56"/>
      <c r="I23" s="56"/>
      <c r="J23" s="56"/>
      <c r="K23" s="56"/>
      <c r="L23" s="56"/>
      <c r="M23" s="56"/>
      <c r="N23" s="56"/>
      <c r="O23" s="56"/>
      <c r="P23" s="56"/>
      <c r="Q23" s="56"/>
      <c r="R23" s="56"/>
      <c r="S23" s="56"/>
      <c r="T23" s="56"/>
    </row>
    <row r="24" spans="3:20">
      <c r="C24" s="56"/>
      <c r="D24" s="56"/>
      <c r="E24" s="56"/>
      <c r="F24" s="56"/>
      <c r="G24" s="56"/>
      <c r="H24" s="56"/>
      <c r="I24" s="56"/>
      <c r="J24" s="56"/>
      <c r="K24" s="56"/>
      <c r="L24" s="56"/>
      <c r="M24" s="56"/>
      <c r="N24" s="56"/>
      <c r="O24" s="56"/>
      <c r="P24" s="56"/>
      <c r="Q24" s="56"/>
      <c r="R24" s="56"/>
      <c r="S24" s="56"/>
      <c r="T24" s="56"/>
    </row>
    <row r="25" spans="3:20">
      <c r="C25" s="56"/>
      <c r="D25" s="56"/>
      <c r="E25" s="56"/>
      <c r="F25" s="56"/>
      <c r="G25" s="56"/>
      <c r="H25" s="56"/>
      <c r="I25" s="56"/>
      <c r="J25" s="56"/>
      <c r="K25" s="56"/>
      <c r="L25" s="56"/>
      <c r="M25" s="56"/>
      <c r="N25" s="56"/>
      <c r="O25" s="56"/>
      <c r="P25" s="56"/>
      <c r="Q25" s="56"/>
      <c r="R25" s="56"/>
      <c r="S25" s="56"/>
      <c r="T25" s="56"/>
    </row>
    <row r="26" spans="3:20">
      <c r="C26" s="56"/>
      <c r="D26" s="56"/>
      <c r="E26" s="56"/>
      <c r="F26" s="56"/>
      <c r="G26" s="56"/>
      <c r="H26" s="56"/>
      <c r="I26" s="56"/>
      <c r="J26" s="56"/>
      <c r="K26" s="56"/>
      <c r="L26" s="56"/>
      <c r="M26" s="56"/>
      <c r="N26" s="56"/>
      <c r="O26" s="56"/>
      <c r="P26" s="56"/>
      <c r="Q26" s="56"/>
      <c r="R26" s="56"/>
      <c r="S26" s="56"/>
      <c r="T26" s="56"/>
    </row>
    <row r="27" spans="3:20">
      <c r="C27" s="56"/>
      <c r="D27" s="56"/>
      <c r="E27" s="56"/>
      <c r="F27" s="56"/>
      <c r="G27" s="56"/>
      <c r="H27" s="56"/>
      <c r="I27" s="56"/>
      <c r="J27" s="56"/>
      <c r="K27" s="56"/>
      <c r="L27" s="56"/>
      <c r="M27" s="56"/>
      <c r="N27" s="56"/>
      <c r="O27" s="56"/>
      <c r="P27" s="56"/>
      <c r="Q27" s="56"/>
      <c r="R27" s="56"/>
      <c r="S27" s="56"/>
      <c r="T27" s="56"/>
    </row>
    <row r="28" spans="3:20">
      <c r="C28" s="56"/>
      <c r="D28" s="56"/>
      <c r="E28" s="56"/>
      <c r="F28" s="56"/>
      <c r="G28" s="56"/>
      <c r="H28" s="56"/>
      <c r="I28" s="56"/>
      <c r="J28" s="56"/>
      <c r="K28" s="56"/>
      <c r="L28" s="56"/>
      <c r="M28" s="56"/>
      <c r="N28" s="56"/>
      <c r="O28" s="56"/>
      <c r="P28" s="56"/>
      <c r="Q28" s="56"/>
      <c r="R28" s="56"/>
      <c r="S28" s="56"/>
      <c r="T28" s="56"/>
    </row>
    <row r="29" spans="3:20">
      <c r="C29" s="56"/>
      <c r="D29" s="56"/>
      <c r="E29" s="56"/>
      <c r="F29" s="56"/>
      <c r="G29" s="56"/>
      <c r="H29" s="56"/>
      <c r="I29" s="56"/>
      <c r="J29" s="56"/>
      <c r="K29" s="56"/>
      <c r="L29" s="56"/>
      <c r="M29" s="56"/>
      <c r="N29" s="56"/>
      <c r="O29" s="56"/>
      <c r="P29" s="56"/>
      <c r="Q29" s="56"/>
      <c r="R29" s="56"/>
      <c r="S29" s="56"/>
      <c r="T29" s="56"/>
    </row>
    <row r="30" spans="3:20">
      <c r="C30" s="56"/>
      <c r="D30" s="56"/>
      <c r="E30" s="56"/>
      <c r="F30" s="56"/>
      <c r="G30" s="56"/>
      <c r="H30" s="56"/>
      <c r="I30" s="56"/>
      <c r="J30" s="56"/>
      <c r="K30" s="56"/>
      <c r="L30" s="56"/>
      <c r="M30" s="56"/>
      <c r="N30" s="56"/>
      <c r="O30" s="56"/>
      <c r="P30" s="56"/>
      <c r="Q30" s="56"/>
      <c r="R30" s="56"/>
      <c r="S30" s="56"/>
      <c r="T30" s="56"/>
    </row>
    <row r="31" spans="3:20">
      <c r="C31" s="56"/>
      <c r="D31" s="56"/>
      <c r="E31" s="56"/>
      <c r="F31" s="56"/>
      <c r="G31" s="56"/>
      <c r="H31" s="56"/>
      <c r="I31" s="56"/>
      <c r="J31" s="56"/>
      <c r="K31" s="56"/>
      <c r="L31" s="56"/>
      <c r="M31" s="56"/>
      <c r="N31" s="56"/>
      <c r="O31" s="56"/>
      <c r="P31" s="56"/>
      <c r="Q31" s="56"/>
      <c r="R31" s="56"/>
      <c r="S31" s="56"/>
      <c r="T31" s="56"/>
    </row>
    <row r="32" spans="3:20">
      <c r="C32" s="56"/>
      <c r="D32" s="56"/>
      <c r="E32" s="56"/>
      <c r="F32" s="56"/>
      <c r="G32" s="56"/>
      <c r="H32" s="56"/>
      <c r="I32" s="56"/>
      <c r="J32" s="56"/>
      <c r="K32" s="56"/>
      <c r="L32" s="56"/>
      <c r="M32" s="56"/>
      <c r="N32" s="56"/>
      <c r="O32" s="56"/>
      <c r="P32" s="56"/>
      <c r="Q32" s="56"/>
      <c r="R32" s="56"/>
      <c r="S32" s="56"/>
      <c r="T32" s="56"/>
    </row>
    <row r="33" spans="2:22">
      <c r="C33" s="56"/>
      <c r="D33" s="56"/>
      <c r="E33" s="56"/>
      <c r="F33" s="56"/>
      <c r="G33" s="56"/>
      <c r="H33" s="56"/>
      <c r="I33" s="56"/>
      <c r="J33" s="56"/>
      <c r="K33" s="56"/>
      <c r="L33" s="56"/>
      <c r="M33" s="56"/>
      <c r="N33" s="56"/>
      <c r="O33" s="56"/>
      <c r="P33" s="56"/>
      <c r="Q33" s="56"/>
      <c r="R33" s="56"/>
      <c r="S33" s="56"/>
      <c r="T33" s="56"/>
    </row>
    <row r="34" spans="2:22">
      <c r="C34" s="56"/>
      <c r="D34" s="56"/>
      <c r="E34" s="56"/>
      <c r="F34" s="56"/>
      <c r="G34" s="56"/>
      <c r="H34" s="56"/>
      <c r="I34" s="56"/>
      <c r="J34" s="56"/>
      <c r="K34" s="56"/>
      <c r="L34" s="56"/>
      <c r="M34" s="56"/>
      <c r="N34" s="56"/>
      <c r="O34" s="56"/>
      <c r="P34" s="56"/>
      <c r="Q34" s="56"/>
      <c r="R34" s="56"/>
      <c r="S34" s="56"/>
      <c r="T34" s="56"/>
    </row>
    <row r="35" spans="2:22">
      <c r="C35" s="56"/>
      <c r="D35" s="56"/>
      <c r="E35" s="56"/>
      <c r="F35" s="56"/>
      <c r="G35" s="56"/>
      <c r="H35" s="56"/>
      <c r="I35" s="56"/>
      <c r="J35" s="56"/>
      <c r="K35" s="56"/>
      <c r="L35" s="56"/>
      <c r="M35" s="56"/>
      <c r="N35" s="56"/>
      <c r="O35" s="56"/>
      <c r="P35" s="56"/>
      <c r="Q35" s="56"/>
      <c r="R35" s="56"/>
      <c r="S35" s="56"/>
      <c r="T35" s="56"/>
    </row>
    <row r="36" spans="2:22">
      <c r="C36" s="56"/>
      <c r="D36" s="56"/>
      <c r="E36" s="56"/>
      <c r="F36" s="56"/>
      <c r="G36" s="56"/>
      <c r="H36" s="56"/>
      <c r="I36" s="56"/>
      <c r="J36" s="56"/>
      <c r="K36" s="56"/>
      <c r="L36" s="56"/>
      <c r="M36" s="56"/>
      <c r="N36" s="56"/>
      <c r="O36" s="56"/>
      <c r="P36" s="56"/>
      <c r="Q36" s="56"/>
      <c r="R36" s="56"/>
      <c r="S36" s="56"/>
      <c r="T36" s="56"/>
    </row>
    <row r="37" spans="2:22">
      <c r="C37" s="56"/>
      <c r="D37" s="56"/>
      <c r="E37" s="56"/>
      <c r="F37" s="56"/>
      <c r="G37" s="56"/>
      <c r="H37" s="56"/>
      <c r="I37" s="56"/>
      <c r="J37" s="56"/>
      <c r="K37" s="56"/>
      <c r="L37" s="56"/>
      <c r="M37" s="56"/>
      <c r="N37" s="56"/>
      <c r="O37" s="56"/>
      <c r="P37" s="56"/>
      <c r="Q37" s="56"/>
      <c r="R37" s="56"/>
      <c r="S37" s="56"/>
      <c r="T37" s="56"/>
    </row>
    <row r="38" spans="2:22">
      <c r="C38" s="56"/>
      <c r="D38" s="56"/>
      <c r="E38" s="56"/>
      <c r="F38" s="56"/>
      <c r="G38" s="56"/>
      <c r="H38" s="56"/>
      <c r="I38" s="56"/>
      <c r="J38" s="56"/>
      <c r="K38" s="56"/>
      <c r="L38" s="56"/>
      <c r="M38" s="56"/>
      <c r="N38" s="56"/>
      <c r="O38" s="56"/>
      <c r="Q38" s="56"/>
      <c r="R38" s="56"/>
      <c r="S38" s="56"/>
      <c r="T38" s="56"/>
      <c r="V38" s="56"/>
    </row>
    <row r="39" spans="2:22">
      <c r="C39" s="56"/>
      <c r="D39" s="56"/>
      <c r="E39" s="56"/>
      <c r="F39" s="56"/>
      <c r="G39" s="56"/>
      <c r="H39" s="56"/>
      <c r="I39" s="56"/>
      <c r="J39" s="56"/>
      <c r="K39" s="56"/>
      <c r="L39" s="56"/>
      <c r="M39" s="56"/>
      <c r="N39" s="56"/>
      <c r="O39" s="56"/>
      <c r="P39" s="56"/>
      <c r="Q39" s="56"/>
      <c r="R39" s="56"/>
      <c r="S39" s="56"/>
      <c r="T39" s="56"/>
    </row>
    <row r="40" spans="2:22" ht="9.75" hidden="1" customHeight="1">
      <c r="C40" s="56"/>
      <c r="D40" s="56"/>
      <c r="E40" s="56"/>
      <c r="F40" s="56"/>
      <c r="G40" s="56"/>
      <c r="H40" s="56"/>
      <c r="I40" s="56"/>
      <c r="J40" s="56"/>
      <c r="K40" s="56"/>
      <c r="L40" s="56"/>
      <c r="M40" s="56"/>
      <c r="N40" s="56"/>
      <c r="O40" s="56"/>
      <c r="P40" s="56"/>
      <c r="Q40" s="56"/>
      <c r="R40" s="56"/>
      <c r="S40" s="56"/>
      <c r="T40" s="56"/>
    </row>
    <row r="41" spans="2:22" ht="23.4" hidden="1">
      <c r="C41" s="200" t="s">
        <v>263</v>
      </c>
      <c r="D41" s="202" t="s">
        <v>264</v>
      </c>
      <c r="E41" s="202"/>
      <c r="F41" s="202"/>
      <c r="G41" s="202"/>
      <c r="H41" s="202"/>
      <c r="I41" s="200"/>
      <c r="J41" s="200"/>
      <c r="K41" s="200" t="s">
        <v>490</v>
      </c>
      <c r="L41" s="200"/>
      <c r="M41" s="200"/>
      <c r="N41" s="200"/>
      <c r="O41" s="200"/>
      <c r="P41" s="200"/>
      <c r="Q41" s="200"/>
      <c r="R41" s="200"/>
      <c r="S41" s="200"/>
      <c r="T41" s="200"/>
    </row>
    <row r="42" spans="2:22" ht="5.4" hidden="1" customHeight="1"/>
    <row r="43" spans="2:22" ht="5.4" hidden="1" customHeight="1">
      <c r="B43" s="203"/>
      <c r="C43" s="203"/>
      <c r="D43" s="203"/>
      <c r="E43" s="203"/>
      <c r="F43" s="203"/>
      <c r="G43" s="203"/>
      <c r="H43" s="203"/>
    </row>
    <row r="44" spans="2:22" ht="17.25" hidden="1" customHeight="1">
      <c r="D44" s="774"/>
    </row>
    <row r="45" spans="2:22" hidden="1">
      <c r="C45" s="75"/>
      <c r="D45" s="75"/>
      <c r="E45" s="75"/>
      <c r="F45" s="75"/>
      <c r="G45" s="75"/>
      <c r="H45" s="75"/>
      <c r="I45" s="75"/>
      <c r="J45" s="75"/>
      <c r="K45" s="75"/>
      <c r="L45" s="75"/>
      <c r="M45" s="75"/>
      <c r="N45" s="75"/>
      <c r="O45" s="75"/>
      <c r="P45" s="75"/>
      <c r="Q45" s="75"/>
      <c r="R45" s="75"/>
      <c r="S45" s="75"/>
      <c r="T45" s="75"/>
    </row>
    <row r="46" spans="2:22" ht="20.25" hidden="1" customHeight="1">
      <c r="C46" s="75"/>
      <c r="D46" s="774"/>
      <c r="I46" s="75"/>
      <c r="J46" s="75"/>
      <c r="K46" s="75"/>
      <c r="L46" s="75"/>
      <c r="M46" s="75"/>
      <c r="N46" s="75"/>
      <c r="O46" s="75"/>
      <c r="P46" s="75"/>
      <c r="Q46" s="75"/>
      <c r="R46" s="75"/>
      <c r="S46" s="75"/>
      <c r="T46" s="75"/>
    </row>
    <row r="47" spans="2:22" hidden="1">
      <c r="C47" s="75"/>
      <c r="D47" s="774"/>
      <c r="I47" s="75"/>
      <c r="J47" s="75"/>
      <c r="K47" s="75"/>
      <c r="L47" s="75"/>
      <c r="M47" s="75"/>
      <c r="N47" s="75"/>
      <c r="O47" s="75"/>
      <c r="P47" s="75"/>
      <c r="Q47" s="75"/>
      <c r="R47" s="75"/>
      <c r="S47" s="75"/>
      <c r="T47" s="75"/>
    </row>
    <row r="48" spans="2:22" hidden="1">
      <c r="C48" s="75"/>
      <c r="D48" s="774"/>
      <c r="I48" s="75"/>
      <c r="J48" s="75"/>
      <c r="K48" s="75"/>
      <c r="L48" s="75"/>
      <c r="M48" s="75"/>
      <c r="N48" s="75"/>
      <c r="O48" s="75"/>
      <c r="P48" s="75"/>
      <c r="Q48" s="75"/>
      <c r="R48" s="75"/>
      <c r="S48" s="75"/>
      <c r="T48" s="75"/>
    </row>
    <row r="49" spans="3:20" hidden="1">
      <c r="C49" s="75"/>
      <c r="D49" s="774"/>
      <c r="I49" s="75"/>
      <c r="J49" s="75"/>
      <c r="K49" s="75"/>
      <c r="L49" s="75"/>
      <c r="M49" s="75"/>
      <c r="N49" s="75"/>
      <c r="O49" s="75"/>
      <c r="P49" s="75"/>
      <c r="Q49" s="75"/>
      <c r="R49" s="75"/>
      <c r="S49" s="75"/>
      <c r="T49" s="75"/>
    </row>
    <row r="50" spans="3:20" hidden="1">
      <c r="C50" s="75"/>
      <c r="D50" s="774"/>
      <c r="I50" s="75"/>
      <c r="J50" s="75"/>
      <c r="K50" s="75"/>
      <c r="L50" s="75"/>
      <c r="M50" s="75"/>
      <c r="N50" s="75"/>
      <c r="O50" s="75"/>
      <c r="P50" s="75"/>
      <c r="Q50" s="75"/>
      <c r="R50" s="75"/>
      <c r="S50" s="75"/>
      <c r="T50" s="75"/>
    </row>
    <row r="51" spans="3:20" hidden="1">
      <c r="C51" s="75"/>
      <c r="D51" s="774"/>
      <c r="I51" s="75"/>
      <c r="J51" s="75"/>
      <c r="K51" s="75"/>
      <c r="L51" s="75"/>
      <c r="M51" s="75"/>
      <c r="N51" s="75"/>
      <c r="O51" s="75"/>
      <c r="P51" s="75"/>
      <c r="Q51" s="75"/>
      <c r="R51" s="75"/>
      <c r="S51" s="75"/>
      <c r="T51" s="75"/>
    </row>
    <row r="52" spans="3:20" hidden="1">
      <c r="C52" s="75"/>
      <c r="D52" s="774"/>
      <c r="I52" s="75"/>
      <c r="J52" s="75"/>
      <c r="K52" s="75"/>
      <c r="L52" s="75"/>
      <c r="M52" s="75"/>
      <c r="N52" s="75"/>
      <c r="O52" s="75"/>
      <c r="P52" s="75"/>
      <c r="Q52" s="75"/>
      <c r="R52" s="75"/>
      <c r="S52" s="75"/>
      <c r="T52" s="75"/>
    </row>
    <row r="53" spans="3:20" hidden="1">
      <c r="C53" s="75"/>
      <c r="D53" s="774"/>
      <c r="I53" s="75"/>
      <c r="J53" s="75"/>
      <c r="K53" s="75"/>
      <c r="L53" s="75"/>
      <c r="M53" s="75"/>
      <c r="N53" s="75"/>
      <c r="O53" s="75"/>
      <c r="P53" s="75"/>
      <c r="Q53" s="75"/>
      <c r="R53" s="75"/>
      <c r="S53" s="75"/>
      <c r="T53" s="75"/>
    </row>
    <row r="54" spans="3:20" hidden="1">
      <c r="C54" s="75"/>
      <c r="D54" s="774"/>
      <c r="I54" s="75"/>
      <c r="J54" s="75"/>
      <c r="K54" s="75"/>
      <c r="L54" s="75"/>
      <c r="M54" s="75"/>
      <c r="N54" s="75"/>
      <c r="O54" s="75"/>
      <c r="P54" s="75"/>
      <c r="Q54" s="75"/>
      <c r="R54" s="75"/>
      <c r="S54" s="75"/>
      <c r="T54" s="75"/>
    </row>
    <row r="55" spans="3:20" hidden="1">
      <c r="C55" s="75"/>
      <c r="D55" s="774"/>
      <c r="I55" s="75"/>
      <c r="J55" s="75"/>
      <c r="K55" s="75"/>
      <c r="L55" s="75"/>
      <c r="M55" s="75"/>
      <c r="N55" s="75"/>
      <c r="O55" s="75"/>
      <c r="P55" s="75"/>
      <c r="Q55" s="75"/>
      <c r="R55" s="75"/>
      <c r="S55" s="75"/>
      <c r="T55" s="75"/>
    </row>
    <row r="56" spans="3:20" hidden="1">
      <c r="C56" s="75"/>
      <c r="D56" s="774"/>
      <c r="I56" s="75"/>
      <c r="J56" s="75"/>
      <c r="K56" s="75"/>
      <c r="L56" s="75"/>
      <c r="M56" s="75"/>
      <c r="N56" s="75"/>
      <c r="O56" s="75"/>
      <c r="P56" s="75"/>
      <c r="Q56" s="75"/>
      <c r="R56" s="75"/>
      <c r="S56" s="75"/>
      <c r="T56" s="75"/>
    </row>
    <row r="57" spans="3:20" hidden="1">
      <c r="C57" s="75"/>
      <c r="D57" s="75"/>
      <c r="E57" s="75"/>
      <c r="F57" s="75"/>
      <c r="G57" s="75"/>
      <c r="H57" s="75"/>
      <c r="I57" s="75"/>
      <c r="J57" s="75"/>
      <c r="K57" s="75"/>
      <c r="L57" s="75"/>
      <c r="M57" s="75"/>
      <c r="N57" s="75"/>
      <c r="O57" s="75"/>
      <c r="P57" s="75"/>
      <c r="Q57" s="75"/>
      <c r="R57" s="75"/>
      <c r="S57" s="75"/>
      <c r="T57" s="75"/>
    </row>
    <row r="58" spans="3:20" hidden="1">
      <c r="C58" s="75"/>
      <c r="D58" s="75"/>
      <c r="E58" s="75"/>
      <c r="F58" s="75"/>
      <c r="G58" s="75"/>
      <c r="H58" s="75"/>
      <c r="I58" s="75"/>
      <c r="J58" s="75"/>
      <c r="K58" s="75"/>
      <c r="L58" s="75"/>
      <c r="M58" s="75"/>
      <c r="N58" s="75"/>
      <c r="O58" s="75"/>
      <c r="P58" s="75"/>
      <c r="Q58" s="75"/>
      <c r="R58" s="75"/>
      <c r="S58" s="75"/>
      <c r="T58" s="75"/>
    </row>
    <row r="59" spans="3:20" hidden="1">
      <c r="C59" s="75"/>
      <c r="D59" s="75"/>
      <c r="E59" s="75"/>
      <c r="F59" s="75"/>
      <c r="G59" s="75"/>
      <c r="H59" s="75"/>
      <c r="I59" s="75"/>
      <c r="J59" s="75"/>
      <c r="K59" s="75"/>
      <c r="L59" s="75"/>
      <c r="M59" s="75"/>
      <c r="N59" s="75"/>
      <c r="O59" s="75"/>
      <c r="P59" s="75"/>
      <c r="Q59" s="75"/>
      <c r="R59" s="75"/>
      <c r="S59" s="75"/>
      <c r="T59" s="75"/>
    </row>
    <row r="60" spans="3:20" hidden="1">
      <c r="C60" s="75"/>
      <c r="D60" s="75"/>
      <c r="E60" s="75"/>
      <c r="F60" s="75"/>
      <c r="G60" s="75"/>
      <c r="H60" s="75"/>
      <c r="I60" s="204"/>
      <c r="J60" s="205"/>
      <c r="K60" s="75"/>
      <c r="L60" s="204"/>
      <c r="M60" s="75"/>
      <c r="N60" s="75"/>
      <c r="O60" s="75"/>
      <c r="P60" s="75"/>
      <c r="Q60" s="75"/>
      <c r="R60" s="75"/>
      <c r="S60" s="75"/>
      <c r="T60" s="75"/>
    </row>
    <row r="61" spans="3:20" hidden="1">
      <c r="C61" s="75"/>
      <c r="D61" s="75"/>
      <c r="E61" s="75"/>
      <c r="F61" s="75"/>
      <c r="G61" s="75"/>
      <c r="H61" s="75"/>
      <c r="I61" s="204"/>
      <c r="J61" s="205"/>
      <c r="K61" s="75"/>
      <c r="L61" s="204"/>
      <c r="M61" s="75"/>
      <c r="N61" s="75"/>
      <c r="O61" s="75"/>
      <c r="P61" s="75"/>
      <c r="Q61" s="75"/>
      <c r="R61" s="75"/>
      <c r="S61" s="75"/>
      <c r="T61" s="75"/>
    </row>
    <row r="62" spans="3:20" hidden="1">
      <c r="C62" s="75"/>
      <c r="D62" s="75"/>
      <c r="E62" s="75"/>
      <c r="F62" s="75"/>
      <c r="G62" s="75"/>
      <c r="H62" s="75"/>
      <c r="J62" s="205"/>
      <c r="K62" s="75"/>
      <c r="L62" s="204"/>
      <c r="M62" s="75"/>
      <c r="N62" s="75"/>
      <c r="O62" s="75"/>
      <c r="P62" s="75"/>
      <c r="Q62" s="75"/>
      <c r="R62" s="75"/>
      <c r="S62" s="75"/>
      <c r="T62" s="75"/>
    </row>
    <row r="63" spans="3:20" hidden="1">
      <c r="C63" s="75"/>
      <c r="D63" s="75"/>
      <c r="E63" s="75"/>
      <c r="F63" s="75"/>
      <c r="G63" s="75"/>
      <c r="H63" s="75"/>
      <c r="I63" s="206"/>
      <c r="J63" s="205"/>
      <c r="K63" s="75"/>
      <c r="L63" s="204"/>
      <c r="M63" s="75"/>
      <c r="N63" s="75"/>
      <c r="O63" s="206"/>
      <c r="P63" s="75"/>
      <c r="Q63" s="75"/>
      <c r="R63" s="75"/>
      <c r="S63" s="75"/>
      <c r="T63" s="75"/>
    </row>
    <row r="64" spans="3:20" hidden="1">
      <c r="C64" s="75"/>
      <c r="D64" s="75"/>
      <c r="E64" s="75"/>
      <c r="F64" s="75"/>
      <c r="G64" s="75"/>
      <c r="H64" s="75"/>
      <c r="I64" s="204"/>
      <c r="J64" s="205"/>
      <c r="K64" s="75"/>
      <c r="L64" s="204"/>
      <c r="M64" s="75"/>
      <c r="N64" s="75"/>
      <c r="O64" s="75"/>
      <c r="P64" s="75"/>
      <c r="Q64" s="75"/>
      <c r="R64" s="75"/>
      <c r="S64" s="75"/>
      <c r="T64" s="75"/>
    </row>
    <row r="65" spans="3:23" hidden="1">
      <c r="C65" s="75"/>
      <c r="D65" s="75"/>
      <c r="E65" s="75"/>
      <c r="F65" s="75"/>
      <c r="G65" s="75"/>
      <c r="H65" s="75"/>
      <c r="I65" s="204"/>
      <c r="J65" s="205"/>
      <c r="K65" s="75"/>
      <c r="L65" s="204"/>
      <c r="M65" s="75"/>
      <c r="N65" s="75"/>
      <c r="O65" s="75"/>
      <c r="P65" s="75"/>
      <c r="Q65" s="75"/>
      <c r="R65" s="75"/>
      <c r="S65" s="75"/>
      <c r="T65" s="75"/>
    </row>
    <row r="66" spans="3:23" hidden="1">
      <c r="C66" s="75"/>
      <c r="D66" s="75"/>
      <c r="E66" s="75"/>
      <c r="F66" s="75"/>
      <c r="G66" s="75"/>
      <c r="H66" s="75"/>
      <c r="I66" s="204"/>
      <c r="J66" s="205"/>
      <c r="K66" s="75"/>
      <c r="L66" s="204"/>
      <c r="M66" s="75"/>
      <c r="N66" s="75"/>
      <c r="O66" s="75"/>
      <c r="P66" s="75"/>
      <c r="Q66" s="75"/>
      <c r="R66" s="75"/>
      <c r="S66" s="75"/>
      <c r="T66" s="75"/>
    </row>
    <row r="67" spans="3:23" hidden="1">
      <c r="C67" s="75"/>
      <c r="D67" s="75"/>
      <c r="E67" s="75"/>
      <c r="F67" s="75"/>
      <c r="G67" s="75"/>
      <c r="H67" s="75"/>
      <c r="I67" s="204"/>
      <c r="J67" s="205"/>
      <c r="K67" s="75"/>
      <c r="L67" s="204"/>
      <c r="M67" s="75"/>
      <c r="N67" s="75"/>
      <c r="O67" s="75"/>
      <c r="P67" s="75"/>
      <c r="Q67" s="75"/>
      <c r="R67" s="75"/>
      <c r="S67" s="75"/>
      <c r="T67" s="75"/>
    </row>
    <row r="68" spans="3:23" hidden="1">
      <c r="C68" s="75"/>
      <c r="D68" s="75"/>
      <c r="E68" s="75"/>
      <c r="F68" s="75"/>
      <c r="G68" s="75"/>
      <c r="H68" s="75"/>
      <c r="I68" s="75"/>
      <c r="J68" s="75"/>
      <c r="K68" s="75"/>
      <c r="L68" s="75"/>
      <c r="M68" s="75"/>
      <c r="N68" s="75"/>
      <c r="O68" s="75"/>
      <c r="P68" s="75"/>
      <c r="Q68" s="75"/>
      <c r="R68" s="75"/>
      <c r="S68" s="75"/>
      <c r="T68" s="75"/>
    </row>
    <row r="69" spans="3:23" hidden="1">
      <c r="C69" s="75"/>
      <c r="D69" s="75"/>
      <c r="E69" s="75"/>
      <c r="F69" s="75"/>
      <c r="G69" s="75"/>
      <c r="H69" s="75"/>
      <c r="I69" s="75"/>
      <c r="J69" s="75"/>
      <c r="K69" s="75"/>
      <c r="L69" s="75"/>
      <c r="M69" s="75"/>
      <c r="N69" s="75"/>
      <c r="O69" s="75"/>
      <c r="P69" s="75"/>
      <c r="Q69" s="75"/>
      <c r="R69" s="75"/>
      <c r="S69" s="75"/>
      <c r="T69" s="75"/>
    </row>
    <row r="70" spans="3:23" hidden="1">
      <c r="C70" s="75"/>
      <c r="D70" s="75"/>
      <c r="E70" s="75"/>
      <c r="F70" s="75"/>
      <c r="G70" s="75"/>
      <c r="H70" s="75"/>
      <c r="I70" s="75"/>
      <c r="J70" s="75"/>
      <c r="K70" s="75"/>
      <c r="L70" s="75"/>
      <c r="M70" s="75"/>
      <c r="N70" s="75"/>
      <c r="O70" s="75"/>
      <c r="P70" s="75"/>
      <c r="Q70" s="75"/>
      <c r="R70" s="75"/>
      <c r="S70" s="75"/>
      <c r="T70" s="75"/>
    </row>
    <row r="71" spans="3:23" hidden="1">
      <c r="C71" s="75"/>
      <c r="D71" s="75"/>
      <c r="E71" s="75"/>
      <c r="F71" s="75"/>
      <c r="G71" s="75"/>
      <c r="H71" s="75"/>
      <c r="I71" s="75"/>
      <c r="J71" s="75"/>
      <c r="K71" s="75"/>
      <c r="L71" s="75"/>
      <c r="M71" s="75"/>
      <c r="N71" s="75"/>
      <c r="O71" s="75"/>
      <c r="P71" s="75"/>
      <c r="Q71" s="75"/>
      <c r="R71" s="75"/>
      <c r="S71" s="75"/>
      <c r="T71" s="75"/>
    </row>
    <row r="72" spans="3:23" hidden="1">
      <c r="C72" s="75"/>
      <c r="D72" s="75"/>
      <c r="E72" s="75"/>
      <c r="F72" s="75"/>
      <c r="G72" s="75"/>
      <c r="H72" s="75"/>
      <c r="I72" s="75"/>
      <c r="J72" s="75"/>
      <c r="K72" s="75"/>
      <c r="L72" s="75"/>
      <c r="M72" s="75"/>
      <c r="N72" s="75"/>
      <c r="O72" s="75"/>
      <c r="P72" s="75"/>
      <c r="Q72" s="75"/>
      <c r="R72" s="75"/>
      <c r="S72" s="75"/>
      <c r="T72" s="75"/>
    </row>
    <row r="73" spans="3:23" hidden="1">
      <c r="C73" s="75"/>
      <c r="D73" s="75"/>
      <c r="E73" s="75"/>
      <c r="F73" s="75"/>
      <c r="G73" s="75"/>
      <c r="H73" s="75"/>
      <c r="I73" s="75"/>
      <c r="J73" s="75"/>
      <c r="K73" s="75"/>
      <c r="L73" s="75"/>
      <c r="M73" s="75"/>
      <c r="N73" s="75"/>
      <c r="O73" s="75"/>
      <c r="P73" s="75"/>
      <c r="Q73" s="75"/>
      <c r="R73" s="75"/>
      <c r="S73" s="75"/>
      <c r="T73" s="75"/>
      <c r="W73" s="197">
        <f>88+44</f>
        <v>132</v>
      </c>
    </row>
    <row r="74" spans="3:23" hidden="1">
      <c r="C74" s="75"/>
      <c r="D74" s="75"/>
      <c r="E74" s="75"/>
      <c r="F74" s="75"/>
      <c r="G74" s="75"/>
      <c r="H74" s="75"/>
      <c r="I74" s="75"/>
      <c r="J74" s="75"/>
      <c r="K74" s="75"/>
      <c r="L74" s="75"/>
      <c r="M74" s="75"/>
      <c r="N74" s="75"/>
      <c r="O74" s="75"/>
      <c r="P74" s="75"/>
      <c r="Q74" s="75"/>
      <c r="R74" s="75"/>
      <c r="S74" s="75"/>
      <c r="T74" s="75"/>
    </row>
    <row r="75" spans="3:23" ht="7.5" hidden="1" customHeight="1">
      <c r="C75" s="75"/>
      <c r="D75" s="75"/>
      <c r="E75" s="75"/>
      <c r="F75" s="75"/>
      <c r="G75" s="75"/>
      <c r="H75" s="75"/>
      <c r="I75" s="75"/>
      <c r="J75" s="75"/>
      <c r="K75" s="75"/>
      <c r="L75" s="75"/>
      <c r="M75" s="75"/>
      <c r="N75" s="75"/>
      <c r="O75" s="75"/>
      <c r="P75" s="75"/>
      <c r="Q75" s="75"/>
      <c r="R75" s="75"/>
      <c r="S75" s="75"/>
      <c r="T75" s="75"/>
    </row>
    <row r="76" spans="3:23" hidden="1">
      <c r="C76" s="75"/>
      <c r="D76" s="75"/>
      <c r="E76" s="75"/>
      <c r="F76" s="75"/>
      <c r="G76" s="75"/>
      <c r="H76" s="75"/>
      <c r="I76" s="75"/>
      <c r="J76" s="75"/>
      <c r="K76" s="75"/>
      <c r="L76" s="75"/>
      <c r="M76" s="75"/>
      <c r="N76" s="75"/>
      <c r="O76" s="75"/>
      <c r="P76" s="75"/>
      <c r="Q76" s="75"/>
      <c r="R76" s="75"/>
      <c r="S76" s="75"/>
      <c r="T76" s="75"/>
    </row>
    <row r="77" spans="3:23" hidden="1">
      <c r="C77" s="75"/>
      <c r="D77" s="75"/>
      <c r="E77" s="75"/>
      <c r="F77" s="75"/>
      <c r="G77" s="75"/>
      <c r="H77" s="75"/>
      <c r="I77" s="75"/>
      <c r="J77" s="75"/>
      <c r="K77" s="75"/>
      <c r="L77" s="75"/>
      <c r="M77" s="75"/>
      <c r="N77" s="75"/>
      <c r="O77" s="75"/>
      <c r="P77" s="75"/>
      <c r="Q77" s="75"/>
      <c r="R77" s="75"/>
      <c r="S77" s="75"/>
      <c r="T77" s="75"/>
    </row>
    <row r="78" spans="3:23" hidden="1">
      <c r="C78" s="75"/>
      <c r="D78" s="75"/>
      <c r="E78" s="75"/>
      <c r="F78" s="75"/>
      <c r="G78" s="75"/>
      <c r="H78" s="75"/>
      <c r="I78" s="230">
        <v>1</v>
      </c>
      <c r="J78" s="75"/>
      <c r="K78" s="75"/>
      <c r="L78" s="75"/>
      <c r="M78" s="75"/>
      <c r="N78" s="75"/>
      <c r="O78" s="75"/>
      <c r="P78" s="75"/>
      <c r="Q78" s="75"/>
      <c r="R78" s="75"/>
      <c r="S78" s="75"/>
      <c r="T78" s="75"/>
    </row>
    <row r="79" spans="3:23" hidden="1">
      <c r="C79" s="75"/>
      <c r="D79" s="75"/>
      <c r="E79" s="75"/>
      <c r="F79" s="75"/>
      <c r="G79" s="75"/>
      <c r="H79" s="75"/>
      <c r="I79" s="75"/>
      <c r="J79" s="75"/>
      <c r="K79" s="75"/>
      <c r="L79" s="75"/>
      <c r="M79" s="75"/>
      <c r="N79" s="75"/>
      <c r="O79" s="75"/>
      <c r="P79" s="75"/>
      <c r="Q79" s="75"/>
      <c r="R79" s="75"/>
      <c r="S79" s="75"/>
      <c r="T79" s="75"/>
    </row>
    <row r="80" spans="3:23" s="350" customFormat="1" ht="9.75" customHeight="1">
      <c r="C80" s="56"/>
      <c r="D80" s="56"/>
      <c r="E80" s="56"/>
      <c r="F80" s="56"/>
      <c r="G80" s="56"/>
      <c r="H80" s="56"/>
      <c r="I80" s="56"/>
      <c r="J80" s="56"/>
      <c r="K80" s="56"/>
      <c r="L80" s="56"/>
      <c r="M80" s="56"/>
      <c r="N80" s="56"/>
      <c r="O80" s="56"/>
      <c r="P80" s="56"/>
      <c r="Q80" s="56"/>
      <c r="R80" s="56"/>
      <c r="S80" s="56"/>
      <c r="T80" s="56"/>
    </row>
    <row r="81" spans="2:20" s="350" customFormat="1" ht="23.4">
      <c r="C81" s="200" t="s">
        <v>263</v>
      </c>
      <c r="D81" s="202" t="s">
        <v>265</v>
      </c>
      <c r="E81" s="202"/>
      <c r="F81" s="202"/>
      <c r="G81" s="202"/>
      <c r="H81" s="202"/>
      <c r="I81" s="200"/>
      <c r="J81" s="200"/>
      <c r="K81" s="200"/>
      <c r="L81" s="200"/>
      <c r="M81" s="200"/>
      <c r="N81" s="200"/>
      <c r="O81" s="200"/>
      <c r="P81" s="200"/>
      <c r="Q81" s="200"/>
      <c r="R81" s="200"/>
      <c r="S81" s="200"/>
      <c r="T81" s="200"/>
    </row>
    <row r="82" spans="2:20" s="350" customFormat="1" ht="5.4" customHeight="1"/>
    <row r="83" spans="2:20" s="350" customFormat="1" ht="5.4" customHeight="1">
      <c r="B83" s="203"/>
      <c r="C83" s="203"/>
      <c r="D83" s="203"/>
      <c r="E83" s="203"/>
      <c r="F83" s="203"/>
      <c r="G83" s="203"/>
      <c r="H83" s="203"/>
    </row>
    <row r="84" spans="2:20" s="350" customFormat="1" ht="17.25" customHeight="1">
      <c r="D84" s="934"/>
      <c r="E84" s="934"/>
      <c r="F84" s="934"/>
      <c r="G84" s="934"/>
      <c r="H84" s="934"/>
      <c r="I84" s="934"/>
      <c r="J84" s="934"/>
      <c r="K84" s="934"/>
      <c r="L84" s="934"/>
      <c r="M84" s="934"/>
      <c r="N84" s="934"/>
    </row>
    <row r="85" spans="2:20" s="350" customFormat="1">
      <c r="C85" s="75"/>
      <c r="O85" s="75"/>
      <c r="P85" s="75"/>
      <c r="Q85" s="75"/>
      <c r="R85" s="75"/>
      <c r="S85" s="75"/>
      <c r="T85" s="75"/>
    </row>
    <row r="86" spans="2:20" s="350" customFormat="1" ht="20.25" customHeight="1">
      <c r="C86" s="75"/>
      <c r="I86" s="75"/>
      <c r="J86" s="75"/>
      <c r="K86" s="75"/>
      <c r="L86" s="75"/>
      <c r="M86" s="75"/>
      <c r="N86" s="75"/>
      <c r="O86" s="75"/>
      <c r="P86" s="75"/>
      <c r="Q86" s="75"/>
      <c r="R86" s="75"/>
      <c r="S86" s="75"/>
      <c r="T86" s="75"/>
    </row>
    <row r="87" spans="2:20" s="350" customFormat="1">
      <c r="C87" s="75"/>
      <c r="I87" s="75"/>
      <c r="J87" s="75"/>
      <c r="K87" s="75"/>
      <c r="L87" s="75"/>
      <c r="M87" s="75"/>
      <c r="N87" s="75"/>
      <c r="O87" s="75"/>
      <c r="P87" s="75"/>
      <c r="Q87" s="75"/>
      <c r="R87" s="75"/>
      <c r="S87" s="75"/>
      <c r="T87" s="75"/>
    </row>
    <row r="88" spans="2:20" s="350" customFormat="1">
      <c r="C88" s="75"/>
      <c r="I88" s="75"/>
      <c r="J88" s="75"/>
      <c r="K88" s="75"/>
      <c r="L88" s="75"/>
      <c r="M88" s="75"/>
      <c r="N88" s="75"/>
      <c r="O88" s="75"/>
      <c r="P88" s="75"/>
      <c r="Q88" s="75"/>
      <c r="R88" s="75"/>
      <c r="S88" s="75"/>
      <c r="T88" s="75"/>
    </row>
    <row r="89" spans="2:20" s="350" customFormat="1">
      <c r="C89" s="75"/>
      <c r="I89" s="75"/>
      <c r="J89" s="75"/>
      <c r="K89" s="75"/>
      <c r="L89" s="75"/>
      <c r="M89" s="75"/>
      <c r="N89" s="75"/>
      <c r="O89" s="75"/>
      <c r="P89" s="75"/>
      <c r="Q89" s="75"/>
      <c r="R89" s="75"/>
      <c r="S89" s="75"/>
      <c r="T89" s="75"/>
    </row>
    <row r="90" spans="2:20" s="350" customFormat="1">
      <c r="C90" s="75"/>
      <c r="I90" s="75"/>
      <c r="J90" s="75"/>
      <c r="K90" s="75"/>
      <c r="L90" s="75"/>
      <c r="M90" s="75"/>
      <c r="N90" s="75"/>
      <c r="O90" s="75"/>
      <c r="P90" s="75"/>
      <c r="Q90" s="75"/>
      <c r="R90" s="75"/>
      <c r="S90" s="75"/>
      <c r="T90" s="75"/>
    </row>
    <row r="91" spans="2:20" s="350" customFormat="1">
      <c r="C91" s="75"/>
      <c r="I91" s="75"/>
      <c r="J91" s="75"/>
      <c r="K91" s="75"/>
      <c r="L91" s="75"/>
      <c r="M91" s="75"/>
      <c r="N91" s="75"/>
      <c r="O91" s="75"/>
      <c r="P91" s="766"/>
      <c r="Q91" s="75"/>
      <c r="R91" s="75"/>
      <c r="S91" s="75"/>
      <c r="T91" s="75"/>
    </row>
    <row r="92" spans="2:20" s="350" customFormat="1">
      <c r="C92" s="75"/>
      <c r="I92" s="75"/>
      <c r="J92" s="75"/>
      <c r="K92" s="75"/>
      <c r="L92" s="75"/>
      <c r="M92" s="75"/>
      <c r="N92" s="75"/>
      <c r="O92" s="75"/>
      <c r="P92" s="75"/>
      <c r="Q92" s="75"/>
      <c r="R92" s="75"/>
      <c r="S92" s="75"/>
      <c r="T92" s="75"/>
    </row>
    <row r="93" spans="2:20" s="350" customFormat="1">
      <c r="C93" s="75"/>
      <c r="I93" s="75"/>
      <c r="J93" s="75"/>
      <c r="K93" s="75"/>
      <c r="L93" s="75"/>
      <c r="M93" s="75"/>
      <c r="N93" s="75"/>
      <c r="O93" s="75"/>
      <c r="P93" s="75"/>
      <c r="Q93" s="75"/>
      <c r="R93" s="75"/>
      <c r="S93" s="75"/>
      <c r="T93" s="75"/>
    </row>
    <row r="94" spans="2:20" s="350" customFormat="1">
      <c r="C94" s="75"/>
      <c r="I94" s="75"/>
      <c r="J94" s="75"/>
      <c r="K94" s="75"/>
      <c r="L94" s="75"/>
      <c r="M94" s="75"/>
      <c r="N94" s="75"/>
      <c r="O94" s="75"/>
      <c r="P94" s="75"/>
      <c r="Q94" s="75"/>
      <c r="R94" s="75"/>
      <c r="S94" s="75"/>
      <c r="T94" s="75"/>
    </row>
    <row r="95" spans="2:20" s="350" customFormat="1">
      <c r="C95" s="75"/>
      <c r="I95" s="75"/>
      <c r="J95" s="75"/>
      <c r="K95" s="75"/>
      <c r="L95" s="75"/>
      <c r="M95" s="75"/>
      <c r="N95" s="75"/>
      <c r="O95" s="75"/>
      <c r="P95" s="75"/>
      <c r="Q95" s="75"/>
      <c r="R95" s="75"/>
      <c r="S95" s="75"/>
      <c r="T95" s="75"/>
    </row>
    <row r="96" spans="2:20" s="350" customFormat="1">
      <c r="C96" s="75"/>
      <c r="I96" s="75"/>
      <c r="J96" s="75"/>
      <c r="K96" s="75"/>
      <c r="L96" s="75"/>
      <c r="M96" s="75"/>
      <c r="N96" s="75"/>
      <c r="O96" s="75"/>
      <c r="P96" s="75"/>
      <c r="Q96" s="75"/>
      <c r="R96" s="75"/>
      <c r="S96" s="75"/>
      <c r="T96" s="75"/>
    </row>
    <row r="97" spans="3:20" s="350" customFormat="1">
      <c r="C97" s="75"/>
      <c r="D97" s="75"/>
      <c r="E97" s="75"/>
      <c r="F97" s="75"/>
      <c r="G97" s="75"/>
      <c r="H97" s="75"/>
      <c r="I97" s="75"/>
      <c r="J97" s="75"/>
      <c r="K97" s="75"/>
      <c r="L97" s="75"/>
      <c r="M97" s="75"/>
      <c r="N97" s="75"/>
      <c r="O97" s="75"/>
      <c r="P97" s="75"/>
      <c r="Q97" s="75"/>
      <c r="R97" s="75"/>
      <c r="S97" s="75"/>
      <c r="T97" s="75"/>
    </row>
    <row r="98" spans="3:20" s="350" customFormat="1">
      <c r="C98" s="75"/>
      <c r="D98" s="75"/>
      <c r="E98" s="75"/>
      <c r="F98" s="75"/>
      <c r="G98" s="75"/>
      <c r="H98" s="75"/>
      <c r="I98" s="75"/>
      <c r="J98" s="75"/>
      <c r="K98" s="75"/>
      <c r="L98" s="75"/>
      <c r="M98" s="75"/>
      <c r="N98" s="75"/>
      <c r="O98" s="75"/>
      <c r="P98" s="75"/>
      <c r="Q98" s="75"/>
      <c r="R98" s="75"/>
      <c r="S98" s="75"/>
      <c r="T98" s="75"/>
    </row>
    <row r="99" spans="3:20" s="350" customFormat="1">
      <c r="C99" s="75"/>
      <c r="D99" s="75"/>
      <c r="E99" s="75"/>
      <c r="F99" s="75"/>
      <c r="G99" s="75"/>
      <c r="H99" s="75"/>
      <c r="I99" s="75"/>
      <c r="J99" s="75"/>
      <c r="K99" s="75"/>
      <c r="L99" s="75"/>
      <c r="M99" s="75"/>
      <c r="N99" s="75"/>
      <c r="O99" s="75"/>
      <c r="P99" s="75"/>
      <c r="Q99" s="75"/>
      <c r="R99" s="75"/>
      <c r="S99" s="75"/>
      <c r="T99" s="75"/>
    </row>
    <row r="100" spans="3:20" s="350" customFormat="1">
      <c r="C100" s="75"/>
      <c r="D100" s="75"/>
      <c r="E100" s="75"/>
      <c r="F100" s="75"/>
      <c r="G100" s="75"/>
      <c r="H100" s="75"/>
      <c r="I100" s="204"/>
      <c r="J100" s="205"/>
      <c r="K100" s="75"/>
      <c r="L100" s="204"/>
      <c r="M100" s="75"/>
      <c r="N100" s="75"/>
      <c r="O100" s="75"/>
      <c r="P100" s="75"/>
      <c r="Q100" s="75"/>
      <c r="R100" s="75"/>
      <c r="S100" s="75"/>
      <c r="T100" s="75"/>
    </row>
    <row r="101" spans="3:20" s="350" customFormat="1">
      <c r="C101" s="75"/>
      <c r="D101" s="75"/>
      <c r="E101" s="75"/>
      <c r="F101" s="75"/>
      <c r="G101" s="75"/>
      <c r="H101" s="75"/>
      <c r="I101" s="204"/>
      <c r="J101" s="205"/>
      <c r="K101" s="75"/>
      <c r="L101" s="204"/>
      <c r="M101" s="75"/>
      <c r="N101" s="75"/>
      <c r="O101" s="75"/>
      <c r="P101" s="75"/>
      <c r="Q101" s="75"/>
      <c r="R101" s="75"/>
      <c r="S101" s="75"/>
      <c r="T101" s="75"/>
    </row>
    <row r="102" spans="3:20" s="350" customFormat="1">
      <c r="C102" s="75"/>
      <c r="D102" s="75"/>
      <c r="E102" s="75"/>
      <c r="F102" s="75"/>
      <c r="G102" s="75"/>
      <c r="H102" s="75"/>
      <c r="J102" s="205"/>
      <c r="K102" s="75"/>
      <c r="L102" s="204"/>
      <c r="M102" s="75"/>
      <c r="N102" s="75"/>
      <c r="O102" s="75"/>
      <c r="P102" s="75"/>
      <c r="Q102" s="75"/>
      <c r="R102" s="75"/>
      <c r="S102" s="75"/>
      <c r="T102" s="75"/>
    </row>
    <row r="103" spans="3:20" s="350" customFormat="1">
      <c r="C103" s="75"/>
      <c r="D103" s="75"/>
      <c r="E103" s="75"/>
      <c r="F103" s="75"/>
      <c r="G103" s="75"/>
      <c r="H103" s="75"/>
      <c r="I103" s="206"/>
      <c r="J103" s="205"/>
      <c r="K103" s="75"/>
      <c r="L103" s="204"/>
      <c r="M103" s="75"/>
      <c r="N103" s="75"/>
      <c r="O103" s="206"/>
      <c r="P103" s="75"/>
      <c r="Q103" s="75"/>
      <c r="R103" s="75"/>
      <c r="S103" s="75"/>
      <c r="T103" s="75"/>
    </row>
    <row r="104" spans="3:20" s="350" customFormat="1">
      <c r="C104" s="75"/>
      <c r="D104" s="75"/>
      <c r="E104" s="75"/>
      <c r="F104" s="75"/>
      <c r="G104" s="75"/>
      <c r="H104" s="75"/>
      <c r="I104" s="204"/>
      <c r="J104" s="205"/>
      <c r="K104" s="75"/>
      <c r="L104" s="204"/>
      <c r="M104" s="75"/>
      <c r="N104" s="75"/>
      <c r="O104" s="75"/>
      <c r="P104" s="75"/>
      <c r="Q104" s="75"/>
      <c r="R104" s="75"/>
      <c r="S104" s="75"/>
      <c r="T104" s="75"/>
    </row>
    <row r="105" spans="3:20" s="350" customFormat="1">
      <c r="C105" s="75"/>
      <c r="D105" s="75"/>
      <c r="E105" s="75"/>
      <c r="F105" s="75"/>
      <c r="G105" s="75"/>
      <c r="H105" s="75"/>
      <c r="I105" s="204"/>
      <c r="J105" s="205"/>
      <c r="K105" s="75"/>
      <c r="L105" s="204"/>
      <c r="M105" s="75"/>
      <c r="N105" s="75"/>
      <c r="O105" s="75"/>
      <c r="P105" s="75"/>
      <c r="Q105" s="75"/>
      <c r="R105" s="75"/>
      <c r="S105" s="75"/>
      <c r="T105" s="75"/>
    </row>
    <row r="106" spans="3:20" s="350" customFormat="1">
      <c r="C106" s="75"/>
      <c r="D106" s="75"/>
      <c r="E106" s="75"/>
      <c r="F106" s="75"/>
      <c r="G106" s="75"/>
      <c r="H106" s="75"/>
      <c r="I106" s="204"/>
      <c r="J106" s="205"/>
      <c r="K106" s="75"/>
      <c r="L106" s="204"/>
      <c r="M106" s="75"/>
      <c r="N106" s="75"/>
      <c r="O106" s="75"/>
      <c r="P106" s="75"/>
      <c r="Q106" s="75"/>
      <c r="R106" s="75"/>
      <c r="S106" s="75"/>
      <c r="T106" s="75"/>
    </row>
    <row r="107" spans="3:20" s="350" customFormat="1">
      <c r="C107" s="75"/>
      <c r="D107" s="75"/>
      <c r="E107" s="75"/>
      <c r="F107" s="75"/>
      <c r="G107" s="75"/>
      <c r="H107" s="75"/>
      <c r="I107" s="204"/>
      <c r="J107" s="205"/>
      <c r="K107" s="75"/>
      <c r="L107" s="204"/>
      <c r="M107" s="75"/>
      <c r="N107" s="75"/>
      <c r="O107" s="75"/>
      <c r="P107" s="75"/>
      <c r="Q107" s="75"/>
      <c r="R107" s="75"/>
      <c r="S107" s="75"/>
      <c r="T107" s="75"/>
    </row>
    <row r="108" spans="3:20" s="350" customFormat="1">
      <c r="C108" s="75"/>
      <c r="D108" s="75"/>
      <c r="E108" s="75"/>
      <c r="F108" s="75"/>
      <c r="G108" s="75"/>
      <c r="H108" s="75"/>
      <c r="I108" s="75"/>
      <c r="J108" s="75"/>
      <c r="K108" s="75"/>
      <c r="L108" s="75"/>
      <c r="M108" s="75"/>
      <c r="N108" s="75"/>
      <c r="O108" s="75"/>
      <c r="P108" s="75"/>
      <c r="Q108" s="75"/>
      <c r="R108" s="75"/>
      <c r="S108" s="75"/>
      <c r="T108" s="75"/>
    </row>
    <row r="109" spans="3:20" s="350" customFormat="1">
      <c r="C109" s="75"/>
      <c r="D109" s="75"/>
      <c r="E109" s="75"/>
      <c r="F109" s="75"/>
      <c r="G109" s="75"/>
      <c r="H109" s="75"/>
      <c r="I109" s="75"/>
      <c r="J109" s="75"/>
      <c r="K109" s="75"/>
      <c r="L109" s="75"/>
      <c r="M109" s="75"/>
      <c r="N109" s="75"/>
      <c r="O109" s="75"/>
      <c r="P109" s="75"/>
      <c r="Q109" s="75"/>
      <c r="R109" s="75"/>
      <c r="S109" s="75"/>
      <c r="T109" s="75"/>
    </row>
    <row r="110" spans="3:20" s="350" customFormat="1">
      <c r="C110" s="75"/>
      <c r="D110" s="75"/>
      <c r="E110" s="75"/>
      <c r="F110" s="75"/>
      <c r="G110" s="75"/>
      <c r="H110" s="75"/>
      <c r="I110" s="75"/>
      <c r="J110" s="75"/>
      <c r="K110" s="75"/>
      <c r="L110" s="75"/>
      <c r="M110" s="75"/>
      <c r="N110" s="75"/>
      <c r="O110" s="75"/>
      <c r="P110" s="75"/>
      <c r="Q110" s="75"/>
      <c r="R110" s="75"/>
      <c r="S110" s="75"/>
      <c r="T110" s="75"/>
    </row>
    <row r="111" spans="3:20" s="350" customFormat="1">
      <c r="C111" s="75"/>
      <c r="D111" s="75"/>
      <c r="E111" s="75"/>
      <c r="F111" s="75"/>
      <c r="G111" s="75"/>
      <c r="H111" s="75"/>
      <c r="I111" s="75"/>
      <c r="J111" s="75"/>
      <c r="K111" s="75"/>
      <c r="L111" s="75"/>
      <c r="M111" s="75"/>
      <c r="N111" s="75"/>
      <c r="O111" s="75"/>
      <c r="P111" s="75"/>
      <c r="Q111" s="75"/>
      <c r="R111" s="75"/>
      <c r="S111" s="75"/>
      <c r="T111" s="75"/>
    </row>
    <row r="112" spans="3:20" s="350" customFormat="1">
      <c r="C112" s="75"/>
      <c r="D112" s="75"/>
      <c r="E112" s="75"/>
      <c r="F112" s="75"/>
      <c r="G112" s="75"/>
      <c r="H112" s="75"/>
      <c r="I112" s="75"/>
      <c r="J112" s="75"/>
      <c r="K112" s="75"/>
      <c r="L112" s="75"/>
      <c r="M112" s="75"/>
      <c r="N112" s="75"/>
      <c r="O112" s="75"/>
      <c r="P112" s="75"/>
      <c r="Q112" s="75"/>
      <c r="R112" s="75"/>
      <c r="S112" s="75"/>
      <c r="T112" s="75"/>
    </row>
    <row r="113" spans="3:23" s="350" customFormat="1">
      <c r="C113" s="75"/>
      <c r="D113" s="75"/>
      <c r="E113" s="75"/>
      <c r="F113" s="75"/>
      <c r="G113" s="75"/>
      <c r="H113" s="75"/>
      <c r="I113" s="75"/>
      <c r="J113" s="75"/>
      <c r="K113" s="75"/>
      <c r="L113" s="75"/>
      <c r="M113" s="75"/>
      <c r="N113" s="75"/>
      <c r="O113" s="75"/>
      <c r="P113" s="75"/>
      <c r="Q113" s="75"/>
      <c r="R113" s="75"/>
      <c r="S113" s="75"/>
      <c r="T113" s="75"/>
      <c r="W113" s="350">
        <f>88+44</f>
        <v>132</v>
      </c>
    </row>
    <row r="114" spans="3:23" s="350" customFormat="1">
      <c r="C114" s="75"/>
      <c r="D114" s="75"/>
      <c r="E114" s="75"/>
      <c r="F114" s="75"/>
      <c r="G114" s="75"/>
      <c r="H114" s="75"/>
      <c r="I114" s="75"/>
      <c r="J114" s="75"/>
      <c r="K114" s="75"/>
      <c r="L114" s="75"/>
      <c r="M114" s="75"/>
      <c r="N114" s="75"/>
      <c r="O114" s="75"/>
      <c r="P114" s="75"/>
      <c r="Q114" s="75"/>
      <c r="R114" s="75"/>
      <c r="S114" s="75"/>
      <c r="T114" s="75"/>
    </row>
    <row r="115" spans="3:23" s="350" customFormat="1" ht="7.5" customHeight="1">
      <c r="C115" s="75"/>
      <c r="D115" s="75"/>
      <c r="E115" s="75"/>
      <c r="F115" s="75"/>
      <c r="G115" s="75"/>
      <c r="H115" s="75"/>
      <c r="I115" s="75"/>
      <c r="J115" s="75"/>
      <c r="K115" s="75"/>
      <c r="L115" s="75"/>
      <c r="M115" s="75"/>
      <c r="N115" s="75"/>
      <c r="O115" s="75"/>
      <c r="P115" s="75"/>
      <c r="Q115" s="75"/>
      <c r="R115" s="75"/>
      <c r="S115" s="75"/>
      <c r="T115" s="75"/>
    </row>
    <row r="116" spans="3:23" s="350" customFormat="1">
      <c r="C116" s="75"/>
      <c r="D116" s="75"/>
      <c r="E116" s="75"/>
      <c r="F116" s="75"/>
      <c r="G116" s="75"/>
      <c r="H116" s="75"/>
      <c r="I116" s="75"/>
      <c r="J116" s="75"/>
      <c r="K116" s="75"/>
      <c r="L116" s="75"/>
      <c r="M116" s="75"/>
      <c r="N116" s="75"/>
      <c r="O116" s="75"/>
      <c r="P116" s="75"/>
      <c r="Q116" s="75"/>
      <c r="R116" s="75"/>
      <c r="S116" s="75"/>
      <c r="T116" s="75"/>
    </row>
    <row r="117" spans="3:23" s="874" customFormat="1">
      <c r="C117" s="75"/>
      <c r="D117" s="75"/>
      <c r="E117" s="75"/>
      <c r="F117" s="75"/>
      <c r="G117" s="75"/>
      <c r="H117" s="75"/>
      <c r="I117" s="75"/>
      <c r="J117" s="75"/>
      <c r="K117" s="75"/>
      <c r="L117" s="75"/>
      <c r="M117" s="75"/>
      <c r="N117" s="75"/>
      <c r="O117" s="75"/>
      <c r="P117" s="75"/>
      <c r="Q117" s="75"/>
      <c r="R117" s="75"/>
      <c r="S117" s="75"/>
      <c r="T117" s="75"/>
    </row>
    <row r="118" spans="3:23" s="874" customFormat="1">
      <c r="C118" s="75"/>
      <c r="D118" s="75"/>
      <c r="E118" s="75"/>
      <c r="F118" s="75"/>
      <c r="G118" s="75"/>
      <c r="H118" s="75"/>
      <c r="I118" s="75"/>
      <c r="J118" s="75"/>
      <c r="K118" s="75"/>
      <c r="L118" s="75"/>
      <c r="M118" s="75"/>
      <c r="N118" s="75"/>
      <c r="O118" s="75"/>
      <c r="P118" s="75"/>
      <c r="Q118" s="75"/>
      <c r="R118" s="75"/>
      <c r="S118" s="75"/>
      <c r="T118" s="75"/>
    </row>
    <row r="119" spans="3:23" s="874" customFormat="1">
      <c r="C119" s="75"/>
      <c r="D119" s="75"/>
      <c r="E119" s="75"/>
      <c r="F119" s="75"/>
      <c r="G119" s="75"/>
      <c r="H119" s="75"/>
      <c r="I119" s="75"/>
      <c r="J119" s="75"/>
      <c r="K119" s="75"/>
      <c r="L119" s="75"/>
      <c r="M119" s="75"/>
      <c r="N119" s="75"/>
      <c r="O119" s="75"/>
      <c r="P119" s="75"/>
      <c r="Q119" s="75"/>
      <c r="R119" s="75"/>
      <c r="S119" s="75"/>
      <c r="T119" s="75"/>
    </row>
    <row r="120" spans="3:23" s="874" customFormat="1">
      <c r="C120" s="75"/>
      <c r="D120" s="75"/>
      <c r="E120" s="75"/>
      <c r="F120" s="75"/>
      <c r="G120" s="75"/>
      <c r="H120" s="75"/>
      <c r="I120" s="75"/>
      <c r="J120" s="75"/>
      <c r="K120" s="75"/>
      <c r="L120" s="75"/>
      <c r="M120" s="75"/>
      <c r="N120" s="75"/>
      <c r="O120" s="75"/>
      <c r="P120" s="75"/>
      <c r="Q120" s="75"/>
      <c r="R120" s="75"/>
      <c r="S120" s="75"/>
      <c r="T120" s="75"/>
    </row>
    <row r="121" spans="3:23" s="874" customFormat="1">
      <c r="C121" s="75"/>
      <c r="D121" s="75"/>
      <c r="E121" s="75"/>
      <c r="F121" s="75"/>
      <c r="G121" s="75"/>
      <c r="H121" s="75"/>
      <c r="I121" s="75"/>
      <c r="J121" s="75"/>
      <c r="K121" s="75"/>
      <c r="L121" s="75"/>
      <c r="M121" s="75"/>
      <c r="N121" s="75"/>
      <c r="O121" s="75"/>
      <c r="P121" s="75"/>
      <c r="Q121" s="75"/>
      <c r="R121" s="75"/>
      <c r="S121" s="75"/>
      <c r="T121" s="75"/>
    </row>
    <row r="122" spans="3:23" s="874" customFormat="1">
      <c r="C122" s="75"/>
      <c r="D122" s="75"/>
      <c r="E122" s="75"/>
      <c r="F122" s="75"/>
      <c r="G122" s="75"/>
      <c r="H122" s="75"/>
      <c r="I122" s="75"/>
      <c r="J122" s="75"/>
      <c r="K122" s="75"/>
      <c r="L122" s="75"/>
      <c r="M122" s="75"/>
      <c r="N122" s="75"/>
      <c r="O122" s="75"/>
      <c r="P122" s="75"/>
      <c r="Q122" s="75"/>
      <c r="R122" s="75"/>
      <c r="S122" s="75"/>
      <c r="T122" s="75"/>
    </row>
    <row r="123" spans="3:23" s="874" customFormat="1">
      <c r="C123" s="75"/>
      <c r="D123" s="75"/>
      <c r="E123" s="75"/>
      <c r="F123" s="75"/>
      <c r="G123" s="75"/>
      <c r="H123" s="75"/>
      <c r="I123" s="75"/>
      <c r="J123" s="75"/>
      <c r="K123" s="75"/>
      <c r="L123" s="75"/>
      <c r="M123" s="75"/>
      <c r="N123" s="75"/>
      <c r="O123" s="75"/>
      <c r="P123" s="75"/>
      <c r="Q123" s="75"/>
      <c r="R123" s="75"/>
      <c r="S123" s="75"/>
      <c r="T123" s="75"/>
    </row>
    <row r="124" spans="3:23" s="874" customFormat="1">
      <c r="C124" s="75"/>
      <c r="D124" s="75"/>
      <c r="E124" s="75"/>
      <c r="F124" s="75"/>
      <c r="G124" s="75"/>
      <c r="H124" s="75"/>
      <c r="I124" s="75"/>
      <c r="J124" s="75"/>
      <c r="K124" s="75"/>
      <c r="L124" s="75"/>
      <c r="M124" s="75"/>
      <c r="N124" s="75"/>
      <c r="O124" s="75"/>
      <c r="P124" s="75"/>
      <c r="Q124" s="75"/>
      <c r="R124" s="75"/>
      <c r="S124" s="75"/>
      <c r="T124" s="75"/>
    </row>
    <row r="125" spans="3:23" s="874" customFormat="1">
      <c r="C125" s="75"/>
      <c r="D125" s="75"/>
      <c r="E125" s="75"/>
      <c r="F125" s="75"/>
      <c r="G125" s="75"/>
      <c r="H125" s="75"/>
      <c r="I125" s="75"/>
      <c r="J125" s="75"/>
      <c r="K125" s="75"/>
      <c r="L125" s="75"/>
      <c r="M125" s="75"/>
      <c r="N125" s="75"/>
      <c r="O125" s="75"/>
      <c r="P125" s="75"/>
      <c r="Q125" s="75"/>
      <c r="R125" s="75"/>
      <c r="S125" s="75"/>
      <c r="T125" s="75"/>
    </row>
    <row r="126" spans="3:23" s="874" customFormat="1">
      <c r="C126" s="75"/>
      <c r="D126" s="75"/>
      <c r="E126" s="75"/>
      <c r="F126" s="75"/>
      <c r="G126" s="75"/>
      <c r="H126" s="75"/>
      <c r="I126" s="75"/>
      <c r="J126" s="75"/>
      <c r="K126" s="75"/>
      <c r="L126" s="75"/>
      <c r="M126" s="75"/>
      <c r="N126" s="75"/>
      <c r="O126" s="75"/>
      <c r="P126" s="75"/>
      <c r="Q126" s="75"/>
      <c r="R126" s="75"/>
      <c r="S126" s="75"/>
      <c r="T126" s="75"/>
    </row>
    <row r="127" spans="3:23" s="874" customFormat="1">
      <c r="C127" s="75"/>
      <c r="D127" s="75"/>
      <c r="E127" s="75"/>
      <c r="F127" s="75"/>
      <c r="G127" s="75"/>
      <c r="H127" s="75"/>
      <c r="I127" s="75"/>
      <c r="J127" s="75"/>
      <c r="K127" s="75"/>
      <c r="L127" s="75"/>
      <c r="M127" s="75"/>
      <c r="N127" s="75"/>
      <c r="O127" s="75"/>
      <c r="P127" s="75"/>
      <c r="Q127" s="75"/>
      <c r="R127" s="75"/>
      <c r="S127" s="75"/>
      <c r="T127" s="75"/>
    </row>
    <row r="128" spans="3:23" s="874" customFormat="1">
      <c r="C128" s="75"/>
      <c r="D128" s="75"/>
      <c r="E128" s="75"/>
      <c r="F128" s="75"/>
      <c r="G128" s="75"/>
      <c r="H128" s="75"/>
      <c r="I128" s="75"/>
      <c r="J128" s="75"/>
      <c r="K128" s="75"/>
      <c r="L128" s="75"/>
      <c r="M128" s="75"/>
      <c r="N128" s="75"/>
      <c r="O128" s="75"/>
      <c r="P128" s="75"/>
      <c r="Q128" s="75"/>
      <c r="R128" s="75"/>
      <c r="S128" s="75"/>
      <c r="T128" s="75"/>
    </row>
    <row r="129" spans="2:20" s="874" customFormat="1">
      <c r="C129" s="75"/>
      <c r="D129" s="75"/>
      <c r="E129" s="75"/>
      <c r="F129" s="75"/>
      <c r="G129" s="75"/>
      <c r="H129" s="75"/>
      <c r="I129" s="75"/>
      <c r="J129" s="75"/>
      <c r="K129" s="75"/>
      <c r="L129" s="75"/>
      <c r="M129" s="75"/>
      <c r="N129" s="75"/>
      <c r="O129" s="75"/>
      <c r="P129" s="75"/>
      <c r="Q129" s="75"/>
      <c r="R129" s="75"/>
      <c r="S129" s="75"/>
      <c r="T129" s="75"/>
    </row>
    <row r="130" spans="2:20" s="874" customFormat="1">
      <c r="C130" s="75"/>
      <c r="D130" s="75"/>
      <c r="E130" s="75"/>
      <c r="F130" s="75"/>
      <c r="G130" s="75"/>
      <c r="H130" s="75"/>
      <c r="I130" s="75"/>
      <c r="J130" s="75"/>
      <c r="K130" s="75"/>
      <c r="L130" s="75"/>
      <c r="M130" s="75"/>
      <c r="N130" s="75"/>
      <c r="O130" s="75"/>
      <c r="P130" s="75"/>
      <c r="Q130" s="75"/>
      <c r="R130" s="75"/>
      <c r="S130" s="75"/>
      <c r="T130" s="75"/>
    </row>
    <row r="131" spans="2:20" s="874" customFormat="1">
      <c r="C131" s="75"/>
      <c r="D131" s="75"/>
      <c r="E131" s="75"/>
      <c r="F131" s="75"/>
      <c r="G131" s="75"/>
      <c r="H131" s="75"/>
      <c r="I131" s="75"/>
      <c r="J131" s="75"/>
      <c r="K131" s="75"/>
      <c r="L131" s="75"/>
      <c r="M131" s="75"/>
      <c r="N131" s="75"/>
      <c r="O131" s="75"/>
      <c r="P131" s="75"/>
      <c r="Q131" s="75"/>
      <c r="R131" s="75"/>
      <c r="S131" s="75"/>
      <c r="T131" s="75"/>
    </row>
    <row r="132" spans="2:20" s="874" customFormat="1">
      <c r="C132" s="75"/>
      <c r="D132" s="75"/>
      <c r="E132" s="75"/>
      <c r="F132" s="75"/>
      <c r="G132" s="75"/>
      <c r="H132" s="75"/>
      <c r="I132" s="75"/>
      <c r="J132" s="75"/>
      <c r="K132" s="75"/>
      <c r="L132" s="75"/>
      <c r="M132" s="75"/>
      <c r="N132" s="75"/>
      <c r="O132" s="75"/>
      <c r="P132" s="75"/>
      <c r="Q132" s="75"/>
      <c r="R132" s="75"/>
      <c r="S132" s="75"/>
      <c r="T132" s="75"/>
    </row>
    <row r="133" spans="2:20" s="874" customFormat="1">
      <c r="C133" s="75"/>
      <c r="D133" s="75"/>
      <c r="E133" s="75"/>
      <c r="F133" s="75"/>
      <c r="G133" s="75"/>
      <c r="H133" s="75"/>
      <c r="I133" s="75"/>
      <c r="J133" s="75"/>
      <c r="K133" s="75"/>
      <c r="L133" s="75"/>
      <c r="M133" s="75"/>
      <c r="N133" s="75"/>
      <c r="O133" s="75"/>
      <c r="P133" s="75"/>
      <c r="Q133" s="75"/>
      <c r="R133" s="75"/>
      <c r="S133" s="75"/>
      <c r="T133" s="75"/>
    </row>
    <row r="134" spans="2:20" s="874" customFormat="1">
      <c r="C134" s="75"/>
      <c r="D134" s="75"/>
      <c r="E134" s="75"/>
      <c r="F134" s="75"/>
      <c r="G134" s="75"/>
      <c r="H134" s="75"/>
      <c r="I134" s="230">
        <f>1+I78</f>
        <v>2</v>
      </c>
      <c r="J134" s="75"/>
      <c r="K134" s="75"/>
      <c r="L134" s="75"/>
      <c r="M134" s="75"/>
      <c r="N134" s="75"/>
      <c r="O134" s="75"/>
      <c r="P134" s="75"/>
      <c r="Q134" s="75"/>
      <c r="R134" s="75"/>
      <c r="S134" s="75"/>
      <c r="T134" s="75"/>
    </row>
    <row r="135" spans="2:20" s="350" customFormat="1">
      <c r="C135" s="75"/>
      <c r="D135" s="75"/>
      <c r="E135" s="75"/>
      <c r="F135" s="75"/>
      <c r="G135" s="75"/>
      <c r="H135" s="75"/>
      <c r="J135" s="75"/>
      <c r="K135" s="75"/>
      <c r="L135" s="75"/>
      <c r="M135" s="75"/>
      <c r="N135" s="75"/>
      <c r="O135" s="75"/>
      <c r="P135" s="75"/>
      <c r="Q135" s="75"/>
      <c r="R135" s="75"/>
      <c r="S135" s="75"/>
      <c r="T135" s="75"/>
    </row>
    <row r="136" spans="2:20" s="350" customFormat="1">
      <c r="C136" s="75"/>
      <c r="D136" s="75"/>
      <c r="E136" s="75"/>
      <c r="F136" s="75"/>
      <c r="G136" s="75"/>
      <c r="H136" s="75"/>
      <c r="J136" s="75"/>
      <c r="K136" s="75"/>
      <c r="L136" s="75"/>
      <c r="M136" s="75"/>
      <c r="N136" s="75"/>
      <c r="O136" s="75"/>
      <c r="P136" s="75"/>
      <c r="Q136" s="75"/>
      <c r="R136" s="75"/>
      <c r="S136" s="75"/>
      <c r="T136" s="75"/>
    </row>
    <row r="137" spans="2:20" s="350" customFormat="1">
      <c r="C137" s="75"/>
      <c r="D137" s="75"/>
      <c r="E137" s="75"/>
      <c r="F137" s="75"/>
      <c r="G137" s="75"/>
      <c r="H137" s="75"/>
      <c r="I137" s="75"/>
      <c r="J137" s="75"/>
      <c r="K137" s="75"/>
      <c r="L137" s="75"/>
      <c r="M137" s="75"/>
      <c r="N137" s="75"/>
      <c r="O137" s="75"/>
      <c r="P137" s="75"/>
      <c r="Q137" s="75"/>
      <c r="R137" s="75"/>
      <c r="S137" s="75"/>
      <c r="T137" s="75"/>
    </row>
    <row r="138" spans="2:20" ht="9.75" customHeight="1">
      <c r="C138" s="56"/>
      <c r="D138" s="56"/>
      <c r="E138" s="56"/>
      <c r="F138" s="56"/>
      <c r="G138" s="56"/>
      <c r="H138" s="56"/>
      <c r="I138" s="56"/>
      <c r="J138" s="56"/>
      <c r="K138" s="56"/>
      <c r="L138" s="56"/>
      <c r="M138" s="56"/>
      <c r="N138" s="56"/>
      <c r="O138" s="56"/>
      <c r="P138" s="56"/>
      <c r="Q138" s="56"/>
      <c r="R138" s="56"/>
      <c r="S138" s="56"/>
      <c r="T138" s="56"/>
    </row>
    <row r="139" spans="2:20" ht="23.4">
      <c r="C139" s="200" t="s">
        <v>263</v>
      </c>
      <c r="D139" s="202" t="s">
        <v>266</v>
      </c>
      <c r="E139" s="202"/>
      <c r="F139" s="202"/>
      <c r="G139" s="202"/>
      <c r="H139" s="202"/>
      <c r="I139" s="200"/>
      <c r="J139" s="200"/>
      <c r="K139" s="200"/>
      <c r="L139" s="200"/>
      <c r="M139" s="200"/>
      <c r="N139" s="200"/>
      <c r="O139" s="200"/>
      <c r="P139" s="200"/>
      <c r="Q139" s="200"/>
      <c r="R139" s="200"/>
      <c r="S139" s="200"/>
      <c r="T139" s="200"/>
    </row>
    <row r="140" spans="2:20" ht="5.4" customHeight="1"/>
    <row r="141" spans="2:20" ht="5.4" customHeight="1">
      <c r="B141" s="203"/>
      <c r="C141" s="203"/>
      <c r="D141" s="203"/>
      <c r="E141" s="203"/>
      <c r="F141" s="203"/>
      <c r="G141" s="203"/>
      <c r="H141" s="203"/>
    </row>
    <row r="142" spans="2:20" ht="17.25" customHeight="1">
      <c r="D142" s="934"/>
      <c r="E142" s="934"/>
      <c r="F142" s="934"/>
      <c r="G142" s="934"/>
      <c r="H142" s="934"/>
      <c r="I142" s="934"/>
      <c r="J142" s="934"/>
      <c r="K142" s="934"/>
      <c r="L142" s="934"/>
      <c r="M142" s="934"/>
      <c r="N142" s="934"/>
    </row>
    <row r="143" spans="2:20">
      <c r="C143" s="75"/>
      <c r="O143" s="75"/>
      <c r="P143" s="75"/>
      <c r="Q143" s="75"/>
      <c r="R143" s="75"/>
      <c r="S143" s="75"/>
      <c r="T143" s="75"/>
    </row>
    <row r="144" spans="2:20" ht="20.25" customHeight="1">
      <c r="C144" s="75"/>
      <c r="I144" s="75"/>
      <c r="J144" s="75"/>
      <c r="K144" s="75"/>
      <c r="L144" s="75"/>
      <c r="M144" s="75"/>
      <c r="N144" s="75"/>
      <c r="O144" s="75"/>
      <c r="P144" s="75"/>
      <c r="Q144" s="75"/>
      <c r="R144" s="75"/>
      <c r="S144" s="75"/>
      <c r="T144" s="75"/>
    </row>
    <row r="145" spans="3:20">
      <c r="C145" s="75"/>
      <c r="I145" s="75"/>
      <c r="J145" s="75"/>
      <c r="K145" s="75"/>
      <c r="L145" s="75"/>
      <c r="M145" s="75"/>
      <c r="N145" s="75"/>
      <c r="O145" s="75"/>
      <c r="P145" s="75"/>
      <c r="Q145" s="75"/>
      <c r="R145" s="75"/>
      <c r="S145" s="75"/>
      <c r="T145" s="75"/>
    </row>
    <row r="146" spans="3:20">
      <c r="C146" s="75"/>
      <c r="I146" s="75"/>
      <c r="J146" s="75"/>
      <c r="K146" s="75"/>
      <c r="L146" s="75"/>
      <c r="M146" s="75"/>
      <c r="N146" s="75"/>
      <c r="O146" s="75"/>
      <c r="P146" s="75"/>
      <c r="Q146" s="75"/>
      <c r="R146" s="75"/>
      <c r="S146" s="75"/>
      <c r="T146" s="75"/>
    </row>
    <row r="147" spans="3:20">
      <c r="C147" s="75"/>
      <c r="I147" s="75"/>
      <c r="J147" s="75"/>
      <c r="K147" s="75"/>
      <c r="L147" s="75"/>
      <c r="M147" s="75"/>
      <c r="N147" s="75"/>
      <c r="O147" s="75"/>
      <c r="P147" s="75"/>
      <c r="Q147" s="75"/>
      <c r="R147" s="75"/>
      <c r="S147" s="75"/>
      <c r="T147" s="75"/>
    </row>
    <row r="148" spans="3:20">
      <c r="C148" s="75"/>
      <c r="I148" s="75"/>
      <c r="J148" s="75"/>
      <c r="K148" s="75"/>
      <c r="L148" s="75"/>
      <c r="M148" s="75"/>
      <c r="N148" s="75"/>
      <c r="O148" s="75"/>
      <c r="P148" s="75"/>
      <c r="Q148" s="75"/>
      <c r="R148" s="75"/>
      <c r="S148" s="75"/>
      <c r="T148" s="75"/>
    </row>
    <row r="149" spans="3:20">
      <c r="C149" s="75"/>
      <c r="I149" s="75"/>
      <c r="J149" s="75"/>
      <c r="K149" s="75"/>
      <c r="L149" s="75"/>
      <c r="M149" s="75"/>
      <c r="N149" s="75"/>
      <c r="O149" s="75"/>
      <c r="P149" s="75"/>
      <c r="Q149" s="75"/>
      <c r="R149" s="75"/>
      <c r="S149" s="75"/>
      <c r="T149" s="75"/>
    </row>
    <row r="150" spans="3:20">
      <c r="C150" s="75"/>
      <c r="I150" s="75"/>
      <c r="J150" s="75"/>
      <c r="K150" s="75"/>
      <c r="L150" s="75"/>
      <c r="M150" s="75"/>
      <c r="N150" s="75"/>
      <c r="O150" s="75"/>
      <c r="P150" s="75"/>
      <c r="Q150" s="75"/>
      <c r="R150" s="75"/>
      <c r="S150" s="75"/>
      <c r="T150" s="75"/>
    </row>
    <row r="151" spans="3:20">
      <c r="C151" s="75"/>
      <c r="I151" s="75"/>
      <c r="J151" s="75"/>
      <c r="K151" s="75"/>
      <c r="L151" s="75"/>
      <c r="M151" s="75"/>
      <c r="N151" s="75"/>
      <c r="O151" s="75"/>
      <c r="P151" s="75"/>
      <c r="Q151" s="75"/>
      <c r="R151" s="75"/>
      <c r="S151" s="75"/>
      <c r="T151" s="75"/>
    </row>
    <row r="152" spans="3:20">
      <c r="C152" s="75"/>
      <c r="I152" s="75"/>
      <c r="J152" s="75"/>
      <c r="K152" s="75"/>
      <c r="L152" s="75"/>
      <c r="M152" s="75"/>
      <c r="N152" s="75"/>
      <c r="O152" s="75"/>
      <c r="P152" s="75"/>
      <c r="Q152" s="75"/>
      <c r="R152" s="75"/>
      <c r="S152" s="75"/>
      <c r="T152" s="75"/>
    </row>
    <row r="153" spans="3:20">
      <c r="C153" s="75"/>
      <c r="I153" s="75"/>
      <c r="J153" s="75"/>
      <c r="K153" s="75"/>
      <c r="L153" s="75"/>
      <c r="M153" s="75"/>
      <c r="N153" s="75"/>
      <c r="O153" s="75"/>
      <c r="P153" s="75"/>
      <c r="Q153" s="75"/>
      <c r="R153" s="75"/>
      <c r="S153" s="75"/>
      <c r="T153" s="75"/>
    </row>
    <row r="154" spans="3:20">
      <c r="C154" s="75"/>
      <c r="I154" s="75"/>
      <c r="J154" s="75"/>
      <c r="K154" s="75"/>
      <c r="L154" s="75"/>
      <c r="M154" s="75"/>
      <c r="N154" s="75"/>
      <c r="O154" s="75"/>
      <c r="P154" s="75"/>
      <c r="Q154" s="75"/>
      <c r="R154" s="75"/>
      <c r="S154" s="75"/>
      <c r="T154" s="75"/>
    </row>
    <row r="155" spans="3:20">
      <c r="C155" s="75"/>
      <c r="D155" s="75"/>
      <c r="E155" s="75"/>
      <c r="F155" s="75"/>
      <c r="G155" s="75"/>
      <c r="H155" s="75"/>
      <c r="I155" s="75"/>
      <c r="J155" s="75"/>
      <c r="K155" s="75"/>
      <c r="L155" s="75"/>
      <c r="M155" s="75"/>
      <c r="N155" s="75"/>
      <c r="O155" s="75"/>
      <c r="P155" s="75"/>
      <c r="Q155" s="75"/>
      <c r="R155" s="75"/>
      <c r="S155" s="75"/>
      <c r="T155" s="75"/>
    </row>
    <row r="156" spans="3:20">
      <c r="C156" s="75"/>
      <c r="D156" s="75"/>
      <c r="E156" s="75"/>
      <c r="F156" s="75"/>
      <c r="G156" s="75"/>
      <c r="H156" s="75"/>
      <c r="I156" s="75"/>
      <c r="J156" s="75"/>
      <c r="K156" s="75"/>
      <c r="L156" s="75"/>
      <c r="M156" s="75"/>
      <c r="N156" s="75"/>
      <c r="O156" s="75"/>
      <c r="P156" s="75"/>
      <c r="Q156" s="75"/>
      <c r="R156" s="75"/>
      <c r="S156" s="75"/>
      <c r="T156" s="75"/>
    </row>
    <row r="157" spans="3:20">
      <c r="C157" s="75"/>
      <c r="D157" s="75"/>
      <c r="E157" s="75"/>
      <c r="F157" s="75"/>
      <c r="G157" s="75"/>
      <c r="H157" s="75"/>
      <c r="I157" s="75"/>
      <c r="J157" s="75"/>
      <c r="K157" s="75"/>
      <c r="L157" s="75"/>
      <c r="M157" s="75"/>
      <c r="N157" s="75"/>
      <c r="O157" s="75"/>
      <c r="P157" s="75"/>
      <c r="Q157" s="75"/>
      <c r="R157" s="75"/>
      <c r="S157" s="75"/>
      <c r="T157" s="75"/>
    </row>
    <row r="158" spans="3:20">
      <c r="C158" s="75"/>
      <c r="D158" s="75"/>
      <c r="E158" s="75"/>
      <c r="F158" s="75"/>
      <c r="G158" s="75"/>
      <c r="H158" s="75"/>
      <c r="I158" s="204"/>
      <c r="J158" s="205"/>
      <c r="K158" s="75"/>
      <c r="L158" s="204"/>
      <c r="M158" s="75"/>
      <c r="N158" s="75"/>
      <c r="O158" s="75"/>
      <c r="P158" s="75"/>
      <c r="Q158" s="75"/>
      <c r="R158" s="75"/>
      <c r="S158" s="75"/>
      <c r="T158" s="75"/>
    </row>
    <row r="159" spans="3:20">
      <c r="C159" s="75"/>
      <c r="D159" s="75"/>
      <c r="E159" s="75"/>
      <c r="F159" s="75"/>
      <c r="G159" s="75"/>
      <c r="H159" s="75"/>
      <c r="I159" s="204"/>
      <c r="J159" s="205"/>
      <c r="K159" s="75"/>
      <c r="L159" s="204"/>
      <c r="M159" s="75"/>
      <c r="N159" s="75"/>
      <c r="O159" s="75"/>
      <c r="P159" s="75"/>
      <c r="Q159" s="75"/>
      <c r="R159" s="75"/>
      <c r="S159" s="75"/>
      <c r="T159" s="75"/>
    </row>
    <row r="160" spans="3:20">
      <c r="C160" s="75"/>
      <c r="D160" s="75"/>
      <c r="E160" s="75"/>
      <c r="F160" s="75"/>
      <c r="G160" s="75"/>
      <c r="H160" s="75"/>
      <c r="J160" s="205"/>
      <c r="K160" s="75"/>
      <c r="L160" s="204"/>
      <c r="M160" s="75"/>
      <c r="N160" s="75"/>
      <c r="O160" s="75"/>
      <c r="P160" s="75"/>
      <c r="Q160" s="75"/>
      <c r="R160" s="75"/>
      <c r="S160" s="75"/>
      <c r="T160" s="75"/>
    </row>
    <row r="161" spans="3:23">
      <c r="C161" s="75"/>
      <c r="D161" s="75"/>
      <c r="E161" s="75"/>
      <c r="F161" s="75"/>
      <c r="G161" s="75"/>
      <c r="H161" s="75"/>
      <c r="I161" s="206"/>
      <c r="J161" s="205"/>
      <c r="K161" s="75"/>
      <c r="L161" s="204"/>
      <c r="M161" s="75"/>
      <c r="N161" s="75"/>
      <c r="O161" s="206"/>
      <c r="P161" s="75"/>
      <c r="Q161" s="75"/>
      <c r="R161" s="75"/>
      <c r="S161" s="75"/>
      <c r="T161" s="75"/>
    </row>
    <row r="162" spans="3:23">
      <c r="C162" s="75"/>
      <c r="D162" s="75"/>
      <c r="E162" s="75"/>
      <c r="F162" s="75"/>
      <c r="G162" s="75"/>
      <c r="H162" s="75"/>
      <c r="I162" s="204"/>
      <c r="J162" s="205"/>
      <c r="K162" s="75"/>
      <c r="L162" s="204"/>
      <c r="M162" s="75"/>
      <c r="N162" s="75"/>
      <c r="O162" s="75"/>
      <c r="P162" s="75"/>
      <c r="Q162" s="75"/>
      <c r="R162" s="75"/>
      <c r="S162" s="75"/>
      <c r="T162" s="75"/>
    </row>
    <row r="163" spans="3:23">
      <c r="C163" s="75"/>
      <c r="D163" s="75"/>
      <c r="E163" s="75"/>
      <c r="F163" s="75"/>
      <c r="G163" s="75"/>
      <c r="H163" s="75"/>
      <c r="I163" s="204"/>
      <c r="J163" s="205"/>
      <c r="K163" s="75"/>
      <c r="L163" s="204"/>
      <c r="M163" s="75"/>
      <c r="N163" s="75"/>
      <c r="O163" s="75"/>
      <c r="P163" s="75"/>
      <c r="Q163" s="75"/>
      <c r="R163" s="75"/>
      <c r="S163" s="75"/>
      <c r="T163" s="75"/>
    </row>
    <row r="164" spans="3:23">
      <c r="C164" s="75"/>
      <c r="D164" s="75"/>
      <c r="E164" s="75"/>
      <c r="F164" s="75"/>
      <c r="G164" s="75"/>
      <c r="H164" s="75"/>
      <c r="I164" s="204"/>
      <c r="J164" s="205"/>
      <c r="K164" s="75"/>
      <c r="L164" s="204"/>
      <c r="M164" s="75"/>
      <c r="N164" s="75"/>
      <c r="O164" s="75"/>
      <c r="P164" s="75"/>
      <c r="Q164" s="75"/>
      <c r="R164" s="75"/>
      <c r="S164" s="75"/>
      <c r="T164" s="75"/>
    </row>
    <row r="165" spans="3:23">
      <c r="C165" s="75"/>
      <c r="D165" s="75"/>
      <c r="E165" s="75"/>
      <c r="F165" s="75"/>
      <c r="G165" s="75"/>
      <c r="H165" s="75"/>
      <c r="I165" s="204"/>
      <c r="J165" s="205"/>
      <c r="K165" s="75"/>
      <c r="L165" s="204"/>
      <c r="M165" s="75"/>
      <c r="N165" s="75"/>
      <c r="O165" s="75"/>
      <c r="P165" s="75"/>
      <c r="Q165" s="75"/>
      <c r="R165" s="75"/>
      <c r="S165" s="75"/>
      <c r="T165" s="75"/>
    </row>
    <row r="166" spans="3:23">
      <c r="C166" s="75"/>
      <c r="D166" s="75"/>
      <c r="E166" s="75"/>
      <c r="F166" s="75"/>
      <c r="G166" s="75"/>
      <c r="H166" s="75"/>
      <c r="I166" s="75"/>
      <c r="J166" s="75"/>
      <c r="K166" s="75"/>
      <c r="L166" s="75"/>
      <c r="M166" s="75"/>
      <c r="N166" s="75"/>
      <c r="O166" s="75"/>
      <c r="P166" s="75"/>
      <c r="Q166" s="75"/>
      <c r="R166" s="75"/>
      <c r="S166" s="75"/>
      <c r="T166" s="75"/>
    </row>
    <row r="167" spans="3:23">
      <c r="C167" s="75"/>
      <c r="D167" s="75"/>
      <c r="E167" s="75"/>
      <c r="F167" s="75"/>
      <c r="G167" s="75"/>
      <c r="H167" s="75"/>
      <c r="I167" s="75"/>
      <c r="J167" s="75"/>
      <c r="K167" s="75"/>
      <c r="L167" s="75"/>
      <c r="M167" s="75"/>
      <c r="N167" s="75"/>
      <c r="O167" s="75"/>
      <c r="P167" s="75"/>
      <c r="Q167" s="75"/>
      <c r="R167" s="75"/>
      <c r="S167" s="75"/>
      <c r="T167" s="75"/>
    </row>
    <row r="168" spans="3:23">
      <c r="C168" s="75"/>
      <c r="D168" s="75"/>
      <c r="E168" s="75"/>
      <c r="F168" s="75"/>
      <c r="G168" s="75"/>
      <c r="H168" s="75"/>
      <c r="I168" s="75"/>
      <c r="J168" s="75"/>
      <c r="K168" s="75"/>
      <c r="L168" s="75"/>
      <c r="M168" s="75"/>
      <c r="N168" s="75"/>
      <c r="O168" s="75"/>
      <c r="P168" s="75"/>
      <c r="Q168" s="75"/>
      <c r="R168" s="75"/>
      <c r="S168" s="75"/>
      <c r="T168" s="75"/>
    </row>
    <row r="169" spans="3:23">
      <c r="C169" s="75"/>
      <c r="D169" s="75"/>
      <c r="E169" s="75"/>
      <c r="F169" s="75"/>
      <c r="G169" s="75"/>
      <c r="H169" s="75"/>
      <c r="I169" s="75"/>
      <c r="J169" s="75"/>
      <c r="K169" s="75"/>
      <c r="L169" s="75"/>
      <c r="M169" s="75"/>
      <c r="N169" s="75"/>
      <c r="O169" s="75"/>
      <c r="P169" s="75"/>
      <c r="Q169" s="75"/>
      <c r="R169" s="75"/>
      <c r="S169" s="75"/>
      <c r="T169" s="75"/>
    </row>
    <row r="170" spans="3:23">
      <c r="C170" s="75"/>
      <c r="D170" s="75"/>
      <c r="E170" s="75"/>
      <c r="F170" s="75"/>
      <c r="G170" s="75"/>
      <c r="H170" s="75"/>
      <c r="I170" s="75"/>
      <c r="J170" s="75"/>
      <c r="K170" s="75"/>
      <c r="L170" s="75"/>
      <c r="M170" s="75"/>
      <c r="N170" s="75"/>
      <c r="O170" s="75"/>
      <c r="P170" s="75"/>
      <c r="Q170" s="75"/>
      <c r="R170" s="75"/>
      <c r="S170" s="75"/>
      <c r="T170" s="75"/>
    </row>
    <row r="171" spans="3:23">
      <c r="C171" s="75"/>
      <c r="D171" s="75"/>
      <c r="E171" s="75"/>
      <c r="F171" s="75"/>
      <c r="G171" s="75"/>
      <c r="H171" s="75"/>
      <c r="I171" s="75"/>
      <c r="J171" s="75"/>
      <c r="K171" s="75"/>
      <c r="L171" s="75"/>
      <c r="M171" s="75"/>
      <c r="N171" s="75"/>
      <c r="O171" s="75"/>
      <c r="P171" s="75"/>
      <c r="Q171" s="75"/>
      <c r="R171" s="75"/>
      <c r="S171" s="75"/>
      <c r="T171" s="75"/>
      <c r="W171" s="197">
        <f>88+44</f>
        <v>132</v>
      </c>
    </row>
    <row r="172" spans="3:23">
      <c r="C172" s="75"/>
      <c r="D172" s="75"/>
      <c r="E172" s="75"/>
      <c r="F172" s="75"/>
      <c r="G172" s="75"/>
      <c r="H172" s="75"/>
      <c r="I172" s="75"/>
      <c r="J172" s="75"/>
      <c r="K172" s="75"/>
      <c r="L172" s="75"/>
      <c r="M172" s="75"/>
      <c r="N172" s="75"/>
      <c r="O172" s="75"/>
      <c r="P172" s="75"/>
      <c r="Q172" s="75"/>
      <c r="R172" s="75"/>
      <c r="S172" s="75"/>
      <c r="T172" s="75"/>
    </row>
    <row r="173" spans="3:23" ht="7.5" customHeight="1">
      <c r="C173" s="75"/>
      <c r="D173" s="75"/>
      <c r="E173" s="75"/>
      <c r="F173" s="75"/>
      <c r="G173" s="75"/>
      <c r="H173" s="75"/>
      <c r="I173" s="75"/>
      <c r="J173" s="75"/>
      <c r="K173" s="75"/>
      <c r="L173" s="75"/>
      <c r="M173" s="75"/>
      <c r="N173" s="75"/>
      <c r="O173" s="75"/>
      <c r="P173" s="75"/>
      <c r="Q173" s="75"/>
      <c r="R173" s="75"/>
      <c r="S173" s="75"/>
      <c r="T173" s="75"/>
    </row>
    <row r="174" spans="3:23">
      <c r="C174" s="75"/>
      <c r="D174" s="75"/>
      <c r="E174" s="75"/>
      <c r="F174" s="75"/>
      <c r="G174" s="75"/>
      <c r="H174" s="75"/>
      <c r="I174" s="75"/>
      <c r="J174" s="75"/>
      <c r="K174" s="75"/>
      <c r="L174" s="75"/>
      <c r="M174" s="75"/>
      <c r="N174" s="75"/>
      <c r="O174" s="75"/>
      <c r="P174" s="75"/>
      <c r="Q174" s="75"/>
      <c r="R174" s="75"/>
      <c r="S174" s="75"/>
      <c r="T174" s="75"/>
    </row>
    <row r="175" spans="3:23">
      <c r="C175" s="75"/>
      <c r="D175" s="75"/>
      <c r="E175" s="75"/>
      <c r="F175" s="75"/>
      <c r="G175" s="75"/>
      <c r="H175" s="75"/>
      <c r="I175" s="75"/>
      <c r="J175" s="75"/>
      <c r="K175" s="75"/>
      <c r="L175" s="75"/>
      <c r="M175" s="75"/>
      <c r="N175" s="75"/>
      <c r="O175" s="75"/>
      <c r="P175" s="75"/>
      <c r="Q175" s="75"/>
      <c r="R175" s="75"/>
      <c r="S175" s="75"/>
      <c r="T175" s="75"/>
    </row>
    <row r="176" spans="3:23">
      <c r="C176" s="75"/>
      <c r="D176" s="75"/>
      <c r="E176" s="75"/>
      <c r="F176" s="75"/>
      <c r="G176" s="75"/>
      <c r="H176" s="75"/>
      <c r="I176" s="230">
        <f>1+I134</f>
        <v>3</v>
      </c>
      <c r="J176" s="75"/>
      <c r="K176" s="75"/>
      <c r="L176" s="75"/>
      <c r="M176" s="75"/>
      <c r="N176" s="75"/>
      <c r="O176" s="75"/>
      <c r="P176" s="75"/>
      <c r="Q176" s="75"/>
      <c r="R176" s="75"/>
      <c r="S176" s="75"/>
      <c r="T176" s="75"/>
    </row>
    <row r="177" spans="2:20">
      <c r="C177" s="75"/>
      <c r="D177" s="75"/>
      <c r="E177" s="75"/>
      <c r="F177" s="75"/>
      <c r="G177" s="75"/>
      <c r="H177" s="75"/>
      <c r="I177" s="75"/>
      <c r="J177" s="75"/>
      <c r="K177" s="75"/>
      <c r="L177" s="75"/>
      <c r="M177" s="75"/>
      <c r="N177" s="75"/>
      <c r="O177" s="75"/>
      <c r="P177" s="75"/>
      <c r="Q177" s="75"/>
      <c r="R177" s="75"/>
      <c r="S177" s="75"/>
      <c r="T177" s="75"/>
    </row>
    <row r="178" spans="2:20" ht="9.75" customHeight="1">
      <c r="C178" s="56"/>
      <c r="D178" s="56"/>
      <c r="E178" s="56"/>
      <c r="F178" s="56"/>
      <c r="G178" s="56"/>
      <c r="H178" s="56"/>
      <c r="I178" s="56"/>
      <c r="J178" s="56"/>
      <c r="K178" s="56"/>
      <c r="L178" s="56"/>
      <c r="M178" s="56"/>
      <c r="N178" s="56"/>
      <c r="O178" s="56"/>
      <c r="P178" s="56"/>
      <c r="Q178" s="56"/>
      <c r="R178" s="56"/>
      <c r="S178" s="56"/>
      <c r="T178" s="56"/>
    </row>
    <row r="179" spans="2:20" ht="23.4">
      <c r="C179" s="200" t="s">
        <v>263</v>
      </c>
      <c r="D179" s="202" t="s">
        <v>428</v>
      </c>
      <c r="E179" s="202"/>
      <c r="F179" s="202"/>
      <c r="G179" s="202"/>
      <c r="H179" s="202"/>
      <c r="I179" s="200"/>
      <c r="J179" s="200"/>
      <c r="K179" s="200"/>
      <c r="L179" s="200"/>
      <c r="M179" s="200"/>
      <c r="N179" s="200"/>
      <c r="O179" s="200"/>
      <c r="P179" s="200"/>
      <c r="Q179" s="200"/>
      <c r="R179" s="200"/>
      <c r="S179" s="200"/>
      <c r="T179" s="200"/>
    </row>
    <row r="180" spans="2:20" ht="5.4" customHeight="1"/>
    <row r="181" spans="2:20" ht="5.4" customHeight="1">
      <c r="B181" s="203"/>
      <c r="C181" s="203"/>
      <c r="D181" s="203"/>
      <c r="E181" s="203"/>
      <c r="F181" s="203"/>
      <c r="G181" s="203"/>
      <c r="H181" s="203"/>
    </row>
    <row r="182" spans="2:20" ht="17.25" customHeight="1">
      <c r="D182" s="934"/>
      <c r="E182" s="934"/>
      <c r="F182" s="934"/>
      <c r="G182" s="934"/>
      <c r="H182" s="934"/>
      <c r="I182" s="934"/>
      <c r="J182" s="934"/>
      <c r="K182" s="934"/>
      <c r="L182" s="934"/>
      <c r="M182" s="934"/>
      <c r="N182" s="934"/>
    </row>
    <row r="183" spans="2:20">
      <c r="C183" s="75"/>
      <c r="O183" s="75"/>
      <c r="P183" s="75"/>
      <c r="Q183" s="75"/>
      <c r="R183" s="75"/>
      <c r="S183" s="75"/>
      <c r="T183" s="75"/>
    </row>
    <row r="184" spans="2:20" ht="20.25" customHeight="1">
      <c r="C184" s="75"/>
      <c r="I184" s="75"/>
      <c r="J184" s="75"/>
      <c r="K184" s="75"/>
      <c r="L184" s="75"/>
      <c r="M184" s="75"/>
      <c r="N184" s="75"/>
      <c r="O184" s="75"/>
      <c r="P184" s="75"/>
      <c r="Q184" s="75"/>
      <c r="R184" s="75"/>
      <c r="S184" s="75"/>
      <c r="T184" s="75"/>
    </row>
    <row r="185" spans="2:20">
      <c r="C185" s="75"/>
      <c r="I185" s="75"/>
      <c r="J185" s="75"/>
      <c r="K185" s="75"/>
      <c r="L185" s="75"/>
      <c r="M185" s="75"/>
      <c r="N185" s="75"/>
      <c r="O185" s="75"/>
      <c r="P185" s="75"/>
      <c r="Q185" s="75"/>
      <c r="R185" s="75"/>
      <c r="S185" s="75"/>
      <c r="T185" s="75"/>
    </row>
    <row r="186" spans="2:20">
      <c r="C186" s="75"/>
      <c r="I186" s="75"/>
      <c r="J186" s="75"/>
      <c r="K186" s="75"/>
      <c r="L186" s="75"/>
      <c r="M186" s="75"/>
      <c r="N186" s="75"/>
      <c r="O186" s="75"/>
      <c r="P186" s="75"/>
      <c r="Q186" s="75"/>
      <c r="R186" s="75"/>
      <c r="S186" s="75"/>
      <c r="T186" s="75"/>
    </row>
    <row r="187" spans="2:20">
      <c r="C187" s="75"/>
      <c r="I187" s="75"/>
      <c r="J187" s="75"/>
      <c r="K187" s="75"/>
      <c r="L187" s="75"/>
      <c r="M187" s="75"/>
      <c r="N187" s="75"/>
      <c r="O187" s="75"/>
      <c r="P187" s="75"/>
      <c r="Q187" s="75"/>
      <c r="R187" s="75"/>
      <c r="S187" s="75"/>
      <c r="T187" s="75"/>
    </row>
    <row r="188" spans="2:20">
      <c r="C188" s="75"/>
      <c r="I188" s="75"/>
      <c r="J188" s="75"/>
      <c r="K188" s="75"/>
      <c r="L188" s="75"/>
      <c r="M188" s="75"/>
      <c r="N188" s="75"/>
      <c r="O188" s="75"/>
      <c r="P188" s="75"/>
      <c r="Q188" s="75"/>
      <c r="R188" s="75"/>
      <c r="S188" s="75"/>
      <c r="T188" s="75"/>
    </row>
    <row r="189" spans="2:20">
      <c r="C189" s="75"/>
      <c r="I189" s="75"/>
      <c r="J189" s="75"/>
      <c r="K189" s="75"/>
      <c r="L189" s="75"/>
      <c r="M189" s="75"/>
      <c r="N189" s="75"/>
      <c r="O189" s="75"/>
      <c r="P189" s="75"/>
      <c r="Q189" s="75"/>
      <c r="R189" s="75"/>
      <c r="S189" s="75"/>
      <c r="T189" s="75"/>
    </row>
    <row r="190" spans="2:20">
      <c r="C190" s="75"/>
      <c r="I190" s="75"/>
      <c r="J190" s="75"/>
      <c r="K190" s="75"/>
      <c r="L190" s="75"/>
      <c r="M190" s="75"/>
      <c r="N190" s="75"/>
      <c r="O190" s="75"/>
      <c r="P190" s="75"/>
      <c r="Q190" s="75"/>
      <c r="R190" s="75"/>
      <c r="S190" s="75"/>
      <c r="T190" s="75"/>
    </row>
    <row r="191" spans="2:20">
      <c r="C191" s="75"/>
      <c r="I191" s="75"/>
      <c r="J191" s="75"/>
      <c r="K191" s="75"/>
      <c r="L191" s="75"/>
      <c r="M191" s="75"/>
      <c r="N191" s="75"/>
      <c r="O191" s="75"/>
      <c r="P191" s="75"/>
      <c r="Q191" s="75"/>
      <c r="R191" s="75"/>
      <c r="S191" s="75"/>
      <c r="T191" s="75"/>
    </row>
    <row r="192" spans="2:20">
      <c r="C192" s="75"/>
      <c r="I192" s="75"/>
      <c r="J192" s="75"/>
      <c r="K192" s="75"/>
      <c r="L192" s="75"/>
      <c r="M192" s="75"/>
      <c r="N192" s="75"/>
      <c r="O192" s="75"/>
      <c r="P192" s="75"/>
      <c r="Q192" s="75"/>
      <c r="R192" s="75"/>
      <c r="S192" s="75"/>
      <c r="T192" s="75"/>
    </row>
    <row r="193" spans="3:20">
      <c r="C193" s="75"/>
      <c r="I193" s="75"/>
      <c r="J193" s="75"/>
      <c r="K193" s="75"/>
      <c r="L193" s="75"/>
      <c r="M193" s="75"/>
      <c r="N193" s="75"/>
      <c r="O193" s="75"/>
      <c r="P193" s="75"/>
      <c r="Q193" s="75"/>
      <c r="R193" s="75"/>
      <c r="S193" s="75"/>
      <c r="T193" s="75"/>
    </row>
    <row r="194" spans="3:20">
      <c r="C194" s="75"/>
      <c r="I194" s="75"/>
      <c r="J194" s="75"/>
      <c r="K194" s="75"/>
      <c r="L194" s="75"/>
      <c r="M194" s="75"/>
      <c r="N194" s="75"/>
      <c r="O194" s="75"/>
      <c r="P194" s="75"/>
      <c r="Q194" s="75"/>
      <c r="R194" s="75"/>
      <c r="S194" s="75"/>
      <c r="T194" s="75"/>
    </row>
    <row r="195" spans="3:20">
      <c r="C195" s="75"/>
      <c r="D195" s="75"/>
      <c r="E195" s="75"/>
      <c r="F195" s="75"/>
      <c r="G195" s="75"/>
      <c r="H195" s="75"/>
      <c r="I195" s="75"/>
      <c r="J195" s="75"/>
      <c r="K195" s="75"/>
      <c r="L195" s="75"/>
      <c r="M195" s="75"/>
      <c r="N195" s="75"/>
      <c r="O195" s="75"/>
      <c r="P195" s="75"/>
      <c r="Q195" s="75"/>
      <c r="R195" s="75"/>
      <c r="S195" s="75"/>
      <c r="T195" s="75"/>
    </row>
    <row r="196" spans="3:20">
      <c r="C196" s="75"/>
      <c r="D196" s="75"/>
      <c r="E196" s="75"/>
      <c r="F196" s="75"/>
      <c r="G196" s="75"/>
      <c r="H196" s="75"/>
      <c r="I196" s="75"/>
      <c r="J196" s="75"/>
      <c r="K196" s="75"/>
      <c r="L196" s="75"/>
      <c r="M196" s="75"/>
      <c r="N196" s="75"/>
      <c r="O196" s="75"/>
      <c r="P196" s="75"/>
      <c r="Q196" s="75"/>
      <c r="R196" s="75"/>
      <c r="S196" s="75"/>
      <c r="T196" s="75"/>
    </row>
    <row r="197" spans="3:20">
      <c r="C197" s="75"/>
      <c r="D197" s="75"/>
      <c r="E197" s="75"/>
      <c r="F197" s="75"/>
      <c r="G197" s="75"/>
      <c r="H197" s="75"/>
      <c r="I197" s="75"/>
      <c r="J197" s="75"/>
      <c r="K197" s="75"/>
      <c r="L197" s="75"/>
      <c r="M197" s="75"/>
      <c r="N197" s="75"/>
      <c r="O197" s="75"/>
      <c r="P197" s="75"/>
      <c r="Q197" s="75"/>
      <c r="R197" s="75"/>
      <c r="S197" s="75"/>
      <c r="T197" s="75"/>
    </row>
    <row r="198" spans="3:20">
      <c r="C198" s="75"/>
      <c r="D198" s="75"/>
      <c r="E198" s="75"/>
      <c r="F198" s="75"/>
      <c r="G198" s="75"/>
      <c r="H198" s="75"/>
      <c r="I198" s="204"/>
      <c r="J198" s="205"/>
      <c r="K198" s="75"/>
      <c r="L198" s="204"/>
      <c r="M198" s="75"/>
      <c r="N198" s="75"/>
      <c r="O198" s="75"/>
      <c r="P198" s="75"/>
      <c r="Q198" s="75"/>
      <c r="R198" s="75"/>
      <c r="S198" s="75"/>
      <c r="T198" s="75"/>
    </row>
    <row r="199" spans="3:20">
      <c r="C199" s="75"/>
      <c r="D199" s="75"/>
      <c r="E199" s="75"/>
      <c r="F199" s="75"/>
      <c r="G199" s="75"/>
      <c r="H199" s="75"/>
      <c r="I199" s="204"/>
      <c r="J199" s="205"/>
      <c r="K199" s="75"/>
      <c r="L199" s="204"/>
      <c r="M199" s="75"/>
      <c r="N199" s="75"/>
      <c r="O199" s="75"/>
      <c r="P199" s="75"/>
      <c r="Q199" s="75"/>
      <c r="R199" s="75"/>
      <c r="S199" s="75"/>
      <c r="T199" s="75"/>
    </row>
    <row r="200" spans="3:20">
      <c r="C200" s="75"/>
      <c r="D200" s="75"/>
      <c r="E200" s="75"/>
      <c r="F200" s="75"/>
      <c r="G200" s="75"/>
      <c r="H200" s="75"/>
      <c r="J200" s="205"/>
      <c r="K200" s="75"/>
      <c r="L200" s="204"/>
      <c r="M200" s="75"/>
      <c r="N200" s="75"/>
      <c r="O200" s="75"/>
      <c r="P200" s="75"/>
      <c r="Q200" s="75"/>
      <c r="R200" s="75"/>
      <c r="S200" s="75"/>
      <c r="T200" s="75"/>
    </row>
    <row r="201" spans="3:20">
      <c r="C201" s="75"/>
      <c r="D201" s="75"/>
      <c r="E201" s="75"/>
      <c r="F201" s="75"/>
      <c r="G201" s="75"/>
      <c r="H201" s="75"/>
      <c r="I201" s="206"/>
      <c r="J201" s="205"/>
      <c r="K201" s="75"/>
      <c r="L201" s="204"/>
      <c r="M201" s="75"/>
      <c r="N201" s="75"/>
      <c r="O201" s="206"/>
      <c r="P201" s="75"/>
      <c r="Q201" s="75"/>
      <c r="R201" s="75"/>
      <c r="S201" s="75"/>
      <c r="T201" s="75"/>
    </row>
    <row r="202" spans="3:20">
      <c r="C202" s="75"/>
      <c r="D202" s="75"/>
      <c r="E202" s="75"/>
      <c r="F202" s="75"/>
      <c r="G202" s="75"/>
      <c r="H202" s="75"/>
      <c r="I202" s="204"/>
      <c r="J202" s="205"/>
      <c r="K202" s="75"/>
      <c r="L202" s="204"/>
      <c r="M202" s="75"/>
      <c r="N202" s="75"/>
      <c r="O202" s="75"/>
      <c r="P202" s="75"/>
      <c r="Q202" s="75"/>
      <c r="R202" s="75"/>
      <c r="S202" s="75"/>
      <c r="T202" s="75"/>
    </row>
    <row r="203" spans="3:20">
      <c r="C203" s="75"/>
      <c r="D203" s="75"/>
      <c r="E203" s="75"/>
      <c r="F203" s="75"/>
      <c r="G203" s="75"/>
      <c r="H203" s="75"/>
      <c r="I203" s="204"/>
      <c r="J203" s="205"/>
      <c r="K203" s="75"/>
      <c r="L203" s="204"/>
      <c r="M203" s="75"/>
      <c r="N203" s="75"/>
      <c r="O203" s="75"/>
      <c r="P203" s="75"/>
      <c r="Q203" s="75"/>
      <c r="R203" s="75"/>
      <c r="S203" s="75"/>
      <c r="T203" s="75"/>
    </row>
    <row r="204" spans="3:20">
      <c r="C204" s="75"/>
      <c r="D204" s="75"/>
      <c r="E204" s="75"/>
      <c r="F204" s="75"/>
      <c r="G204" s="75"/>
      <c r="H204" s="75"/>
      <c r="I204" s="204"/>
      <c r="J204" s="205"/>
      <c r="K204" s="75"/>
      <c r="L204" s="204"/>
      <c r="M204" s="75"/>
      <c r="N204" s="75"/>
      <c r="O204" s="75"/>
      <c r="P204" s="75"/>
      <c r="Q204" s="75"/>
      <c r="R204" s="75"/>
      <c r="S204" s="75"/>
      <c r="T204" s="75"/>
    </row>
    <row r="205" spans="3:20">
      <c r="C205" s="75"/>
      <c r="D205" s="75"/>
      <c r="E205" s="75"/>
      <c r="F205" s="75"/>
      <c r="G205" s="75"/>
      <c r="H205" s="75"/>
      <c r="I205" s="204"/>
      <c r="J205" s="205"/>
      <c r="K205" s="75"/>
      <c r="L205" s="204"/>
      <c r="M205" s="75"/>
      <c r="N205" s="75"/>
      <c r="O205" s="75"/>
      <c r="P205" s="75"/>
      <c r="Q205" s="75"/>
      <c r="R205" s="75"/>
      <c r="S205" s="75"/>
      <c r="T205" s="75"/>
    </row>
    <row r="206" spans="3:20">
      <c r="C206" s="75"/>
      <c r="D206" s="75"/>
      <c r="E206" s="75"/>
      <c r="F206" s="75"/>
      <c r="G206" s="75"/>
      <c r="H206" s="75"/>
      <c r="I206" s="75"/>
      <c r="J206" s="75"/>
      <c r="K206" s="75"/>
      <c r="L206" s="75"/>
      <c r="M206" s="75"/>
      <c r="N206" s="75"/>
      <c r="O206" s="75"/>
      <c r="P206" s="75"/>
      <c r="Q206" s="75"/>
      <c r="R206" s="75"/>
      <c r="S206" s="75"/>
      <c r="T206" s="75"/>
    </row>
    <row r="207" spans="3:20">
      <c r="C207" s="75"/>
      <c r="D207" s="75"/>
      <c r="E207" s="75"/>
      <c r="F207" s="75"/>
      <c r="G207" s="75"/>
      <c r="H207" s="75"/>
      <c r="I207" s="75"/>
      <c r="J207" s="75"/>
      <c r="K207" s="75"/>
      <c r="L207" s="75"/>
      <c r="M207" s="75"/>
      <c r="N207" s="75"/>
      <c r="O207" s="75"/>
      <c r="P207" s="75"/>
      <c r="Q207" s="75"/>
      <c r="R207" s="75"/>
      <c r="S207" s="75"/>
      <c r="T207" s="75"/>
    </row>
    <row r="208" spans="3:20">
      <c r="C208" s="75"/>
      <c r="D208" s="75"/>
      <c r="E208" s="75"/>
      <c r="F208" s="75"/>
      <c r="G208" s="75"/>
      <c r="H208" s="75"/>
      <c r="I208" s="75"/>
      <c r="J208" s="75"/>
      <c r="K208" s="75"/>
      <c r="L208" s="75"/>
      <c r="M208" s="75"/>
      <c r="N208" s="75"/>
      <c r="O208" s="75"/>
      <c r="P208" s="75"/>
      <c r="Q208" s="75"/>
      <c r="R208" s="75"/>
      <c r="S208" s="75"/>
      <c r="T208" s="75"/>
    </row>
    <row r="209" spans="2:23">
      <c r="C209" s="75"/>
      <c r="D209" s="75"/>
      <c r="E209" s="75"/>
      <c r="F209" s="75"/>
      <c r="G209" s="75"/>
      <c r="H209" s="75"/>
      <c r="I209" s="75"/>
      <c r="J209" s="75"/>
      <c r="K209" s="75"/>
      <c r="L209" s="75"/>
      <c r="M209" s="75"/>
      <c r="N209" s="75"/>
      <c r="O209" s="75"/>
      <c r="P209" s="75"/>
      <c r="Q209" s="75"/>
      <c r="R209" s="75"/>
      <c r="S209" s="75"/>
      <c r="T209" s="75"/>
    </row>
    <row r="210" spans="2:23">
      <c r="C210" s="75"/>
      <c r="D210" s="75"/>
      <c r="E210" s="75"/>
      <c r="F210" s="75"/>
      <c r="G210" s="75"/>
      <c r="H210" s="75"/>
      <c r="I210" s="75"/>
      <c r="J210" s="75"/>
      <c r="K210" s="75"/>
      <c r="L210" s="75"/>
      <c r="M210" s="75"/>
      <c r="N210" s="75"/>
      <c r="O210" s="75"/>
      <c r="P210" s="75"/>
      <c r="Q210" s="75"/>
      <c r="R210" s="75"/>
      <c r="S210" s="75"/>
      <c r="T210" s="75"/>
    </row>
    <row r="211" spans="2:23">
      <c r="C211" s="75"/>
      <c r="D211" s="75"/>
      <c r="E211" s="75"/>
      <c r="F211" s="75"/>
      <c r="G211" s="75"/>
      <c r="H211" s="75"/>
      <c r="I211" s="75"/>
      <c r="J211" s="75"/>
      <c r="K211" s="75"/>
      <c r="L211" s="75"/>
      <c r="M211" s="75"/>
      <c r="N211" s="75"/>
      <c r="O211" s="75"/>
      <c r="P211" s="75"/>
      <c r="Q211" s="75"/>
      <c r="R211" s="75"/>
      <c r="S211" s="75"/>
      <c r="T211" s="75"/>
      <c r="W211" s="197">
        <f>88+44</f>
        <v>132</v>
      </c>
    </row>
    <row r="212" spans="2:23">
      <c r="C212" s="75"/>
      <c r="D212" s="75"/>
      <c r="E212" s="75"/>
      <c r="F212" s="75"/>
      <c r="G212" s="75"/>
      <c r="H212" s="75"/>
      <c r="I212" s="75"/>
      <c r="J212" s="75"/>
      <c r="K212" s="75"/>
      <c r="L212" s="75"/>
      <c r="M212" s="75"/>
      <c r="N212" s="75"/>
      <c r="O212" s="75"/>
      <c r="P212" s="75"/>
      <c r="Q212" s="75"/>
      <c r="R212" s="75"/>
      <c r="S212" s="75"/>
      <c r="T212" s="75"/>
    </row>
    <row r="213" spans="2:23" ht="7.5" customHeight="1">
      <c r="C213" s="75"/>
      <c r="D213" s="75"/>
      <c r="E213" s="75"/>
      <c r="F213" s="75"/>
      <c r="G213" s="75"/>
      <c r="H213" s="75"/>
      <c r="I213" s="75"/>
      <c r="J213" s="75"/>
      <c r="K213" s="75"/>
      <c r="L213" s="75"/>
      <c r="M213" s="75"/>
      <c r="N213" s="75"/>
      <c r="O213" s="75"/>
      <c r="P213" s="75"/>
      <c r="Q213" s="75"/>
      <c r="R213" s="75"/>
      <c r="S213" s="75"/>
      <c r="T213" s="75"/>
    </row>
    <row r="214" spans="2:23">
      <c r="C214" s="75"/>
      <c r="D214" s="75"/>
      <c r="E214" s="75"/>
      <c r="F214" s="75"/>
      <c r="G214" s="75"/>
      <c r="H214" s="75"/>
      <c r="I214" s="75"/>
      <c r="J214" s="75"/>
      <c r="K214" s="75"/>
      <c r="L214" s="75"/>
      <c r="M214" s="75"/>
      <c r="N214" s="75"/>
      <c r="O214" s="75"/>
      <c r="P214" s="75"/>
      <c r="Q214" s="75"/>
      <c r="R214" s="75"/>
      <c r="S214" s="75"/>
      <c r="T214" s="75"/>
    </row>
    <row r="215" spans="2:23">
      <c r="C215" s="75"/>
      <c r="D215" s="75"/>
      <c r="E215" s="75"/>
      <c r="F215" s="75"/>
      <c r="G215" s="75"/>
      <c r="H215" s="75"/>
      <c r="I215" s="75"/>
      <c r="J215" s="75"/>
      <c r="K215" s="75"/>
      <c r="L215" s="75"/>
      <c r="M215" s="75"/>
      <c r="N215" s="75"/>
      <c r="O215" s="75"/>
      <c r="P215" s="75"/>
      <c r="Q215" s="75"/>
      <c r="R215" s="75"/>
      <c r="S215" s="75"/>
      <c r="T215" s="75"/>
    </row>
    <row r="216" spans="2:23">
      <c r="C216" s="75"/>
      <c r="D216" s="75"/>
      <c r="E216" s="75"/>
      <c r="F216" s="75"/>
      <c r="G216" s="75"/>
      <c r="H216" s="75"/>
      <c r="I216" s="230">
        <f>1+I176</f>
        <v>4</v>
      </c>
      <c r="J216" s="75"/>
      <c r="K216" s="75"/>
      <c r="L216" s="75"/>
      <c r="M216" s="75"/>
      <c r="N216" s="75"/>
      <c r="O216" s="75"/>
      <c r="P216" s="75"/>
      <c r="Q216" s="75"/>
      <c r="R216" s="75"/>
      <c r="S216" s="75"/>
      <c r="T216" s="75"/>
    </row>
    <row r="217" spans="2:23">
      <c r="C217" s="75"/>
      <c r="D217" s="75"/>
      <c r="E217" s="75"/>
      <c r="F217" s="75"/>
      <c r="G217" s="75"/>
      <c r="H217" s="75"/>
      <c r="I217" s="75"/>
      <c r="J217" s="75"/>
      <c r="K217" s="75"/>
      <c r="L217" s="75"/>
      <c r="M217" s="75"/>
      <c r="N217" s="75"/>
      <c r="O217" s="75"/>
      <c r="P217" s="75"/>
      <c r="Q217" s="75"/>
      <c r="R217" s="75"/>
      <c r="S217" s="75"/>
      <c r="T217" s="75"/>
    </row>
    <row r="218" spans="2:23" ht="9.75" customHeight="1">
      <c r="C218" s="56"/>
      <c r="D218" s="56"/>
      <c r="E218" s="56"/>
      <c r="F218" s="56"/>
      <c r="G218" s="56"/>
      <c r="H218" s="56"/>
      <c r="I218" s="56"/>
      <c r="J218" s="56"/>
      <c r="K218" s="56"/>
      <c r="L218" s="56"/>
      <c r="M218" s="56"/>
      <c r="N218" s="56"/>
      <c r="O218" s="56"/>
      <c r="P218" s="56"/>
      <c r="Q218" s="56"/>
      <c r="R218" s="56"/>
      <c r="S218" s="56"/>
      <c r="T218" s="56"/>
    </row>
    <row r="219" spans="2:23" s="231" customFormat="1" ht="9.75" customHeight="1">
      <c r="C219" s="56"/>
      <c r="D219" s="56"/>
      <c r="E219" s="56"/>
      <c r="F219" s="56"/>
      <c r="G219" s="56"/>
      <c r="H219" s="56"/>
      <c r="I219" s="56"/>
      <c r="J219" s="56"/>
      <c r="K219" s="56"/>
      <c r="L219" s="56"/>
      <c r="M219" s="56"/>
      <c r="N219" s="56"/>
      <c r="O219" s="56"/>
      <c r="P219" s="56"/>
      <c r="Q219" s="56"/>
      <c r="R219" s="56"/>
      <c r="S219" s="56"/>
      <c r="T219" s="56"/>
    </row>
    <row r="220" spans="2:23" s="231" customFormat="1" ht="23.4">
      <c r="C220" s="200" t="s">
        <v>263</v>
      </c>
      <c r="D220" s="202" t="s">
        <v>509</v>
      </c>
      <c r="E220" s="202"/>
      <c r="F220" s="202"/>
      <c r="G220" s="202"/>
      <c r="H220" s="202"/>
      <c r="I220" s="200"/>
      <c r="J220" s="200"/>
      <c r="K220" s="200"/>
      <c r="L220" s="200"/>
      <c r="M220" s="200"/>
      <c r="N220" s="200"/>
      <c r="O220" s="200"/>
      <c r="P220" s="200"/>
      <c r="Q220" s="200"/>
      <c r="R220" s="200"/>
      <c r="S220" s="200"/>
      <c r="T220" s="200"/>
    </row>
    <row r="221" spans="2:23" s="231" customFormat="1" ht="5.4" customHeight="1"/>
    <row r="222" spans="2:23" s="231" customFormat="1" ht="5.4" customHeight="1">
      <c r="B222" s="203"/>
      <c r="C222" s="203"/>
      <c r="D222" s="203"/>
      <c r="E222" s="203"/>
      <c r="F222" s="203"/>
      <c r="G222" s="203"/>
      <c r="H222" s="203"/>
    </row>
    <row r="223" spans="2:23" s="231" customFormat="1" ht="17.25" customHeight="1">
      <c r="D223" s="934"/>
      <c r="E223" s="934"/>
      <c r="F223" s="934"/>
      <c r="G223" s="934"/>
      <c r="H223" s="934"/>
      <c r="I223" s="934"/>
      <c r="J223" s="934"/>
      <c r="K223" s="934"/>
      <c r="L223" s="934"/>
      <c r="M223" s="934"/>
      <c r="N223" s="934"/>
    </row>
    <row r="224" spans="2:23" s="231" customFormat="1">
      <c r="C224" s="75"/>
      <c r="O224" s="75"/>
      <c r="P224" s="75"/>
      <c r="Q224" s="75"/>
      <c r="R224" s="75"/>
      <c r="S224" s="75"/>
      <c r="T224" s="75"/>
    </row>
    <row r="225" spans="3:20" s="231" customFormat="1" ht="20.25" customHeight="1">
      <c r="C225" s="75"/>
      <c r="D225" s="231" t="s">
        <v>293</v>
      </c>
      <c r="I225" s="75"/>
      <c r="J225" s="75"/>
      <c r="K225" s="75"/>
      <c r="L225" s="75"/>
      <c r="M225" s="75"/>
      <c r="N225" s="75"/>
      <c r="O225" s="75"/>
      <c r="P225" s="75"/>
      <c r="Q225" s="75"/>
      <c r="R225" s="75"/>
      <c r="S225" s="75"/>
      <c r="T225" s="75"/>
    </row>
    <row r="226" spans="3:20" s="231" customFormat="1">
      <c r="C226" s="75"/>
      <c r="D226" s="231" t="s">
        <v>299</v>
      </c>
      <c r="I226" s="75"/>
      <c r="J226" s="75"/>
      <c r="K226" s="75"/>
      <c r="L226" s="75"/>
      <c r="M226" s="75"/>
      <c r="N226" s="75"/>
      <c r="O226" s="75"/>
      <c r="P226" s="75"/>
      <c r="Q226" s="75"/>
      <c r="R226" s="75"/>
      <c r="S226" s="75"/>
      <c r="T226" s="75"/>
    </row>
    <row r="227" spans="3:20" s="231" customFormat="1">
      <c r="C227" s="75"/>
      <c r="I227" s="75"/>
      <c r="J227" s="75"/>
      <c r="K227" s="75"/>
      <c r="L227" s="75"/>
      <c r="M227" s="75"/>
      <c r="N227" s="75"/>
      <c r="O227" s="75"/>
      <c r="P227" s="75"/>
      <c r="Q227" s="75"/>
      <c r="R227" s="75"/>
      <c r="S227" s="75"/>
      <c r="T227" s="75"/>
    </row>
    <row r="228" spans="3:20" s="231" customFormat="1">
      <c r="C228" s="75"/>
      <c r="I228" s="75"/>
      <c r="J228" s="75"/>
      <c r="K228" s="75"/>
      <c r="L228" s="75"/>
      <c r="M228" s="75"/>
      <c r="N228" s="75"/>
      <c r="O228" s="75"/>
      <c r="P228" s="75"/>
      <c r="Q228" s="75"/>
      <c r="R228" s="75"/>
      <c r="S228" s="75"/>
      <c r="T228" s="75"/>
    </row>
    <row r="229" spans="3:20" s="231" customFormat="1">
      <c r="C229" s="75"/>
      <c r="I229" s="75"/>
      <c r="J229" s="75"/>
      <c r="K229" s="75"/>
      <c r="L229" s="75"/>
      <c r="M229" s="75"/>
      <c r="N229" s="75"/>
      <c r="O229" s="75"/>
      <c r="P229" s="75"/>
      <c r="Q229" s="75"/>
      <c r="R229" s="75"/>
      <c r="S229" s="75"/>
      <c r="T229" s="75"/>
    </row>
    <row r="230" spans="3:20" s="231" customFormat="1">
      <c r="C230" s="75"/>
      <c r="I230" s="75"/>
      <c r="J230" s="75"/>
      <c r="K230" s="75"/>
      <c r="L230" s="75"/>
      <c r="M230" s="75"/>
      <c r="N230" s="75"/>
      <c r="O230" s="75"/>
      <c r="P230" s="75"/>
      <c r="Q230" s="75"/>
      <c r="R230" s="75"/>
      <c r="S230" s="75"/>
      <c r="T230" s="75"/>
    </row>
    <row r="231" spans="3:20" s="231" customFormat="1">
      <c r="C231" s="75"/>
      <c r="I231" s="75"/>
      <c r="J231" s="75"/>
      <c r="K231" s="75"/>
      <c r="L231" s="75"/>
      <c r="M231" s="75"/>
      <c r="N231" s="75"/>
      <c r="O231" s="75"/>
      <c r="P231" s="75"/>
      <c r="Q231" s="75"/>
      <c r="R231" s="75"/>
      <c r="S231" s="75"/>
      <c r="T231" s="75"/>
    </row>
    <row r="232" spans="3:20" s="231" customFormat="1">
      <c r="C232" s="75"/>
      <c r="I232" s="75"/>
      <c r="J232" s="75"/>
      <c r="K232" s="75"/>
      <c r="L232" s="75"/>
      <c r="M232" s="75"/>
      <c r="N232" s="75"/>
      <c r="O232" s="75"/>
      <c r="P232" s="75"/>
      <c r="Q232" s="75"/>
      <c r="R232" s="75"/>
      <c r="S232" s="75"/>
      <c r="T232" s="75"/>
    </row>
    <row r="233" spans="3:20" s="231" customFormat="1">
      <c r="C233" s="75"/>
      <c r="I233" s="75"/>
      <c r="J233" s="75"/>
      <c r="K233" s="75"/>
      <c r="L233" s="75"/>
      <c r="M233" s="75"/>
      <c r="N233" s="75"/>
      <c r="O233" s="75"/>
      <c r="P233" s="75"/>
      <c r="Q233" s="75"/>
      <c r="R233" s="75"/>
      <c r="S233" s="75"/>
      <c r="T233" s="75"/>
    </row>
    <row r="234" spans="3:20" s="231" customFormat="1">
      <c r="C234" s="75"/>
      <c r="I234" s="75"/>
      <c r="J234" s="75"/>
      <c r="K234" s="75"/>
      <c r="L234" s="75"/>
      <c r="M234" s="75"/>
      <c r="N234" s="75"/>
      <c r="O234" s="75"/>
      <c r="P234" s="75"/>
      <c r="Q234" s="75"/>
      <c r="R234" s="75"/>
      <c r="S234" s="75"/>
      <c r="T234" s="75"/>
    </row>
    <row r="235" spans="3:20" s="231" customFormat="1">
      <c r="C235" s="75"/>
      <c r="I235" s="75"/>
      <c r="J235" s="75"/>
      <c r="K235" s="75"/>
      <c r="L235" s="75"/>
      <c r="M235" s="75"/>
      <c r="N235" s="75"/>
      <c r="O235" s="75"/>
      <c r="P235" s="75"/>
      <c r="Q235" s="75"/>
      <c r="R235" s="75"/>
      <c r="S235" s="75"/>
      <c r="T235" s="75"/>
    </row>
    <row r="236" spans="3:20" s="231" customFormat="1">
      <c r="C236" s="75"/>
      <c r="D236" s="75"/>
      <c r="E236" s="75"/>
      <c r="F236" s="75"/>
      <c r="G236" s="75"/>
      <c r="H236" s="75"/>
      <c r="I236" s="75"/>
      <c r="J236" s="75"/>
      <c r="K236" s="75"/>
      <c r="L236" s="75"/>
      <c r="M236" s="75"/>
      <c r="N236" s="75"/>
      <c r="O236" s="75"/>
      <c r="P236" s="75"/>
      <c r="Q236" s="75"/>
      <c r="R236" s="75"/>
      <c r="S236" s="75"/>
      <c r="T236" s="75"/>
    </row>
    <row r="237" spans="3:20" s="231" customFormat="1">
      <c r="C237" s="75"/>
      <c r="D237" s="75"/>
      <c r="E237" s="75"/>
      <c r="F237" s="75"/>
      <c r="G237" s="75"/>
      <c r="H237" s="75"/>
      <c r="I237" s="75"/>
      <c r="J237" s="75"/>
      <c r="K237" s="75"/>
      <c r="L237" s="75"/>
      <c r="M237" s="75"/>
      <c r="N237" s="75"/>
      <c r="O237" s="75"/>
      <c r="P237" s="75"/>
      <c r="Q237" s="75"/>
      <c r="R237" s="75"/>
      <c r="S237" s="75"/>
      <c r="T237" s="75"/>
    </row>
    <row r="238" spans="3:20" s="231" customFormat="1">
      <c r="C238" s="75"/>
      <c r="D238" s="75"/>
      <c r="E238" s="75"/>
      <c r="F238" s="75"/>
      <c r="G238" s="75"/>
      <c r="H238" s="75"/>
      <c r="I238" s="75"/>
      <c r="J238" s="75"/>
      <c r="K238" s="75"/>
      <c r="L238" s="75"/>
      <c r="M238" s="75"/>
      <c r="N238" s="75"/>
      <c r="O238" s="75"/>
      <c r="P238" s="75"/>
      <c r="Q238" s="75"/>
      <c r="R238" s="75"/>
      <c r="S238" s="75"/>
      <c r="T238" s="75"/>
    </row>
    <row r="239" spans="3:20" s="231" customFormat="1">
      <c r="C239" s="75"/>
      <c r="D239" s="75"/>
      <c r="E239" s="75"/>
      <c r="F239" s="75"/>
      <c r="G239" s="75"/>
      <c r="H239" s="75"/>
      <c r="I239" s="204"/>
      <c r="J239" s="205"/>
      <c r="K239" s="75"/>
      <c r="L239" s="204"/>
      <c r="M239" s="75"/>
      <c r="N239" s="75"/>
      <c r="O239" s="75"/>
      <c r="P239" s="75"/>
      <c r="Q239" s="75"/>
      <c r="R239" s="75"/>
      <c r="S239" s="75"/>
      <c r="T239" s="75"/>
    </row>
    <row r="240" spans="3:20" s="231" customFormat="1">
      <c r="C240" s="75"/>
      <c r="D240" s="75"/>
      <c r="E240" s="75"/>
      <c r="F240" s="75"/>
      <c r="G240" s="75"/>
      <c r="H240" s="75"/>
      <c r="I240" s="204"/>
      <c r="J240" s="205"/>
      <c r="K240" s="75"/>
      <c r="L240" s="204"/>
      <c r="M240" s="75"/>
      <c r="N240" s="75"/>
      <c r="O240" s="75"/>
      <c r="P240" s="75"/>
      <c r="Q240" s="75"/>
      <c r="R240" s="75"/>
      <c r="S240" s="75"/>
      <c r="T240" s="75"/>
    </row>
    <row r="241" spans="3:23" s="231" customFormat="1">
      <c r="C241" s="75"/>
      <c r="D241" s="75"/>
      <c r="E241" s="75"/>
      <c r="F241" s="75"/>
      <c r="G241" s="75"/>
      <c r="H241" s="75"/>
      <c r="J241" s="205"/>
      <c r="K241" s="75"/>
      <c r="L241" s="204"/>
      <c r="M241" s="75"/>
      <c r="N241" s="75"/>
      <c r="O241" s="75"/>
      <c r="P241" s="75"/>
      <c r="Q241" s="75"/>
      <c r="R241" s="75"/>
      <c r="S241" s="75"/>
      <c r="T241" s="75"/>
    </row>
    <row r="242" spans="3:23" s="231" customFormat="1">
      <c r="C242" s="75"/>
      <c r="D242" s="75"/>
      <c r="E242" s="75"/>
      <c r="F242" s="75"/>
      <c r="G242" s="75"/>
      <c r="H242" s="75"/>
      <c r="I242" s="206"/>
      <c r="J242" s="205"/>
      <c r="K242" s="75"/>
      <c r="L242" s="204"/>
      <c r="M242" s="75"/>
      <c r="N242" s="75"/>
      <c r="O242" s="206"/>
      <c r="P242" s="75"/>
      <c r="Q242" s="75"/>
      <c r="R242" s="75"/>
      <c r="S242" s="75"/>
      <c r="T242" s="75"/>
    </row>
    <row r="243" spans="3:23" s="231" customFormat="1">
      <c r="C243" s="75"/>
      <c r="D243" s="75"/>
      <c r="E243" s="75"/>
      <c r="F243" s="75"/>
      <c r="G243" s="75"/>
      <c r="H243" s="75"/>
      <c r="I243" s="204"/>
      <c r="J243" s="205"/>
      <c r="K243" s="75"/>
      <c r="L243" s="204"/>
      <c r="M243" s="75"/>
      <c r="N243" s="75"/>
      <c r="O243" s="75"/>
      <c r="P243" s="75"/>
      <c r="Q243" s="75"/>
      <c r="R243" s="75"/>
      <c r="S243" s="75"/>
      <c r="T243" s="75"/>
    </row>
    <row r="244" spans="3:23" s="231" customFormat="1">
      <c r="C244" s="75"/>
      <c r="D244" s="75"/>
      <c r="E244" s="75"/>
      <c r="F244" s="75"/>
      <c r="G244" s="75"/>
      <c r="H244" s="75"/>
      <c r="I244" s="204"/>
      <c r="J244" s="205"/>
      <c r="K244" s="75"/>
      <c r="L244" s="204"/>
      <c r="M244" s="75"/>
      <c r="N244" s="75"/>
      <c r="O244" s="75"/>
      <c r="P244" s="75"/>
      <c r="Q244" s="75"/>
      <c r="R244" s="75"/>
      <c r="S244" s="75"/>
      <c r="T244" s="75"/>
    </row>
    <row r="245" spans="3:23" s="231" customFormat="1">
      <c r="C245" s="75"/>
      <c r="D245" s="75"/>
      <c r="E245" s="75"/>
      <c r="F245" s="75"/>
      <c r="G245" s="75"/>
      <c r="H245" s="75"/>
      <c r="I245" s="204"/>
      <c r="J245" s="205"/>
      <c r="K245" s="75"/>
      <c r="L245" s="204"/>
      <c r="M245" s="75"/>
      <c r="N245" s="75"/>
      <c r="O245" s="75"/>
      <c r="P245" s="75"/>
      <c r="Q245" s="75"/>
      <c r="R245" s="75"/>
      <c r="S245" s="75"/>
      <c r="T245" s="75"/>
    </row>
    <row r="246" spans="3:23" s="231" customFormat="1">
      <c r="C246" s="75"/>
      <c r="D246" s="75"/>
      <c r="E246" s="75"/>
      <c r="F246" s="75"/>
      <c r="G246" s="75"/>
      <c r="H246" s="75"/>
      <c r="I246" s="204"/>
      <c r="J246" s="205"/>
      <c r="K246" s="75"/>
      <c r="L246" s="204"/>
      <c r="M246" s="75"/>
      <c r="N246" s="75"/>
      <c r="O246" s="75"/>
      <c r="P246" s="75"/>
      <c r="Q246" s="75"/>
      <c r="R246" s="75"/>
      <c r="S246" s="75"/>
      <c r="T246" s="75"/>
    </row>
    <row r="247" spans="3:23" s="231" customFormat="1">
      <c r="C247" s="75"/>
      <c r="D247" s="75"/>
      <c r="E247" s="75"/>
      <c r="F247" s="75"/>
      <c r="G247" s="75"/>
      <c r="H247" s="75"/>
      <c r="I247" s="75"/>
      <c r="J247" s="75"/>
      <c r="K247" s="75"/>
      <c r="L247" s="75"/>
      <c r="M247" s="75"/>
      <c r="N247" s="75"/>
      <c r="O247" s="75"/>
      <c r="P247" s="75"/>
      <c r="Q247" s="75"/>
      <c r="R247" s="75"/>
      <c r="S247" s="75"/>
      <c r="T247" s="75"/>
    </row>
    <row r="248" spans="3:23" s="231" customFormat="1">
      <c r="C248" s="75"/>
      <c r="D248" s="75"/>
      <c r="E248" s="75"/>
      <c r="F248" s="75"/>
      <c r="G248" s="75"/>
      <c r="H248" s="75"/>
      <c r="I248" s="75"/>
      <c r="J248" s="75"/>
      <c r="K248" s="75"/>
      <c r="L248" s="75"/>
      <c r="M248" s="75"/>
      <c r="N248" s="75"/>
      <c r="O248" s="75"/>
      <c r="P248" s="75"/>
      <c r="Q248" s="75"/>
      <c r="R248" s="75"/>
      <c r="S248" s="75"/>
      <c r="T248" s="75"/>
    </row>
    <row r="249" spans="3:23" s="231" customFormat="1">
      <c r="C249" s="75"/>
      <c r="D249" s="75"/>
      <c r="E249" s="75"/>
      <c r="F249" s="75"/>
      <c r="G249" s="75"/>
      <c r="H249" s="75"/>
      <c r="I249" s="75"/>
      <c r="J249" s="75"/>
      <c r="K249" s="75"/>
      <c r="L249" s="75"/>
      <c r="M249" s="75"/>
      <c r="N249" s="75"/>
      <c r="O249" s="75"/>
      <c r="P249" s="75"/>
      <c r="Q249" s="75"/>
      <c r="R249" s="75"/>
      <c r="S249" s="75"/>
      <c r="T249" s="75"/>
    </row>
    <row r="250" spans="3:23" s="231" customFormat="1">
      <c r="C250" s="75"/>
      <c r="D250" s="75"/>
      <c r="E250" s="75"/>
      <c r="F250" s="75"/>
      <c r="G250" s="75"/>
      <c r="H250" s="75"/>
      <c r="I250" s="75"/>
      <c r="J250" s="75"/>
      <c r="K250" s="75"/>
      <c r="L250" s="75"/>
      <c r="M250" s="75"/>
      <c r="N250" s="75"/>
      <c r="O250" s="75"/>
      <c r="P250" s="75"/>
      <c r="Q250" s="75"/>
      <c r="R250" s="75"/>
      <c r="S250" s="75"/>
      <c r="T250" s="75"/>
    </row>
    <row r="251" spans="3:23" s="231" customFormat="1">
      <c r="C251" s="75"/>
      <c r="D251" s="75"/>
      <c r="E251" s="75"/>
      <c r="F251" s="75"/>
      <c r="G251" s="75"/>
      <c r="H251" s="75"/>
      <c r="I251" s="75"/>
      <c r="J251" s="75"/>
      <c r="K251" s="75"/>
      <c r="L251" s="75"/>
      <c r="M251" s="75"/>
      <c r="N251" s="75"/>
      <c r="O251" s="75"/>
      <c r="P251" s="75"/>
      <c r="Q251" s="75"/>
      <c r="R251" s="75"/>
      <c r="S251" s="75"/>
      <c r="T251" s="75"/>
    </row>
    <row r="252" spans="3:23" s="231" customFormat="1">
      <c r="C252" s="75"/>
      <c r="D252" s="75"/>
      <c r="E252" s="75"/>
      <c r="F252" s="75"/>
      <c r="G252" s="75"/>
      <c r="H252" s="75"/>
      <c r="I252" s="75"/>
      <c r="J252" s="75"/>
      <c r="K252" s="75"/>
      <c r="L252" s="75"/>
      <c r="M252" s="75"/>
      <c r="N252" s="75"/>
      <c r="O252" s="75"/>
      <c r="P252" s="75"/>
      <c r="Q252" s="75"/>
      <c r="R252" s="75"/>
      <c r="S252" s="75"/>
      <c r="T252" s="75"/>
      <c r="W252" s="231">
        <f>88+44</f>
        <v>132</v>
      </c>
    </row>
    <row r="253" spans="3:23" s="231" customFormat="1">
      <c r="C253" s="75"/>
      <c r="D253" s="75"/>
      <c r="E253" s="75"/>
      <c r="F253" s="75"/>
      <c r="G253" s="75"/>
      <c r="H253" s="75"/>
      <c r="I253" s="75"/>
      <c r="J253" s="75"/>
      <c r="K253" s="75"/>
      <c r="L253" s="75"/>
      <c r="M253" s="75"/>
      <c r="N253" s="75"/>
      <c r="O253" s="75"/>
      <c r="P253" s="75"/>
      <c r="Q253" s="75"/>
      <c r="R253" s="75"/>
      <c r="S253" s="75"/>
      <c r="T253" s="75"/>
    </row>
    <row r="254" spans="3:23" s="231" customFormat="1" ht="7.5" customHeight="1">
      <c r="C254" s="75"/>
      <c r="D254" s="75"/>
      <c r="E254" s="75"/>
      <c r="F254" s="75"/>
      <c r="G254" s="75"/>
      <c r="H254" s="75"/>
      <c r="I254" s="75"/>
      <c r="J254" s="75"/>
      <c r="K254" s="75"/>
      <c r="L254" s="75"/>
      <c r="M254" s="75"/>
      <c r="N254" s="75"/>
      <c r="O254" s="75"/>
      <c r="P254" s="75"/>
      <c r="Q254" s="75"/>
      <c r="R254" s="75"/>
      <c r="S254" s="75"/>
      <c r="T254" s="75"/>
    </row>
    <row r="255" spans="3:23" s="231" customFormat="1">
      <c r="C255" s="75"/>
      <c r="D255" s="75"/>
      <c r="E255" s="75"/>
      <c r="F255" s="75"/>
      <c r="G255" s="75"/>
      <c r="H255" s="75"/>
      <c r="I255" s="75"/>
      <c r="J255" s="75"/>
      <c r="K255" s="75"/>
      <c r="L255" s="75"/>
      <c r="M255" s="75"/>
      <c r="N255" s="75"/>
      <c r="O255" s="75"/>
      <c r="P255" s="75"/>
      <c r="Q255" s="75"/>
      <c r="R255" s="75"/>
      <c r="S255" s="75"/>
      <c r="T255" s="75"/>
    </row>
    <row r="256" spans="3:23" s="231" customFormat="1">
      <c r="C256" s="75"/>
      <c r="D256" s="75"/>
      <c r="E256" s="75"/>
      <c r="F256" s="75"/>
      <c r="G256" s="75"/>
      <c r="H256" s="75"/>
      <c r="I256" s="75"/>
      <c r="J256" s="75"/>
      <c r="K256" s="75"/>
      <c r="L256" s="75"/>
      <c r="M256" s="75"/>
      <c r="N256" s="75"/>
      <c r="O256" s="75"/>
      <c r="P256" s="75"/>
      <c r="Q256" s="75"/>
      <c r="R256" s="75"/>
      <c r="S256" s="75"/>
      <c r="T256" s="75"/>
    </row>
    <row r="257" spans="2:20" s="231" customFormat="1">
      <c r="C257" s="75"/>
      <c r="D257" s="75"/>
      <c r="E257" s="75"/>
      <c r="F257" s="75"/>
      <c r="G257" s="75"/>
      <c r="H257" s="75"/>
      <c r="I257" s="230">
        <f>1+I216</f>
        <v>5</v>
      </c>
      <c r="J257" s="75"/>
      <c r="K257" s="75"/>
      <c r="L257" s="75"/>
      <c r="M257" s="75"/>
      <c r="N257" s="75"/>
      <c r="O257" s="75"/>
      <c r="P257" s="75"/>
      <c r="Q257" s="75"/>
      <c r="R257" s="75"/>
      <c r="S257" s="75"/>
      <c r="T257" s="75"/>
    </row>
    <row r="258" spans="2:20" s="870" customFormat="1">
      <c r="C258" s="75"/>
      <c r="D258" s="75"/>
      <c r="E258" s="75"/>
      <c r="F258" s="75"/>
      <c r="G258" s="75"/>
      <c r="H258" s="75"/>
      <c r="I258" s="230"/>
      <c r="J258" s="75"/>
      <c r="K258" s="75"/>
      <c r="L258" s="75"/>
      <c r="M258" s="75"/>
      <c r="N258" s="75"/>
      <c r="O258" s="75"/>
      <c r="P258" s="75"/>
      <c r="Q258" s="75"/>
      <c r="R258" s="75"/>
      <c r="S258" s="75"/>
      <c r="T258" s="75"/>
    </row>
    <row r="259" spans="2:20" s="870" customFormat="1" ht="13.95" customHeight="1">
      <c r="C259" s="75"/>
      <c r="D259" s="75"/>
      <c r="E259" s="75"/>
      <c r="F259" s="75"/>
      <c r="G259" s="75"/>
      <c r="H259" s="75"/>
      <c r="I259" s="230"/>
      <c r="J259" s="75"/>
      <c r="K259" s="75"/>
      <c r="L259" s="75"/>
      <c r="M259" s="75"/>
      <c r="N259" s="75"/>
      <c r="O259" s="75"/>
      <c r="P259" s="75"/>
      <c r="Q259" s="75"/>
      <c r="R259" s="75"/>
      <c r="S259" s="75"/>
      <c r="T259" s="75"/>
    </row>
    <row r="260" spans="2:20" s="870" customFormat="1" ht="13.95" customHeight="1">
      <c r="C260" s="75"/>
      <c r="D260" s="75"/>
      <c r="E260" s="75"/>
      <c r="F260" s="75"/>
      <c r="G260" s="75"/>
      <c r="H260" s="75"/>
      <c r="I260" s="230"/>
      <c r="J260" s="75"/>
      <c r="K260" s="75"/>
      <c r="L260" s="75"/>
      <c r="M260" s="75"/>
      <c r="N260" s="75"/>
      <c r="O260" s="75"/>
      <c r="P260" s="75"/>
      <c r="Q260" s="75"/>
      <c r="R260" s="75"/>
      <c r="S260" s="75"/>
      <c r="T260" s="75"/>
    </row>
    <row r="261" spans="2:20" s="870" customFormat="1" ht="27.6" customHeight="1">
      <c r="C261" s="75"/>
      <c r="D261" s="202"/>
      <c r="E261" s="75"/>
      <c r="F261" s="75"/>
      <c r="G261" s="75"/>
      <c r="H261" s="75"/>
      <c r="I261" s="230"/>
      <c r="J261" s="75"/>
      <c r="K261" s="75"/>
      <c r="L261" s="75"/>
      <c r="M261" s="75"/>
      <c r="N261" s="75"/>
      <c r="O261" s="75"/>
      <c r="P261" s="75"/>
      <c r="Q261" s="75"/>
      <c r="R261" s="75"/>
      <c r="S261" s="75"/>
      <c r="T261" s="75"/>
    </row>
    <row r="262" spans="2:20" s="870" customFormat="1" ht="7.2" customHeight="1">
      <c r="B262" s="203"/>
      <c r="C262" s="203"/>
      <c r="D262" s="203"/>
      <c r="E262" s="203"/>
      <c r="F262" s="203"/>
      <c r="G262" s="203"/>
      <c r="H262" s="203"/>
      <c r="I262" s="230"/>
      <c r="J262" s="75"/>
      <c r="K262" s="75"/>
      <c r="L262" s="75"/>
      <c r="M262" s="75"/>
      <c r="N262" s="75"/>
      <c r="O262" s="75"/>
      <c r="P262" s="75"/>
      <c r="Q262" s="75"/>
      <c r="R262" s="75"/>
      <c r="S262" s="75"/>
      <c r="T262" s="75"/>
    </row>
    <row r="263" spans="2:20" s="870" customFormat="1" ht="13.95" customHeight="1">
      <c r="C263" s="75"/>
      <c r="D263" s="75"/>
      <c r="E263" s="75"/>
      <c r="F263" s="75"/>
      <c r="G263" s="75"/>
      <c r="H263" s="75"/>
      <c r="I263" s="230"/>
      <c r="J263" s="75"/>
      <c r="K263" s="75"/>
      <c r="L263" s="75"/>
      <c r="M263" s="75"/>
      <c r="N263" s="75"/>
      <c r="O263" s="75"/>
      <c r="P263" s="75"/>
      <c r="Q263" s="75"/>
      <c r="R263" s="75"/>
      <c r="S263" s="75"/>
      <c r="T263" s="75"/>
    </row>
    <row r="264" spans="2:20" s="870" customFormat="1" ht="13.95" customHeight="1">
      <c r="C264" s="75"/>
      <c r="D264" s="75"/>
      <c r="E264" s="75"/>
      <c r="F264" s="75"/>
      <c r="G264" s="75"/>
      <c r="H264" s="75"/>
      <c r="I264" s="230"/>
      <c r="J264" s="75"/>
      <c r="K264" s="75"/>
      <c r="L264" s="75"/>
      <c r="M264" s="75"/>
      <c r="N264" s="75"/>
      <c r="O264" s="75"/>
      <c r="P264" s="75"/>
      <c r="Q264" s="75"/>
      <c r="R264" s="75"/>
      <c r="S264" s="75"/>
      <c r="T264" s="75"/>
    </row>
    <row r="265" spans="2:20" s="870" customFormat="1" ht="13.95" customHeight="1">
      <c r="C265" s="75"/>
      <c r="D265" s="75"/>
      <c r="E265" s="75"/>
      <c r="F265" s="75"/>
      <c r="G265" s="75"/>
      <c r="H265" s="75"/>
      <c r="I265" s="230"/>
      <c r="J265" s="75"/>
      <c r="K265" s="75"/>
      <c r="L265" s="75"/>
      <c r="M265" s="75"/>
      <c r="N265" s="75"/>
      <c r="O265" s="75"/>
      <c r="P265" s="75"/>
      <c r="Q265" s="75"/>
      <c r="R265" s="75"/>
      <c r="S265" s="75"/>
      <c r="T265" s="75"/>
    </row>
    <row r="266" spans="2:20" s="870" customFormat="1" ht="13.95" customHeight="1">
      <c r="C266" s="75"/>
      <c r="D266" s="75"/>
      <c r="E266" s="75"/>
      <c r="F266" s="75"/>
      <c r="G266" s="75"/>
      <c r="H266" s="75"/>
      <c r="I266" s="230"/>
      <c r="J266" s="75"/>
      <c r="K266" s="75"/>
      <c r="L266" s="75"/>
      <c r="M266" s="75"/>
      <c r="N266" s="75"/>
      <c r="O266" s="75"/>
      <c r="P266" s="75"/>
      <c r="Q266" s="75"/>
      <c r="R266" s="75"/>
      <c r="S266" s="75"/>
      <c r="T266" s="75"/>
    </row>
    <row r="267" spans="2:20" s="870" customFormat="1" ht="13.95" customHeight="1">
      <c r="C267" s="75"/>
      <c r="D267" s="75"/>
      <c r="E267" s="75"/>
      <c r="F267" s="75"/>
      <c r="G267" s="75"/>
      <c r="H267" s="75"/>
      <c r="I267" s="230"/>
      <c r="J267" s="75"/>
      <c r="K267" s="75"/>
      <c r="L267" s="75"/>
      <c r="M267" s="75"/>
      <c r="N267" s="75"/>
      <c r="O267" s="75"/>
      <c r="P267" s="75"/>
      <c r="Q267" s="75"/>
      <c r="R267" s="75"/>
      <c r="S267" s="75"/>
      <c r="T267" s="75"/>
    </row>
    <row r="268" spans="2:20" s="870" customFormat="1" ht="13.95" customHeight="1">
      <c r="C268" s="75"/>
      <c r="D268" s="75"/>
      <c r="E268" s="75"/>
      <c r="F268" s="75"/>
      <c r="G268" s="75"/>
      <c r="H268" s="75"/>
      <c r="I268" s="230"/>
      <c r="J268" s="75"/>
      <c r="K268" s="75"/>
      <c r="L268" s="75"/>
      <c r="M268" s="75"/>
      <c r="N268" s="75"/>
      <c r="O268" s="75"/>
      <c r="P268" s="75"/>
      <c r="Q268" s="75"/>
      <c r="R268" s="75"/>
      <c r="S268" s="75"/>
      <c r="T268" s="75"/>
    </row>
    <row r="269" spans="2:20" s="870" customFormat="1" ht="13.95" customHeight="1">
      <c r="C269" s="75"/>
      <c r="D269" s="75"/>
      <c r="E269" s="75"/>
      <c r="F269" s="75"/>
      <c r="G269" s="75"/>
      <c r="H269" s="75"/>
      <c r="I269" s="230"/>
      <c r="J269" s="75"/>
      <c r="K269" s="75"/>
      <c r="L269" s="75"/>
      <c r="M269" s="75"/>
      <c r="N269" s="75"/>
      <c r="O269" s="75"/>
      <c r="P269" s="75"/>
      <c r="Q269" s="75"/>
      <c r="R269" s="75"/>
      <c r="S269" s="75"/>
      <c r="T269" s="75"/>
    </row>
    <row r="270" spans="2:20" s="870" customFormat="1" ht="13.95" customHeight="1">
      <c r="C270" s="75"/>
      <c r="D270" s="75"/>
      <c r="E270" s="75"/>
      <c r="F270" s="75"/>
      <c r="G270" s="75"/>
      <c r="H270" s="75"/>
      <c r="I270" s="230"/>
      <c r="J270" s="75"/>
      <c r="K270" s="75"/>
      <c r="L270" s="75"/>
      <c r="M270" s="75"/>
      <c r="N270" s="75"/>
      <c r="O270" s="75"/>
      <c r="P270" s="75"/>
      <c r="Q270" s="75"/>
      <c r="R270" s="75"/>
      <c r="S270" s="75"/>
      <c r="T270" s="75"/>
    </row>
    <row r="271" spans="2:20" s="870" customFormat="1" ht="13.95" customHeight="1">
      <c r="C271" s="75"/>
      <c r="D271" s="75"/>
      <c r="E271" s="75"/>
      <c r="F271" s="75"/>
      <c r="G271" s="75"/>
      <c r="H271" s="75"/>
      <c r="I271" s="230"/>
      <c r="J271" s="75"/>
      <c r="K271" s="75"/>
      <c r="L271" s="75"/>
      <c r="M271" s="75"/>
      <c r="N271" s="75"/>
      <c r="O271" s="75"/>
      <c r="P271" s="75"/>
      <c r="Q271" s="75"/>
      <c r="R271" s="75"/>
      <c r="S271" s="75"/>
      <c r="T271" s="75"/>
    </row>
    <row r="272" spans="2:20" s="870" customFormat="1" ht="13.95" customHeight="1">
      <c r="C272" s="75"/>
      <c r="D272" s="75"/>
      <c r="E272" s="75"/>
      <c r="F272" s="75"/>
      <c r="G272" s="75"/>
      <c r="H272" s="75"/>
      <c r="I272" s="230"/>
      <c r="J272" s="75"/>
      <c r="K272" s="75"/>
      <c r="L272" s="75"/>
      <c r="M272" s="75"/>
      <c r="N272" s="75"/>
      <c r="O272" s="75"/>
      <c r="P272" s="75"/>
      <c r="Q272" s="75"/>
      <c r="R272" s="75"/>
      <c r="S272" s="75"/>
      <c r="T272" s="75"/>
    </row>
    <row r="273" spans="3:20" s="870" customFormat="1" ht="13.95" customHeight="1">
      <c r="C273" s="75"/>
      <c r="D273" s="75"/>
      <c r="E273" s="75"/>
      <c r="F273" s="75"/>
      <c r="G273" s="75"/>
      <c r="H273" s="75"/>
      <c r="I273" s="230"/>
      <c r="J273" s="75"/>
      <c r="K273" s="75"/>
      <c r="L273" s="75"/>
      <c r="M273" s="75"/>
      <c r="N273" s="75"/>
      <c r="O273" s="75"/>
      <c r="P273" s="75"/>
      <c r="Q273" s="75"/>
      <c r="R273" s="75"/>
      <c r="S273" s="75"/>
      <c r="T273" s="75"/>
    </row>
    <row r="274" spans="3:20" s="870" customFormat="1" ht="13.95" customHeight="1">
      <c r="C274" s="75"/>
      <c r="D274" s="75"/>
      <c r="E274" s="75"/>
      <c r="F274" s="75"/>
      <c r="G274" s="75"/>
      <c r="H274" s="75"/>
      <c r="I274" s="230"/>
      <c r="J274" s="75"/>
      <c r="K274" s="75"/>
      <c r="L274" s="75"/>
      <c r="M274" s="75"/>
      <c r="N274" s="75"/>
      <c r="O274" s="75"/>
      <c r="P274" s="75"/>
      <c r="Q274" s="75"/>
      <c r="R274" s="75"/>
      <c r="S274" s="75"/>
      <c r="T274" s="75"/>
    </row>
    <row r="275" spans="3:20" s="870" customFormat="1" ht="13.95" customHeight="1">
      <c r="C275" s="75"/>
      <c r="D275" s="75"/>
      <c r="E275" s="75"/>
      <c r="F275" s="75"/>
      <c r="G275" s="75"/>
      <c r="H275" s="75"/>
      <c r="I275" s="230"/>
      <c r="J275" s="75"/>
      <c r="K275" s="75"/>
      <c r="L275" s="75"/>
      <c r="M275" s="75"/>
      <c r="N275" s="75"/>
      <c r="O275" s="75"/>
      <c r="P275" s="75"/>
      <c r="Q275" s="75"/>
      <c r="R275" s="75"/>
      <c r="S275" s="75"/>
      <c r="T275" s="75"/>
    </row>
    <row r="276" spans="3:20" s="870" customFormat="1" ht="13.95" customHeight="1">
      <c r="C276" s="75"/>
      <c r="D276" s="75"/>
      <c r="E276" s="75"/>
      <c r="F276" s="75"/>
      <c r="G276" s="75"/>
      <c r="H276" s="75"/>
      <c r="I276" s="230"/>
      <c r="J276" s="75"/>
      <c r="K276" s="75"/>
      <c r="L276" s="75"/>
      <c r="M276" s="75"/>
      <c r="N276" s="75"/>
      <c r="O276" s="75"/>
      <c r="P276" s="75"/>
      <c r="Q276" s="75"/>
      <c r="R276" s="75"/>
      <c r="S276" s="75"/>
      <c r="T276" s="75"/>
    </row>
    <row r="277" spans="3:20" s="870" customFormat="1" ht="13.95" customHeight="1">
      <c r="C277" s="75"/>
      <c r="D277" s="75"/>
      <c r="E277" s="75"/>
      <c r="F277" s="75"/>
      <c r="G277" s="75"/>
      <c r="H277" s="75"/>
      <c r="I277" s="230"/>
      <c r="J277" s="75"/>
      <c r="K277" s="75"/>
      <c r="L277" s="75"/>
      <c r="M277" s="75"/>
      <c r="N277" s="75"/>
      <c r="O277" s="75"/>
      <c r="P277" s="75"/>
      <c r="Q277" s="75"/>
      <c r="R277" s="75"/>
      <c r="S277" s="75"/>
      <c r="T277" s="75"/>
    </row>
    <row r="278" spans="3:20" s="870" customFormat="1" ht="13.95" customHeight="1">
      <c r="C278" s="75"/>
      <c r="D278" s="75"/>
      <c r="E278" s="75"/>
      <c r="F278" s="75"/>
      <c r="G278" s="75"/>
      <c r="H278" s="75"/>
      <c r="I278" s="230"/>
      <c r="J278" s="75"/>
      <c r="K278" s="75"/>
      <c r="L278" s="75"/>
      <c r="M278" s="75"/>
      <c r="N278" s="75"/>
      <c r="O278" s="75"/>
      <c r="P278" s="75"/>
      <c r="Q278" s="75"/>
      <c r="R278" s="75"/>
      <c r="S278" s="75"/>
      <c r="T278" s="75"/>
    </row>
    <row r="279" spans="3:20" s="870" customFormat="1" ht="13.95" customHeight="1">
      <c r="C279" s="75"/>
      <c r="D279" s="75"/>
      <c r="E279" s="75"/>
      <c r="F279" s="75"/>
      <c r="G279" s="75"/>
      <c r="H279" s="75"/>
      <c r="I279" s="230"/>
      <c r="J279" s="75"/>
      <c r="K279" s="75"/>
      <c r="L279" s="75"/>
      <c r="M279" s="75"/>
      <c r="N279" s="75"/>
      <c r="O279" s="75"/>
      <c r="P279" s="75"/>
      <c r="Q279" s="75"/>
      <c r="R279" s="75"/>
      <c r="S279" s="75"/>
      <c r="T279" s="75"/>
    </row>
    <row r="280" spans="3:20" s="870" customFormat="1" ht="13.95" customHeight="1">
      <c r="C280" s="75"/>
      <c r="D280" s="75"/>
      <c r="E280" s="75"/>
      <c r="F280" s="75"/>
      <c r="G280" s="75"/>
      <c r="H280" s="75"/>
      <c r="I280" s="230"/>
      <c r="J280" s="75"/>
      <c r="K280" s="75"/>
      <c r="L280" s="75"/>
      <c r="M280" s="75"/>
      <c r="N280" s="75"/>
      <c r="O280" s="75"/>
      <c r="P280" s="75"/>
      <c r="Q280" s="75"/>
      <c r="R280" s="75"/>
      <c r="S280" s="75"/>
      <c r="T280" s="75"/>
    </row>
    <row r="281" spans="3:20" s="870" customFormat="1" ht="13.95" customHeight="1">
      <c r="C281" s="75"/>
      <c r="D281" s="75"/>
      <c r="E281" s="75"/>
      <c r="F281" s="75"/>
      <c r="G281" s="75"/>
      <c r="H281" s="75"/>
      <c r="I281" s="230"/>
      <c r="J281" s="75"/>
      <c r="K281" s="75"/>
      <c r="L281" s="75"/>
      <c r="M281" s="75"/>
      <c r="N281" s="75"/>
      <c r="O281" s="75"/>
      <c r="P281" s="75"/>
      <c r="Q281" s="75"/>
      <c r="R281" s="75"/>
      <c r="S281" s="75"/>
      <c r="T281" s="75"/>
    </row>
    <row r="282" spans="3:20" s="870" customFormat="1" ht="13.95" customHeight="1">
      <c r="C282" s="75"/>
      <c r="D282" s="75"/>
      <c r="E282" s="75"/>
      <c r="F282" s="75"/>
      <c r="G282" s="75"/>
      <c r="H282" s="75"/>
      <c r="I282" s="230"/>
      <c r="J282" s="75"/>
      <c r="K282" s="75"/>
      <c r="L282" s="75"/>
      <c r="M282" s="75"/>
      <c r="N282" s="75"/>
      <c r="O282" s="75"/>
      <c r="P282" s="75"/>
      <c r="Q282" s="75"/>
      <c r="R282" s="75"/>
      <c r="S282" s="75"/>
      <c r="T282" s="75"/>
    </row>
    <row r="283" spans="3:20" s="870" customFormat="1" ht="13.95" customHeight="1">
      <c r="C283" s="75"/>
      <c r="D283" s="75"/>
      <c r="E283" s="75"/>
      <c r="F283" s="75"/>
      <c r="G283" s="75"/>
      <c r="H283" s="75"/>
      <c r="I283" s="230"/>
      <c r="J283" s="75"/>
      <c r="K283" s="75"/>
      <c r="L283" s="75"/>
      <c r="M283" s="75"/>
      <c r="N283" s="75"/>
      <c r="O283" s="75"/>
      <c r="P283" s="75"/>
      <c r="Q283" s="75"/>
      <c r="R283" s="75"/>
      <c r="S283" s="75"/>
      <c r="T283" s="75"/>
    </row>
    <row r="284" spans="3:20" s="870" customFormat="1" ht="13.95" customHeight="1">
      <c r="C284" s="75"/>
      <c r="D284" s="75"/>
      <c r="E284" s="75"/>
      <c r="F284" s="75"/>
      <c r="G284" s="75"/>
      <c r="H284" s="75"/>
      <c r="I284" s="230"/>
      <c r="J284" s="75"/>
      <c r="K284" s="75"/>
      <c r="L284" s="75"/>
      <c r="M284" s="75"/>
      <c r="N284" s="75"/>
      <c r="O284" s="75"/>
      <c r="P284" s="75"/>
      <c r="Q284" s="75"/>
      <c r="R284" s="75"/>
      <c r="S284" s="75"/>
      <c r="T284" s="75"/>
    </row>
    <row r="285" spans="3:20" s="870" customFormat="1" ht="13.95" customHeight="1">
      <c r="C285" s="75"/>
      <c r="D285" s="75"/>
      <c r="E285" s="75"/>
      <c r="F285" s="75"/>
      <c r="G285" s="75"/>
      <c r="H285" s="75"/>
      <c r="I285" s="230"/>
      <c r="J285" s="75"/>
      <c r="K285" s="75"/>
      <c r="L285" s="75"/>
      <c r="M285" s="75"/>
      <c r="N285" s="75"/>
      <c r="O285" s="75"/>
      <c r="P285" s="75"/>
      <c r="Q285" s="75"/>
      <c r="R285" s="75"/>
      <c r="S285" s="75"/>
      <c r="T285" s="75"/>
    </row>
    <row r="286" spans="3:20" s="870" customFormat="1" ht="13.95" customHeight="1">
      <c r="C286" s="75"/>
      <c r="D286" s="75"/>
      <c r="E286" s="75"/>
      <c r="F286" s="75"/>
      <c r="G286" s="75"/>
      <c r="H286" s="75"/>
      <c r="I286" s="230"/>
      <c r="J286" s="75"/>
      <c r="K286" s="75"/>
      <c r="L286" s="75"/>
      <c r="M286" s="75"/>
      <c r="N286" s="75"/>
      <c r="O286" s="75"/>
      <c r="P286" s="75"/>
      <c r="Q286" s="75"/>
      <c r="R286" s="75"/>
      <c r="S286" s="75"/>
      <c r="T286" s="75"/>
    </row>
    <row r="287" spans="3:20" s="870" customFormat="1" ht="13.95" customHeight="1">
      <c r="C287" s="75"/>
      <c r="D287" s="75"/>
      <c r="E287" s="75"/>
      <c r="F287" s="75"/>
      <c r="G287" s="75"/>
      <c r="H287" s="75"/>
      <c r="I287" s="230"/>
      <c r="J287" s="75"/>
      <c r="K287" s="75"/>
      <c r="L287" s="75"/>
      <c r="M287" s="75"/>
      <c r="N287" s="75"/>
      <c r="O287" s="75"/>
      <c r="P287" s="75"/>
      <c r="Q287" s="75"/>
      <c r="R287" s="75"/>
      <c r="S287" s="75"/>
      <c r="T287" s="75"/>
    </row>
    <row r="288" spans="3:20" s="870" customFormat="1" ht="13.95" customHeight="1">
      <c r="C288" s="75"/>
      <c r="D288" s="75"/>
      <c r="E288" s="75"/>
      <c r="F288" s="75"/>
      <c r="G288" s="75"/>
      <c r="H288" s="75"/>
      <c r="I288" s="230"/>
      <c r="J288" s="75"/>
      <c r="K288" s="75"/>
      <c r="L288" s="75"/>
      <c r="M288" s="75"/>
      <c r="N288" s="75"/>
      <c r="O288" s="75"/>
      <c r="P288" s="75"/>
      <c r="Q288" s="75"/>
      <c r="R288" s="75"/>
      <c r="S288" s="75"/>
      <c r="T288" s="75"/>
    </row>
    <row r="289" spans="2:20" s="870" customFormat="1" ht="13.95" customHeight="1">
      <c r="C289" s="75"/>
      <c r="D289" s="75"/>
      <c r="E289" s="75"/>
      <c r="F289" s="75"/>
      <c r="G289" s="75"/>
      <c r="H289" s="75"/>
      <c r="I289" s="230"/>
      <c r="J289" s="75"/>
      <c r="K289" s="75"/>
      <c r="L289" s="75"/>
      <c r="M289" s="75"/>
      <c r="N289" s="75"/>
      <c r="O289" s="75"/>
      <c r="P289" s="75"/>
      <c r="Q289" s="75"/>
      <c r="R289" s="75"/>
      <c r="S289" s="75"/>
      <c r="T289" s="75"/>
    </row>
    <row r="290" spans="2:20" s="870" customFormat="1" ht="13.95" customHeight="1">
      <c r="C290" s="75"/>
      <c r="D290" s="75"/>
      <c r="E290" s="75"/>
      <c r="F290" s="75"/>
      <c r="G290" s="75"/>
      <c r="H290" s="75"/>
      <c r="I290" s="230"/>
      <c r="J290" s="75"/>
      <c r="K290" s="75"/>
      <c r="L290" s="75"/>
      <c r="M290" s="75"/>
      <c r="N290" s="75"/>
      <c r="O290" s="75"/>
      <c r="P290" s="75"/>
      <c r="Q290" s="75"/>
      <c r="R290" s="75"/>
      <c r="S290" s="75"/>
      <c r="T290" s="75"/>
    </row>
    <row r="291" spans="2:20" s="870" customFormat="1" ht="13.95" customHeight="1">
      <c r="C291" s="75"/>
      <c r="D291" s="75"/>
      <c r="E291" s="75"/>
      <c r="F291" s="75"/>
      <c r="G291" s="75"/>
      <c r="H291" s="75"/>
      <c r="I291" s="230"/>
      <c r="J291" s="75"/>
      <c r="K291" s="75"/>
      <c r="L291" s="75"/>
      <c r="M291" s="75"/>
      <c r="N291" s="75"/>
      <c r="O291" s="75"/>
      <c r="P291" s="75"/>
      <c r="Q291" s="75"/>
      <c r="R291" s="75"/>
      <c r="S291" s="75"/>
      <c r="T291" s="75"/>
    </row>
    <row r="292" spans="2:20" s="870" customFormat="1" ht="13.95" customHeight="1">
      <c r="C292" s="75"/>
      <c r="D292" s="75"/>
      <c r="E292" s="75"/>
      <c r="F292" s="75"/>
      <c r="G292" s="75"/>
      <c r="H292" s="75"/>
      <c r="I292" s="230"/>
      <c r="J292" s="75"/>
      <c r="K292" s="75"/>
      <c r="L292" s="75"/>
      <c r="M292" s="75"/>
      <c r="N292" s="75"/>
      <c r="O292" s="75"/>
      <c r="P292" s="75"/>
      <c r="Q292" s="75"/>
      <c r="R292" s="75"/>
      <c r="S292" s="75"/>
      <c r="T292" s="75"/>
    </row>
    <row r="293" spans="2:20" s="870" customFormat="1" ht="13.95" customHeight="1">
      <c r="C293" s="75"/>
      <c r="D293" s="75"/>
      <c r="E293" s="75"/>
      <c r="F293" s="75"/>
      <c r="G293" s="75"/>
      <c r="H293" s="75"/>
      <c r="I293" s="230"/>
      <c r="J293" s="75"/>
      <c r="K293" s="75"/>
      <c r="L293" s="75"/>
      <c r="M293" s="75"/>
      <c r="N293" s="75"/>
      <c r="O293" s="75"/>
      <c r="P293" s="75"/>
      <c r="Q293" s="75"/>
      <c r="R293" s="75"/>
      <c r="S293" s="75"/>
      <c r="T293" s="75"/>
    </row>
    <row r="294" spans="2:20" s="231" customFormat="1" ht="22.2" customHeight="1">
      <c r="C294" s="75"/>
      <c r="D294" s="75"/>
      <c r="E294" s="75"/>
      <c r="F294" s="75"/>
      <c r="G294" s="75"/>
      <c r="H294" s="75"/>
      <c r="I294" s="75"/>
      <c r="J294" s="75"/>
      <c r="K294" s="75"/>
      <c r="L294" s="75"/>
      <c r="M294" s="75"/>
      <c r="N294" s="75"/>
      <c r="O294" s="75"/>
      <c r="P294" s="75"/>
      <c r="Q294" s="75"/>
      <c r="R294" s="75"/>
      <c r="S294" s="75"/>
      <c r="T294" s="75"/>
    </row>
    <row r="295" spans="2:20" s="231" customFormat="1" ht="9.75" customHeight="1">
      <c r="C295" s="56"/>
      <c r="D295" s="56"/>
      <c r="E295" s="56"/>
      <c r="F295" s="56"/>
      <c r="G295" s="56"/>
      <c r="H295" s="56"/>
      <c r="I295" s="56"/>
      <c r="J295" s="56"/>
      <c r="K295" s="56"/>
      <c r="L295" s="56"/>
      <c r="M295" s="56"/>
      <c r="N295" s="56"/>
      <c r="O295" s="56"/>
      <c r="P295" s="56"/>
      <c r="Q295" s="56"/>
      <c r="R295" s="56"/>
      <c r="S295" s="56"/>
      <c r="T295" s="56"/>
    </row>
    <row r="296" spans="2:20" s="231" customFormat="1" ht="23.4">
      <c r="C296" s="200" t="s">
        <v>263</v>
      </c>
      <c r="D296" s="202" t="s">
        <v>510</v>
      </c>
      <c r="E296" s="202"/>
      <c r="F296" s="202"/>
      <c r="G296" s="202"/>
      <c r="H296" s="202"/>
      <c r="I296" s="200"/>
      <c r="J296" s="200"/>
      <c r="K296" s="200"/>
      <c r="L296" s="200"/>
      <c r="M296" s="200"/>
      <c r="N296" s="200"/>
      <c r="O296" s="200"/>
      <c r="P296" s="200"/>
      <c r="Q296" s="200"/>
      <c r="R296" s="200"/>
      <c r="S296" s="200"/>
      <c r="T296" s="200"/>
    </row>
    <row r="297" spans="2:20" s="231" customFormat="1" ht="5.4" customHeight="1"/>
    <row r="298" spans="2:20" s="231" customFormat="1" ht="5.4" customHeight="1">
      <c r="B298" s="203"/>
      <c r="C298" s="203"/>
      <c r="D298" s="203"/>
      <c r="E298" s="203"/>
      <c r="F298" s="203"/>
      <c r="G298" s="203"/>
      <c r="H298" s="203"/>
    </row>
    <row r="299" spans="2:20" s="231" customFormat="1" ht="17.25" customHeight="1">
      <c r="D299" s="934"/>
      <c r="E299" s="934"/>
      <c r="F299" s="934"/>
      <c r="G299" s="934"/>
      <c r="H299" s="934"/>
      <c r="I299" s="934"/>
      <c r="J299" s="934"/>
      <c r="K299" s="934"/>
      <c r="L299" s="934"/>
      <c r="M299" s="934"/>
      <c r="N299" s="934"/>
    </row>
    <row r="300" spans="2:20" s="231" customFormat="1">
      <c r="C300" s="75"/>
      <c r="O300" s="75"/>
      <c r="P300" s="75"/>
      <c r="Q300" s="75"/>
      <c r="R300" s="75"/>
      <c r="S300" s="75"/>
      <c r="T300" s="75"/>
    </row>
    <row r="301" spans="2:20" s="231" customFormat="1" ht="20.25" customHeight="1">
      <c r="C301" s="75"/>
      <c r="I301" s="75"/>
      <c r="J301" s="75"/>
      <c r="K301" s="75"/>
      <c r="L301" s="75"/>
      <c r="M301" s="75"/>
      <c r="N301" s="75"/>
      <c r="O301" s="75"/>
      <c r="P301" s="75"/>
      <c r="Q301" s="75"/>
      <c r="R301" s="75"/>
      <c r="S301" s="75"/>
      <c r="T301" s="75"/>
    </row>
    <row r="302" spans="2:20" s="231" customFormat="1">
      <c r="C302" s="75"/>
      <c r="I302" s="75"/>
      <c r="J302" s="75"/>
      <c r="K302" s="75"/>
      <c r="L302" s="75"/>
      <c r="M302" s="75"/>
      <c r="N302" s="75"/>
      <c r="O302" s="75"/>
      <c r="P302" s="75"/>
      <c r="Q302" s="75"/>
      <c r="R302" s="75"/>
      <c r="S302" s="75"/>
      <c r="T302" s="75"/>
    </row>
    <row r="303" spans="2:20" s="231" customFormat="1">
      <c r="C303" s="75"/>
      <c r="I303" s="75"/>
      <c r="J303" s="75"/>
      <c r="K303" s="75"/>
      <c r="L303" s="75"/>
      <c r="M303" s="75"/>
      <c r="N303" s="75"/>
      <c r="O303" s="75"/>
      <c r="P303" s="75"/>
      <c r="Q303" s="75"/>
      <c r="R303" s="75"/>
      <c r="S303" s="75"/>
      <c r="T303" s="75"/>
    </row>
    <row r="304" spans="2:20" s="231" customFormat="1">
      <c r="C304" s="75"/>
      <c r="I304" s="75"/>
      <c r="J304" s="75"/>
      <c r="K304" s="75"/>
      <c r="L304" s="75"/>
      <c r="M304" s="75"/>
      <c r="N304" s="75"/>
      <c r="O304" s="75"/>
      <c r="P304" s="75"/>
      <c r="Q304" s="75"/>
      <c r="R304" s="75"/>
      <c r="S304" s="75"/>
      <c r="T304" s="75"/>
    </row>
    <row r="305" spans="3:20" s="231" customFormat="1">
      <c r="C305" s="75"/>
      <c r="I305" s="75"/>
      <c r="J305" s="75"/>
      <c r="K305" s="75"/>
      <c r="L305" s="75"/>
      <c r="M305" s="75"/>
      <c r="N305" s="75"/>
      <c r="O305" s="75"/>
      <c r="P305" s="75"/>
      <c r="Q305" s="75"/>
      <c r="R305" s="75"/>
      <c r="S305" s="75"/>
      <c r="T305" s="75"/>
    </row>
    <row r="306" spans="3:20" s="231" customFormat="1">
      <c r="C306" s="75"/>
      <c r="I306" s="75"/>
      <c r="J306" s="75"/>
      <c r="K306" s="75"/>
      <c r="L306" s="75"/>
      <c r="M306" s="75"/>
      <c r="N306" s="75"/>
      <c r="O306" s="75"/>
      <c r="P306" s="75"/>
      <c r="Q306" s="75"/>
      <c r="R306" s="75"/>
      <c r="S306" s="75"/>
      <c r="T306" s="75"/>
    </row>
    <row r="307" spans="3:20" s="231" customFormat="1">
      <c r="C307" s="75"/>
      <c r="I307" s="75"/>
      <c r="J307" s="75"/>
      <c r="K307" s="75"/>
      <c r="L307" s="75"/>
      <c r="M307" s="75"/>
      <c r="N307" s="75"/>
      <c r="O307" s="75"/>
      <c r="P307" s="75"/>
      <c r="Q307" s="75"/>
      <c r="R307" s="75"/>
      <c r="S307" s="75"/>
      <c r="T307" s="75"/>
    </row>
    <row r="308" spans="3:20" s="231" customFormat="1">
      <c r="C308" s="75"/>
      <c r="I308" s="75"/>
      <c r="J308" s="75"/>
      <c r="K308" s="75"/>
      <c r="L308" s="75"/>
      <c r="M308" s="75"/>
      <c r="N308" s="75"/>
      <c r="O308" s="75"/>
      <c r="P308" s="75"/>
      <c r="Q308" s="75"/>
      <c r="R308" s="75"/>
      <c r="S308" s="75"/>
      <c r="T308" s="75"/>
    </row>
    <row r="309" spans="3:20" s="231" customFormat="1">
      <c r="C309" s="75"/>
      <c r="I309" s="75"/>
      <c r="J309" s="75"/>
      <c r="K309" s="75"/>
      <c r="L309" s="75"/>
      <c r="M309" s="75"/>
      <c r="N309" s="75"/>
      <c r="O309" s="75"/>
      <c r="P309" s="75"/>
      <c r="Q309" s="75"/>
      <c r="R309" s="75"/>
      <c r="S309" s="75"/>
      <c r="T309" s="75"/>
    </row>
    <row r="310" spans="3:20" s="231" customFormat="1">
      <c r="C310" s="75"/>
      <c r="I310" s="75"/>
      <c r="J310" s="75"/>
      <c r="K310" s="75"/>
      <c r="L310" s="75"/>
      <c r="M310" s="75"/>
      <c r="N310" s="75"/>
      <c r="O310" s="75"/>
      <c r="P310" s="75"/>
      <c r="Q310" s="75"/>
      <c r="R310" s="75"/>
      <c r="S310" s="75"/>
      <c r="T310" s="75"/>
    </row>
    <row r="311" spans="3:20" s="231" customFormat="1">
      <c r="C311" s="75"/>
      <c r="I311" s="75"/>
      <c r="J311" s="75"/>
      <c r="K311" s="75"/>
      <c r="L311" s="75"/>
      <c r="M311" s="75"/>
      <c r="N311" s="75"/>
      <c r="O311" s="75"/>
      <c r="P311" s="75"/>
      <c r="Q311" s="75"/>
      <c r="R311" s="75"/>
      <c r="S311" s="75"/>
      <c r="T311" s="75"/>
    </row>
    <row r="312" spans="3:20" s="231" customFormat="1">
      <c r="C312" s="75"/>
      <c r="D312" s="75"/>
      <c r="E312" s="75"/>
      <c r="F312" s="75"/>
      <c r="G312" s="75"/>
      <c r="H312" s="75"/>
      <c r="I312" s="75"/>
      <c r="J312" s="75"/>
      <c r="K312" s="75"/>
      <c r="L312" s="75"/>
      <c r="M312" s="75"/>
      <c r="N312" s="75"/>
      <c r="O312" s="75"/>
      <c r="P312" s="75"/>
      <c r="Q312" s="75"/>
      <c r="R312" s="75"/>
      <c r="S312" s="75"/>
      <c r="T312" s="75"/>
    </row>
    <row r="313" spans="3:20" s="231" customFormat="1">
      <c r="C313" s="75"/>
      <c r="D313" s="75"/>
      <c r="E313" s="75"/>
      <c r="F313" s="75"/>
      <c r="G313" s="75"/>
      <c r="H313" s="75"/>
      <c r="I313" s="75"/>
      <c r="J313" s="75"/>
      <c r="K313" s="75"/>
      <c r="L313" s="75"/>
      <c r="M313" s="75"/>
      <c r="N313" s="75"/>
      <c r="O313" s="75"/>
      <c r="P313" s="75"/>
      <c r="Q313" s="75"/>
      <c r="R313" s="75"/>
      <c r="S313" s="75"/>
      <c r="T313" s="75"/>
    </row>
    <row r="314" spans="3:20" s="231" customFormat="1">
      <c r="C314" s="75"/>
      <c r="D314" s="75"/>
      <c r="E314" s="75"/>
      <c r="F314" s="75"/>
      <c r="G314" s="75"/>
      <c r="H314" s="75"/>
      <c r="I314" s="75"/>
      <c r="J314" s="75"/>
      <c r="K314" s="75"/>
      <c r="L314" s="75"/>
      <c r="M314" s="75"/>
      <c r="N314" s="75"/>
      <c r="O314" s="75"/>
      <c r="P314" s="75"/>
      <c r="Q314" s="75"/>
      <c r="R314" s="75"/>
      <c r="S314" s="75"/>
      <c r="T314" s="75"/>
    </row>
    <row r="315" spans="3:20" s="231" customFormat="1">
      <c r="C315" s="75"/>
      <c r="D315" s="75"/>
      <c r="E315" s="75"/>
      <c r="F315" s="75"/>
      <c r="G315" s="75"/>
      <c r="H315" s="75"/>
      <c r="I315" s="204"/>
      <c r="J315" s="205"/>
      <c r="K315" s="75"/>
      <c r="L315" s="204"/>
      <c r="M315" s="75"/>
      <c r="N315" s="75"/>
      <c r="O315" s="75"/>
      <c r="P315" s="75"/>
      <c r="Q315" s="75"/>
      <c r="R315" s="75"/>
      <c r="S315" s="75"/>
      <c r="T315" s="75"/>
    </row>
    <row r="316" spans="3:20" s="231" customFormat="1">
      <c r="C316" s="75"/>
      <c r="D316" s="75"/>
      <c r="E316" s="75"/>
      <c r="F316" s="75"/>
      <c r="G316" s="75"/>
      <c r="H316" s="75"/>
      <c r="I316" s="204"/>
      <c r="J316" s="205"/>
      <c r="K316" s="75"/>
      <c r="L316" s="204"/>
      <c r="M316" s="75"/>
      <c r="N316" s="75"/>
      <c r="O316" s="75"/>
      <c r="P316" s="75"/>
      <c r="Q316" s="75"/>
      <c r="R316" s="75"/>
      <c r="S316" s="75"/>
      <c r="T316" s="75"/>
    </row>
    <row r="317" spans="3:20" s="231" customFormat="1">
      <c r="C317" s="75"/>
      <c r="D317" s="75"/>
      <c r="E317" s="75"/>
      <c r="F317" s="75"/>
      <c r="G317" s="75"/>
      <c r="H317" s="75"/>
      <c r="J317" s="205"/>
      <c r="K317" s="75"/>
      <c r="L317" s="204"/>
      <c r="M317" s="75"/>
      <c r="N317" s="75"/>
      <c r="O317" s="75"/>
      <c r="P317" s="75"/>
      <c r="Q317" s="75"/>
      <c r="R317" s="75"/>
      <c r="S317" s="75"/>
      <c r="T317" s="75"/>
    </row>
    <row r="318" spans="3:20" s="231" customFormat="1">
      <c r="C318" s="75"/>
      <c r="D318" s="75"/>
      <c r="E318" s="75"/>
      <c r="F318" s="75"/>
      <c r="G318" s="75"/>
      <c r="H318" s="75"/>
      <c r="I318" s="206"/>
      <c r="J318" s="205"/>
      <c r="K318" s="75"/>
      <c r="L318" s="204"/>
      <c r="M318" s="75"/>
      <c r="N318" s="75"/>
      <c r="O318" s="206"/>
      <c r="P318" s="75"/>
      <c r="Q318" s="75"/>
      <c r="R318" s="75"/>
      <c r="S318" s="75"/>
      <c r="T318" s="75"/>
    </row>
    <row r="319" spans="3:20" s="231" customFormat="1">
      <c r="C319" s="75"/>
      <c r="D319" s="75"/>
      <c r="E319" s="75"/>
      <c r="F319" s="75"/>
      <c r="G319" s="75"/>
      <c r="H319" s="75"/>
      <c r="I319" s="204"/>
      <c r="J319" s="205"/>
      <c r="K319" s="75"/>
      <c r="L319" s="204"/>
      <c r="M319" s="75"/>
      <c r="N319" s="75"/>
      <c r="O319" s="75"/>
      <c r="P319" s="75"/>
      <c r="Q319" s="75"/>
      <c r="R319" s="75"/>
      <c r="S319" s="75"/>
      <c r="T319" s="75"/>
    </row>
    <row r="320" spans="3:20" s="231" customFormat="1">
      <c r="C320" s="75"/>
      <c r="D320" s="75"/>
      <c r="E320" s="75"/>
      <c r="F320" s="75"/>
      <c r="G320" s="75"/>
      <c r="H320" s="75"/>
      <c r="I320" s="204"/>
      <c r="J320" s="205"/>
      <c r="K320" s="75"/>
      <c r="L320" s="204"/>
      <c r="M320" s="75"/>
      <c r="N320" s="75"/>
      <c r="O320" s="75"/>
      <c r="P320" s="75"/>
      <c r="Q320" s="75"/>
      <c r="R320" s="75"/>
      <c r="S320" s="75"/>
      <c r="T320" s="75"/>
    </row>
    <row r="321" spans="3:23" s="231" customFormat="1">
      <c r="C321" s="75"/>
      <c r="D321" s="75"/>
      <c r="E321" s="75"/>
      <c r="F321" s="75"/>
      <c r="G321" s="75"/>
      <c r="H321" s="75"/>
      <c r="I321" s="204"/>
      <c r="J321" s="205"/>
      <c r="K321" s="75"/>
      <c r="L321" s="204"/>
      <c r="M321" s="75"/>
      <c r="N321" s="75"/>
      <c r="O321" s="75"/>
      <c r="P321" s="75"/>
      <c r="Q321" s="75"/>
      <c r="R321" s="75"/>
      <c r="S321" s="75"/>
      <c r="T321" s="75"/>
    </row>
    <row r="322" spans="3:23" s="231" customFormat="1">
      <c r="C322" s="75"/>
      <c r="D322" s="75"/>
      <c r="E322" s="75"/>
      <c r="F322" s="75"/>
      <c r="G322" s="75"/>
      <c r="H322" s="75"/>
      <c r="I322" s="204"/>
      <c r="J322" s="205"/>
      <c r="K322" s="75"/>
      <c r="L322" s="204"/>
      <c r="M322" s="75"/>
      <c r="N322" s="75"/>
      <c r="O322" s="75"/>
      <c r="P322" s="75"/>
      <c r="Q322" s="75"/>
      <c r="R322" s="75"/>
      <c r="S322" s="75"/>
      <c r="T322" s="75"/>
    </row>
    <row r="323" spans="3:23" s="231" customFormat="1">
      <c r="C323" s="75"/>
      <c r="D323" s="75"/>
      <c r="E323" s="75"/>
      <c r="F323" s="75"/>
      <c r="G323" s="75"/>
      <c r="H323" s="75"/>
      <c r="I323" s="75"/>
      <c r="J323" s="75"/>
      <c r="K323" s="75"/>
      <c r="L323" s="75"/>
      <c r="M323" s="75"/>
      <c r="N323" s="75"/>
      <c r="O323" s="75"/>
      <c r="P323" s="75"/>
      <c r="Q323" s="75"/>
      <c r="R323" s="75"/>
      <c r="S323" s="75"/>
      <c r="T323" s="75"/>
    </row>
    <row r="324" spans="3:23" s="231" customFormat="1">
      <c r="C324" s="75"/>
      <c r="D324" s="75"/>
      <c r="E324" s="75"/>
      <c r="F324" s="75"/>
      <c r="G324" s="75"/>
      <c r="H324" s="75"/>
      <c r="I324" s="75"/>
      <c r="J324" s="75"/>
      <c r="K324" s="75"/>
      <c r="L324" s="75"/>
      <c r="M324" s="75"/>
      <c r="N324" s="75"/>
      <c r="O324" s="75"/>
      <c r="P324" s="75"/>
      <c r="Q324" s="75"/>
      <c r="R324" s="75"/>
      <c r="S324" s="75"/>
      <c r="T324" s="75"/>
    </row>
    <row r="325" spans="3:23" s="231" customFormat="1">
      <c r="C325" s="75"/>
      <c r="D325" s="75"/>
      <c r="E325" s="75"/>
      <c r="F325" s="75"/>
      <c r="G325" s="75"/>
      <c r="H325" s="75"/>
      <c r="I325" s="75"/>
      <c r="J325" s="75"/>
      <c r="K325" s="75"/>
      <c r="L325" s="75"/>
      <c r="M325" s="75"/>
      <c r="N325" s="75"/>
      <c r="O325" s="75"/>
      <c r="P325" s="75"/>
      <c r="Q325" s="75"/>
      <c r="R325" s="75"/>
      <c r="S325" s="75"/>
      <c r="T325" s="75"/>
    </row>
    <row r="326" spans="3:23" s="231" customFormat="1">
      <c r="C326" s="75"/>
      <c r="D326" s="75"/>
      <c r="E326" s="75"/>
      <c r="F326" s="75"/>
      <c r="G326" s="75"/>
      <c r="H326" s="75"/>
      <c r="I326" s="75"/>
      <c r="J326" s="75"/>
      <c r="K326" s="75"/>
      <c r="L326" s="75"/>
      <c r="M326" s="75"/>
      <c r="N326" s="75"/>
      <c r="O326" s="75"/>
      <c r="P326" s="75"/>
      <c r="Q326" s="75"/>
      <c r="R326" s="75"/>
      <c r="S326" s="75"/>
      <c r="T326" s="75"/>
    </row>
    <row r="327" spans="3:23" s="231" customFormat="1">
      <c r="C327" s="75"/>
      <c r="D327" s="75"/>
      <c r="E327" s="75"/>
      <c r="F327" s="75"/>
      <c r="G327" s="75"/>
      <c r="H327" s="75"/>
      <c r="I327" s="75"/>
      <c r="J327" s="75"/>
      <c r="K327" s="75"/>
      <c r="L327" s="75"/>
      <c r="M327" s="75"/>
      <c r="N327" s="75"/>
      <c r="O327" s="75"/>
      <c r="P327" s="75"/>
      <c r="Q327" s="75"/>
      <c r="R327" s="75"/>
      <c r="S327" s="75"/>
      <c r="T327" s="75"/>
    </row>
    <row r="328" spans="3:23" s="231" customFormat="1">
      <c r="C328" s="75"/>
      <c r="D328" s="75"/>
      <c r="E328" s="75"/>
      <c r="F328" s="75"/>
      <c r="G328" s="75"/>
      <c r="H328" s="75"/>
      <c r="I328" s="75"/>
      <c r="J328" s="75"/>
      <c r="K328" s="75"/>
      <c r="L328" s="75"/>
      <c r="M328" s="75"/>
      <c r="N328" s="75"/>
      <c r="O328" s="75"/>
      <c r="P328" s="75"/>
      <c r="Q328" s="75"/>
      <c r="R328" s="75"/>
      <c r="S328" s="75"/>
      <c r="T328" s="75"/>
      <c r="W328" s="231">
        <f>88+44</f>
        <v>132</v>
      </c>
    </row>
    <row r="329" spans="3:23" s="231" customFormat="1">
      <c r="C329" s="75"/>
      <c r="D329" s="75"/>
      <c r="E329" s="75"/>
      <c r="F329" s="75"/>
      <c r="G329" s="75"/>
      <c r="H329" s="75"/>
      <c r="I329" s="75"/>
      <c r="J329" s="75"/>
      <c r="K329" s="75"/>
      <c r="L329" s="75"/>
      <c r="M329" s="75"/>
      <c r="N329" s="75"/>
      <c r="O329" s="75"/>
      <c r="P329" s="75"/>
      <c r="Q329" s="75"/>
      <c r="R329" s="75"/>
      <c r="S329" s="75"/>
      <c r="T329" s="75"/>
    </row>
    <row r="330" spans="3:23" s="231" customFormat="1" ht="7.5" customHeight="1">
      <c r="C330" s="75"/>
      <c r="D330" s="75"/>
      <c r="E330" s="75"/>
      <c r="F330" s="75"/>
      <c r="G330" s="75"/>
      <c r="H330" s="75"/>
      <c r="I330" s="75"/>
      <c r="J330" s="75"/>
      <c r="K330" s="75"/>
      <c r="L330" s="75"/>
      <c r="M330" s="75"/>
      <c r="N330" s="75"/>
      <c r="O330" s="75"/>
      <c r="P330" s="75"/>
      <c r="Q330" s="75"/>
      <c r="R330" s="75"/>
      <c r="S330" s="75"/>
      <c r="T330" s="75"/>
    </row>
    <row r="331" spans="3:23" s="231" customFormat="1">
      <c r="C331" s="75"/>
      <c r="D331" s="75"/>
      <c r="E331" s="75"/>
      <c r="F331" s="75"/>
      <c r="G331" s="75"/>
      <c r="H331" s="75"/>
      <c r="I331" s="75"/>
      <c r="J331" s="75"/>
      <c r="K331" s="75"/>
      <c r="L331" s="75"/>
      <c r="M331" s="75"/>
      <c r="N331" s="75"/>
      <c r="O331" s="75"/>
      <c r="P331" s="75"/>
      <c r="Q331" s="75"/>
      <c r="R331" s="75"/>
      <c r="S331" s="75"/>
      <c r="T331" s="75"/>
    </row>
    <row r="332" spans="3:23" s="231" customFormat="1">
      <c r="C332" s="75"/>
      <c r="D332" s="75"/>
      <c r="E332" s="75"/>
      <c r="F332" s="75"/>
      <c r="G332" s="75"/>
      <c r="H332" s="75"/>
      <c r="I332" s="75"/>
      <c r="J332" s="75"/>
      <c r="K332" s="75"/>
      <c r="L332" s="75"/>
      <c r="M332" s="75"/>
      <c r="N332" s="75"/>
      <c r="O332" s="75"/>
      <c r="P332" s="75"/>
      <c r="Q332" s="75"/>
      <c r="R332" s="75"/>
      <c r="S332" s="75"/>
      <c r="T332" s="75"/>
    </row>
    <row r="333" spans="3:23" s="231" customFormat="1">
      <c r="C333" s="75"/>
      <c r="D333" s="75"/>
      <c r="E333" s="75"/>
      <c r="F333" s="75"/>
      <c r="G333" s="75"/>
      <c r="H333" s="75"/>
      <c r="I333" s="230">
        <f>1+I257</f>
        <v>6</v>
      </c>
      <c r="J333" s="75"/>
      <c r="K333" s="75"/>
      <c r="L333" s="75"/>
      <c r="M333" s="75"/>
      <c r="N333" s="75"/>
      <c r="O333" s="75"/>
      <c r="P333" s="75"/>
      <c r="Q333" s="75"/>
      <c r="R333" s="75"/>
      <c r="S333" s="75"/>
      <c r="T333" s="75"/>
    </row>
    <row r="334" spans="3:23" s="231" customFormat="1">
      <c r="C334" s="75"/>
      <c r="D334" s="75"/>
      <c r="E334" s="75"/>
      <c r="F334" s="75"/>
      <c r="G334" s="75"/>
      <c r="H334" s="75"/>
      <c r="I334" s="75"/>
      <c r="J334" s="75"/>
      <c r="K334" s="75"/>
      <c r="L334" s="75"/>
      <c r="M334" s="75"/>
      <c r="N334" s="75"/>
      <c r="O334" s="75"/>
      <c r="P334" s="75"/>
      <c r="Q334" s="75"/>
      <c r="R334" s="75"/>
      <c r="S334" s="75"/>
      <c r="T334" s="75"/>
    </row>
    <row r="335" spans="3:23" s="231" customFormat="1" ht="9.75" customHeight="1">
      <c r="C335" s="56"/>
      <c r="D335" s="56"/>
      <c r="E335" s="56"/>
      <c r="F335" s="56"/>
      <c r="G335" s="56"/>
      <c r="H335" s="56"/>
      <c r="I335" s="56"/>
      <c r="J335" s="56"/>
      <c r="K335" s="56"/>
      <c r="L335" s="56"/>
      <c r="M335" s="56"/>
      <c r="N335" s="56"/>
      <c r="O335" s="56"/>
      <c r="P335" s="56"/>
      <c r="Q335" s="56"/>
      <c r="R335" s="56"/>
      <c r="S335" s="56"/>
      <c r="T335" s="56"/>
    </row>
    <row r="336" spans="3:23" s="231" customFormat="1" ht="23.4">
      <c r="C336" s="200" t="s">
        <v>263</v>
      </c>
      <c r="D336" s="202" t="s">
        <v>396</v>
      </c>
      <c r="E336" s="202"/>
      <c r="F336" s="202"/>
      <c r="G336" s="202"/>
      <c r="H336" s="202"/>
      <c r="I336" s="200"/>
      <c r="J336" s="200"/>
      <c r="K336" s="200"/>
      <c r="L336" s="200"/>
      <c r="M336" s="200"/>
      <c r="N336" s="200"/>
      <c r="O336" s="200"/>
      <c r="P336" s="200"/>
      <c r="Q336" s="200"/>
      <c r="R336" s="200"/>
      <c r="S336" s="200"/>
      <c r="T336" s="200"/>
    </row>
    <row r="337" spans="2:20" s="231" customFormat="1" ht="5.4" customHeight="1"/>
    <row r="338" spans="2:20" s="231" customFormat="1" ht="5.4" customHeight="1">
      <c r="B338" s="203"/>
      <c r="C338" s="203"/>
      <c r="D338" s="203"/>
      <c r="E338" s="203"/>
      <c r="F338" s="203"/>
      <c r="G338" s="203"/>
      <c r="H338" s="203"/>
    </row>
    <row r="339" spans="2:20" s="231" customFormat="1" ht="17.25" customHeight="1">
      <c r="D339" s="934"/>
      <c r="E339" s="934"/>
      <c r="F339" s="934"/>
      <c r="G339" s="934"/>
      <c r="H339" s="934"/>
      <c r="I339" s="934"/>
      <c r="J339" s="934"/>
      <c r="K339" s="934"/>
      <c r="L339" s="934"/>
      <c r="M339" s="934"/>
      <c r="N339" s="934"/>
    </row>
    <row r="340" spans="2:20" s="231" customFormat="1">
      <c r="C340" s="75"/>
      <c r="O340" s="75"/>
      <c r="P340" s="75"/>
      <c r="Q340" s="75"/>
      <c r="R340" s="75"/>
      <c r="S340" s="75"/>
      <c r="T340" s="75"/>
    </row>
    <row r="341" spans="2:20" s="231" customFormat="1" ht="20.25" customHeight="1">
      <c r="C341" s="75"/>
      <c r="I341" s="75"/>
      <c r="J341" s="75"/>
      <c r="K341" s="75"/>
      <c r="L341" s="75"/>
      <c r="M341" s="75"/>
      <c r="N341" s="75"/>
      <c r="O341" s="75"/>
      <c r="P341" s="75"/>
      <c r="Q341" s="75"/>
      <c r="R341" s="75"/>
      <c r="S341" s="75"/>
      <c r="T341" s="75"/>
    </row>
    <row r="342" spans="2:20" s="231" customFormat="1">
      <c r="C342" s="75"/>
      <c r="I342" s="75"/>
      <c r="J342" s="75"/>
      <c r="K342" s="75"/>
      <c r="L342" s="75"/>
      <c r="M342" s="75"/>
      <c r="N342" s="75"/>
      <c r="O342" s="75"/>
      <c r="P342" s="75"/>
      <c r="Q342" s="75"/>
      <c r="R342" s="75"/>
      <c r="S342" s="75"/>
      <c r="T342" s="75"/>
    </row>
    <row r="343" spans="2:20" s="231" customFormat="1">
      <c r="C343" s="75"/>
      <c r="I343" s="75"/>
      <c r="J343" s="75"/>
      <c r="K343" s="75"/>
      <c r="L343" s="75"/>
      <c r="M343" s="75"/>
      <c r="N343" s="75"/>
      <c r="O343" s="75"/>
      <c r="P343" s="75"/>
      <c r="Q343" s="75"/>
      <c r="R343" s="75"/>
      <c r="S343" s="75"/>
      <c r="T343" s="75"/>
    </row>
    <row r="344" spans="2:20" s="231" customFormat="1">
      <c r="C344" s="75"/>
      <c r="I344" s="75"/>
      <c r="J344" s="75"/>
      <c r="K344" s="75"/>
      <c r="L344" s="75"/>
      <c r="M344" s="75"/>
      <c r="N344" s="75"/>
      <c r="O344" s="75"/>
      <c r="P344" s="75"/>
      <c r="Q344" s="75"/>
      <c r="R344" s="75"/>
      <c r="S344" s="75"/>
      <c r="T344" s="75"/>
    </row>
    <row r="345" spans="2:20" s="231" customFormat="1" ht="12.75" customHeight="1">
      <c r="C345" s="75"/>
      <c r="I345" s="75"/>
      <c r="J345" s="75"/>
      <c r="K345" s="75"/>
      <c r="L345" s="75"/>
      <c r="M345" s="75"/>
      <c r="N345" s="75"/>
      <c r="O345" s="75"/>
      <c r="P345" s="75"/>
      <c r="Q345" s="75"/>
      <c r="R345" s="75"/>
      <c r="S345" s="75"/>
      <c r="T345" s="75"/>
    </row>
    <row r="346" spans="2:20" s="231" customFormat="1">
      <c r="C346" s="75"/>
      <c r="I346" s="75"/>
      <c r="J346" s="75"/>
      <c r="K346" s="75"/>
      <c r="L346" s="75"/>
      <c r="M346" s="75"/>
      <c r="N346" s="75"/>
      <c r="O346" s="75"/>
      <c r="P346" s="75"/>
      <c r="Q346" s="75"/>
      <c r="R346" s="75"/>
      <c r="S346" s="75"/>
      <c r="T346" s="75"/>
    </row>
    <row r="347" spans="2:20" s="231" customFormat="1">
      <c r="C347" s="75"/>
      <c r="I347" s="75"/>
      <c r="J347" s="75"/>
      <c r="K347" s="75"/>
      <c r="L347" s="75"/>
      <c r="M347" s="75"/>
      <c r="N347" s="75"/>
      <c r="O347" s="75"/>
      <c r="P347" s="75"/>
      <c r="Q347" s="75"/>
      <c r="R347" s="75"/>
      <c r="S347" s="75"/>
      <c r="T347" s="75"/>
    </row>
    <row r="348" spans="2:20" s="231" customFormat="1">
      <c r="C348" s="75"/>
      <c r="I348" s="75"/>
      <c r="J348" s="75"/>
      <c r="K348" s="75"/>
      <c r="L348" s="75"/>
      <c r="M348" s="75"/>
      <c r="N348" s="75"/>
      <c r="O348" s="75"/>
      <c r="P348" s="75"/>
      <c r="Q348" s="75"/>
      <c r="R348" s="75"/>
      <c r="S348" s="75"/>
      <c r="T348" s="75"/>
    </row>
    <row r="349" spans="2:20" s="231" customFormat="1">
      <c r="C349" s="75"/>
      <c r="I349" s="75"/>
      <c r="J349" s="75"/>
      <c r="K349" s="75"/>
      <c r="L349" s="75"/>
      <c r="M349" s="75"/>
      <c r="N349" s="75"/>
      <c r="O349" s="75"/>
      <c r="P349" s="75"/>
      <c r="Q349" s="75"/>
      <c r="R349" s="75"/>
      <c r="S349" s="75"/>
      <c r="T349" s="75"/>
    </row>
    <row r="350" spans="2:20" s="231" customFormat="1">
      <c r="C350" s="75"/>
      <c r="I350" s="75"/>
      <c r="J350" s="75"/>
      <c r="K350" s="75"/>
      <c r="L350" s="75"/>
      <c r="M350" s="75"/>
      <c r="N350" s="75"/>
      <c r="O350" s="75"/>
      <c r="P350" s="75"/>
      <c r="Q350" s="75"/>
      <c r="R350" s="75"/>
      <c r="S350" s="75"/>
      <c r="T350" s="75"/>
    </row>
    <row r="351" spans="2:20" s="231" customFormat="1">
      <c r="C351" s="75"/>
      <c r="I351" s="75"/>
      <c r="J351" s="75"/>
      <c r="K351" s="75"/>
      <c r="L351" s="75"/>
      <c r="M351" s="75"/>
      <c r="N351" s="75"/>
      <c r="O351" s="75"/>
      <c r="P351" s="75"/>
      <c r="Q351" s="75"/>
      <c r="R351" s="75"/>
      <c r="S351" s="75"/>
      <c r="T351" s="75"/>
    </row>
    <row r="352" spans="2:20" s="231" customFormat="1">
      <c r="C352" s="75"/>
      <c r="D352" s="75"/>
      <c r="E352" s="75"/>
      <c r="F352" s="75"/>
      <c r="G352" s="75"/>
      <c r="H352" s="75"/>
      <c r="I352" s="75"/>
      <c r="J352" s="75"/>
      <c r="K352" s="75"/>
      <c r="L352" s="75"/>
      <c r="M352" s="75"/>
      <c r="N352" s="75"/>
      <c r="O352" s="75"/>
      <c r="P352" s="75"/>
      <c r="Q352" s="75"/>
      <c r="R352" s="75"/>
      <c r="S352" s="75"/>
      <c r="T352" s="75"/>
    </row>
    <row r="353" spans="3:23" s="231" customFormat="1">
      <c r="C353" s="75"/>
      <c r="D353" s="75"/>
      <c r="E353" s="75"/>
      <c r="F353" s="75"/>
      <c r="G353" s="75"/>
      <c r="H353" s="75"/>
      <c r="I353" s="75"/>
      <c r="J353" s="75"/>
      <c r="K353" s="75"/>
      <c r="L353" s="75"/>
      <c r="M353" s="75"/>
      <c r="N353" s="75"/>
      <c r="O353" s="75"/>
      <c r="P353" s="75"/>
      <c r="Q353" s="75"/>
      <c r="R353" s="75"/>
      <c r="S353" s="75"/>
      <c r="T353" s="75"/>
    </row>
    <row r="354" spans="3:23" s="231" customFormat="1">
      <c r="C354" s="75"/>
      <c r="D354" s="75"/>
      <c r="E354" s="75"/>
      <c r="F354" s="75"/>
      <c r="G354" s="75"/>
      <c r="H354" s="75"/>
      <c r="I354" s="75"/>
      <c r="J354" s="75"/>
      <c r="K354" s="75"/>
      <c r="L354" s="75"/>
      <c r="M354" s="75"/>
      <c r="N354" s="75"/>
      <c r="O354" s="75"/>
      <c r="P354" s="75"/>
      <c r="Q354" s="75"/>
      <c r="R354" s="75"/>
      <c r="S354" s="75"/>
      <c r="T354" s="75"/>
    </row>
    <row r="355" spans="3:23" s="231" customFormat="1">
      <c r="C355" s="75"/>
      <c r="D355" s="75"/>
      <c r="E355" s="75"/>
      <c r="F355" s="75"/>
      <c r="G355" s="75"/>
      <c r="H355" s="75"/>
      <c r="I355" s="204"/>
      <c r="J355" s="75"/>
      <c r="K355" s="75"/>
      <c r="L355" s="75"/>
      <c r="M355" s="75"/>
      <c r="N355" s="75"/>
      <c r="O355" s="75"/>
      <c r="P355" s="75"/>
      <c r="Q355" s="75"/>
      <c r="R355" s="75"/>
      <c r="S355" s="75"/>
      <c r="T355" s="75"/>
    </row>
    <row r="356" spans="3:23" s="231" customFormat="1">
      <c r="C356" s="75"/>
      <c r="D356" s="75"/>
      <c r="E356" s="75"/>
      <c r="F356" s="75"/>
      <c r="G356" s="75"/>
      <c r="H356" s="75"/>
      <c r="I356" s="204"/>
      <c r="J356" s="75"/>
      <c r="K356" s="75"/>
      <c r="L356" s="75"/>
      <c r="M356" s="75"/>
      <c r="N356" s="75"/>
      <c r="O356" s="75"/>
      <c r="P356" s="75"/>
      <c r="Q356" s="75"/>
      <c r="R356" s="75"/>
      <c r="S356" s="75"/>
      <c r="T356" s="75"/>
    </row>
    <row r="357" spans="3:23" s="231" customFormat="1">
      <c r="C357" s="75"/>
      <c r="D357" s="75"/>
      <c r="E357" s="75"/>
      <c r="F357" s="75"/>
      <c r="G357" s="75"/>
      <c r="H357" s="75"/>
      <c r="J357" s="75"/>
      <c r="K357" s="75"/>
      <c r="L357" s="75"/>
      <c r="M357" s="75"/>
      <c r="N357" s="75"/>
      <c r="O357" s="75"/>
      <c r="P357" s="75"/>
      <c r="Q357" s="75"/>
      <c r="R357" s="75"/>
      <c r="S357" s="75"/>
      <c r="T357" s="75"/>
    </row>
    <row r="358" spans="3:23" s="231" customFormat="1">
      <c r="C358" s="75"/>
      <c r="D358" s="75"/>
      <c r="E358" s="75"/>
      <c r="F358" s="75"/>
      <c r="G358" s="75"/>
      <c r="H358" s="75"/>
      <c r="I358" s="206"/>
      <c r="J358" s="75"/>
      <c r="K358" s="75"/>
      <c r="L358" s="75"/>
      <c r="M358" s="75"/>
      <c r="N358" s="75"/>
      <c r="O358" s="206"/>
      <c r="P358" s="75"/>
      <c r="Q358" s="75"/>
      <c r="R358" s="75"/>
      <c r="S358" s="75"/>
      <c r="T358" s="75"/>
    </row>
    <row r="359" spans="3:23" s="231" customFormat="1">
      <c r="C359" s="75"/>
      <c r="D359" s="75"/>
      <c r="E359" s="75"/>
      <c r="F359" s="75"/>
      <c r="G359" s="75"/>
      <c r="H359" s="75"/>
      <c r="I359" s="204"/>
      <c r="J359" s="75"/>
      <c r="K359" s="75"/>
      <c r="L359" s="75"/>
      <c r="M359" s="75"/>
      <c r="N359" s="75"/>
      <c r="O359" s="75"/>
      <c r="P359" s="75"/>
      <c r="Q359" s="75"/>
      <c r="R359" s="75"/>
      <c r="S359" s="75"/>
      <c r="T359" s="75"/>
    </row>
    <row r="360" spans="3:23" s="231" customFormat="1">
      <c r="C360" s="75"/>
      <c r="D360" s="75"/>
      <c r="E360" s="75"/>
      <c r="F360" s="75"/>
      <c r="G360" s="75"/>
      <c r="H360" s="75"/>
      <c r="I360" s="204"/>
      <c r="J360" s="75"/>
      <c r="K360" s="75"/>
      <c r="L360" s="75"/>
      <c r="M360" s="75"/>
      <c r="N360" s="75"/>
      <c r="O360" s="75"/>
      <c r="P360" s="75"/>
      <c r="Q360" s="75"/>
      <c r="R360" s="75"/>
      <c r="S360" s="75"/>
      <c r="T360" s="75"/>
    </row>
    <row r="361" spans="3:23" s="231" customFormat="1">
      <c r="C361" s="75"/>
      <c r="D361" s="75"/>
      <c r="E361" s="75"/>
      <c r="F361" s="75"/>
      <c r="G361" s="75"/>
      <c r="H361" s="75"/>
      <c r="I361" s="204"/>
      <c r="J361" s="75"/>
      <c r="K361" s="75"/>
      <c r="L361" s="75"/>
      <c r="M361" s="75"/>
      <c r="N361" s="75"/>
      <c r="O361" s="75"/>
      <c r="P361" s="75"/>
      <c r="Q361" s="75"/>
      <c r="R361" s="75"/>
      <c r="S361" s="75"/>
      <c r="T361" s="75"/>
    </row>
    <row r="362" spans="3:23" s="231" customFormat="1">
      <c r="C362" s="75"/>
      <c r="D362" s="75"/>
      <c r="E362" s="75"/>
      <c r="F362" s="75"/>
      <c r="G362" s="75"/>
      <c r="H362" s="75"/>
      <c r="I362" s="204"/>
      <c r="J362" s="75"/>
      <c r="K362" s="75"/>
      <c r="L362" s="75"/>
      <c r="M362" s="75"/>
      <c r="N362" s="75"/>
      <c r="O362" s="75"/>
      <c r="P362" s="75"/>
      <c r="Q362" s="75"/>
      <c r="R362" s="75"/>
      <c r="S362" s="75"/>
      <c r="T362" s="75"/>
    </row>
    <row r="363" spans="3:23" s="231" customFormat="1">
      <c r="C363" s="75"/>
      <c r="D363" s="75"/>
      <c r="E363" s="75"/>
      <c r="F363" s="75"/>
      <c r="G363" s="75"/>
      <c r="H363" s="75"/>
      <c r="I363" s="75"/>
      <c r="J363" s="75"/>
      <c r="K363" s="75"/>
      <c r="L363" s="75"/>
      <c r="M363" s="75"/>
      <c r="N363" s="75"/>
      <c r="O363" s="75"/>
      <c r="P363" s="75"/>
      <c r="Q363" s="75"/>
      <c r="R363" s="75"/>
      <c r="S363" s="75"/>
      <c r="T363" s="75"/>
    </row>
    <row r="364" spans="3:23" s="231" customFormat="1">
      <c r="C364" s="75"/>
      <c r="D364" s="75"/>
      <c r="E364" s="75"/>
      <c r="F364" s="75"/>
      <c r="G364" s="75"/>
      <c r="H364" s="75"/>
      <c r="I364" s="75"/>
      <c r="J364" s="75"/>
      <c r="K364" s="75"/>
      <c r="L364" s="75"/>
      <c r="M364" s="75"/>
      <c r="N364" s="75"/>
      <c r="O364" s="75"/>
      <c r="P364" s="75"/>
      <c r="Q364" s="75"/>
      <c r="R364" s="75"/>
      <c r="S364" s="75"/>
      <c r="T364" s="75"/>
    </row>
    <row r="365" spans="3:23" s="231" customFormat="1">
      <c r="C365" s="75"/>
      <c r="D365" s="75"/>
      <c r="E365" s="75"/>
      <c r="F365" s="75"/>
      <c r="G365" s="75"/>
      <c r="H365" s="75"/>
      <c r="I365" s="75"/>
      <c r="J365" s="75"/>
      <c r="K365" s="75"/>
      <c r="L365" s="75"/>
      <c r="M365" s="75"/>
      <c r="N365" s="75"/>
      <c r="O365" s="75"/>
      <c r="P365" s="75"/>
      <c r="Q365" s="75"/>
      <c r="R365" s="75"/>
      <c r="S365" s="75"/>
      <c r="T365" s="75"/>
    </row>
    <row r="366" spans="3:23" s="231" customFormat="1">
      <c r="C366" s="75"/>
      <c r="D366" s="75"/>
      <c r="E366" s="75"/>
      <c r="F366" s="75"/>
      <c r="G366" s="75"/>
      <c r="H366" s="75"/>
      <c r="I366" s="75"/>
      <c r="J366" s="75"/>
      <c r="K366" s="75"/>
      <c r="L366" s="75"/>
      <c r="M366" s="75"/>
      <c r="N366" s="75"/>
      <c r="O366" s="75"/>
      <c r="P366" s="75"/>
      <c r="Q366" s="75"/>
      <c r="R366" s="75"/>
      <c r="S366" s="75"/>
      <c r="T366" s="75"/>
    </row>
    <row r="367" spans="3:23" s="231" customFormat="1">
      <c r="C367" s="75"/>
      <c r="D367" s="75"/>
      <c r="E367" s="75"/>
      <c r="F367" s="75"/>
      <c r="G367" s="75"/>
      <c r="H367" s="75"/>
      <c r="I367" s="75"/>
      <c r="J367" s="75"/>
      <c r="K367" s="75"/>
      <c r="L367" s="75"/>
      <c r="M367" s="75"/>
      <c r="N367" s="75"/>
      <c r="O367" s="75"/>
      <c r="P367" s="75"/>
      <c r="Q367" s="75"/>
      <c r="R367" s="75"/>
      <c r="S367" s="75"/>
      <c r="T367" s="75"/>
    </row>
    <row r="368" spans="3:23" s="231" customFormat="1">
      <c r="C368" s="75"/>
      <c r="D368" s="75"/>
      <c r="E368" s="75"/>
      <c r="F368" s="75"/>
      <c r="G368" s="75"/>
      <c r="H368" s="75"/>
      <c r="I368" s="75"/>
      <c r="J368" s="75"/>
      <c r="K368" s="75"/>
      <c r="L368" s="75"/>
      <c r="M368" s="75"/>
      <c r="N368" s="75"/>
      <c r="O368" s="75"/>
      <c r="P368" s="75"/>
      <c r="Q368" s="75"/>
      <c r="R368" s="75"/>
      <c r="S368" s="75"/>
      <c r="T368" s="75"/>
      <c r="W368" s="231">
        <f>88+44</f>
        <v>132</v>
      </c>
    </row>
    <row r="369" spans="2:20" s="231" customFormat="1">
      <c r="C369" s="75"/>
      <c r="D369" s="75"/>
      <c r="E369" s="75"/>
      <c r="F369" s="75"/>
      <c r="G369" s="75"/>
      <c r="H369" s="75"/>
      <c r="I369" s="75"/>
      <c r="J369" s="75"/>
      <c r="K369" s="75"/>
      <c r="L369" s="75"/>
      <c r="M369" s="75"/>
      <c r="N369" s="75"/>
      <c r="O369" s="75"/>
      <c r="P369" s="75"/>
      <c r="Q369" s="75"/>
      <c r="R369" s="75"/>
      <c r="S369" s="75"/>
      <c r="T369" s="75"/>
    </row>
    <row r="370" spans="2:20" s="231" customFormat="1" ht="7.5" customHeight="1">
      <c r="C370" s="75"/>
      <c r="D370" s="75"/>
      <c r="E370" s="75"/>
      <c r="F370" s="75"/>
      <c r="G370" s="75"/>
      <c r="H370" s="75"/>
      <c r="I370" s="75"/>
      <c r="J370" s="75"/>
      <c r="K370" s="75"/>
      <c r="L370" s="75"/>
      <c r="M370" s="75"/>
      <c r="N370" s="75"/>
      <c r="O370" s="75"/>
      <c r="P370" s="75"/>
      <c r="Q370" s="75"/>
      <c r="R370" s="75"/>
      <c r="S370" s="75"/>
      <c r="T370" s="75"/>
    </row>
    <row r="371" spans="2:20" s="231" customFormat="1">
      <c r="C371" s="75"/>
      <c r="D371" s="75"/>
      <c r="E371" s="75"/>
      <c r="F371" s="75"/>
      <c r="G371" s="75"/>
      <c r="H371" s="75"/>
      <c r="I371" s="75"/>
      <c r="J371" s="75"/>
      <c r="K371" s="75"/>
      <c r="L371" s="75"/>
      <c r="M371" s="75"/>
      <c r="N371" s="75"/>
      <c r="O371" s="75"/>
      <c r="P371" s="75"/>
      <c r="Q371" s="75"/>
      <c r="R371" s="75"/>
      <c r="S371" s="75"/>
      <c r="T371" s="75"/>
    </row>
    <row r="372" spans="2:20" s="231" customFormat="1">
      <c r="C372" s="75"/>
      <c r="D372" s="75"/>
      <c r="E372" s="75"/>
      <c r="F372" s="75"/>
      <c r="G372" s="75"/>
      <c r="H372" s="75"/>
      <c r="I372" s="75"/>
      <c r="J372" s="75"/>
      <c r="K372" s="75"/>
      <c r="L372" s="75"/>
      <c r="M372" s="75"/>
      <c r="N372" s="75"/>
      <c r="O372" s="75"/>
      <c r="P372" s="75"/>
      <c r="Q372" s="75"/>
      <c r="R372" s="75"/>
      <c r="S372" s="75"/>
      <c r="T372" s="75"/>
    </row>
    <row r="373" spans="2:20" s="231" customFormat="1">
      <c r="C373" s="75"/>
      <c r="D373" s="75"/>
      <c r="E373" s="75"/>
      <c r="F373" s="75"/>
      <c r="G373" s="75"/>
      <c r="H373" s="75"/>
      <c r="I373" s="230">
        <f>1+I333</f>
        <v>7</v>
      </c>
      <c r="J373" s="75"/>
      <c r="K373" s="75"/>
      <c r="L373" s="75"/>
      <c r="M373" s="75"/>
      <c r="N373" s="75"/>
      <c r="O373" s="75"/>
      <c r="P373" s="75"/>
      <c r="Q373" s="75"/>
      <c r="R373" s="75"/>
      <c r="S373" s="75"/>
      <c r="T373" s="75"/>
    </row>
    <row r="374" spans="2:20" s="231" customFormat="1">
      <c r="C374" s="75"/>
      <c r="D374" s="75"/>
      <c r="E374" s="75"/>
      <c r="F374" s="75"/>
      <c r="G374" s="75"/>
      <c r="H374" s="75"/>
      <c r="I374" s="75"/>
      <c r="J374" s="75"/>
      <c r="K374" s="75"/>
      <c r="L374" s="75"/>
      <c r="M374" s="75"/>
      <c r="N374" s="75"/>
      <c r="O374" s="75"/>
      <c r="P374" s="75"/>
      <c r="Q374" s="75"/>
      <c r="R374" s="75"/>
      <c r="S374" s="75"/>
      <c r="T374" s="75"/>
    </row>
    <row r="375" spans="2:20" s="231" customFormat="1" ht="9.75" customHeight="1">
      <c r="C375" s="56"/>
      <c r="D375" s="56"/>
      <c r="E375" s="56"/>
      <c r="F375" s="56"/>
      <c r="G375" s="56"/>
      <c r="H375" s="56"/>
      <c r="I375" s="56"/>
      <c r="J375" s="56"/>
      <c r="K375" s="56"/>
      <c r="L375" s="56"/>
      <c r="M375" s="56"/>
      <c r="N375" s="56"/>
      <c r="O375" s="56"/>
      <c r="P375" s="56"/>
      <c r="Q375" s="56"/>
      <c r="R375" s="56"/>
      <c r="S375" s="56"/>
      <c r="T375" s="56"/>
    </row>
    <row r="376" spans="2:20" s="231" customFormat="1" ht="23.4">
      <c r="C376" s="200" t="s">
        <v>263</v>
      </c>
      <c r="D376" s="202" t="s">
        <v>395</v>
      </c>
      <c r="E376" s="202"/>
      <c r="F376" s="202"/>
      <c r="G376" s="202"/>
      <c r="H376" s="202"/>
      <c r="I376" s="200"/>
      <c r="J376" s="200"/>
      <c r="K376" s="200"/>
      <c r="L376" s="200"/>
      <c r="M376" s="200"/>
      <c r="N376" s="200"/>
      <c r="O376" s="200"/>
      <c r="P376" s="200"/>
      <c r="Q376" s="200"/>
      <c r="R376" s="200"/>
      <c r="S376" s="200"/>
      <c r="T376" s="200"/>
    </row>
    <row r="377" spans="2:20" s="231" customFormat="1" ht="5.4" customHeight="1"/>
    <row r="378" spans="2:20" s="231" customFormat="1" ht="5.4" customHeight="1">
      <c r="B378" s="203"/>
      <c r="C378" s="203"/>
      <c r="D378" s="203"/>
      <c r="E378" s="203"/>
      <c r="F378" s="203"/>
      <c r="G378" s="203"/>
      <c r="H378" s="203"/>
    </row>
    <row r="379" spans="2:20" s="231" customFormat="1" ht="17.25" customHeight="1">
      <c r="D379" s="934"/>
      <c r="E379" s="934"/>
      <c r="F379" s="934"/>
      <c r="G379" s="934"/>
      <c r="H379" s="934"/>
      <c r="I379" s="934"/>
      <c r="J379" s="934"/>
      <c r="K379" s="934"/>
      <c r="L379" s="934"/>
      <c r="M379" s="934"/>
      <c r="N379" s="934"/>
    </row>
    <row r="380" spans="2:20" s="231" customFormat="1">
      <c r="C380" s="75"/>
      <c r="O380" s="75"/>
      <c r="P380" s="75"/>
      <c r="Q380" s="75"/>
      <c r="R380" s="75"/>
      <c r="S380" s="75"/>
      <c r="T380" s="75"/>
    </row>
    <row r="381" spans="2:20" s="231" customFormat="1" ht="20.25" customHeight="1">
      <c r="C381" s="75"/>
      <c r="I381" s="75"/>
      <c r="J381" s="75"/>
      <c r="K381" s="75"/>
      <c r="L381" s="75"/>
      <c r="M381" s="75"/>
      <c r="N381" s="75"/>
      <c r="O381" s="75"/>
      <c r="P381" s="75"/>
      <c r="Q381" s="75"/>
      <c r="R381" s="75"/>
      <c r="S381" s="75"/>
      <c r="T381" s="75"/>
    </row>
    <row r="382" spans="2:20" s="231" customFormat="1">
      <c r="C382" s="75"/>
      <c r="I382" s="75"/>
      <c r="J382" s="75"/>
      <c r="K382" s="75"/>
      <c r="L382" s="75"/>
      <c r="M382" s="75"/>
      <c r="N382" s="75"/>
      <c r="O382" s="75"/>
      <c r="P382" s="75"/>
      <c r="Q382" s="75"/>
      <c r="R382" s="75"/>
      <c r="S382" s="75"/>
      <c r="T382" s="75"/>
    </row>
    <row r="383" spans="2:20" s="231" customFormat="1">
      <c r="C383" s="75"/>
      <c r="I383" s="75"/>
      <c r="J383" s="75"/>
      <c r="K383" s="75"/>
      <c r="L383" s="75"/>
      <c r="M383" s="75"/>
      <c r="N383" s="75"/>
      <c r="O383" s="75"/>
      <c r="P383" s="75"/>
      <c r="Q383" s="75"/>
      <c r="R383" s="75"/>
      <c r="S383" s="75"/>
      <c r="T383" s="75"/>
    </row>
    <row r="384" spans="2:20" s="231" customFormat="1">
      <c r="C384" s="75"/>
      <c r="I384" s="75"/>
      <c r="J384" s="75"/>
      <c r="K384" s="75"/>
      <c r="L384" s="75"/>
      <c r="M384" s="75"/>
      <c r="N384" s="75"/>
      <c r="O384" s="75"/>
      <c r="P384" s="75"/>
      <c r="Q384" s="75"/>
      <c r="R384" s="75"/>
      <c r="S384" s="75"/>
      <c r="T384" s="75"/>
    </row>
    <row r="385" spans="3:20" s="231" customFormat="1" ht="12.75" customHeight="1">
      <c r="C385" s="75"/>
      <c r="I385" s="75"/>
      <c r="J385" s="75"/>
      <c r="K385" s="75"/>
      <c r="L385" s="75"/>
      <c r="M385" s="75"/>
      <c r="N385" s="75"/>
      <c r="O385" s="75"/>
      <c r="P385" s="75"/>
      <c r="Q385" s="75"/>
      <c r="R385" s="75"/>
      <c r="S385" s="75"/>
      <c r="T385" s="75"/>
    </row>
    <row r="386" spans="3:20" s="231" customFormat="1">
      <c r="C386" s="75"/>
      <c r="I386" s="75"/>
      <c r="J386" s="75"/>
      <c r="K386" s="75"/>
      <c r="L386" s="75"/>
      <c r="M386" s="75"/>
      <c r="N386" s="75"/>
      <c r="O386" s="75"/>
      <c r="P386" s="75"/>
      <c r="Q386" s="75"/>
      <c r="R386" s="75"/>
      <c r="S386" s="75"/>
      <c r="T386" s="75"/>
    </row>
    <row r="387" spans="3:20" s="231" customFormat="1">
      <c r="C387" s="75"/>
      <c r="I387" s="75"/>
      <c r="J387" s="75"/>
      <c r="K387" s="75"/>
      <c r="L387" s="75"/>
      <c r="M387" s="75"/>
      <c r="N387" s="75"/>
      <c r="O387" s="75"/>
      <c r="P387" s="75"/>
      <c r="Q387" s="75"/>
      <c r="R387" s="75"/>
      <c r="S387" s="75"/>
      <c r="T387" s="75"/>
    </row>
    <row r="388" spans="3:20" s="231" customFormat="1">
      <c r="C388" s="75"/>
      <c r="I388" s="75"/>
      <c r="J388" s="75"/>
      <c r="K388" s="75"/>
      <c r="L388" s="75"/>
      <c r="M388" s="75"/>
      <c r="N388" s="75"/>
      <c r="O388" s="75"/>
      <c r="P388" s="75"/>
      <c r="Q388" s="75"/>
      <c r="R388" s="75"/>
      <c r="S388" s="75"/>
      <c r="T388" s="75"/>
    </row>
    <row r="389" spans="3:20" s="231" customFormat="1">
      <c r="C389" s="75"/>
      <c r="I389" s="75"/>
      <c r="J389" s="75"/>
      <c r="K389" s="75"/>
      <c r="L389" s="75"/>
      <c r="M389" s="75"/>
      <c r="N389" s="75"/>
      <c r="O389" s="75"/>
      <c r="P389" s="75"/>
      <c r="Q389" s="75"/>
      <c r="R389" s="75"/>
      <c r="S389" s="75"/>
      <c r="T389" s="75"/>
    </row>
    <row r="390" spans="3:20" s="231" customFormat="1">
      <c r="C390" s="75"/>
      <c r="I390" s="75"/>
      <c r="J390" s="75"/>
      <c r="K390" s="75"/>
      <c r="L390" s="75"/>
      <c r="M390" s="75"/>
      <c r="N390" s="75"/>
      <c r="O390" s="75"/>
      <c r="P390" s="75"/>
      <c r="Q390" s="75"/>
      <c r="R390" s="75"/>
      <c r="S390" s="75"/>
      <c r="T390" s="75"/>
    </row>
    <row r="391" spans="3:20" s="231" customFormat="1" ht="15" thickBot="1">
      <c r="C391" s="75"/>
      <c r="I391" s="75"/>
      <c r="K391" s="75"/>
      <c r="L391" s="223" t="s">
        <v>397</v>
      </c>
      <c r="M391" s="223" t="s">
        <v>398</v>
      </c>
      <c r="N391" s="223" t="s">
        <v>365</v>
      </c>
      <c r="O391" s="75"/>
      <c r="P391" s="75"/>
      <c r="Q391" s="75"/>
      <c r="R391" s="75"/>
      <c r="S391" s="75"/>
      <c r="T391" s="75"/>
    </row>
    <row r="392" spans="3:20" s="231" customFormat="1">
      <c r="C392" s="75"/>
      <c r="D392" s="75"/>
      <c r="E392" s="75"/>
      <c r="F392" s="75"/>
      <c r="G392" s="75"/>
      <c r="H392" s="75"/>
      <c r="I392" s="75"/>
      <c r="J392" s="935" t="s">
        <v>13</v>
      </c>
      <c r="K392" s="936"/>
      <c r="L392" s="245">
        <f>+'Tableau détaillé'!J960</f>
        <v>-0.26558395032242654</v>
      </c>
      <c r="M392" s="245">
        <f>+'Tableau détaillé'!K960</f>
        <v>0.70931115709756964</v>
      </c>
      <c r="N392" s="248">
        <f>+'Tableau détaillé'!L960</f>
        <v>-0.21888230313293811</v>
      </c>
      <c r="O392" s="75"/>
      <c r="P392" s="75"/>
      <c r="Q392" s="75"/>
      <c r="R392" s="75"/>
      <c r="S392" s="75"/>
      <c r="T392" s="75"/>
    </row>
    <row r="393" spans="3:20" s="231" customFormat="1">
      <c r="C393" s="75"/>
      <c r="D393" s="75"/>
      <c r="E393" s="75"/>
      <c r="F393" s="75"/>
      <c r="G393" s="75"/>
      <c r="H393" s="75"/>
      <c r="I393" s="75"/>
      <c r="J393" s="937" t="s">
        <v>14</v>
      </c>
      <c r="K393" s="938"/>
      <c r="L393" s="246">
        <f>+'Tableau détaillé'!J961</f>
        <v>-0.64184852374839529</v>
      </c>
      <c r="M393" s="246">
        <f>+'Tableau détaillé'!K961</f>
        <v>0.85222522744037388</v>
      </c>
      <c r="N393" s="249">
        <f>+'Tableau détaillé'!L961</f>
        <v>-0.63930187459599219</v>
      </c>
      <c r="O393" s="75"/>
      <c r="P393" s="75"/>
      <c r="Q393" s="75"/>
      <c r="R393" s="75"/>
      <c r="S393" s="75"/>
      <c r="T393" s="75"/>
    </row>
    <row r="394" spans="3:20" s="231" customFormat="1">
      <c r="C394" s="75"/>
      <c r="D394" s="75"/>
      <c r="E394" s="75"/>
      <c r="F394" s="75"/>
      <c r="G394" s="75"/>
      <c r="H394" s="75"/>
      <c r="I394" s="75"/>
      <c r="J394" s="937" t="s">
        <v>17</v>
      </c>
      <c r="K394" s="938"/>
      <c r="L394" s="246">
        <f>+'Tableau détaillé'!J962</f>
        <v>0.13561076604554878</v>
      </c>
      <c r="M394" s="246">
        <f>+'Tableau détaillé'!K962</f>
        <v>0.55348583877995639</v>
      </c>
      <c r="N394" s="249">
        <f>+'Tableau détaillé'!L962</f>
        <v>-1.0623766884200192E-3</v>
      </c>
      <c r="O394" s="75"/>
      <c r="P394" s="75"/>
      <c r="Q394" s="75"/>
      <c r="R394" s="75"/>
      <c r="S394" s="75"/>
      <c r="T394" s="75"/>
    </row>
    <row r="395" spans="3:20" s="231" customFormat="1">
      <c r="C395" s="75"/>
      <c r="D395" s="75"/>
      <c r="E395" s="75"/>
      <c r="F395" s="75"/>
      <c r="G395" s="75"/>
      <c r="H395" s="75"/>
      <c r="I395" s="204"/>
      <c r="J395" s="937" t="s">
        <v>18</v>
      </c>
      <c r="K395" s="938"/>
      <c r="L395" s="246">
        <f>+'Tableau détaillé'!J963</f>
        <v>-0.32014388489208634</v>
      </c>
      <c r="M395" s="246">
        <f>+'Tableau détaillé'!K963</f>
        <v>2.4005681818181817</v>
      </c>
      <c r="N395" s="249">
        <f>+'Tableau détaillé'!L963</f>
        <v>5.3413841151881192E-2</v>
      </c>
      <c r="O395" s="75"/>
      <c r="P395" s="75"/>
      <c r="Q395" s="75"/>
      <c r="R395" s="75"/>
      <c r="S395" s="75"/>
      <c r="T395" s="75"/>
    </row>
    <row r="396" spans="3:20" s="231" customFormat="1">
      <c r="C396" s="75"/>
      <c r="D396" s="75"/>
      <c r="E396" s="75"/>
      <c r="F396" s="75"/>
      <c r="G396" s="75"/>
      <c r="H396" s="75"/>
      <c r="I396" s="204"/>
      <c r="J396" s="937" t="s">
        <v>19</v>
      </c>
      <c r="K396" s="938"/>
      <c r="L396" s="246">
        <f>+'Tableau détaillé'!J964</f>
        <v>-0.38333333333333341</v>
      </c>
      <c r="M396" s="246">
        <f>+'Tableau détaillé'!K964</f>
        <v>-0.15580182529335074</v>
      </c>
      <c r="N396" s="249">
        <f>+'Tableau détaillé'!L964</f>
        <v>-0.44388777555110226</v>
      </c>
      <c r="O396" s="75"/>
      <c r="P396" s="75"/>
      <c r="Q396" s="75"/>
      <c r="R396" s="75"/>
      <c r="S396" s="75"/>
      <c r="T396" s="75"/>
    </row>
    <row r="397" spans="3:20" s="231" customFormat="1">
      <c r="C397" s="75"/>
      <c r="D397" s="75"/>
      <c r="E397" s="75"/>
      <c r="F397" s="75"/>
      <c r="G397" s="75"/>
      <c r="H397" s="75"/>
      <c r="J397" s="937" t="s">
        <v>21</v>
      </c>
      <c r="K397" s="938"/>
      <c r="L397" s="246">
        <f>+'Tableau détaillé'!J965</f>
        <v>-0.45714285714285718</v>
      </c>
      <c r="M397" s="246">
        <f>+'Tableau détaillé'!K965</f>
        <v>0.38181818181818183</v>
      </c>
      <c r="N397" s="249">
        <f>+'Tableau détaillé'!L965</f>
        <v>-0.25368248772504098</v>
      </c>
      <c r="O397" s="75"/>
      <c r="P397" s="75"/>
      <c r="Q397" s="75"/>
      <c r="R397" s="75"/>
      <c r="S397" s="75"/>
      <c r="T397" s="75"/>
    </row>
    <row r="398" spans="3:20" s="231" customFormat="1">
      <c r="C398" s="75"/>
      <c r="D398" s="75"/>
      <c r="E398" s="75"/>
      <c r="F398" s="75"/>
      <c r="G398" s="75"/>
      <c r="H398" s="75"/>
      <c r="I398" s="206"/>
      <c r="J398" s="937" t="s">
        <v>22</v>
      </c>
      <c r="K398" s="938"/>
      <c r="L398" s="246">
        <f>+'Tableau détaillé'!J966</f>
        <v>-0.22754491017964074</v>
      </c>
      <c r="M398" s="246">
        <f>+'Tableau détaillé'!K966</f>
        <v>1.5527950310558758E-3</v>
      </c>
      <c r="N398" s="249">
        <f>+'Tableau détaillé'!L966</f>
        <v>-0.31926121372031657</v>
      </c>
      <c r="O398" s="206"/>
      <c r="P398" s="75"/>
      <c r="Q398" s="75"/>
      <c r="R398" s="75"/>
      <c r="S398" s="75"/>
      <c r="T398" s="75"/>
    </row>
    <row r="399" spans="3:20" s="231" customFormat="1">
      <c r="C399" s="75"/>
      <c r="D399" s="75"/>
      <c r="E399" s="75"/>
      <c r="F399" s="75"/>
      <c r="G399" s="75"/>
      <c r="H399" s="75"/>
      <c r="I399" s="204"/>
      <c r="J399" s="937" t="s">
        <v>15</v>
      </c>
      <c r="K399" s="938"/>
      <c r="L399" s="246">
        <f>+'Tableau détaillé'!J968</f>
        <v>-0.16918335901386738</v>
      </c>
      <c r="M399" s="246">
        <f>+'Tableau détaillé'!K968</f>
        <v>-0.13678843824675102</v>
      </c>
      <c r="N399" s="249">
        <f>+'Tableau détaillé'!L968</f>
        <v>-0.27713104681041223</v>
      </c>
      <c r="O399" s="75"/>
      <c r="P399" s="75"/>
      <c r="Q399" s="75"/>
      <c r="R399" s="75"/>
      <c r="S399" s="75"/>
      <c r="T399" s="75"/>
    </row>
    <row r="400" spans="3:20" s="231" customFormat="1">
      <c r="C400" s="75"/>
      <c r="D400" s="75"/>
      <c r="E400" s="75"/>
      <c r="F400" s="75"/>
      <c r="G400" s="75"/>
      <c r="H400" s="75"/>
      <c r="I400" s="204"/>
      <c r="J400" s="937" t="s">
        <v>16</v>
      </c>
      <c r="K400" s="938"/>
      <c r="L400" s="246">
        <f>+'Tableau détaillé'!J969</f>
        <v>-0.11135531135531129</v>
      </c>
      <c r="M400" s="246">
        <f>+'Tableau détaillé'!K969</f>
        <v>0.10333254920410884</v>
      </c>
      <c r="N400" s="249">
        <f>+'Tableau détaillé'!L969</f>
        <v>-0.22747054452818172</v>
      </c>
      <c r="O400" s="75"/>
      <c r="P400" s="75"/>
      <c r="Q400" s="75"/>
      <c r="R400" s="75"/>
      <c r="S400" s="75"/>
      <c r="T400" s="75"/>
    </row>
    <row r="401" spans="3:23" s="231" customFormat="1">
      <c r="C401" s="75"/>
      <c r="D401" s="75"/>
      <c r="E401" s="75"/>
      <c r="F401" s="75"/>
      <c r="G401" s="75"/>
      <c r="H401" s="75"/>
      <c r="I401" s="204"/>
      <c r="J401" s="937" t="s">
        <v>20</v>
      </c>
      <c r="K401" s="938"/>
      <c r="L401" s="246">
        <f>+'Tableau détaillé'!J970</f>
        <v>-0.2857142857142857</v>
      </c>
      <c r="M401" s="246">
        <f>+'Tableau détaillé'!K970</f>
        <v>8.2788179562373054E-2</v>
      </c>
      <c r="N401" s="249">
        <f>+'Tableau détaillé'!L970</f>
        <v>-0.35897435897435892</v>
      </c>
      <c r="O401" s="75"/>
      <c r="P401" s="75"/>
      <c r="Q401" s="75"/>
      <c r="R401" s="75"/>
      <c r="S401" s="75"/>
      <c r="T401" s="75"/>
    </row>
    <row r="402" spans="3:23" s="231" customFormat="1" ht="15" thickBot="1">
      <c r="C402" s="75"/>
      <c r="D402" s="75"/>
      <c r="E402" s="75"/>
      <c r="F402" s="75"/>
      <c r="G402" s="75"/>
      <c r="H402" s="75"/>
      <c r="I402" s="204"/>
      <c r="J402" s="939" t="s">
        <v>23</v>
      </c>
      <c r="K402" s="940"/>
      <c r="L402" s="247">
        <f>+'Tableau détaillé'!J971</f>
        <v>-0.12264150943396224</v>
      </c>
      <c r="M402" s="247">
        <f>+'Tableau détaillé'!K971</f>
        <v>-0.97273526824978007</v>
      </c>
      <c r="N402" s="250">
        <f>+'Tableau détaillé'!L971</f>
        <v>-0.69911027231059575</v>
      </c>
      <c r="O402" s="75"/>
      <c r="P402" s="75"/>
      <c r="Q402" s="75"/>
      <c r="R402" s="75"/>
      <c r="S402" s="75"/>
      <c r="T402" s="75"/>
    </row>
    <row r="403" spans="3:23" s="231" customFormat="1" ht="15" thickBot="1">
      <c r="C403" s="75"/>
      <c r="D403" s="75"/>
      <c r="E403" s="75"/>
      <c r="F403" s="75"/>
      <c r="G403" s="75"/>
      <c r="H403" s="75"/>
      <c r="I403" s="75"/>
      <c r="J403" s="75"/>
      <c r="K403" s="75"/>
      <c r="L403" s="75"/>
      <c r="M403" s="75"/>
      <c r="N403" s="75"/>
      <c r="O403" s="75"/>
      <c r="P403" s="75"/>
      <c r="Q403" s="75"/>
      <c r="R403" s="75"/>
      <c r="S403" s="75"/>
      <c r="T403" s="75"/>
    </row>
    <row r="404" spans="3:23" s="231" customFormat="1">
      <c r="C404" s="75"/>
      <c r="D404" s="75"/>
      <c r="E404" s="75"/>
      <c r="F404" s="75"/>
      <c r="G404" s="75"/>
      <c r="H404" s="75"/>
      <c r="I404" s="75"/>
      <c r="J404" s="935" t="s">
        <v>145</v>
      </c>
      <c r="K404" s="936"/>
      <c r="L404" s="245">
        <f>+'Tableau détaillé'!J967</f>
        <v>-0.26213877072025815</v>
      </c>
      <c r="M404" s="245">
        <f>+'Tableau détaillé'!K967</f>
        <v>0.63419549815968357</v>
      </c>
      <c r="N404" s="248">
        <f>+'Tableau détaillé'!L967</f>
        <v>-0.23923318334782762</v>
      </c>
      <c r="O404" s="75"/>
      <c r="P404" s="75"/>
      <c r="Q404" s="75"/>
      <c r="R404" s="75"/>
      <c r="S404" s="75"/>
      <c r="T404" s="75"/>
    </row>
    <row r="405" spans="3:23" s="231" customFormat="1">
      <c r="C405" s="75"/>
      <c r="D405" s="75"/>
      <c r="E405" s="75"/>
      <c r="F405" s="75"/>
      <c r="G405" s="75"/>
      <c r="H405" s="75"/>
      <c r="I405" s="75"/>
      <c r="J405" s="937" t="s">
        <v>142</v>
      </c>
      <c r="K405" s="938"/>
      <c r="L405" s="246">
        <f>+'Tableau détaillé'!J972</f>
        <v>-0.15712545676004874</v>
      </c>
      <c r="M405" s="246">
        <f>+'Tableau détaillé'!K972</f>
        <v>-0.27468305800998849</v>
      </c>
      <c r="N405" s="249">
        <f>+'Tableau détaillé'!L972</f>
        <v>-0.28938585731808197</v>
      </c>
      <c r="O405" s="75"/>
      <c r="P405" s="75"/>
      <c r="Q405" s="75"/>
      <c r="R405" s="75"/>
      <c r="S405" s="75"/>
      <c r="T405" s="75"/>
    </row>
    <row r="406" spans="3:23" s="231" customFormat="1" ht="15" thickBot="1">
      <c r="C406" s="75"/>
      <c r="D406" s="75"/>
      <c r="E406" s="75"/>
      <c r="F406" s="75"/>
      <c r="G406" s="75"/>
      <c r="H406" s="75"/>
      <c r="I406" s="75"/>
      <c r="J406" s="939" t="s">
        <v>209</v>
      </c>
      <c r="K406" s="940"/>
      <c r="L406" s="247">
        <f>+'Tableau détaillé'!$J$959</f>
        <v>-0.21808737119986366</v>
      </c>
      <c r="M406" s="247">
        <f>+'Tableau détaillé'!$J$959</f>
        <v>-0.21808737119986366</v>
      </c>
      <c r="N406" s="250">
        <f>+'Tableau détaillé'!$J$959</f>
        <v>-0.21808737119986366</v>
      </c>
      <c r="O406" s="75"/>
      <c r="P406" s="75"/>
      <c r="Q406" s="75"/>
      <c r="R406" s="75"/>
      <c r="S406" s="75"/>
      <c r="T406" s="75"/>
    </row>
    <row r="407" spans="3:23" s="231" customFormat="1">
      <c r="C407" s="75"/>
      <c r="D407" s="75"/>
      <c r="E407" s="75"/>
      <c r="F407" s="75"/>
      <c r="G407" s="75"/>
      <c r="H407" s="75"/>
      <c r="I407" s="75"/>
      <c r="J407" s="75"/>
      <c r="K407" s="75"/>
      <c r="L407" s="75"/>
      <c r="M407" s="75"/>
      <c r="N407" s="75"/>
      <c r="O407" s="75"/>
      <c r="P407" s="75"/>
      <c r="Q407" s="75"/>
      <c r="R407" s="75"/>
      <c r="S407" s="75"/>
      <c r="T407" s="75"/>
    </row>
    <row r="408" spans="3:23" s="231" customFormat="1">
      <c r="C408" s="75"/>
      <c r="D408" s="75"/>
      <c r="E408" s="75"/>
      <c r="F408" s="75"/>
      <c r="G408" s="75"/>
      <c r="H408" s="75"/>
      <c r="I408" s="75"/>
      <c r="J408" s="75"/>
      <c r="K408" s="75"/>
      <c r="L408" s="75"/>
      <c r="M408" s="75"/>
      <c r="N408" s="75"/>
      <c r="O408" s="75"/>
      <c r="P408" s="75"/>
      <c r="Q408" s="75"/>
      <c r="R408" s="75"/>
      <c r="S408" s="75"/>
      <c r="T408" s="75"/>
      <c r="W408" s="231">
        <f>88+44</f>
        <v>132</v>
      </c>
    </row>
    <row r="409" spans="3:23" s="231" customFormat="1">
      <c r="C409" s="75"/>
      <c r="D409" s="75"/>
      <c r="E409" s="75"/>
      <c r="F409" s="75"/>
      <c r="G409" s="75"/>
      <c r="H409" s="75"/>
      <c r="I409" s="75"/>
      <c r="J409" s="75"/>
      <c r="K409" s="75"/>
      <c r="L409" s="75"/>
      <c r="M409" s="75"/>
      <c r="N409" s="75"/>
      <c r="O409" s="75"/>
      <c r="P409" s="75"/>
      <c r="Q409" s="75"/>
      <c r="R409" s="75"/>
      <c r="S409" s="75"/>
      <c r="T409" s="75"/>
    </row>
    <row r="410" spans="3:23" s="231" customFormat="1" ht="7.5" customHeight="1">
      <c r="C410" s="75"/>
      <c r="D410" s="75"/>
      <c r="E410" s="75"/>
      <c r="F410" s="75"/>
      <c r="G410" s="75"/>
      <c r="H410" s="75"/>
      <c r="I410" s="75"/>
      <c r="J410" s="75"/>
      <c r="K410" s="75"/>
      <c r="L410" s="75"/>
      <c r="M410" s="75"/>
      <c r="N410" s="75"/>
      <c r="O410" s="75"/>
      <c r="P410" s="75"/>
      <c r="Q410" s="75"/>
      <c r="R410" s="75"/>
      <c r="S410" s="75"/>
      <c r="T410" s="75"/>
    </row>
    <row r="411" spans="3:23" s="231" customFormat="1">
      <c r="C411" s="75"/>
      <c r="D411" s="75"/>
      <c r="E411" s="75"/>
      <c r="F411" s="75"/>
      <c r="G411" s="75"/>
      <c r="H411" s="75"/>
      <c r="I411" s="75"/>
      <c r="J411" s="75"/>
      <c r="K411" s="75"/>
      <c r="L411" s="75"/>
      <c r="M411" s="75"/>
      <c r="N411" s="75"/>
      <c r="O411" s="75"/>
      <c r="P411" s="75"/>
      <c r="Q411" s="75"/>
      <c r="R411" s="75"/>
      <c r="S411" s="75"/>
      <c r="T411" s="75"/>
    </row>
    <row r="412" spans="3:23" s="231" customFormat="1">
      <c r="C412" s="75"/>
      <c r="D412" s="75"/>
      <c r="E412" s="75"/>
      <c r="F412" s="75"/>
      <c r="G412" s="75"/>
      <c r="H412" s="75"/>
      <c r="I412" s="75"/>
      <c r="J412" s="75"/>
      <c r="K412" s="75"/>
      <c r="L412" s="75"/>
      <c r="M412" s="75"/>
      <c r="N412" s="75"/>
      <c r="O412" s="75"/>
      <c r="P412" s="75"/>
      <c r="Q412" s="75"/>
      <c r="R412" s="75"/>
      <c r="S412" s="75"/>
      <c r="T412" s="75"/>
    </row>
    <row r="413" spans="3:23" s="231" customFormat="1">
      <c r="C413" s="75"/>
      <c r="D413" s="75"/>
      <c r="E413" s="75"/>
      <c r="F413" s="75"/>
      <c r="G413" s="75"/>
      <c r="H413" s="75"/>
      <c r="I413" s="230">
        <f>1+I373</f>
        <v>8</v>
      </c>
      <c r="J413" s="75"/>
      <c r="K413" s="75"/>
      <c r="L413" s="75"/>
      <c r="M413" s="75"/>
      <c r="N413" s="75"/>
      <c r="O413" s="75"/>
      <c r="P413" s="75"/>
      <c r="Q413" s="75"/>
      <c r="R413" s="75"/>
      <c r="S413" s="75"/>
      <c r="T413" s="75"/>
    </row>
    <row r="414" spans="3:23" s="231" customFormat="1">
      <c r="C414" s="75"/>
      <c r="D414" s="75"/>
      <c r="E414" s="75"/>
      <c r="F414" s="75"/>
      <c r="G414" s="75"/>
      <c r="H414" s="75"/>
      <c r="I414" s="75"/>
      <c r="J414" s="75"/>
      <c r="K414" s="75"/>
      <c r="L414" s="75"/>
      <c r="M414" s="75"/>
      <c r="N414" s="75"/>
      <c r="O414" s="75"/>
      <c r="P414" s="75"/>
      <c r="Q414" s="75"/>
      <c r="R414" s="75"/>
      <c r="S414" s="75"/>
      <c r="T414" s="75"/>
    </row>
    <row r="415" spans="3:23" s="231" customFormat="1" ht="9.75" customHeight="1">
      <c r="C415" s="56"/>
      <c r="D415" s="56"/>
      <c r="E415" s="56"/>
      <c r="F415" s="56"/>
      <c r="G415" s="56"/>
      <c r="H415" s="56"/>
      <c r="I415" s="56"/>
      <c r="J415" s="56"/>
      <c r="K415" s="56"/>
      <c r="L415" s="56"/>
      <c r="M415" s="56"/>
      <c r="N415" s="56"/>
      <c r="O415" s="56"/>
      <c r="P415" s="56"/>
      <c r="Q415" s="56"/>
      <c r="R415" s="56"/>
      <c r="S415" s="56"/>
      <c r="T415" s="56"/>
    </row>
    <row r="416" spans="3:23" s="231" customFormat="1" ht="23.4">
      <c r="C416" s="200" t="s">
        <v>263</v>
      </c>
      <c r="D416" s="202" t="s">
        <v>394</v>
      </c>
      <c r="E416" s="202"/>
      <c r="F416" s="202"/>
      <c r="G416" s="202"/>
      <c r="H416" s="202"/>
      <c r="I416" s="200"/>
      <c r="J416" s="200"/>
      <c r="K416" s="200"/>
      <c r="L416" s="200"/>
      <c r="M416" s="200"/>
      <c r="N416" s="200"/>
      <c r="O416" s="200"/>
      <c r="P416" s="200"/>
      <c r="Q416" s="200"/>
      <c r="R416" s="200"/>
      <c r="S416" s="200"/>
      <c r="T416" s="200"/>
    </row>
    <row r="417" spans="2:20" s="231" customFormat="1" ht="5.4" customHeight="1"/>
    <row r="418" spans="2:20" s="231" customFormat="1" ht="5.4" customHeight="1">
      <c r="B418" s="203"/>
      <c r="C418" s="203"/>
      <c r="D418" s="203"/>
      <c r="E418" s="203"/>
      <c r="F418" s="203"/>
      <c r="G418" s="203"/>
      <c r="H418" s="203"/>
    </row>
    <row r="419" spans="2:20" s="231" customFormat="1" ht="17.25" customHeight="1">
      <c r="D419" s="934"/>
      <c r="E419" s="934"/>
      <c r="F419" s="934"/>
      <c r="G419" s="934"/>
      <c r="H419" s="934"/>
      <c r="I419" s="934"/>
      <c r="J419" s="934"/>
      <c r="K419" s="934"/>
      <c r="L419" s="934"/>
      <c r="M419" s="934"/>
      <c r="N419" s="934"/>
    </row>
    <row r="420" spans="2:20" s="231" customFormat="1">
      <c r="C420" s="75"/>
      <c r="O420" s="75"/>
      <c r="P420" s="75"/>
      <c r="Q420" s="75"/>
      <c r="R420" s="75"/>
      <c r="S420" s="75"/>
      <c r="T420" s="75"/>
    </row>
    <row r="421" spans="2:20" s="231" customFormat="1" ht="20.25" customHeight="1">
      <c r="C421" s="75"/>
      <c r="I421" s="75"/>
      <c r="J421" s="75"/>
      <c r="K421" s="75"/>
      <c r="L421" s="75"/>
      <c r="M421" s="75"/>
      <c r="N421" s="75"/>
      <c r="O421" s="75"/>
      <c r="P421" s="75"/>
      <c r="Q421" s="75"/>
      <c r="R421" s="75"/>
      <c r="S421" s="75"/>
      <c r="T421" s="75"/>
    </row>
    <row r="422" spans="2:20" s="231" customFormat="1">
      <c r="C422" s="75"/>
      <c r="I422" s="75"/>
      <c r="J422" s="75"/>
      <c r="K422" s="75"/>
      <c r="L422" s="75"/>
      <c r="M422" s="75"/>
      <c r="N422" s="75"/>
      <c r="O422" s="75"/>
      <c r="P422" s="75"/>
      <c r="Q422" s="75"/>
      <c r="R422" s="75"/>
      <c r="S422" s="75"/>
      <c r="T422" s="75"/>
    </row>
    <row r="423" spans="2:20" s="231" customFormat="1">
      <c r="C423" s="75"/>
      <c r="I423" s="75"/>
      <c r="J423" s="75"/>
      <c r="K423" s="75"/>
      <c r="L423" s="75"/>
      <c r="M423" s="75"/>
      <c r="N423" s="75"/>
      <c r="O423" s="75"/>
      <c r="P423" s="75"/>
      <c r="Q423" s="75"/>
      <c r="R423" s="75"/>
      <c r="S423" s="75"/>
      <c r="T423" s="75"/>
    </row>
    <row r="424" spans="2:20" s="231" customFormat="1">
      <c r="C424" s="75"/>
      <c r="I424" s="75"/>
      <c r="J424" s="75"/>
      <c r="K424" s="75"/>
      <c r="L424" s="75"/>
      <c r="M424" s="75"/>
      <c r="N424" s="75"/>
      <c r="O424" s="75"/>
      <c r="P424" s="75"/>
      <c r="Q424" s="75"/>
      <c r="R424" s="75"/>
      <c r="S424" s="75"/>
      <c r="T424" s="75"/>
    </row>
    <row r="425" spans="2:20" s="231" customFormat="1" ht="12.75" customHeight="1">
      <c r="C425" s="75"/>
      <c r="I425" s="75"/>
      <c r="J425" s="75"/>
      <c r="K425" s="75"/>
      <c r="L425" s="75"/>
      <c r="M425" s="75"/>
      <c r="N425" s="75"/>
      <c r="O425" s="75"/>
      <c r="P425" s="75"/>
      <c r="Q425" s="75"/>
      <c r="R425" s="75"/>
      <c r="S425" s="75"/>
      <c r="T425" s="75"/>
    </row>
    <row r="426" spans="2:20" s="231" customFormat="1">
      <c r="C426" s="75"/>
      <c r="I426" s="75"/>
      <c r="J426" s="75"/>
      <c r="K426" s="75"/>
      <c r="L426" s="75"/>
      <c r="M426" s="75"/>
      <c r="N426" s="75"/>
      <c r="O426" s="75"/>
      <c r="P426" s="75"/>
      <c r="Q426" s="75"/>
      <c r="R426" s="75"/>
      <c r="S426" s="75"/>
      <c r="T426" s="75"/>
    </row>
    <row r="427" spans="2:20" s="231" customFormat="1">
      <c r="C427" s="75"/>
      <c r="I427" s="75"/>
      <c r="J427" s="75"/>
      <c r="K427" s="75"/>
      <c r="L427" s="75"/>
      <c r="M427" s="75"/>
      <c r="N427" s="75"/>
      <c r="O427" s="75"/>
      <c r="P427" s="75"/>
      <c r="Q427" s="75"/>
      <c r="R427" s="75"/>
      <c r="S427" s="75"/>
      <c r="T427" s="75"/>
    </row>
    <row r="428" spans="2:20" s="231" customFormat="1">
      <c r="C428" s="75"/>
      <c r="I428" s="75"/>
      <c r="J428" s="75"/>
      <c r="K428" s="75"/>
      <c r="L428" s="75"/>
      <c r="M428" s="75"/>
      <c r="N428" s="75"/>
      <c r="O428" s="75"/>
      <c r="P428" s="75"/>
      <c r="Q428" s="75"/>
      <c r="R428" s="75"/>
      <c r="S428" s="75"/>
      <c r="T428" s="75"/>
    </row>
    <row r="429" spans="2:20" s="231" customFormat="1">
      <c r="C429" s="75"/>
      <c r="I429" s="75"/>
      <c r="J429" s="75"/>
      <c r="K429" s="75"/>
      <c r="L429" s="75"/>
      <c r="M429" s="75"/>
      <c r="N429" s="75"/>
      <c r="O429" s="75"/>
      <c r="P429" s="75"/>
      <c r="Q429" s="75"/>
      <c r="R429" s="75"/>
      <c r="S429" s="75"/>
      <c r="T429" s="75"/>
    </row>
    <row r="430" spans="2:20" s="231" customFormat="1">
      <c r="C430" s="75"/>
      <c r="I430" s="75"/>
      <c r="J430" s="75"/>
      <c r="K430" s="75"/>
      <c r="L430" s="75"/>
      <c r="M430" s="75"/>
      <c r="N430" s="75"/>
      <c r="O430" s="75"/>
      <c r="P430" s="75"/>
      <c r="Q430" s="75"/>
      <c r="R430" s="75"/>
      <c r="S430" s="75"/>
      <c r="T430" s="75"/>
    </row>
    <row r="431" spans="2:20" s="231" customFormat="1" ht="15" thickBot="1">
      <c r="C431" s="75"/>
      <c r="I431" s="75"/>
      <c r="K431" s="75"/>
      <c r="L431" s="223" t="s">
        <v>397</v>
      </c>
      <c r="M431" s="223" t="s">
        <v>398</v>
      </c>
      <c r="N431" s="223" t="s">
        <v>365</v>
      </c>
      <c r="O431" s="75"/>
      <c r="P431" s="75"/>
      <c r="Q431" s="75"/>
      <c r="R431" s="75"/>
      <c r="S431" s="75"/>
      <c r="T431" s="75"/>
    </row>
    <row r="432" spans="2:20" s="231" customFormat="1">
      <c r="C432" s="75"/>
      <c r="D432" s="75"/>
      <c r="E432" s="75"/>
      <c r="F432" s="75"/>
      <c r="G432" s="75"/>
      <c r="H432" s="75"/>
      <c r="I432" s="75"/>
      <c r="J432" s="935" t="s">
        <v>13</v>
      </c>
      <c r="K432" s="936"/>
      <c r="L432" s="245">
        <f>+'Tableau détaillé'!J683</f>
        <v>-0.2165685449957947</v>
      </c>
      <c r="M432" s="245">
        <f>+'Tableau détaillé'!K683</f>
        <v>0.55640385124404457</v>
      </c>
      <c r="N432" s="248">
        <f>+'Tableau détaillé'!L683</f>
        <v>-0.45166907851168725</v>
      </c>
      <c r="O432" s="75"/>
      <c r="P432" s="75"/>
      <c r="Q432" s="75"/>
      <c r="R432" s="75"/>
      <c r="S432" s="75"/>
      <c r="T432" s="75"/>
    </row>
    <row r="433" spans="3:23" s="231" customFormat="1">
      <c r="C433" s="75"/>
      <c r="D433" s="75"/>
      <c r="E433" s="75"/>
      <c r="F433" s="75"/>
      <c r="G433" s="75"/>
      <c r="H433" s="75"/>
      <c r="I433" s="75"/>
      <c r="J433" s="937" t="s">
        <v>14</v>
      </c>
      <c r="K433" s="938"/>
      <c r="L433" s="246">
        <f>+'Tableau détaillé'!J684</f>
        <v>-0.42287029930928632</v>
      </c>
      <c r="M433" s="246">
        <f>+'Tableau détaillé'!K684</f>
        <v>1.204081632653061</v>
      </c>
      <c r="N433" s="249">
        <f>+'Tableau détaillé'!L684</f>
        <v>-0.50193178054972964</v>
      </c>
      <c r="O433" s="75"/>
      <c r="P433" s="75"/>
      <c r="Q433" s="75"/>
      <c r="R433" s="75"/>
      <c r="S433" s="75"/>
      <c r="T433" s="75"/>
    </row>
    <row r="434" spans="3:23" s="231" customFormat="1">
      <c r="C434" s="75"/>
      <c r="D434" s="75"/>
      <c r="E434" s="75"/>
      <c r="F434" s="75"/>
      <c r="G434" s="75"/>
      <c r="H434" s="75"/>
      <c r="I434" s="75"/>
      <c r="J434" s="937" t="s">
        <v>17</v>
      </c>
      <c r="K434" s="938"/>
      <c r="L434" s="246">
        <f>+'Tableau détaillé'!J685</f>
        <v>-1.1790714812085601E-2</v>
      </c>
      <c r="M434" s="246">
        <f>+'Tableau détaillé'!K685</f>
        <v>1.0630018023922658</v>
      </c>
      <c r="N434" s="249">
        <f>+'Tableau détaillé'!L685</f>
        <v>4.8270470979089319E-2</v>
      </c>
      <c r="O434" s="75"/>
      <c r="P434" s="75"/>
      <c r="Q434" s="75"/>
      <c r="R434" s="75"/>
      <c r="S434" s="75"/>
      <c r="T434" s="75"/>
    </row>
    <row r="435" spans="3:23" s="231" customFormat="1">
      <c r="C435" s="75"/>
      <c r="D435" s="75"/>
      <c r="E435" s="75"/>
      <c r="F435" s="75"/>
      <c r="G435" s="75"/>
      <c r="H435" s="75"/>
      <c r="I435" s="204"/>
      <c r="J435" s="937" t="s">
        <v>18</v>
      </c>
      <c r="K435" s="938"/>
      <c r="L435" s="246">
        <f>+'Tableau détaillé'!J686</f>
        <v>-0.3294422827496758</v>
      </c>
      <c r="M435" s="246">
        <f>+'Tableau détaillé'!K686</f>
        <v>1.4099607458292445</v>
      </c>
      <c r="N435" s="249">
        <f>+'Tableau détaillé'!L686</f>
        <v>-0.32003507233669448</v>
      </c>
      <c r="O435" s="75"/>
      <c r="P435" s="75"/>
      <c r="Q435" s="75"/>
      <c r="R435" s="75"/>
      <c r="S435" s="75"/>
      <c r="T435" s="75"/>
    </row>
    <row r="436" spans="3:23" s="231" customFormat="1">
      <c r="C436" s="75"/>
      <c r="D436" s="75"/>
      <c r="E436" s="75"/>
      <c r="F436" s="75"/>
      <c r="G436" s="75"/>
      <c r="H436" s="75"/>
      <c r="I436" s="204"/>
      <c r="J436" s="937" t="s">
        <v>19</v>
      </c>
      <c r="K436" s="938"/>
      <c r="L436" s="246">
        <f>+'Tableau détaillé'!J687</f>
        <v>-0.3393870601589104</v>
      </c>
      <c r="M436" s="246">
        <f>+'Tableau détaillé'!K687</f>
        <v>-0.25242219612448624</v>
      </c>
      <c r="N436" s="249">
        <f>+'Tableau détaillé'!L687</f>
        <v>-0.14401274666012998</v>
      </c>
      <c r="O436" s="75"/>
      <c r="P436" s="75"/>
      <c r="Q436" s="75"/>
      <c r="R436" s="75"/>
      <c r="S436" s="75"/>
      <c r="T436" s="75"/>
    </row>
    <row r="437" spans="3:23" s="231" customFormat="1">
      <c r="C437" s="75"/>
      <c r="D437" s="75"/>
      <c r="E437" s="75"/>
      <c r="F437" s="75"/>
      <c r="G437" s="75"/>
      <c r="H437" s="75"/>
      <c r="J437" s="937" t="s">
        <v>21</v>
      </c>
      <c r="K437" s="938"/>
      <c r="L437" s="246">
        <f>+'Tableau détaillé'!J688</f>
        <v>-0.12931034482758619</v>
      </c>
      <c r="M437" s="246">
        <f>+'Tableau détaillé'!K688</f>
        <v>-0.33223140495867776</v>
      </c>
      <c r="N437" s="249">
        <f>+'Tableau détaillé'!L688</f>
        <v>-0.22456813819577737</v>
      </c>
      <c r="O437" s="75"/>
      <c r="P437" s="75"/>
      <c r="Q437" s="75"/>
      <c r="R437" s="75"/>
      <c r="S437" s="75"/>
      <c r="T437" s="75"/>
    </row>
    <row r="438" spans="3:23" s="231" customFormat="1">
      <c r="C438" s="75"/>
      <c r="D438" s="75"/>
      <c r="E438" s="75"/>
      <c r="F438" s="75"/>
      <c r="G438" s="75"/>
      <c r="H438" s="75"/>
      <c r="I438" s="206"/>
      <c r="J438" s="937" t="s">
        <v>22</v>
      </c>
      <c r="K438" s="938"/>
      <c r="L438" s="246">
        <f>+'Tableau détaillé'!J689</f>
        <v>-0.39194915254237284</v>
      </c>
      <c r="M438" s="246">
        <f>+'Tableau détaillé'!K689</f>
        <v>-0.30830039525691699</v>
      </c>
      <c r="N438" s="249">
        <f>+'Tableau détaillé'!L689</f>
        <v>-0.71974936935470746</v>
      </c>
      <c r="O438" s="206"/>
      <c r="P438" s="75"/>
      <c r="Q438" s="75"/>
      <c r="R438" s="75"/>
      <c r="S438" s="75"/>
      <c r="T438" s="75"/>
    </row>
    <row r="439" spans="3:23" s="231" customFormat="1">
      <c r="C439" s="75"/>
      <c r="D439" s="75"/>
      <c r="E439" s="75"/>
      <c r="F439" s="75"/>
      <c r="G439" s="75"/>
      <c r="H439" s="75"/>
      <c r="I439" s="204"/>
      <c r="J439" s="937" t="s">
        <v>15</v>
      </c>
      <c r="K439" s="938"/>
      <c r="L439" s="246">
        <f>+'Tableau détaillé'!J691</f>
        <v>-3.3503791218478796E-3</v>
      </c>
      <c r="M439" s="246">
        <f>+'Tableau détaillé'!K691</f>
        <v>-6.2965583870776221E-2</v>
      </c>
      <c r="N439" s="249">
        <f>+'Tableau détaillé'!L691</f>
        <v>-0.20302695588822817</v>
      </c>
      <c r="O439" s="75"/>
      <c r="P439" s="75"/>
      <c r="Q439" s="75"/>
      <c r="R439" s="75"/>
      <c r="S439" s="75"/>
      <c r="T439" s="75"/>
    </row>
    <row r="440" spans="3:23" s="231" customFormat="1">
      <c r="C440" s="75"/>
      <c r="D440" s="75"/>
      <c r="E440" s="75"/>
      <c r="F440" s="75"/>
      <c r="G440" s="75"/>
      <c r="H440" s="75"/>
      <c r="I440" s="204"/>
      <c r="J440" s="937" t="s">
        <v>16</v>
      </c>
      <c r="K440" s="938"/>
      <c r="L440" s="246">
        <f>+'Tableau détaillé'!J692</f>
        <v>-0.54386444383711385</v>
      </c>
      <c r="M440" s="246">
        <f>+'Tableau détaillé'!K692</f>
        <v>-9.7253113619725662E-2</v>
      </c>
      <c r="N440" s="249">
        <f>+'Tableau détaillé'!L692</f>
        <v>-0.46690090233969495</v>
      </c>
      <c r="O440" s="75"/>
      <c r="P440" s="75"/>
      <c r="Q440" s="75"/>
      <c r="R440" s="75"/>
      <c r="S440" s="75"/>
      <c r="T440" s="75"/>
    </row>
    <row r="441" spans="3:23" s="231" customFormat="1">
      <c r="C441" s="75"/>
      <c r="D441" s="75"/>
      <c r="E441" s="75"/>
      <c r="F441" s="75"/>
      <c r="G441" s="75"/>
      <c r="H441" s="75"/>
      <c r="I441" s="204"/>
      <c r="J441" s="937" t="s">
        <v>20</v>
      </c>
      <c r="K441" s="938"/>
      <c r="L441" s="246">
        <f>+'Tableau détaillé'!J693</f>
        <v>0.201201201201201</v>
      </c>
      <c r="M441" s="246">
        <f>+'Tableau détaillé'!K693</f>
        <v>0.98511166253101723</v>
      </c>
      <c r="N441" s="249">
        <f>+'Tableau détaillé'!L693</f>
        <v>0.37535816618911189</v>
      </c>
      <c r="O441" s="75"/>
      <c r="P441" s="75"/>
      <c r="Q441" s="75"/>
      <c r="R441" s="75"/>
      <c r="S441" s="75"/>
      <c r="T441" s="75"/>
    </row>
    <row r="442" spans="3:23" s="231" customFormat="1" ht="15" thickBot="1">
      <c r="C442" s="75"/>
      <c r="D442" s="75"/>
      <c r="E442" s="75"/>
      <c r="F442" s="75"/>
      <c r="G442" s="75"/>
      <c r="H442" s="75"/>
      <c r="I442" s="204"/>
      <c r="J442" s="939" t="s">
        <v>23</v>
      </c>
      <c r="K442" s="940"/>
      <c r="L442" s="247">
        <f>+'Tableau détaillé'!J694</f>
        <v>-0.15789473684210531</v>
      </c>
      <c r="M442" s="247">
        <f>+'Tableau détaillé'!K694</f>
        <v>-0.87037037037037035</v>
      </c>
      <c r="N442" s="250">
        <f>+'Tableau détaillé'!L694</f>
        <v>6.741573033707926E-3</v>
      </c>
      <c r="O442" s="75"/>
      <c r="P442" s="75"/>
      <c r="Q442" s="75"/>
      <c r="R442" s="75"/>
      <c r="S442" s="75"/>
      <c r="T442" s="75"/>
    </row>
    <row r="443" spans="3:23" s="231" customFormat="1" ht="15" thickBot="1">
      <c r="C443" s="75"/>
      <c r="D443" s="75"/>
      <c r="E443" s="75"/>
      <c r="F443" s="75"/>
      <c r="G443" s="75"/>
      <c r="H443" s="75"/>
      <c r="I443" s="75"/>
      <c r="J443" s="75"/>
      <c r="K443" s="75"/>
      <c r="L443" s="75"/>
      <c r="M443" s="75"/>
      <c r="N443" s="75"/>
      <c r="O443" s="75"/>
      <c r="P443" s="75"/>
      <c r="Q443" s="75"/>
      <c r="R443" s="75"/>
      <c r="S443" s="75"/>
      <c r="T443" s="75"/>
    </row>
    <row r="444" spans="3:23" s="231" customFormat="1">
      <c r="C444" s="75"/>
      <c r="D444" s="75"/>
      <c r="E444" s="75"/>
      <c r="F444" s="75"/>
      <c r="G444" s="75"/>
      <c r="H444" s="75"/>
      <c r="I444" s="75"/>
      <c r="J444" s="935" t="s">
        <v>145</v>
      </c>
      <c r="K444" s="936"/>
      <c r="L444" s="245">
        <f>+'Tableau détaillé'!J690</f>
        <v>-0.25953534600571493</v>
      </c>
      <c r="M444" s="245">
        <f>+'Tableau détaillé'!K690</f>
        <v>0.52829533958561514</v>
      </c>
      <c r="N444" s="248">
        <f>+'Tableau détaillé'!L690</f>
        <v>-0.37536572371811117</v>
      </c>
      <c r="O444" s="75"/>
      <c r="P444" s="75"/>
      <c r="Q444" s="75"/>
      <c r="R444" s="75"/>
      <c r="S444" s="75"/>
      <c r="T444" s="75"/>
    </row>
    <row r="445" spans="3:23" s="231" customFormat="1">
      <c r="C445" s="75"/>
      <c r="D445" s="75"/>
      <c r="E445" s="75"/>
      <c r="F445" s="75"/>
      <c r="G445" s="75"/>
      <c r="H445" s="75"/>
      <c r="I445" s="75"/>
      <c r="J445" s="937" t="s">
        <v>142</v>
      </c>
      <c r="K445" s="938"/>
      <c r="L445" s="246">
        <f>+'Tableau détaillé'!J695</f>
        <v>-0.18718530950735512</v>
      </c>
      <c r="M445" s="246">
        <f>+'Tableau détaillé'!K695</f>
        <v>-0.19368622954479708</v>
      </c>
      <c r="N445" s="249">
        <f>+'Tableau détaillé'!L695</f>
        <v>-0.24575145435390033</v>
      </c>
      <c r="O445" s="75"/>
      <c r="P445" s="75"/>
      <c r="Q445" s="75"/>
      <c r="R445" s="75"/>
      <c r="S445" s="75"/>
      <c r="T445" s="75"/>
    </row>
    <row r="446" spans="3:23" s="231" customFormat="1" ht="15" thickBot="1">
      <c r="C446" s="75"/>
      <c r="D446" s="75"/>
      <c r="E446" s="75"/>
      <c r="F446" s="75"/>
      <c r="G446" s="75"/>
      <c r="H446" s="75"/>
      <c r="I446" s="75"/>
      <c r="J446" s="939" t="s">
        <v>209</v>
      </c>
      <c r="K446" s="940"/>
      <c r="L446" s="247">
        <f>+'Tableau détaillé'!J682</f>
        <v>-0.21922103641764767</v>
      </c>
      <c r="M446" s="247">
        <f>+'Tableau détaillé'!K682</f>
        <v>0.1439482143758779</v>
      </c>
      <c r="N446" s="250">
        <f>+'Tableau détaillé'!L682</f>
        <v>-0.30620608183799414</v>
      </c>
      <c r="O446" s="75"/>
      <c r="P446" s="75"/>
      <c r="Q446" s="75"/>
      <c r="R446" s="75"/>
      <c r="S446" s="75"/>
      <c r="T446" s="75"/>
    </row>
    <row r="447" spans="3:23" s="231" customFormat="1">
      <c r="C447" s="75"/>
      <c r="D447" s="75"/>
      <c r="E447" s="75"/>
      <c r="F447" s="75"/>
      <c r="G447" s="75"/>
      <c r="H447" s="75"/>
      <c r="I447" s="75"/>
      <c r="J447" s="75"/>
      <c r="K447" s="75"/>
      <c r="L447" s="75"/>
      <c r="M447" s="75"/>
      <c r="N447" s="75"/>
      <c r="O447" s="75"/>
      <c r="P447" s="75"/>
      <c r="Q447" s="75"/>
      <c r="R447" s="75"/>
      <c r="S447" s="75"/>
      <c r="T447" s="75"/>
    </row>
    <row r="448" spans="3:23" s="231" customFormat="1">
      <c r="C448" s="75"/>
      <c r="D448" s="75"/>
      <c r="E448" s="75"/>
      <c r="F448" s="75"/>
      <c r="G448" s="75"/>
      <c r="H448" s="75"/>
      <c r="I448" s="75"/>
      <c r="J448" s="75"/>
      <c r="K448" s="75"/>
      <c r="L448" s="75"/>
      <c r="M448" s="75"/>
      <c r="N448" s="75"/>
      <c r="O448" s="75"/>
      <c r="P448" s="75"/>
      <c r="Q448" s="75"/>
      <c r="R448" s="75"/>
      <c r="S448" s="75"/>
      <c r="T448" s="75"/>
      <c r="W448" s="231">
        <f>88+44</f>
        <v>132</v>
      </c>
    </row>
    <row r="449" spans="2:20" s="231" customFormat="1">
      <c r="C449" s="75"/>
      <c r="D449" s="75"/>
      <c r="E449" s="75"/>
      <c r="F449" s="75"/>
      <c r="G449" s="75"/>
      <c r="H449" s="75"/>
      <c r="I449" s="75"/>
      <c r="J449" s="75"/>
      <c r="K449" s="75"/>
      <c r="L449" s="75"/>
      <c r="M449" s="75"/>
      <c r="N449" s="75"/>
      <c r="O449" s="75"/>
      <c r="P449" s="75"/>
      <c r="Q449" s="75"/>
      <c r="R449" s="75"/>
      <c r="S449" s="75"/>
      <c r="T449" s="75"/>
    </row>
    <row r="450" spans="2:20" s="231" customFormat="1" ht="7.5" customHeight="1">
      <c r="C450" s="75"/>
      <c r="D450" s="75"/>
      <c r="E450" s="75"/>
      <c r="F450" s="75"/>
      <c r="G450" s="75"/>
      <c r="H450" s="75"/>
      <c r="I450" s="75"/>
      <c r="J450" s="75"/>
      <c r="K450" s="75"/>
      <c r="L450" s="75"/>
      <c r="M450" s="75"/>
      <c r="N450" s="75"/>
      <c r="O450" s="75"/>
      <c r="P450" s="75"/>
      <c r="Q450" s="75"/>
      <c r="R450" s="75"/>
      <c r="S450" s="75"/>
      <c r="T450" s="75"/>
    </row>
    <row r="451" spans="2:20" s="231" customFormat="1">
      <c r="C451" s="75"/>
      <c r="D451" s="75"/>
      <c r="E451" s="75"/>
      <c r="F451" s="75"/>
      <c r="G451" s="75"/>
      <c r="H451" s="75"/>
      <c r="I451" s="75"/>
      <c r="J451" s="75"/>
      <c r="K451" s="75"/>
      <c r="L451" s="75"/>
      <c r="M451" s="75"/>
      <c r="N451" s="75"/>
      <c r="O451" s="75"/>
      <c r="P451" s="75"/>
      <c r="Q451" s="75"/>
      <c r="R451" s="75"/>
      <c r="S451" s="75"/>
      <c r="T451" s="75"/>
    </row>
    <row r="452" spans="2:20" s="231" customFormat="1">
      <c r="C452" s="75"/>
      <c r="D452" s="75"/>
      <c r="E452" s="75"/>
      <c r="F452" s="75"/>
      <c r="G452" s="75"/>
      <c r="H452" s="75"/>
      <c r="I452" s="75"/>
      <c r="J452" s="75"/>
      <c r="K452" s="75"/>
      <c r="L452" s="75"/>
      <c r="M452" s="75"/>
      <c r="N452" s="75"/>
      <c r="O452" s="75"/>
      <c r="P452" s="75"/>
      <c r="Q452" s="75"/>
      <c r="R452" s="75"/>
      <c r="S452" s="75"/>
      <c r="T452" s="75"/>
    </row>
    <row r="453" spans="2:20" s="231" customFormat="1">
      <c r="C453" s="75"/>
      <c r="D453" s="75"/>
      <c r="E453" s="75"/>
      <c r="F453" s="75"/>
      <c r="G453" s="75"/>
      <c r="H453" s="75"/>
      <c r="I453" s="230">
        <f>1+I413</f>
        <v>9</v>
      </c>
      <c r="J453" s="75"/>
      <c r="K453" s="75"/>
      <c r="L453" s="75"/>
      <c r="M453" s="75"/>
      <c r="N453" s="75"/>
      <c r="O453" s="75"/>
      <c r="P453" s="75"/>
      <c r="Q453" s="75"/>
      <c r="R453" s="75"/>
      <c r="S453" s="75"/>
      <c r="T453" s="75"/>
    </row>
    <row r="454" spans="2:20" s="231" customFormat="1">
      <c r="C454" s="75"/>
      <c r="D454" s="75"/>
      <c r="E454" s="75"/>
      <c r="F454" s="75"/>
      <c r="G454" s="75"/>
      <c r="H454" s="75"/>
      <c r="I454" s="75"/>
      <c r="J454" s="75"/>
      <c r="K454" s="75"/>
      <c r="L454" s="75"/>
      <c r="M454" s="75"/>
      <c r="N454" s="75"/>
      <c r="O454" s="75"/>
      <c r="P454" s="75"/>
      <c r="Q454" s="75"/>
      <c r="R454" s="75"/>
      <c r="S454" s="75"/>
      <c r="T454" s="75"/>
    </row>
    <row r="455" spans="2:20" s="231" customFormat="1" ht="9.75" customHeight="1">
      <c r="C455" s="56"/>
      <c r="D455" s="56"/>
      <c r="E455" s="56"/>
      <c r="F455" s="56"/>
      <c r="G455" s="56"/>
      <c r="H455" s="56"/>
      <c r="I455" s="56"/>
      <c r="J455" s="56"/>
      <c r="K455" s="56"/>
      <c r="L455" s="56"/>
      <c r="M455" s="56"/>
      <c r="N455" s="56"/>
      <c r="O455" s="56"/>
      <c r="P455" s="56"/>
      <c r="Q455" s="56"/>
      <c r="R455" s="56"/>
      <c r="S455" s="56"/>
      <c r="T455" s="56"/>
    </row>
    <row r="456" spans="2:20" s="231" customFormat="1" ht="23.4">
      <c r="C456" s="200" t="s">
        <v>263</v>
      </c>
      <c r="D456" s="202" t="s">
        <v>393</v>
      </c>
      <c r="E456" s="202"/>
      <c r="F456" s="202"/>
      <c r="G456" s="202"/>
      <c r="H456" s="202"/>
      <c r="I456" s="200"/>
      <c r="J456" s="200"/>
      <c r="K456" s="200"/>
      <c r="L456" s="200"/>
      <c r="M456" s="200"/>
      <c r="N456" s="200"/>
      <c r="O456" s="200"/>
      <c r="P456" s="200"/>
      <c r="Q456" s="200"/>
      <c r="R456" s="200"/>
      <c r="S456" s="200"/>
      <c r="T456" s="200"/>
    </row>
    <row r="457" spans="2:20" s="231" customFormat="1" ht="5.4" customHeight="1"/>
    <row r="458" spans="2:20" s="231" customFormat="1" ht="5.4" customHeight="1">
      <c r="B458" s="203"/>
      <c r="C458" s="203"/>
      <c r="D458" s="203"/>
      <c r="E458" s="203"/>
      <c r="F458" s="203"/>
      <c r="G458" s="203"/>
      <c r="H458" s="203"/>
    </row>
    <row r="459" spans="2:20" s="231" customFormat="1" ht="17.25" customHeight="1">
      <c r="D459" s="934"/>
      <c r="E459" s="934"/>
      <c r="F459" s="934"/>
      <c r="G459" s="934"/>
      <c r="H459" s="934"/>
      <c r="I459" s="934"/>
      <c r="J459" s="934"/>
      <c r="K459" s="934"/>
      <c r="L459" s="934"/>
      <c r="M459" s="934"/>
      <c r="N459" s="934"/>
    </row>
    <row r="460" spans="2:20" s="231" customFormat="1">
      <c r="C460" s="75"/>
      <c r="O460" s="75"/>
      <c r="P460" s="75"/>
      <c r="Q460" s="75"/>
      <c r="R460" s="75"/>
      <c r="S460" s="75"/>
      <c r="T460" s="75"/>
    </row>
    <row r="461" spans="2:20" s="231" customFormat="1" ht="20.25" customHeight="1">
      <c r="C461" s="75"/>
      <c r="I461" s="75"/>
      <c r="J461" s="75"/>
      <c r="K461" s="75"/>
      <c r="L461" s="75"/>
      <c r="M461" s="75"/>
      <c r="N461" s="75"/>
      <c r="O461" s="75"/>
      <c r="P461" s="75"/>
      <c r="Q461" s="75"/>
      <c r="R461" s="75"/>
      <c r="S461" s="75"/>
      <c r="T461" s="75"/>
    </row>
    <row r="462" spans="2:20" s="231" customFormat="1">
      <c r="C462" s="75"/>
      <c r="I462" s="75"/>
      <c r="J462" s="75"/>
      <c r="K462" s="75"/>
      <c r="L462" s="75"/>
      <c r="M462" s="75"/>
      <c r="N462" s="75"/>
      <c r="O462" s="75"/>
      <c r="P462" s="75"/>
      <c r="Q462" s="75"/>
      <c r="R462" s="75"/>
      <c r="S462" s="75"/>
      <c r="T462" s="75"/>
    </row>
    <row r="463" spans="2:20" s="231" customFormat="1">
      <c r="C463" s="75"/>
      <c r="I463" s="75"/>
      <c r="J463" s="75"/>
      <c r="K463" s="75"/>
      <c r="L463" s="75"/>
      <c r="M463" s="75"/>
      <c r="N463" s="75"/>
      <c r="O463" s="75"/>
      <c r="P463" s="75"/>
      <c r="Q463" s="75"/>
      <c r="R463" s="75"/>
      <c r="S463" s="75"/>
      <c r="T463" s="75"/>
    </row>
    <row r="464" spans="2:20" s="231" customFormat="1">
      <c r="C464" s="75"/>
      <c r="I464" s="75"/>
      <c r="J464" s="75"/>
      <c r="K464" s="75"/>
      <c r="L464" s="75"/>
      <c r="M464" s="75"/>
      <c r="N464" s="75"/>
      <c r="O464" s="75"/>
      <c r="P464" s="75"/>
      <c r="Q464" s="75"/>
      <c r="R464" s="75"/>
      <c r="S464" s="75"/>
      <c r="T464" s="75"/>
    </row>
    <row r="465" spans="3:20" s="231" customFormat="1" ht="12.75" customHeight="1">
      <c r="C465" s="75"/>
      <c r="I465" s="75"/>
      <c r="J465" s="75"/>
      <c r="K465" s="75"/>
      <c r="L465" s="75"/>
      <c r="M465" s="75"/>
      <c r="N465" s="75"/>
      <c r="O465" s="75"/>
      <c r="P465" s="75"/>
      <c r="Q465" s="75"/>
      <c r="R465" s="75"/>
      <c r="S465" s="75"/>
      <c r="T465" s="75"/>
    </row>
    <row r="466" spans="3:20" s="231" customFormat="1">
      <c r="C466" s="75"/>
      <c r="I466" s="75"/>
      <c r="J466" s="75"/>
      <c r="K466" s="75"/>
      <c r="L466" s="75"/>
      <c r="M466" s="75"/>
      <c r="N466" s="75"/>
      <c r="O466" s="75"/>
      <c r="P466" s="75"/>
      <c r="Q466" s="75"/>
      <c r="R466" s="75"/>
      <c r="S466" s="75"/>
      <c r="T466" s="75"/>
    </row>
    <row r="467" spans="3:20" s="231" customFormat="1">
      <c r="C467" s="75"/>
      <c r="I467" s="75"/>
      <c r="J467" s="75"/>
      <c r="K467" s="75"/>
      <c r="L467" s="75"/>
      <c r="M467" s="75"/>
      <c r="N467" s="75"/>
      <c r="O467" s="75"/>
      <c r="P467" s="75"/>
      <c r="Q467" s="75"/>
      <c r="R467" s="75"/>
      <c r="S467" s="75"/>
      <c r="T467" s="75"/>
    </row>
    <row r="468" spans="3:20" s="231" customFormat="1">
      <c r="C468" s="75"/>
      <c r="I468" s="75"/>
      <c r="J468" s="75"/>
      <c r="K468" s="75"/>
      <c r="L468" s="75"/>
      <c r="M468" s="75"/>
      <c r="N468" s="75"/>
      <c r="O468" s="75"/>
      <c r="P468" s="75"/>
      <c r="Q468" s="75"/>
      <c r="R468" s="75"/>
      <c r="S468" s="75"/>
      <c r="T468" s="75"/>
    </row>
    <row r="469" spans="3:20" s="231" customFormat="1">
      <c r="C469" s="75"/>
      <c r="I469" s="75"/>
      <c r="J469" s="75"/>
      <c r="K469" s="75"/>
      <c r="L469" s="75"/>
      <c r="M469" s="75"/>
      <c r="N469" s="75"/>
      <c r="O469" s="75"/>
      <c r="P469" s="75"/>
      <c r="Q469" s="75"/>
      <c r="R469" s="75"/>
      <c r="S469" s="75"/>
      <c r="T469" s="75"/>
    </row>
    <row r="470" spans="3:20" s="231" customFormat="1">
      <c r="C470" s="75"/>
      <c r="I470" s="75"/>
      <c r="J470" s="75"/>
      <c r="K470" s="75"/>
      <c r="L470" s="75"/>
      <c r="M470" s="75"/>
      <c r="N470" s="75"/>
      <c r="O470" s="75"/>
      <c r="P470" s="75"/>
      <c r="Q470" s="75"/>
      <c r="R470" s="75"/>
      <c r="S470" s="75"/>
      <c r="T470" s="75"/>
    </row>
    <row r="471" spans="3:20" s="231" customFormat="1" ht="15" thickBot="1">
      <c r="C471" s="75"/>
      <c r="I471" s="75"/>
      <c r="K471" s="75"/>
      <c r="L471" s="223" t="s">
        <v>397</v>
      </c>
      <c r="M471" s="223" t="s">
        <v>398</v>
      </c>
      <c r="N471" s="223" t="s">
        <v>365</v>
      </c>
      <c r="O471" s="75"/>
      <c r="P471" s="75"/>
      <c r="Q471" s="75"/>
      <c r="R471" s="75"/>
      <c r="S471" s="75"/>
      <c r="T471" s="75"/>
    </row>
    <row r="472" spans="3:20" s="231" customFormat="1">
      <c r="C472" s="75"/>
      <c r="D472" s="75"/>
      <c r="E472" s="75"/>
      <c r="F472" s="75"/>
      <c r="G472" s="75"/>
      <c r="H472" s="75"/>
      <c r="I472" s="75"/>
      <c r="J472" s="935" t="s">
        <v>13</v>
      </c>
      <c r="K472" s="936"/>
      <c r="L472" s="245">
        <f>+'Tableau détaillé'!J752</f>
        <v>-0.21196454948301324</v>
      </c>
      <c r="M472" s="245">
        <f>+'Tableau détaillé'!K752</f>
        <v>0.71367736108284152</v>
      </c>
      <c r="N472" s="248">
        <f>+'Tableau détaillé'!L752</f>
        <v>-0.31178310740354542</v>
      </c>
      <c r="O472" s="75"/>
      <c r="P472" s="75"/>
      <c r="Q472" s="75"/>
      <c r="R472" s="75"/>
      <c r="S472" s="75"/>
      <c r="T472" s="75"/>
    </row>
    <row r="473" spans="3:20" s="231" customFormat="1">
      <c r="C473" s="75"/>
      <c r="D473" s="75"/>
      <c r="E473" s="75"/>
      <c r="F473" s="75"/>
      <c r="G473" s="75"/>
      <c r="H473" s="75"/>
      <c r="I473" s="75"/>
      <c r="J473" s="937" t="s">
        <v>14</v>
      </c>
      <c r="K473" s="938"/>
      <c r="L473" s="246">
        <f>+'Tableau détaillé'!J753</f>
        <v>-0.5762514551804423</v>
      </c>
      <c r="M473" s="246">
        <f>+'Tableau détaillé'!K753</f>
        <v>-9.3803786574870984E-2</v>
      </c>
      <c r="N473" s="249">
        <f>+'Tableau détaillé'!L753</f>
        <v>-0.50738694034058873</v>
      </c>
      <c r="O473" s="75"/>
      <c r="P473" s="75"/>
      <c r="Q473" s="75"/>
      <c r="R473" s="75"/>
      <c r="S473" s="75"/>
      <c r="T473" s="75"/>
    </row>
    <row r="474" spans="3:20" s="231" customFormat="1">
      <c r="C474" s="75"/>
      <c r="D474" s="75"/>
      <c r="E474" s="75"/>
      <c r="F474" s="75"/>
      <c r="G474" s="75"/>
      <c r="H474" s="75"/>
      <c r="I474" s="75"/>
      <c r="J474" s="937" t="s">
        <v>17</v>
      </c>
      <c r="K474" s="938"/>
      <c r="L474" s="246">
        <f>+'Tableau détaillé'!J754</f>
        <v>9.6059113300492438E-2</v>
      </c>
      <c r="M474" s="246">
        <f>+'Tableau détaillé'!K754</f>
        <v>-0.29173494565933966</v>
      </c>
      <c r="N474" s="249">
        <f>+'Tableau détaillé'!L754</f>
        <v>-0.25021061499578789</v>
      </c>
      <c r="O474" s="75"/>
      <c r="P474" s="75"/>
      <c r="Q474" s="75"/>
      <c r="R474" s="75"/>
      <c r="S474" s="75"/>
      <c r="T474" s="75"/>
    </row>
    <row r="475" spans="3:20" s="231" customFormat="1">
      <c r="C475" s="75"/>
      <c r="D475" s="75"/>
      <c r="E475" s="75"/>
      <c r="F475" s="75"/>
      <c r="G475" s="75"/>
      <c r="H475" s="75"/>
      <c r="I475" s="204"/>
      <c r="J475" s="937" t="s">
        <v>18</v>
      </c>
      <c r="K475" s="938"/>
      <c r="L475" s="246">
        <f>+'Tableau détaillé'!J755</f>
        <v>-0.20697167755991286</v>
      </c>
      <c r="M475" s="246">
        <f>+'Tableau détaillé'!K755</f>
        <v>0.63113207547169803</v>
      </c>
      <c r="N475" s="249">
        <f>+'Tableau détaillé'!L755</f>
        <v>-0.31920199501246882</v>
      </c>
      <c r="O475" s="75"/>
      <c r="P475" s="75"/>
      <c r="Q475" s="75"/>
      <c r="R475" s="75"/>
      <c r="S475" s="75"/>
      <c r="T475" s="75"/>
    </row>
    <row r="476" spans="3:20" s="231" customFormat="1">
      <c r="C476" s="75"/>
      <c r="D476" s="75"/>
      <c r="E476" s="75"/>
      <c r="F476" s="75"/>
      <c r="G476" s="75"/>
      <c r="H476" s="75"/>
      <c r="I476" s="204"/>
      <c r="J476" s="937" t="s">
        <v>19</v>
      </c>
      <c r="K476" s="938"/>
      <c r="L476" s="246">
        <f>+'Tableau détaillé'!J756</f>
        <v>-0.41379310344827591</v>
      </c>
      <c r="M476" s="246">
        <f>+'Tableau détaillé'!K756</f>
        <v>-0.24968474148802022</v>
      </c>
      <c r="N476" s="249">
        <f>+'Tableau détaillé'!L756</f>
        <v>-0.40350877192982448</v>
      </c>
      <c r="O476" s="75"/>
      <c r="P476" s="75"/>
      <c r="Q476" s="75"/>
      <c r="R476" s="75"/>
      <c r="S476" s="75"/>
      <c r="T476" s="75"/>
    </row>
    <row r="477" spans="3:20" s="231" customFormat="1">
      <c r="C477" s="75"/>
      <c r="D477" s="75"/>
      <c r="E477" s="75"/>
      <c r="F477" s="75"/>
      <c r="G477" s="75"/>
      <c r="H477" s="75"/>
      <c r="J477" s="937" t="s">
        <v>21</v>
      </c>
      <c r="K477" s="938"/>
      <c r="L477" s="246">
        <f>+'Tableau détaillé'!J757</f>
        <v>-0.15384615384615385</v>
      </c>
      <c r="M477" s="246">
        <f>+'Tableau détaillé'!K757</f>
        <v>-0.67407407407407405</v>
      </c>
      <c r="N477" s="249">
        <f>+'Tableau détaillé'!L757</f>
        <v>-0.5629139072847682</v>
      </c>
      <c r="O477" s="75"/>
      <c r="P477" s="75"/>
      <c r="Q477" s="75"/>
      <c r="R477" s="75"/>
      <c r="S477" s="75"/>
      <c r="T477" s="75"/>
    </row>
    <row r="478" spans="3:20" s="231" customFormat="1">
      <c r="C478" s="75"/>
      <c r="D478" s="75"/>
      <c r="E478" s="75"/>
      <c r="F478" s="75"/>
      <c r="G478" s="75"/>
      <c r="H478" s="75"/>
      <c r="I478" s="206"/>
      <c r="J478" s="937" t="s">
        <v>22</v>
      </c>
      <c r="K478" s="938"/>
      <c r="L478" s="246">
        <f>+'Tableau détaillé'!J758</f>
        <v>0.41176470588235303</v>
      </c>
      <c r="M478" s="246">
        <f>+'Tableau détaillé'!K758</f>
        <v>1.1739130434782608</v>
      </c>
      <c r="N478" s="249">
        <f>+'Tableau détaillé'!L758</f>
        <v>9.090909090909105E-2</v>
      </c>
      <c r="O478" s="206"/>
      <c r="P478" s="75"/>
      <c r="Q478" s="75"/>
      <c r="R478" s="75"/>
      <c r="S478" s="75"/>
      <c r="T478" s="75"/>
    </row>
    <row r="479" spans="3:20" s="231" customFormat="1">
      <c r="C479" s="75"/>
      <c r="D479" s="75"/>
      <c r="E479" s="75"/>
      <c r="F479" s="75"/>
      <c r="G479" s="75"/>
      <c r="H479" s="75"/>
      <c r="I479" s="204"/>
      <c r="J479" s="937" t="s">
        <v>15</v>
      </c>
      <c r="K479" s="938"/>
      <c r="L479" s="246">
        <f>+'Tableau détaillé'!J760</f>
        <v>0.25136861313868608</v>
      </c>
      <c r="M479" s="246">
        <f>+'Tableau détaillé'!K760</f>
        <v>0.53524655241474006</v>
      </c>
      <c r="N479" s="249">
        <f>+'Tableau détaillé'!L760</f>
        <v>0.12795558906175053</v>
      </c>
      <c r="O479" s="75"/>
      <c r="P479" s="75"/>
      <c r="Q479" s="75"/>
      <c r="R479" s="75"/>
      <c r="S479" s="75"/>
      <c r="T479" s="75"/>
    </row>
    <row r="480" spans="3:20" s="231" customFormat="1">
      <c r="C480" s="75"/>
      <c r="D480" s="75"/>
      <c r="E480" s="75"/>
      <c r="F480" s="75"/>
      <c r="G480" s="75"/>
      <c r="H480" s="75"/>
      <c r="I480" s="204"/>
      <c r="J480" s="937" t="s">
        <v>16</v>
      </c>
      <c r="K480" s="938"/>
      <c r="L480" s="246">
        <f>+'Tableau détaillé'!J761</f>
        <v>-0.24808184143222511</v>
      </c>
      <c r="M480" s="246">
        <f>+'Tableau détaillé'!K761</f>
        <v>-0.22579766404467594</v>
      </c>
      <c r="N480" s="249">
        <f>+'Tableau détaillé'!L761</f>
        <v>-0.34581865381049515</v>
      </c>
      <c r="O480" s="75"/>
      <c r="P480" s="75"/>
      <c r="Q480" s="75"/>
      <c r="R480" s="75"/>
      <c r="S480" s="75"/>
      <c r="T480" s="75"/>
    </row>
    <row r="481" spans="3:23" s="231" customFormat="1">
      <c r="C481" s="75"/>
      <c r="D481" s="75"/>
      <c r="E481" s="75"/>
      <c r="F481" s="75"/>
      <c r="G481" s="75"/>
      <c r="H481" s="75"/>
      <c r="I481" s="204"/>
      <c r="J481" s="937" t="s">
        <v>20</v>
      </c>
      <c r="K481" s="938"/>
      <c r="L481" s="246">
        <f>+'Tableau détaillé'!J762</f>
        <v>-6.0606060606060552E-2</v>
      </c>
      <c r="M481" s="246">
        <f>+'Tableau détaillé'!K762</f>
        <v>-0.51515151515151514</v>
      </c>
      <c r="N481" s="249">
        <f>+'Tableau détaillé'!L762</f>
        <v>-0.3597246127366609</v>
      </c>
      <c r="O481" s="75"/>
      <c r="P481" s="75"/>
      <c r="Q481" s="75"/>
      <c r="R481" s="75"/>
      <c r="S481" s="75"/>
      <c r="T481" s="75"/>
    </row>
    <row r="482" spans="3:23" s="231" customFormat="1" ht="15" thickBot="1">
      <c r="C482" s="75"/>
      <c r="D482" s="75"/>
      <c r="E482" s="75"/>
      <c r="F482" s="75"/>
      <c r="G482" s="75"/>
      <c r="H482" s="75"/>
      <c r="I482" s="204"/>
      <c r="J482" s="939" t="s">
        <v>23</v>
      </c>
      <c r="K482" s="940"/>
      <c r="L482" s="247">
        <f>+'Tableau détaillé'!J763</f>
        <v>-0.12941176470588234</v>
      </c>
      <c r="M482" s="247">
        <f>+'Tableau détaillé'!K763</f>
        <v>-0.97240865026099921</v>
      </c>
      <c r="N482" s="250">
        <f>+'Tableau détaillé'!L763</f>
        <v>-0.71907624169566597</v>
      </c>
      <c r="O482" s="75"/>
      <c r="P482" s="75"/>
      <c r="Q482" s="75"/>
      <c r="R482" s="75"/>
      <c r="S482" s="75"/>
      <c r="T482" s="75"/>
    </row>
    <row r="483" spans="3:23" s="231" customFormat="1" ht="15" thickBot="1">
      <c r="C483" s="75"/>
      <c r="D483" s="75"/>
      <c r="E483" s="75"/>
      <c r="F483" s="75"/>
      <c r="G483" s="75"/>
      <c r="H483" s="75"/>
      <c r="I483" s="75"/>
      <c r="J483" s="75"/>
      <c r="K483" s="75"/>
      <c r="L483" s="75"/>
      <c r="M483" s="75"/>
      <c r="N483" s="75"/>
      <c r="O483" s="75"/>
      <c r="P483" s="75"/>
      <c r="Q483" s="75"/>
      <c r="R483" s="75"/>
      <c r="S483" s="75"/>
      <c r="T483" s="75"/>
    </row>
    <row r="484" spans="3:23" s="231" customFormat="1">
      <c r="C484" s="75"/>
      <c r="D484" s="75"/>
      <c r="E484" s="75"/>
      <c r="F484" s="75"/>
      <c r="G484" s="75"/>
      <c r="H484" s="75"/>
      <c r="I484" s="75"/>
      <c r="J484" s="935" t="s">
        <v>145</v>
      </c>
      <c r="K484" s="936"/>
      <c r="L484" s="245">
        <f>+'Tableau détaillé'!J759</f>
        <v>-0.23362852481938934</v>
      </c>
      <c r="M484" s="245">
        <f>+'Tableau détaillé'!K759</f>
        <v>0.43544136286882162</v>
      </c>
      <c r="N484" s="248">
        <f>+'Tableau détaillé'!L759</f>
        <v>-0.32357428135552546</v>
      </c>
      <c r="O484" s="75"/>
      <c r="P484" s="75"/>
      <c r="Q484" s="75"/>
      <c r="R484" s="75"/>
      <c r="S484" s="75"/>
      <c r="T484" s="75"/>
    </row>
    <row r="485" spans="3:23" s="231" customFormat="1">
      <c r="C485" s="75"/>
      <c r="D485" s="75"/>
      <c r="E485" s="75"/>
      <c r="F485" s="75"/>
      <c r="G485" s="75"/>
      <c r="H485" s="75"/>
      <c r="I485" s="75"/>
      <c r="J485" s="937" t="s">
        <v>142</v>
      </c>
      <c r="K485" s="938"/>
      <c r="L485" s="246">
        <f>+'Tableau détaillé'!J764</f>
        <v>0.11125485122897794</v>
      </c>
      <c r="M485" s="246">
        <f>+'Tableau détaillé'!K764</f>
        <v>-1.5178040633063161E-2</v>
      </c>
      <c r="N485" s="249">
        <f>+'Tableau détaillé'!L764</f>
        <v>-5.6691832532601349E-2</v>
      </c>
      <c r="O485" s="75"/>
      <c r="P485" s="75"/>
      <c r="Q485" s="75"/>
      <c r="R485" s="75"/>
      <c r="S485" s="75"/>
      <c r="T485" s="75"/>
    </row>
    <row r="486" spans="3:23" s="231" customFormat="1" ht="15" thickBot="1">
      <c r="C486" s="75"/>
      <c r="D486" s="75"/>
      <c r="E486" s="75"/>
      <c r="F486" s="75"/>
      <c r="G486" s="75"/>
      <c r="H486" s="75"/>
      <c r="I486" s="75"/>
      <c r="J486" s="939" t="s">
        <v>209</v>
      </c>
      <c r="K486" s="940"/>
      <c r="L486" s="247">
        <f>+'Tableau détaillé'!J751</f>
        <v>-0.14228199417508991</v>
      </c>
      <c r="M486" s="247">
        <f>+'Tableau détaillé'!K751</f>
        <v>0.19689483163443322</v>
      </c>
      <c r="N486" s="250">
        <f>+'Tableau détaillé'!L751</f>
        <v>-0.25084170885602408</v>
      </c>
      <c r="O486" s="75"/>
      <c r="P486" s="75"/>
      <c r="Q486" s="75"/>
      <c r="R486" s="75"/>
      <c r="S486" s="75"/>
      <c r="T486" s="75"/>
    </row>
    <row r="487" spans="3:23" s="231" customFormat="1">
      <c r="C487" s="75"/>
      <c r="D487" s="75"/>
      <c r="E487" s="75"/>
      <c r="F487" s="75"/>
      <c r="G487" s="75"/>
      <c r="H487" s="75"/>
      <c r="I487" s="75"/>
      <c r="J487" s="75"/>
      <c r="K487" s="75"/>
      <c r="L487" s="75"/>
      <c r="M487" s="75"/>
      <c r="N487" s="75"/>
      <c r="O487" s="75"/>
      <c r="P487" s="75"/>
      <c r="Q487" s="75"/>
      <c r="R487" s="75"/>
      <c r="S487" s="75"/>
      <c r="T487" s="75"/>
    </row>
    <row r="488" spans="3:23" s="231" customFormat="1">
      <c r="C488" s="75"/>
      <c r="D488" s="75"/>
      <c r="E488" s="75"/>
      <c r="F488" s="75"/>
      <c r="G488" s="75"/>
      <c r="H488" s="75"/>
      <c r="I488" s="75"/>
      <c r="J488" s="75"/>
      <c r="K488" s="75"/>
      <c r="L488" s="75"/>
      <c r="M488" s="75"/>
      <c r="N488" s="75"/>
      <c r="O488" s="75"/>
      <c r="P488" s="75"/>
      <c r="Q488" s="75"/>
      <c r="R488" s="75"/>
      <c r="S488" s="75"/>
      <c r="T488" s="75"/>
      <c r="W488" s="231">
        <f>88+44</f>
        <v>132</v>
      </c>
    </row>
    <row r="489" spans="3:23" s="231" customFormat="1">
      <c r="C489" s="75"/>
      <c r="D489" s="75"/>
      <c r="E489" s="75"/>
      <c r="F489" s="75"/>
      <c r="G489" s="75"/>
      <c r="H489" s="75"/>
      <c r="I489" s="75"/>
      <c r="J489" s="75"/>
      <c r="K489" s="75"/>
      <c r="L489" s="75"/>
      <c r="M489" s="75"/>
      <c r="N489" s="75"/>
      <c r="O489" s="75"/>
      <c r="P489" s="75"/>
      <c r="Q489" s="75"/>
      <c r="R489" s="75"/>
      <c r="S489" s="75"/>
      <c r="T489" s="75"/>
    </row>
    <row r="490" spans="3:23" s="231" customFormat="1" ht="7.5" customHeight="1">
      <c r="C490" s="75"/>
      <c r="D490" s="75"/>
      <c r="E490" s="75"/>
      <c r="F490" s="75"/>
      <c r="G490" s="75"/>
      <c r="H490" s="75"/>
      <c r="I490" s="75"/>
      <c r="J490" s="75"/>
      <c r="K490" s="75"/>
      <c r="L490" s="75"/>
      <c r="M490" s="75"/>
      <c r="N490" s="75"/>
      <c r="O490" s="75"/>
      <c r="P490" s="75"/>
      <c r="Q490" s="75"/>
      <c r="R490" s="75"/>
      <c r="S490" s="75"/>
      <c r="T490" s="75"/>
    </row>
    <row r="491" spans="3:23" s="231" customFormat="1">
      <c r="C491" s="75"/>
      <c r="D491" s="75"/>
      <c r="E491" s="75"/>
      <c r="F491" s="75"/>
      <c r="G491" s="75"/>
      <c r="H491" s="75"/>
      <c r="I491" s="75"/>
      <c r="J491" s="75"/>
      <c r="K491" s="75"/>
      <c r="L491" s="75"/>
      <c r="M491" s="75"/>
      <c r="N491" s="75"/>
      <c r="O491" s="75"/>
      <c r="P491" s="75"/>
      <c r="Q491" s="75"/>
      <c r="R491" s="75"/>
      <c r="S491" s="75"/>
      <c r="T491" s="75"/>
    </row>
    <row r="492" spans="3:23" s="231" customFormat="1">
      <c r="C492" s="75"/>
      <c r="D492" s="75"/>
      <c r="E492" s="75"/>
      <c r="F492" s="75"/>
      <c r="G492" s="75"/>
      <c r="H492" s="75"/>
      <c r="I492" s="75"/>
      <c r="J492" s="75"/>
      <c r="K492" s="75"/>
      <c r="L492" s="75"/>
      <c r="M492" s="75"/>
      <c r="N492" s="75"/>
      <c r="O492" s="75"/>
      <c r="P492" s="75"/>
      <c r="Q492" s="75"/>
      <c r="R492" s="75"/>
      <c r="S492" s="75"/>
      <c r="T492" s="75"/>
    </row>
    <row r="493" spans="3:23" s="231" customFormat="1">
      <c r="C493" s="75"/>
      <c r="D493" s="75"/>
      <c r="E493" s="75"/>
      <c r="F493" s="75"/>
      <c r="G493" s="75"/>
      <c r="H493" s="75"/>
      <c r="I493" s="230">
        <f>1+I453</f>
        <v>10</v>
      </c>
      <c r="J493" s="75"/>
      <c r="K493" s="75"/>
      <c r="L493" s="75"/>
      <c r="M493" s="75"/>
      <c r="N493" s="75"/>
      <c r="O493" s="75"/>
      <c r="P493" s="75"/>
      <c r="Q493" s="75"/>
      <c r="R493" s="75"/>
      <c r="S493" s="75"/>
      <c r="T493" s="75"/>
    </row>
    <row r="494" spans="3:23" s="231" customFormat="1">
      <c r="C494" s="75"/>
      <c r="D494" s="75"/>
      <c r="E494" s="75"/>
      <c r="F494" s="75"/>
      <c r="G494" s="75"/>
      <c r="H494" s="75"/>
      <c r="I494" s="75"/>
      <c r="J494" s="75"/>
      <c r="K494" s="75"/>
      <c r="L494" s="75"/>
      <c r="M494" s="75"/>
      <c r="N494" s="75"/>
      <c r="O494" s="75"/>
      <c r="P494" s="75"/>
      <c r="Q494" s="75"/>
      <c r="R494" s="75"/>
      <c r="S494" s="75"/>
      <c r="T494" s="75"/>
    </row>
    <row r="495" spans="3:23" s="231" customFormat="1" ht="9.75" customHeight="1">
      <c r="C495" s="56"/>
      <c r="D495" s="56"/>
      <c r="E495" s="56"/>
      <c r="F495" s="56"/>
      <c r="G495" s="56"/>
      <c r="H495" s="56"/>
      <c r="I495" s="56"/>
      <c r="J495" s="56"/>
      <c r="K495" s="56"/>
      <c r="L495" s="56"/>
      <c r="M495" s="56"/>
      <c r="N495" s="56"/>
      <c r="O495" s="56"/>
      <c r="P495" s="56"/>
      <c r="Q495" s="56"/>
      <c r="R495" s="56"/>
      <c r="S495" s="56"/>
      <c r="T495" s="56"/>
    </row>
    <row r="496" spans="3:23" s="231" customFormat="1" ht="23.4">
      <c r="C496" s="200" t="s">
        <v>263</v>
      </c>
      <c r="D496" s="202" t="s">
        <v>392</v>
      </c>
      <c r="E496" s="202"/>
      <c r="F496" s="202"/>
      <c r="G496" s="202"/>
      <c r="H496" s="202"/>
      <c r="I496" s="200"/>
      <c r="J496" s="200"/>
      <c r="K496" s="200"/>
      <c r="L496" s="200"/>
      <c r="M496" s="200"/>
      <c r="N496" s="200"/>
      <c r="O496" s="200"/>
      <c r="P496" s="200"/>
      <c r="Q496" s="200"/>
      <c r="R496" s="200"/>
      <c r="S496" s="200"/>
      <c r="T496" s="200"/>
    </row>
    <row r="497" spans="2:20" s="231" customFormat="1" ht="5.4" customHeight="1"/>
    <row r="498" spans="2:20" s="231" customFormat="1" ht="5.4" customHeight="1">
      <c r="B498" s="203"/>
      <c r="C498" s="203"/>
      <c r="D498" s="203"/>
      <c r="E498" s="203"/>
      <c r="F498" s="203"/>
      <c r="G498" s="203"/>
      <c r="H498" s="203"/>
    </row>
    <row r="499" spans="2:20" s="231" customFormat="1" ht="17.25" customHeight="1">
      <c r="D499" s="934"/>
      <c r="E499" s="934"/>
      <c r="F499" s="934"/>
      <c r="G499" s="934"/>
      <c r="H499" s="934"/>
      <c r="I499" s="934"/>
      <c r="J499" s="934"/>
      <c r="K499" s="934"/>
      <c r="L499" s="934"/>
      <c r="M499" s="934"/>
      <c r="N499" s="934"/>
    </row>
    <row r="500" spans="2:20" s="231" customFormat="1">
      <c r="C500" s="75"/>
      <c r="O500" s="75"/>
      <c r="P500" s="75"/>
      <c r="Q500" s="75"/>
      <c r="R500" s="75"/>
      <c r="S500" s="75"/>
      <c r="T500" s="75"/>
    </row>
    <row r="501" spans="2:20" s="231" customFormat="1" ht="20.25" customHeight="1">
      <c r="C501" s="75"/>
      <c r="I501" s="75"/>
      <c r="J501" s="75"/>
      <c r="K501" s="75"/>
      <c r="L501" s="75"/>
      <c r="M501" s="75"/>
      <c r="N501" s="75"/>
      <c r="O501" s="75"/>
      <c r="P501" s="75"/>
      <c r="Q501" s="75"/>
      <c r="R501" s="75"/>
      <c r="S501" s="75"/>
      <c r="T501" s="75"/>
    </row>
    <row r="502" spans="2:20" s="231" customFormat="1">
      <c r="C502" s="75"/>
      <c r="I502" s="75"/>
      <c r="J502" s="75"/>
      <c r="K502" s="75"/>
      <c r="L502" s="75"/>
      <c r="M502" s="75"/>
      <c r="N502" s="75"/>
      <c r="O502" s="75"/>
      <c r="P502" s="75"/>
      <c r="Q502" s="75"/>
      <c r="R502" s="75"/>
      <c r="S502" s="75"/>
      <c r="T502" s="75"/>
    </row>
    <row r="503" spans="2:20" s="231" customFormat="1">
      <c r="C503" s="75"/>
      <c r="I503" s="75"/>
      <c r="J503" s="75"/>
      <c r="K503" s="75"/>
      <c r="L503" s="75"/>
      <c r="M503" s="75"/>
      <c r="N503" s="75"/>
      <c r="O503" s="75"/>
      <c r="P503" s="75"/>
      <c r="Q503" s="75"/>
      <c r="R503" s="75"/>
      <c r="S503" s="75"/>
      <c r="T503" s="75"/>
    </row>
    <row r="504" spans="2:20" s="231" customFormat="1">
      <c r="C504" s="75"/>
      <c r="I504" s="75"/>
      <c r="J504" s="75"/>
      <c r="K504" s="75"/>
      <c r="L504" s="75"/>
      <c r="M504" s="75"/>
      <c r="N504" s="75"/>
      <c r="O504" s="75"/>
      <c r="P504" s="75"/>
      <c r="Q504" s="75"/>
      <c r="R504" s="75"/>
      <c r="S504" s="75"/>
      <c r="T504" s="75"/>
    </row>
    <row r="505" spans="2:20" s="231" customFormat="1" ht="12.75" customHeight="1">
      <c r="C505" s="75"/>
      <c r="I505" s="75"/>
      <c r="J505" s="75"/>
      <c r="K505" s="75"/>
      <c r="L505" s="75"/>
      <c r="M505" s="75"/>
      <c r="N505" s="75"/>
      <c r="O505" s="75"/>
      <c r="P505" s="75"/>
      <c r="Q505" s="75"/>
      <c r="R505" s="75"/>
      <c r="S505" s="75"/>
      <c r="T505" s="75"/>
    </row>
    <row r="506" spans="2:20" s="231" customFormat="1">
      <c r="C506" s="75"/>
      <c r="I506" s="75"/>
      <c r="J506" s="75"/>
      <c r="K506" s="75"/>
      <c r="L506" s="75"/>
      <c r="M506" s="75"/>
      <c r="N506" s="75"/>
      <c r="O506" s="75"/>
      <c r="P506" s="75"/>
      <c r="Q506" s="75"/>
      <c r="R506" s="75"/>
      <c r="S506" s="75"/>
      <c r="T506" s="75"/>
    </row>
    <row r="507" spans="2:20" s="231" customFormat="1">
      <c r="C507" s="75"/>
      <c r="I507" s="75"/>
      <c r="J507" s="75"/>
      <c r="K507" s="75"/>
      <c r="L507" s="75"/>
      <c r="M507" s="75"/>
      <c r="N507" s="75"/>
      <c r="O507" s="75"/>
      <c r="P507" s="75"/>
      <c r="Q507" s="75"/>
      <c r="R507" s="75"/>
      <c r="S507" s="75"/>
      <c r="T507" s="75"/>
    </row>
    <row r="508" spans="2:20" s="231" customFormat="1">
      <c r="C508" s="75"/>
      <c r="I508" s="75"/>
      <c r="J508" s="75"/>
      <c r="K508" s="75"/>
      <c r="L508" s="75"/>
      <c r="M508" s="75"/>
      <c r="N508" s="75"/>
      <c r="O508" s="75"/>
      <c r="P508" s="75"/>
      <c r="Q508" s="75"/>
      <c r="R508" s="75"/>
      <c r="S508" s="75"/>
      <c r="T508" s="75"/>
    </row>
    <row r="509" spans="2:20" s="231" customFormat="1">
      <c r="C509" s="75"/>
      <c r="I509" s="75"/>
      <c r="J509" s="75"/>
      <c r="K509" s="75"/>
      <c r="L509" s="75"/>
      <c r="M509" s="75"/>
      <c r="N509" s="75"/>
      <c r="O509" s="75"/>
      <c r="P509" s="75"/>
      <c r="Q509" s="75"/>
      <c r="R509" s="75"/>
      <c r="S509" s="75"/>
      <c r="T509" s="75"/>
    </row>
    <row r="510" spans="2:20" s="231" customFormat="1">
      <c r="C510" s="75"/>
      <c r="I510" s="75"/>
      <c r="J510" s="75"/>
      <c r="K510" s="75"/>
      <c r="L510" s="75"/>
      <c r="M510" s="75"/>
      <c r="N510" s="75"/>
      <c r="O510" s="75"/>
      <c r="P510" s="75"/>
      <c r="Q510" s="75"/>
      <c r="R510" s="75"/>
      <c r="S510" s="75"/>
      <c r="T510" s="75"/>
    </row>
    <row r="511" spans="2:20" s="231" customFormat="1" ht="15" thickBot="1">
      <c r="C511" s="75"/>
      <c r="I511" s="75"/>
      <c r="K511" s="75"/>
      <c r="L511" s="223" t="s">
        <v>397</v>
      </c>
      <c r="M511" s="223" t="s">
        <v>398</v>
      </c>
      <c r="N511" s="223" t="s">
        <v>365</v>
      </c>
      <c r="O511" s="75"/>
      <c r="P511" s="75"/>
      <c r="Q511" s="75"/>
      <c r="R511" s="75"/>
      <c r="S511" s="75"/>
      <c r="T511" s="75"/>
    </row>
    <row r="512" spans="2:20" s="231" customFormat="1">
      <c r="C512" s="75"/>
      <c r="D512" s="75"/>
      <c r="E512" s="75"/>
      <c r="F512" s="75"/>
      <c r="G512" s="75"/>
      <c r="H512" s="75"/>
      <c r="I512" s="75"/>
      <c r="J512" s="935" t="s">
        <v>13</v>
      </c>
      <c r="K512" s="936"/>
      <c r="L512" s="245">
        <f>+'Tableau détaillé'!J822</f>
        <v>0.15725259828287386</v>
      </c>
      <c r="M512" s="245" t="e">
        <f>+'Tableau détaillé'!K822</f>
        <v>#DIV/0!</v>
      </c>
      <c r="N512" s="248">
        <f>+'Tableau détaillé'!L822</f>
        <v>0.30807865838086324</v>
      </c>
      <c r="O512" s="75"/>
      <c r="P512" s="75"/>
      <c r="Q512" s="75"/>
      <c r="R512" s="75"/>
      <c r="S512" s="75"/>
      <c r="T512" s="75"/>
    </row>
    <row r="513" spans="3:23" s="231" customFormat="1">
      <c r="C513" s="75"/>
      <c r="D513" s="75"/>
      <c r="E513" s="75"/>
      <c r="F513" s="75"/>
      <c r="G513" s="75"/>
      <c r="H513" s="75"/>
      <c r="I513" s="75"/>
      <c r="J513" s="937" t="s">
        <v>14</v>
      </c>
      <c r="K513" s="938"/>
      <c r="L513" s="246">
        <f>+'Tableau détaillé'!J823</f>
        <v>-9.5360824742268036E-2</v>
      </c>
      <c r="M513" s="246">
        <f>+'Tableau détaillé'!K823</f>
        <v>0.79636064952296692</v>
      </c>
      <c r="N513" s="249">
        <f>+'Tableau détaillé'!L823</f>
        <v>3.6417322834645605E-2</v>
      </c>
      <c r="O513" s="75"/>
      <c r="P513" s="75"/>
      <c r="Q513" s="75"/>
      <c r="R513" s="75"/>
      <c r="S513" s="75"/>
      <c r="T513" s="75"/>
    </row>
    <row r="514" spans="3:23" s="231" customFormat="1">
      <c r="C514" s="75"/>
      <c r="D514" s="75"/>
      <c r="E514" s="75"/>
      <c r="F514" s="75"/>
      <c r="G514" s="75"/>
      <c r="H514" s="75"/>
      <c r="I514" s="75"/>
      <c r="J514" s="937" t="s">
        <v>17</v>
      </c>
      <c r="K514" s="938"/>
      <c r="L514" s="246" t="s">
        <v>262</v>
      </c>
      <c r="M514" s="246" t="s">
        <v>262</v>
      </c>
      <c r="N514" s="249" t="s">
        <v>262</v>
      </c>
      <c r="O514" s="75"/>
      <c r="P514" s="75"/>
      <c r="Q514" s="75"/>
      <c r="R514" s="75"/>
      <c r="S514" s="75"/>
      <c r="T514" s="75"/>
    </row>
    <row r="515" spans="3:23" s="231" customFormat="1">
      <c r="C515" s="75"/>
      <c r="D515" s="75"/>
      <c r="E515" s="75"/>
      <c r="F515" s="75"/>
      <c r="G515" s="75"/>
      <c r="H515" s="75"/>
      <c r="I515" s="204"/>
      <c r="J515" s="937" t="s">
        <v>18</v>
      </c>
      <c r="K515" s="938"/>
      <c r="L515" s="246">
        <f>+'Tableau détaillé'!J825</f>
        <v>-2.7290448343079921E-2</v>
      </c>
      <c r="M515" s="246" t="e">
        <f>+'Tableau détaillé'!K825</f>
        <v>#DIV/0!</v>
      </c>
      <c r="N515" s="249">
        <f>+'Tableau détaillé'!L825</f>
        <v>-5.1631295533734467E-2</v>
      </c>
      <c r="O515" s="75"/>
      <c r="P515" s="75"/>
      <c r="Q515" s="75"/>
      <c r="R515" s="75"/>
      <c r="S515" s="75"/>
      <c r="T515" s="75"/>
    </row>
    <row r="516" spans="3:23" s="231" customFormat="1">
      <c r="C516" s="75"/>
      <c r="D516" s="75"/>
      <c r="E516" s="75"/>
      <c r="F516" s="75"/>
      <c r="G516" s="75"/>
      <c r="H516" s="75"/>
      <c r="I516" s="204"/>
      <c r="J516" s="937" t="s">
        <v>19</v>
      </c>
      <c r="K516" s="938"/>
      <c r="L516" s="246" t="s">
        <v>262</v>
      </c>
      <c r="M516" s="246" t="s">
        <v>262</v>
      </c>
      <c r="N516" s="249" t="s">
        <v>262</v>
      </c>
      <c r="O516" s="75"/>
      <c r="P516" s="75"/>
      <c r="Q516" s="75"/>
      <c r="R516" s="75"/>
      <c r="S516" s="75"/>
      <c r="T516" s="75"/>
    </row>
    <row r="517" spans="3:23" s="231" customFormat="1">
      <c r="C517" s="75"/>
      <c r="D517" s="75"/>
      <c r="E517" s="75"/>
      <c r="F517" s="75"/>
      <c r="G517" s="75"/>
      <c r="H517" s="75"/>
      <c r="J517" s="937" t="s">
        <v>21</v>
      </c>
      <c r="K517" s="938"/>
      <c r="L517" s="246">
        <f>+'Tableau détaillé'!J827</f>
        <v>8.1250000000000044E-2</v>
      </c>
      <c r="M517" s="246">
        <f>+'Tableau détaillé'!K827</f>
        <v>0.21938325991189433</v>
      </c>
      <c r="N517" s="249">
        <f>+'Tableau détaillé'!L827</f>
        <v>-0.18508341511285575</v>
      </c>
      <c r="O517" s="75"/>
      <c r="P517" s="75"/>
      <c r="Q517" s="75"/>
      <c r="R517" s="75"/>
      <c r="S517" s="75"/>
      <c r="T517" s="75"/>
    </row>
    <row r="518" spans="3:23" s="231" customFormat="1">
      <c r="C518" s="75"/>
      <c r="D518" s="75"/>
      <c r="E518" s="75"/>
      <c r="F518" s="75"/>
      <c r="G518" s="75"/>
      <c r="H518" s="75"/>
      <c r="I518" s="206"/>
      <c r="J518" s="937" t="s">
        <v>22</v>
      </c>
      <c r="K518" s="938"/>
      <c r="L518" s="246" t="s">
        <v>262</v>
      </c>
      <c r="M518" s="246" t="s">
        <v>262</v>
      </c>
      <c r="N518" s="249" t="s">
        <v>262</v>
      </c>
      <c r="O518" s="206"/>
      <c r="P518" s="75"/>
      <c r="Q518" s="75"/>
      <c r="R518" s="75"/>
      <c r="S518" s="75"/>
      <c r="T518" s="75"/>
    </row>
    <row r="519" spans="3:23" s="231" customFormat="1">
      <c r="C519" s="75"/>
      <c r="D519" s="75"/>
      <c r="E519" s="75"/>
      <c r="F519" s="75"/>
      <c r="G519" s="75"/>
      <c r="H519" s="75"/>
      <c r="I519" s="204"/>
      <c r="J519" s="937" t="s">
        <v>15</v>
      </c>
      <c r="K519" s="938"/>
      <c r="L519" s="246">
        <f>+'Tableau détaillé'!J830</f>
        <v>-0.34567198177676539</v>
      </c>
      <c r="M519" s="246">
        <f>+'Tableau détaillé'!K830</f>
        <v>121.42544934640523</v>
      </c>
      <c r="N519" s="249">
        <f>+'Tableau détaillé'!L830</f>
        <v>-0.10220346929207691</v>
      </c>
      <c r="O519" s="75"/>
      <c r="P519" s="75"/>
      <c r="Q519" s="75"/>
      <c r="R519" s="75"/>
      <c r="S519" s="75"/>
      <c r="T519" s="75"/>
    </row>
    <row r="520" spans="3:23" s="231" customFormat="1">
      <c r="C520" s="75"/>
      <c r="D520" s="75"/>
      <c r="E520" s="75"/>
      <c r="F520" s="75"/>
      <c r="G520" s="75"/>
      <c r="H520" s="75"/>
      <c r="I520" s="204"/>
      <c r="J520" s="937" t="s">
        <v>16</v>
      </c>
      <c r="K520" s="938"/>
      <c r="L520" s="246">
        <f>+'Tableau détaillé'!J831</f>
        <v>-5.908824104871846E-2</v>
      </c>
      <c r="M520" s="246">
        <f>+'Tableau détaillé'!K831</f>
        <v>0.70800552960681928</v>
      </c>
      <c r="N520" s="249">
        <f>+'Tableau détaillé'!L831</f>
        <v>-0.50961930659415366</v>
      </c>
      <c r="O520" s="75"/>
      <c r="P520" s="75"/>
      <c r="Q520" s="75"/>
      <c r="R520" s="75"/>
      <c r="S520" s="75"/>
      <c r="T520" s="75"/>
    </row>
    <row r="521" spans="3:23" s="231" customFormat="1">
      <c r="C521" s="75"/>
      <c r="D521" s="75"/>
      <c r="E521" s="75"/>
      <c r="F521" s="75"/>
      <c r="G521" s="75"/>
      <c r="H521" s="75"/>
      <c r="I521" s="204"/>
      <c r="J521" s="937" t="s">
        <v>20</v>
      </c>
      <c r="K521" s="938"/>
      <c r="L521" s="246">
        <f>+'Tableau détaillé'!J832</f>
        <v>-0.55505617977528088</v>
      </c>
      <c r="M521" s="246">
        <f>+'Tableau détaillé'!K832</f>
        <v>1.3492769744160178</v>
      </c>
      <c r="N521" s="249">
        <f>+'Tableau détaillé'!L832</f>
        <v>-0.15729739315481472</v>
      </c>
      <c r="O521" s="75"/>
      <c r="P521" s="75"/>
      <c r="Q521" s="75"/>
      <c r="R521" s="75"/>
      <c r="S521" s="75"/>
      <c r="T521" s="75"/>
    </row>
    <row r="522" spans="3:23" s="231" customFormat="1" ht="15" thickBot="1">
      <c r="C522" s="75"/>
      <c r="D522" s="75"/>
      <c r="E522" s="75"/>
      <c r="F522" s="75"/>
      <c r="G522" s="75"/>
      <c r="H522" s="75"/>
      <c r="I522" s="204"/>
      <c r="J522" s="939" t="s">
        <v>23</v>
      </c>
      <c r="K522" s="940"/>
      <c r="L522" s="247">
        <f>+'Tableau détaillé'!J833</f>
        <v>-0.11301859799713876</v>
      </c>
      <c r="M522" s="247">
        <f>+'Tableau détaillé'!K833</f>
        <v>-0.80757293606455616</v>
      </c>
      <c r="N522" s="250">
        <f>+'Tableau détaillé'!L833</f>
        <v>-0.48549496905362877</v>
      </c>
      <c r="O522" s="75"/>
      <c r="P522" s="75"/>
      <c r="Q522" s="75"/>
      <c r="R522" s="75"/>
      <c r="S522" s="75"/>
      <c r="T522" s="75"/>
    </row>
    <row r="523" spans="3:23" s="231" customFormat="1" ht="15" thickBot="1">
      <c r="C523" s="75"/>
      <c r="D523" s="75"/>
      <c r="E523" s="75"/>
      <c r="F523" s="75"/>
      <c r="G523" s="75"/>
      <c r="H523" s="75"/>
      <c r="I523" s="75"/>
      <c r="J523" s="75"/>
      <c r="K523" s="75"/>
      <c r="L523" s="75"/>
      <c r="M523" s="75"/>
      <c r="N523" s="75"/>
      <c r="O523" s="75"/>
      <c r="P523" s="75"/>
      <c r="Q523" s="75"/>
      <c r="R523" s="75"/>
      <c r="S523" s="75"/>
      <c r="T523" s="75"/>
    </row>
    <row r="524" spans="3:23" s="231" customFormat="1">
      <c r="C524" s="75"/>
      <c r="D524" s="75"/>
      <c r="E524" s="75"/>
      <c r="F524" s="75"/>
      <c r="G524" s="75"/>
      <c r="H524" s="75"/>
      <c r="I524" s="75"/>
      <c r="J524" s="935" t="s">
        <v>145</v>
      </c>
      <c r="K524" s="936"/>
      <c r="L524" s="245">
        <f>+'Tableau détaillé'!J829</f>
        <v>0.13848469643753147</v>
      </c>
      <c r="M524" s="245">
        <f>+'Tableau détaillé'!K829</f>
        <v>5.9371944947801101</v>
      </c>
      <c r="N524" s="248">
        <f>+'Tableau détaillé'!L829</f>
        <v>0.20803939837614793</v>
      </c>
      <c r="O524" s="75"/>
      <c r="P524" s="75"/>
      <c r="Q524" s="75"/>
      <c r="R524" s="75"/>
      <c r="S524" s="75"/>
      <c r="T524" s="75"/>
    </row>
    <row r="525" spans="3:23" s="231" customFormat="1">
      <c r="C525" s="75"/>
      <c r="D525" s="75"/>
      <c r="E525" s="75"/>
      <c r="F525" s="75"/>
      <c r="G525" s="75"/>
      <c r="H525" s="75"/>
      <c r="I525" s="75"/>
      <c r="J525" s="937" t="s">
        <v>142</v>
      </c>
      <c r="K525" s="938"/>
      <c r="L525" s="246">
        <f>+'Tableau détaillé'!J834</f>
        <v>-0.20155002348520434</v>
      </c>
      <c r="M525" s="246">
        <f>+'Tableau détaillé'!K834</f>
        <v>1.3685600616145237</v>
      </c>
      <c r="N525" s="249">
        <f>+'Tableau détaillé'!L834</f>
        <v>-0.41164322715368551</v>
      </c>
      <c r="O525" s="75"/>
      <c r="P525" s="75"/>
      <c r="Q525" s="75"/>
      <c r="R525" s="75"/>
      <c r="S525" s="75"/>
      <c r="T525" s="75"/>
    </row>
    <row r="526" spans="3:23" s="231" customFormat="1" ht="15" thickBot="1">
      <c r="C526" s="75"/>
      <c r="D526" s="75"/>
      <c r="E526" s="75"/>
      <c r="F526" s="75"/>
      <c r="G526" s="75"/>
      <c r="H526" s="75"/>
      <c r="I526" s="75"/>
      <c r="J526" s="939" t="s">
        <v>209</v>
      </c>
      <c r="K526" s="940"/>
      <c r="L526" s="247">
        <f>+'Tableau détaillé'!J821</f>
        <v>-9.3137098064309809E-2</v>
      </c>
      <c r="M526" s="247">
        <f>+'Tableau détaillé'!K821</f>
        <v>2.8739435360196661</v>
      </c>
      <c r="N526" s="250">
        <f>+'Tableau détaillé'!L821</f>
        <v>-0.25963043341031744</v>
      </c>
      <c r="O526" s="75"/>
      <c r="P526" s="75"/>
      <c r="Q526" s="75"/>
      <c r="R526" s="75"/>
      <c r="S526" s="75"/>
      <c r="T526" s="75"/>
    </row>
    <row r="527" spans="3:23" s="231" customFormat="1">
      <c r="C527" s="75"/>
      <c r="D527" s="75"/>
      <c r="E527" s="75"/>
      <c r="F527" s="75"/>
      <c r="G527" s="75"/>
      <c r="H527" s="75"/>
      <c r="I527" s="75"/>
      <c r="J527" s="945" t="s">
        <v>407</v>
      </c>
      <c r="K527" s="945"/>
      <c r="L527" s="945"/>
      <c r="M527" s="945"/>
      <c r="N527" s="945"/>
      <c r="O527" s="75"/>
      <c r="P527" s="75"/>
      <c r="Q527" s="75"/>
      <c r="R527" s="75"/>
      <c r="S527" s="75"/>
      <c r="T527" s="75"/>
    </row>
    <row r="528" spans="3:23" s="231" customFormat="1">
      <c r="C528" s="75"/>
      <c r="D528" s="75"/>
      <c r="E528" s="75"/>
      <c r="F528" s="75"/>
      <c r="G528" s="75"/>
      <c r="H528" s="75"/>
      <c r="I528" s="75"/>
      <c r="J528" s="946"/>
      <c r="K528" s="946"/>
      <c r="L528" s="946"/>
      <c r="M528" s="946"/>
      <c r="N528" s="946"/>
      <c r="O528" s="75"/>
      <c r="P528" s="75"/>
      <c r="Q528" s="75"/>
      <c r="R528" s="75"/>
      <c r="S528" s="75"/>
      <c r="T528" s="75"/>
      <c r="W528" s="231">
        <f>88+44</f>
        <v>132</v>
      </c>
    </row>
    <row r="529" spans="2:20" s="231" customFormat="1">
      <c r="C529" s="75"/>
      <c r="D529" s="75"/>
      <c r="E529" s="75"/>
      <c r="F529" s="75"/>
      <c r="G529" s="75"/>
      <c r="H529" s="75"/>
      <c r="I529" s="75"/>
      <c r="J529" s="75"/>
      <c r="K529" s="75"/>
      <c r="L529" s="75"/>
      <c r="M529" s="75"/>
      <c r="N529" s="75"/>
      <c r="O529" s="75"/>
      <c r="P529" s="75"/>
      <c r="Q529" s="75"/>
      <c r="R529" s="75"/>
      <c r="S529" s="75"/>
      <c r="T529" s="75"/>
    </row>
    <row r="530" spans="2:20" s="231" customFormat="1" ht="7.5" customHeight="1">
      <c r="C530" s="75"/>
      <c r="D530" s="75"/>
      <c r="E530" s="75"/>
      <c r="F530" s="75"/>
      <c r="G530" s="75"/>
      <c r="H530" s="75"/>
      <c r="I530" s="75"/>
      <c r="J530" s="75"/>
      <c r="K530" s="75"/>
      <c r="L530" s="75"/>
      <c r="M530" s="75"/>
      <c r="N530" s="75"/>
      <c r="O530" s="75"/>
      <c r="P530" s="75"/>
      <c r="Q530" s="75"/>
      <c r="R530" s="75"/>
      <c r="S530" s="75"/>
      <c r="T530" s="75"/>
    </row>
    <row r="531" spans="2:20" s="231" customFormat="1">
      <c r="C531" s="75"/>
      <c r="D531" s="75"/>
      <c r="E531" s="75"/>
      <c r="F531" s="75"/>
      <c r="G531" s="75"/>
      <c r="H531" s="75"/>
      <c r="I531" s="75"/>
      <c r="J531" s="75"/>
      <c r="K531" s="75"/>
      <c r="L531" s="75"/>
      <c r="M531" s="75"/>
      <c r="N531" s="75"/>
      <c r="O531" s="75"/>
      <c r="P531" s="75"/>
      <c r="Q531" s="75"/>
      <c r="R531" s="75"/>
      <c r="S531" s="75"/>
      <c r="T531" s="75"/>
    </row>
    <row r="532" spans="2:20" s="231" customFormat="1">
      <c r="C532" s="75"/>
      <c r="D532" s="75"/>
      <c r="E532" s="75"/>
      <c r="F532" s="75"/>
      <c r="G532" s="75"/>
      <c r="H532" s="75"/>
      <c r="I532" s="75"/>
      <c r="J532" s="75"/>
      <c r="K532" s="75"/>
      <c r="L532" s="75"/>
      <c r="M532" s="75"/>
      <c r="N532" s="75"/>
      <c r="O532" s="75"/>
      <c r="P532" s="75"/>
      <c r="Q532" s="75"/>
      <c r="R532" s="75"/>
      <c r="S532" s="75"/>
      <c r="T532" s="75"/>
    </row>
    <row r="533" spans="2:20" s="231" customFormat="1">
      <c r="C533" s="75"/>
      <c r="D533" s="75"/>
      <c r="E533" s="75"/>
      <c r="F533" s="75"/>
      <c r="G533" s="75"/>
      <c r="H533" s="75"/>
      <c r="I533" s="230">
        <f>1+I493</f>
        <v>11</v>
      </c>
      <c r="J533" s="75"/>
      <c r="K533" s="75"/>
      <c r="L533" s="75"/>
      <c r="M533" s="75"/>
      <c r="N533" s="75"/>
      <c r="O533" s="75"/>
      <c r="P533" s="75"/>
      <c r="Q533" s="75"/>
      <c r="R533" s="75"/>
      <c r="S533" s="75"/>
      <c r="T533" s="75"/>
    </row>
    <row r="534" spans="2:20" s="231" customFormat="1">
      <c r="C534" s="75"/>
      <c r="D534" s="75"/>
      <c r="E534" s="75"/>
      <c r="F534" s="75"/>
      <c r="G534" s="75"/>
      <c r="H534" s="75"/>
      <c r="I534" s="75"/>
      <c r="J534" s="75"/>
      <c r="K534" s="75"/>
      <c r="L534" s="75"/>
      <c r="M534" s="75"/>
      <c r="N534" s="75"/>
      <c r="O534" s="75"/>
      <c r="P534" s="75"/>
      <c r="Q534" s="75"/>
      <c r="R534" s="75"/>
      <c r="S534" s="75"/>
      <c r="T534" s="75"/>
    </row>
    <row r="535" spans="2:20" s="231" customFormat="1" ht="9.75" customHeight="1">
      <c r="C535" s="56"/>
      <c r="D535" s="56"/>
      <c r="E535" s="56"/>
      <c r="F535" s="56"/>
      <c r="G535" s="56"/>
      <c r="H535" s="56"/>
      <c r="I535" s="56"/>
      <c r="J535" s="56"/>
      <c r="K535" s="56"/>
      <c r="L535" s="56"/>
      <c r="M535" s="56"/>
      <c r="N535" s="56"/>
      <c r="O535" s="56"/>
      <c r="P535" s="56"/>
      <c r="Q535" s="56"/>
      <c r="R535" s="56"/>
      <c r="S535" s="56"/>
      <c r="T535" s="56"/>
    </row>
    <row r="536" spans="2:20" s="231" customFormat="1" ht="23.4">
      <c r="C536" s="200" t="s">
        <v>263</v>
      </c>
      <c r="D536" s="202" t="s">
        <v>391</v>
      </c>
      <c r="E536" s="202"/>
      <c r="F536" s="202"/>
      <c r="G536" s="202"/>
      <c r="H536" s="202"/>
      <c r="I536" s="200"/>
      <c r="J536" s="200"/>
      <c r="K536" s="200"/>
      <c r="L536" s="200"/>
      <c r="M536" s="200"/>
      <c r="N536" s="200"/>
      <c r="O536" s="200"/>
      <c r="P536" s="200"/>
      <c r="Q536" s="200"/>
      <c r="R536" s="200"/>
      <c r="S536" s="200"/>
      <c r="T536" s="200"/>
    </row>
    <row r="537" spans="2:20" s="231" customFormat="1" ht="5.4" customHeight="1"/>
    <row r="538" spans="2:20" s="231" customFormat="1" ht="5.4" customHeight="1">
      <c r="B538" s="203"/>
      <c r="C538" s="203"/>
      <c r="D538" s="203"/>
      <c r="E538" s="203"/>
      <c r="F538" s="203"/>
      <c r="G538" s="203"/>
      <c r="H538" s="203"/>
    </row>
    <row r="539" spans="2:20" s="231" customFormat="1" ht="17.25" customHeight="1">
      <c r="D539" s="934"/>
      <c r="E539" s="934"/>
      <c r="F539" s="934"/>
      <c r="G539" s="934"/>
      <c r="H539" s="934"/>
      <c r="I539" s="934"/>
      <c r="J539" s="934"/>
      <c r="K539" s="934"/>
      <c r="L539" s="934"/>
      <c r="M539" s="934"/>
      <c r="N539" s="934"/>
    </row>
    <row r="540" spans="2:20" s="231" customFormat="1">
      <c r="C540" s="75"/>
      <c r="O540" s="75"/>
      <c r="P540" s="75"/>
      <c r="Q540" s="75"/>
      <c r="R540" s="75"/>
      <c r="S540" s="75"/>
      <c r="T540" s="75"/>
    </row>
    <row r="541" spans="2:20" s="231" customFormat="1" ht="20.25" customHeight="1">
      <c r="C541" s="75"/>
      <c r="I541" s="75"/>
      <c r="J541" s="75"/>
      <c r="K541" s="75"/>
      <c r="L541" s="75"/>
      <c r="M541" s="75"/>
      <c r="N541" s="75"/>
      <c r="O541" s="75"/>
      <c r="P541" s="75"/>
      <c r="Q541" s="75"/>
      <c r="R541" s="75"/>
      <c r="S541" s="75"/>
      <c r="T541" s="75"/>
    </row>
    <row r="542" spans="2:20" s="231" customFormat="1">
      <c r="C542" s="75"/>
      <c r="I542" s="75"/>
      <c r="J542" s="75"/>
      <c r="K542" s="75"/>
      <c r="L542" s="75"/>
      <c r="M542" s="75"/>
      <c r="N542" s="75"/>
      <c r="O542" s="75"/>
      <c r="P542" s="75"/>
      <c r="Q542" s="75"/>
      <c r="R542" s="75"/>
      <c r="S542" s="75"/>
      <c r="T542" s="75"/>
    </row>
    <row r="543" spans="2:20" s="231" customFormat="1">
      <c r="C543" s="75"/>
      <c r="I543" s="75"/>
      <c r="J543" s="75"/>
      <c r="K543" s="75"/>
      <c r="L543" s="75"/>
      <c r="M543" s="75"/>
      <c r="N543" s="75"/>
      <c r="O543" s="75"/>
      <c r="P543" s="75"/>
      <c r="Q543" s="75"/>
      <c r="R543" s="75"/>
      <c r="S543" s="75"/>
      <c r="T543" s="75"/>
    </row>
    <row r="544" spans="2:20" s="231" customFormat="1">
      <c r="C544" s="75"/>
      <c r="I544" s="75"/>
      <c r="J544" s="75"/>
      <c r="K544" s="75"/>
      <c r="L544" s="75"/>
      <c r="M544" s="75"/>
      <c r="N544" s="75"/>
      <c r="O544" s="75"/>
      <c r="P544" s="75"/>
      <c r="Q544" s="75"/>
      <c r="R544" s="75"/>
      <c r="S544" s="75"/>
      <c r="T544" s="75"/>
    </row>
    <row r="545" spans="3:20" s="231" customFormat="1" ht="12.75" customHeight="1">
      <c r="C545" s="75"/>
      <c r="I545" s="75"/>
      <c r="J545" s="75"/>
      <c r="K545" s="75"/>
      <c r="L545" s="75"/>
      <c r="M545" s="75"/>
      <c r="N545" s="75"/>
      <c r="O545" s="75"/>
      <c r="P545" s="75"/>
      <c r="Q545" s="75"/>
      <c r="R545" s="75"/>
      <c r="S545" s="75"/>
      <c r="T545" s="75"/>
    </row>
    <row r="546" spans="3:20" s="231" customFormat="1">
      <c r="C546" s="75"/>
      <c r="I546" s="75"/>
      <c r="J546" s="75"/>
      <c r="K546" s="75"/>
      <c r="L546" s="75"/>
      <c r="M546" s="75"/>
      <c r="N546" s="75"/>
      <c r="O546" s="75"/>
      <c r="P546" s="75"/>
      <c r="Q546" s="75"/>
      <c r="R546" s="75"/>
      <c r="S546" s="75"/>
      <c r="T546" s="75"/>
    </row>
    <row r="547" spans="3:20" s="231" customFormat="1">
      <c r="C547" s="75"/>
      <c r="I547" s="75"/>
      <c r="J547" s="75"/>
      <c r="K547" s="75"/>
      <c r="L547" s="75"/>
      <c r="M547" s="75"/>
      <c r="N547" s="75"/>
      <c r="O547" s="75"/>
      <c r="P547" s="75"/>
      <c r="Q547" s="75"/>
      <c r="R547" s="75"/>
      <c r="S547" s="75"/>
      <c r="T547" s="75"/>
    </row>
    <row r="548" spans="3:20" s="231" customFormat="1">
      <c r="C548" s="75"/>
      <c r="I548" s="75"/>
      <c r="J548" s="75"/>
      <c r="K548" s="75"/>
      <c r="L548" s="75"/>
      <c r="M548" s="75"/>
      <c r="N548" s="75"/>
      <c r="O548" s="75"/>
      <c r="P548" s="75"/>
      <c r="Q548" s="75"/>
      <c r="R548" s="75"/>
      <c r="S548" s="75"/>
      <c r="T548" s="75"/>
    </row>
    <row r="549" spans="3:20" s="231" customFormat="1">
      <c r="C549" s="75"/>
      <c r="I549" s="75"/>
      <c r="J549" s="75"/>
      <c r="K549" s="75"/>
      <c r="L549" s="75"/>
      <c r="M549" s="75"/>
      <c r="N549" s="75"/>
      <c r="O549" s="75"/>
      <c r="P549" s="75"/>
      <c r="Q549" s="75"/>
      <c r="R549" s="75"/>
      <c r="S549" s="75"/>
      <c r="T549" s="75"/>
    </row>
    <row r="550" spans="3:20" s="231" customFormat="1">
      <c r="C550" s="75"/>
      <c r="I550" s="75"/>
      <c r="J550" s="75"/>
      <c r="K550" s="75"/>
      <c r="L550" s="75"/>
      <c r="M550" s="75"/>
      <c r="N550" s="75"/>
      <c r="O550" s="75"/>
      <c r="P550" s="75"/>
      <c r="Q550" s="75"/>
      <c r="R550" s="75"/>
      <c r="S550" s="75"/>
      <c r="T550" s="75"/>
    </row>
    <row r="551" spans="3:20" s="231" customFormat="1" ht="15" thickBot="1">
      <c r="C551" s="75"/>
      <c r="I551" s="75"/>
      <c r="K551" s="75"/>
      <c r="L551" s="223" t="s">
        <v>397</v>
      </c>
      <c r="M551" s="223" t="s">
        <v>398</v>
      </c>
      <c r="N551" s="223" t="s">
        <v>365</v>
      </c>
      <c r="O551" s="75"/>
      <c r="P551" s="75"/>
      <c r="Q551" s="75"/>
      <c r="R551" s="75"/>
      <c r="S551" s="75"/>
      <c r="T551" s="75"/>
    </row>
    <row r="552" spans="3:20" s="231" customFormat="1">
      <c r="C552" s="75"/>
      <c r="D552" s="75"/>
      <c r="E552" s="75"/>
      <c r="F552" s="75"/>
      <c r="G552" s="75"/>
      <c r="H552" s="75"/>
      <c r="I552" s="75"/>
      <c r="J552" s="935" t="s">
        <v>13</v>
      </c>
      <c r="K552" s="936"/>
      <c r="L552" s="245">
        <f>+'Tableau détaillé'!J891</f>
        <v>-0.16442583204760841</v>
      </c>
      <c r="M552" s="245">
        <f>+'Tableau détaillé'!K891</f>
        <v>0.56409722222222225</v>
      </c>
      <c r="N552" s="248">
        <f>+'Tableau détaillé'!L891</f>
        <v>-0.82518944342827272</v>
      </c>
      <c r="O552" s="75"/>
      <c r="P552" s="75"/>
      <c r="Q552" s="75"/>
      <c r="R552" s="75"/>
      <c r="S552" s="75"/>
      <c r="T552" s="75"/>
    </row>
    <row r="553" spans="3:20" s="231" customFormat="1">
      <c r="C553" s="75"/>
      <c r="D553" s="75"/>
      <c r="E553" s="75"/>
      <c r="F553" s="75"/>
      <c r="G553" s="75"/>
      <c r="H553" s="75"/>
      <c r="I553" s="75"/>
      <c r="J553" s="937" t="s">
        <v>14</v>
      </c>
      <c r="K553" s="938"/>
      <c r="L553" s="246">
        <f>+'Tableau détaillé'!J892</f>
        <v>-0.17638036809815949</v>
      </c>
      <c r="M553" s="246">
        <f>+'Tableau détaillé'!K892</f>
        <v>0.53580255631664442</v>
      </c>
      <c r="N553" s="249">
        <f>+'Tableau détaillé'!L892</f>
        <v>-0.21491228070175439</v>
      </c>
      <c r="O553" s="75"/>
      <c r="P553" s="75"/>
      <c r="Q553" s="75"/>
      <c r="R553" s="75"/>
      <c r="S553" s="75"/>
      <c r="T553" s="75"/>
    </row>
    <row r="554" spans="3:20" s="231" customFormat="1">
      <c r="C554" s="75"/>
      <c r="D554" s="75"/>
      <c r="E554" s="75"/>
      <c r="F554" s="75"/>
      <c r="G554" s="75"/>
      <c r="H554" s="75"/>
      <c r="I554" s="75"/>
      <c r="J554" s="937" t="s">
        <v>17</v>
      </c>
      <c r="K554" s="938"/>
      <c r="L554" s="246">
        <f>+'Tableau détaillé'!J893</f>
        <v>8.4388185654007408E-3</v>
      </c>
      <c r="M554" s="246">
        <f>+'Tableau détaillé'!K893</f>
        <v>0.1705791269210386</v>
      </c>
      <c r="N554" s="249">
        <f>+'Tableau détaillé'!L893</f>
        <v>6.2166022961748002E-2</v>
      </c>
      <c r="O554" s="75"/>
      <c r="P554" s="75"/>
      <c r="Q554" s="75"/>
      <c r="R554" s="75"/>
      <c r="S554" s="75"/>
      <c r="T554" s="75"/>
    </row>
    <row r="555" spans="3:20" s="231" customFormat="1">
      <c r="C555" s="75"/>
      <c r="D555" s="75"/>
      <c r="E555" s="75"/>
      <c r="F555" s="75"/>
      <c r="G555" s="75"/>
      <c r="H555" s="75"/>
      <c r="I555" s="204"/>
      <c r="J555" s="937" t="s">
        <v>18</v>
      </c>
      <c r="K555" s="938"/>
      <c r="L555" s="246">
        <f>+'Tableau détaillé'!J894</f>
        <v>-8.5616438356164393E-2</v>
      </c>
      <c r="M555" s="246">
        <f>+'Tableau détaillé'!K894</f>
        <v>-9.475374732334052E-2</v>
      </c>
      <c r="N555" s="249">
        <f>+'Tableau détaillé'!L894</f>
        <v>-0.35390199637023589</v>
      </c>
      <c r="O555" s="75"/>
      <c r="P555" s="75"/>
      <c r="Q555" s="75"/>
      <c r="R555" s="75"/>
      <c r="S555" s="75"/>
      <c r="T555" s="75"/>
    </row>
    <row r="556" spans="3:20" s="231" customFormat="1">
      <c r="C556" s="75"/>
      <c r="D556" s="75"/>
      <c r="E556" s="75"/>
      <c r="F556" s="75"/>
      <c r="G556" s="75"/>
      <c r="H556" s="75"/>
      <c r="I556" s="204"/>
      <c r="J556" s="937" t="s">
        <v>19</v>
      </c>
      <c r="K556" s="938"/>
      <c r="L556" s="246">
        <f>+'Tableau détaillé'!J895</f>
        <v>-0.1428571428571429</v>
      </c>
      <c r="M556" s="246">
        <f>+'Tableau détaillé'!K895</f>
        <v>0.1853146853146852</v>
      </c>
      <c r="N556" s="249">
        <f>+'Tableau détaillé'!L895</f>
        <v>0.29122361529915874</v>
      </c>
      <c r="O556" s="75"/>
      <c r="P556" s="75"/>
      <c r="Q556" s="75"/>
      <c r="R556" s="75"/>
      <c r="S556" s="75"/>
      <c r="T556" s="75"/>
    </row>
    <row r="557" spans="3:20" s="231" customFormat="1">
      <c r="C557" s="75"/>
      <c r="D557" s="75"/>
      <c r="E557" s="75"/>
      <c r="F557" s="75"/>
      <c r="G557" s="75"/>
      <c r="H557" s="75"/>
      <c r="J557" s="937" t="s">
        <v>21</v>
      </c>
      <c r="K557" s="938"/>
      <c r="L557" s="246">
        <f>+'Tableau détaillé'!J896</f>
        <v>0.41610738255033564</v>
      </c>
      <c r="M557" s="246">
        <f>+'Tableau détaillé'!K896</f>
        <v>-0.5557894736842105</v>
      </c>
      <c r="N557" s="249">
        <f>+'Tableau détaillé'!L896</f>
        <v>-0.34893288763178187</v>
      </c>
      <c r="O557" s="75"/>
      <c r="P557" s="75"/>
      <c r="Q557" s="75"/>
      <c r="R557" s="75"/>
      <c r="S557" s="75"/>
      <c r="T557" s="75"/>
    </row>
    <row r="558" spans="3:20" s="231" customFormat="1">
      <c r="C558" s="75"/>
      <c r="D558" s="75"/>
      <c r="E558" s="75"/>
      <c r="F558" s="75"/>
      <c r="G558" s="75"/>
      <c r="H558" s="75"/>
      <c r="I558" s="206"/>
      <c r="J558" s="937" t="s">
        <v>22</v>
      </c>
      <c r="K558" s="938"/>
      <c r="L558" s="246">
        <f>+'Tableau détaillé'!J897</f>
        <v>-0.15206185567010311</v>
      </c>
      <c r="M558" s="246">
        <f>+'Tableau détaillé'!K897</f>
        <v>9.3604573859858986E-2</v>
      </c>
      <c r="N558" s="249">
        <f>+'Tableau détaillé'!L897</f>
        <v>-0.22283464566929134</v>
      </c>
      <c r="O558" s="206"/>
      <c r="P558" s="75"/>
      <c r="Q558" s="75"/>
      <c r="R558" s="75"/>
      <c r="S558" s="75"/>
      <c r="T558" s="75"/>
    </row>
    <row r="559" spans="3:20" s="231" customFormat="1">
      <c r="C559" s="75"/>
      <c r="D559" s="75"/>
      <c r="E559" s="75"/>
      <c r="F559" s="75"/>
      <c r="G559" s="75"/>
      <c r="H559" s="75"/>
      <c r="I559" s="204"/>
      <c r="J559" s="937" t="s">
        <v>15</v>
      </c>
      <c r="K559" s="938"/>
      <c r="L559" s="246">
        <f>+'Tableau détaillé'!J899</f>
        <v>-6.3697376449054266E-2</v>
      </c>
      <c r="M559" s="246">
        <f>+'Tableau détaillé'!K899</f>
        <v>0.33156264692575865</v>
      </c>
      <c r="N559" s="249">
        <f>+'Tableau détaillé'!L899</f>
        <v>-6.4762523869499766E-2</v>
      </c>
      <c r="O559" s="75"/>
      <c r="P559" s="75"/>
      <c r="Q559" s="75"/>
      <c r="R559" s="75"/>
      <c r="S559" s="75"/>
      <c r="T559" s="75"/>
    </row>
    <row r="560" spans="3:20" s="231" customFormat="1">
      <c r="C560" s="75"/>
      <c r="D560" s="75"/>
      <c r="E560" s="75"/>
      <c r="F560" s="75"/>
      <c r="G560" s="75"/>
      <c r="H560" s="75"/>
      <c r="I560" s="204"/>
      <c r="J560" s="937" t="s">
        <v>16</v>
      </c>
      <c r="K560" s="938"/>
      <c r="L560" s="246">
        <f>+'Tableau détaillé'!J900</f>
        <v>-0.30255334032878622</v>
      </c>
      <c r="M560" s="246">
        <f>+'Tableau détaillé'!K900</f>
        <v>2.4861205265559683E-2</v>
      </c>
      <c r="N560" s="249">
        <f>+'Tableau détaillé'!L900</f>
        <v>-0.19256272250248863</v>
      </c>
      <c r="O560" s="75"/>
      <c r="P560" s="75"/>
      <c r="Q560" s="75"/>
      <c r="R560" s="75"/>
      <c r="S560" s="75"/>
      <c r="T560" s="75"/>
    </row>
    <row r="561" spans="3:23" s="231" customFormat="1">
      <c r="C561" s="75"/>
      <c r="D561" s="75"/>
      <c r="E561" s="75"/>
      <c r="F561" s="75"/>
      <c r="G561" s="75"/>
      <c r="H561" s="75"/>
      <c r="I561" s="204"/>
      <c r="J561" s="937" t="s">
        <v>20</v>
      </c>
      <c r="K561" s="938"/>
      <c r="L561" s="246">
        <f>+'Tableau détaillé'!J901</f>
        <v>-9.4760312151616399E-2</v>
      </c>
      <c r="M561" s="246">
        <f>+'Tableau détaillé'!K901</f>
        <v>-0.65147877405941923</v>
      </c>
      <c r="N561" s="249">
        <f>+'Tableau détaillé'!L901</f>
        <v>-3.1892697466467945E-2</v>
      </c>
      <c r="O561" s="75"/>
      <c r="P561" s="75"/>
      <c r="Q561" s="75"/>
      <c r="R561" s="75"/>
      <c r="S561" s="75"/>
      <c r="T561" s="75"/>
    </row>
    <row r="562" spans="3:23" s="231" customFormat="1" ht="15" thickBot="1">
      <c r="C562" s="75"/>
      <c r="D562" s="75"/>
      <c r="E562" s="75"/>
      <c r="F562" s="75"/>
      <c r="G562" s="75"/>
      <c r="H562" s="75"/>
      <c r="I562" s="204"/>
      <c r="J562" s="939" t="s">
        <v>23</v>
      </c>
      <c r="K562" s="940"/>
      <c r="L562" s="247">
        <f>+'Tableau détaillé'!J902</f>
        <v>-0.16666666666666663</v>
      </c>
      <c r="M562" s="247">
        <f>+'Tableau détaillé'!K902</f>
        <v>-0.96258885147774031</v>
      </c>
      <c r="N562" s="250">
        <f>+'Tableau détaillé'!L902</f>
        <v>-0.60591133004926112</v>
      </c>
      <c r="O562" s="75"/>
      <c r="P562" s="75"/>
      <c r="Q562" s="75"/>
      <c r="R562" s="75"/>
      <c r="S562" s="75"/>
      <c r="T562" s="75"/>
    </row>
    <row r="563" spans="3:23" s="231" customFormat="1" ht="15" thickBot="1">
      <c r="C563" s="75"/>
      <c r="D563" s="75"/>
      <c r="E563" s="75"/>
      <c r="F563" s="75"/>
      <c r="G563" s="75"/>
      <c r="H563" s="75"/>
      <c r="I563" s="75"/>
      <c r="J563" s="75"/>
      <c r="K563" s="75"/>
      <c r="L563" s="75"/>
      <c r="M563" s="75"/>
      <c r="N563" s="75"/>
      <c r="O563" s="75"/>
      <c r="P563" s="75"/>
      <c r="Q563" s="75"/>
      <c r="R563" s="75"/>
      <c r="S563" s="75"/>
      <c r="T563" s="75"/>
    </row>
    <row r="564" spans="3:23" s="231" customFormat="1">
      <c r="C564" s="75"/>
      <c r="D564" s="75"/>
      <c r="E564" s="75"/>
      <c r="F564" s="75"/>
      <c r="G564" s="75"/>
      <c r="H564" s="75"/>
      <c r="I564" s="75"/>
      <c r="J564" s="935" t="s">
        <v>145</v>
      </c>
      <c r="K564" s="936"/>
      <c r="L564" s="245">
        <f>+'Tableau détaillé'!J898</f>
        <v>-0.11495433789954335</v>
      </c>
      <c r="M564" s="245">
        <f>+'Tableau détaillé'!K898</f>
        <v>0.27105187854781843</v>
      </c>
      <c r="N564" s="248">
        <f>+'Tableau détaillé'!L898</f>
        <v>-0.70231623540554122</v>
      </c>
      <c r="O564" s="75"/>
      <c r="P564" s="75"/>
      <c r="Q564" s="75"/>
      <c r="R564" s="75"/>
      <c r="S564" s="75"/>
      <c r="T564" s="75"/>
    </row>
    <row r="565" spans="3:23" s="231" customFormat="1">
      <c r="C565" s="75"/>
      <c r="D565" s="75"/>
      <c r="E565" s="75"/>
      <c r="F565" s="75"/>
      <c r="G565" s="75"/>
      <c r="H565" s="75"/>
      <c r="I565" s="75"/>
      <c r="J565" s="937" t="s">
        <v>142</v>
      </c>
      <c r="K565" s="938"/>
      <c r="L565" s="246">
        <f>+'Tableau détaillé'!J903</f>
        <v>-0.15787006028131279</v>
      </c>
      <c r="M565" s="246">
        <f>+'Tableau détaillé'!K903</f>
        <v>-0.13316620238970078</v>
      </c>
      <c r="N565" s="249">
        <f>+'Tableau détaillé'!L903</f>
        <v>-0.11681135156968003</v>
      </c>
      <c r="O565" s="75"/>
      <c r="P565" s="75"/>
      <c r="Q565" s="75"/>
      <c r="R565" s="75"/>
      <c r="S565" s="75"/>
      <c r="T565" s="75"/>
    </row>
    <row r="566" spans="3:23" s="231" customFormat="1" ht="15" thickBot="1">
      <c r="C566" s="75"/>
      <c r="D566" s="75"/>
      <c r="E566" s="75"/>
      <c r="F566" s="75"/>
      <c r="G566" s="75"/>
      <c r="H566" s="75"/>
      <c r="I566" s="75"/>
      <c r="J566" s="939" t="s">
        <v>209</v>
      </c>
      <c r="K566" s="940"/>
      <c r="L566" s="247">
        <f>+'Tableau détaillé'!J890</f>
        <v>-0.14200084423807502</v>
      </c>
      <c r="M566" s="247">
        <f>+'Tableau détaillé'!K890</f>
        <v>0.10855435651883427</v>
      </c>
      <c r="N566" s="250">
        <f>+'Tableau détaillé'!L890</f>
        <v>-0.49538649961519687</v>
      </c>
      <c r="O566" s="75"/>
      <c r="P566" s="75"/>
      <c r="Q566" s="75"/>
      <c r="R566" s="75"/>
      <c r="S566" s="75"/>
      <c r="T566" s="75"/>
    </row>
    <row r="567" spans="3:23" s="231" customFormat="1">
      <c r="C567" s="75"/>
      <c r="D567" s="75"/>
      <c r="E567" s="75"/>
      <c r="F567" s="75"/>
      <c r="G567" s="75"/>
      <c r="H567" s="75"/>
      <c r="I567" s="75"/>
      <c r="J567" s="75"/>
      <c r="K567" s="75"/>
      <c r="L567" s="75"/>
      <c r="M567" s="75"/>
      <c r="N567" s="75"/>
      <c r="O567" s="75"/>
      <c r="P567" s="75"/>
      <c r="Q567" s="75"/>
      <c r="R567" s="75"/>
      <c r="S567" s="75"/>
      <c r="T567" s="75"/>
    </row>
    <row r="568" spans="3:23" s="231" customFormat="1">
      <c r="C568" s="75"/>
      <c r="D568" s="75"/>
      <c r="E568" s="75"/>
      <c r="F568" s="75"/>
      <c r="G568" s="75"/>
      <c r="H568" s="75"/>
      <c r="I568" s="75"/>
      <c r="J568" s="75"/>
      <c r="K568" s="75"/>
      <c r="L568" s="75"/>
      <c r="M568" s="75"/>
      <c r="N568" s="75"/>
      <c r="O568" s="75"/>
      <c r="P568" s="75"/>
      <c r="Q568" s="75"/>
      <c r="R568" s="75"/>
      <c r="S568" s="75"/>
      <c r="T568" s="75"/>
      <c r="W568" s="231">
        <f>88+44</f>
        <v>132</v>
      </c>
    </row>
    <row r="569" spans="3:23" s="231" customFormat="1">
      <c r="C569" s="75"/>
      <c r="D569" s="75"/>
      <c r="E569" s="75"/>
      <c r="F569" s="75"/>
      <c r="G569" s="75"/>
      <c r="H569" s="75"/>
      <c r="I569" s="75"/>
      <c r="J569" s="75"/>
      <c r="K569" s="75"/>
      <c r="L569" s="75"/>
      <c r="M569" s="75"/>
      <c r="N569" s="75"/>
      <c r="O569" s="75"/>
      <c r="P569" s="75"/>
      <c r="Q569" s="75"/>
      <c r="R569" s="75"/>
      <c r="S569" s="75"/>
      <c r="T569" s="75"/>
    </row>
    <row r="570" spans="3:23" s="231" customFormat="1" ht="7.5" customHeight="1">
      <c r="C570" s="75"/>
      <c r="D570" s="75"/>
      <c r="E570" s="75"/>
      <c r="F570" s="75"/>
      <c r="G570" s="75"/>
      <c r="H570" s="75"/>
      <c r="I570" s="75"/>
      <c r="J570" s="75"/>
      <c r="K570" s="75"/>
      <c r="L570" s="75"/>
      <c r="M570" s="75"/>
      <c r="N570" s="75"/>
      <c r="O570" s="75"/>
      <c r="P570" s="75"/>
      <c r="Q570" s="75"/>
      <c r="R570" s="75"/>
      <c r="S570" s="75"/>
      <c r="T570" s="75"/>
    </row>
    <row r="571" spans="3:23" s="231" customFormat="1">
      <c r="C571" s="75"/>
      <c r="D571" s="75"/>
      <c r="E571" s="75"/>
      <c r="F571" s="75"/>
      <c r="G571" s="75"/>
      <c r="H571" s="75"/>
      <c r="I571" s="75"/>
      <c r="J571" s="75"/>
      <c r="K571" s="75"/>
      <c r="L571" s="75"/>
      <c r="M571" s="75"/>
      <c r="N571" s="75"/>
      <c r="O571" s="75"/>
      <c r="P571" s="75"/>
      <c r="Q571" s="75"/>
      <c r="R571" s="75"/>
      <c r="S571" s="75"/>
      <c r="T571" s="75"/>
    </row>
    <row r="572" spans="3:23" s="231" customFormat="1">
      <c r="C572" s="75"/>
      <c r="D572" s="75"/>
      <c r="E572" s="75"/>
      <c r="F572" s="75"/>
      <c r="G572" s="75"/>
      <c r="H572" s="75"/>
      <c r="I572" s="75"/>
      <c r="J572" s="75"/>
      <c r="K572" s="75"/>
      <c r="L572" s="75"/>
      <c r="M572" s="75"/>
      <c r="N572" s="75"/>
      <c r="O572" s="75"/>
      <c r="P572" s="75"/>
      <c r="Q572" s="75"/>
      <c r="R572" s="75"/>
      <c r="S572" s="75"/>
      <c r="T572" s="75"/>
    </row>
    <row r="573" spans="3:23" s="231" customFormat="1">
      <c r="C573" s="75"/>
      <c r="D573" s="75"/>
      <c r="E573" s="75"/>
      <c r="F573" s="75"/>
      <c r="G573" s="75"/>
      <c r="H573" s="75"/>
      <c r="I573" s="230">
        <f>1+I533</f>
        <v>12</v>
      </c>
      <c r="J573" s="75"/>
      <c r="K573" s="75"/>
      <c r="L573" s="75"/>
      <c r="M573" s="75"/>
      <c r="N573" s="75"/>
      <c r="O573" s="75"/>
      <c r="P573" s="75"/>
      <c r="Q573" s="75"/>
      <c r="R573" s="75"/>
      <c r="S573" s="75"/>
      <c r="T573" s="75"/>
    </row>
    <row r="574" spans="3:23" s="231" customFormat="1">
      <c r="C574" s="75"/>
      <c r="D574" s="75"/>
      <c r="E574" s="75"/>
      <c r="F574" s="75"/>
      <c r="G574" s="75"/>
      <c r="H574" s="75"/>
      <c r="I574" s="75"/>
      <c r="J574" s="75"/>
      <c r="K574" s="75"/>
      <c r="L574" s="75"/>
      <c r="M574" s="75"/>
      <c r="N574" s="75"/>
      <c r="O574" s="75"/>
      <c r="P574" s="75"/>
      <c r="Q574" s="75"/>
      <c r="R574" s="75"/>
      <c r="S574" s="75"/>
      <c r="T574" s="75"/>
    </row>
    <row r="575" spans="3:23" ht="9.75" customHeight="1">
      <c r="C575" s="56"/>
      <c r="D575" s="56"/>
      <c r="E575" s="56"/>
      <c r="F575" s="56"/>
      <c r="G575" s="56"/>
      <c r="H575" s="56"/>
      <c r="I575" s="56"/>
      <c r="J575" s="56"/>
      <c r="K575" s="56"/>
      <c r="L575" s="56"/>
      <c r="M575" s="56"/>
      <c r="N575" s="56"/>
      <c r="O575" s="56"/>
      <c r="P575" s="56"/>
      <c r="Q575" s="56"/>
      <c r="R575" s="56"/>
      <c r="S575" s="56"/>
      <c r="T575" s="56"/>
    </row>
    <row r="576" spans="3:23" ht="23.4">
      <c r="C576" s="200" t="s">
        <v>263</v>
      </c>
      <c r="D576" s="202" t="s">
        <v>511</v>
      </c>
      <c r="E576" s="202"/>
      <c r="F576" s="202"/>
      <c r="G576" s="202"/>
      <c r="H576" s="202"/>
      <c r="I576" s="200"/>
      <c r="J576" s="200"/>
      <c r="K576" s="200"/>
      <c r="L576" s="200"/>
      <c r="M576" s="446" t="s">
        <v>443</v>
      </c>
      <c r="N576" s="447">
        <f>+'Tableau détaillé'!V4</f>
        <v>1</v>
      </c>
      <c r="O576" s="200"/>
      <c r="P576" s="200"/>
      <c r="Q576" s="200"/>
      <c r="R576" s="200"/>
      <c r="S576" s="200"/>
      <c r="T576" s="200"/>
    </row>
    <row r="577" spans="2:20" ht="5.4" customHeight="1"/>
    <row r="578" spans="2:20" ht="5.4" customHeight="1">
      <c r="B578" s="203"/>
      <c r="C578" s="203"/>
      <c r="D578" s="203"/>
      <c r="E578" s="203"/>
      <c r="F578" s="203"/>
      <c r="G578" s="203"/>
      <c r="H578" s="203"/>
    </row>
    <row r="579" spans="2:20" ht="17.25" customHeight="1">
      <c r="D579" s="934"/>
      <c r="E579" s="934"/>
      <c r="F579" s="934"/>
      <c r="G579" s="934"/>
      <c r="H579" s="934"/>
      <c r="I579" s="934"/>
      <c r="J579" s="934"/>
      <c r="K579" s="934"/>
      <c r="L579" s="934"/>
      <c r="M579" s="934"/>
      <c r="N579" s="934"/>
    </row>
    <row r="580" spans="2:20">
      <c r="C580" s="75"/>
      <c r="O580" s="75"/>
      <c r="P580" s="75"/>
      <c r="Q580" s="75"/>
      <c r="R580" s="75"/>
      <c r="S580" s="75"/>
      <c r="T580" s="75"/>
    </row>
    <row r="581" spans="2:20" ht="20.25" customHeight="1">
      <c r="C581" s="75"/>
      <c r="I581" s="75"/>
      <c r="J581" s="75"/>
      <c r="K581" s="75"/>
      <c r="L581" s="75"/>
      <c r="M581" s="75"/>
      <c r="N581" s="75"/>
      <c r="O581" s="75"/>
      <c r="P581" s="75"/>
      <c r="Q581" s="75"/>
      <c r="R581" s="75"/>
      <c r="S581" s="75"/>
      <c r="T581" s="75"/>
    </row>
    <row r="582" spans="2:20">
      <c r="C582" s="75"/>
      <c r="I582" s="75"/>
      <c r="J582" s="75"/>
      <c r="K582" s="75"/>
      <c r="L582" s="75"/>
      <c r="M582" s="75"/>
      <c r="N582" s="75"/>
      <c r="O582" s="75"/>
      <c r="P582" s="75"/>
      <c r="Q582" s="75"/>
      <c r="R582" s="75"/>
      <c r="S582" s="75"/>
      <c r="T582" s="75"/>
    </row>
    <row r="583" spans="2:20">
      <c r="C583" s="75"/>
      <c r="I583" s="75"/>
      <c r="J583" s="75"/>
      <c r="K583" s="75"/>
      <c r="L583" s="75"/>
      <c r="M583" s="75"/>
      <c r="N583" s="75"/>
      <c r="O583" s="75"/>
      <c r="P583" s="75"/>
      <c r="Q583" s="75"/>
      <c r="R583" s="75"/>
      <c r="S583" s="75"/>
      <c r="T583" s="75"/>
    </row>
    <row r="584" spans="2:20">
      <c r="C584" s="75"/>
      <c r="I584" s="75"/>
      <c r="J584" s="75"/>
      <c r="K584" s="75"/>
      <c r="L584" s="75"/>
      <c r="M584" s="75"/>
      <c r="N584" s="75"/>
      <c r="O584" s="75"/>
      <c r="P584" s="75"/>
      <c r="Q584" s="75"/>
      <c r="R584" s="75"/>
      <c r="S584" s="75"/>
      <c r="T584" s="75"/>
    </row>
    <row r="585" spans="2:20">
      <c r="C585" s="75"/>
      <c r="I585" s="75"/>
      <c r="J585" s="75"/>
      <c r="K585" s="75"/>
      <c r="L585" s="75"/>
      <c r="M585" s="75"/>
      <c r="N585" s="75"/>
      <c r="O585" s="75"/>
      <c r="P585" s="75"/>
      <c r="Q585" s="75"/>
      <c r="R585" s="75"/>
      <c r="S585" s="75"/>
      <c r="T585" s="75"/>
    </row>
    <row r="586" spans="2:20">
      <c r="C586" s="75"/>
      <c r="I586" s="75"/>
      <c r="J586" s="75"/>
      <c r="K586" s="75"/>
      <c r="L586" s="75"/>
      <c r="M586" s="75"/>
      <c r="N586" s="75"/>
      <c r="O586" s="75"/>
      <c r="P586" s="75"/>
      <c r="Q586" s="75"/>
      <c r="R586" s="75"/>
      <c r="S586" s="75"/>
      <c r="T586" s="75"/>
    </row>
    <row r="587" spans="2:20">
      <c r="C587" s="75"/>
      <c r="I587" s="75"/>
      <c r="J587" s="75"/>
      <c r="K587" s="75"/>
      <c r="L587" s="75"/>
      <c r="M587" s="75"/>
      <c r="N587" s="75"/>
      <c r="O587" s="75"/>
      <c r="P587" s="75"/>
      <c r="Q587" s="75"/>
      <c r="R587" s="75"/>
      <c r="S587" s="75"/>
      <c r="T587" s="75"/>
    </row>
    <row r="588" spans="2:20">
      <c r="C588" s="75"/>
      <c r="I588" s="75"/>
      <c r="J588" s="75"/>
      <c r="K588" s="75"/>
      <c r="L588" s="75"/>
      <c r="M588" s="75"/>
      <c r="N588" s="75"/>
      <c r="O588" s="75"/>
      <c r="P588" s="75"/>
      <c r="Q588" s="75"/>
      <c r="R588" s="75"/>
      <c r="S588" s="75"/>
      <c r="T588" s="75"/>
    </row>
    <row r="589" spans="2:20">
      <c r="C589" s="75"/>
      <c r="I589" s="75"/>
      <c r="J589" s="75"/>
      <c r="K589" s="75"/>
      <c r="L589" s="75"/>
      <c r="M589" s="75"/>
      <c r="N589" s="75"/>
      <c r="O589" s="75"/>
      <c r="P589" s="75"/>
      <c r="Q589" s="75"/>
      <c r="R589" s="75"/>
      <c r="S589" s="75"/>
      <c r="T589" s="75"/>
    </row>
    <row r="590" spans="2:20">
      <c r="C590" s="75"/>
      <c r="I590" s="75"/>
      <c r="J590" s="75"/>
      <c r="K590" s="75"/>
      <c r="L590" s="75"/>
      <c r="M590" s="75"/>
      <c r="N590" s="75"/>
      <c r="O590" s="75"/>
      <c r="P590" s="75"/>
      <c r="Q590" s="75"/>
      <c r="R590" s="75"/>
      <c r="S590" s="75"/>
      <c r="T590" s="75"/>
    </row>
    <row r="591" spans="2:20">
      <c r="C591" s="75"/>
      <c r="I591" s="75"/>
      <c r="J591" s="75"/>
      <c r="K591" s="75"/>
      <c r="L591" s="75"/>
      <c r="M591" s="75"/>
      <c r="N591" s="75"/>
      <c r="O591" s="75"/>
      <c r="P591" s="75"/>
      <c r="Q591" s="75"/>
      <c r="R591" s="75"/>
      <c r="S591" s="75"/>
      <c r="T591" s="75"/>
    </row>
    <row r="592" spans="2:20">
      <c r="C592" s="75"/>
      <c r="D592" s="75"/>
      <c r="E592" s="75"/>
      <c r="F592" s="75"/>
      <c r="G592" s="75"/>
      <c r="H592" s="75"/>
      <c r="I592" s="75"/>
      <c r="J592" s="75"/>
      <c r="K592" s="75"/>
      <c r="L592" s="75"/>
      <c r="M592" s="75"/>
      <c r="N592" s="75"/>
      <c r="O592" s="75"/>
      <c r="P592" s="75"/>
      <c r="Q592" s="75"/>
      <c r="R592" s="75"/>
      <c r="S592" s="75"/>
      <c r="T592" s="75"/>
    </row>
    <row r="593" spans="3:23">
      <c r="C593" s="75"/>
      <c r="D593" s="75"/>
      <c r="E593" s="75"/>
      <c r="F593" s="75"/>
      <c r="G593" s="75"/>
      <c r="H593" s="75"/>
      <c r="I593" s="75"/>
      <c r="J593" s="75"/>
      <c r="K593" s="75"/>
      <c r="L593" s="75"/>
      <c r="M593" s="75"/>
      <c r="N593" s="75"/>
      <c r="O593" s="75"/>
      <c r="P593" s="75"/>
      <c r="Q593" s="75"/>
      <c r="R593" s="75"/>
      <c r="S593" s="75"/>
      <c r="T593" s="75"/>
    </row>
    <row r="594" spans="3:23">
      <c r="C594" s="75"/>
      <c r="D594" s="75"/>
      <c r="E594" s="75"/>
      <c r="F594" s="75"/>
      <c r="G594" s="75"/>
      <c r="H594" s="75"/>
      <c r="I594" s="75"/>
      <c r="J594" s="75"/>
      <c r="K594" s="75"/>
      <c r="L594" s="75"/>
      <c r="M594" s="75"/>
      <c r="N594" s="75"/>
      <c r="O594" s="75"/>
      <c r="P594" s="75"/>
      <c r="Q594" s="75"/>
      <c r="R594" s="75"/>
      <c r="S594" s="75"/>
      <c r="T594" s="75"/>
    </row>
    <row r="595" spans="3:23">
      <c r="C595" s="75"/>
      <c r="D595" s="75"/>
      <c r="E595" s="75"/>
      <c r="F595" s="75"/>
      <c r="G595" s="75"/>
      <c r="H595" s="75"/>
      <c r="I595" s="204"/>
      <c r="J595" s="205"/>
      <c r="K595" s="75"/>
      <c r="L595" s="204"/>
      <c r="M595" s="75"/>
      <c r="N595" s="75"/>
      <c r="O595" s="75"/>
      <c r="P595" s="75"/>
      <c r="Q595" s="75"/>
      <c r="R595" s="75"/>
      <c r="S595" s="75"/>
      <c r="T595" s="75"/>
    </row>
    <row r="596" spans="3:23">
      <c r="C596" s="75"/>
      <c r="D596" s="75"/>
      <c r="E596" s="75"/>
      <c r="F596" s="75"/>
      <c r="G596" s="75"/>
      <c r="H596" s="75"/>
      <c r="I596" s="204"/>
      <c r="J596" s="205"/>
      <c r="K596" s="75"/>
      <c r="L596" s="204"/>
      <c r="M596" s="75"/>
      <c r="N596" s="75"/>
      <c r="O596" s="75"/>
      <c r="P596" s="75"/>
      <c r="Q596" s="75"/>
      <c r="R596" s="75"/>
      <c r="S596" s="75"/>
      <c r="T596" s="75"/>
    </row>
    <row r="597" spans="3:23">
      <c r="C597" s="75"/>
      <c r="D597" s="75"/>
      <c r="E597" s="75"/>
      <c r="F597" s="75"/>
      <c r="G597" s="75"/>
      <c r="H597" s="75"/>
      <c r="J597" s="205"/>
      <c r="K597" s="75"/>
      <c r="L597" s="204"/>
      <c r="M597" s="75"/>
      <c r="N597" s="75"/>
      <c r="O597" s="75"/>
      <c r="P597" s="75"/>
      <c r="Q597" s="75"/>
      <c r="R597" s="75"/>
      <c r="S597" s="75"/>
      <c r="T597" s="75"/>
    </row>
    <row r="598" spans="3:23">
      <c r="C598" s="75"/>
      <c r="D598" s="75"/>
      <c r="E598" s="75"/>
      <c r="F598" s="75"/>
      <c r="G598" s="75"/>
      <c r="H598" s="75"/>
      <c r="I598" s="206"/>
      <c r="J598" s="205"/>
      <c r="K598" s="75"/>
      <c r="L598" s="204"/>
      <c r="M598" s="75"/>
      <c r="N598" s="75"/>
      <c r="O598" s="206"/>
      <c r="P598" s="75"/>
      <c r="Q598" s="75"/>
      <c r="R598" s="75"/>
      <c r="S598" s="75"/>
      <c r="T598" s="75"/>
    </row>
    <row r="599" spans="3:23">
      <c r="C599" s="75"/>
      <c r="D599" s="75"/>
      <c r="E599" s="75"/>
      <c r="F599" s="75"/>
      <c r="G599" s="75"/>
      <c r="H599" s="75"/>
      <c r="I599" s="204"/>
      <c r="J599" s="205"/>
      <c r="K599" s="75"/>
      <c r="L599" s="204"/>
      <c r="M599" s="75"/>
      <c r="N599" s="75"/>
      <c r="O599" s="75"/>
      <c r="P599" s="75"/>
      <c r="Q599" s="75"/>
      <c r="R599" s="75"/>
      <c r="S599" s="75"/>
      <c r="T599" s="75"/>
    </row>
    <row r="600" spans="3:23">
      <c r="C600" s="75"/>
      <c r="D600" s="75"/>
      <c r="E600" s="75"/>
      <c r="F600" s="75"/>
      <c r="G600" s="75"/>
      <c r="H600" s="75"/>
      <c r="I600" s="204"/>
      <c r="J600" s="205"/>
      <c r="K600" s="75"/>
      <c r="L600" s="204"/>
      <c r="M600" s="75"/>
      <c r="N600" s="75"/>
      <c r="O600" s="75"/>
      <c r="P600" s="75"/>
      <c r="Q600" s="75"/>
      <c r="R600" s="75"/>
      <c r="S600" s="75"/>
      <c r="T600" s="75"/>
    </row>
    <row r="601" spans="3:23">
      <c r="C601" s="75"/>
      <c r="D601" s="75"/>
      <c r="E601" s="75"/>
      <c r="F601" s="75"/>
      <c r="G601" s="75"/>
      <c r="H601" s="75"/>
      <c r="I601" s="204"/>
      <c r="J601" s="205"/>
      <c r="K601" s="75"/>
      <c r="L601" s="204"/>
      <c r="M601" s="75"/>
      <c r="N601" s="75"/>
      <c r="O601" s="75"/>
      <c r="P601" s="75"/>
      <c r="Q601" s="75"/>
      <c r="R601" s="75"/>
      <c r="S601" s="75"/>
      <c r="T601" s="75"/>
    </row>
    <row r="602" spans="3:23">
      <c r="C602" s="75"/>
      <c r="D602" s="75"/>
      <c r="E602" s="75"/>
      <c r="F602" s="75"/>
      <c r="G602" s="75"/>
      <c r="H602" s="75"/>
      <c r="I602" s="204"/>
      <c r="J602" s="205"/>
      <c r="K602" s="75"/>
      <c r="L602" s="204"/>
      <c r="M602" s="75"/>
      <c r="N602" s="75"/>
      <c r="O602" s="75"/>
      <c r="P602" s="75"/>
      <c r="Q602" s="75"/>
      <c r="R602" s="75"/>
      <c r="S602" s="75"/>
      <c r="T602" s="75"/>
    </row>
    <row r="603" spans="3:23">
      <c r="C603" s="75"/>
      <c r="D603" s="75"/>
      <c r="E603" s="75"/>
      <c r="F603" s="75"/>
      <c r="G603" s="75"/>
      <c r="H603" s="75"/>
      <c r="I603" s="75"/>
      <c r="J603" s="75"/>
      <c r="K603" s="75"/>
      <c r="L603" s="75"/>
      <c r="M603" s="75"/>
      <c r="N603" s="75"/>
      <c r="O603" s="75"/>
      <c r="P603" s="75"/>
      <c r="Q603" s="75"/>
      <c r="R603" s="75"/>
      <c r="S603" s="75"/>
      <c r="T603" s="75"/>
    </row>
    <row r="604" spans="3:23">
      <c r="C604" s="75"/>
      <c r="D604" s="75"/>
      <c r="E604" s="75"/>
      <c r="F604" s="75"/>
      <c r="G604" s="75"/>
      <c r="H604" s="75"/>
      <c r="I604" s="75"/>
      <c r="J604" s="75"/>
      <c r="K604" s="75"/>
      <c r="L604" s="75"/>
      <c r="M604" s="75"/>
      <c r="N604" s="75"/>
      <c r="O604" s="75"/>
      <c r="P604" s="75"/>
      <c r="Q604" s="75"/>
      <c r="R604" s="75"/>
      <c r="S604" s="75"/>
      <c r="T604" s="75"/>
    </row>
    <row r="605" spans="3:23">
      <c r="C605" s="75"/>
      <c r="D605" s="75"/>
      <c r="E605" s="75"/>
      <c r="F605" s="75"/>
      <c r="G605" s="75"/>
      <c r="H605" s="75"/>
      <c r="I605" s="75"/>
      <c r="J605" s="75"/>
      <c r="K605" s="75"/>
      <c r="L605" s="75"/>
      <c r="M605" s="75"/>
      <c r="N605" s="75"/>
      <c r="O605" s="75"/>
      <c r="P605" s="75"/>
      <c r="Q605" s="75"/>
      <c r="R605" s="75"/>
      <c r="S605" s="75"/>
      <c r="T605" s="75"/>
    </row>
    <row r="606" spans="3:23">
      <c r="C606" s="75"/>
      <c r="D606" s="75"/>
      <c r="E606" s="75"/>
      <c r="F606" s="75"/>
      <c r="G606" s="75"/>
      <c r="H606" s="75"/>
      <c r="I606" s="75"/>
      <c r="J606" s="75"/>
      <c r="K606" s="75"/>
      <c r="L606" s="75"/>
      <c r="M606" s="75"/>
      <c r="N606" s="75"/>
      <c r="O606" s="75"/>
      <c r="P606" s="75"/>
      <c r="Q606" s="75"/>
      <c r="R606" s="75"/>
      <c r="S606" s="75"/>
      <c r="T606" s="75"/>
    </row>
    <row r="607" spans="3:23">
      <c r="C607" s="75"/>
      <c r="D607" s="75"/>
      <c r="E607" s="75"/>
      <c r="F607" s="75"/>
      <c r="G607" s="75"/>
      <c r="H607" s="75"/>
      <c r="I607" s="75"/>
      <c r="J607" s="75"/>
      <c r="K607" s="75"/>
      <c r="L607" s="75"/>
      <c r="M607" s="75"/>
      <c r="N607" s="75"/>
      <c r="O607" s="75"/>
      <c r="P607" s="75"/>
      <c r="Q607" s="75"/>
      <c r="R607" s="75"/>
      <c r="S607" s="75"/>
      <c r="T607" s="75"/>
    </row>
    <row r="608" spans="3:23">
      <c r="C608" s="75"/>
      <c r="D608" s="75"/>
      <c r="E608" s="75"/>
      <c r="F608" s="75"/>
      <c r="G608" s="75"/>
      <c r="H608" s="75"/>
      <c r="I608" s="75"/>
      <c r="J608" s="75"/>
      <c r="K608" s="75"/>
      <c r="L608" s="75"/>
      <c r="M608" s="75"/>
      <c r="N608" s="75"/>
      <c r="O608" s="75"/>
      <c r="P608" s="75"/>
      <c r="Q608" s="75"/>
      <c r="R608" s="75"/>
      <c r="S608" s="75"/>
      <c r="T608" s="75"/>
      <c r="W608" s="197">
        <f>88+44</f>
        <v>132</v>
      </c>
    </row>
    <row r="609" spans="2:20">
      <c r="C609" s="75"/>
      <c r="D609" s="75"/>
      <c r="E609" s="75"/>
      <c r="F609" s="75"/>
      <c r="G609" s="75"/>
      <c r="H609" s="75"/>
      <c r="I609" s="75"/>
      <c r="J609" s="75"/>
      <c r="K609" s="75"/>
      <c r="L609" s="75"/>
      <c r="M609" s="75"/>
      <c r="N609" s="75"/>
      <c r="O609" s="75"/>
      <c r="P609" s="75"/>
      <c r="Q609" s="75"/>
      <c r="R609" s="75"/>
      <c r="S609" s="75"/>
      <c r="T609" s="75"/>
    </row>
    <row r="610" spans="2:20" ht="7.5" customHeight="1">
      <c r="C610" s="75"/>
      <c r="D610" s="75"/>
      <c r="E610" s="75"/>
      <c r="F610" s="75"/>
      <c r="G610" s="75"/>
      <c r="H610" s="75"/>
      <c r="I610" s="75"/>
      <c r="J610" s="75"/>
      <c r="K610" s="75"/>
      <c r="L610" s="75"/>
      <c r="M610" s="75"/>
      <c r="N610" s="75"/>
      <c r="O610" s="75"/>
      <c r="P610" s="75"/>
      <c r="Q610" s="75"/>
      <c r="R610" s="75"/>
      <c r="S610" s="75"/>
      <c r="T610" s="75"/>
    </row>
    <row r="611" spans="2:20">
      <c r="C611" s="75"/>
      <c r="D611" s="75"/>
      <c r="E611" s="75"/>
      <c r="F611" s="75"/>
      <c r="G611" s="75"/>
      <c r="H611" s="75"/>
      <c r="I611" s="75"/>
      <c r="J611" s="75"/>
      <c r="K611" s="75"/>
      <c r="L611" s="75"/>
      <c r="M611" s="75"/>
      <c r="N611" s="75"/>
      <c r="O611" s="75"/>
      <c r="P611" s="75"/>
      <c r="Q611" s="75"/>
      <c r="R611" s="75"/>
      <c r="S611" s="75"/>
      <c r="T611" s="75"/>
    </row>
    <row r="612" spans="2:20">
      <c r="C612" s="75"/>
      <c r="D612" s="75"/>
      <c r="E612" s="75"/>
      <c r="F612" s="75"/>
      <c r="G612" s="75"/>
      <c r="H612" s="75"/>
      <c r="I612" s="75"/>
      <c r="J612" s="75"/>
      <c r="K612" s="75"/>
      <c r="L612" s="75"/>
      <c r="M612" s="75"/>
      <c r="N612" s="75"/>
      <c r="O612" s="75"/>
      <c r="P612" s="75"/>
      <c r="Q612" s="75"/>
      <c r="R612" s="75"/>
      <c r="S612" s="75"/>
      <c r="T612" s="75"/>
    </row>
    <row r="613" spans="2:20">
      <c r="C613" s="75"/>
      <c r="D613" s="75"/>
      <c r="E613" s="75"/>
      <c r="F613" s="75"/>
      <c r="G613" s="75"/>
      <c r="H613" s="75"/>
      <c r="I613" s="230">
        <f>1+I573</f>
        <v>13</v>
      </c>
      <c r="J613" s="75"/>
      <c r="K613" s="75"/>
      <c r="L613" s="75"/>
      <c r="M613" s="75"/>
      <c r="N613" s="75"/>
      <c r="O613" s="75"/>
      <c r="P613" s="75"/>
      <c r="Q613" s="75"/>
      <c r="R613" s="75"/>
      <c r="S613" s="75"/>
      <c r="T613" s="75"/>
    </row>
    <row r="614" spans="2:20">
      <c r="C614" s="75"/>
      <c r="D614" s="75"/>
      <c r="E614" s="75"/>
      <c r="F614" s="75"/>
      <c r="G614" s="75"/>
      <c r="H614" s="75"/>
      <c r="I614" s="75"/>
      <c r="J614" s="75"/>
      <c r="K614" s="75"/>
      <c r="L614" s="75"/>
      <c r="M614" s="75"/>
      <c r="N614" s="75"/>
      <c r="O614" s="75"/>
      <c r="P614" s="75"/>
      <c r="Q614" s="75"/>
      <c r="R614" s="75"/>
      <c r="S614" s="75"/>
      <c r="T614" s="75"/>
    </row>
    <row r="615" spans="2:20" ht="9.75" customHeight="1">
      <c r="C615" s="56"/>
      <c r="D615" s="56"/>
      <c r="E615" s="56"/>
      <c r="F615" s="56"/>
      <c r="G615" s="56"/>
      <c r="H615" s="56"/>
      <c r="I615" s="56"/>
      <c r="J615" s="56"/>
      <c r="K615" s="56"/>
      <c r="L615" s="56"/>
      <c r="M615" s="56"/>
      <c r="N615" s="56"/>
      <c r="O615" s="56"/>
      <c r="P615" s="56"/>
      <c r="Q615" s="56"/>
      <c r="R615" s="56"/>
      <c r="S615" s="56"/>
      <c r="T615" s="56"/>
    </row>
    <row r="616" spans="2:20" ht="23.4">
      <c r="C616" s="200" t="s">
        <v>263</v>
      </c>
      <c r="D616" s="202" t="s">
        <v>512</v>
      </c>
      <c r="E616" s="202"/>
      <c r="F616" s="202"/>
      <c r="G616" s="202"/>
      <c r="H616" s="202"/>
      <c r="I616" s="200"/>
      <c r="J616" s="200"/>
      <c r="K616" s="200"/>
      <c r="L616" s="200"/>
      <c r="M616" s="200"/>
      <c r="N616" s="200"/>
      <c r="O616" s="200"/>
      <c r="P616" s="200"/>
      <c r="Q616" s="200"/>
      <c r="R616" s="200"/>
      <c r="S616" s="200"/>
      <c r="T616" s="200"/>
    </row>
    <row r="617" spans="2:20" ht="5.4" customHeight="1"/>
    <row r="618" spans="2:20" ht="5.4" customHeight="1">
      <c r="B618" s="203"/>
      <c r="C618" s="203"/>
      <c r="D618" s="203"/>
      <c r="E618" s="203"/>
      <c r="F618" s="203"/>
      <c r="G618" s="203"/>
      <c r="H618" s="203"/>
    </row>
    <row r="619" spans="2:20" ht="17.25" customHeight="1">
      <c r="D619" s="934"/>
      <c r="E619" s="934"/>
      <c r="F619" s="934"/>
      <c r="G619" s="934"/>
      <c r="H619" s="934"/>
      <c r="I619" s="934"/>
      <c r="J619" s="934"/>
      <c r="K619" s="934"/>
      <c r="L619" s="934"/>
      <c r="M619" s="934"/>
      <c r="N619" s="934"/>
    </row>
    <row r="620" spans="2:20">
      <c r="C620" s="75"/>
      <c r="O620" s="75"/>
      <c r="P620" s="75"/>
      <c r="Q620" s="75"/>
      <c r="R620" s="75"/>
      <c r="S620" s="75"/>
      <c r="T620" s="75"/>
    </row>
    <row r="621" spans="2:20" ht="20.25" customHeight="1">
      <c r="C621" s="75"/>
      <c r="I621" s="75"/>
      <c r="J621" s="75"/>
      <c r="K621" s="75"/>
      <c r="L621" s="75"/>
      <c r="M621" s="75"/>
      <c r="N621" s="75"/>
      <c r="O621" s="75"/>
      <c r="P621" s="75"/>
      <c r="Q621" s="75"/>
      <c r="R621" s="75"/>
      <c r="S621" s="75"/>
      <c r="T621" s="75"/>
    </row>
    <row r="622" spans="2:20">
      <c r="C622" s="75"/>
      <c r="I622" s="75"/>
      <c r="J622" s="75"/>
      <c r="K622" s="75"/>
      <c r="L622" s="75"/>
      <c r="M622" s="75"/>
      <c r="N622" s="75"/>
      <c r="O622" s="75"/>
      <c r="P622" s="75"/>
      <c r="Q622" s="75"/>
      <c r="R622" s="75"/>
      <c r="S622" s="75"/>
      <c r="T622" s="75"/>
    </row>
    <row r="623" spans="2:20">
      <c r="C623" s="75"/>
      <c r="I623" s="75"/>
      <c r="J623" s="75"/>
      <c r="K623" s="75"/>
      <c r="L623" s="75"/>
      <c r="M623" s="75"/>
      <c r="N623" s="75"/>
      <c r="O623" s="75"/>
      <c r="P623" s="75"/>
      <c r="Q623" s="75"/>
      <c r="R623" s="75"/>
      <c r="S623" s="75"/>
      <c r="T623" s="75"/>
    </row>
    <row r="624" spans="2:20">
      <c r="C624" s="75"/>
      <c r="I624" s="75"/>
      <c r="J624" s="75"/>
      <c r="K624" s="75"/>
      <c r="L624" s="75"/>
      <c r="M624" s="75"/>
      <c r="N624" s="75"/>
      <c r="O624" s="75"/>
      <c r="P624" s="75"/>
      <c r="Q624" s="75"/>
      <c r="R624" s="75"/>
      <c r="S624" s="75"/>
      <c r="T624" s="75"/>
    </row>
    <row r="625" spans="3:20">
      <c r="C625" s="75"/>
      <c r="I625" s="75"/>
      <c r="J625" s="75"/>
      <c r="K625" s="75"/>
      <c r="L625" s="75"/>
      <c r="M625" s="75"/>
      <c r="N625" s="75"/>
      <c r="O625" s="75"/>
      <c r="P625" s="75"/>
      <c r="Q625" s="75"/>
      <c r="R625" s="75"/>
      <c r="S625" s="75"/>
      <c r="T625" s="75"/>
    </row>
    <row r="626" spans="3:20">
      <c r="C626" s="75"/>
      <c r="I626" s="75"/>
      <c r="J626" s="75"/>
      <c r="K626" s="75"/>
      <c r="L626" s="75"/>
      <c r="M626" s="75"/>
      <c r="N626" s="75"/>
      <c r="O626" s="75"/>
      <c r="P626" s="75"/>
      <c r="Q626" s="75"/>
      <c r="R626" s="75"/>
      <c r="S626" s="75"/>
      <c r="T626" s="75"/>
    </row>
    <row r="627" spans="3:20">
      <c r="C627" s="75"/>
      <c r="I627" s="75"/>
      <c r="J627" s="75"/>
      <c r="K627" s="75"/>
      <c r="L627" s="75"/>
      <c r="M627" s="75"/>
      <c r="N627" s="75"/>
      <c r="O627" s="75"/>
      <c r="P627" s="75"/>
      <c r="Q627" s="75"/>
      <c r="R627" s="75"/>
      <c r="S627" s="75"/>
      <c r="T627" s="75"/>
    </row>
    <row r="628" spans="3:20">
      <c r="C628" s="75"/>
      <c r="I628" s="75"/>
      <c r="J628" s="75"/>
      <c r="K628" s="75"/>
      <c r="L628" s="75"/>
      <c r="M628" s="75"/>
      <c r="N628" s="75"/>
      <c r="O628" s="75"/>
      <c r="P628" s="75"/>
      <c r="Q628" s="75"/>
      <c r="R628" s="75"/>
      <c r="S628" s="75"/>
      <c r="T628" s="75"/>
    </row>
    <row r="629" spans="3:20">
      <c r="C629" s="75"/>
      <c r="I629" s="75"/>
      <c r="J629" s="75"/>
      <c r="K629" s="75"/>
      <c r="L629" s="75"/>
      <c r="M629" s="75"/>
      <c r="N629" s="75"/>
      <c r="O629" s="75"/>
      <c r="P629" s="75"/>
      <c r="Q629" s="75"/>
      <c r="R629" s="75"/>
      <c r="S629" s="75"/>
      <c r="T629" s="75"/>
    </row>
    <row r="630" spans="3:20">
      <c r="C630" s="75"/>
      <c r="I630" s="75"/>
      <c r="J630" s="75"/>
      <c r="K630" s="75"/>
      <c r="L630" s="75"/>
      <c r="M630" s="75"/>
      <c r="N630" s="75"/>
      <c r="O630" s="75"/>
      <c r="P630" s="75"/>
      <c r="Q630" s="75"/>
      <c r="R630" s="75"/>
      <c r="S630" s="75"/>
      <c r="T630" s="75"/>
    </row>
    <row r="631" spans="3:20">
      <c r="C631" s="75"/>
      <c r="I631" s="75"/>
      <c r="J631" s="75"/>
      <c r="K631" s="75"/>
      <c r="L631" s="75"/>
      <c r="M631" s="75"/>
      <c r="N631" s="75"/>
      <c r="O631" s="75"/>
      <c r="P631" s="75"/>
      <c r="Q631" s="75"/>
      <c r="R631" s="75"/>
      <c r="S631" s="75"/>
      <c r="T631" s="75"/>
    </row>
    <row r="632" spans="3:20">
      <c r="C632" s="75"/>
      <c r="D632" s="75"/>
      <c r="E632" s="75"/>
      <c r="F632" s="75"/>
      <c r="G632" s="75"/>
      <c r="H632" s="75"/>
      <c r="I632" s="75"/>
      <c r="J632" s="75"/>
      <c r="K632" s="75"/>
      <c r="L632" s="75"/>
      <c r="M632" s="75"/>
      <c r="N632" s="75"/>
      <c r="O632" s="75"/>
      <c r="P632" s="75"/>
      <c r="Q632" s="75"/>
      <c r="R632" s="75"/>
      <c r="S632" s="75"/>
      <c r="T632" s="75"/>
    </row>
    <row r="633" spans="3:20">
      <c r="C633" s="75"/>
      <c r="D633" s="75"/>
      <c r="E633" s="75"/>
      <c r="F633" s="75"/>
      <c r="G633" s="75"/>
      <c r="H633" s="75"/>
      <c r="I633" s="75"/>
      <c r="J633" s="75"/>
      <c r="K633" s="75"/>
      <c r="L633" s="75"/>
      <c r="M633" s="75"/>
      <c r="N633" s="75"/>
      <c r="O633" s="75"/>
      <c r="P633" s="75"/>
      <c r="Q633" s="75"/>
      <c r="R633" s="75"/>
      <c r="S633" s="75"/>
      <c r="T633" s="75"/>
    </row>
    <row r="634" spans="3:20">
      <c r="C634" s="75"/>
      <c r="D634" s="75"/>
      <c r="E634" s="75"/>
      <c r="F634" s="75"/>
      <c r="G634" s="75"/>
      <c r="H634" s="75"/>
      <c r="I634" s="75"/>
      <c r="J634" s="75"/>
      <c r="K634" s="75"/>
      <c r="L634" s="75"/>
      <c r="M634" s="75"/>
      <c r="N634" s="75"/>
      <c r="O634" s="75"/>
      <c r="P634" s="75"/>
      <c r="Q634" s="75"/>
      <c r="R634" s="75"/>
      <c r="S634" s="75"/>
      <c r="T634" s="75"/>
    </row>
    <row r="635" spans="3:20">
      <c r="C635" s="75"/>
      <c r="D635" s="75"/>
      <c r="E635" s="75"/>
      <c r="F635" s="75"/>
      <c r="G635" s="75"/>
      <c r="H635" s="75"/>
      <c r="I635" s="204"/>
      <c r="J635" s="205"/>
      <c r="K635" s="75"/>
      <c r="L635" s="204"/>
      <c r="M635" s="75"/>
      <c r="N635" s="75"/>
      <c r="O635" s="75"/>
      <c r="P635" s="75"/>
      <c r="Q635" s="75"/>
      <c r="R635" s="75"/>
      <c r="S635" s="75"/>
      <c r="T635" s="75"/>
    </row>
    <row r="636" spans="3:20">
      <c r="C636" s="75"/>
      <c r="D636" s="75"/>
      <c r="E636" s="75"/>
      <c r="F636" s="75"/>
      <c r="G636" s="75"/>
      <c r="H636" s="75"/>
      <c r="I636" s="204"/>
      <c r="J636" s="205"/>
      <c r="K636" s="75"/>
      <c r="L636" s="204"/>
      <c r="M636" s="75"/>
      <c r="N636" s="75"/>
      <c r="O636" s="75"/>
      <c r="P636" s="75"/>
      <c r="Q636" s="75"/>
      <c r="R636" s="75"/>
      <c r="S636" s="75"/>
      <c r="T636" s="75"/>
    </row>
    <row r="637" spans="3:20">
      <c r="C637" s="75"/>
      <c r="D637" s="75"/>
      <c r="E637" s="75"/>
      <c r="F637" s="75"/>
      <c r="G637" s="75"/>
      <c r="H637" s="75"/>
      <c r="J637" s="205"/>
      <c r="K637" s="75"/>
      <c r="L637" s="204"/>
      <c r="M637" s="75"/>
      <c r="N637" s="75"/>
      <c r="O637" s="75"/>
      <c r="P637" s="75"/>
      <c r="Q637" s="75"/>
      <c r="R637" s="75"/>
      <c r="S637" s="75"/>
      <c r="T637" s="75"/>
    </row>
    <row r="638" spans="3:20">
      <c r="C638" s="75"/>
      <c r="D638" s="75"/>
      <c r="E638" s="75"/>
      <c r="F638" s="75"/>
      <c r="G638" s="75"/>
      <c r="H638" s="75"/>
      <c r="I638" s="206"/>
      <c r="J638" s="205"/>
      <c r="K638" s="75"/>
      <c r="L638" s="204"/>
      <c r="M638" s="75"/>
      <c r="N638" s="75"/>
      <c r="O638" s="206"/>
      <c r="P638" s="75"/>
      <c r="Q638" s="75"/>
      <c r="R638" s="75"/>
      <c r="S638" s="75"/>
      <c r="T638" s="75"/>
    </row>
    <row r="639" spans="3:20">
      <c r="C639" s="75"/>
      <c r="D639" s="75"/>
      <c r="E639" s="75"/>
      <c r="F639" s="75"/>
      <c r="G639" s="75"/>
      <c r="H639" s="75"/>
      <c r="I639" s="204"/>
      <c r="J639" s="205"/>
      <c r="K639" s="75"/>
      <c r="L639" s="204"/>
      <c r="M639" s="75"/>
      <c r="N639" s="75"/>
      <c r="O639" s="75"/>
      <c r="P639" s="75"/>
      <c r="Q639" s="75"/>
      <c r="R639" s="75"/>
      <c r="S639" s="75"/>
      <c r="T639" s="75"/>
    </row>
    <row r="640" spans="3:20">
      <c r="C640" s="75"/>
      <c r="D640" s="75"/>
      <c r="E640" s="75"/>
      <c r="F640" s="75"/>
      <c r="G640" s="75"/>
      <c r="H640" s="75"/>
      <c r="I640" s="204"/>
      <c r="J640" s="205"/>
      <c r="K640" s="75"/>
      <c r="L640" s="204"/>
      <c r="M640" s="75"/>
      <c r="N640" s="75"/>
      <c r="O640" s="75"/>
      <c r="P640" s="75"/>
      <c r="Q640" s="75"/>
      <c r="R640" s="75"/>
      <c r="S640" s="75"/>
      <c r="T640" s="75"/>
    </row>
    <row r="641" spans="3:23">
      <c r="C641" s="75"/>
      <c r="D641" s="75"/>
      <c r="E641" s="75"/>
      <c r="F641" s="75"/>
      <c r="G641" s="75"/>
      <c r="H641" s="75"/>
      <c r="I641" s="204"/>
      <c r="J641" s="205"/>
      <c r="K641" s="75"/>
      <c r="L641" s="204"/>
      <c r="M641" s="75"/>
      <c r="N641" s="75"/>
      <c r="O641" s="75"/>
      <c r="P641" s="75"/>
      <c r="Q641" s="75"/>
      <c r="R641" s="75"/>
      <c r="S641" s="75"/>
      <c r="T641" s="75"/>
    </row>
    <row r="642" spans="3:23">
      <c r="C642" s="75"/>
      <c r="D642" s="75"/>
      <c r="E642" s="75"/>
      <c r="F642" s="75"/>
      <c r="G642" s="75"/>
      <c r="H642" s="75"/>
      <c r="I642" s="204"/>
      <c r="J642" s="205"/>
      <c r="K642" s="75"/>
      <c r="L642" s="204"/>
      <c r="M642" s="75"/>
      <c r="N642" s="75"/>
      <c r="O642" s="75"/>
      <c r="P642" s="75"/>
      <c r="Q642" s="75"/>
      <c r="R642" s="75"/>
      <c r="S642" s="75"/>
      <c r="T642" s="75"/>
    </row>
    <row r="643" spans="3:23">
      <c r="C643" s="75"/>
      <c r="D643" s="75"/>
      <c r="E643" s="75"/>
      <c r="F643" s="75"/>
      <c r="G643" s="75"/>
      <c r="H643" s="75"/>
      <c r="I643" s="75"/>
      <c r="J643" s="75"/>
      <c r="K643" s="75"/>
      <c r="L643" s="75"/>
      <c r="M643" s="75"/>
      <c r="N643" s="75"/>
      <c r="O643" s="75"/>
      <c r="P643" s="75"/>
      <c r="Q643" s="75"/>
      <c r="R643" s="75"/>
      <c r="S643" s="75"/>
      <c r="T643" s="75"/>
    </row>
    <row r="644" spans="3:23">
      <c r="C644" s="75"/>
      <c r="D644" s="75"/>
      <c r="E644" s="75"/>
      <c r="F644" s="75"/>
      <c r="G644" s="75"/>
      <c r="H644" s="75"/>
      <c r="I644" s="75"/>
      <c r="J644" s="75"/>
      <c r="K644" s="75"/>
      <c r="L644" s="75"/>
      <c r="M644" s="75"/>
      <c r="N644" s="75"/>
      <c r="O644" s="75"/>
      <c r="P644" s="75"/>
      <c r="Q644" s="75"/>
      <c r="R644" s="75"/>
      <c r="S644" s="75"/>
      <c r="T644" s="75"/>
    </row>
    <row r="645" spans="3:23">
      <c r="C645" s="75"/>
      <c r="D645" s="75"/>
      <c r="E645" s="75"/>
      <c r="F645" s="75"/>
      <c r="G645" s="75"/>
      <c r="H645" s="75"/>
      <c r="I645" s="75"/>
      <c r="J645" s="75"/>
      <c r="K645" s="75"/>
      <c r="L645" s="75"/>
      <c r="M645" s="75"/>
      <c r="N645" s="75"/>
      <c r="O645" s="75"/>
      <c r="P645" s="75"/>
      <c r="Q645" s="75"/>
      <c r="R645" s="75"/>
      <c r="S645" s="75"/>
      <c r="T645" s="75"/>
    </row>
    <row r="646" spans="3:23">
      <c r="C646" s="75"/>
      <c r="D646" s="75"/>
      <c r="E646" s="75"/>
      <c r="F646" s="75"/>
      <c r="G646" s="75"/>
      <c r="H646" s="75"/>
      <c r="I646" s="75"/>
      <c r="J646" s="75"/>
      <c r="K646" s="75"/>
      <c r="L646" s="75"/>
      <c r="M646" s="75"/>
      <c r="N646" s="75"/>
      <c r="O646" s="75"/>
      <c r="P646" s="75"/>
      <c r="Q646" s="75"/>
      <c r="R646" s="75"/>
      <c r="S646" s="75"/>
      <c r="T646" s="75"/>
    </row>
    <row r="647" spans="3:23">
      <c r="C647" s="75"/>
      <c r="D647" s="75"/>
      <c r="E647" s="75"/>
      <c r="F647" s="75"/>
      <c r="G647" s="75"/>
      <c r="H647" s="75"/>
      <c r="I647" s="75"/>
      <c r="J647" s="75"/>
      <c r="K647" s="75"/>
      <c r="L647" s="75"/>
      <c r="M647" s="75"/>
      <c r="N647" s="75"/>
      <c r="O647" s="75"/>
      <c r="P647" s="75"/>
      <c r="Q647" s="75"/>
      <c r="R647" s="75"/>
      <c r="S647" s="75"/>
      <c r="T647" s="75"/>
    </row>
    <row r="648" spans="3:23">
      <c r="C648" s="75"/>
      <c r="D648" s="75"/>
      <c r="E648" s="75"/>
      <c r="F648" s="75"/>
      <c r="G648" s="75"/>
      <c r="H648" s="75"/>
      <c r="I648" s="75"/>
      <c r="J648" s="75"/>
      <c r="K648" s="75"/>
      <c r="L648" s="75"/>
      <c r="M648" s="75"/>
      <c r="N648" s="75"/>
      <c r="O648" s="75"/>
      <c r="P648" s="75"/>
      <c r="Q648" s="75"/>
      <c r="R648" s="75"/>
      <c r="S648" s="75"/>
      <c r="T648" s="75"/>
      <c r="W648" s="197">
        <f>88+44</f>
        <v>132</v>
      </c>
    </row>
    <row r="649" spans="3:23">
      <c r="C649" s="75"/>
      <c r="D649" s="75"/>
      <c r="E649" s="75"/>
      <c r="F649" s="75"/>
      <c r="G649" s="75"/>
      <c r="H649" s="75"/>
      <c r="I649" s="75"/>
      <c r="J649" s="75"/>
      <c r="K649" s="75"/>
      <c r="L649" s="75"/>
      <c r="M649" s="75"/>
      <c r="N649" s="75"/>
      <c r="O649" s="75"/>
      <c r="P649" s="75"/>
      <c r="Q649" s="75"/>
      <c r="R649" s="75"/>
      <c r="S649" s="75"/>
      <c r="T649" s="75"/>
    </row>
    <row r="650" spans="3:23" ht="7.5" customHeight="1">
      <c r="C650" s="75"/>
      <c r="D650" s="75"/>
      <c r="E650" s="75"/>
      <c r="F650" s="75"/>
      <c r="G650" s="75"/>
      <c r="H650" s="75"/>
      <c r="I650" s="75"/>
      <c r="J650" s="75"/>
      <c r="K650" s="75"/>
      <c r="L650" s="75"/>
      <c r="M650" s="75"/>
      <c r="N650" s="75"/>
      <c r="O650" s="75"/>
      <c r="P650" s="75"/>
      <c r="Q650" s="75"/>
      <c r="R650" s="75"/>
      <c r="S650" s="75"/>
      <c r="T650" s="75"/>
    </row>
    <row r="651" spans="3:23">
      <c r="C651" s="75"/>
      <c r="D651" s="75"/>
      <c r="E651" s="75"/>
      <c r="F651" s="75"/>
      <c r="G651" s="75"/>
      <c r="H651" s="75"/>
      <c r="I651" s="75"/>
      <c r="J651" s="75"/>
      <c r="K651" s="75"/>
      <c r="L651" s="75"/>
      <c r="M651" s="75"/>
      <c r="N651" s="75"/>
      <c r="O651" s="75"/>
      <c r="P651" s="75"/>
      <c r="Q651" s="75"/>
      <c r="R651" s="75"/>
      <c r="S651" s="75"/>
      <c r="T651" s="75"/>
    </row>
    <row r="652" spans="3:23">
      <c r="C652" s="75"/>
      <c r="D652" s="75"/>
      <c r="E652" s="75"/>
      <c r="F652" s="75"/>
      <c r="G652" s="75"/>
      <c r="H652" s="75"/>
      <c r="I652" s="75"/>
      <c r="J652" s="75"/>
      <c r="K652" s="75"/>
      <c r="L652" s="75"/>
      <c r="M652" s="75"/>
      <c r="N652" s="75"/>
      <c r="O652" s="75"/>
      <c r="P652" s="75"/>
      <c r="Q652" s="75"/>
      <c r="R652" s="75"/>
      <c r="S652" s="75"/>
      <c r="T652" s="75"/>
    </row>
    <row r="653" spans="3:23">
      <c r="C653" s="75"/>
      <c r="D653" s="75"/>
      <c r="E653" s="75"/>
      <c r="F653" s="75"/>
      <c r="G653" s="75"/>
      <c r="H653" s="75"/>
      <c r="I653" s="230">
        <f>1+I613</f>
        <v>14</v>
      </c>
      <c r="J653" s="75"/>
      <c r="K653" s="75"/>
      <c r="L653" s="75"/>
      <c r="M653" s="75"/>
      <c r="N653" s="75"/>
      <c r="O653" s="75"/>
      <c r="P653" s="75"/>
      <c r="Q653" s="75"/>
      <c r="R653" s="75"/>
      <c r="S653" s="75"/>
      <c r="T653" s="75"/>
    </row>
    <row r="654" spans="3:23">
      <c r="C654" s="75"/>
      <c r="D654" s="75"/>
      <c r="E654" s="75"/>
      <c r="F654" s="75"/>
      <c r="G654" s="75"/>
      <c r="H654" s="75"/>
      <c r="I654" s="75"/>
      <c r="J654" s="75"/>
      <c r="K654" s="75"/>
      <c r="L654" s="75"/>
      <c r="M654" s="75"/>
      <c r="N654" s="75"/>
      <c r="O654" s="75"/>
      <c r="P654" s="75"/>
      <c r="Q654" s="75"/>
      <c r="R654" s="75"/>
      <c r="S654" s="75"/>
      <c r="T654" s="75"/>
    </row>
    <row r="655" spans="3:23" ht="9.75" customHeight="1">
      <c r="C655" s="56"/>
      <c r="D655" s="56"/>
      <c r="E655" s="56"/>
      <c r="F655" s="56"/>
      <c r="G655" s="56"/>
      <c r="H655" s="56"/>
      <c r="I655" s="56"/>
      <c r="J655" s="56"/>
      <c r="K655" s="56"/>
      <c r="L655" s="56"/>
      <c r="M655" s="56"/>
      <c r="N655" s="56"/>
      <c r="O655" s="56"/>
      <c r="P655" s="56"/>
      <c r="Q655" s="56"/>
      <c r="R655" s="56"/>
      <c r="S655" s="56"/>
      <c r="T655" s="56"/>
    </row>
    <row r="656" spans="3:23" ht="23.4">
      <c r="C656" s="200" t="s">
        <v>263</v>
      </c>
      <c r="D656" s="202" t="s">
        <v>513</v>
      </c>
      <c r="E656" s="202"/>
      <c r="F656" s="202"/>
      <c r="G656" s="202"/>
      <c r="H656" s="202"/>
      <c r="I656" s="200"/>
      <c r="J656" s="200"/>
      <c r="K656" s="200"/>
      <c r="L656" s="200"/>
      <c r="M656" s="200"/>
      <c r="N656" s="200"/>
      <c r="O656" s="200"/>
      <c r="P656" s="200"/>
      <c r="Q656" s="200"/>
      <c r="R656" s="200"/>
      <c r="S656" s="200"/>
      <c r="T656" s="200"/>
    </row>
    <row r="657" spans="2:20" ht="5.4" customHeight="1"/>
    <row r="658" spans="2:20" ht="5.4" customHeight="1">
      <c r="B658" s="203"/>
      <c r="C658" s="203"/>
      <c r="D658" s="203"/>
      <c r="E658" s="203"/>
      <c r="F658" s="203"/>
      <c r="G658" s="203"/>
      <c r="H658" s="203"/>
    </row>
    <row r="659" spans="2:20" ht="17.25" customHeight="1">
      <c r="D659" s="934"/>
      <c r="E659" s="934"/>
      <c r="F659" s="934"/>
      <c r="G659" s="934"/>
      <c r="H659" s="934"/>
      <c r="I659" s="934"/>
      <c r="J659" s="934"/>
      <c r="K659" s="934"/>
      <c r="L659" s="934"/>
      <c r="M659" s="934"/>
      <c r="N659" s="934"/>
    </row>
    <row r="660" spans="2:20">
      <c r="C660" s="75"/>
      <c r="O660" s="75"/>
      <c r="P660" s="75"/>
      <c r="Q660" s="75"/>
      <c r="R660" s="75"/>
      <c r="S660" s="75"/>
      <c r="T660" s="75"/>
    </row>
    <row r="661" spans="2:20" ht="20.25" customHeight="1">
      <c r="C661" s="75"/>
      <c r="I661" s="75"/>
      <c r="J661" s="75"/>
      <c r="K661" s="75"/>
      <c r="L661" s="75"/>
      <c r="M661" s="75"/>
      <c r="N661" s="75"/>
      <c r="O661" s="75"/>
      <c r="P661" s="75"/>
      <c r="Q661" s="75"/>
      <c r="R661" s="75"/>
      <c r="S661" s="75"/>
      <c r="T661" s="75"/>
    </row>
    <row r="662" spans="2:20">
      <c r="C662" s="75"/>
      <c r="I662" s="75"/>
      <c r="J662" s="75"/>
      <c r="K662" s="75"/>
      <c r="L662" s="75"/>
      <c r="M662" s="75"/>
      <c r="N662" s="75"/>
      <c r="O662" s="75"/>
      <c r="P662" s="75"/>
      <c r="Q662" s="75"/>
      <c r="R662" s="75"/>
      <c r="S662" s="75"/>
      <c r="T662" s="75"/>
    </row>
    <row r="663" spans="2:20">
      <c r="C663" s="75"/>
      <c r="I663" s="75"/>
      <c r="J663" s="75"/>
      <c r="K663" s="75"/>
      <c r="L663" s="75"/>
      <c r="M663" s="75"/>
      <c r="N663" s="75"/>
      <c r="O663" s="75"/>
      <c r="P663" s="75"/>
      <c r="Q663" s="75"/>
      <c r="R663" s="75"/>
      <c r="S663" s="75"/>
      <c r="T663" s="75"/>
    </row>
    <row r="664" spans="2:20">
      <c r="C664" s="75"/>
      <c r="I664" s="75"/>
      <c r="J664" s="75"/>
      <c r="K664" s="75"/>
      <c r="L664" s="75"/>
      <c r="M664" s="75"/>
      <c r="N664" s="75"/>
      <c r="O664" s="75"/>
      <c r="P664" s="75"/>
      <c r="Q664" s="75"/>
      <c r="R664" s="75"/>
      <c r="S664" s="75"/>
      <c r="T664" s="75"/>
    </row>
    <row r="665" spans="2:20">
      <c r="C665" s="75"/>
      <c r="I665" s="75"/>
      <c r="J665" s="75"/>
      <c r="K665" s="75"/>
      <c r="L665" s="75"/>
      <c r="M665" s="75"/>
      <c r="N665" s="75"/>
      <c r="O665" s="75"/>
      <c r="P665" s="75"/>
      <c r="Q665" s="75"/>
      <c r="R665" s="75"/>
      <c r="S665" s="75"/>
      <c r="T665" s="75"/>
    </row>
    <row r="666" spans="2:20">
      <c r="C666" s="75"/>
      <c r="I666" s="75"/>
      <c r="J666" s="75"/>
      <c r="K666" s="75"/>
      <c r="L666" s="75"/>
      <c r="M666" s="75"/>
      <c r="N666" s="75"/>
      <c r="O666" s="75"/>
      <c r="P666" s="75"/>
      <c r="Q666" s="75"/>
      <c r="R666" s="75"/>
      <c r="S666" s="75"/>
      <c r="T666" s="75"/>
    </row>
    <row r="667" spans="2:20">
      <c r="C667" s="75"/>
      <c r="I667" s="75"/>
      <c r="J667" s="75"/>
      <c r="K667" s="75"/>
      <c r="L667" s="75"/>
      <c r="M667" s="75"/>
      <c r="N667" s="75"/>
      <c r="O667" s="75"/>
      <c r="P667" s="75"/>
      <c r="Q667" s="75"/>
      <c r="R667" s="75"/>
      <c r="S667" s="75"/>
      <c r="T667" s="75"/>
    </row>
    <row r="668" spans="2:20">
      <c r="C668" s="75"/>
      <c r="I668" s="75"/>
      <c r="J668" s="75"/>
      <c r="K668" s="75"/>
      <c r="L668" s="75"/>
      <c r="M668" s="75"/>
      <c r="N668" s="75"/>
      <c r="O668" s="75"/>
      <c r="P668" s="75"/>
      <c r="Q668" s="75"/>
      <c r="R668" s="75"/>
      <c r="S668" s="75"/>
      <c r="T668" s="75"/>
    </row>
    <row r="669" spans="2:20">
      <c r="C669" s="75"/>
      <c r="I669" s="75"/>
      <c r="J669" s="75"/>
      <c r="K669" s="75"/>
      <c r="L669" s="75"/>
      <c r="M669" s="75"/>
      <c r="N669" s="75"/>
      <c r="O669" s="75"/>
      <c r="P669" s="75"/>
      <c r="Q669" s="75"/>
      <c r="R669" s="75"/>
      <c r="S669" s="75"/>
      <c r="T669" s="75"/>
    </row>
    <row r="670" spans="2:20">
      <c r="C670" s="75"/>
      <c r="I670" s="75"/>
      <c r="J670" s="75"/>
      <c r="K670" s="75"/>
      <c r="L670" s="75"/>
      <c r="M670" s="75"/>
      <c r="N670" s="75"/>
      <c r="O670" s="75"/>
      <c r="P670" s="75"/>
      <c r="Q670" s="75"/>
      <c r="R670" s="75"/>
      <c r="S670" s="75"/>
      <c r="T670" s="75"/>
    </row>
    <row r="671" spans="2:20">
      <c r="C671" s="75"/>
      <c r="I671" s="75"/>
      <c r="J671" s="75"/>
      <c r="K671" s="75"/>
      <c r="L671" s="75"/>
      <c r="M671" s="75"/>
      <c r="N671" s="75"/>
      <c r="O671" s="75"/>
      <c r="P671" s="75"/>
      <c r="Q671" s="75"/>
      <c r="R671" s="75"/>
      <c r="S671" s="75"/>
      <c r="T671" s="75"/>
    </row>
    <row r="672" spans="2:20">
      <c r="C672" s="75"/>
      <c r="D672" s="75"/>
      <c r="E672" s="75"/>
      <c r="F672" s="75"/>
      <c r="G672" s="75"/>
      <c r="H672" s="75"/>
      <c r="I672" s="75"/>
      <c r="J672" s="75"/>
      <c r="K672" s="75"/>
      <c r="L672" s="75"/>
      <c r="M672" s="75"/>
      <c r="N672" s="75"/>
      <c r="O672" s="75"/>
      <c r="P672" s="75"/>
      <c r="Q672" s="75"/>
      <c r="R672" s="75"/>
      <c r="S672" s="75"/>
      <c r="T672" s="75"/>
    </row>
    <row r="673" spans="3:23">
      <c r="C673" s="75"/>
      <c r="D673" s="75"/>
      <c r="E673" s="75"/>
      <c r="F673" s="75"/>
      <c r="G673" s="75"/>
      <c r="H673" s="75"/>
      <c r="I673" s="75"/>
      <c r="J673" s="75"/>
      <c r="K673" s="75"/>
      <c r="L673" s="75"/>
      <c r="M673" s="75"/>
      <c r="N673" s="75"/>
      <c r="O673" s="75"/>
      <c r="P673" s="75"/>
      <c r="Q673" s="75"/>
      <c r="R673" s="75"/>
      <c r="S673" s="75"/>
      <c r="T673" s="75"/>
    </row>
    <row r="674" spans="3:23">
      <c r="C674" s="75"/>
      <c r="D674" s="75"/>
      <c r="E674" s="75"/>
      <c r="F674" s="75"/>
      <c r="G674" s="75"/>
      <c r="H674" s="75"/>
      <c r="I674" s="75"/>
      <c r="J674" s="75"/>
      <c r="K674" s="75"/>
      <c r="L674" s="75"/>
      <c r="M674" s="75"/>
      <c r="N674" s="75"/>
      <c r="O674" s="75"/>
      <c r="P674" s="75"/>
      <c r="Q674" s="75"/>
      <c r="R674" s="75"/>
      <c r="S674" s="75"/>
      <c r="T674" s="75"/>
    </row>
    <row r="675" spans="3:23">
      <c r="C675" s="75"/>
      <c r="D675" s="75"/>
      <c r="E675" s="75"/>
      <c r="F675" s="75"/>
      <c r="G675" s="75"/>
      <c r="H675" s="75"/>
      <c r="I675" s="204"/>
      <c r="J675" s="205"/>
      <c r="K675" s="75"/>
      <c r="L675" s="204"/>
      <c r="M675" s="75"/>
      <c r="N675" s="75"/>
      <c r="O675" s="75"/>
      <c r="P675" s="75"/>
      <c r="Q675" s="75"/>
      <c r="R675" s="75"/>
      <c r="S675" s="75"/>
      <c r="T675" s="75"/>
    </row>
    <row r="676" spans="3:23">
      <c r="C676" s="75"/>
      <c r="D676" s="75"/>
      <c r="E676" s="75"/>
      <c r="F676" s="75"/>
      <c r="G676" s="75"/>
      <c r="H676" s="75"/>
      <c r="I676" s="204"/>
      <c r="J676" s="205"/>
      <c r="K676" s="75"/>
      <c r="L676" s="204"/>
      <c r="M676" s="75"/>
      <c r="N676" s="75"/>
      <c r="O676" s="75"/>
      <c r="P676" s="75"/>
      <c r="Q676" s="75"/>
      <c r="R676" s="75"/>
      <c r="S676" s="75"/>
      <c r="T676" s="75"/>
    </row>
    <row r="677" spans="3:23">
      <c r="C677" s="75"/>
      <c r="D677" s="75"/>
      <c r="E677" s="75"/>
      <c r="F677" s="75"/>
      <c r="G677" s="75"/>
      <c r="H677" s="75"/>
      <c r="J677" s="205"/>
      <c r="K677" s="75"/>
      <c r="L677" s="204"/>
      <c r="M677" s="75"/>
      <c r="N677" s="75"/>
      <c r="O677" s="75"/>
      <c r="P677" s="75"/>
      <c r="Q677" s="75"/>
      <c r="R677" s="75"/>
      <c r="S677" s="75"/>
      <c r="T677" s="75"/>
    </row>
    <row r="678" spans="3:23">
      <c r="C678" s="75"/>
      <c r="D678" s="75"/>
      <c r="E678" s="75"/>
      <c r="F678" s="75"/>
      <c r="G678" s="75"/>
      <c r="H678" s="75"/>
      <c r="I678" s="206"/>
      <c r="J678" s="205"/>
      <c r="K678" s="75"/>
      <c r="L678" s="204"/>
      <c r="M678" s="75"/>
      <c r="N678" s="75"/>
      <c r="O678" s="206"/>
      <c r="P678" s="75"/>
      <c r="Q678" s="75"/>
      <c r="R678" s="75"/>
      <c r="S678" s="75"/>
      <c r="T678" s="75"/>
    </row>
    <row r="679" spans="3:23">
      <c r="C679" s="75"/>
      <c r="D679" s="75"/>
      <c r="E679" s="75"/>
      <c r="F679" s="75"/>
      <c r="G679" s="75"/>
      <c r="H679" s="75"/>
      <c r="I679" s="204"/>
      <c r="J679" s="205"/>
      <c r="K679" s="75"/>
      <c r="L679" s="204"/>
      <c r="M679" s="75"/>
      <c r="N679" s="75"/>
      <c r="O679" s="75"/>
      <c r="P679" s="75"/>
      <c r="Q679" s="75"/>
      <c r="R679" s="75"/>
      <c r="S679" s="75"/>
      <c r="T679" s="75"/>
    </row>
    <row r="680" spans="3:23">
      <c r="C680" s="75"/>
      <c r="D680" s="75"/>
      <c r="E680" s="75"/>
      <c r="F680" s="75"/>
      <c r="G680" s="75"/>
      <c r="H680" s="75"/>
      <c r="I680" s="204"/>
      <c r="J680" s="205"/>
      <c r="K680" s="75"/>
      <c r="L680" s="204"/>
      <c r="M680" s="75"/>
      <c r="N680" s="75"/>
      <c r="O680" s="75"/>
      <c r="P680" s="75"/>
      <c r="Q680" s="75"/>
      <c r="R680" s="75"/>
      <c r="S680" s="75"/>
      <c r="T680" s="75"/>
    </row>
    <row r="681" spans="3:23">
      <c r="C681" s="75"/>
      <c r="D681" s="75"/>
      <c r="E681" s="75"/>
      <c r="F681" s="75"/>
      <c r="G681" s="75"/>
      <c r="H681" s="75"/>
      <c r="I681" s="204"/>
      <c r="J681" s="205"/>
      <c r="K681" s="75"/>
      <c r="L681" s="204"/>
      <c r="M681" s="75"/>
      <c r="N681" s="75"/>
      <c r="O681" s="75"/>
      <c r="P681" s="75"/>
      <c r="Q681" s="75"/>
      <c r="R681" s="75"/>
      <c r="S681" s="75"/>
      <c r="T681" s="75"/>
    </row>
    <row r="682" spans="3:23">
      <c r="C682" s="75"/>
      <c r="D682" s="75"/>
      <c r="E682" s="75"/>
      <c r="F682" s="75"/>
      <c r="G682" s="75"/>
      <c r="H682" s="75"/>
      <c r="I682" s="204"/>
      <c r="J682" s="205"/>
      <c r="K682" s="75"/>
      <c r="L682" s="204"/>
      <c r="M682" s="75"/>
      <c r="N682" s="75"/>
      <c r="O682" s="75"/>
      <c r="P682" s="75"/>
      <c r="Q682" s="75"/>
      <c r="R682" s="75"/>
      <c r="S682" s="75"/>
      <c r="T682" s="75"/>
    </row>
    <row r="683" spans="3:23">
      <c r="C683" s="75"/>
      <c r="D683" s="75"/>
      <c r="E683" s="75"/>
      <c r="F683" s="75"/>
      <c r="G683" s="75"/>
      <c r="H683" s="75"/>
      <c r="I683" s="75"/>
      <c r="J683" s="75"/>
      <c r="K683" s="75"/>
      <c r="L683" s="75"/>
      <c r="M683" s="75"/>
      <c r="N683" s="75"/>
      <c r="O683" s="75"/>
      <c r="P683" s="75"/>
      <c r="Q683" s="75"/>
      <c r="R683" s="75"/>
      <c r="S683" s="75"/>
      <c r="T683" s="75"/>
    </row>
    <row r="684" spans="3:23">
      <c r="C684" s="75"/>
      <c r="D684" s="75"/>
      <c r="E684" s="75"/>
      <c r="F684" s="75"/>
      <c r="G684" s="75"/>
      <c r="H684" s="75"/>
      <c r="I684" s="75"/>
      <c r="J684" s="75"/>
      <c r="K684" s="75"/>
      <c r="L684" s="75"/>
      <c r="M684" s="75"/>
      <c r="N684" s="75"/>
      <c r="O684" s="75"/>
      <c r="P684" s="75"/>
      <c r="Q684" s="75"/>
      <c r="R684" s="75"/>
      <c r="S684" s="75"/>
      <c r="T684" s="75"/>
    </row>
    <row r="685" spans="3:23">
      <c r="C685" s="75"/>
      <c r="D685" s="75"/>
      <c r="E685" s="75"/>
      <c r="F685" s="75"/>
      <c r="G685" s="75"/>
      <c r="H685" s="75"/>
      <c r="I685" s="75"/>
      <c r="J685" s="75"/>
      <c r="K685" s="75"/>
      <c r="L685" s="75"/>
      <c r="M685" s="75"/>
      <c r="N685" s="75"/>
      <c r="O685" s="75"/>
      <c r="P685" s="75"/>
      <c r="Q685" s="75"/>
      <c r="R685" s="75"/>
      <c r="S685" s="75"/>
      <c r="T685" s="75"/>
    </row>
    <row r="686" spans="3:23">
      <c r="C686" s="75"/>
      <c r="D686" s="75"/>
      <c r="E686" s="75"/>
      <c r="F686" s="75"/>
      <c r="G686" s="75"/>
      <c r="H686" s="75"/>
      <c r="I686" s="75"/>
      <c r="J686" s="75"/>
      <c r="K686" s="75"/>
      <c r="L686" s="75"/>
      <c r="M686" s="75"/>
      <c r="N686" s="75"/>
      <c r="O686" s="75"/>
      <c r="P686" s="75"/>
      <c r="Q686" s="75"/>
      <c r="R686" s="75"/>
      <c r="S686" s="75"/>
      <c r="T686" s="75"/>
    </row>
    <row r="687" spans="3:23">
      <c r="C687" s="75"/>
      <c r="D687" s="75"/>
      <c r="E687" s="75"/>
      <c r="F687" s="75"/>
      <c r="G687" s="75"/>
      <c r="H687" s="75"/>
      <c r="I687" s="75"/>
      <c r="J687" s="75"/>
      <c r="K687" s="75"/>
      <c r="L687" s="75"/>
      <c r="M687" s="75"/>
      <c r="N687" s="75"/>
      <c r="O687" s="75"/>
      <c r="P687" s="75"/>
      <c r="Q687" s="75"/>
      <c r="R687" s="75"/>
      <c r="S687" s="75"/>
      <c r="T687" s="75"/>
    </row>
    <row r="688" spans="3:23">
      <c r="C688" s="75"/>
      <c r="D688" s="75"/>
      <c r="E688" s="75"/>
      <c r="F688" s="75"/>
      <c r="G688" s="75"/>
      <c r="H688" s="75"/>
      <c r="I688" s="75"/>
      <c r="J688" s="75"/>
      <c r="K688" s="75"/>
      <c r="L688" s="75"/>
      <c r="M688" s="75"/>
      <c r="N688" s="75"/>
      <c r="O688" s="75"/>
      <c r="P688" s="75"/>
      <c r="Q688" s="75"/>
      <c r="R688" s="75"/>
      <c r="S688" s="75"/>
      <c r="T688" s="75"/>
      <c r="W688" s="197">
        <f>88+44</f>
        <v>132</v>
      </c>
    </row>
    <row r="689" spans="3:20">
      <c r="C689" s="75"/>
      <c r="D689" s="75"/>
      <c r="E689" s="75"/>
      <c r="F689" s="75"/>
      <c r="G689" s="75"/>
      <c r="H689" s="75"/>
      <c r="I689" s="75"/>
      <c r="J689" s="75"/>
      <c r="K689" s="75"/>
      <c r="L689" s="75"/>
      <c r="M689" s="75"/>
      <c r="N689" s="75"/>
      <c r="O689" s="75"/>
      <c r="P689" s="75"/>
      <c r="Q689" s="75"/>
      <c r="R689" s="75"/>
      <c r="S689" s="75"/>
      <c r="T689" s="75"/>
    </row>
    <row r="690" spans="3:20" ht="7.5" customHeight="1">
      <c r="C690" s="75"/>
      <c r="D690" s="75"/>
      <c r="E690" s="75"/>
      <c r="F690" s="75"/>
      <c r="G690" s="75"/>
      <c r="H690" s="75"/>
      <c r="I690" s="75"/>
      <c r="J690" s="75"/>
      <c r="K690" s="75"/>
      <c r="L690" s="75"/>
      <c r="M690" s="75"/>
      <c r="N690" s="75"/>
      <c r="O690" s="75"/>
      <c r="P690" s="75"/>
      <c r="Q690" s="75"/>
      <c r="R690" s="75"/>
      <c r="S690" s="75"/>
      <c r="T690" s="75"/>
    </row>
    <row r="691" spans="3:20">
      <c r="C691" s="75"/>
      <c r="D691" s="75"/>
      <c r="E691" s="75"/>
      <c r="F691" s="75"/>
      <c r="G691" s="75"/>
      <c r="H691" s="75"/>
      <c r="I691" s="75"/>
      <c r="J691" s="75"/>
      <c r="K691" s="75"/>
      <c r="L691" s="75"/>
      <c r="M691" s="75"/>
      <c r="N691" s="75"/>
      <c r="O691" s="75"/>
      <c r="P691" s="75"/>
      <c r="Q691" s="75"/>
      <c r="R691" s="75"/>
      <c r="S691" s="75"/>
      <c r="T691" s="75"/>
    </row>
    <row r="692" spans="3:20">
      <c r="C692" s="75"/>
      <c r="D692" s="75"/>
      <c r="E692" s="75"/>
      <c r="F692" s="75"/>
      <c r="G692" s="75"/>
      <c r="H692" s="75"/>
      <c r="I692" s="75"/>
      <c r="J692" s="75"/>
      <c r="K692" s="75"/>
      <c r="L692" s="75"/>
      <c r="M692" s="75"/>
      <c r="N692" s="75"/>
      <c r="O692" s="75"/>
      <c r="P692" s="75"/>
      <c r="Q692" s="75"/>
      <c r="R692" s="75"/>
      <c r="S692" s="75"/>
      <c r="T692" s="75"/>
    </row>
    <row r="693" spans="3:20" ht="39" customHeight="1">
      <c r="C693" s="75"/>
      <c r="D693" s="75"/>
      <c r="E693" s="75"/>
      <c r="F693" s="75"/>
      <c r="G693" s="75"/>
      <c r="H693" s="75"/>
      <c r="I693" s="230">
        <f>1+I653</f>
        <v>15</v>
      </c>
      <c r="J693" s="75"/>
      <c r="K693" s="75"/>
      <c r="L693" s="75"/>
      <c r="M693" s="75"/>
      <c r="N693" s="75"/>
      <c r="O693" s="75"/>
      <c r="P693" s="75"/>
      <c r="Q693" s="75"/>
      <c r="R693" s="75"/>
      <c r="S693" s="75"/>
      <c r="T693" s="75"/>
    </row>
    <row r="694" spans="3:20" s="870" customFormat="1" ht="8.4" customHeight="1">
      <c r="C694" s="75"/>
      <c r="D694" s="75"/>
      <c r="E694" s="75"/>
      <c r="F694" s="75"/>
      <c r="G694" s="75"/>
      <c r="H694" s="75"/>
      <c r="I694" s="230"/>
      <c r="J694" s="75"/>
      <c r="K694" s="75"/>
      <c r="L694" s="75"/>
      <c r="M694" s="75"/>
      <c r="N694" s="75"/>
      <c r="O694" s="75"/>
      <c r="P694" s="75"/>
      <c r="Q694" s="75"/>
      <c r="R694" s="75"/>
      <c r="S694" s="75"/>
      <c r="T694" s="75"/>
    </row>
    <row r="695" spans="3:20" s="870" customFormat="1" ht="19.2" customHeight="1">
      <c r="C695" s="75"/>
      <c r="D695" s="202" t="s">
        <v>514</v>
      </c>
      <c r="E695" s="75"/>
      <c r="F695" s="75"/>
      <c r="G695" s="75"/>
      <c r="H695" s="75"/>
      <c r="I695" s="230"/>
      <c r="J695" s="75"/>
      <c r="K695" s="75"/>
      <c r="L695" s="75"/>
      <c r="M695" s="75"/>
      <c r="N695" s="75"/>
      <c r="O695" s="75"/>
      <c r="P695" s="75"/>
      <c r="Q695" s="75"/>
      <c r="R695" s="75"/>
      <c r="S695" s="75"/>
      <c r="T695" s="75"/>
    </row>
    <row r="696" spans="3:20" s="870" customFormat="1" ht="3.6" customHeight="1">
      <c r="C696" s="203"/>
      <c r="D696" s="203"/>
      <c r="E696" s="203"/>
      <c r="F696" s="203"/>
      <c r="G696" s="203"/>
      <c r="H696" s="203"/>
      <c r="I696" s="203"/>
      <c r="J696" s="75"/>
      <c r="K696" s="75"/>
      <c r="L696" s="75"/>
      <c r="M696" s="75"/>
      <c r="N696" s="75"/>
      <c r="O696" s="75"/>
      <c r="P696" s="75"/>
      <c r="Q696" s="75"/>
      <c r="R696" s="75"/>
      <c r="S696" s="75"/>
      <c r="T696" s="75"/>
    </row>
    <row r="697" spans="3:20" s="870" customFormat="1" ht="19.2" customHeight="1">
      <c r="C697" s="75"/>
      <c r="D697" s="75"/>
      <c r="E697" s="75"/>
      <c r="F697" s="75"/>
      <c r="G697" s="75"/>
      <c r="H697" s="75"/>
      <c r="I697" s="230"/>
      <c r="J697" s="75"/>
      <c r="K697" s="75"/>
      <c r="L697" s="75"/>
      <c r="M697" s="75"/>
      <c r="N697" s="75"/>
      <c r="O697" s="75"/>
      <c r="P697" s="75"/>
      <c r="Q697" s="75"/>
      <c r="R697" s="75"/>
      <c r="S697" s="75"/>
      <c r="T697" s="75"/>
    </row>
    <row r="698" spans="3:20" s="870" customFormat="1" ht="19.2" customHeight="1">
      <c r="C698" s="75"/>
      <c r="D698" s="75"/>
      <c r="E698" s="75"/>
      <c r="F698" s="75"/>
      <c r="G698" s="75"/>
      <c r="H698" s="75"/>
      <c r="I698" s="230"/>
      <c r="J698" s="75"/>
      <c r="K698" s="75"/>
      <c r="L698" s="75"/>
      <c r="M698" s="75"/>
      <c r="N698" s="75"/>
      <c r="O698" s="75"/>
      <c r="P698" s="75"/>
      <c r="Q698" s="75"/>
      <c r="R698" s="75"/>
      <c r="S698" s="75"/>
      <c r="T698" s="75"/>
    </row>
    <row r="699" spans="3:20" s="870" customFormat="1" ht="19.2" customHeight="1">
      <c r="C699" s="75"/>
      <c r="D699" s="75"/>
      <c r="E699" s="75"/>
      <c r="F699" s="75"/>
      <c r="G699" s="75"/>
      <c r="H699" s="75"/>
      <c r="I699" s="230"/>
      <c r="J699" s="75"/>
      <c r="K699" s="75"/>
      <c r="L699" s="75"/>
      <c r="M699" s="75"/>
      <c r="N699" s="75"/>
      <c r="O699" s="75"/>
      <c r="P699" s="75"/>
      <c r="Q699" s="75"/>
      <c r="R699" s="75"/>
      <c r="S699" s="75"/>
      <c r="T699" s="75"/>
    </row>
    <row r="700" spans="3:20" s="870" customFormat="1" ht="19.2" customHeight="1">
      <c r="C700" s="75"/>
      <c r="D700" s="75"/>
      <c r="E700" s="75"/>
      <c r="F700" s="75"/>
      <c r="G700" s="75"/>
      <c r="H700" s="75"/>
      <c r="I700" s="230"/>
      <c r="J700" s="75"/>
      <c r="K700" s="75"/>
      <c r="L700" s="75"/>
      <c r="M700" s="75"/>
      <c r="N700" s="75"/>
      <c r="O700" s="75"/>
      <c r="P700" s="75"/>
      <c r="Q700" s="75"/>
      <c r="R700" s="75"/>
      <c r="S700" s="75"/>
      <c r="T700" s="75"/>
    </row>
    <row r="701" spans="3:20" s="870" customFormat="1" ht="19.2" customHeight="1">
      <c r="C701" s="75"/>
      <c r="D701" s="75"/>
      <c r="E701" s="75"/>
      <c r="F701" s="75"/>
      <c r="G701" s="75"/>
      <c r="H701" s="75"/>
      <c r="I701" s="230"/>
      <c r="J701" s="75"/>
      <c r="K701" s="75"/>
      <c r="L701" s="75"/>
      <c r="M701" s="75"/>
      <c r="N701" s="75"/>
      <c r="O701" s="75"/>
      <c r="P701" s="75"/>
      <c r="Q701" s="75"/>
      <c r="R701" s="75"/>
      <c r="S701" s="75"/>
      <c r="T701" s="75"/>
    </row>
    <row r="702" spans="3:20" s="870" customFormat="1" ht="19.2" customHeight="1">
      <c r="C702" s="75"/>
      <c r="D702" s="75"/>
      <c r="E702" s="75"/>
      <c r="F702" s="75"/>
      <c r="G702" s="75"/>
      <c r="H702" s="75"/>
      <c r="I702" s="230"/>
      <c r="J702" s="75"/>
      <c r="K702" s="75"/>
      <c r="L702" s="75"/>
      <c r="M702" s="75"/>
      <c r="N702" s="75"/>
      <c r="O702" s="75"/>
      <c r="P702" s="75"/>
      <c r="Q702" s="75"/>
      <c r="R702" s="75"/>
      <c r="S702" s="75"/>
      <c r="T702" s="75"/>
    </row>
    <row r="703" spans="3:20" s="870" customFormat="1" ht="19.2" customHeight="1">
      <c r="C703" s="75"/>
      <c r="D703" s="75"/>
      <c r="E703" s="75"/>
      <c r="F703" s="75"/>
      <c r="G703" s="75"/>
      <c r="H703" s="75"/>
      <c r="I703" s="230"/>
      <c r="J703" s="75"/>
      <c r="K703" s="75"/>
      <c r="L703" s="75"/>
      <c r="M703" s="75"/>
      <c r="N703" s="75"/>
      <c r="O703" s="75"/>
      <c r="P703" s="75"/>
      <c r="Q703" s="75"/>
      <c r="R703" s="75"/>
      <c r="S703" s="75"/>
      <c r="T703" s="75"/>
    </row>
    <row r="704" spans="3:20" s="870" customFormat="1" ht="19.2" customHeight="1">
      <c r="C704" s="75"/>
      <c r="D704" s="75"/>
      <c r="E704" s="75"/>
      <c r="F704" s="75"/>
      <c r="G704" s="75"/>
      <c r="H704" s="75"/>
      <c r="I704" s="230"/>
      <c r="J704" s="75"/>
      <c r="K704" s="75"/>
      <c r="L704" s="75"/>
      <c r="M704" s="75"/>
      <c r="N704" s="75"/>
      <c r="O704" s="75"/>
      <c r="P704" s="75"/>
      <c r="Q704" s="75"/>
      <c r="R704" s="75"/>
      <c r="S704" s="75"/>
      <c r="T704" s="75"/>
    </row>
    <row r="705" spans="3:20" s="870" customFormat="1" ht="19.2" customHeight="1">
      <c r="C705" s="75"/>
      <c r="D705" s="75"/>
      <c r="E705" s="75"/>
      <c r="F705" s="75"/>
      <c r="G705" s="75"/>
      <c r="H705" s="75"/>
      <c r="I705" s="230"/>
      <c r="J705" s="75"/>
      <c r="K705" s="75"/>
      <c r="L705" s="75"/>
      <c r="M705" s="75"/>
      <c r="N705" s="75"/>
      <c r="O705" s="75"/>
      <c r="P705" s="75"/>
      <c r="Q705" s="75"/>
      <c r="R705" s="75"/>
      <c r="S705" s="75"/>
      <c r="T705" s="75"/>
    </row>
    <row r="706" spans="3:20" s="870" customFormat="1" ht="19.2" customHeight="1">
      <c r="C706" s="75"/>
      <c r="D706" s="75"/>
      <c r="E706" s="75"/>
      <c r="F706" s="75"/>
      <c r="G706" s="75"/>
      <c r="H706" s="75"/>
      <c r="I706" s="230"/>
      <c r="J706" s="75"/>
      <c r="K706" s="75"/>
      <c r="L706" s="75"/>
      <c r="M706" s="75"/>
      <c r="N706" s="75"/>
      <c r="O706" s="75"/>
      <c r="P706" s="75"/>
      <c r="Q706" s="75"/>
      <c r="R706" s="75"/>
      <c r="S706" s="75"/>
      <c r="T706" s="75"/>
    </row>
    <row r="707" spans="3:20" s="870" customFormat="1" ht="19.2" customHeight="1">
      <c r="C707" s="75"/>
      <c r="D707" s="75"/>
      <c r="E707" s="75"/>
      <c r="F707" s="75"/>
      <c r="G707" s="75"/>
      <c r="H707" s="75"/>
      <c r="I707" s="230"/>
      <c r="J707" s="75"/>
      <c r="K707" s="75"/>
      <c r="L707" s="75"/>
      <c r="M707" s="75"/>
      <c r="N707" s="75"/>
      <c r="O707" s="75"/>
      <c r="P707" s="75"/>
      <c r="Q707" s="75"/>
      <c r="R707" s="75"/>
      <c r="S707" s="75"/>
      <c r="T707" s="75"/>
    </row>
    <row r="708" spans="3:20" s="870" customFormat="1" ht="19.2" customHeight="1">
      <c r="C708" s="75"/>
      <c r="D708" s="75"/>
      <c r="E708" s="75"/>
      <c r="F708" s="75"/>
      <c r="G708" s="75"/>
      <c r="H708" s="75"/>
      <c r="I708" s="230"/>
      <c r="J708" s="75"/>
      <c r="K708" s="75"/>
      <c r="L708" s="75"/>
      <c r="M708" s="75"/>
      <c r="N708" s="75"/>
      <c r="O708" s="75"/>
      <c r="P708" s="75"/>
      <c r="Q708" s="75"/>
      <c r="R708" s="75"/>
      <c r="S708" s="75"/>
      <c r="T708" s="75"/>
    </row>
    <row r="709" spans="3:20" s="870" customFormat="1" ht="19.2" customHeight="1">
      <c r="C709" s="75"/>
      <c r="D709" s="75"/>
      <c r="E709" s="75"/>
      <c r="F709" s="75"/>
      <c r="G709" s="75"/>
      <c r="H709" s="75"/>
      <c r="I709" s="230"/>
      <c r="J709" s="75"/>
      <c r="K709" s="75"/>
      <c r="L709" s="75"/>
      <c r="M709" s="75"/>
      <c r="N709" s="75"/>
      <c r="O709" s="75"/>
      <c r="P709" s="75"/>
      <c r="Q709" s="75"/>
      <c r="R709" s="75"/>
      <c r="S709" s="75"/>
      <c r="T709" s="75"/>
    </row>
    <row r="710" spans="3:20" s="870" customFormat="1" ht="19.2" customHeight="1">
      <c r="C710" s="75"/>
      <c r="D710" s="75"/>
      <c r="E710" s="75"/>
      <c r="F710" s="75"/>
      <c r="G710" s="75"/>
      <c r="H710" s="75"/>
      <c r="I710" s="230"/>
      <c r="J710" s="75"/>
      <c r="K710" s="75"/>
      <c r="L710" s="75"/>
      <c r="M710" s="75"/>
      <c r="N710" s="75"/>
      <c r="O710" s="75"/>
      <c r="P710" s="75"/>
      <c r="Q710" s="75"/>
      <c r="R710" s="75"/>
      <c r="S710" s="75"/>
      <c r="T710" s="75"/>
    </row>
    <row r="711" spans="3:20" s="870" customFormat="1" ht="19.2" customHeight="1">
      <c r="C711" s="75"/>
      <c r="D711" s="75"/>
      <c r="E711" s="75"/>
      <c r="F711" s="75"/>
      <c r="G711" s="75"/>
      <c r="H711" s="75"/>
      <c r="I711" s="230"/>
      <c r="J711" s="75"/>
      <c r="K711" s="75"/>
      <c r="L711" s="75"/>
      <c r="M711" s="75"/>
      <c r="N711" s="75"/>
      <c r="O711" s="75"/>
      <c r="P711" s="75"/>
      <c r="Q711" s="75"/>
      <c r="R711" s="75"/>
      <c r="S711" s="75"/>
      <c r="T711" s="75"/>
    </row>
    <row r="712" spans="3:20" s="870" customFormat="1" ht="19.2" customHeight="1">
      <c r="C712" s="75"/>
      <c r="D712" s="75"/>
      <c r="E712" s="75"/>
      <c r="F712" s="75"/>
      <c r="G712" s="75"/>
      <c r="H712" s="75"/>
      <c r="I712" s="230"/>
      <c r="J712" s="75"/>
      <c r="K712" s="75"/>
      <c r="L712" s="75"/>
      <c r="M712" s="75"/>
      <c r="N712" s="75"/>
      <c r="O712" s="75"/>
      <c r="P712" s="75"/>
      <c r="Q712" s="75"/>
      <c r="R712" s="75"/>
      <c r="S712" s="75"/>
      <c r="T712" s="75"/>
    </row>
    <row r="713" spans="3:20" s="870" customFormat="1" ht="19.2" customHeight="1">
      <c r="C713" s="75"/>
      <c r="D713" s="75"/>
      <c r="E713" s="75"/>
      <c r="F713" s="75"/>
      <c r="G713" s="75"/>
      <c r="H713" s="75"/>
      <c r="I713" s="230"/>
      <c r="J713" s="75"/>
      <c r="K713" s="75"/>
      <c r="L713" s="75"/>
      <c r="M713" s="75"/>
      <c r="N713" s="75"/>
      <c r="O713" s="75"/>
      <c r="P713" s="75"/>
      <c r="Q713" s="75"/>
      <c r="R713" s="75"/>
      <c r="S713" s="75"/>
      <c r="T713" s="75"/>
    </row>
    <row r="714" spans="3:20" s="870" customFormat="1" ht="19.2" customHeight="1">
      <c r="C714" s="75"/>
      <c r="D714" s="75"/>
      <c r="E714" s="75"/>
      <c r="F714" s="75"/>
      <c r="G714" s="75"/>
      <c r="H714" s="75"/>
      <c r="I714" s="230"/>
      <c r="J714" s="75"/>
      <c r="K714" s="75"/>
      <c r="L714" s="75"/>
      <c r="M714" s="75"/>
      <c r="N714" s="75"/>
      <c r="O714" s="75"/>
      <c r="P714" s="75"/>
      <c r="Q714" s="75"/>
      <c r="R714" s="75"/>
      <c r="S714" s="75"/>
      <c r="T714" s="75"/>
    </row>
    <row r="715" spans="3:20" s="870" customFormat="1" ht="19.2" customHeight="1">
      <c r="C715" s="75"/>
      <c r="D715" s="75"/>
      <c r="E715" s="75"/>
      <c r="F715" s="75"/>
      <c r="G715" s="75"/>
      <c r="H715" s="75"/>
      <c r="I715" s="230"/>
      <c r="J715" s="75"/>
      <c r="K715" s="75"/>
      <c r="L715" s="75"/>
      <c r="M715" s="75"/>
      <c r="N715" s="75"/>
      <c r="O715" s="75"/>
      <c r="P715" s="75"/>
      <c r="Q715" s="75"/>
      <c r="R715" s="75"/>
      <c r="S715" s="75"/>
      <c r="T715" s="75"/>
    </row>
    <row r="716" spans="3:20" s="870" customFormat="1" ht="19.2" customHeight="1">
      <c r="C716" s="75"/>
      <c r="D716" s="75"/>
      <c r="E716" s="75"/>
      <c r="F716" s="75"/>
      <c r="G716" s="75"/>
      <c r="H716" s="75"/>
      <c r="I716" s="230"/>
      <c r="J716" s="75"/>
      <c r="K716" s="75"/>
      <c r="L716" s="75"/>
      <c r="M716" s="75"/>
      <c r="N716" s="75"/>
      <c r="O716" s="75"/>
      <c r="P716" s="75"/>
      <c r="Q716" s="75"/>
      <c r="R716" s="75"/>
      <c r="S716" s="75"/>
      <c r="T716" s="75"/>
    </row>
    <row r="717" spans="3:20" ht="48" customHeight="1">
      <c r="C717" s="75"/>
      <c r="D717" s="75"/>
      <c r="E717" s="75"/>
      <c r="F717" s="75"/>
      <c r="G717" s="75"/>
      <c r="H717" s="75"/>
      <c r="I717" s="230">
        <f>16</f>
        <v>16</v>
      </c>
      <c r="J717" s="75"/>
      <c r="K717" s="75"/>
      <c r="L717" s="75"/>
      <c r="M717" s="75"/>
      <c r="N717" s="75"/>
      <c r="O717" s="75"/>
      <c r="P717" s="75"/>
      <c r="Q717" s="75"/>
      <c r="R717" s="75"/>
      <c r="S717" s="75"/>
      <c r="T717" s="75"/>
    </row>
    <row r="718" spans="3:20" s="702" customFormat="1" ht="9.75" customHeight="1">
      <c r="C718" s="56"/>
      <c r="D718" s="56"/>
      <c r="E718" s="56"/>
      <c r="F718" s="56"/>
      <c r="G718" s="56"/>
      <c r="H718" s="56"/>
      <c r="I718" s="56"/>
      <c r="J718" s="56"/>
      <c r="K718" s="56"/>
      <c r="L718" s="56"/>
      <c r="M718" s="56"/>
      <c r="N718" s="56"/>
      <c r="O718" s="56"/>
      <c r="P718" s="56"/>
      <c r="Q718" s="56"/>
      <c r="R718" s="56"/>
      <c r="S718" s="56"/>
      <c r="T718" s="56"/>
    </row>
    <row r="719" spans="3:20" s="702" customFormat="1" ht="23.4">
      <c r="C719" s="200" t="s">
        <v>263</v>
      </c>
      <c r="D719" s="202" t="s">
        <v>515</v>
      </c>
      <c r="E719" s="202"/>
      <c r="F719" s="202"/>
      <c r="G719" s="202"/>
      <c r="H719" s="202"/>
      <c r="I719" s="200"/>
      <c r="J719" s="200"/>
      <c r="K719" s="200"/>
      <c r="L719" s="200"/>
      <c r="M719" s="200"/>
      <c r="N719" s="200"/>
      <c r="O719" s="200"/>
      <c r="P719" s="200"/>
      <c r="Q719" s="200"/>
      <c r="R719" s="200"/>
      <c r="S719" s="200"/>
      <c r="T719" s="200"/>
    </row>
    <row r="720" spans="3:20" s="702" customFormat="1" ht="5.4" customHeight="1"/>
    <row r="721" spans="2:20" s="702" customFormat="1" ht="5.4" customHeight="1">
      <c r="B721" s="203"/>
      <c r="C721" s="203"/>
      <c r="D721" s="203"/>
      <c r="E721" s="203"/>
      <c r="F721" s="203"/>
      <c r="G721" s="203"/>
      <c r="H721" s="203"/>
    </row>
    <row r="722" spans="2:20" s="702" customFormat="1" ht="17.25" customHeight="1">
      <c r="D722" s="934"/>
      <c r="E722" s="934"/>
      <c r="F722" s="934"/>
      <c r="G722" s="934"/>
      <c r="H722" s="934"/>
      <c r="I722" s="934"/>
      <c r="J722" s="934"/>
      <c r="K722" s="934"/>
      <c r="L722" s="934"/>
      <c r="M722" s="934"/>
      <c r="N722" s="934"/>
    </row>
    <row r="723" spans="2:20" s="702" customFormat="1">
      <c r="C723" s="75"/>
      <c r="O723" s="75"/>
      <c r="P723" s="75"/>
      <c r="Q723" s="75"/>
      <c r="R723" s="75"/>
      <c r="S723" s="75"/>
      <c r="T723" s="75"/>
    </row>
    <row r="724" spans="2:20" s="702" customFormat="1" ht="20.25" customHeight="1">
      <c r="C724" s="75"/>
      <c r="I724" s="75"/>
      <c r="J724" s="75"/>
      <c r="K724" s="75"/>
      <c r="L724" s="75"/>
      <c r="M724" s="75"/>
      <c r="N724" s="75"/>
      <c r="O724" s="75"/>
      <c r="P724" s="75"/>
      <c r="Q724" s="75"/>
      <c r="R724" s="75"/>
      <c r="S724" s="75"/>
      <c r="T724" s="75"/>
    </row>
    <row r="725" spans="2:20" s="702" customFormat="1">
      <c r="C725" s="75"/>
      <c r="I725" s="75"/>
      <c r="J725" s="75"/>
      <c r="K725" s="75"/>
      <c r="L725" s="75"/>
      <c r="M725" s="75"/>
      <c r="N725" s="75"/>
      <c r="O725" s="75"/>
      <c r="P725" s="75"/>
      <c r="Q725" s="75"/>
      <c r="R725" s="75"/>
      <c r="S725" s="75"/>
      <c r="T725" s="75"/>
    </row>
    <row r="726" spans="2:20" s="702" customFormat="1">
      <c r="C726" s="75"/>
      <c r="I726" s="75"/>
      <c r="J726" s="75"/>
      <c r="K726" s="75"/>
      <c r="L726" s="75"/>
      <c r="M726" s="75"/>
      <c r="N726" s="75"/>
      <c r="O726" s="75"/>
      <c r="P726" s="75"/>
      <c r="Q726" s="75"/>
      <c r="R726" s="75"/>
      <c r="S726" s="75"/>
      <c r="T726" s="75"/>
    </row>
    <row r="727" spans="2:20" s="702" customFormat="1">
      <c r="C727" s="75"/>
      <c r="I727" s="75"/>
      <c r="J727" s="75"/>
      <c r="K727" s="75"/>
      <c r="L727" s="75"/>
      <c r="M727" s="75"/>
      <c r="N727" s="75"/>
      <c r="O727" s="75"/>
      <c r="P727" s="75"/>
      <c r="Q727" s="75"/>
      <c r="R727" s="75"/>
      <c r="S727" s="75"/>
      <c r="T727" s="75"/>
    </row>
    <row r="728" spans="2:20" s="702" customFormat="1">
      <c r="C728" s="75"/>
      <c r="I728" s="75"/>
      <c r="J728" s="75"/>
      <c r="K728" s="75"/>
      <c r="L728" s="75"/>
      <c r="M728" s="75"/>
      <c r="N728" s="75"/>
      <c r="O728" s="75"/>
      <c r="P728" s="75"/>
      <c r="Q728" s="75"/>
      <c r="R728" s="75"/>
      <c r="S728" s="75"/>
      <c r="T728" s="75"/>
    </row>
    <row r="729" spans="2:20" s="702" customFormat="1">
      <c r="C729" s="75"/>
      <c r="I729" s="75"/>
      <c r="J729" s="75"/>
      <c r="K729" s="75"/>
      <c r="L729" s="75"/>
      <c r="M729" s="75"/>
      <c r="N729" s="75"/>
      <c r="O729" s="75"/>
      <c r="P729" s="75"/>
      <c r="Q729" s="75"/>
      <c r="R729" s="75"/>
      <c r="S729" s="75"/>
      <c r="T729" s="75"/>
    </row>
    <row r="730" spans="2:20" s="702" customFormat="1">
      <c r="C730" s="75"/>
      <c r="I730" s="75"/>
      <c r="J730" s="75"/>
      <c r="K730" s="75"/>
      <c r="L730" s="75"/>
      <c r="M730" s="75"/>
      <c r="N730" s="75"/>
      <c r="O730" s="75"/>
      <c r="P730" s="75"/>
      <c r="Q730" s="75"/>
      <c r="R730" s="75"/>
      <c r="S730" s="75"/>
      <c r="T730" s="75"/>
    </row>
    <row r="731" spans="2:20" s="702" customFormat="1">
      <c r="C731" s="75"/>
      <c r="I731" s="75"/>
      <c r="J731" s="75"/>
      <c r="K731" s="75"/>
      <c r="L731" s="75"/>
      <c r="M731" s="75"/>
      <c r="N731" s="75"/>
      <c r="O731" s="75"/>
      <c r="P731" s="75"/>
      <c r="Q731" s="75"/>
      <c r="R731" s="75"/>
      <c r="S731" s="75"/>
      <c r="T731" s="75"/>
    </row>
    <row r="732" spans="2:20" s="702" customFormat="1">
      <c r="C732" s="75"/>
      <c r="I732" s="75"/>
      <c r="J732" s="75"/>
      <c r="K732" s="75"/>
      <c r="L732" s="75"/>
      <c r="M732" s="75"/>
      <c r="N732" s="75"/>
      <c r="O732" s="75"/>
      <c r="P732" s="75"/>
      <c r="Q732" s="75"/>
      <c r="R732" s="75"/>
      <c r="S732" s="75"/>
      <c r="T732" s="75"/>
    </row>
    <row r="733" spans="2:20" s="702" customFormat="1">
      <c r="C733" s="75"/>
      <c r="I733" s="75"/>
      <c r="J733" s="75"/>
      <c r="K733" s="75"/>
      <c r="L733" s="75"/>
      <c r="M733" s="75"/>
      <c r="N733" s="75"/>
      <c r="O733" s="75"/>
      <c r="P733" s="75"/>
      <c r="Q733" s="75"/>
      <c r="R733" s="75"/>
      <c r="S733" s="75"/>
      <c r="T733" s="75"/>
    </row>
    <row r="734" spans="2:20" s="702" customFormat="1">
      <c r="C734" s="75"/>
      <c r="I734" s="75"/>
      <c r="J734" s="75"/>
      <c r="K734" s="75"/>
      <c r="L734" s="75"/>
      <c r="M734" s="75"/>
      <c r="N734" s="75"/>
      <c r="O734" s="75"/>
      <c r="P734" s="75"/>
      <c r="Q734" s="75"/>
      <c r="R734" s="75"/>
      <c r="S734" s="75"/>
      <c r="T734" s="75"/>
    </row>
    <row r="735" spans="2:20" s="702" customFormat="1">
      <c r="C735" s="75"/>
      <c r="D735" s="75"/>
      <c r="E735" s="75"/>
      <c r="F735" s="75"/>
      <c r="G735" s="75"/>
      <c r="H735" s="75"/>
      <c r="I735" s="75"/>
      <c r="J735" s="75"/>
      <c r="K735" s="75"/>
      <c r="L735" s="75"/>
      <c r="M735" s="75"/>
      <c r="N735" s="75"/>
      <c r="O735" s="75"/>
      <c r="P735" s="75"/>
      <c r="Q735" s="75"/>
      <c r="R735" s="75"/>
      <c r="S735" s="75"/>
      <c r="T735" s="75"/>
    </row>
    <row r="736" spans="2:20" s="702" customFormat="1">
      <c r="C736" s="75"/>
      <c r="D736" s="75"/>
      <c r="E736" s="75"/>
      <c r="F736" s="75"/>
      <c r="G736" s="75"/>
      <c r="H736" s="75"/>
      <c r="I736" s="75"/>
      <c r="J736" s="75"/>
      <c r="K736" s="75"/>
      <c r="L736" s="75"/>
      <c r="M736" s="75"/>
      <c r="N736" s="75"/>
      <c r="O736" s="75"/>
      <c r="P736" s="75"/>
      <c r="Q736" s="75"/>
      <c r="R736" s="75"/>
      <c r="S736" s="75"/>
      <c r="T736" s="75"/>
    </row>
    <row r="737" spans="3:23" s="702" customFormat="1">
      <c r="C737" s="75"/>
      <c r="D737" s="75"/>
      <c r="E737" s="75"/>
      <c r="F737" s="75"/>
      <c r="G737" s="75"/>
      <c r="H737" s="75"/>
      <c r="I737" s="75"/>
      <c r="J737" s="75"/>
      <c r="K737" s="75"/>
      <c r="L737" s="75"/>
      <c r="M737" s="75"/>
      <c r="N737" s="75"/>
      <c r="O737" s="75"/>
      <c r="P737" s="75"/>
      <c r="Q737" s="75"/>
      <c r="R737" s="75"/>
      <c r="S737" s="75"/>
      <c r="T737" s="75"/>
    </row>
    <row r="738" spans="3:23" s="702" customFormat="1">
      <c r="C738" s="75"/>
      <c r="D738" s="75"/>
      <c r="E738" s="75"/>
      <c r="F738" s="75"/>
      <c r="G738" s="75"/>
      <c r="H738" s="75"/>
      <c r="I738" s="204"/>
      <c r="J738" s="205"/>
      <c r="K738" s="75"/>
      <c r="L738" s="204"/>
      <c r="M738" s="75"/>
      <c r="N738" s="75"/>
      <c r="O738" s="75"/>
      <c r="P738" s="75"/>
      <c r="Q738" s="75"/>
      <c r="R738" s="75"/>
      <c r="S738" s="75"/>
      <c r="T738" s="75"/>
    </row>
    <row r="739" spans="3:23" s="702" customFormat="1">
      <c r="C739" s="75"/>
      <c r="D739" s="75"/>
      <c r="E739" s="75"/>
      <c r="F739" s="75"/>
      <c r="G739" s="75"/>
      <c r="H739" s="75"/>
      <c r="I739" s="204"/>
      <c r="J739" s="205"/>
      <c r="K739" s="75"/>
      <c r="L739" s="204"/>
      <c r="M739" s="75"/>
      <c r="N739" s="75"/>
      <c r="O739" s="75"/>
      <c r="P739" s="75"/>
      <c r="Q739" s="75"/>
      <c r="R739" s="75"/>
      <c r="S739" s="75"/>
      <c r="T739" s="75"/>
    </row>
    <row r="740" spans="3:23" s="702" customFormat="1">
      <c r="C740" s="75"/>
      <c r="D740" s="75"/>
      <c r="E740" s="75"/>
      <c r="F740" s="75"/>
      <c r="G740" s="75"/>
      <c r="H740" s="75"/>
      <c r="J740" s="205"/>
      <c r="K740" s="75"/>
      <c r="L740" s="204"/>
      <c r="M740" s="75"/>
      <c r="N740" s="75"/>
      <c r="O740" s="75"/>
      <c r="P740" s="75"/>
      <c r="Q740" s="75"/>
      <c r="R740" s="75"/>
      <c r="S740" s="75"/>
      <c r="T740" s="75"/>
    </row>
    <row r="741" spans="3:23" s="702" customFormat="1">
      <c r="C741" s="75"/>
      <c r="D741" s="75"/>
      <c r="E741" s="75"/>
      <c r="F741" s="75"/>
      <c r="G741" s="75"/>
      <c r="H741" s="75"/>
      <c r="I741" s="206"/>
      <c r="J741" s="205"/>
      <c r="K741" s="75"/>
      <c r="L741" s="204"/>
      <c r="M741" s="75"/>
      <c r="N741" s="75"/>
      <c r="O741" s="206"/>
      <c r="P741" s="75"/>
      <c r="Q741" s="75"/>
      <c r="R741" s="75"/>
      <c r="S741" s="75"/>
      <c r="T741" s="75"/>
    </row>
    <row r="742" spans="3:23" s="702" customFormat="1">
      <c r="C742" s="75"/>
      <c r="D742" s="75"/>
      <c r="E742" s="75"/>
      <c r="F742" s="75"/>
      <c r="G742" s="75"/>
      <c r="H742" s="75"/>
      <c r="I742" s="204"/>
      <c r="J742" s="205"/>
      <c r="K742" s="75"/>
      <c r="L742" s="204"/>
      <c r="M742" s="75"/>
      <c r="N742" s="75"/>
      <c r="O742" s="75"/>
      <c r="P742" s="75"/>
      <c r="Q742" s="75"/>
      <c r="R742" s="75"/>
      <c r="S742" s="75"/>
      <c r="T742" s="75"/>
    </row>
    <row r="743" spans="3:23" s="702" customFormat="1">
      <c r="C743" s="75"/>
      <c r="D743" s="75"/>
      <c r="E743" s="75"/>
      <c r="F743" s="75"/>
      <c r="G743" s="75"/>
      <c r="H743" s="75"/>
      <c r="I743" s="204"/>
      <c r="J743" s="205"/>
      <c r="K743" s="75"/>
      <c r="L743" s="204"/>
      <c r="M743" s="75"/>
      <c r="N743" s="75"/>
      <c r="O743" s="75"/>
      <c r="P743" s="75"/>
      <c r="Q743" s="75"/>
      <c r="R743" s="75"/>
      <c r="S743" s="75"/>
      <c r="T743" s="75"/>
    </row>
    <row r="744" spans="3:23" s="702" customFormat="1">
      <c r="C744" s="75"/>
      <c r="D744" s="75"/>
      <c r="E744" s="75"/>
      <c r="F744" s="75"/>
      <c r="G744" s="75"/>
      <c r="H744" s="75"/>
      <c r="I744" s="204"/>
      <c r="J744" s="205"/>
      <c r="K744" s="75"/>
      <c r="L744" s="204"/>
      <c r="M744" s="75"/>
      <c r="N744" s="75"/>
      <c r="O744" s="75"/>
      <c r="P744" s="75"/>
      <c r="Q744" s="75"/>
      <c r="R744" s="75"/>
      <c r="S744" s="75"/>
      <c r="T744" s="75"/>
    </row>
    <row r="745" spans="3:23" s="702" customFormat="1">
      <c r="C745" s="75"/>
      <c r="D745" s="75"/>
      <c r="E745" s="75"/>
      <c r="F745" s="75"/>
      <c r="G745" s="75"/>
      <c r="H745" s="75"/>
      <c r="I745" s="204"/>
      <c r="J745" s="205"/>
      <c r="K745" s="75"/>
      <c r="L745" s="204"/>
      <c r="M745" s="75"/>
      <c r="N745" s="75"/>
      <c r="O745" s="75"/>
      <c r="P745" s="75"/>
      <c r="Q745" s="75"/>
      <c r="R745" s="75"/>
      <c r="S745" s="75"/>
      <c r="T745" s="75"/>
    </row>
    <row r="746" spans="3:23" s="702" customFormat="1">
      <c r="C746" s="75"/>
      <c r="D746" s="75"/>
      <c r="E746" s="75"/>
      <c r="F746" s="75"/>
      <c r="G746" s="75"/>
      <c r="H746" s="75"/>
      <c r="I746" s="75"/>
      <c r="J746" s="75"/>
      <c r="K746" s="75"/>
      <c r="L746" s="75"/>
      <c r="M746" s="75"/>
      <c r="N746" s="75"/>
      <c r="O746" s="75"/>
      <c r="P746" s="75"/>
      <c r="Q746" s="75"/>
      <c r="R746" s="75"/>
      <c r="S746" s="75"/>
      <c r="T746" s="75"/>
    </row>
    <row r="747" spans="3:23" s="702" customFormat="1">
      <c r="C747" s="75"/>
      <c r="D747" s="75"/>
      <c r="E747" s="75"/>
      <c r="F747" s="75"/>
      <c r="G747" s="75"/>
      <c r="H747" s="75"/>
      <c r="I747" s="75"/>
      <c r="J747" s="75"/>
      <c r="K747" s="75"/>
      <c r="L747" s="75"/>
      <c r="M747" s="75"/>
      <c r="N747" s="75"/>
      <c r="O747" s="75"/>
      <c r="P747" s="75"/>
      <c r="Q747" s="75"/>
      <c r="R747" s="75"/>
      <c r="S747" s="75"/>
      <c r="T747" s="75"/>
    </row>
    <row r="748" spans="3:23" s="702" customFormat="1">
      <c r="C748" s="75"/>
      <c r="D748" s="75"/>
      <c r="E748" s="75"/>
      <c r="F748" s="75"/>
      <c r="G748" s="75"/>
      <c r="H748" s="75"/>
      <c r="I748" s="75"/>
      <c r="J748" s="75"/>
      <c r="K748" s="75"/>
      <c r="L748" s="75"/>
      <c r="M748" s="75"/>
      <c r="N748" s="75"/>
      <c r="O748" s="75"/>
      <c r="P748" s="75"/>
      <c r="Q748" s="75"/>
      <c r="R748" s="75"/>
      <c r="S748" s="75"/>
      <c r="T748" s="75"/>
    </row>
    <row r="749" spans="3:23" s="702" customFormat="1">
      <c r="C749" s="75"/>
      <c r="D749" s="75"/>
      <c r="E749" s="75"/>
      <c r="F749" s="75"/>
      <c r="G749" s="75"/>
      <c r="H749" s="75"/>
      <c r="I749" s="75"/>
      <c r="J749" s="75"/>
      <c r="K749" s="75"/>
      <c r="L749" s="75"/>
      <c r="M749" s="75"/>
      <c r="N749" s="75"/>
      <c r="O749" s="75"/>
      <c r="P749" s="75"/>
      <c r="Q749" s="75"/>
      <c r="R749" s="75"/>
      <c r="S749" s="75"/>
      <c r="T749" s="75"/>
    </row>
    <row r="750" spans="3:23" s="702" customFormat="1">
      <c r="C750" s="75"/>
      <c r="D750" s="75"/>
      <c r="E750" s="75"/>
      <c r="F750" s="75"/>
      <c r="G750" s="75"/>
      <c r="H750" s="75"/>
      <c r="I750" s="75"/>
      <c r="J750" s="75"/>
      <c r="K750" s="75"/>
      <c r="L750" s="75"/>
      <c r="M750" s="75"/>
      <c r="N750" s="75"/>
      <c r="O750" s="75"/>
      <c r="P750" s="75"/>
      <c r="Q750" s="75"/>
      <c r="R750" s="75"/>
      <c r="S750" s="75"/>
      <c r="T750" s="75"/>
    </row>
    <row r="751" spans="3:23" s="702" customFormat="1">
      <c r="C751" s="75"/>
      <c r="D751" s="75"/>
      <c r="E751" s="75"/>
      <c r="F751" s="75"/>
      <c r="G751" s="75"/>
      <c r="H751" s="75"/>
      <c r="I751" s="75"/>
      <c r="J751" s="75"/>
      <c r="K751" s="75"/>
      <c r="L751" s="75"/>
      <c r="M751" s="75"/>
      <c r="N751" s="75"/>
      <c r="O751" s="75"/>
      <c r="P751" s="75"/>
      <c r="Q751" s="75"/>
      <c r="R751" s="75"/>
      <c r="S751" s="75"/>
      <c r="T751" s="75"/>
      <c r="W751" s="702">
        <f>88+44</f>
        <v>132</v>
      </c>
    </row>
    <row r="752" spans="3:23" s="702" customFormat="1">
      <c r="C752" s="75"/>
      <c r="D752" s="75"/>
      <c r="E752" s="75"/>
      <c r="F752" s="75"/>
      <c r="G752" s="75"/>
      <c r="H752" s="75"/>
      <c r="I752" s="75"/>
      <c r="J752" s="75"/>
      <c r="K752" s="75"/>
      <c r="L752" s="75"/>
      <c r="M752" s="75"/>
      <c r="N752" s="75"/>
      <c r="O752" s="75"/>
      <c r="P752" s="75"/>
      <c r="Q752" s="75"/>
      <c r="R752" s="75"/>
      <c r="S752" s="75"/>
      <c r="T752" s="75"/>
    </row>
    <row r="753" spans="2:20" s="702" customFormat="1" ht="7.5" customHeight="1">
      <c r="C753" s="75"/>
      <c r="D753" s="75"/>
      <c r="E753" s="75"/>
      <c r="F753" s="75"/>
      <c r="G753" s="75"/>
      <c r="H753" s="75"/>
      <c r="I753" s="75"/>
      <c r="J753" s="75"/>
      <c r="K753" s="75"/>
      <c r="L753" s="75"/>
      <c r="M753" s="75"/>
      <c r="N753" s="75"/>
      <c r="O753" s="75"/>
      <c r="P753" s="75"/>
      <c r="Q753" s="75"/>
      <c r="R753" s="75"/>
      <c r="S753" s="75"/>
      <c r="T753" s="75"/>
    </row>
    <row r="754" spans="2:20" s="702" customFormat="1">
      <c r="C754" s="75"/>
      <c r="D754" s="75"/>
      <c r="E754" s="75"/>
      <c r="F754" s="75"/>
      <c r="G754" s="75"/>
      <c r="H754" s="75"/>
      <c r="I754" s="75"/>
      <c r="J754" s="75"/>
      <c r="K754" s="75"/>
      <c r="L754" s="75"/>
      <c r="M754" s="75"/>
      <c r="N754" s="75"/>
      <c r="O754" s="75"/>
      <c r="P754" s="75"/>
      <c r="Q754" s="75"/>
      <c r="R754" s="75"/>
      <c r="S754" s="75"/>
      <c r="T754" s="75"/>
    </row>
    <row r="755" spans="2:20" s="702" customFormat="1">
      <c r="C755" s="75"/>
      <c r="D755" s="75"/>
      <c r="E755" s="75"/>
      <c r="F755" s="75"/>
      <c r="G755" s="75"/>
      <c r="H755" s="75"/>
      <c r="I755" s="75"/>
      <c r="J755" s="75"/>
      <c r="K755" s="75"/>
      <c r="L755" s="75"/>
      <c r="M755" s="75"/>
      <c r="N755" s="75"/>
      <c r="O755" s="75"/>
      <c r="P755" s="75"/>
      <c r="Q755" s="75"/>
      <c r="R755" s="75"/>
      <c r="S755" s="75"/>
      <c r="T755" s="75"/>
    </row>
    <row r="756" spans="2:20" s="702" customFormat="1">
      <c r="C756" s="75"/>
      <c r="D756" s="75"/>
      <c r="E756" s="75"/>
      <c r="F756" s="75"/>
      <c r="G756" s="75"/>
      <c r="H756" s="75"/>
      <c r="I756" s="230">
        <f>1+I717</f>
        <v>17</v>
      </c>
      <c r="J756" s="75"/>
      <c r="K756" s="75"/>
      <c r="L756" s="75"/>
      <c r="M756" s="75"/>
      <c r="N756" s="75"/>
      <c r="O756" s="75"/>
      <c r="P756" s="75"/>
      <c r="Q756" s="75"/>
      <c r="R756" s="75"/>
      <c r="S756" s="75"/>
      <c r="T756" s="75"/>
    </row>
    <row r="757" spans="2:20" s="702" customFormat="1">
      <c r="C757" s="75"/>
      <c r="D757" s="75"/>
      <c r="E757" s="75"/>
      <c r="F757" s="75"/>
      <c r="G757" s="75"/>
      <c r="H757" s="75"/>
      <c r="I757" s="75"/>
      <c r="J757" s="75"/>
      <c r="K757" s="75"/>
      <c r="L757" s="75"/>
      <c r="M757" s="75"/>
      <c r="N757" s="75"/>
      <c r="O757" s="75"/>
      <c r="P757" s="75"/>
      <c r="Q757" s="75"/>
      <c r="R757" s="75"/>
      <c r="S757" s="75"/>
      <c r="T757" s="75"/>
    </row>
    <row r="758" spans="2:20" s="716" customFormat="1" ht="9.75" customHeight="1">
      <c r="C758" s="56"/>
      <c r="D758" s="56"/>
      <c r="E758" s="56"/>
      <c r="F758" s="56"/>
      <c r="G758" s="56"/>
      <c r="H758" s="56"/>
      <c r="I758" s="56"/>
      <c r="J758" s="56"/>
      <c r="K758" s="56"/>
      <c r="L758" s="56"/>
      <c r="M758" s="56"/>
      <c r="N758" s="56"/>
      <c r="O758" s="56"/>
      <c r="P758" s="56"/>
      <c r="Q758" s="56"/>
      <c r="R758" s="56"/>
      <c r="S758" s="56"/>
      <c r="T758" s="56"/>
    </row>
    <row r="759" spans="2:20" s="716" customFormat="1" ht="23.4">
      <c r="C759" s="200" t="s">
        <v>263</v>
      </c>
      <c r="D759" s="202" t="s">
        <v>516</v>
      </c>
      <c r="E759" s="202"/>
      <c r="F759" s="202"/>
      <c r="G759" s="202"/>
      <c r="H759" s="202"/>
      <c r="I759" s="200"/>
      <c r="J759" s="200"/>
      <c r="K759" s="200"/>
      <c r="L759" s="200"/>
      <c r="M759" s="200"/>
      <c r="N759" s="200"/>
      <c r="O759" s="200"/>
      <c r="P759" s="200"/>
      <c r="Q759" s="200"/>
      <c r="R759" s="200"/>
      <c r="S759" s="200"/>
      <c r="T759" s="200"/>
    </row>
    <row r="760" spans="2:20" s="716" customFormat="1" ht="5.4" customHeight="1"/>
    <row r="761" spans="2:20" s="716" customFormat="1" ht="5.4" customHeight="1">
      <c r="B761" s="203"/>
      <c r="C761" s="203"/>
      <c r="D761" s="203"/>
      <c r="E761" s="203"/>
      <c r="F761" s="203"/>
      <c r="G761" s="203"/>
      <c r="H761" s="203"/>
    </row>
    <row r="762" spans="2:20" s="716" customFormat="1" ht="17.25" customHeight="1">
      <c r="D762" s="934"/>
      <c r="E762" s="934"/>
      <c r="F762" s="934"/>
      <c r="G762" s="934"/>
      <c r="H762" s="934"/>
      <c r="I762" s="934"/>
      <c r="J762" s="934"/>
      <c r="K762" s="934"/>
      <c r="L762" s="934"/>
      <c r="M762" s="934"/>
      <c r="N762" s="934"/>
    </row>
    <row r="763" spans="2:20" s="716" customFormat="1">
      <c r="C763" s="75"/>
      <c r="O763" s="75"/>
      <c r="P763" s="75"/>
      <c r="Q763" s="75"/>
      <c r="R763" s="75"/>
      <c r="S763" s="75"/>
      <c r="T763" s="75"/>
    </row>
    <row r="764" spans="2:20" s="716" customFormat="1" ht="20.25" customHeight="1">
      <c r="C764" s="75"/>
      <c r="I764" s="75"/>
      <c r="J764" s="75"/>
      <c r="K764" s="75"/>
      <c r="L764" s="75"/>
      <c r="M764" s="75"/>
      <c r="N764" s="75"/>
      <c r="O764" s="75"/>
      <c r="P764" s="75"/>
      <c r="Q764" s="75"/>
      <c r="R764" s="75"/>
      <c r="S764" s="75"/>
      <c r="T764" s="75"/>
    </row>
    <row r="765" spans="2:20" s="716" customFormat="1">
      <c r="C765" s="75"/>
      <c r="I765" s="75"/>
      <c r="J765" s="75"/>
      <c r="K765" s="75"/>
      <c r="L765" s="75"/>
      <c r="M765" s="75"/>
      <c r="N765" s="75"/>
      <c r="O765" s="75"/>
      <c r="P765" s="75"/>
      <c r="Q765" s="75"/>
      <c r="R765" s="75"/>
      <c r="S765" s="75"/>
      <c r="T765" s="75"/>
    </row>
    <row r="766" spans="2:20" s="716" customFormat="1">
      <c r="C766" s="75"/>
      <c r="I766" s="75"/>
      <c r="J766" s="75"/>
      <c r="K766" s="75"/>
      <c r="L766" s="75"/>
      <c r="M766" s="75"/>
      <c r="N766" s="75"/>
      <c r="O766" s="75"/>
      <c r="P766" s="75"/>
      <c r="Q766" s="75"/>
      <c r="R766" s="75"/>
      <c r="S766" s="75"/>
      <c r="T766" s="75"/>
    </row>
    <row r="767" spans="2:20" s="716" customFormat="1">
      <c r="C767" s="75"/>
      <c r="I767" s="75"/>
      <c r="J767" s="75"/>
      <c r="K767" s="75"/>
      <c r="L767" s="75"/>
      <c r="M767" s="75"/>
      <c r="N767" s="75"/>
      <c r="O767" s="75"/>
      <c r="P767" s="75"/>
      <c r="Q767" s="75"/>
      <c r="R767" s="75"/>
      <c r="S767" s="75"/>
      <c r="T767" s="75"/>
    </row>
    <row r="768" spans="2:20" s="716" customFormat="1">
      <c r="C768" s="75"/>
      <c r="I768" s="75"/>
      <c r="J768" s="75"/>
      <c r="K768" s="75"/>
      <c r="L768" s="75"/>
      <c r="M768" s="75"/>
      <c r="N768" s="75"/>
      <c r="O768" s="75"/>
      <c r="P768" s="75"/>
      <c r="Q768" s="75"/>
      <c r="R768" s="75"/>
      <c r="S768" s="75"/>
      <c r="T768" s="75"/>
    </row>
    <row r="769" spans="3:20" s="716" customFormat="1">
      <c r="C769" s="75"/>
      <c r="I769" s="75"/>
      <c r="J769" s="75"/>
      <c r="K769" s="75"/>
      <c r="L769" s="75"/>
      <c r="M769" s="75"/>
      <c r="N769" s="75"/>
      <c r="O769" s="75"/>
      <c r="P769" s="75"/>
      <c r="Q769" s="75"/>
      <c r="R769" s="75"/>
      <c r="S769" s="75"/>
      <c r="T769" s="75"/>
    </row>
    <row r="770" spans="3:20" s="716" customFormat="1">
      <c r="C770" s="75"/>
      <c r="I770" s="75"/>
      <c r="J770" s="75"/>
      <c r="K770" s="75"/>
      <c r="L770" s="75"/>
      <c r="M770" s="75"/>
      <c r="N770" s="75"/>
      <c r="O770" s="75"/>
      <c r="P770" s="75"/>
      <c r="Q770" s="75"/>
      <c r="R770" s="75"/>
      <c r="S770" s="75"/>
      <c r="T770" s="75"/>
    </row>
    <row r="771" spans="3:20" s="716" customFormat="1">
      <c r="C771" s="75"/>
      <c r="I771" s="75"/>
      <c r="J771" s="75"/>
      <c r="K771" s="75"/>
      <c r="L771" s="75"/>
      <c r="M771" s="75"/>
      <c r="N771" s="75"/>
      <c r="O771" s="75"/>
      <c r="P771" s="75"/>
      <c r="Q771" s="75"/>
      <c r="R771" s="75"/>
      <c r="S771" s="75"/>
      <c r="T771" s="75"/>
    </row>
    <row r="772" spans="3:20" s="716" customFormat="1">
      <c r="C772" s="75"/>
      <c r="I772" s="75"/>
      <c r="J772" s="75"/>
      <c r="K772" s="75"/>
      <c r="L772" s="75"/>
      <c r="M772" s="75"/>
      <c r="N772" s="75"/>
      <c r="O772" s="75"/>
      <c r="P772" s="75"/>
      <c r="Q772" s="75"/>
      <c r="R772" s="75"/>
      <c r="S772" s="75"/>
      <c r="T772" s="75"/>
    </row>
    <row r="773" spans="3:20" s="716" customFormat="1">
      <c r="C773" s="75"/>
      <c r="I773" s="75"/>
      <c r="J773" s="75"/>
      <c r="K773" s="75"/>
      <c r="L773" s="75"/>
      <c r="M773" s="75"/>
      <c r="N773" s="75"/>
      <c r="O773" s="75"/>
      <c r="P773" s="75"/>
      <c r="Q773" s="75"/>
      <c r="R773" s="75"/>
      <c r="S773" s="75"/>
      <c r="T773" s="75"/>
    </row>
    <row r="774" spans="3:20" s="716" customFormat="1">
      <c r="C774" s="75"/>
      <c r="I774" s="75"/>
      <c r="J774" s="75"/>
      <c r="K774" s="75"/>
      <c r="L774" s="75"/>
      <c r="M774" s="75"/>
      <c r="N774" s="75"/>
      <c r="O774" s="75"/>
      <c r="P774" s="75"/>
      <c r="Q774" s="75"/>
      <c r="R774" s="75"/>
      <c r="S774" s="75"/>
      <c r="T774" s="75"/>
    </row>
    <row r="775" spans="3:20" s="716" customFormat="1">
      <c r="C775" s="75"/>
      <c r="D775" s="75"/>
      <c r="E775" s="75"/>
      <c r="F775" s="75"/>
      <c r="G775" s="75"/>
      <c r="H775" s="75"/>
      <c r="I775" s="75"/>
      <c r="J775" s="75"/>
      <c r="K775" s="75"/>
      <c r="L775" s="75"/>
      <c r="M775" s="75"/>
      <c r="N775" s="75"/>
      <c r="O775" s="75"/>
      <c r="P775" s="75"/>
      <c r="Q775" s="75"/>
      <c r="R775" s="75"/>
      <c r="S775" s="75"/>
      <c r="T775" s="75"/>
    </row>
    <row r="776" spans="3:20" s="716" customFormat="1">
      <c r="C776" s="75"/>
      <c r="D776" s="75"/>
      <c r="E776" s="75"/>
      <c r="F776" s="75"/>
      <c r="G776" s="75"/>
      <c r="H776" s="75"/>
      <c r="I776" s="75"/>
      <c r="J776" s="75"/>
      <c r="K776" s="75"/>
      <c r="L776" s="75"/>
      <c r="M776" s="75"/>
      <c r="N776" s="75"/>
      <c r="O776" s="75"/>
      <c r="P776" s="75"/>
      <c r="Q776" s="75"/>
      <c r="R776" s="75"/>
      <c r="S776" s="75"/>
      <c r="T776" s="75"/>
    </row>
    <row r="777" spans="3:20" s="716" customFormat="1">
      <c r="C777" s="75"/>
      <c r="D777" s="75"/>
      <c r="E777" s="75"/>
      <c r="F777" s="75"/>
      <c r="G777" s="75"/>
      <c r="H777" s="75"/>
      <c r="I777" s="75"/>
      <c r="J777" s="75"/>
      <c r="K777" s="75"/>
      <c r="L777" s="75"/>
      <c r="M777" s="75"/>
      <c r="N777" s="75"/>
      <c r="O777" s="75"/>
      <c r="P777" s="75"/>
      <c r="Q777" s="75"/>
      <c r="R777" s="75"/>
      <c r="S777" s="75"/>
      <c r="T777" s="75"/>
    </row>
    <row r="778" spans="3:20" s="716" customFormat="1">
      <c r="C778" s="75"/>
      <c r="D778" s="75"/>
      <c r="E778" s="75"/>
      <c r="F778" s="75"/>
      <c r="G778" s="75"/>
      <c r="H778" s="75"/>
      <c r="I778" s="204"/>
      <c r="J778" s="205"/>
      <c r="K778" s="75"/>
      <c r="L778" s="204"/>
      <c r="M778" s="75"/>
      <c r="N778" s="75"/>
      <c r="O778" s="75"/>
      <c r="P778" s="75"/>
      <c r="Q778" s="75"/>
      <c r="R778" s="75"/>
      <c r="S778" s="75"/>
      <c r="T778" s="75"/>
    </row>
    <row r="779" spans="3:20" s="716" customFormat="1">
      <c r="C779" s="75"/>
      <c r="D779" s="75"/>
      <c r="E779" s="75"/>
      <c r="F779" s="75"/>
      <c r="G779" s="75"/>
      <c r="H779" s="75"/>
      <c r="I779" s="204"/>
      <c r="J779" s="205"/>
      <c r="K779" s="75"/>
      <c r="L779" s="204"/>
      <c r="M779" s="75"/>
      <c r="N779" s="75"/>
      <c r="O779" s="75"/>
      <c r="P779" s="75"/>
      <c r="Q779" s="75"/>
      <c r="R779" s="75"/>
      <c r="S779" s="75"/>
      <c r="T779" s="75"/>
    </row>
    <row r="780" spans="3:20" s="716" customFormat="1">
      <c r="C780" s="75"/>
      <c r="D780" s="75"/>
      <c r="E780" s="75"/>
      <c r="F780" s="75"/>
      <c r="G780" s="75"/>
      <c r="H780" s="75"/>
      <c r="J780" s="205"/>
      <c r="K780" s="75"/>
      <c r="L780" s="204"/>
      <c r="M780" s="75"/>
      <c r="N780" s="75"/>
      <c r="O780" s="75"/>
      <c r="P780" s="75"/>
      <c r="Q780" s="75"/>
      <c r="R780" s="75"/>
      <c r="S780" s="75"/>
      <c r="T780" s="75"/>
    </row>
    <row r="781" spans="3:20" s="716" customFormat="1">
      <c r="C781" s="75"/>
      <c r="D781" s="75"/>
      <c r="E781" s="75"/>
      <c r="F781" s="75"/>
      <c r="G781" s="75"/>
      <c r="H781" s="75"/>
      <c r="I781" s="206"/>
      <c r="J781" s="205"/>
      <c r="K781" s="75"/>
      <c r="L781" s="204"/>
      <c r="M781" s="75"/>
      <c r="N781" s="75"/>
      <c r="O781" s="206"/>
      <c r="P781" s="75"/>
      <c r="Q781" s="75"/>
      <c r="R781" s="75"/>
      <c r="S781" s="75"/>
      <c r="T781" s="75"/>
    </row>
    <row r="782" spans="3:20" s="716" customFormat="1">
      <c r="C782" s="75"/>
      <c r="D782" s="75"/>
      <c r="E782" s="75"/>
      <c r="F782" s="75"/>
      <c r="G782" s="75"/>
      <c r="H782" s="75"/>
      <c r="I782" s="204"/>
      <c r="J782" s="205"/>
      <c r="K782" s="75"/>
      <c r="L782" s="204"/>
      <c r="M782" s="75"/>
      <c r="N782" s="75"/>
      <c r="O782" s="75"/>
      <c r="P782" s="75"/>
      <c r="Q782" s="75"/>
      <c r="R782" s="75"/>
      <c r="S782" s="75"/>
      <c r="T782" s="75"/>
    </row>
    <row r="783" spans="3:20" s="716" customFormat="1">
      <c r="C783" s="75"/>
      <c r="D783" s="75"/>
      <c r="E783" s="75"/>
      <c r="F783" s="75"/>
      <c r="G783" s="75"/>
      <c r="H783" s="75"/>
      <c r="I783" s="204"/>
      <c r="J783" s="205"/>
      <c r="K783" s="75"/>
      <c r="L783" s="204"/>
      <c r="M783" s="75"/>
      <c r="N783" s="75"/>
      <c r="O783" s="75"/>
      <c r="P783" s="75"/>
      <c r="Q783" s="75"/>
      <c r="R783" s="75"/>
      <c r="S783" s="75"/>
      <c r="T783" s="75"/>
    </row>
    <row r="784" spans="3:20" s="716" customFormat="1">
      <c r="C784" s="75"/>
      <c r="D784" s="75"/>
      <c r="E784" s="75"/>
      <c r="F784" s="75"/>
      <c r="G784" s="75"/>
      <c r="H784" s="75"/>
      <c r="I784" s="204"/>
      <c r="J784" s="205"/>
      <c r="K784" s="75"/>
      <c r="L784" s="204"/>
      <c r="M784" s="75"/>
      <c r="N784" s="75"/>
      <c r="O784" s="75"/>
      <c r="P784" s="75"/>
      <c r="Q784" s="75"/>
      <c r="R784" s="75"/>
      <c r="S784" s="75"/>
      <c r="T784" s="75"/>
    </row>
    <row r="785" spans="3:23" s="716" customFormat="1">
      <c r="C785" s="75"/>
      <c r="D785" s="75"/>
      <c r="E785" s="75"/>
      <c r="F785" s="75"/>
      <c r="G785" s="75"/>
      <c r="H785" s="75"/>
      <c r="I785" s="204"/>
      <c r="J785" s="205"/>
      <c r="K785" s="75"/>
      <c r="L785" s="204"/>
      <c r="M785" s="75"/>
      <c r="N785" s="75"/>
      <c r="O785" s="75"/>
      <c r="P785" s="75"/>
      <c r="Q785" s="75"/>
      <c r="R785" s="75"/>
      <c r="S785" s="75"/>
      <c r="T785" s="75"/>
    </row>
    <row r="786" spans="3:23" s="716" customFormat="1">
      <c r="C786" s="75"/>
      <c r="D786" s="75"/>
      <c r="E786" s="75"/>
      <c r="F786" s="75"/>
      <c r="G786" s="75"/>
      <c r="H786" s="75"/>
      <c r="I786" s="75"/>
      <c r="J786" s="75"/>
      <c r="K786" s="75"/>
      <c r="L786" s="75"/>
      <c r="M786" s="75"/>
      <c r="N786" s="75"/>
      <c r="O786" s="75"/>
      <c r="P786" s="75"/>
      <c r="Q786" s="75"/>
      <c r="R786" s="75"/>
      <c r="S786" s="75"/>
      <c r="T786" s="75"/>
    </row>
    <row r="787" spans="3:23" s="716" customFormat="1">
      <c r="C787" s="75"/>
      <c r="D787" s="75"/>
      <c r="E787" s="75"/>
      <c r="F787" s="75"/>
      <c r="G787" s="75"/>
      <c r="H787" s="75"/>
      <c r="I787" s="75"/>
      <c r="J787" s="75"/>
      <c r="K787" s="75"/>
      <c r="L787" s="75"/>
      <c r="M787" s="75"/>
      <c r="N787" s="75"/>
      <c r="O787" s="75"/>
      <c r="P787" s="75"/>
      <c r="Q787" s="75"/>
      <c r="R787" s="75"/>
      <c r="S787" s="75"/>
      <c r="T787" s="75"/>
    </row>
    <row r="788" spans="3:23" s="716" customFormat="1">
      <c r="C788" s="75"/>
      <c r="D788" s="75"/>
      <c r="E788" s="75"/>
      <c r="F788" s="75"/>
      <c r="G788" s="75"/>
      <c r="H788" s="75"/>
      <c r="I788" s="75"/>
      <c r="J788" s="75"/>
      <c r="K788" s="75"/>
      <c r="L788" s="75"/>
      <c r="M788" s="75"/>
      <c r="N788" s="75"/>
      <c r="O788" s="75"/>
      <c r="P788" s="75"/>
      <c r="Q788" s="75"/>
      <c r="R788" s="75"/>
      <c r="S788" s="75"/>
      <c r="T788" s="75"/>
    </row>
    <row r="789" spans="3:23" s="716" customFormat="1">
      <c r="C789" s="75"/>
      <c r="D789" s="75"/>
      <c r="E789" s="75"/>
      <c r="F789" s="75"/>
      <c r="G789" s="75"/>
      <c r="H789" s="75"/>
      <c r="I789" s="75"/>
      <c r="J789" s="75"/>
      <c r="K789" s="75"/>
      <c r="L789" s="75"/>
      <c r="M789" s="75"/>
      <c r="N789" s="75"/>
      <c r="O789" s="75"/>
      <c r="P789" s="75"/>
      <c r="Q789" s="75"/>
      <c r="R789" s="75"/>
      <c r="S789" s="75"/>
      <c r="T789" s="75"/>
    </row>
    <row r="790" spans="3:23" s="716" customFormat="1">
      <c r="C790" s="75"/>
      <c r="D790" s="75"/>
      <c r="E790" s="75"/>
      <c r="F790" s="75"/>
      <c r="G790" s="75"/>
      <c r="H790" s="75"/>
      <c r="I790" s="75"/>
      <c r="J790" s="75"/>
      <c r="K790" s="75"/>
      <c r="L790" s="75"/>
      <c r="M790" s="75"/>
      <c r="N790" s="75"/>
      <c r="O790" s="75"/>
      <c r="P790" s="75"/>
      <c r="Q790" s="75"/>
      <c r="R790" s="75"/>
      <c r="S790" s="75"/>
      <c r="T790" s="75"/>
    </row>
    <row r="791" spans="3:23" s="716" customFormat="1">
      <c r="C791" s="75"/>
      <c r="D791" s="75"/>
      <c r="E791" s="75"/>
      <c r="F791" s="75"/>
      <c r="G791" s="75"/>
      <c r="H791" s="75"/>
      <c r="I791" s="75"/>
      <c r="J791" s="75"/>
      <c r="K791" s="75"/>
      <c r="L791" s="75"/>
      <c r="M791" s="75"/>
      <c r="N791" s="75"/>
      <c r="O791" s="75"/>
      <c r="P791" s="75"/>
      <c r="Q791" s="75"/>
      <c r="R791" s="75"/>
      <c r="S791" s="75"/>
      <c r="T791" s="75"/>
      <c r="W791" s="716">
        <f>88+44</f>
        <v>132</v>
      </c>
    </row>
    <row r="792" spans="3:23" s="716" customFormat="1">
      <c r="C792" s="75"/>
      <c r="D792" s="75"/>
      <c r="E792" s="75"/>
      <c r="F792" s="75"/>
      <c r="G792" s="75"/>
      <c r="H792" s="75"/>
      <c r="I792" s="75"/>
      <c r="J792" s="75"/>
      <c r="K792" s="75"/>
      <c r="L792" s="75"/>
      <c r="M792" s="75"/>
      <c r="N792" s="75"/>
      <c r="O792" s="75"/>
      <c r="P792" s="75"/>
      <c r="Q792" s="75"/>
      <c r="R792" s="75"/>
      <c r="S792" s="75"/>
      <c r="T792" s="75"/>
    </row>
    <row r="793" spans="3:23" s="716" customFormat="1" ht="7.5" customHeight="1">
      <c r="C793" s="75"/>
      <c r="D793" s="75"/>
      <c r="E793" s="75"/>
      <c r="F793" s="75"/>
      <c r="G793" s="75"/>
      <c r="H793" s="75"/>
      <c r="I793" s="75"/>
      <c r="J793" s="75"/>
      <c r="K793" s="75"/>
      <c r="L793" s="75"/>
      <c r="M793" s="75"/>
      <c r="N793" s="75"/>
      <c r="O793" s="75"/>
      <c r="P793" s="75"/>
      <c r="Q793" s="75"/>
      <c r="R793" s="75"/>
      <c r="S793" s="75"/>
      <c r="T793" s="75"/>
    </row>
    <row r="794" spans="3:23" s="716" customFormat="1">
      <c r="C794" s="75"/>
      <c r="D794" s="75"/>
      <c r="E794" s="75"/>
      <c r="F794" s="75"/>
      <c r="G794" s="75"/>
      <c r="H794" s="75"/>
      <c r="I794" s="75"/>
      <c r="J794" s="75"/>
      <c r="K794" s="75"/>
      <c r="L794" s="75"/>
      <c r="M794" s="75"/>
      <c r="N794" s="75"/>
      <c r="O794" s="75"/>
      <c r="P794" s="75"/>
      <c r="Q794" s="75"/>
      <c r="R794" s="75"/>
      <c r="S794" s="75"/>
      <c r="T794" s="75"/>
    </row>
    <row r="795" spans="3:23" s="716" customFormat="1">
      <c r="C795" s="75"/>
      <c r="D795" s="75"/>
      <c r="E795" s="75"/>
      <c r="F795" s="75"/>
      <c r="G795" s="75"/>
      <c r="H795" s="75"/>
      <c r="I795" s="75"/>
      <c r="J795" s="75"/>
      <c r="K795" s="75"/>
      <c r="L795" s="75"/>
      <c r="M795" s="75"/>
      <c r="N795" s="75"/>
      <c r="O795" s="75"/>
      <c r="P795" s="75"/>
      <c r="Q795" s="75"/>
      <c r="R795" s="75"/>
      <c r="S795" s="75"/>
      <c r="T795" s="75"/>
    </row>
    <row r="796" spans="3:23" s="716" customFormat="1">
      <c r="C796" s="75"/>
      <c r="D796" s="75"/>
      <c r="E796" s="75"/>
      <c r="F796" s="75"/>
      <c r="G796" s="75"/>
      <c r="H796" s="75"/>
      <c r="I796" s="230">
        <f>1+I756</f>
        <v>18</v>
      </c>
      <c r="J796" s="75"/>
      <c r="K796" s="75"/>
      <c r="L796" s="75"/>
      <c r="M796" s="75"/>
      <c r="N796" s="75"/>
      <c r="O796" s="75"/>
      <c r="P796" s="75"/>
      <c r="Q796" s="75"/>
      <c r="R796" s="75"/>
      <c r="S796" s="75"/>
      <c r="T796" s="75"/>
    </row>
    <row r="797" spans="3:23" s="716" customFormat="1">
      <c r="C797" s="75"/>
      <c r="D797" s="75"/>
      <c r="E797" s="75"/>
      <c r="F797" s="75"/>
      <c r="G797" s="75"/>
      <c r="H797" s="75"/>
      <c r="I797" s="75"/>
      <c r="J797" s="75"/>
      <c r="K797" s="75"/>
      <c r="L797" s="75"/>
      <c r="M797" s="75"/>
      <c r="N797" s="75"/>
      <c r="O797" s="75"/>
      <c r="P797" s="75"/>
      <c r="Q797" s="75"/>
      <c r="R797" s="75"/>
      <c r="S797" s="75"/>
      <c r="T797" s="75"/>
    </row>
    <row r="798" spans="3:23" ht="9.75" customHeight="1">
      <c r="C798" s="56"/>
      <c r="D798" s="56"/>
      <c r="E798" s="56"/>
      <c r="F798" s="56"/>
      <c r="G798" s="56"/>
      <c r="H798" s="56"/>
      <c r="I798" s="56"/>
      <c r="J798" s="56"/>
      <c r="K798" s="56"/>
      <c r="L798" s="56"/>
      <c r="M798" s="56"/>
      <c r="N798" s="56"/>
      <c r="O798" s="56"/>
      <c r="P798" s="56"/>
      <c r="Q798" s="56"/>
      <c r="R798" s="56"/>
      <c r="S798" s="56"/>
      <c r="T798" s="56"/>
    </row>
    <row r="799" spans="3:23" ht="23.4">
      <c r="C799" s="200" t="s">
        <v>263</v>
      </c>
      <c r="D799" s="202" t="s">
        <v>292</v>
      </c>
      <c r="E799" s="202"/>
      <c r="F799" s="202"/>
      <c r="G799" s="202"/>
      <c r="H799" s="202"/>
      <c r="I799" s="200"/>
      <c r="J799" s="200"/>
      <c r="K799" s="200"/>
      <c r="L799" s="200"/>
      <c r="M799" s="200"/>
      <c r="N799" s="200"/>
      <c r="O799" s="200"/>
      <c r="P799" s="200"/>
      <c r="Q799" s="200"/>
      <c r="R799" s="200"/>
      <c r="S799" s="200"/>
      <c r="T799" s="200"/>
    </row>
    <row r="800" spans="3:23" ht="5.4" customHeight="1"/>
    <row r="801" spans="2:20" ht="5.4" customHeight="1">
      <c r="B801" s="203"/>
      <c r="C801" s="203"/>
      <c r="D801" s="203"/>
      <c r="E801" s="203"/>
      <c r="F801" s="203"/>
      <c r="G801" s="203"/>
      <c r="H801" s="203"/>
    </row>
    <row r="802" spans="2:20" ht="17.25" customHeight="1">
      <c r="D802" s="934"/>
      <c r="E802" s="934"/>
      <c r="F802" s="934"/>
      <c r="G802" s="934"/>
      <c r="H802" s="934"/>
      <c r="I802" s="934"/>
      <c r="J802" s="934"/>
      <c r="K802" s="934"/>
      <c r="L802" s="934"/>
      <c r="M802" s="934"/>
      <c r="N802" s="934"/>
    </row>
    <row r="803" spans="2:20">
      <c r="C803" s="75"/>
      <c r="O803" s="75"/>
      <c r="P803" s="75"/>
      <c r="Q803" s="75"/>
      <c r="R803" s="75"/>
      <c r="S803" s="75"/>
      <c r="T803" s="75"/>
    </row>
    <row r="804" spans="2:20" ht="20.25" customHeight="1">
      <c r="C804" s="75"/>
      <c r="I804" s="75"/>
      <c r="J804" s="75"/>
      <c r="K804" s="75"/>
      <c r="L804" s="75"/>
      <c r="M804" s="75"/>
      <c r="N804" s="75"/>
      <c r="O804" s="75"/>
      <c r="P804" s="75"/>
      <c r="Q804" s="75"/>
      <c r="R804" s="75"/>
      <c r="S804" s="75"/>
      <c r="T804" s="75"/>
    </row>
    <row r="805" spans="2:20">
      <c r="C805" s="75"/>
      <c r="I805" s="75"/>
      <c r="J805" s="75"/>
      <c r="K805" s="75"/>
      <c r="L805" s="75"/>
      <c r="M805" s="75"/>
      <c r="N805" s="75"/>
      <c r="O805" s="75"/>
      <c r="P805" s="75"/>
      <c r="Q805" s="75"/>
      <c r="R805" s="75"/>
      <c r="S805" s="75"/>
      <c r="T805" s="75"/>
    </row>
    <row r="806" spans="2:20">
      <c r="C806" s="75"/>
      <c r="I806" s="75"/>
      <c r="J806" s="75"/>
      <c r="K806" s="75"/>
      <c r="L806" s="75"/>
      <c r="M806" s="75"/>
      <c r="N806" s="75"/>
      <c r="O806" s="75"/>
      <c r="P806" s="75"/>
      <c r="Q806" s="75"/>
      <c r="R806" s="75"/>
      <c r="S806" s="75"/>
      <c r="T806" s="75"/>
    </row>
    <row r="807" spans="2:20">
      <c r="C807" s="75"/>
      <c r="I807" s="75"/>
      <c r="J807" s="75"/>
      <c r="K807" s="75"/>
      <c r="L807" s="75"/>
      <c r="M807" s="75"/>
      <c r="N807" s="75"/>
      <c r="O807" s="75"/>
      <c r="P807" s="75"/>
      <c r="Q807" s="75"/>
      <c r="R807" s="75"/>
      <c r="S807" s="75"/>
      <c r="T807" s="75"/>
    </row>
    <row r="808" spans="2:20">
      <c r="C808" s="75"/>
      <c r="I808" s="75"/>
      <c r="J808" s="75"/>
      <c r="K808" s="75"/>
      <c r="L808" s="75"/>
      <c r="M808" s="75"/>
      <c r="N808" s="75"/>
      <c r="O808" s="75"/>
      <c r="P808" s="75"/>
      <c r="Q808" s="75"/>
      <c r="R808" s="75"/>
      <c r="S808" s="75"/>
      <c r="T808" s="75"/>
    </row>
    <row r="809" spans="2:20">
      <c r="C809" s="75"/>
      <c r="I809" s="75"/>
      <c r="J809" s="75"/>
      <c r="K809" s="75"/>
      <c r="L809" s="75"/>
      <c r="M809" s="75"/>
      <c r="N809" s="75"/>
      <c r="O809" s="75"/>
      <c r="P809" s="75"/>
      <c r="Q809" s="75"/>
      <c r="R809" s="75"/>
      <c r="S809" s="75"/>
      <c r="T809" s="75"/>
    </row>
    <row r="810" spans="2:20">
      <c r="C810" s="75"/>
      <c r="I810" s="75"/>
      <c r="J810" s="75"/>
      <c r="K810" s="75"/>
      <c r="L810" s="75"/>
      <c r="M810" s="75"/>
      <c r="N810" s="75"/>
      <c r="O810" s="75"/>
      <c r="P810" s="75"/>
      <c r="Q810" s="75"/>
      <c r="R810" s="75"/>
      <c r="S810" s="75"/>
      <c r="T810" s="75"/>
    </row>
    <row r="811" spans="2:20">
      <c r="C811" s="75"/>
      <c r="I811" s="75"/>
      <c r="J811" s="75"/>
      <c r="K811" s="75"/>
      <c r="L811" s="75"/>
      <c r="M811" s="75"/>
      <c r="N811" s="75"/>
      <c r="O811" s="75"/>
      <c r="P811" s="75"/>
      <c r="Q811" s="75"/>
      <c r="R811" s="75"/>
      <c r="S811" s="75"/>
      <c r="T811" s="75"/>
    </row>
    <row r="812" spans="2:20">
      <c r="C812" s="75"/>
      <c r="I812" s="75"/>
      <c r="J812" s="75"/>
      <c r="K812" s="75"/>
      <c r="L812" s="75"/>
      <c r="M812" s="75"/>
      <c r="N812" s="75"/>
      <c r="O812" s="75"/>
      <c r="P812" s="75"/>
      <c r="Q812" s="75"/>
      <c r="R812" s="75"/>
      <c r="S812" s="75"/>
      <c r="T812" s="75"/>
    </row>
    <row r="813" spans="2:20">
      <c r="C813" s="75"/>
      <c r="I813" s="75"/>
      <c r="J813" s="75"/>
      <c r="K813" s="75"/>
      <c r="L813" s="75"/>
      <c r="M813" s="75"/>
      <c r="N813" s="75"/>
      <c r="O813" s="75"/>
      <c r="P813" s="75"/>
      <c r="Q813" s="75"/>
      <c r="R813" s="75"/>
      <c r="S813" s="75"/>
      <c r="T813" s="75"/>
    </row>
    <row r="814" spans="2:20">
      <c r="C814" s="75"/>
      <c r="I814" s="75"/>
      <c r="J814" s="75"/>
      <c r="K814" s="75"/>
      <c r="L814" s="75"/>
      <c r="M814" s="75"/>
      <c r="N814" s="75"/>
      <c r="O814" s="75"/>
      <c r="P814" s="75"/>
      <c r="Q814" s="75"/>
      <c r="R814" s="75"/>
      <c r="S814" s="75"/>
      <c r="T814" s="75"/>
    </row>
    <row r="815" spans="2:20">
      <c r="C815" s="75"/>
      <c r="D815" s="75"/>
      <c r="E815" s="75"/>
      <c r="F815" s="75"/>
      <c r="G815" s="75"/>
      <c r="H815" s="75"/>
      <c r="I815" s="75"/>
      <c r="J815" s="75"/>
      <c r="K815" s="75"/>
      <c r="L815" s="75"/>
      <c r="M815" s="75"/>
      <c r="N815" s="75"/>
      <c r="O815" s="75"/>
      <c r="P815" s="75"/>
      <c r="Q815" s="75"/>
      <c r="R815" s="75"/>
      <c r="S815" s="75"/>
      <c r="T815" s="75"/>
    </row>
    <row r="816" spans="2:20">
      <c r="C816" s="75"/>
      <c r="D816" s="75"/>
      <c r="E816" s="75"/>
      <c r="F816" s="75"/>
      <c r="G816" s="75"/>
      <c r="H816" s="75"/>
      <c r="I816" s="75"/>
      <c r="J816" s="75"/>
      <c r="K816" s="75"/>
      <c r="L816" s="75"/>
      <c r="M816" s="75"/>
      <c r="N816" s="75"/>
      <c r="O816" s="75"/>
      <c r="P816" s="75"/>
      <c r="Q816" s="75"/>
      <c r="R816" s="75"/>
      <c r="S816" s="75"/>
      <c r="T816" s="75"/>
    </row>
    <row r="817" spans="3:20">
      <c r="C817" s="75"/>
      <c r="D817" s="75"/>
      <c r="E817" s="75"/>
      <c r="F817" s="75"/>
      <c r="G817" s="75"/>
      <c r="H817" s="75"/>
      <c r="I817" s="75"/>
      <c r="J817" s="75"/>
      <c r="K817" s="75"/>
      <c r="L817" s="75"/>
      <c r="M817" s="75"/>
      <c r="N817" s="75"/>
      <c r="O817" s="75"/>
      <c r="P817" s="75"/>
      <c r="Q817" s="75"/>
      <c r="R817" s="75"/>
      <c r="S817" s="75"/>
      <c r="T817" s="75"/>
    </row>
    <row r="818" spans="3:20">
      <c r="C818" s="75"/>
      <c r="D818" s="75"/>
      <c r="E818" s="75"/>
      <c r="F818" s="75"/>
      <c r="G818" s="75"/>
      <c r="H818" s="75"/>
      <c r="I818" s="204"/>
      <c r="J818" s="205"/>
      <c r="K818" s="75"/>
      <c r="L818" s="204"/>
      <c r="M818" s="75"/>
      <c r="N818" s="75"/>
      <c r="O818" s="75"/>
      <c r="P818" s="75"/>
      <c r="Q818" s="75"/>
      <c r="R818" s="75"/>
      <c r="S818" s="75"/>
      <c r="T818" s="75"/>
    </row>
    <row r="819" spans="3:20">
      <c r="C819" s="75"/>
      <c r="D819" s="75"/>
      <c r="E819" s="75"/>
      <c r="F819" s="75"/>
      <c r="G819" s="75"/>
      <c r="H819" s="75"/>
      <c r="I819" s="204"/>
      <c r="J819" s="205"/>
      <c r="K819" s="75"/>
      <c r="L819" s="204"/>
      <c r="M819" s="75"/>
      <c r="N819" s="75"/>
      <c r="O819" s="75"/>
      <c r="P819" s="75"/>
      <c r="Q819" s="75"/>
      <c r="R819" s="75"/>
      <c r="S819" s="75"/>
      <c r="T819" s="75"/>
    </row>
    <row r="820" spans="3:20">
      <c r="C820" s="75"/>
      <c r="D820" s="75"/>
      <c r="E820" s="75"/>
      <c r="F820" s="75"/>
      <c r="G820" s="75"/>
      <c r="H820" s="75"/>
      <c r="J820" s="205"/>
      <c r="K820" s="75"/>
      <c r="L820" s="204"/>
      <c r="M820" s="75"/>
      <c r="N820" s="75"/>
      <c r="O820" s="75"/>
      <c r="P820" s="75"/>
      <c r="Q820" s="75"/>
      <c r="R820" s="75"/>
      <c r="S820" s="75"/>
      <c r="T820" s="75"/>
    </row>
    <row r="821" spans="3:20">
      <c r="C821" s="75"/>
      <c r="D821" s="75"/>
      <c r="E821" s="75"/>
      <c r="F821" s="75"/>
      <c r="G821" s="75"/>
      <c r="H821" s="75"/>
      <c r="I821" s="206"/>
      <c r="J821" s="205"/>
      <c r="K821" s="75"/>
      <c r="L821" s="204"/>
      <c r="M821" s="75"/>
      <c r="N821" s="75"/>
      <c r="O821" s="206"/>
      <c r="P821" s="75"/>
      <c r="Q821" s="75"/>
      <c r="R821" s="75"/>
      <c r="S821" s="75"/>
      <c r="T821" s="75"/>
    </row>
    <row r="822" spans="3:20">
      <c r="C822" s="75"/>
      <c r="D822" s="75"/>
      <c r="E822" s="75"/>
      <c r="F822" s="75"/>
      <c r="G822" s="75"/>
      <c r="H822" s="75"/>
      <c r="I822" s="204"/>
      <c r="J822" s="205"/>
      <c r="K822" s="75"/>
      <c r="L822" s="204"/>
      <c r="M822" s="75"/>
      <c r="N822" s="75"/>
      <c r="O822" s="75"/>
      <c r="P822" s="75"/>
      <c r="Q822" s="75"/>
      <c r="R822" s="75"/>
      <c r="S822" s="75"/>
      <c r="T822" s="75"/>
    </row>
    <row r="823" spans="3:20">
      <c r="C823" s="75"/>
      <c r="D823" s="75"/>
      <c r="E823" s="75"/>
      <c r="F823" s="75"/>
      <c r="G823" s="75"/>
      <c r="H823" s="75"/>
      <c r="I823" s="204"/>
      <c r="J823" s="205"/>
      <c r="K823" s="75"/>
      <c r="L823" s="204"/>
      <c r="M823" s="75"/>
      <c r="N823" s="75"/>
      <c r="O823" s="75"/>
      <c r="P823" s="75"/>
      <c r="Q823" s="75"/>
      <c r="R823" s="75"/>
      <c r="S823" s="75"/>
      <c r="T823" s="75"/>
    </row>
    <row r="824" spans="3:20">
      <c r="C824" s="75"/>
      <c r="D824" s="75"/>
      <c r="E824" s="75"/>
      <c r="F824" s="75"/>
      <c r="G824" s="75"/>
      <c r="H824" s="75"/>
      <c r="I824" s="204"/>
      <c r="J824" s="205"/>
      <c r="K824" s="75"/>
      <c r="L824" s="204"/>
      <c r="M824" s="75"/>
      <c r="N824" s="75"/>
      <c r="O824" s="75"/>
      <c r="P824" s="75"/>
      <c r="Q824" s="75"/>
      <c r="R824" s="75"/>
      <c r="S824" s="75"/>
      <c r="T824" s="75"/>
    </row>
    <row r="825" spans="3:20">
      <c r="C825" s="75"/>
      <c r="D825" s="75"/>
      <c r="E825" s="75"/>
      <c r="F825" s="75"/>
      <c r="G825" s="75"/>
      <c r="H825" s="75"/>
      <c r="I825" s="204"/>
      <c r="J825" s="205"/>
      <c r="K825" s="75"/>
      <c r="L825" s="204"/>
      <c r="M825" s="75"/>
      <c r="N825" s="75"/>
      <c r="O825" s="75"/>
      <c r="P825" s="75"/>
      <c r="Q825" s="75"/>
      <c r="R825" s="75"/>
      <c r="S825" s="75"/>
      <c r="T825" s="75"/>
    </row>
    <row r="826" spans="3:20">
      <c r="C826" s="75"/>
      <c r="D826" s="75"/>
      <c r="E826" s="75"/>
      <c r="F826" s="75"/>
      <c r="G826" s="75"/>
      <c r="H826" s="75"/>
      <c r="I826" s="75"/>
      <c r="J826" s="75"/>
      <c r="K826" s="75"/>
      <c r="L826" s="75"/>
      <c r="M826" s="75"/>
      <c r="N826" s="75"/>
      <c r="O826" s="75"/>
      <c r="P826" s="75"/>
      <c r="Q826" s="75"/>
      <c r="R826" s="75"/>
      <c r="S826" s="75"/>
      <c r="T826" s="75"/>
    </row>
    <row r="827" spans="3:20">
      <c r="C827" s="75"/>
      <c r="D827" s="75"/>
      <c r="E827" s="75"/>
      <c r="F827" s="75"/>
      <c r="G827" s="75"/>
      <c r="H827" s="75"/>
      <c r="I827" s="75"/>
      <c r="J827" s="75"/>
      <c r="K827" s="75"/>
      <c r="L827" s="75"/>
      <c r="M827" s="75"/>
      <c r="N827" s="75"/>
      <c r="O827" s="75"/>
      <c r="P827" s="75"/>
      <c r="Q827" s="75"/>
      <c r="R827" s="75"/>
      <c r="S827" s="75"/>
      <c r="T827" s="75"/>
    </row>
    <row r="828" spans="3:20">
      <c r="C828" s="75"/>
      <c r="D828" s="75"/>
      <c r="E828" s="75"/>
      <c r="F828" s="75"/>
      <c r="G828" s="75"/>
      <c r="H828" s="75"/>
      <c r="I828" s="75"/>
      <c r="J828" s="75"/>
      <c r="K828" s="75"/>
      <c r="L828" s="75"/>
      <c r="M828" s="75"/>
      <c r="N828" s="75"/>
      <c r="O828" s="75"/>
      <c r="P828" s="75"/>
      <c r="Q828" s="75"/>
      <c r="R828" s="75"/>
      <c r="S828" s="75"/>
      <c r="T828" s="75"/>
    </row>
    <row r="829" spans="3:20">
      <c r="C829" s="75"/>
      <c r="D829" s="75"/>
      <c r="E829" s="75"/>
      <c r="F829" s="75"/>
      <c r="G829" s="75"/>
      <c r="H829" s="75"/>
      <c r="I829" s="75"/>
      <c r="J829" s="75"/>
      <c r="K829" s="75"/>
      <c r="L829" s="75"/>
      <c r="M829" s="75"/>
      <c r="N829" s="75"/>
      <c r="O829" s="75"/>
      <c r="P829" s="75"/>
      <c r="Q829" s="75"/>
      <c r="R829" s="75"/>
      <c r="S829" s="75"/>
      <c r="T829" s="75"/>
    </row>
    <row r="830" spans="3:20">
      <c r="C830" s="75"/>
      <c r="D830" s="75"/>
      <c r="E830" s="75"/>
      <c r="F830" s="75"/>
      <c r="G830" s="75"/>
      <c r="H830" s="75"/>
      <c r="I830" s="75"/>
      <c r="J830" s="75"/>
      <c r="K830" s="75"/>
      <c r="L830" s="75"/>
      <c r="M830" s="75"/>
      <c r="N830" s="75"/>
      <c r="O830" s="75"/>
      <c r="P830" s="75"/>
      <c r="Q830" s="75"/>
      <c r="R830" s="75"/>
      <c r="S830" s="75"/>
      <c r="T830" s="75"/>
    </row>
    <row r="831" spans="3:20">
      <c r="C831" s="75"/>
      <c r="D831" s="75"/>
      <c r="E831" s="75"/>
      <c r="F831" s="75"/>
      <c r="G831" s="75"/>
      <c r="H831" s="75"/>
      <c r="I831" s="75"/>
      <c r="J831" s="75"/>
      <c r="K831" s="75"/>
      <c r="L831" s="75"/>
      <c r="M831" s="75"/>
      <c r="N831" s="75"/>
      <c r="O831" s="75"/>
      <c r="P831" s="75"/>
      <c r="Q831" s="75"/>
      <c r="R831" s="75"/>
      <c r="S831" s="75"/>
      <c r="T831" s="75"/>
    </row>
    <row r="832" spans="3:20">
      <c r="C832" s="75"/>
      <c r="D832" s="75"/>
      <c r="E832" s="75"/>
      <c r="F832" s="75"/>
      <c r="G832" s="75"/>
      <c r="H832" s="75"/>
      <c r="I832" s="75"/>
      <c r="J832" s="75"/>
      <c r="K832" s="75"/>
      <c r="L832" s="75"/>
      <c r="M832" s="75"/>
      <c r="N832" s="75"/>
      <c r="O832" s="75"/>
      <c r="P832" s="75"/>
      <c r="Q832" s="75"/>
      <c r="R832" s="75"/>
      <c r="S832" s="75"/>
      <c r="T832" s="75"/>
    </row>
    <row r="833" spans="2:20" ht="7.5" customHeight="1">
      <c r="C833" s="75"/>
      <c r="D833" s="75"/>
      <c r="E833" s="75"/>
      <c r="F833" s="75"/>
      <c r="G833" s="75"/>
      <c r="H833" s="75"/>
      <c r="I833" s="75"/>
      <c r="J833" s="75"/>
      <c r="K833" s="75"/>
      <c r="L833" s="75"/>
      <c r="M833" s="75"/>
      <c r="N833" s="75"/>
      <c r="O833" s="75"/>
      <c r="P833" s="75"/>
      <c r="Q833" s="75"/>
      <c r="R833" s="75"/>
      <c r="S833" s="75"/>
      <c r="T833" s="75"/>
    </row>
    <row r="834" spans="2:20">
      <c r="C834" s="75"/>
      <c r="D834" s="75"/>
      <c r="E834" s="75"/>
      <c r="F834" s="75"/>
      <c r="G834" s="75"/>
      <c r="H834" s="75"/>
      <c r="I834" s="75"/>
      <c r="J834" s="75"/>
      <c r="K834" s="75"/>
      <c r="L834" s="75"/>
      <c r="M834" s="75"/>
      <c r="N834" s="75"/>
      <c r="O834" s="75"/>
      <c r="P834" s="75"/>
      <c r="Q834" s="75"/>
      <c r="R834" s="75"/>
      <c r="S834" s="75"/>
      <c r="T834" s="75"/>
    </row>
    <row r="835" spans="2:20">
      <c r="C835" s="75"/>
      <c r="D835" s="75"/>
      <c r="E835" s="75"/>
      <c r="F835" s="75"/>
      <c r="G835" s="75"/>
      <c r="H835" s="75"/>
      <c r="I835" s="75"/>
      <c r="J835" s="75"/>
      <c r="K835" s="75"/>
      <c r="L835" s="75"/>
      <c r="M835" s="75"/>
      <c r="N835" s="75"/>
      <c r="O835" s="75"/>
      <c r="P835" s="75"/>
      <c r="Q835" s="75"/>
      <c r="R835" s="75"/>
      <c r="S835" s="75"/>
      <c r="T835" s="75"/>
    </row>
    <row r="836" spans="2:20">
      <c r="C836" s="75"/>
      <c r="D836" s="75"/>
      <c r="E836" s="75"/>
      <c r="F836" s="75"/>
      <c r="G836" s="75"/>
      <c r="H836" s="75"/>
      <c r="I836" s="230">
        <f>1+I796</f>
        <v>19</v>
      </c>
      <c r="J836" s="75"/>
      <c r="K836" s="75"/>
      <c r="L836" s="75"/>
      <c r="M836" s="75"/>
      <c r="N836" s="75"/>
      <c r="O836" s="75"/>
      <c r="P836" s="75"/>
      <c r="Q836" s="75"/>
      <c r="R836" s="75"/>
      <c r="S836" s="75"/>
      <c r="T836" s="75"/>
    </row>
    <row r="837" spans="2:20">
      <c r="C837" s="75"/>
      <c r="D837" s="75"/>
      <c r="E837" s="75"/>
      <c r="F837" s="75"/>
      <c r="G837" s="75"/>
      <c r="H837" s="75"/>
      <c r="I837" s="75"/>
      <c r="J837" s="75"/>
      <c r="K837" s="75"/>
      <c r="L837" s="75"/>
      <c r="M837" s="75"/>
      <c r="N837" s="75"/>
      <c r="O837" s="75"/>
      <c r="P837" s="75"/>
      <c r="Q837" s="75"/>
      <c r="R837" s="75"/>
      <c r="S837" s="75"/>
      <c r="T837" s="75"/>
    </row>
    <row r="838" spans="2:20" ht="9.75" customHeight="1">
      <c r="C838" s="56"/>
      <c r="D838" s="56"/>
      <c r="E838" s="56"/>
      <c r="F838" s="56"/>
      <c r="G838" s="56"/>
      <c r="H838" s="56"/>
      <c r="I838" s="56"/>
      <c r="J838" s="56"/>
      <c r="K838" s="56"/>
      <c r="L838" s="56"/>
      <c r="M838" s="56"/>
      <c r="N838" s="56"/>
      <c r="O838" s="56"/>
      <c r="P838" s="56"/>
      <c r="Q838" s="56"/>
      <c r="R838" s="56"/>
      <c r="S838" s="56"/>
      <c r="T838" s="56"/>
    </row>
    <row r="839" spans="2:20" ht="23.4">
      <c r="C839" s="200" t="s">
        <v>263</v>
      </c>
      <c r="D839" s="202" t="s">
        <v>286</v>
      </c>
      <c r="E839" s="202"/>
      <c r="F839" s="202"/>
      <c r="G839" s="202"/>
      <c r="H839" s="202"/>
      <c r="I839" s="200"/>
      <c r="J839" s="200"/>
      <c r="K839" s="200"/>
      <c r="L839" s="200"/>
      <c r="M839" s="200"/>
      <c r="N839" s="200"/>
      <c r="O839" s="200"/>
      <c r="P839" s="200"/>
      <c r="Q839" s="200"/>
      <c r="R839" s="200"/>
      <c r="S839" s="200"/>
      <c r="T839" s="200"/>
    </row>
    <row r="840" spans="2:20" ht="5.4" customHeight="1"/>
    <row r="841" spans="2:20" ht="5.4" customHeight="1">
      <c r="B841" s="203"/>
      <c r="C841" s="203"/>
      <c r="D841" s="203"/>
      <c r="E841" s="203"/>
      <c r="F841" s="203"/>
      <c r="G841" s="203"/>
      <c r="H841" s="203"/>
    </row>
    <row r="842" spans="2:20" ht="17.25" customHeight="1">
      <c r="D842" s="934"/>
      <c r="E842" s="934"/>
      <c r="F842" s="934"/>
      <c r="G842" s="934"/>
      <c r="H842" s="934"/>
      <c r="I842" s="934"/>
      <c r="J842" s="934"/>
      <c r="K842" s="934"/>
      <c r="L842" s="934"/>
      <c r="M842" s="934"/>
      <c r="N842" s="934"/>
    </row>
    <row r="843" spans="2:20">
      <c r="C843" s="75"/>
      <c r="O843" s="75"/>
      <c r="P843" s="75"/>
      <c r="Q843" s="75"/>
      <c r="R843" s="75"/>
      <c r="S843" s="75"/>
      <c r="T843" s="75"/>
    </row>
    <row r="844" spans="2:20" ht="20.25" customHeight="1">
      <c r="C844" s="75"/>
      <c r="I844" s="75"/>
      <c r="J844" s="75"/>
      <c r="K844" s="75"/>
      <c r="L844" s="75"/>
      <c r="M844" s="75"/>
      <c r="N844" s="75"/>
      <c r="O844" s="75"/>
      <c r="P844" s="75"/>
      <c r="Q844" s="75"/>
      <c r="R844" s="75"/>
      <c r="S844" s="75"/>
      <c r="T844" s="75"/>
    </row>
    <row r="845" spans="2:20">
      <c r="C845" s="75"/>
      <c r="I845" s="75"/>
      <c r="J845" s="75"/>
      <c r="K845" s="75"/>
      <c r="L845" s="75"/>
      <c r="M845" s="75"/>
      <c r="N845" s="75"/>
      <c r="O845" s="75"/>
      <c r="P845" s="75"/>
      <c r="Q845" s="75"/>
      <c r="R845" s="75"/>
      <c r="S845" s="75"/>
      <c r="T845" s="75"/>
    </row>
    <row r="846" spans="2:20">
      <c r="C846" s="75"/>
      <c r="I846" s="75"/>
      <c r="J846" s="75"/>
      <c r="K846" s="75"/>
      <c r="L846" s="75"/>
      <c r="M846" s="75"/>
      <c r="N846" s="75"/>
      <c r="O846" s="75"/>
      <c r="P846" s="75"/>
      <c r="Q846" s="75"/>
      <c r="R846" s="75"/>
      <c r="S846" s="75"/>
      <c r="T846" s="75"/>
    </row>
    <row r="847" spans="2:20">
      <c r="C847" s="75"/>
      <c r="I847" s="75"/>
      <c r="J847" s="75"/>
      <c r="K847" s="75"/>
      <c r="L847" s="75"/>
      <c r="M847" s="75"/>
      <c r="N847" s="75"/>
      <c r="O847" s="75"/>
      <c r="P847" s="75"/>
      <c r="Q847" s="75"/>
      <c r="R847" s="75"/>
      <c r="S847" s="75"/>
      <c r="T847" s="75"/>
    </row>
    <row r="848" spans="2:20">
      <c r="C848" s="75"/>
      <c r="I848" s="75"/>
      <c r="J848" s="75"/>
      <c r="K848" s="75"/>
      <c r="L848" s="75"/>
      <c r="M848" s="75"/>
      <c r="N848" s="75"/>
      <c r="O848" s="75"/>
      <c r="P848" s="75"/>
      <c r="Q848" s="75"/>
      <c r="R848" s="75"/>
      <c r="S848" s="75"/>
      <c r="T848" s="75"/>
    </row>
    <row r="849" spans="3:20">
      <c r="C849" s="75"/>
      <c r="I849" s="75"/>
      <c r="J849" s="75"/>
      <c r="K849" s="75"/>
      <c r="L849" s="75"/>
      <c r="M849" s="75"/>
      <c r="N849" s="75"/>
      <c r="O849" s="75"/>
      <c r="P849" s="75"/>
      <c r="Q849" s="75"/>
      <c r="R849" s="75"/>
      <c r="S849" s="75"/>
      <c r="T849" s="75"/>
    </row>
    <row r="850" spans="3:20">
      <c r="C850" s="75"/>
      <c r="I850" s="75"/>
      <c r="J850" s="75"/>
      <c r="K850" s="75"/>
      <c r="L850" s="75"/>
      <c r="M850" s="75"/>
      <c r="N850" s="75"/>
      <c r="O850" s="75"/>
      <c r="P850" s="75"/>
      <c r="Q850" s="75"/>
      <c r="R850" s="75"/>
      <c r="S850" s="75"/>
      <c r="T850" s="75"/>
    </row>
    <row r="851" spans="3:20">
      <c r="C851" s="75"/>
      <c r="I851" s="75"/>
      <c r="J851" s="75"/>
      <c r="K851" s="75"/>
      <c r="L851" s="75"/>
      <c r="M851" s="75"/>
      <c r="N851" s="75"/>
      <c r="O851" s="75"/>
      <c r="P851" s="75"/>
      <c r="Q851" s="75"/>
      <c r="R851" s="75"/>
      <c r="S851" s="75"/>
      <c r="T851" s="75"/>
    </row>
    <row r="852" spans="3:20">
      <c r="C852" s="75"/>
      <c r="I852" s="75"/>
      <c r="J852" s="75"/>
      <c r="K852" s="75"/>
      <c r="L852" s="75"/>
      <c r="M852" s="75"/>
      <c r="N852" s="75"/>
      <c r="O852" s="75"/>
      <c r="P852" s="75"/>
      <c r="Q852" s="75"/>
      <c r="R852" s="75"/>
      <c r="S852" s="75"/>
      <c r="T852" s="75"/>
    </row>
    <row r="853" spans="3:20">
      <c r="C853" s="75"/>
      <c r="I853" s="75"/>
      <c r="J853" s="75"/>
      <c r="K853" s="75"/>
      <c r="L853" s="75"/>
      <c r="M853" s="75"/>
      <c r="N853" s="75"/>
      <c r="O853" s="75"/>
      <c r="P853" s="75"/>
      <c r="Q853" s="75"/>
      <c r="R853" s="75"/>
      <c r="S853" s="75"/>
      <c r="T853" s="75"/>
    </row>
    <row r="854" spans="3:20">
      <c r="C854" s="75"/>
      <c r="I854" s="75"/>
      <c r="J854" s="75"/>
      <c r="K854" s="75"/>
      <c r="L854" s="75"/>
      <c r="M854" s="75"/>
      <c r="N854" s="75"/>
      <c r="O854" s="75"/>
      <c r="P854" s="75"/>
      <c r="Q854" s="75"/>
      <c r="R854" s="75"/>
      <c r="S854" s="75"/>
      <c r="T854" s="75"/>
    </row>
    <row r="855" spans="3:20">
      <c r="C855" s="75"/>
      <c r="D855" s="75"/>
      <c r="E855" s="75"/>
      <c r="F855" s="75"/>
      <c r="G855" s="75"/>
      <c r="H855" s="75"/>
      <c r="I855" s="75"/>
      <c r="J855" s="75"/>
      <c r="K855" s="75"/>
      <c r="L855" s="75"/>
      <c r="M855" s="75"/>
      <c r="N855" s="75"/>
      <c r="O855" s="75"/>
      <c r="P855" s="75"/>
      <c r="Q855" s="75"/>
      <c r="R855" s="75"/>
      <c r="S855" s="75"/>
      <c r="T855" s="75"/>
    </row>
    <row r="856" spans="3:20">
      <c r="C856" s="75"/>
      <c r="D856" s="75"/>
      <c r="E856" s="75"/>
      <c r="F856" s="75"/>
      <c r="G856" s="75"/>
      <c r="H856" s="75"/>
      <c r="I856" s="75"/>
      <c r="J856" s="75"/>
      <c r="K856" s="75"/>
      <c r="L856" s="75"/>
      <c r="M856" s="75"/>
      <c r="N856" s="75"/>
      <c r="O856" s="75"/>
      <c r="P856" s="75"/>
      <c r="Q856" s="75"/>
      <c r="R856" s="75"/>
      <c r="S856" s="75"/>
      <c r="T856" s="75"/>
    </row>
    <row r="857" spans="3:20">
      <c r="C857" s="75"/>
      <c r="D857" s="75"/>
      <c r="E857" s="75"/>
      <c r="F857" s="75"/>
      <c r="G857" s="75"/>
      <c r="H857" s="75"/>
      <c r="I857" s="75"/>
      <c r="J857" s="75"/>
      <c r="K857" s="75"/>
      <c r="L857" s="75"/>
      <c r="M857" s="75"/>
      <c r="N857" s="75"/>
      <c r="O857" s="75"/>
      <c r="P857" s="75"/>
      <c r="Q857" s="75"/>
      <c r="R857" s="75"/>
      <c r="S857" s="75"/>
      <c r="T857" s="75"/>
    </row>
    <row r="858" spans="3:20">
      <c r="C858" s="75"/>
      <c r="D858" s="75"/>
      <c r="E858" s="75"/>
      <c r="F858" s="75"/>
      <c r="G858" s="75"/>
      <c r="H858" s="75"/>
      <c r="I858" s="204"/>
      <c r="J858" s="205"/>
      <c r="K858" s="75"/>
      <c r="L858" s="204"/>
      <c r="M858" s="75"/>
      <c r="N858" s="75"/>
      <c r="O858" s="75"/>
      <c r="P858" s="75"/>
      <c r="Q858" s="75"/>
      <c r="R858" s="75"/>
      <c r="S858" s="75"/>
      <c r="T858" s="75"/>
    </row>
    <row r="859" spans="3:20">
      <c r="C859" s="75"/>
      <c r="D859" s="75" t="s">
        <v>294</v>
      </c>
      <c r="E859" s="75"/>
      <c r="F859" s="75"/>
      <c r="G859" s="75"/>
      <c r="H859" s="75"/>
      <c r="I859" s="204"/>
      <c r="J859" s="205"/>
      <c r="K859" s="75"/>
      <c r="L859" s="204"/>
      <c r="M859" s="75"/>
      <c r="N859" s="75"/>
      <c r="O859" s="75"/>
      <c r="P859" s="75"/>
      <c r="Q859" s="75"/>
      <c r="R859" s="75"/>
      <c r="S859" s="75"/>
      <c r="T859" s="75"/>
    </row>
    <row r="860" spans="3:20">
      <c r="C860" s="75"/>
      <c r="D860" s="75"/>
      <c r="E860" s="75"/>
      <c r="F860" s="75"/>
      <c r="G860" s="75"/>
      <c r="H860" s="75"/>
      <c r="J860" s="205"/>
      <c r="K860" s="75"/>
      <c r="L860" s="204"/>
      <c r="M860" s="75"/>
      <c r="N860" s="75"/>
      <c r="O860" s="75"/>
      <c r="P860" s="75"/>
      <c r="Q860" s="75"/>
      <c r="R860" s="75"/>
      <c r="S860" s="75"/>
      <c r="T860" s="75"/>
    </row>
    <row r="861" spans="3:20">
      <c r="C861" s="75"/>
      <c r="D861" s="75"/>
      <c r="E861" s="75"/>
      <c r="F861" s="75"/>
      <c r="G861" s="75"/>
      <c r="H861" s="75"/>
      <c r="I861" s="206"/>
      <c r="J861" s="205"/>
      <c r="K861" s="75"/>
      <c r="L861" s="204"/>
      <c r="M861" s="75"/>
      <c r="N861" s="75"/>
      <c r="O861" s="206"/>
      <c r="P861" s="75"/>
      <c r="Q861" s="75"/>
      <c r="R861" s="75"/>
      <c r="S861" s="75"/>
      <c r="T861" s="75"/>
    </row>
    <row r="862" spans="3:20">
      <c r="C862" s="75"/>
      <c r="D862" s="75"/>
      <c r="E862" s="75"/>
      <c r="F862" s="75"/>
      <c r="G862" s="75"/>
      <c r="H862" s="75"/>
      <c r="I862" s="204"/>
      <c r="J862" s="205"/>
      <c r="K862" s="75"/>
      <c r="L862" s="204"/>
      <c r="M862" s="75"/>
      <c r="N862" s="75"/>
      <c r="O862" s="75"/>
      <c r="P862" s="75"/>
      <c r="Q862" s="75"/>
      <c r="R862" s="75"/>
      <c r="S862" s="75"/>
      <c r="T862" s="75"/>
    </row>
    <row r="863" spans="3:20">
      <c r="C863" s="75"/>
      <c r="D863" s="75"/>
      <c r="E863" s="75"/>
      <c r="F863" s="75"/>
      <c r="G863" s="75"/>
      <c r="H863" s="75"/>
      <c r="I863" s="204"/>
      <c r="J863" s="205"/>
      <c r="K863" s="75"/>
      <c r="L863" s="204"/>
      <c r="M863" s="75"/>
      <c r="N863" s="75"/>
      <c r="O863" s="75"/>
      <c r="P863" s="75"/>
      <c r="Q863" s="75"/>
      <c r="R863" s="75"/>
      <c r="S863" s="75"/>
      <c r="T863" s="75"/>
    </row>
    <row r="864" spans="3:20">
      <c r="C864" s="75"/>
      <c r="D864" s="75"/>
      <c r="E864" s="75"/>
      <c r="F864" s="75"/>
      <c r="G864" s="75"/>
      <c r="H864" s="75"/>
      <c r="I864" s="204"/>
      <c r="J864" s="205"/>
      <c r="K864" s="75"/>
      <c r="L864" s="204"/>
      <c r="M864" s="75"/>
      <c r="N864" s="75"/>
      <c r="O864" s="75"/>
      <c r="P864" s="75"/>
      <c r="Q864" s="75"/>
      <c r="R864" s="75"/>
      <c r="S864" s="75"/>
      <c r="T864" s="75"/>
    </row>
    <row r="865" spans="3:20">
      <c r="C865" s="75"/>
      <c r="D865" s="75"/>
      <c r="E865" s="75"/>
      <c r="F865" s="75"/>
      <c r="G865" s="75"/>
      <c r="H865" s="75"/>
      <c r="I865" s="204"/>
      <c r="J865" s="205"/>
      <c r="K865" s="75"/>
      <c r="L865" s="204"/>
      <c r="M865" s="75"/>
      <c r="N865" s="75"/>
      <c r="O865" s="75"/>
      <c r="P865" s="75"/>
      <c r="Q865" s="75"/>
      <c r="R865" s="75"/>
      <c r="S865" s="75"/>
      <c r="T865" s="75"/>
    </row>
    <row r="866" spans="3:20">
      <c r="C866" s="75"/>
      <c r="D866" s="75"/>
      <c r="E866" s="75"/>
      <c r="F866" s="75"/>
      <c r="G866" s="75"/>
      <c r="H866" s="75"/>
      <c r="I866" s="75"/>
      <c r="J866" s="75"/>
      <c r="K866" s="75"/>
      <c r="L866" s="75"/>
      <c r="M866" s="75"/>
      <c r="N866" s="75"/>
      <c r="O866" s="75"/>
      <c r="P866" s="75"/>
      <c r="Q866" s="75"/>
      <c r="R866" s="75"/>
      <c r="S866" s="75"/>
      <c r="T866" s="75"/>
    </row>
    <row r="867" spans="3:20">
      <c r="C867" s="75"/>
      <c r="D867" s="75"/>
      <c r="E867" s="75"/>
      <c r="F867" s="75"/>
      <c r="G867" s="75"/>
      <c r="H867" s="75"/>
      <c r="I867" s="75"/>
      <c r="J867" s="75"/>
      <c r="K867" s="75"/>
      <c r="L867" s="75"/>
      <c r="M867" s="75"/>
      <c r="N867" s="75"/>
      <c r="O867" s="75"/>
      <c r="P867" s="75"/>
      <c r="Q867" s="75"/>
      <c r="R867" s="75"/>
      <c r="S867" s="75"/>
      <c r="T867" s="75"/>
    </row>
    <row r="868" spans="3:20">
      <c r="C868" s="75"/>
      <c r="D868" s="75"/>
      <c r="E868" s="75"/>
      <c r="F868" s="75"/>
      <c r="G868" s="75"/>
      <c r="H868" s="75"/>
      <c r="I868" s="75"/>
      <c r="J868" s="75"/>
      <c r="K868" s="75"/>
      <c r="L868" s="75"/>
      <c r="M868" s="75"/>
      <c r="N868" s="75"/>
      <c r="O868" s="75"/>
      <c r="P868" s="75"/>
      <c r="Q868" s="75"/>
      <c r="R868" s="75"/>
      <c r="S868" s="75"/>
      <c r="T868" s="75"/>
    </row>
    <row r="869" spans="3:20">
      <c r="C869" s="75"/>
      <c r="D869" s="75"/>
      <c r="E869" s="75"/>
      <c r="F869" s="75"/>
      <c r="G869" s="75"/>
      <c r="H869" s="75"/>
      <c r="I869" s="75"/>
      <c r="J869" s="75"/>
      <c r="K869" s="75"/>
      <c r="L869" s="75"/>
      <c r="M869" s="75"/>
      <c r="N869" s="75"/>
      <c r="O869" s="75"/>
      <c r="P869" s="75"/>
      <c r="Q869" s="75"/>
      <c r="R869" s="75"/>
      <c r="S869" s="75"/>
      <c r="T869" s="75"/>
    </row>
    <row r="870" spans="3:20">
      <c r="C870" s="75"/>
      <c r="D870" s="75"/>
      <c r="E870" s="75"/>
      <c r="F870" s="75"/>
      <c r="G870" s="75"/>
      <c r="H870" s="75"/>
      <c r="I870" s="75"/>
      <c r="J870" s="75"/>
      <c r="K870" s="75"/>
      <c r="L870" s="75"/>
      <c r="M870" s="75"/>
      <c r="N870" s="75"/>
      <c r="O870" s="75"/>
      <c r="P870" s="75"/>
      <c r="Q870" s="75"/>
      <c r="R870" s="75"/>
      <c r="S870" s="75"/>
      <c r="T870" s="75"/>
    </row>
    <row r="871" spans="3:20">
      <c r="C871" s="75"/>
      <c r="D871" s="75"/>
      <c r="E871" s="75"/>
      <c r="F871" s="75"/>
      <c r="G871" s="75"/>
      <c r="H871" s="75"/>
      <c r="I871" s="75"/>
      <c r="J871" s="75"/>
      <c r="K871" s="75"/>
      <c r="L871" s="75"/>
      <c r="M871" s="75"/>
      <c r="N871" s="75"/>
      <c r="O871" s="75"/>
      <c r="P871" s="75"/>
      <c r="Q871" s="75"/>
      <c r="R871" s="75"/>
      <c r="S871" s="75"/>
      <c r="T871" s="75"/>
    </row>
    <row r="872" spans="3:20">
      <c r="C872" s="75"/>
      <c r="D872" s="75"/>
      <c r="E872" s="75"/>
      <c r="F872" s="75"/>
      <c r="G872" s="75"/>
      <c r="H872" s="75"/>
      <c r="I872" s="75"/>
      <c r="J872" s="75"/>
      <c r="K872" s="75"/>
      <c r="L872" s="75"/>
      <c r="M872" s="75"/>
      <c r="N872" s="75"/>
      <c r="O872" s="75"/>
      <c r="P872" s="75"/>
      <c r="Q872" s="75"/>
      <c r="R872" s="75"/>
      <c r="S872" s="75"/>
      <c r="T872" s="75"/>
    </row>
    <row r="873" spans="3:20" ht="7.5" customHeight="1">
      <c r="C873" s="75"/>
      <c r="D873" s="75"/>
      <c r="E873" s="75"/>
      <c r="F873" s="75"/>
      <c r="G873" s="75"/>
      <c r="H873" s="75"/>
      <c r="I873" s="75"/>
      <c r="J873" s="75"/>
      <c r="K873" s="75"/>
      <c r="L873" s="75"/>
      <c r="M873" s="75"/>
      <c r="N873" s="75"/>
      <c r="O873" s="75"/>
      <c r="P873" s="75"/>
      <c r="Q873" s="75"/>
      <c r="R873" s="75"/>
      <c r="S873" s="75"/>
      <c r="T873" s="75"/>
    </row>
    <row r="874" spans="3:20">
      <c r="C874" s="75"/>
      <c r="D874" s="75"/>
      <c r="E874" s="75"/>
      <c r="F874" s="75"/>
      <c r="G874" s="75"/>
      <c r="H874" s="75"/>
      <c r="I874" s="75"/>
      <c r="J874" s="75"/>
      <c r="K874" s="75"/>
      <c r="L874" s="75"/>
      <c r="M874" s="75"/>
      <c r="N874" s="75"/>
      <c r="O874" s="75"/>
      <c r="P874" s="75"/>
      <c r="Q874" s="75"/>
      <c r="R874" s="75"/>
      <c r="S874" s="75"/>
      <c r="T874" s="75"/>
    </row>
    <row r="875" spans="3:20">
      <c r="C875" s="75"/>
      <c r="D875" s="75"/>
      <c r="E875" s="75"/>
      <c r="F875" s="75"/>
      <c r="G875" s="75"/>
      <c r="H875" s="75"/>
      <c r="I875" s="75"/>
      <c r="J875" s="75"/>
      <c r="K875" s="75"/>
      <c r="L875" s="75"/>
      <c r="M875" s="75"/>
      <c r="N875" s="75"/>
      <c r="O875" s="75"/>
      <c r="P875" s="75"/>
      <c r="Q875" s="75"/>
      <c r="R875" s="75"/>
      <c r="S875" s="75"/>
      <c r="T875" s="75"/>
    </row>
    <row r="876" spans="3:20">
      <c r="C876" s="75"/>
      <c r="D876" s="75"/>
      <c r="E876" s="75"/>
      <c r="F876" s="75"/>
      <c r="G876" s="75"/>
      <c r="H876" s="75"/>
      <c r="I876" s="230">
        <f>1+I836</f>
        <v>20</v>
      </c>
      <c r="J876" s="75"/>
      <c r="K876" s="75"/>
      <c r="L876" s="75"/>
      <c r="M876" s="75"/>
      <c r="N876" s="75"/>
      <c r="O876" s="75"/>
      <c r="P876" s="75"/>
      <c r="Q876" s="75"/>
      <c r="R876" s="75"/>
      <c r="S876" s="75"/>
      <c r="T876" s="75"/>
    </row>
    <row r="877" spans="3:20">
      <c r="C877" s="75"/>
      <c r="D877" s="75"/>
      <c r="E877" s="75"/>
      <c r="F877" s="75"/>
      <c r="G877" s="75"/>
      <c r="H877" s="75"/>
      <c r="I877" s="75"/>
      <c r="J877" s="75"/>
      <c r="K877" s="75"/>
      <c r="L877" s="75"/>
      <c r="M877" s="75"/>
      <c r="N877" s="75"/>
      <c r="O877" s="75"/>
      <c r="P877" s="75"/>
      <c r="Q877" s="75"/>
      <c r="R877" s="75"/>
      <c r="S877" s="75"/>
      <c r="T877" s="75"/>
    </row>
    <row r="878" spans="3:20" ht="9.75" customHeight="1">
      <c r="C878" s="56"/>
      <c r="D878" s="56"/>
      <c r="E878" s="56"/>
      <c r="F878" s="56"/>
      <c r="G878" s="56"/>
      <c r="H878" s="56"/>
      <c r="I878" s="56"/>
      <c r="J878" s="56"/>
      <c r="K878" s="56"/>
      <c r="L878" s="56"/>
      <c r="M878" s="56"/>
      <c r="N878" s="56"/>
      <c r="O878" s="56"/>
      <c r="P878" s="56"/>
      <c r="Q878" s="56"/>
      <c r="R878" s="56"/>
      <c r="S878" s="56"/>
      <c r="T878" s="56"/>
    </row>
    <row r="879" spans="3:20" ht="23.4">
      <c r="C879" s="200" t="s">
        <v>263</v>
      </c>
      <c r="D879" s="202" t="s">
        <v>295</v>
      </c>
      <c r="E879" s="202"/>
      <c r="F879" s="202"/>
      <c r="G879" s="202"/>
      <c r="H879" s="202"/>
      <c r="I879" s="200"/>
      <c r="J879" s="200"/>
      <c r="K879" s="200"/>
      <c r="L879" s="200"/>
      <c r="M879" s="200"/>
      <c r="N879" s="200"/>
      <c r="O879" s="200"/>
      <c r="P879" s="200"/>
      <c r="Q879" s="200"/>
      <c r="R879" s="200"/>
      <c r="S879" s="200"/>
      <c r="T879" s="200"/>
    </row>
    <row r="880" spans="3:20" ht="5.4" customHeight="1"/>
    <row r="881" spans="2:20" ht="5.4" customHeight="1">
      <c r="B881" s="203"/>
      <c r="C881" s="203"/>
      <c r="D881" s="203"/>
      <c r="E881" s="203"/>
      <c r="F881" s="203"/>
      <c r="G881" s="203"/>
      <c r="H881" s="203"/>
    </row>
    <row r="882" spans="2:20" ht="17.25" customHeight="1">
      <c r="D882" s="934"/>
      <c r="E882" s="934"/>
      <c r="F882" s="934"/>
      <c r="G882" s="934"/>
      <c r="H882" s="934"/>
      <c r="I882" s="934"/>
      <c r="J882" s="934"/>
      <c r="K882" s="934"/>
      <c r="L882" s="934"/>
      <c r="M882" s="934"/>
      <c r="N882" s="934"/>
    </row>
    <row r="883" spans="2:20">
      <c r="C883" s="75"/>
      <c r="O883" s="75"/>
      <c r="P883" s="75"/>
      <c r="Q883" s="75"/>
      <c r="R883" s="75"/>
      <c r="S883" s="75"/>
      <c r="T883" s="75"/>
    </row>
    <row r="884" spans="2:20" ht="20.25" customHeight="1">
      <c r="C884" s="75"/>
      <c r="I884" s="75"/>
      <c r="J884" s="75"/>
      <c r="K884" s="75"/>
      <c r="L884" s="75"/>
      <c r="M884" s="75"/>
      <c r="N884" s="75"/>
      <c r="O884" s="75"/>
      <c r="P884" s="75"/>
      <c r="Q884" s="75"/>
      <c r="R884" s="75"/>
      <c r="S884" s="75"/>
      <c r="T884" s="75"/>
    </row>
    <row r="885" spans="2:20">
      <c r="C885" s="75"/>
      <c r="I885" s="75"/>
      <c r="J885" s="75"/>
      <c r="K885" s="75"/>
      <c r="L885" s="75"/>
      <c r="M885" s="75"/>
      <c r="N885" s="75"/>
      <c r="O885" s="75"/>
      <c r="P885" s="75"/>
      <c r="Q885" s="75"/>
      <c r="R885" s="75"/>
      <c r="S885" s="75"/>
      <c r="T885" s="75"/>
    </row>
    <row r="886" spans="2:20">
      <c r="C886" s="75"/>
      <c r="I886" s="75"/>
      <c r="J886" s="75"/>
      <c r="K886" s="75"/>
      <c r="L886" s="75"/>
      <c r="M886" s="75"/>
      <c r="N886" s="75"/>
      <c r="O886" s="75"/>
      <c r="P886" s="75"/>
      <c r="Q886" s="75"/>
      <c r="R886" s="75"/>
      <c r="S886" s="75"/>
      <c r="T886" s="75"/>
    </row>
    <row r="887" spans="2:20">
      <c r="C887" s="75"/>
      <c r="I887" s="75"/>
      <c r="J887" s="75"/>
      <c r="K887" s="75"/>
      <c r="L887" s="75"/>
      <c r="M887" s="75"/>
      <c r="N887" s="75"/>
      <c r="O887" s="75"/>
      <c r="P887" s="75"/>
      <c r="Q887" s="75"/>
      <c r="R887" s="75"/>
      <c r="S887" s="75"/>
      <c r="T887" s="75"/>
    </row>
    <row r="888" spans="2:20">
      <c r="C888" s="75"/>
      <c r="I888" s="75"/>
      <c r="J888" s="75"/>
      <c r="K888" s="75"/>
      <c r="L888" s="75"/>
      <c r="M888" s="75"/>
      <c r="N888" s="75"/>
      <c r="O888" s="75"/>
      <c r="P888" s="75"/>
      <c r="Q888" s="75"/>
      <c r="R888" s="75"/>
      <c r="S888" s="75"/>
      <c r="T888" s="75"/>
    </row>
    <row r="889" spans="2:20">
      <c r="C889" s="75"/>
      <c r="I889" s="75"/>
      <c r="J889" s="75"/>
      <c r="K889" s="75"/>
      <c r="L889" s="75"/>
      <c r="M889" s="75"/>
      <c r="N889" s="75"/>
      <c r="O889" s="75"/>
      <c r="P889" s="75"/>
      <c r="Q889" s="75"/>
      <c r="R889" s="75"/>
      <c r="S889" s="75"/>
      <c r="T889" s="75"/>
    </row>
    <row r="890" spans="2:20">
      <c r="C890" s="75"/>
      <c r="I890" s="75"/>
      <c r="J890" s="75"/>
      <c r="K890" s="75"/>
      <c r="L890" s="75"/>
      <c r="M890" s="75"/>
      <c r="N890" s="75"/>
      <c r="O890" s="75"/>
      <c r="P890" s="75"/>
      <c r="Q890" s="75"/>
      <c r="R890" s="75"/>
      <c r="S890" s="75"/>
      <c r="T890" s="75"/>
    </row>
    <row r="891" spans="2:20">
      <c r="C891" s="75"/>
      <c r="I891" s="75"/>
      <c r="J891" s="75"/>
      <c r="K891" s="75"/>
      <c r="L891" s="75"/>
      <c r="M891" s="75"/>
      <c r="N891" s="75"/>
      <c r="O891" s="75"/>
      <c r="P891" s="75"/>
      <c r="Q891" s="75"/>
      <c r="R891" s="75"/>
      <c r="S891" s="75"/>
      <c r="T891" s="75"/>
    </row>
    <row r="892" spans="2:20">
      <c r="C892" s="75"/>
      <c r="I892" s="75"/>
      <c r="J892" s="75"/>
      <c r="K892" s="75"/>
      <c r="L892" s="75"/>
      <c r="M892" s="75"/>
      <c r="N892" s="75"/>
      <c r="O892" s="75"/>
      <c r="P892" s="75"/>
      <c r="Q892" s="75"/>
      <c r="R892" s="75"/>
      <c r="S892" s="75"/>
      <c r="T892" s="75"/>
    </row>
    <row r="893" spans="2:20">
      <c r="C893" s="75"/>
      <c r="I893" s="75"/>
      <c r="J893" s="75"/>
      <c r="K893" s="75"/>
      <c r="L893" s="75"/>
      <c r="M893" s="75"/>
      <c r="N893" s="75"/>
      <c r="O893" s="75"/>
      <c r="P893" s="75"/>
      <c r="Q893" s="75"/>
      <c r="R893" s="75"/>
      <c r="S893" s="75"/>
      <c r="T893" s="75"/>
    </row>
    <row r="894" spans="2:20">
      <c r="C894" s="75"/>
      <c r="I894" s="75"/>
      <c r="J894" s="75"/>
      <c r="K894" s="75"/>
      <c r="L894" s="75"/>
      <c r="M894" s="75"/>
      <c r="N894" s="75"/>
      <c r="O894" s="75"/>
      <c r="P894" s="75"/>
      <c r="Q894" s="75"/>
      <c r="R894" s="75"/>
      <c r="S894" s="75"/>
      <c r="T894" s="75"/>
    </row>
    <row r="895" spans="2:20">
      <c r="C895" s="75"/>
      <c r="D895" s="75"/>
      <c r="E895" s="75"/>
      <c r="F895" s="75"/>
      <c r="G895" s="75"/>
      <c r="H895" s="75"/>
      <c r="I895" s="75"/>
      <c r="J895" s="75"/>
      <c r="K895" s="75"/>
      <c r="L895" s="75"/>
      <c r="M895" s="75"/>
      <c r="N895" s="75"/>
      <c r="O895" s="75"/>
      <c r="P895" s="75"/>
      <c r="Q895" s="75"/>
      <c r="R895" s="75"/>
      <c r="S895" s="75"/>
      <c r="T895" s="75"/>
    </row>
    <row r="896" spans="2:20">
      <c r="C896" s="75"/>
      <c r="D896" s="75"/>
      <c r="E896" s="75"/>
      <c r="F896" s="75"/>
      <c r="G896" s="75"/>
      <c r="H896" s="75"/>
      <c r="I896" s="75"/>
      <c r="J896" s="75"/>
      <c r="K896" s="75"/>
      <c r="L896" s="75"/>
      <c r="M896" s="75"/>
      <c r="N896" s="75"/>
      <c r="O896" s="75"/>
      <c r="P896" s="75"/>
      <c r="Q896" s="75"/>
      <c r="R896" s="75"/>
      <c r="S896" s="75"/>
      <c r="T896" s="75"/>
    </row>
    <row r="897" spans="3:20">
      <c r="C897" s="75"/>
      <c r="D897" s="75"/>
      <c r="E897" s="75"/>
      <c r="F897" s="75"/>
      <c r="G897" s="75"/>
      <c r="H897" s="75"/>
      <c r="I897" s="75"/>
      <c r="J897" s="75"/>
      <c r="K897" s="75"/>
      <c r="L897" s="75"/>
      <c r="M897" s="75"/>
      <c r="N897" s="75"/>
      <c r="O897" s="75"/>
      <c r="P897" s="75"/>
      <c r="Q897" s="75"/>
      <c r="R897" s="75"/>
      <c r="S897" s="75"/>
      <c r="T897" s="75"/>
    </row>
    <row r="898" spans="3:20">
      <c r="C898" s="75"/>
      <c r="D898" s="75"/>
      <c r="E898" s="75"/>
      <c r="F898" s="75"/>
      <c r="G898" s="75"/>
      <c r="H898" s="75"/>
      <c r="I898" s="204"/>
      <c r="J898" s="205"/>
      <c r="K898" s="75"/>
      <c r="L898" s="204"/>
      <c r="M898" s="75"/>
      <c r="N898" s="75"/>
      <c r="O898" s="75"/>
      <c r="P898" s="75"/>
      <c r="Q898" s="75"/>
      <c r="R898" s="75"/>
      <c r="S898" s="75"/>
      <c r="T898" s="75"/>
    </row>
    <row r="899" spans="3:20">
      <c r="C899" s="75"/>
      <c r="D899" s="75"/>
      <c r="E899" s="75"/>
      <c r="F899" s="75"/>
      <c r="G899" s="75"/>
      <c r="H899" s="75"/>
      <c r="I899" s="204"/>
      <c r="J899" s="205"/>
      <c r="K899" s="75"/>
      <c r="L899" s="204"/>
      <c r="M899" s="75"/>
      <c r="N899" s="75"/>
      <c r="O899" s="75"/>
      <c r="P899" s="75"/>
      <c r="Q899" s="75"/>
      <c r="R899" s="75"/>
      <c r="S899" s="75"/>
      <c r="T899" s="75"/>
    </row>
    <row r="900" spans="3:20">
      <c r="C900" s="75"/>
      <c r="D900" s="75"/>
      <c r="E900" s="75"/>
      <c r="F900" s="75"/>
      <c r="G900" s="75"/>
      <c r="H900" s="75"/>
      <c r="J900" s="205"/>
      <c r="K900" s="75"/>
      <c r="L900" s="204"/>
      <c r="M900" s="75"/>
      <c r="N900" s="75"/>
      <c r="O900" s="75"/>
      <c r="P900" s="75"/>
      <c r="Q900" s="75"/>
      <c r="R900" s="75"/>
      <c r="S900" s="75"/>
      <c r="T900" s="75"/>
    </row>
    <row r="901" spans="3:20">
      <c r="C901" s="75"/>
      <c r="D901" s="75"/>
      <c r="E901" s="75"/>
      <c r="F901" s="75"/>
      <c r="G901" s="75"/>
      <c r="H901" s="75"/>
      <c r="I901" s="206"/>
      <c r="J901" s="205"/>
      <c r="K901" s="75"/>
      <c r="L901" s="204"/>
      <c r="M901" s="75"/>
      <c r="N901" s="75"/>
      <c r="O901" s="206"/>
      <c r="P901" s="75"/>
      <c r="Q901" s="75"/>
      <c r="R901" s="75"/>
      <c r="S901" s="75"/>
      <c r="T901" s="75"/>
    </row>
    <row r="902" spans="3:20">
      <c r="C902" s="75"/>
      <c r="D902" s="75"/>
      <c r="E902" s="75"/>
      <c r="F902" s="75"/>
      <c r="G902" s="75"/>
      <c r="H902" s="75"/>
      <c r="I902" s="204"/>
      <c r="J902" s="205"/>
      <c r="K902" s="75"/>
      <c r="L902" s="204"/>
      <c r="M902" s="75"/>
      <c r="N902" s="75"/>
      <c r="O902" s="75"/>
      <c r="P902" s="75"/>
      <c r="Q902" s="75"/>
      <c r="R902" s="75"/>
      <c r="S902" s="75"/>
      <c r="T902" s="75"/>
    </row>
    <row r="903" spans="3:20">
      <c r="C903" s="75"/>
      <c r="D903" s="75"/>
      <c r="E903" s="75"/>
      <c r="F903" s="75"/>
      <c r="G903" s="75"/>
      <c r="H903" s="75"/>
      <c r="I903" s="204"/>
      <c r="J903" s="205"/>
      <c r="K903" s="75"/>
      <c r="L903" s="204"/>
      <c r="M903" s="75"/>
      <c r="N903" s="75"/>
      <c r="O903" s="75"/>
      <c r="P903" s="75"/>
      <c r="Q903" s="75"/>
      <c r="R903" s="75"/>
      <c r="S903" s="75"/>
      <c r="T903" s="75"/>
    </row>
    <row r="904" spans="3:20">
      <c r="C904" s="75"/>
      <c r="D904" s="75"/>
      <c r="E904" s="75"/>
      <c r="F904" s="75"/>
      <c r="G904" s="75"/>
      <c r="H904" s="75"/>
      <c r="I904" s="204"/>
      <c r="J904" s="205"/>
      <c r="K904" s="75"/>
      <c r="L904" s="204"/>
      <c r="M904" s="75"/>
      <c r="N904" s="75"/>
      <c r="O904" s="75"/>
      <c r="P904" s="75"/>
      <c r="Q904" s="75"/>
      <c r="R904" s="75"/>
      <c r="S904" s="75"/>
      <c r="T904" s="75"/>
    </row>
    <row r="905" spans="3:20">
      <c r="C905" s="75"/>
      <c r="D905" s="75"/>
      <c r="E905" s="75"/>
      <c r="F905" s="75"/>
      <c r="G905" s="75"/>
      <c r="H905" s="75"/>
      <c r="I905" s="204"/>
      <c r="J905" s="205"/>
      <c r="K905" s="75"/>
      <c r="L905" s="204"/>
      <c r="M905" s="75"/>
      <c r="N905" s="75"/>
      <c r="O905" s="75"/>
      <c r="P905" s="75"/>
      <c r="Q905" s="75"/>
      <c r="R905" s="75"/>
      <c r="S905" s="75"/>
      <c r="T905" s="75"/>
    </row>
    <row r="906" spans="3:20">
      <c r="C906" s="75"/>
      <c r="D906" s="75"/>
      <c r="E906" s="75"/>
      <c r="F906" s="75"/>
      <c r="G906" s="75"/>
      <c r="H906" s="75"/>
      <c r="I906" s="75"/>
      <c r="J906" s="75"/>
      <c r="K906" s="75"/>
      <c r="L906" s="75"/>
      <c r="M906" s="75"/>
      <c r="N906" s="75"/>
      <c r="O906" s="75"/>
      <c r="P906" s="75"/>
      <c r="Q906" s="75"/>
      <c r="R906" s="75"/>
      <c r="S906" s="75"/>
      <c r="T906" s="75"/>
    </row>
    <row r="907" spans="3:20">
      <c r="C907" s="75"/>
      <c r="D907" s="75"/>
      <c r="E907" s="75"/>
      <c r="F907" s="75"/>
      <c r="G907" s="75"/>
      <c r="H907" s="75"/>
      <c r="I907" s="75"/>
      <c r="J907" s="75"/>
      <c r="K907" s="75"/>
      <c r="L907" s="75"/>
      <c r="M907" s="75"/>
      <c r="N907" s="75"/>
      <c r="O907" s="75"/>
      <c r="P907" s="75"/>
      <c r="Q907" s="75"/>
      <c r="R907" s="75"/>
      <c r="S907" s="75"/>
      <c r="T907" s="75"/>
    </row>
    <row r="908" spans="3:20">
      <c r="C908" s="75"/>
      <c r="D908" s="75"/>
      <c r="E908" s="75"/>
      <c r="F908" s="75"/>
      <c r="G908" s="75"/>
      <c r="H908" s="75"/>
      <c r="I908" s="75"/>
      <c r="J908" s="75"/>
      <c r="K908" s="75"/>
      <c r="L908" s="75"/>
      <c r="M908" s="75"/>
      <c r="N908" s="75"/>
      <c r="O908" s="75"/>
      <c r="P908" s="75"/>
      <c r="Q908" s="75"/>
      <c r="R908" s="75"/>
      <c r="S908" s="75"/>
      <c r="T908" s="75"/>
    </row>
    <row r="909" spans="3:20">
      <c r="C909" s="75"/>
      <c r="D909" s="75"/>
      <c r="E909" s="75"/>
      <c r="F909" s="75"/>
      <c r="G909" s="75"/>
      <c r="H909" s="75"/>
      <c r="I909" s="75"/>
      <c r="J909" s="75"/>
      <c r="K909" s="75"/>
      <c r="L909" s="75"/>
      <c r="M909" s="75"/>
      <c r="N909" s="75"/>
      <c r="O909" s="75"/>
      <c r="P909" s="75"/>
      <c r="Q909" s="75"/>
      <c r="R909" s="75"/>
      <c r="S909" s="75"/>
      <c r="T909" s="75"/>
    </row>
    <row r="910" spans="3:20">
      <c r="C910" s="75"/>
      <c r="D910" s="75"/>
      <c r="E910" s="75"/>
      <c r="F910" s="75"/>
      <c r="G910" s="75"/>
      <c r="H910" s="75"/>
      <c r="I910" s="75"/>
      <c r="J910" s="75"/>
      <c r="K910" s="75"/>
      <c r="L910" s="75"/>
      <c r="M910" s="75"/>
      <c r="N910" s="75"/>
      <c r="O910" s="75"/>
      <c r="P910" s="75"/>
      <c r="Q910" s="75"/>
      <c r="R910" s="75"/>
      <c r="S910" s="75"/>
      <c r="T910" s="75"/>
    </row>
    <row r="911" spans="3:20">
      <c r="C911" s="75"/>
      <c r="D911" s="75"/>
      <c r="E911" s="75"/>
      <c r="F911" s="75"/>
      <c r="G911" s="75"/>
      <c r="H911" s="75"/>
      <c r="I911" s="75"/>
      <c r="J911" s="75"/>
      <c r="K911" s="75"/>
      <c r="L911" s="75"/>
      <c r="M911" s="75"/>
      <c r="N911" s="75"/>
      <c r="O911" s="75"/>
      <c r="P911" s="75"/>
      <c r="Q911" s="75"/>
      <c r="R911" s="75"/>
      <c r="S911" s="75"/>
      <c r="T911" s="75"/>
    </row>
    <row r="912" spans="3:20">
      <c r="C912" s="75"/>
      <c r="D912" s="75"/>
      <c r="E912" s="75"/>
      <c r="F912" s="75"/>
      <c r="G912" s="75"/>
      <c r="H912" s="75"/>
      <c r="I912" s="75"/>
      <c r="J912" s="75"/>
      <c r="K912" s="75"/>
      <c r="L912" s="75"/>
      <c r="M912" s="75"/>
      <c r="N912" s="75"/>
      <c r="O912" s="75"/>
      <c r="P912" s="75"/>
      <c r="Q912" s="75"/>
      <c r="R912" s="75"/>
      <c r="S912" s="75"/>
      <c r="T912" s="75"/>
    </row>
    <row r="913" spans="2:20" ht="7.5" customHeight="1">
      <c r="C913" s="75"/>
      <c r="D913" s="75"/>
      <c r="E913" s="75"/>
      <c r="F913" s="75"/>
      <c r="G913" s="75"/>
      <c r="H913" s="75"/>
      <c r="I913" s="75"/>
      <c r="J913" s="75"/>
      <c r="K913" s="75"/>
      <c r="L913" s="75"/>
      <c r="M913" s="75"/>
      <c r="N913" s="75"/>
      <c r="O913" s="75"/>
      <c r="P913" s="75"/>
      <c r="Q913" s="75"/>
      <c r="R913" s="75"/>
      <c r="S913" s="75"/>
      <c r="T913" s="75"/>
    </row>
    <row r="914" spans="2:20">
      <c r="C914" s="75"/>
      <c r="D914" s="75"/>
      <c r="E914" s="75"/>
      <c r="F914" s="75"/>
      <c r="G914" s="75"/>
      <c r="H914" s="75"/>
      <c r="I914" s="75"/>
      <c r="J914" s="75"/>
      <c r="K914" s="75"/>
      <c r="L914" s="75"/>
      <c r="M914" s="75"/>
      <c r="N914" s="75"/>
      <c r="O914" s="75"/>
      <c r="P914" s="75"/>
      <c r="Q914" s="75"/>
      <c r="R914" s="75"/>
      <c r="S914" s="75"/>
      <c r="T914" s="75"/>
    </row>
    <row r="915" spans="2:20">
      <c r="C915" s="75"/>
      <c r="D915" s="75"/>
      <c r="E915" s="75"/>
      <c r="F915" s="75"/>
      <c r="G915" s="75"/>
      <c r="H915" s="75"/>
      <c r="I915" s="75"/>
      <c r="J915" s="75"/>
      <c r="K915" s="75"/>
      <c r="L915" s="75"/>
      <c r="M915" s="75"/>
      <c r="N915" s="75"/>
      <c r="O915" s="75"/>
      <c r="P915" s="75"/>
      <c r="Q915" s="75"/>
      <c r="R915" s="75"/>
      <c r="S915" s="75"/>
      <c r="T915" s="75"/>
    </row>
    <row r="916" spans="2:20">
      <c r="C916" s="75"/>
      <c r="D916" s="75"/>
      <c r="E916" s="75"/>
      <c r="F916" s="75"/>
      <c r="G916" s="75"/>
      <c r="H916" s="75"/>
      <c r="I916" s="230">
        <f>1+I876</f>
        <v>21</v>
      </c>
      <c r="J916" s="75"/>
      <c r="K916" s="75"/>
      <c r="L916" s="75"/>
      <c r="M916" s="75"/>
      <c r="N916" s="75"/>
      <c r="O916" s="75"/>
      <c r="P916" s="75"/>
      <c r="Q916" s="75"/>
      <c r="R916" s="75"/>
      <c r="S916" s="75"/>
      <c r="T916" s="75"/>
    </row>
    <row r="917" spans="2:20">
      <c r="C917" s="75"/>
      <c r="D917" s="75"/>
      <c r="E917" s="75"/>
      <c r="F917" s="75"/>
      <c r="G917" s="75"/>
      <c r="H917" s="75"/>
      <c r="I917" s="75"/>
      <c r="J917" s="75"/>
      <c r="K917" s="75"/>
      <c r="L917" s="75"/>
      <c r="M917" s="75"/>
      <c r="N917" s="75"/>
      <c r="O917" s="75"/>
      <c r="P917" s="75"/>
      <c r="Q917" s="75"/>
      <c r="R917" s="75"/>
      <c r="S917" s="75"/>
      <c r="T917" s="75"/>
    </row>
    <row r="918" spans="2:20" s="231" customFormat="1" ht="9.75" customHeight="1">
      <c r="C918" s="56"/>
      <c r="D918" s="56"/>
      <c r="E918" s="56"/>
      <c r="F918" s="56"/>
      <c r="G918" s="56"/>
      <c r="H918" s="56"/>
      <c r="I918" s="56"/>
      <c r="J918" s="56"/>
      <c r="K918" s="56"/>
      <c r="L918" s="56"/>
      <c r="M918" s="56"/>
      <c r="N918" s="56"/>
      <c r="O918" s="56"/>
      <c r="P918" s="56"/>
      <c r="Q918" s="56"/>
      <c r="R918" s="56"/>
      <c r="S918" s="56"/>
      <c r="T918" s="56"/>
    </row>
    <row r="919" spans="2:20" s="231" customFormat="1" ht="23.4">
      <c r="C919" s="200" t="s">
        <v>263</v>
      </c>
      <c r="D919" s="202" t="s">
        <v>296</v>
      </c>
      <c r="E919" s="202"/>
      <c r="F919" s="202"/>
      <c r="G919" s="202"/>
      <c r="H919" s="202"/>
      <c r="I919" s="200"/>
      <c r="J919" s="200"/>
      <c r="K919" s="200"/>
      <c r="L919" s="200"/>
      <c r="M919" s="200"/>
      <c r="N919" s="200"/>
      <c r="O919" s="200"/>
      <c r="P919" s="200"/>
      <c r="Q919" s="200"/>
      <c r="R919" s="200"/>
      <c r="S919" s="200"/>
      <c r="T919" s="200"/>
    </row>
    <row r="920" spans="2:20" s="231" customFormat="1" ht="5.4" customHeight="1"/>
    <row r="921" spans="2:20" s="231" customFormat="1" ht="5.4" customHeight="1">
      <c r="B921" s="203"/>
      <c r="C921" s="203"/>
      <c r="D921" s="203"/>
      <c r="E921" s="203"/>
      <c r="F921" s="203"/>
      <c r="G921" s="203"/>
      <c r="H921" s="203"/>
    </row>
    <row r="922" spans="2:20" s="231" customFormat="1" ht="17.25" customHeight="1">
      <c r="D922" s="934"/>
      <c r="E922" s="934"/>
      <c r="F922" s="934"/>
      <c r="G922" s="934"/>
      <c r="H922" s="934"/>
      <c r="I922" s="934"/>
      <c r="J922" s="934"/>
      <c r="K922" s="934"/>
      <c r="L922" s="934"/>
      <c r="M922" s="934"/>
      <c r="N922" s="934"/>
    </row>
    <row r="923" spans="2:20" s="231" customFormat="1">
      <c r="C923" s="75"/>
      <c r="O923" s="75"/>
      <c r="P923" s="75"/>
      <c r="Q923" s="75"/>
      <c r="R923" s="75"/>
      <c r="S923" s="75"/>
      <c r="T923" s="75"/>
    </row>
    <row r="924" spans="2:20" s="231" customFormat="1" ht="20.25" customHeight="1">
      <c r="C924" s="75"/>
      <c r="I924" s="75"/>
      <c r="J924" s="75"/>
      <c r="K924" s="75"/>
      <c r="L924" s="75"/>
      <c r="M924" s="75"/>
      <c r="N924" s="75"/>
      <c r="O924" s="75"/>
      <c r="P924" s="75"/>
      <c r="Q924" s="75"/>
      <c r="R924" s="75"/>
      <c r="S924" s="75"/>
      <c r="T924" s="75"/>
    </row>
    <row r="925" spans="2:20" s="231" customFormat="1">
      <c r="C925" s="75"/>
      <c r="I925" s="75"/>
      <c r="J925" s="75"/>
      <c r="K925" s="75"/>
      <c r="L925" s="75"/>
      <c r="M925" s="75"/>
      <c r="N925" s="75"/>
      <c r="O925" s="75"/>
      <c r="P925" s="75"/>
      <c r="Q925" s="75"/>
      <c r="R925" s="75"/>
      <c r="S925" s="75"/>
      <c r="T925" s="75"/>
    </row>
    <row r="926" spans="2:20" s="231" customFormat="1">
      <c r="C926" s="75"/>
      <c r="I926" s="75"/>
      <c r="J926" s="75"/>
      <c r="K926" s="75"/>
      <c r="L926" s="75"/>
      <c r="M926" s="75"/>
      <c r="N926" s="75"/>
      <c r="O926" s="75"/>
      <c r="P926" s="75"/>
      <c r="Q926" s="75"/>
      <c r="R926" s="75"/>
      <c r="S926" s="75"/>
      <c r="T926" s="75"/>
    </row>
    <row r="927" spans="2:20" s="231" customFormat="1">
      <c r="C927" s="75"/>
      <c r="I927" s="75"/>
      <c r="J927" s="75"/>
      <c r="K927" s="75"/>
      <c r="L927" s="75"/>
      <c r="M927" s="75"/>
      <c r="N927" s="75"/>
      <c r="O927" s="75"/>
      <c r="P927" s="75"/>
      <c r="Q927" s="75"/>
      <c r="R927" s="75"/>
      <c r="S927" s="75"/>
      <c r="T927" s="75"/>
    </row>
    <row r="928" spans="2:20" s="231" customFormat="1">
      <c r="C928" s="75"/>
      <c r="I928" s="75"/>
      <c r="J928" s="75"/>
      <c r="K928" s="75"/>
      <c r="L928" s="75"/>
      <c r="M928" s="75"/>
      <c r="N928" s="75"/>
      <c r="O928" s="75"/>
      <c r="P928" s="75"/>
      <c r="Q928" s="75"/>
      <c r="R928" s="75"/>
      <c r="S928" s="75"/>
      <c r="T928" s="75"/>
    </row>
    <row r="929" spans="3:20" s="231" customFormat="1">
      <c r="C929" s="75"/>
      <c r="I929" s="75"/>
      <c r="J929" s="75"/>
      <c r="K929" s="75"/>
      <c r="L929" s="75"/>
      <c r="M929" s="75"/>
      <c r="N929" s="75"/>
      <c r="O929" s="75"/>
      <c r="P929" s="75"/>
      <c r="Q929" s="75"/>
      <c r="R929" s="75"/>
      <c r="S929" s="75"/>
      <c r="T929" s="75"/>
    </row>
    <row r="930" spans="3:20" s="231" customFormat="1">
      <c r="C930" s="75"/>
      <c r="I930" s="75"/>
      <c r="J930" s="75"/>
      <c r="K930" s="75"/>
      <c r="L930" s="75"/>
      <c r="M930" s="75"/>
      <c r="N930" s="75"/>
      <c r="O930" s="75"/>
      <c r="P930" s="75"/>
      <c r="Q930" s="75"/>
      <c r="R930" s="75"/>
      <c r="S930" s="75"/>
      <c r="T930" s="75"/>
    </row>
    <row r="931" spans="3:20" s="231" customFormat="1">
      <c r="C931" s="75"/>
      <c r="I931" s="75"/>
      <c r="J931" s="75"/>
      <c r="K931" s="75"/>
      <c r="L931" s="75"/>
      <c r="M931" s="75"/>
      <c r="N931" s="75"/>
      <c r="O931" s="75"/>
      <c r="P931" s="75"/>
      <c r="Q931" s="75"/>
      <c r="R931" s="75"/>
      <c r="S931" s="75"/>
      <c r="T931" s="75"/>
    </row>
    <row r="932" spans="3:20" s="231" customFormat="1">
      <c r="C932" s="75"/>
      <c r="I932" s="75"/>
      <c r="J932" s="75"/>
      <c r="K932" s="75"/>
      <c r="L932" s="75"/>
      <c r="M932" s="75"/>
      <c r="N932" s="75"/>
      <c r="O932" s="75"/>
      <c r="P932" s="75"/>
      <c r="Q932" s="75"/>
      <c r="R932" s="75"/>
      <c r="S932" s="75"/>
      <c r="T932" s="75"/>
    </row>
    <row r="933" spans="3:20" s="231" customFormat="1">
      <c r="C933" s="75"/>
      <c r="I933" s="75"/>
      <c r="J933" s="75"/>
      <c r="K933" s="75"/>
      <c r="L933" s="75"/>
      <c r="M933" s="75"/>
      <c r="N933" s="75"/>
      <c r="O933" s="75"/>
      <c r="P933" s="75"/>
      <c r="Q933" s="75"/>
      <c r="R933" s="75"/>
      <c r="S933" s="75"/>
      <c r="T933" s="75"/>
    </row>
    <row r="934" spans="3:20" s="231" customFormat="1">
      <c r="C934" s="75"/>
      <c r="I934" s="75"/>
      <c r="J934" s="75"/>
      <c r="K934" s="75"/>
      <c r="L934" s="75"/>
      <c r="M934" s="75"/>
      <c r="N934" s="75"/>
      <c r="O934" s="75"/>
      <c r="P934" s="75"/>
      <c r="Q934" s="75"/>
      <c r="R934" s="75"/>
      <c r="S934" s="75"/>
      <c r="T934" s="75"/>
    </row>
    <row r="935" spans="3:20" s="231" customFormat="1">
      <c r="C935" s="75"/>
      <c r="D935" s="75"/>
      <c r="E935" s="75"/>
      <c r="F935" s="75"/>
      <c r="G935" s="75"/>
      <c r="H935" s="75"/>
      <c r="I935" s="75"/>
      <c r="J935" s="75"/>
      <c r="K935" s="75"/>
      <c r="L935" s="75"/>
      <c r="M935" s="75"/>
      <c r="N935" s="75"/>
      <c r="O935" s="75"/>
      <c r="P935" s="75"/>
      <c r="Q935" s="75"/>
      <c r="R935" s="75"/>
      <c r="S935" s="75"/>
      <c r="T935" s="75"/>
    </row>
    <row r="936" spans="3:20" s="231" customFormat="1">
      <c r="C936" s="75"/>
      <c r="D936" s="75"/>
      <c r="E936" s="75"/>
      <c r="F936" s="75"/>
      <c r="G936" s="75"/>
      <c r="H936" s="75"/>
      <c r="I936" s="75"/>
      <c r="J936" s="75"/>
      <c r="K936" s="75"/>
      <c r="L936" s="75"/>
      <c r="M936" s="75"/>
      <c r="N936" s="75"/>
      <c r="O936" s="75"/>
      <c r="P936" s="75"/>
      <c r="Q936" s="75"/>
      <c r="R936" s="75"/>
      <c r="S936" s="75"/>
      <c r="T936" s="75"/>
    </row>
    <row r="937" spans="3:20" s="231" customFormat="1">
      <c r="C937" s="75"/>
      <c r="D937" s="75"/>
      <c r="E937" s="75"/>
      <c r="F937" s="75"/>
      <c r="G937" s="75"/>
      <c r="H937" s="75"/>
      <c r="I937" s="75"/>
      <c r="J937" s="75"/>
      <c r="K937" s="75"/>
      <c r="L937" s="75"/>
      <c r="M937" s="75"/>
      <c r="N937" s="75"/>
      <c r="O937" s="75"/>
      <c r="P937" s="75"/>
      <c r="Q937" s="75"/>
      <c r="R937" s="75"/>
      <c r="S937" s="75"/>
      <c r="T937" s="75"/>
    </row>
    <row r="938" spans="3:20" s="231" customFormat="1">
      <c r="C938" s="75"/>
      <c r="D938" s="75"/>
      <c r="E938" s="75"/>
      <c r="F938" s="75"/>
      <c r="G938" s="75"/>
      <c r="H938" s="75"/>
      <c r="I938" s="204"/>
      <c r="J938" s="205"/>
      <c r="K938" s="75"/>
      <c r="L938" s="204"/>
      <c r="M938" s="75"/>
      <c r="N938" s="75"/>
      <c r="O938" s="75"/>
      <c r="P938" s="75"/>
      <c r="Q938" s="75"/>
      <c r="R938" s="75"/>
      <c r="S938" s="75"/>
      <c r="T938" s="75"/>
    </row>
    <row r="939" spans="3:20" s="231" customFormat="1">
      <c r="C939" s="75"/>
      <c r="D939" s="75"/>
      <c r="E939" s="75"/>
      <c r="F939" s="75"/>
      <c r="G939" s="75"/>
      <c r="H939" s="75"/>
      <c r="I939" s="204"/>
      <c r="J939" s="205"/>
      <c r="K939" s="75"/>
      <c r="L939" s="204"/>
      <c r="M939" s="75"/>
      <c r="N939" s="75"/>
      <c r="O939" s="75"/>
      <c r="P939" s="75"/>
      <c r="Q939" s="75"/>
      <c r="R939" s="75"/>
      <c r="S939" s="75"/>
      <c r="T939" s="75"/>
    </row>
    <row r="940" spans="3:20" s="231" customFormat="1">
      <c r="C940" s="75"/>
      <c r="D940" s="75"/>
      <c r="E940" s="75"/>
      <c r="F940" s="75"/>
      <c r="G940" s="75"/>
      <c r="H940" s="75"/>
      <c r="J940" s="205"/>
      <c r="K940" s="75"/>
      <c r="L940" s="204"/>
      <c r="M940" s="75"/>
      <c r="N940" s="75"/>
      <c r="O940" s="75"/>
      <c r="P940" s="75"/>
      <c r="Q940" s="75"/>
      <c r="R940" s="75"/>
      <c r="S940" s="75"/>
      <c r="T940" s="75"/>
    </row>
    <row r="941" spans="3:20" s="231" customFormat="1">
      <c r="C941" s="75"/>
      <c r="D941" s="75"/>
      <c r="E941" s="75"/>
      <c r="F941" s="75"/>
      <c r="G941" s="75"/>
      <c r="H941" s="75"/>
      <c r="I941" s="206"/>
      <c r="J941" s="205"/>
      <c r="K941" s="75"/>
      <c r="L941" s="204"/>
      <c r="M941" s="75"/>
      <c r="N941" s="75"/>
      <c r="O941" s="206"/>
      <c r="P941" s="75"/>
      <c r="Q941" s="75"/>
      <c r="R941" s="75"/>
      <c r="S941" s="75"/>
      <c r="T941" s="75"/>
    </row>
    <row r="942" spans="3:20" s="231" customFormat="1">
      <c r="C942" s="75"/>
      <c r="D942" s="75"/>
      <c r="E942" s="75"/>
      <c r="F942" s="75"/>
      <c r="G942" s="75"/>
      <c r="H942" s="75"/>
      <c r="I942" s="204"/>
      <c r="J942" s="205"/>
      <c r="K942" s="75"/>
      <c r="L942" s="204"/>
      <c r="M942" s="75"/>
      <c r="N942" s="75"/>
      <c r="O942" s="75"/>
      <c r="P942" s="75"/>
      <c r="Q942" s="75"/>
      <c r="R942" s="75"/>
      <c r="S942" s="75"/>
      <c r="T942" s="75"/>
    </row>
    <row r="943" spans="3:20" s="231" customFormat="1">
      <c r="C943" s="75"/>
      <c r="D943" s="75"/>
      <c r="E943" s="75"/>
      <c r="F943" s="75"/>
      <c r="G943" s="75"/>
      <c r="H943" s="75"/>
      <c r="I943" s="204"/>
      <c r="J943" s="205"/>
      <c r="K943" s="75"/>
      <c r="L943" s="204"/>
      <c r="M943" s="75"/>
      <c r="N943" s="75"/>
      <c r="O943" s="75"/>
      <c r="P943" s="75"/>
      <c r="Q943" s="75"/>
      <c r="R943" s="75"/>
      <c r="S943" s="75"/>
      <c r="T943" s="75"/>
    </row>
    <row r="944" spans="3:20" s="231" customFormat="1">
      <c r="C944" s="75"/>
      <c r="D944" s="75"/>
      <c r="E944" s="75"/>
      <c r="F944" s="75"/>
      <c r="G944" s="75"/>
      <c r="H944" s="75"/>
      <c r="I944" s="204"/>
      <c r="J944" s="205"/>
      <c r="K944" s="75"/>
      <c r="L944" s="204"/>
      <c r="M944" s="75"/>
      <c r="N944" s="75"/>
      <c r="O944" s="75"/>
      <c r="P944" s="75"/>
      <c r="Q944" s="75"/>
      <c r="R944" s="75"/>
      <c r="S944" s="75"/>
      <c r="T944" s="75"/>
    </row>
    <row r="945" spans="3:20" s="231" customFormat="1">
      <c r="C945" s="75"/>
      <c r="D945" s="75"/>
      <c r="E945" s="75"/>
      <c r="F945" s="75"/>
      <c r="G945" s="75"/>
      <c r="H945" s="75"/>
      <c r="I945" s="204"/>
      <c r="J945" s="205"/>
      <c r="K945" s="75"/>
      <c r="L945" s="204"/>
      <c r="M945" s="75"/>
      <c r="N945" s="75"/>
      <c r="O945" s="75"/>
      <c r="P945" s="75"/>
      <c r="Q945" s="75"/>
      <c r="R945" s="75"/>
      <c r="S945" s="75"/>
      <c r="T945" s="75"/>
    </row>
    <row r="946" spans="3:20" s="231" customFormat="1">
      <c r="C946" s="75"/>
      <c r="D946" s="75"/>
      <c r="E946" s="75"/>
      <c r="F946" s="75"/>
      <c r="G946" s="75"/>
      <c r="H946" s="75"/>
      <c r="I946" s="75"/>
      <c r="J946" s="75"/>
      <c r="K946" s="75"/>
      <c r="L946" s="75"/>
      <c r="M946" s="75"/>
      <c r="N946" s="75"/>
      <c r="O946" s="75"/>
      <c r="P946" s="75"/>
      <c r="Q946" s="75"/>
      <c r="R946" s="75"/>
      <c r="S946" s="75"/>
      <c r="T946" s="75"/>
    </row>
    <row r="947" spans="3:20" s="231" customFormat="1">
      <c r="C947" s="75"/>
      <c r="D947" s="75"/>
      <c r="E947" s="75"/>
      <c r="F947" s="75"/>
      <c r="G947" s="75"/>
      <c r="H947" s="75"/>
      <c r="I947" s="75"/>
      <c r="J947" s="75"/>
      <c r="K947" s="75"/>
      <c r="L947" s="75"/>
      <c r="M947" s="75"/>
      <c r="N947" s="75"/>
      <c r="O947" s="75"/>
      <c r="P947" s="75"/>
      <c r="Q947" s="75"/>
      <c r="R947" s="75"/>
      <c r="S947" s="75"/>
      <c r="T947" s="75"/>
    </row>
    <row r="948" spans="3:20" s="231" customFormat="1">
      <c r="C948" s="75"/>
      <c r="D948" s="75"/>
      <c r="E948" s="75"/>
      <c r="F948" s="75"/>
      <c r="G948" s="75"/>
      <c r="H948" s="75"/>
      <c r="I948" s="75"/>
      <c r="J948" s="75"/>
      <c r="K948" s="75"/>
      <c r="L948" s="75"/>
      <c r="M948" s="75"/>
      <c r="N948" s="75"/>
      <c r="O948" s="75"/>
      <c r="P948" s="75"/>
      <c r="Q948" s="75"/>
      <c r="R948" s="75"/>
      <c r="S948" s="75"/>
      <c r="T948" s="75"/>
    </row>
    <row r="949" spans="3:20" s="231" customFormat="1">
      <c r="C949" s="75"/>
      <c r="D949" s="75"/>
      <c r="E949" s="75"/>
      <c r="F949" s="75"/>
      <c r="G949" s="75"/>
      <c r="H949" s="75"/>
      <c r="I949" s="75"/>
      <c r="J949" s="75"/>
      <c r="K949" s="75"/>
      <c r="L949" s="75"/>
      <c r="M949" s="75"/>
      <c r="N949" s="75"/>
      <c r="O949" s="75"/>
      <c r="P949" s="75"/>
      <c r="Q949" s="75"/>
      <c r="R949" s="75"/>
      <c r="S949" s="75"/>
      <c r="T949" s="75"/>
    </row>
    <row r="950" spans="3:20" s="231" customFormat="1">
      <c r="C950" s="75"/>
      <c r="D950" s="75"/>
      <c r="E950" s="75"/>
      <c r="F950" s="75"/>
      <c r="G950" s="75"/>
      <c r="H950" s="75"/>
      <c r="I950" s="75"/>
      <c r="J950" s="75"/>
      <c r="K950" s="75"/>
      <c r="L950" s="75"/>
      <c r="M950" s="75"/>
      <c r="N950" s="75"/>
      <c r="O950" s="75"/>
      <c r="P950" s="75"/>
      <c r="Q950" s="75"/>
      <c r="R950" s="75"/>
      <c r="S950" s="75"/>
      <c r="T950" s="75"/>
    </row>
    <row r="951" spans="3:20" s="231" customFormat="1">
      <c r="C951" s="75"/>
      <c r="D951" s="75"/>
      <c r="E951" s="75"/>
      <c r="F951" s="75"/>
      <c r="G951" s="75"/>
      <c r="H951" s="75"/>
      <c r="I951" s="75"/>
      <c r="J951" s="75"/>
      <c r="K951" s="75"/>
      <c r="L951" s="75"/>
      <c r="M951" s="75"/>
      <c r="N951" s="75"/>
      <c r="O951" s="75"/>
      <c r="P951" s="75"/>
      <c r="Q951" s="75"/>
      <c r="R951" s="75"/>
      <c r="S951" s="75"/>
      <c r="T951" s="75"/>
    </row>
    <row r="952" spans="3:20" s="231" customFormat="1">
      <c r="C952" s="75"/>
      <c r="D952" s="75"/>
      <c r="E952" s="75"/>
      <c r="F952" s="75"/>
      <c r="G952" s="75"/>
      <c r="H952" s="75"/>
      <c r="I952" s="75"/>
      <c r="J952" s="75"/>
      <c r="K952" s="75"/>
      <c r="L952" s="75"/>
      <c r="M952" s="75"/>
      <c r="N952" s="75"/>
      <c r="O952" s="75"/>
      <c r="P952" s="75"/>
      <c r="Q952" s="75"/>
      <c r="R952" s="75"/>
      <c r="S952" s="75"/>
      <c r="T952" s="75"/>
    </row>
    <row r="953" spans="3:20" s="231" customFormat="1" ht="7.5" customHeight="1">
      <c r="C953" s="75"/>
      <c r="D953" s="75"/>
      <c r="E953" s="75"/>
      <c r="F953" s="75"/>
      <c r="G953" s="75"/>
      <c r="H953" s="75"/>
      <c r="I953" s="75"/>
      <c r="J953" s="75"/>
      <c r="K953" s="75"/>
      <c r="L953" s="75"/>
      <c r="M953" s="75"/>
      <c r="N953" s="75"/>
      <c r="O953" s="75"/>
      <c r="P953" s="75"/>
      <c r="Q953" s="75"/>
      <c r="R953" s="75"/>
      <c r="S953" s="75"/>
      <c r="T953" s="75"/>
    </row>
    <row r="954" spans="3:20" s="231" customFormat="1">
      <c r="C954" s="75"/>
      <c r="D954" s="75"/>
      <c r="E954" s="75"/>
      <c r="F954" s="75"/>
      <c r="G954" s="75"/>
      <c r="H954" s="75"/>
      <c r="I954" s="75"/>
      <c r="J954" s="75"/>
      <c r="K954" s="75"/>
      <c r="L954" s="75"/>
      <c r="M954" s="75"/>
      <c r="N954" s="75"/>
      <c r="O954" s="75"/>
      <c r="P954" s="75"/>
      <c r="Q954" s="75"/>
      <c r="R954" s="75"/>
      <c r="S954" s="75"/>
      <c r="T954" s="75"/>
    </row>
    <row r="955" spans="3:20" s="231" customFormat="1">
      <c r="C955" s="75"/>
      <c r="D955" s="75"/>
      <c r="E955" s="75"/>
      <c r="F955" s="75"/>
      <c r="G955" s="75"/>
      <c r="H955" s="75"/>
      <c r="I955" s="75"/>
      <c r="J955" s="75"/>
      <c r="K955" s="75"/>
      <c r="L955" s="75"/>
      <c r="M955" s="75"/>
      <c r="N955" s="75"/>
      <c r="O955" s="75"/>
      <c r="P955" s="75"/>
      <c r="Q955" s="75"/>
      <c r="R955" s="75"/>
      <c r="S955" s="75"/>
      <c r="T955" s="75"/>
    </row>
    <row r="956" spans="3:20" s="231" customFormat="1">
      <c r="C956" s="75"/>
      <c r="D956" s="75"/>
      <c r="E956" s="75"/>
      <c r="F956" s="75"/>
      <c r="G956" s="75"/>
      <c r="H956" s="75"/>
      <c r="I956" s="230">
        <f>1+I916</f>
        <v>22</v>
      </c>
      <c r="J956" s="75"/>
      <c r="K956" s="75"/>
      <c r="L956" s="75"/>
      <c r="M956" s="75"/>
      <c r="N956" s="75"/>
      <c r="O956" s="75"/>
      <c r="P956" s="75"/>
      <c r="Q956" s="75"/>
      <c r="R956" s="75"/>
      <c r="S956" s="75"/>
      <c r="T956" s="75"/>
    </row>
    <row r="957" spans="3:20" s="231" customFormat="1">
      <c r="C957" s="75"/>
      <c r="D957" s="75"/>
      <c r="E957" s="75"/>
      <c r="F957" s="75"/>
      <c r="G957" s="75"/>
      <c r="H957" s="75"/>
      <c r="I957" s="75"/>
      <c r="J957" s="75"/>
      <c r="K957" s="75"/>
      <c r="L957" s="75"/>
      <c r="M957" s="75"/>
      <c r="N957" s="75"/>
      <c r="O957" s="75"/>
      <c r="P957" s="75"/>
      <c r="Q957" s="75"/>
      <c r="R957" s="75"/>
      <c r="S957" s="75"/>
      <c r="T957" s="75"/>
    </row>
    <row r="958" spans="3:20" ht="9.75" customHeight="1">
      <c r="C958" s="56"/>
      <c r="D958" s="56"/>
      <c r="E958" s="56"/>
      <c r="F958" s="56"/>
      <c r="G958" s="56"/>
      <c r="H958" s="56"/>
      <c r="I958" s="56"/>
      <c r="J958" s="56"/>
      <c r="K958" s="56"/>
      <c r="L958" s="56"/>
      <c r="M958" s="56"/>
      <c r="N958" s="56"/>
      <c r="O958" s="56"/>
      <c r="P958" s="56"/>
      <c r="Q958" s="56"/>
      <c r="R958" s="56"/>
      <c r="S958" s="56"/>
      <c r="T958" s="56"/>
    </row>
    <row r="959" spans="3:20" ht="23.4">
      <c r="C959" s="200" t="s">
        <v>263</v>
      </c>
      <c r="D959" s="202" t="s">
        <v>297</v>
      </c>
      <c r="E959" s="202"/>
      <c r="F959" s="202"/>
      <c r="G959" s="202"/>
      <c r="H959" s="202"/>
      <c r="I959" s="200"/>
      <c r="J959" s="200"/>
      <c r="K959" s="200"/>
      <c r="L959" s="200"/>
      <c r="M959" s="200"/>
      <c r="N959" s="200"/>
      <c r="O959" s="200"/>
      <c r="P959" s="200"/>
      <c r="Q959" s="200"/>
      <c r="R959" s="200"/>
      <c r="S959" s="200"/>
      <c r="T959" s="200"/>
    </row>
    <row r="960" spans="3:20" ht="5.4" customHeight="1"/>
    <row r="961" spans="2:20" ht="5.4" customHeight="1">
      <c r="B961" s="203"/>
      <c r="C961" s="203"/>
      <c r="D961" s="203"/>
      <c r="E961" s="203"/>
      <c r="F961" s="203"/>
      <c r="G961" s="203"/>
      <c r="H961" s="203"/>
    </row>
    <row r="962" spans="2:20" ht="17.25" customHeight="1">
      <c r="D962" s="934"/>
      <c r="E962" s="934"/>
      <c r="F962" s="934"/>
      <c r="G962" s="934"/>
      <c r="H962" s="934"/>
      <c r="I962" s="934"/>
      <c r="J962" s="934"/>
      <c r="K962" s="934"/>
      <c r="L962" s="934"/>
      <c r="M962" s="934"/>
      <c r="N962" s="934"/>
    </row>
    <row r="963" spans="2:20">
      <c r="C963" s="75"/>
      <c r="O963" s="75"/>
      <c r="P963" s="75"/>
      <c r="Q963" s="75"/>
      <c r="R963" s="75"/>
      <c r="S963" s="75"/>
      <c r="T963" s="75"/>
    </row>
    <row r="964" spans="2:20" ht="20.25" customHeight="1">
      <c r="C964" s="75"/>
      <c r="I964" s="75"/>
      <c r="J964" s="75"/>
      <c r="K964" s="75"/>
      <c r="L964" s="75"/>
      <c r="M964" s="75"/>
      <c r="N964" s="75"/>
      <c r="O964" s="75"/>
      <c r="P964" s="75"/>
      <c r="Q964" s="75"/>
      <c r="R964" s="75"/>
      <c r="S964" s="75"/>
      <c r="T964" s="75"/>
    </row>
    <row r="965" spans="2:20">
      <c r="C965" s="75"/>
      <c r="I965" s="75"/>
      <c r="J965" s="75"/>
      <c r="K965" s="75"/>
      <c r="L965" s="75"/>
      <c r="M965" s="75"/>
      <c r="N965" s="75"/>
      <c r="O965" s="75"/>
      <c r="P965" s="75"/>
      <c r="Q965" s="75"/>
      <c r="R965" s="75"/>
      <c r="S965" s="75"/>
      <c r="T965" s="75"/>
    </row>
    <row r="966" spans="2:20">
      <c r="C966" s="75"/>
      <c r="I966" s="75"/>
      <c r="J966" s="75"/>
      <c r="K966" s="75"/>
      <c r="L966" s="75"/>
      <c r="M966" s="75"/>
      <c r="N966" s="75"/>
      <c r="O966" s="75"/>
      <c r="P966" s="75"/>
      <c r="Q966" s="75"/>
      <c r="R966" s="75"/>
      <c r="S966" s="75"/>
      <c r="T966" s="75"/>
    </row>
    <row r="967" spans="2:20">
      <c r="C967" s="75"/>
      <c r="I967" s="75"/>
      <c r="J967" s="75"/>
      <c r="K967" s="75"/>
      <c r="L967" s="75"/>
      <c r="M967" s="75"/>
      <c r="N967" s="75"/>
      <c r="O967" s="75"/>
      <c r="P967" s="75"/>
      <c r="Q967" s="75"/>
      <c r="R967" s="75"/>
      <c r="S967" s="75"/>
      <c r="T967" s="75"/>
    </row>
    <row r="968" spans="2:20">
      <c r="C968" s="75"/>
      <c r="I968" s="75"/>
      <c r="J968" s="75"/>
      <c r="K968" s="75"/>
      <c r="L968" s="75"/>
      <c r="M968" s="75"/>
      <c r="N968" s="75"/>
      <c r="O968" s="75"/>
      <c r="P968" s="75"/>
      <c r="Q968" s="75"/>
      <c r="R968" s="75"/>
      <c r="S968" s="75"/>
      <c r="T968" s="75"/>
    </row>
    <row r="969" spans="2:20">
      <c r="C969" s="75"/>
      <c r="I969" s="75"/>
      <c r="J969" s="75"/>
      <c r="K969" s="75"/>
      <c r="L969" s="75"/>
      <c r="M969" s="75"/>
      <c r="N969" s="75"/>
      <c r="O969" s="75"/>
      <c r="P969" s="75"/>
      <c r="Q969" s="75"/>
      <c r="R969" s="75"/>
      <c r="S969" s="75"/>
      <c r="T969" s="75"/>
    </row>
    <row r="970" spans="2:20">
      <c r="C970" s="75"/>
      <c r="I970" s="75"/>
      <c r="J970" s="75"/>
      <c r="K970" s="75"/>
      <c r="L970" s="75"/>
      <c r="M970" s="75"/>
      <c r="N970" s="75"/>
      <c r="O970" s="75"/>
      <c r="P970" s="75"/>
      <c r="Q970" s="75"/>
      <c r="R970" s="75"/>
      <c r="S970" s="75"/>
      <c r="T970" s="75"/>
    </row>
    <row r="971" spans="2:20">
      <c r="C971" s="75"/>
      <c r="I971" s="75"/>
      <c r="J971" s="75"/>
      <c r="K971" s="75"/>
      <c r="L971" s="75"/>
      <c r="M971" s="75"/>
      <c r="N971" s="75"/>
      <c r="O971" s="75"/>
      <c r="P971" s="75"/>
      <c r="Q971" s="75"/>
      <c r="R971" s="75"/>
      <c r="S971" s="75"/>
      <c r="T971" s="75"/>
    </row>
    <row r="972" spans="2:20">
      <c r="C972" s="75"/>
      <c r="I972" s="75"/>
      <c r="J972" s="75"/>
      <c r="K972" s="75"/>
      <c r="L972" s="75"/>
      <c r="M972" s="75"/>
      <c r="N972" s="75"/>
      <c r="O972" s="75"/>
      <c r="P972" s="75"/>
      <c r="Q972" s="75"/>
      <c r="R972" s="75"/>
      <c r="S972" s="75"/>
      <c r="T972" s="75"/>
    </row>
    <row r="973" spans="2:20">
      <c r="C973" s="75"/>
      <c r="I973" s="75"/>
      <c r="J973" s="75"/>
      <c r="K973" s="75"/>
      <c r="L973" s="75"/>
      <c r="M973" s="75"/>
      <c r="N973" s="75"/>
      <c r="O973" s="75"/>
      <c r="P973" s="75"/>
      <c r="Q973" s="75"/>
      <c r="R973" s="75"/>
      <c r="S973" s="75"/>
      <c r="T973" s="75"/>
    </row>
    <row r="974" spans="2:20">
      <c r="C974" s="75"/>
      <c r="I974" s="75"/>
      <c r="J974" s="75"/>
      <c r="K974" s="75"/>
      <c r="L974" s="75"/>
      <c r="M974" s="75"/>
      <c r="N974" s="75"/>
      <c r="O974" s="75"/>
      <c r="P974" s="75"/>
      <c r="Q974" s="75"/>
      <c r="R974" s="75"/>
      <c r="S974" s="75"/>
      <c r="T974" s="75"/>
    </row>
    <row r="975" spans="2:20">
      <c r="C975" s="75"/>
      <c r="D975" s="75"/>
      <c r="E975" s="75"/>
      <c r="F975" s="75"/>
      <c r="G975" s="75"/>
      <c r="H975" s="75"/>
      <c r="I975" s="75"/>
      <c r="J975" s="75"/>
      <c r="K975" s="75"/>
      <c r="L975" s="75"/>
      <c r="M975" s="75"/>
      <c r="N975" s="75"/>
      <c r="O975" s="75"/>
      <c r="P975" s="75"/>
      <c r="Q975" s="75"/>
      <c r="R975" s="75"/>
      <c r="S975" s="75"/>
      <c r="T975" s="75"/>
    </row>
    <row r="976" spans="2:20">
      <c r="C976" s="75"/>
      <c r="D976" s="75"/>
      <c r="E976" s="75"/>
      <c r="F976" s="75"/>
      <c r="G976" s="75"/>
      <c r="H976" s="75"/>
      <c r="I976" s="75"/>
      <c r="J976" s="75"/>
      <c r="K976" s="75"/>
      <c r="L976" s="75"/>
      <c r="M976" s="75"/>
      <c r="N976" s="75"/>
      <c r="O976" s="75"/>
      <c r="P976" s="75"/>
      <c r="Q976" s="75"/>
      <c r="R976" s="75"/>
      <c r="S976" s="75"/>
      <c r="T976" s="75"/>
    </row>
    <row r="977" spans="3:20">
      <c r="C977" s="75"/>
      <c r="D977" s="75"/>
      <c r="E977" s="75"/>
      <c r="F977" s="75"/>
      <c r="G977" s="75"/>
      <c r="H977" s="75"/>
      <c r="I977" s="75"/>
      <c r="J977" s="75"/>
      <c r="K977" s="75"/>
      <c r="L977" s="75"/>
      <c r="M977" s="75"/>
      <c r="N977" s="75"/>
      <c r="O977" s="75"/>
      <c r="P977" s="75"/>
      <c r="Q977" s="75"/>
      <c r="R977" s="75"/>
      <c r="S977" s="75"/>
      <c r="T977" s="75"/>
    </row>
    <row r="978" spans="3:20">
      <c r="C978" s="75"/>
      <c r="D978" s="75"/>
      <c r="E978" s="75"/>
      <c r="F978" s="75"/>
      <c r="G978" s="75"/>
      <c r="H978" s="75"/>
      <c r="I978" s="204"/>
      <c r="J978" s="205"/>
      <c r="K978" s="75"/>
      <c r="L978" s="204"/>
      <c r="M978" s="75"/>
      <c r="N978" s="75"/>
      <c r="O978" s="75"/>
      <c r="P978" s="75"/>
      <c r="Q978" s="75"/>
      <c r="R978" s="75"/>
      <c r="S978" s="75"/>
      <c r="T978" s="75"/>
    </row>
    <row r="979" spans="3:20">
      <c r="C979" s="75"/>
      <c r="D979" s="75"/>
      <c r="E979" s="75"/>
      <c r="F979" s="75"/>
      <c r="G979" s="75"/>
      <c r="H979" s="75"/>
      <c r="I979" s="204"/>
      <c r="J979" s="205"/>
      <c r="K979" s="75"/>
      <c r="L979" s="204"/>
      <c r="M979" s="75"/>
      <c r="N979" s="75"/>
      <c r="O979" s="75"/>
      <c r="P979" s="75"/>
      <c r="Q979" s="75"/>
      <c r="R979" s="75"/>
      <c r="S979" s="75"/>
      <c r="T979" s="75"/>
    </row>
    <row r="980" spans="3:20">
      <c r="C980" s="75"/>
      <c r="D980" s="75"/>
      <c r="E980" s="75"/>
      <c r="F980" s="75"/>
      <c r="G980" s="75"/>
      <c r="H980" s="75"/>
      <c r="J980" s="205"/>
      <c r="K980" s="75"/>
      <c r="L980" s="204"/>
      <c r="M980" s="75"/>
      <c r="N980" s="75"/>
      <c r="O980" s="75"/>
      <c r="P980" s="75"/>
      <c r="Q980" s="75"/>
      <c r="R980" s="75"/>
      <c r="S980" s="75"/>
      <c r="T980" s="75"/>
    </row>
    <row r="981" spans="3:20">
      <c r="C981" s="75"/>
      <c r="D981" s="75"/>
      <c r="E981" s="75"/>
      <c r="F981" s="75"/>
      <c r="G981" s="75"/>
      <c r="H981" s="75"/>
      <c r="I981" s="206"/>
      <c r="J981" s="205"/>
      <c r="K981" s="75"/>
      <c r="L981" s="204"/>
      <c r="M981" s="75"/>
      <c r="N981" s="75"/>
      <c r="O981" s="206"/>
      <c r="P981" s="75"/>
      <c r="Q981" s="75"/>
      <c r="R981" s="75"/>
      <c r="S981" s="75"/>
      <c r="T981" s="75"/>
    </row>
    <row r="982" spans="3:20">
      <c r="C982" s="75"/>
      <c r="D982" s="75"/>
      <c r="E982" s="75"/>
      <c r="F982" s="75"/>
      <c r="G982" s="75"/>
      <c r="H982" s="75"/>
      <c r="I982" s="204"/>
      <c r="J982" s="205"/>
      <c r="K982" s="75"/>
      <c r="L982" s="204"/>
      <c r="M982" s="75"/>
      <c r="N982" s="75"/>
      <c r="O982" s="75"/>
      <c r="P982" s="75"/>
      <c r="Q982" s="75"/>
      <c r="R982" s="75"/>
      <c r="S982" s="75"/>
      <c r="T982" s="75"/>
    </row>
    <row r="983" spans="3:20">
      <c r="C983" s="75"/>
      <c r="D983" s="75"/>
      <c r="E983" s="75"/>
      <c r="F983" s="75"/>
      <c r="G983" s="75"/>
      <c r="H983" s="75"/>
      <c r="I983" s="204"/>
      <c r="J983" s="205"/>
      <c r="K983" s="75"/>
      <c r="L983" s="204"/>
      <c r="M983" s="75"/>
      <c r="N983" s="75"/>
      <c r="O983" s="75"/>
      <c r="P983" s="75"/>
      <c r="Q983" s="75"/>
      <c r="R983" s="75"/>
      <c r="S983" s="75"/>
      <c r="T983" s="75"/>
    </row>
    <row r="984" spans="3:20">
      <c r="C984" s="75"/>
      <c r="D984" s="75"/>
      <c r="E984" s="75"/>
      <c r="F984" s="75"/>
      <c r="G984" s="75"/>
      <c r="H984" s="75"/>
      <c r="I984" s="204"/>
      <c r="J984" s="205"/>
      <c r="K984" s="75"/>
      <c r="L984" s="204"/>
      <c r="M984" s="75"/>
      <c r="N984" s="75"/>
      <c r="O984" s="75"/>
      <c r="P984" s="75"/>
      <c r="Q984" s="75"/>
      <c r="R984" s="75"/>
      <c r="S984" s="75"/>
      <c r="T984" s="75"/>
    </row>
    <row r="985" spans="3:20">
      <c r="C985" s="75"/>
      <c r="D985" s="75"/>
      <c r="E985" s="75"/>
      <c r="F985" s="75"/>
      <c r="G985" s="75"/>
      <c r="H985" s="75"/>
      <c r="I985" s="204"/>
      <c r="J985" s="205"/>
      <c r="K985" s="75"/>
      <c r="L985" s="204"/>
      <c r="M985" s="75"/>
      <c r="N985" s="75"/>
      <c r="O985" s="75"/>
      <c r="P985" s="75"/>
      <c r="Q985" s="75"/>
      <c r="R985" s="75"/>
      <c r="S985" s="75"/>
      <c r="T985" s="75"/>
    </row>
    <row r="986" spans="3:20">
      <c r="C986" s="75"/>
      <c r="D986" s="75"/>
      <c r="E986" s="75"/>
      <c r="F986" s="75"/>
      <c r="G986" s="75"/>
      <c r="H986" s="75"/>
      <c r="I986" s="75"/>
      <c r="J986" s="75"/>
      <c r="K986" s="75"/>
      <c r="L986" s="75"/>
      <c r="M986" s="75"/>
      <c r="N986" s="75"/>
      <c r="O986" s="75"/>
      <c r="P986" s="75"/>
      <c r="Q986" s="75"/>
      <c r="R986" s="75"/>
      <c r="S986" s="75"/>
      <c r="T986" s="75"/>
    </row>
    <row r="987" spans="3:20">
      <c r="C987" s="75"/>
      <c r="D987" s="75"/>
      <c r="E987" s="75"/>
      <c r="F987" s="75"/>
      <c r="G987" s="75"/>
      <c r="H987" s="75"/>
      <c r="I987" s="75"/>
      <c r="J987" s="75"/>
      <c r="K987" s="75"/>
      <c r="L987" s="75"/>
      <c r="M987" s="75"/>
      <c r="N987" s="75"/>
      <c r="O987" s="75"/>
      <c r="P987" s="75"/>
      <c r="Q987" s="75"/>
      <c r="R987" s="75"/>
      <c r="S987" s="75"/>
      <c r="T987" s="75"/>
    </row>
    <row r="988" spans="3:20">
      <c r="C988" s="75"/>
      <c r="D988" s="75"/>
      <c r="E988" s="75"/>
      <c r="F988" s="75"/>
      <c r="G988" s="75"/>
      <c r="H988" s="75"/>
      <c r="I988" s="75"/>
      <c r="J988" s="75"/>
      <c r="K988" s="75"/>
      <c r="L988" s="75"/>
      <c r="M988" s="75"/>
      <c r="N988" s="75"/>
      <c r="O988" s="75"/>
      <c r="P988" s="75"/>
      <c r="Q988" s="75"/>
      <c r="R988" s="75"/>
      <c r="S988" s="75"/>
      <c r="T988" s="75"/>
    </row>
    <row r="989" spans="3:20">
      <c r="C989" s="75"/>
      <c r="D989" s="75"/>
      <c r="E989" s="75"/>
      <c r="F989" s="75"/>
      <c r="G989" s="75"/>
      <c r="H989" s="75"/>
      <c r="I989" s="75"/>
      <c r="J989" s="75"/>
      <c r="K989" s="75"/>
      <c r="L989" s="75"/>
      <c r="M989" s="75"/>
      <c r="N989" s="75"/>
      <c r="O989" s="75"/>
      <c r="P989" s="75"/>
      <c r="Q989" s="75"/>
      <c r="R989" s="75"/>
      <c r="S989" s="75"/>
      <c r="T989" s="75"/>
    </row>
    <row r="990" spans="3:20">
      <c r="C990" s="75"/>
      <c r="D990" s="75"/>
      <c r="E990" s="75"/>
      <c r="F990" s="75"/>
      <c r="G990" s="75"/>
      <c r="H990" s="75"/>
      <c r="I990" s="75"/>
      <c r="J990" s="75"/>
      <c r="K990" s="75"/>
      <c r="L990" s="75"/>
      <c r="M990" s="75"/>
      <c r="N990" s="75"/>
      <c r="O990" s="75"/>
      <c r="P990" s="75"/>
      <c r="Q990" s="75"/>
      <c r="R990" s="75"/>
      <c r="S990" s="75"/>
      <c r="T990" s="75"/>
    </row>
    <row r="991" spans="3:20">
      <c r="C991" s="75"/>
      <c r="D991" s="75"/>
      <c r="E991" s="75"/>
      <c r="F991" s="75"/>
      <c r="G991" s="75"/>
      <c r="H991" s="75"/>
      <c r="I991" s="75"/>
      <c r="J991" s="75"/>
      <c r="K991" s="75"/>
      <c r="L991" s="75"/>
      <c r="M991" s="75"/>
      <c r="N991" s="75"/>
      <c r="O991" s="75"/>
      <c r="P991" s="75"/>
      <c r="Q991" s="75"/>
      <c r="R991" s="75"/>
      <c r="S991" s="75"/>
      <c r="T991" s="75"/>
    </row>
    <row r="992" spans="3:20">
      <c r="C992" s="75"/>
      <c r="D992" s="75"/>
      <c r="E992" s="75"/>
      <c r="F992" s="75"/>
      <c r="G992" s="75"/>
      <c r="H992" s="75"/>
      <c r="I992" s="75"/>
      <c r="J992" s="75"/>
      <c r="K992" s="75"/>
      <c r="L992" s="75"/>
      <c r="M992" s="75"/>
      <c r="N992" s="75"/>
      <c r="O992" s="75"/>
      <c r="P992" s="75"/>
      <c r="Q992" s="75"/>
      <c r="R992" s="75"/>
      <c r="S992" s="75"/>
      <c r="T992" s="75"/>
    </row>
    <row r="993" spans="2:20" ht="7.5" customHeight="1">
      <c r="C993" s="75"/>
      <c r="D993" s="75"/>
      <c r="E993" s="75"/>
      <c r="F993" s="75"/>
      <c r="G993" s="75"/>
      <c r="H993" s="75"/>
      <c r="I993" s="75"/>
      <c r="J993" s="75"/>
      <c r="K993" s="75"/>
      <c r="L993" s="75"/>
      <c r="M993" s="75"/>
      <c r="N993" s="75"/>
      <c r="O993" s="75"/>
      <c r="P993" s="75"/>
      <c r="Q993" s="75"/>
      <c r="R993" s="75"/>
      <c r="S993" s="75"/>
      <c r="T993" s="75"/>
    </row>
    <row r="994" spans="2:20">
      <c r="C994" s="75"/>
      <c r="D994" s="75"/>
      <c r="E994" s="75"/>
      <c r="F994" s="75"/>
      <c r="G994" s="75"/>
      <c r="H994" s="75"/>
      <c r="I994" s="75"/>
      <c r="J994" s="75"/>
      <c r="K994" s="75"/>
      <c r="L994" s="75"/>
      <c r="M994" s="75"/>
      <c r="N994" s="75"/>
      <c r="O994" s="75"/>
      <c r="P994" s="75"/>
      <c r="Q994" s="75"/>
      <c r="R994" s="75"/>
      <c r="S994" s="75"/>
      <c r="T994" s="75"/>
    </row>
    <row r="995" spans="2:20">
      <c r="C995" s="75"/>
      <c r="D995" s="75"/>
      <c r="E995" s="75"/>
      <c r="F995" s="75"/>
      <c r="G995" s="75"/>
      <c r="H995" s="75"/>
      <c r="I995" s="75"/>
      <c r="J995" s="75"/>
      <c r="K995" s="75"/>
      <c r="L995" s="75"/>
      <c r="M995" s="75"/>
      <c r="N995" s="75"/>
      <c r="O995" s="75"/>
      <c r="P995" s="75"/>
      <c r="Q995" s="75"/>
      <c r="R995" s="75"/>
      <c r="S995" s="75"/>
      <c r="T995" s="75"/>
    </row>
    <row r="996" spans="2:20">
      <c r="C996" s="75"/>
      <c r="D996" s="75"/>
      <c r="E996" s="75"/>
      <c r="F996" s="75"/>
      <c r="G996" s="75"/>
      <c r="H996" s="75"/>
      <c r="I996" s="230">
        <f>1+I956</f>
        <v>23</v>
      </c>
      <c r="J996" s="75"/>
      <c r="K996" s="75"/>
      <c r="L996" s="75"/>
      <c r="M996" s="75"/>
      <c r="N996" s="75"/>
      <c r="O996" s="75"/>
      <c r="P996" s="75"/>
      <c r="Q996" s="75"/>
      <c r="R996" s="75"/>
      <c r="S996" s="75"/>
      <c r="T996" s="75"/>
    </row>
    <row r="997" spans="2:20">
      <c r="C997" s="75"/>
      <c r="D997" s="75"/>
      <c r="E997" s="75"/>
      <c r="F997" s="75"/>
      <c r="G997" s="75"/>
      <c r="H997" s="75"/>
      <c r="I997" s="75"/>
      <c r="J997" s="75"/>
      <c r="K997" s="75"/>
      <c r="L997" s="75"/>
      <c r="M997" s="75"/>
      <c r="N997" s="75"/>
      <c r="O997" s="75"/>
      <c r="P997" s="75"/>
      <c r="Q997" s="75"/>
      <c r="R997" s="75"/>
      <c r="S997" s="75"/>
      <c r="T997" s="75"/>
    </row>
    <row r="998" spans="2:20" s="231" customFormat="1" ht="9.75" customHeight="1">
      <c r="C998" s="56"/>
      <c r="D998" s="56"/>
      <c r="E998" s="56"/>
      <c r="F998" s="56"/>
      <c r="G998" s="56"/>
      <c r="H998" s="56"/>
      <c r="I998" s="56"/>
      <c r="J998" s="56"/>
      <c r="K998" s="56"/>
      <c r="L998" s="56"/>
      <c r="M998" s="56"/>
      <c r="N998" s="56"/>
      <c r="O998" s="56"/>
      <c r="P998" s="56"/>
      <c r="Q998" s="56"/>
      <c r="R998" s="56"/>
      <c r="S998" s="56"/>
      <c r="T998" s="56"/>
    </row>
    <row r="999" spans="2:20" s="231" customFormat="1" ht="23.4">
      <c r="C999" s="200" t="s">
        <v>263</v>
      </c>
      <c r="D999" s="202" t="s">
        <v>298</v>
      </c>
      <c r="E999" s="202"/>
      <c r="F999" s="202"/>
      <c r="G999" s="202"/>
      <c r="H999" s="202"/>
      <c r="I999" s="200"/>
      <c r="J999" s="200"/>
      <c r="K999" s="200"/>
      <c r="L999" s="200"/>
      <c r="M999" s="200"/>
      <c r="N999" s="200"/>
      <c r="O999" s="200"/>
      <c r="P999" s="200"/>
      <c r="Q999" s="200"/>
      <c r="R999" s="200"/>
      <c r="S999" s="200"/>
      <c r="T999" s="200"/>
    </row>
    <row r="1000" spans="2:20" s="231" customFormat="1" ht="5.4" customHeight="1"/>
    <row r="1001" spans="2:20" s="231" customFormat="1" ht="5.4" customHeight="1">
      <c r="B1001" s="203"/>
      <c r="C1001" s="203"/>
      <c r="D1001" s="203"/>
      <c r="E1001" s="203"/>
      <c r="F1001" s="203"/>
      <c r="G1001" s="203"/>
      <c r="H1001" s="203"/>
    </row>
    <row r="1002" spans="2:20" s="231" customFormat="1" ht="17.25" customHeight="1">
      <c r="D1002" s="934"/>
      <c r="E1002" s="934"/>
      <c r="F1002" s="934"/>
      <c r="G1002" s="934"/>
      <c r="H1002" s="934"/>
      <c r="I1002" s="934"/>
      <c r="J1002" s="934"/>
      <c r="K1002" s="934"/>
      <c r="L1002" s="934"/>
      <c r="M1002" s="934"/>
      <c r="N1002" s="934"/>
    </row>
    <row r="1003" spans="2:20" s="231" customFormat="1">
      <c r="C1003" s="75"/>
      <c r="O1003" s="75"/>
      <c r="P1003" s="75"/>
      <c r="Q1003" s="75"/>
      <c r="R1003" s="75"/>
      <c r="S1003" s="75"/>
      <c r="T1003" s="75"/>
    </row>
    <row r="1004" spans="2:20" s="231" customFormat="1" ht="20.25" customHeight="1">
      <c r="C1004" s="75"/>
      <c r="I1004" s="75"/>
      <c r="J1004" s="75"/>
      <c r="K1004" s="75"/>
      <c r="L1004" s="75"/>
      <c r="M1004" s="75"/>
      <c r="N1004" s="75"/>
      <c r="O1004" s="75"/>
      <c r="P1004" s="75"/>
      <c r="Q1004" s="75"/>
      <c r="R1004" s="75"/>
      <c r="S1004" s="75"/>
      <c r="T1004" s="75"/>
    </row>
    <row r="1005" spans="2:20" s="231" customFormat="1">
      <c r="C1005" s="75"/>
      <c r="I1005" s="75"/>
      <c r="J1005" s="75"/>
      <c r="K1005" s="75"/>
      <c r="L1005" s="75"/>
      <c r="M1005" s="75"/>
      <c r="N1005" s="75"/>
      <c r="O1005" s="75"/>
      <c r="P1005" s="75"/>
      <c r="Q1005" s="75"/>
      <c r="R1005" s="75"/>
      <c r="S1005" s="75"/>
      <c r="T1005" s="75"/>
    </row>
    <row r="1006" spans="2:20" s="231" customFormat="1">
      <c r="C1006" s="75"/>
      <c r="I1006" s="75"/>
      <c r="J1006" s="75"/>
      <c r="K1006" s="75"/>
      <c r="L1006" s="75"/>
      <c r="M1006" s="75"/>
      <c r="N1006" s="75"/>
      <c r="O1006" s="75"/>
      <c r="P1006" s="75"/>
      <c r="Q1006" s="75"/>
      <c r="R1006" s="75"/>
      <c r="S1006" s="75"/>
      <c r="T1006" s="75"/>
    </row>
    <row r="1007" spans="2:20" s="231" customFormat="1">
      <c r="C1007" s="75"/>
      <c r="I1007" s="75"/>
      <c r="J1007" s="75"/>
      <c r="K1007" s="75"/>
      <c r="L1007" s="75"/>
      <c r="M1007" s="75"/>
      <c r="N1007" s="75"/>
      <c r="O1007" s="75"/>
      <c r="P1007" s="75"/>
      <c r="Q1007" s="75"/>
      <c r="R1007" s="75"/>
      <c r="S1007" s="75"/>
      <c r="T1007" s="75"/>
    </row>
    <row r="1008" spans="2:20" s="231" customFormat="1">
      <c r="C1008" s="75"/>
      <c r="I1008" s="75"/>
      <c r="J1008" s="75"/>
      <c r="K1008" s="75"/>
      <c r="L1008" s="75"/>
      <c r="M1008" s="75"/>
      <c r="N1008" s="75"/>
      <c r="O1008" s="75"/>
      <c r="P1008" s="75"/>
      <c r="Q1008" s="75"/>
      <c r="R1008" s="75"/>
      <c r="S1008" s="75"/>
      <c r="T1008" s="75"/>
    </row>
    <row r="1009" spans="3:20" s="231" customFormat="1">
      <c r="C1009" s="75"/>
      <c r="I1009" s="75"/>
      <c r="J1009" s="75"/>
      <c r="K1009" s="75"/>
      <c r="L1009" s="75"/>
      <c r="M1009" s="75"/>
      <c r="N1009" s="75"/>
      <c r="O1009" s="75"/>
      <c r="P1009" s="75"/>
      <c r="Q1009" s="75"/>
      <c r="R1009" s="75"/>
      <c r="S1009" s="75"/>
      <c r="T1009" s="75"/>
    </row>
    <row r="1010" spans="3:20" s="231" customFormat="1">
      <c r="C1010" s="75"/>
      <c r="I1010" s="75"/>
      <c r="J1010" s="75"/>
      <c r="K1010" s="75"/>
      <c r="L1010" s="75"/>
      <c r="M1010" s="75"/>
      <c r="N1010" s="75"/>
      <c r="O1010" s="75"/>
      <c r="P1010" s="75"/>
      <c r="Q1010" s="75"/>
      <c r="R1010" s="75"/>
      <c r="S1010" s="75"/>
      <c r="T1010" s="75"/>
    </row>
    <row r="1011" spans="3:20" s="231" customFormat="1">
      <c r="C1011" s="75"/>
      <c r="I1011" s="75"/>
      <c r="J1011" s="75"/>
      <c r="K1011" s="75"/>
      <c r="L1011" s="75"/>
      <c r="M1011" s="75"/>
      <c r="N1011" s="75"/>
      <c r="O1011" s="75"/>
      <c r="P1011" s="75"/>
      <c r="Q1011" s="75"/>
      <c r="R1011" s="75"/>
      <c r="S1011" s="75"/>
      <c r="T1011" s="75"/>
    </row>
    <row r="1012" spans="3:20" s="231" customFormat="1">
      <c r="C1012" s="75"/>
      <c r="I1012" s="75"/>
      <c r="J1012" s="75"/>
      <c r="K1012" s="75"/>
      <c r="L1012" s="75"/>
      <c r="M1012" s="75"/>
      <c r="N1012" s="75"/>
      <c r="O1012" s="75"/>
      <c r="P1012" s="75"/>
      <c r="Q1012" s="75"/>
      <c r="R1012" s="75"/>
      <c r="S1012" s="75"/>
      <c r="T1012" s="75"/>
    </row>
    <row r="1013" spans="3:20" s="231" customFormat="1">
      <c r="C1013" s="75"/>
      <c r="I1013" s="75"/>
      <c r="J1013" s="75"/>
      <c r="K1013" s="75"/>
      <c r="L1013" s="75"/>
      <c r="M1013" s="75"/>
      <c r="N1013" s="75"/>
      <c r="O1013" s="75"/>
      <c r="P1013" s="75"/>
      <c r="Q1013" s="75"/>
      <c r="R1013" s="75"/>
      <c r="S1013" s="75"/>
      <c r="T1013" s="75"/>
    </row>
    <row r="1014" spans="3:20" s="231" customFormat="1">
      <c r="C1014" s="75"/>
      <c r="I1014" s="75"/>
      <c r="J1014" s="75"/>
      <c r="K1014" s="75"/>
      <c r="L1014" s="75"/>
      <c r="M1014" s="75"/>
      <c r="N1014" s="75"/>
      <c r="O1014" s="75"/>
      <c r="P1014" s="75"/>
      <c r="Q1014" s="75"/>
      <c r="R1014" s="75"/>
      <c r="S1014" s="75"/>
      <c r="T1014" s="75"/>
    </row>
    <row r="1015" spans="3:20" s="231" customFormat="1">
      <c r="C1015" s="75"/>
      <c r="D1015" s="75"/>
      <c r="E1015" s="75"/>
      <c r="F1015" s="75"/>
      <c r="G1015" s="75"/>
      <c r="H1015" s="75"/>
      <c r="I1015" s="75"/>
      <c r="J1015" s="75"/>
      <c r="K1015" s="75"/>
      <c r="L1015" s="75"/>
      <c r="M1015" s="75"/>
      <c r="N1015" s="75"/>
      <c r="O1015" s="75"/>
      <c r="P1015" s="75"/>
      <c r="Q1015" s="75"/>
      <c r="R1015" s="75"/>
      <c r="S1015" s="75"/>
      <c r="T1015" s="75"/>
    </row>
    <row r="1016" spans="3:20" s="231" customFormat="1">
      <c r="C1016" s="75"/>
      <c r="D1016" s="75"/>
      <c r="E1016" s="75"/>
      <c r="F1016" s="75"/>
      <c r="G1016" s="75"/>
      <c r="H1016" s="75"/>
      <c r="I1016" s="75"/>
      <c r="J1016" s="75"/>
      <c r="K1016" s="75"/>
      <c r="L1016" s="75"/>
      <c r="M1016" s="75"/>
      <c r="N1016" s="75"/>
      <c r="O1016" s="75"/>
      <c r="P1016" s="75"/>
      <c r="Q1016" s="75"/>
      <c r="R1016" s="75"/>
      <c r="S1016" s="75"/>
      <c r="T1016" s="75"/>
    </row>
    <row r="1017" spans="3:20" s="231" customFormat="1">
      <c r="C1017" s="75"/>
      <c r="D1017" s="75"/>
      <c r="E1017" s="75"/>
      <c r="F1017" s="75"/>
      <c r="G1017" s="75"/>
      <c r="H1017" s="75"/>
      <c r="I1017" s="75"/>
      <c r="J1017" s="75"/>
      <c r="K1017" s="75"/>
      <c r="L1017" s="75"/>
      <c r="M1017" s="75"/>
      <c r="N1017" s="75"/>
      <c r="O1017" s="75"/>
      <c r="P1017" s="75"/>
      <c r="Q1017" s="75"/>
      <c r="R1017" s="75"/>
      <c r="S1017" s="75"/>
      <c r="T1017" s="75"/>
    </row>
    <row r="1018" spans="3:20" s="231" customFormat="1">
      <c r="C1018" s="75"/>
      <c r="D1018" s="75"/>
      <c r="E1018" s="75"/>
      <c r="F1018" s="75"/>
      <c r="G1018" s="75"/>
      <c r="H1018" s="75"/>
      <c r="I1018" s="204"/>
      <c r="J1018" s="205"/>
      <c r="K1018" s="75"/>
      <c r="L1018" s="204"/>
      <c r="M1018" s="75"/>
      <c r="N1018" s="75"/>
      <c r="O1018" s="75"/>
      <c r="P1018" s="75"/>
      <c r="Q1018" s="75"/>
      <c r="R1018" s="75"/>
      <c r="S1018" s="75"/>
      <c r="T1018" s="75"/>
    </row>
    <row r="1019" spans="3:20" s="231" customFormat="1">
      <c r="C1019" s="75"/>
      <c r="D1019" s="75"/>
      <c r="E1019" s="75"/>
      <c r="F1019" s="75"/>
      <c r="G1019" s="75"/>
      <c r="H1019" s="75"/>
      <c r="I1019" s="204"/>
      <c r="J1019" s="205"/>
      <c r="K1019" s="75"/>
      <c r="L1019" s="204"/>
      <c r="M1019" s="75"/>
      <c r="N1019" s="75"/>
      <c r="O1019" s="75"/>
      <c r="P1019" s="75"/>
      <c r="Q1019" s="75"/>
      <c r="R1019" s="75"/>
      <c r="S1019" s="75"/>
      <c r="T1019" s="75"/>
    </row>
    <row r="1020" spans="3:20" s="231" customFormat="1">
      <c r="C1020" s="75"/>
      <c r="D1020" s="75"/>
      <c r="E1020" s="75"/>
      <c r="F1020" s="75"/>
      <c r="G1020" s="75"/>
      <c r="H1020" s="75"/>
      <c r="J1020" s="205"/>
      <c r="K1020" s="75"/>
      <c r="L1020" s="204"/>
      <c r="M1020" s="75"/>
      <c r="N1020" s="75"/>
      <c r="O1020" s="75"/>
      <c r="P1020" s="75"/>
      <c r="Q1020" s="75"/>
      <c r="R1020" s="75"/>
      <c r="S1020" s="75"/>
      <c r="T1020" s="75"/>
    </row>
    <row r="1021" spans="3:20" s="231" customFormat="1">
      <c r="C1021" s="75"/>
      <c r="D1021" s="75"/>
      <c r="E1021" s="75"/>
      <c r="F1021" s="75"/>
      <c r="G1021" s="75"/>
      <c r="H1021" s="75"/>
      <c r="I1021" s="206"/>
      <c r="J1021" s="205"/>
      <c r="K1021" s="75"/>
      <c r="L1021" s="204"/>
      <c r="M1021" s="75"/>
      <c r="N1021" s="75"/>
      <c r="O1021" s="206"/>
      <c r="P1021" s="75"/>
      <c r="Q1021" s="75"/>
      <c r="R1021" s="75"/>
      <c r="S1021" s="75"/>
      <c r="T1021" s="75"/>
    </row>
    <row r="1022" spans="3:20" s="231" customFormat="1">
      <c r="C1022" s="75"/>
      <c r="D1022" s="75"/>
      <c r="E1022" s="75"/>
      <c r="F1022" s="75"/>
      <c r="G1022" s="75"/>
      <c r="H1022" s="75"/>
      <c r="I1022" s="204"/>
      <c r="J1022" s="205"/>
      <c r="K1022" s="75"/>
      <c r="L1022" s="204"/>
      <c r="M1022" s="75"/>
      <c r="N1022" s="75"/>
      <c r="O1022" s="75"/>
      <c r="P1022" s="75"/>
      <c r="Q1022" s="75"/>
      <c r="R1022" s="75"/>
      <c r="S1022" s="75"/>
      <c r="T1022" s="75"/>
    </row>
    <row r="1023" spans="3:20" s="231" customFormat="1">
      <c r="C1023" s="75"/>
      <c r="D1023" s="75"/>
      <c r="E1023" s="75"/>
      <c r="F1023" s="75"/>
      <c r="G1023" s="75"/>
      <c r="H1023" s="75"/>
      <c r="I1023" s="204"/>
      <c r="J1023" s="205"/>
      <c r="K1023" s="75"/>
      <c r="L1023" s="204"/>
      <c r="M1023" s="75"/>
      <c r="N1023" s="75"/>
      <c r="O1023" s="75"/>
      <c r="P1023" s="75"/>
      <c r="Q1023" s="75"/>
      <c r="R1023" s="75"/>
      <c r="S1023" s="75"/>
      <c r="T1023" s="75"/>
    </row>
    <row r="1024" spans="3:20" s="231" customFormat="1">
      <c r="C1024" s="75"/>
      <c r="D1024" s="75"/>
      <c r="E1024" s="75"/>
      <c r="F1024" s="75"/>
      <c r="G1024" s="75"/>
      <c r="H1024" s="75"/>
      <c r="I1024" s="204"/>
      <c r="J1024" s="205"/>
      <c r="K1024" s="75"/>
      <c r="L1024" s="204"/>
      <c r="M1024" s="75"/>
      <c r="N1024" s="75"/>
      <c r="O1024" s="75"/>
      <c r="P1024" s="75"/>
      <c r="Q1024" s="75"/>
      <c r="R1024" s="75"/>
      <c r="S1024" s="75"/>
      <c r="T1024" s="75"/>
    </row>
    <row r="1025" spans="3:20" s="231" customFormat="1">
      <c r="C1025" s="75"/>
      <c r="D1025" s="75"/>
      <c r="E1025" s="75"/>
      <c r="F1025" s="75"/>
      <c r="G1025" s="75"/>
      <c r="H1025" s="75"/>
      <c r="I1025" s="204"/>
      <c r="J1025" s="205"/>
      <c r="K1025" s="75"/>
      <c r="L1025" s="204"/>
      <c r="M1025" s="75"/>
      <c r="N1025" s="75"/>
      <c r="O1025" s="75"/>
      <c r="P1025" s="75"/>
      <c r="Q1025" s="75"/>
      <c r="R1025" s="75"/>
      <c r="S1025" s="75"/>
      <c r="T1025" s="75"/>
    </row>
    <row r="1026" spans="3:20" s="231" customFormat="1">
      <c r="C1026" s="75"/>
      <c r="D1026" s="75"/>
      <c r="E1026" s="75"/>
      <c r="F1026" s="75"/>
      <c r="G1026" s="75"/>
      <c r="H1026" s="75"/>
      <c r="I1026" s="75"/>
      <c r="J1026" s="75"/>
      <c r="K1026" s="75"/>
      <c r="L1026" s="75"/>
      <c r="M1026" s="75"/>
      <c r="N1026" s="75"/>
      <c r="O1026" s="75"/>
      <c r="P1026" s="75"/>
      <c r="Q1026" s="75"/>
      <c r="R1026" s="75"/>
      <c r="S1026" s="75"/>
      <c r="T1026" s="75"/>
    </row>
    <row r="1027" spans="3:20" s="231" customFormat="1">
      <c r="C1027" s="75"/>
      <c r="D1027" s="75"/>
      <c r="E1027" s="75"/>
      <c r="F1027" s="75"/>
      <c r="G1027" s="75"/>
      <c r="H1027" s="75"/>
      <c r="I1027" s="75"/>
      <c r="J1027" s="75"/>
      <c r="K1027" s="75"/>
      <c r="L1027" s="75"/>
      <c r="M1027" s="75"/>
      <c r="N1027" s="75"/>
      <c r="O1027" s="75"/>
      <c r="P1027" s="75"/>
      <c r="Q1027" s="75"/>
      <c r="R1027" s="75"/>
      <c r="S1027" s="75"/>
      <c r="T1027" s="75"/>
    </row>
    <row r="1028" spans="3:20" s="231" customFormat="1">
      <c r="C1028" s="75"/>
      <c r="D1028" s="75"/>
      <c r="E1028" s="75"/>
      <c r="F1028" s="75"/>
      <c r="G1028" s="75"/>
      <c r="H1028" s="75"/>
      <c r="I1028" s="75"/>
      <c r="J1028" s="75"/>
      <c r="K1028" s="75"/>
      <c r="L1028" s="75"/>
      <c r="M1028" s="75"/>
      <c r="N1028" s="75"/>
      <c r="O1028" s="75"/>
      <c r="P1028" s="75"/>
      <c r="Q1028" s="75"/>
      <c r="R1028" s="75"/>
      <c r="S1028" s="75"/>
      <c r="T1028" s="75"/>
    </row>
    <row r="1029" spans="3:20" s="231" customFormat="1">
      <c r="C1029" s="75"/>
      <c r="D1029" s="75"/>
      <c r="E1029" s="75"/>
      <c r="F1029" s="75"/>
      <c r="G1029" s="75"/>
      <c r="H1029" s="75"/>
      <c r="I1029" s="75"/>
      <c r="J1029" s="75"/>
      <c r="K1029" s="75"/>
      <c r="L1029" s="75"/>
      <c r="M1029" s="75"/>
      <c r="N1029" s="75"/>
      <c r="O1029" s="75"/>
      <c r="P1029" s="75"/>
      <c r="Q1029" s="75"/>
      <c r="R1029" s="75"/>
      <c r="S1029" s="75"/>
      <c r="T1029" s="75"/>
    </row>
    <row r="1030" spans="3:20" s="231" customFormat="1">
      <c r="C1030" s="75"/>
      <c r="D1030" s="75"/>
      <c r="E1030" s="75"/>
      <c r="F1030" s="75"/>
      <c r="G1030" s="75"/>
      <c r="H1030" s="75"/>
      <c r="I1030" s="75"/>
      <c r="J1030" s="75"/>
      <c r="K1030" s="75"/>
      <c r="L1030" s="75"/>
      <c r="M1030" s="75"/>
      <c r="N1030" s="75"/>
      <c r="O1030" s="75"/>
      <c r="P1030" s="75"/>
      <c r="Q1030" s="75"/>
      <c r="R1030" s="75"/>
      <c r="S1030" s="75"/>
      <c r="T1030" s="75"/>
    </row>
    <row r="1031" spans="3:20" s="231" customFormat="1">
      <c r="C1031" s="75"/>
      <c r="D1031" s="75"/>
      <c r="E1031" s="75"/>
      <c r="F1031" s="75"/>
      <c r="G1031" s="75"/>
      <c r="H1031" s="75"/>
      <c r="I1031" s="75"/>
      <c r="J1031" s="75"/>
      <c r="K1031" s="75"/>
      <c r="L1031" s="75"/>
      <c r="M1031" s="75"/>
      <c r="N1031" s="75"/>
      <c r="O1031" s="75"/>
      <c r="P1031" s="75"/>
      <c r="Q1031" s="75"/>
      <c r="R1031" s="75"/>
      <c r="S1031" s="75"/>
      <c r="T1031" s="75"/>
    </row>
    <row r="1032" spans="3:20" s="231" customFormat="1">
      <c r="C1032" s="75"/>
      <c r="D1032" s="75"/>
      <c r="E1032" s="75"/>
      <c r="F1032" s="75"/>
      <c r="G1032" s="75"/>
      <c r="H1032" s="75"/>
      <c r="I1032" s="75"/>
      <c r="J1032" s="75"/>
      <c r="K1032" s="75"/>
      <c r="L1032" s="75"/>
      <c r="M1032" s="75"/>
      <c r="N1032" s="75"/>
      <c r="O1032" s="75"/>
      <c r="P1032" s="75"/>
      <c r="Q1032" s="75"/>
      <c r="R1032" s="75"/>
      <c r="S1032" s="75"/>
      <c r="T1032" s="75"/>
    </row>
    <row r="1033" spans="3:20" s="231" customFormat="1" ht="7.5" customHeight="1">
      <c r="C1033" s="75"/>
      <c r="D1033" s="75"/>
      <c r="E1033" s="75"/>
      <c r="F1033" s="75"/>
      <c r="G1033" s="75"/>
      <c r="H1033" s="75"/>
      <c r="I1033" s="75"/>
      <c r="J1033" s="75"/>
      <c r="K1033" s="75"/>
      <c r="L1033" s="75"/>
      <c r="M1033" s="75"/>
      <c r="N1033" s="75"/>
      <c r="O1033" s="75"/>
      <c r="P1033" s="75"/>
      <c r="Q1033" s="75"/>
      <c r="R1033" s="75"/>
      <c r="S1033" s="75"/>
      <c r="T1033" s="75"/>
    </row>
    <row r="1034" spans="3:20" s="231" customFormat="1">
      <c r="C1034" s="75"/>
      <c r="D1034" s="75"/>
      <c r="E1034" s="75"/>
      <c r="F1034" s="75"/>
      <c r="G1034" s="75"/>
      <c r="H1034" s="75"/>
      <c r="I1034" s="75"/>
      <c r="J1034" s="75"/>
      <c r="K1034" s="75"/>
      <c r="L1034" s="75"/>
      <c r="M1034" s="75"/>
      <c r="N1034" s="75"/>
      <c r="O1034" s="75"/>
      <c r="P1034" s="75"/>
      <c r="Q1034" s="75"/>
      <c r="R1034" s="75"/>
      <c r="S1034" s="75"/>
      <c r="T1034" s="75"/>
    </row>
    <row r="1035" spans="3:20" s="231" customFormat="1">
      <c r="C1035" s="75"/>
      <c r="D1035" s="75"/>
      <c r="E1035" s="75"/>
      <c r="F1035" s="75"/>
      <c r="G1035" s="75"/>
      <c r="H1035" s="75"/>
      <c r="I1035" s="75"/>
      <c r="J1035" s="75"/>
      <c r="K1035" s="75"/>
      <c r="L1035" s="75"/>
      <c r="M1035" s="75"/>
      <c r="N1035" s="75"/>
      <c r="O1035" s="75"/>
      <c r="P1035" s="75"/>
      <c r="Q1035" s="75"/>
      <c r="R1035" s="75"/>
      <c r="S1035" s="75"/>
      <c r="T1035" s="75"/>
    </row>
    <row r="1036" spans="3:20" s="231" customFormat="1">
      <c r="C1036" s="75"/>
      <c r="D1036" s="75"/>
      <c r="E1036" s="75"/>
      <c r="F1036" s="75"/>
      <c r="G1036" s="75"/>
      <c r="H1036" s="75"/>
      <c r="I1036" s="230">
        <f>1+I996</f>
        <v>24</v>
      </c>
      <c r="J1036" s="75"/>
      <c r="K1036" s="75"/>
      <c r="L1036" s="75"/>
      <c r="M1036" s="75"/>
      <c r="N1036" s="75"/>
      <c r="O1036" s="75"/>
      <c r="P1036" s="75"/>
      <c r="Q1036" s="75"/>
      <c r="R1036" s="75"/>
      <c r="S1036" s="75"/>
      <c r="T1036" s="75"/>
    </row>
    <row r="1037" spans="3:20" s="231" customFormat="1">
      <c r="C1037" s="75"/>
      <c r="D1037" s="75"/>
      <c r="E1037" s="75"/>
      <c r="F1037" s="75"/>
      <c r="G1037" s="75"/>
      <c r="H1037" s="75"/>
      <c r="I1037" s="75"/>
      <c r="J1037" s="75"/>
      <c r="K1037" s="75"/>
      <c r="L1037" s="75"/>
      <c r="M1037" s="75"/>
      <c r="N1037" s="75"/>
      <c r="O1037" s="75"/>
      <c r="P1037" s="75"/>
      <c r="Q1037" s="75"/>
      <c r="R1037" s="75"/>
      <c r="S1037" s="75"/>
      <c r="T1037" s="75"/>
    </row>
    <row r="1038" spans="3:20" ht="9.75" customHeight="1">
      <c r="C1038" s="56"/>
      <c r="D1038" s="56"/>
      <c r="E1038" s="56"/>
      <c r="F1038" s="56"/>
      <c r="G1038" s="56"/>
      <c r="H1038" s="56"/>
      <c r="I1038" s="56"/>
      <c r="J1038" s="56"/>
      <c r="K1038" s="56"/>
      <c r="L1038" s="56"/>
      <c r="M1038" s="56"/>
      <c r="N1038" s="56"/>
      <c r="O1038" s="56"/>
      <c r="P1038" s="56"/>
      <c r="Q1038" s="56"/>
      <c r="R1038" s="56"/>
      <c r="S1038" s="56"/>
      <c r="T1038" s="56"/>
    </row>
    <row r="1039" spans="3:20" ht="23.4">
      <c r="C1039" s="200" t="s">
        <v>263</v>
      </c>
      <c r="D1039" s="202" t="s">
        <v>287</v>
      </c>
      <c r="E1039" s="202"/>
      <c r="F1039" s="202"/>
      <c r="G1039" s="202"/>
      <c r="H1039" s="202"/>
      <c r="I1039" s="200"/>
      <c r="J1039" s="200"/>
      <c r="K1039" s="200"/>
      <c r="L1039" s="200"/>
      <c r="M1039" s="200"/>
      <c r="N1039" s="200"/>
      <c r="O1039" s="200"/>
      <c r="P1039" s="200"/>
      <c r="Q1039" s="200"/>
      <c r="R1039" s="200"/>
      <c r="S1039" s="200"/>
      <c r="T1039" s="200"/>
    </row>
    <row r="1040" spans="3:20" ht="5.4" customHeight="1"/>
    <row r="1041" spans="2:20" ht="5.4" customHeight="1">
      <c r="B1041" s="203"/>
      <c r="C1041" s="203"/>
      <c r="D1041" s="203"/>
      <c r="E1041" s="203"/>
      <c r="F1041" s="203"/>
      <c r="G1041" s="203"/>
      <c r="H1041" s="203"/>
    </row>
    <row r="1042" spans="2:20" ht="17.25" customHeight="1">
      <c r="D1042" s="934"/>
      <c r="E1042" s="934"/>
      <c r="F1042" s="934"/>
      <c r="G1042" s="934"/>
      <c r="H1042" s="934"/>
      <c r="I1042" s="934"/>
      <c r="J1042" s="934"/>
      <c r="K1042" s="934"/>
      <c r="L1042" s="934"/>
      <c r="M1042" s="934"/>
      <c r="N1042" s="934"/>
    </row>
    <row r="1043" spans="2:20">
      <c r="C1043" s="75"/>
      <c r="O1043" s="75"/>
      <c r="P1043" s="75"/>
      <c r="Q1043" s="75"/>
      <c r="R1043" s="75"/>
      <c r="S1043" s="75"/>
      <c r="T1043" s="75"/>
    </row>
    <row r="1044" spans="2:20" ht="14.25" customHeight="1">
      <c r="C1044" s="75"/>
      <c r="I1044" s="75"/>
      <c r="K1044" s="75"/>
      <c r="L1044" s="75"/>
      <c r="M1044" s="75"/>
      <c r="N1044" s="75"/>
      <c r="O1044" s="75"/>
      <c r="P1044" s="75"/>
      <c r="Q1044" s="75"/>
      <c r="R1044" s="75"/>
      <c r="S1044" s="75"/>
      <c r="T1044" s="75"/>
    </row>
    <row r="1045" spans="2:20" ht="15" thickBot="1">
      <c r="C1045" s="75"/>
      <c r="I1045" s="75"/>
      <c r="K1045" s="75"/>
      <c r="L1045" s="223" t="s">
        <v>288</v>
      </c>
      <c r="M1045" s="75"/>
      <c r="N1045" s="75"/>
      <c r="O1045" s="75"/>
      <c r="P1045" s="75"/>
      <c r="Q1045" s="75"/>
      <c r="R1045" s="75"/>
      <c r="S1045" s="75"/>
      <c r="T1045" s="75"/>
    </row>
    <row r="1046" spans="2:20">
      <c r="C1046" s="75"/>
      <c r="I1046" s="75"/>
      <c r="J1046" s="935" t="s">
        <v>13</v>
      </c>
      <c r="K1046" s="936"/>
      <c r="L1046" s="226">
        <f>+'Tableau détaillé'!I302</f>
        <v>-7.1461552885349615</v>
      </c>
      <c r="M1046" s="227">
        <f>+L1046</f>
        <v>-7.1461552885349615</v>
      </c>
      <c r="N1046" s="75"/>
      <c r="O1046" s="75"/>
      <c r="P1046" s="75"/>
      <c r="Q1046" s="75"/>
      <c r="R1046" s="75"/>
      <c r="S1046" s="75"/>
      <c r="T1046" s="75"/>
    </row>
    <row r="1047" spans="2:20">
      <c r="C1047" s="75"/>
      <c r="I1047" s="75"/>
      <c r="J1047" s="941" t="s">
        <v>14</v>
      </c>
      <c r="K1047" s="942"/>
      <c r="L1047" s="276">
        <f>+'Tableau détaillé'!I303</f>
        <v>0</v>
      </c>
      <c r="M1047" s="227">
        <f t="shared" ref="M1047:M1056" si="0">+L1047</f>
        <v>0</v>
      </c>
      <c r="N1047" s="75"/>
      <c r="O1047" s="75"/>
      <c r="P1047" s="75"/>
      <c r="Q1047" s="75"/>
      <c r="R1047" s="75"/>
      <c r="S1047" s="75"/>
      <c r="T1047" s="75"/>
    </row>
    <row r="1048" spans="2:20">
      <c r="C1048" s="75"/>
      <c r="I1048" s="75"/>
      <c r="J1048" s="937" t="s">
        <v>17</v>
      </c>
      <c r="K1048" s="938"/>
      <c r="L1048" s="228">
        <f>+'Tableau détaillé'!I304</f>
        <v>-2.3635451017745615</v>
      </c>
      <c r="M1048" s="227">
        <f t="shared" si="0"/>
        <v>-2.3635451017745615</v>
      </c>
      <c r="N1048" s="75"/>
      <c r="O1048" s="75"/>
      <c r="P1048" s="75"/>
      <c r="Q1048" s="75"/>
      <c r="R1048" s="75"/>
      <c r="S1048" s="75"/>
      <c r="T1048" s="75"/>
    </row>
    <row r="1049" spans="2:20">
      <c r="C1049" s="75"/>
      <c r="I1049" s="75"/>
      <c r="J1049" s="937" t="s">
        <v>18</v>
      </c>
      <c r="K1049" s="938"/>
      <c r="L1049" s="228">
        <f>+'Tableau détaillé'!I305</f>
        <v>2.3816156950649638</v>
      </c>
      <c r="M1049" s="227">
        <f t="shared" si="0"/>
        <v>2.3816156950649638</v>
      </c>
      <c r="N1049" s="75"/>
      <c r="O1049" s="75"/>
      <c r="P1049" s="75"/>
      <c r="Q1049" s="75"/>
      <c r="R1049" s="75"/>
      <c r="S1049" s="75"/>
      <c r="T1049" s="75"/>
    </row>
    <row r="1050" spans="2:20">
      <c r="C1050" s="75"/>
      <c r="I1050" s="75"/>
      <c r="J1050" s="937" t="s">
        <v>19</v>
      </c>
      <c r="K1050" s="938"/>
      <c r="L1050" s="228">
        <f>+'Tableau détaillé'!I306</f>
        <v>4.5024415126460786</v>
      </c>
      <c r="M1050" s="227">
        <f t="shared" si="0"/>
        <v>4.5024415126460786</v>
      </c>
      <c r="N1050" s="75"/>
      <c r="O1050" s="75"/>
      <c r="P1050" s="75"/>
      <c r="Q1050" s="75"/>
      <c r="R1050" s="75"/>
      <c r="S1050" s="75"/>
      <c r="T1050" s="75"/>
    </row>
    <row r="1051" spans="2:20">
      <c r="C1051" s="75"/>
      <c r="I1051" s="75"/>
      <c r="J1051" s="937" t="s">
        <v>21</v>
      </c>
      <c r="K1051" s="938"/>
      <c r="L1051" s="228">
        <f>+'Tableau détaillé'!I307</f>
        <v>-0.11049707552266939</v>
      </c>
      <c r="M1051" s="227">
        <f t="shared" si="0"/>
        <v>-0.11049707552266939</v>
      </c>
      <c r="N1051" s="75"/>
      <c r="O1051" s="75"/>
      <c r="P1051" s="75"/>
      <c r="Q1051" s="75"/>
      <c r="R1051" s="75"/>
      <c r="S1051" s="75"/>
      <c r="T1051" s="75"/>
    </row>
    <row r="1052" spans="2:20">
      <c r="C1052" s="75"/>
      <c r="I1052" s="75"/>
      <c r="J1052" s="941" t="s">
        <v>22</v>
      </c>
      <c r="K1052" s="942"/>
      <c r="L1052" s="276">
        <f>+'Tableau détaillé'!I308</f>
        <v>4.3261057512377574</v>
      </c>
      <c r="M1052" s="227">
        <f t="shared" si="0"/>
        <v>4.3261057512377574</v>
      </c>
      <c r="N1052" s="75"/>
      <c r="O1052" s="75"/>
      <c r="P1052" s="75"/>
      <c r="Q1052" s="75"/>
      <c r="R1052" s="75"/>
      <c r="S1052" s="75"/>
      <c r="T1052" s="75"/>
    </row>
    <row r="1053" spans="2:20">
      <c r="C1053" s="75"/>
      <c r="I1053" s="75"/>
      <c r="J1053" s="937" t="s">
        <v>15</v>
      </c>
      <c r="K1053" s="938"/>
      <c r="L1053" s="228">
        <f>+'Tableau détaillé'!I310</f>
        <v>5.4741700921011827</v>
      </c>
      <c r="M1053" s="227">
        <f t="shared" si="0"/>
        <v>5.4741700921011827</v>
      </c>
      <c r="N1053" s="75"/>
      <c r="O1053" s="75"/>
      <c r="P1053" s="75"/>
      <c r="Q1053" s="75"/>
      <c r="R1053" s="75"/>
      <c r="S1053" s="75"/>
      <c r="T1053" s="75"/>
    </row>
    <row r="1054" spans="2:20">
      <c r="C1054" s="75"/>
      <c r="I1054" s="75"/>
      <c r="J1054" s="937" t="s">
        <v>16</v>
      </c>
      <c r="K1054" s="938"/>
      <c r="L1054" s="228">
        <f>+'Tableau détaillé'!I311</f>
        <v>-8.9789900539559184</v>
      </c>
      <c r="M1054" s="227">
        <f t="shared" si="0"/>
        <v>-8.9789900539559184</v>
      </c>
      <c r="N1054" s="75"/>
      <c r="O1054" s="75"/>
      <c r="P1054" s="75"/>
      <c r="Q1054" s="75"/>
      <c r="R1054" s="75"/>
      <c r="S1054" s="75"/>
      <c r="T1054" s="75"/>
    </row>
    <row r="1055" spans="2:20">
      <c r="C1055" s="75"/>
      <c r="D1055" s="75"/>
      <c r="E1055" s="75"/>
      <c r="F1055" s="75"/>
      <c r="G1055" s="75"/>
      <c r="H1055" s="75"/>
      <c r="I1055" s="75"/>
      <c r="J1055" s="937" t="s">
        <v>20</v>
      </c>
      <c r="K1055" s="938"/>
      <c r="L1055" s="228">
        <f>+'Tableau détaillé'!I312</f>
        <v>1.7124660070414091</v>
      </c>
      <c r="M1055" s="227">
        <f t="shared" si="0"/>
        <v>1.7124660070414091</v>
      </c>
      <c r="N1055" s="75"/>
      <c r="O1055" s="75"/>
      <c r="P1055" s="75"/>
      <c r="Q1055" s="75"/>
      <c r="R1055" s="75"/>
      <c r="S1055" s="75"/>
      <c r="T1055" s="75"/>
    </row>
    <row r="1056" spans="2:20" ht="15" thickBot="1">
      <c r="C1056" s="75"/>
      <c r="D1056" s="75"/>
      <c r="E1056" s="75"/>
      <c r="F1056" s="75"/>
      <c r="G1056" s="75"/>
      <c r="H1056" s="75"/>
      <c r="I1056" s="75"/>
      <c r="J1056" s="939" t="s">
        <v>23</v>
      </c>
      <c r="K1056" s="940"/>
      <c r="L1056" s="229">
        <f>+'Tableau détaillé'!I313</f>
        <v>0.2023884616966839</v>
      </c>
      <c r="M1056" s="227">
        <f t="shared" si="0"/>
        <v>0.2023884616966839</v>
      </c>
      <c r="N1056" s="75"/>
      <c r="O1056" s="75"/>
      <c r="P1056" s="75"/>
      <c r="Q1056" s="75"/>
      <c r="R1056" s="75"/>
      <c r="S1056" s="75"/>
      <c r="T1056" s="75"/>
    </row>
    <row r="1057" spans="3:20">
      <c r="C1057" s="75"/>
      <c r="D1057" s="75"/>
      <c r="E1057" s="75"/>
      <c r="F1057" s="75"/>
      <c r="G1057" s="75"/>
      <c r="H1057" s="75"/>
      <c r="I1057" s="75"/>
      <c r="J1057" s="75"/>
      <c r="K1057" s="75"/>
      <c r="L1057" s="75"/>
      <c r="M1057" s="75"/>
      <c r="N1057" s="75"/>
      <c r="O1057" s="75"/>
      <c r="P1057" s="75"/>
      <c r="Q1057" s="75"/>
      <c r="R1057" s="75"/>
      <c r="S1057" s="75"/>
      <c r="T1057" s="75"/>
    </row>
    <row r="1058" spans="3:20" ht="9.75" customHeight="1">
      <c r="C1058" s="75"/>
      <c r="D1058" s="75"/>
      <c r="E1058" s="75"/>
      <c r="F1058" s="75"/>
      <c r="G1058" s="75"/>
      <c r="H1058" s="75"/>
      <c r="I1058" s="204"/>
      <c r="J1058" s="205"/>
      <c r="K1058" s="75"/>
      <c r="L1058" s="204"/>
      <c r="M1058" s="75"/>
      <c r="N1058" s="75"/>
      <c r="O1058" s="75"/>
      <c r="P1058" s="75"/>
      <c r="Q1058" s="75"/>
      <c r="R1058" s="75"/>
      <c r="S1058" s="75"/>
      <c r="T1058" s="75"/>
    </row>
    <row r="1059" spans="3:20">
      <c r="C1059" s="75"/>
      <c r="D1059" s="75"/>
      <c r="E1059" s="75"/>
      <c r="F1059" s="75"/>
      <c r="G1059" s="75"/>
      <c r="H1059" s="75"/>
      <c r="I1059" s="204"/>
      <c r="J1059" s="205"/>
      <c r="K1059" s="75"/>
      <c r="L1059" s="204"/>
      <c r="M1059" s="75"/>
      <c r="N1059" s="75"/>
      <c r="O1059" s="75"/>
      <c r="P1059" s="75"/>
      <c r="Q1059" s="75"/>
      <c r="R1059" s="75"/>
      <c r="S1059" s="75"/>
      <c r="T1059" s="75"/>
    </row>
    <row r="1060" spans="3:20" ht="12" customHeight="1">
      <c r="C1060" s="75"/>
      <c r="D1060" s="75"/>
      <c r="E1060" s="75"/>
      <c r="F1060" s="75"/>
      <c r="G1060" s="75"/>
      <c r="H1060" s="75"/>
      <c r="J1060" s="205"/>
      <c r="K1060" s="75"/>
      <c r="L1060" s="204"/>
      <c r="M1060" s="75"/>
      <c r="N1060" s="75"/>
      <c r="O1060" s="75"/>
      <c r="P1060" s="75"/>
      <c r="Q1060" s="75"/>
      <c r="R1060" s="75"/>
      <c r="S1060" s="75"/>
      <c r="T1060" s="75"/>
    </row>
    <row r="1061" spans="3:20">
      <c r="C1061" s="75"/>
      <c r="D1061" s="75"/>
      <c r="E1061" s="75"/>
      <c r="F1061" s="75"/>
      <c r="G1061" s="75"/>
      <c r="H1061" s="75"/>
      <c r="I1061" s="206"/>
      <c r="J1061" s="205"/>
      <c r="K1061" s="75"/>
      <c r="L1061" s="204"/>
      <c r="M1061" s="75"/>
      <c r="N1061" s="75"/>
      <c r="O1061" s="206"/>
      <c r="P1061" s="75"/>
      <c r="Q1061" s="75"/>
      <c r="R1061" s="75"/>
      <c r="S1061" s="75"/>
      <c r="T1061" s="75"/>
    </row>
    <row r="1062" spans="3:20" ht="15" thickBot="1">
      <c r="C1062" s="75"/>
      <c r="D1062" s="75"/>
      <c r="E1062" s="75"/>
      <c r="F1062" s="75"/>
      <c r="G1062" s="75"/>
      <c r="H1062" s="75"/>
      <c r="I1062" s="204"/>
      <c r="J1062" s="199"/>
      <c r="K1062" s="75"/>
      <c r="L1062" s="223" t="s">
        <v>288</v>
      </c>
      <c r="M1062" s="75"/>
      <c r="N1062" s="75"/>
      <c r="O1062" s="75"/>
      <c r="P1062" s="75"/>
      <c r="Q1062" s="75"/>
      <c r="R1062" s="75"/>
      <c r="S1062" s="75"/>
      <c r="T1062" s="75"/>
    </row>
    <row r="1063" spans="3:20">
      <c r="C1063" s="75"/>
      <c r="D1063" s="75"/>
      <c r="E1063" s="75"/>
      <c r="F1063" s="75"/>
      <c r="G1063" s="75"/>
      <c r="H1063" s="75"/>
      <c r="I1063" s="204"/>
      <c r="J1063" s="935" t="s">
        <v>13</v>
      </c>
      <c r="K1063" s="936"/>
      <c r="L1063" s="226">
        <f>+'Tableau détaillé'!I318</f>
        <v>-7.1766091895796524</v>
      </c>
      <c r="M1063" s="227">
        <f>+L1063</f>
        <v>-7.1766091895796524</v>
      </c>
      <c r="N1063" s="75"/>
      <c r="O1063" s="75"/>
      <c r="P1063" s="75"/>
      <c r="Q1063" s="75"/>
      <c r="R1063" s="75"/>
      <c r="S1063" s="75"/>
      <c r="T1063" s="75"/>
    </row>
    <row r="1064" spans="3:20">
      <c r="C1064" s="75"/>
      <c r="D1064" s="75"/>
      <c r="E1064" s="75"/>
      <c r="F1064" s="75"/>
      <c r="G1064" s="75"/>
      <c r="H1064" s="75"/>
      <c r="I1064" s="204"/>
      <c r="J1064" s="941" t="s">
        <v>14</v>
      </c>
      <c r="K1064" s="942"/>
      <c r="L1064" s="276" t="str">
        <f>+'Tableau détaillé'!I319</f>
        <v>ND</v>
      </c>
      <c r="M1064" s="227" t="str">
        <f t="shared" ref="M1064:M1073" si="1">+L1064</f>
        <v>ND</v>
      </c>
      <c r="N1064" s="75"/>
      <c r="O1064" s="75"/>
      <c r="P1064" s="75"/>
      <c r="Q1064" s="75"/>
      <c r="R1064" s="75"/>
      <c r="S1064" s="75"/>
      <c r="T1064" s="75"/>
    </row>
    <row r="1065" spans="3:20">
      <c r="C1065" s="75"/>
      <c r="D1065" s="75"/>
      <c r="E1065" s="75"/>
      <c r="F1065" s="75"/>
      <c r="G1065" s="75"/>
      <c r="H1065" s="75"/>
      <c r="I1065" s="204"/>
      <c r="J1065" s="937" t="s">
        <v>17</v>
      </c>
      <c r="K1065" s="938"/>
      <c r="L1065" s="228">
        <f>+'Tableau détaillé'!I320</f>
        <v>-32.852861303505016</v>
      </c>
      <c r="M1065" s="227">
        <f t="shared" si="1"/>
        <v>-32.852861303505016</v>
      </c>
      <c r="N1065" s="75"/>
      <c r="O1065" s="75"/>
      <c r="P1065" s="75"/>
      <c r="Q1065" s="75"/>
      <c r="R1065" s="75"/>
      <c r="S1065" s="75"/>
      <c r="T1065" s="75"/>
    </row>
    <row r="1066" spans="3:20">
      <c r="C1066" s="75"/>
      <c r="D1066" s="75"/>
      <c r="E1066" s="75"/>
      <c r="F1066" s="75"/>
      <c r="G1066" s="75"/>
      <c r="H1066" s="75"/>
      <c r="I1066" s="75"/>
      <c r="J1066" s="937" t="s">
        <v>18</v>
      </c>
      <c r="K1066" s="938"/>
      <c r="L1066" s="228">
        <f>+'Tableau détaillé'!I321</f>
        <v>-36.001069981588515</v>
      </c>
      <c r="M1066" s="227">
        <f t="shared" si="1"/>
        <v>-36.001069981588515</v>
      </c>
      <c r="N1066" s="75"/>
      <c r="O1066" s="75"/>
      <c r="P1066" s="75"/>
      <c r="Q1066" s="75"/>
      <c r="R1066" s="75"/>
      <c r="S1066" s="75"/>
      <c r="T1066" s="75"/>
    </row>
    <row r="1067" spans="3:20">
      <c r="C1067" s="75"/>
      <c r="D1067" s="75"/>
      <c r="E1067" s="75"/>
      <c r="F1067" s="75"/>
      <c r="G1067" s="75"/>
      <c r="H1067" s="75"/>
      <c r="I1067" s="75"/>
      <c r="J1067" s="937" t="s">
        <v>19</v>
      </c>
      <c r="K1067" s="938"/>
      <c r="L1067" s="228">
        <f>+'Tableau détaillé'!I322</f>
        <v>-35.34600985958248</v>
      </c>
      <c r="M1067" s="227">
        <f t="shared" si="1"/>
        <v>-35.34600985958248</v>
      </c>
      <c r="N1067" s="75"/>
      <c r="O1067" s="75"/>
      <c r="P1067" s="75"/>
      <c r="Q1067" s="75"/>
      <c r="R1067" s="75"/>
      <c r="S1067" s="75"/>
      <c r="T1067" s="75"/>
    </row>
    <row r="1068" spans="3:20">
      <c r="C1068" s="75"/>
      <c r="D1068" s="75"/>
      <c r="E1068" s="75"/>
      <c r="F1068" s="75"/>
      <c r="G1068" s="75"/>
      <c r="H1068" s="75"/>
      <c r="I1068" s="75"/>
      <c r="J1068" s="937" t="s">
        <v>21</v>
      </c>
      <c r="K1068" s="938"/>
      <c r="L1068" s="228">
        <f>+'Tableau détaillé'!I323</f>
        <v>-30.785204822112277</v>
      </c>
      <c r="M1068" s="227">
        <f t="shared" si="1"/>
        <v>-30.785204822112277</v>
      </c>
      <c r="N1068" s="75"/>
      <c r="O1068" s="75"/>
      <c r="P1068" s="75"/>
      <c r="Q1068" s="75"/>
      <c r="R1068" s="75"/>
      <c r="S1068" s="75"/>
      <c r="T1068" s="75"/>
    </row>
    <row r="1069" spans="3:20">
      <c r="C1069" s="75"/>
      <c r="D1069" s="75"/>
      <c r="E1069" s="75"/>
      <c r="F1069" s="75"/>
      <c r="G1069" s="75"/>
      <c r="H1069" s="75"/>
      <c r="I1069" s="75"/>
      <c r="J1069" s="941" t="s">
        <v>22</v>
      </c>
      <c r="K1069" s="942"/>
      <c r="L1069" s="276">
        <f>+'Tableau détaillé'!I324</f>
        <v>-18.811146263026359</v>
      </c>
      <c r="M1069" s="227">
        <f t="shared" si="1"/>
        <v>-18.811146263026359</v>
      </c>
      <c r="N1069" s="75"/>
      <c r="O1069" s="75"/>
      <c r="P1069" s="75"/>
      <c r="Q1069" s="75"/>
      <c r="R1069" s="75"/>
      <c r="S1069" s="75"/>
      <c r="T1069" s="75"/>
    </row>
    <row r="1070" spans="3:20">
      <c r="C1070" s="75"/>
      <c r="D1070" s="75"/>
      <c r="E1070" s="75"/>
      <c r="F1070" s="75"/>
      <c r="G1070" s="75"/>
      <c r="H1070" s="75"/>
      <c r="I1070" s="75"/>
      <c r="J1070" s="937" t="s">
        <v>15</v>
      </c>
      <c r="K1070" s="938"/>
      <c r="L1070" s="228">
        <f>+'Tableau détaillé'!I326</f>
        <v>-15.009878367813585</v>
      </c>
      <c r="M1070" s="227">
        <f t="shared" si="1"/>
        <v>-15.009878367813585</v>
      </c>
      <c r="N1070" s="75"/>
      <c r="O1070" s="75"/>
      <c r="P1070" s="75"/>
      <c r="Q1070" s="75"/>
      <c r="R1070" s="75"/>
      <c r="S1070" s="75"/>
      <c r="T1070" s="75"/>
    </row>
    <row r="1071" spans="3:20">
      <c r="C1071" s="75"/>
      <c r="D1071" s="75"/>
      <c r="E1071" s="75"/>
      <c r="F1071" s="75"/>
      <c r="G1071" s="75"/>
      <c r="H1071" s="75"/>
      <c r="I1071" s="75"/>
      <c r="J1071" s="937" t="s">
        <v>16</v>
      </c>
      <c r="K1071" s="938"/>
      <c r="L1071" s="228">
        <f>+'Tableau détaillé'!I327</f>
        <v>123.33392143660421</v>
      </c>
      <c r="M1071" s="227">
        <f t="shared" si="1"/>
        <v>123.33392143660421</v>
      </c>
      <c r="N1071" s="75"/>
      <c r="O1071" s="75"/>
      <c r="P1071" s="75"/>
      <c r="Q1071" s="75"/>
      <c r="R1071" s="75"/>
      <c r="S1071" s="75"/>
      <c r="T1071" s="75"/>
    </row>
    <row r="1072" spans="3:20">
      <c r="C1072" s="75"/>
      <c r="D1072" s="75"/>
      <c r="E1072" s="75"/>
      <c r="F1072" s="75"/>
      <c r="G1072" s="75"/>
      <c r="H1072" s="75"/>
      <c r="I1072" s="75"/>
      <c r="J1072" s="937" t="s">
        <v>20</v>
      </c>
      <c r="K1072" s="938"/>
      <c r="L1072" s="228">
        <f>+'Tableau détaillé'!I328</f>
        <v>-16.447025120287119</v>
      </c>
      <c r="M1072" s="227">
        <f t="shared" si="1"/>
        <v>-16.447025120287119</v>
      </c>
      <c r="N1072" s="75"/>
      <c r="O1072" s="75"/>
      <c r="P1072" s="75"/>
      <c r="Q1072" s="75"/>
      <c r="R1072" s="75"/>
      <c r="S1072" s="75"/>
      <c r="T1072" s="75"/>
    </row>
    <row r="1073" spans="2:20" ht="15" thickBot="1">
      <c r="C1073" s="75"/>
      <c r="D1073" s="75"/>
      <c r="E1073" s="75"/>
      <c r="F1073" s="75"/>
      <c r="G1073" s="75"/>
      <c r="H1073" s="75"/>
      <c r="I1073" s="75"/>
      <c r="J1073" s="939" t="s">
        <v>23</v>
      </c>
      <c r="K1073" s="940"/>
      <c r="L1073" s="229">
        <f>+'Tableau détaillé'!I329</f>
        <v>-15.633059337474897</v>
      </c>
      <c r="M1073" s="227">
        <f t="shared" si="1"/>
        <v>-15.633059337474897</v>
      </c>
      <c r="N1073" s="75"/>
      <c r="O1073" s="75"/>
      <c r="P1073" s="75"/>
      <c r="Q1073" s="75"/>
      <c r="R1073" s="75"/>
      <c r="S1073" s="75"/>
      <c r="T1073" s="75"/>
    </row>
    <row r="1074" spans="2:20">
      <c r="C1074" s="75"/>
      <c r="D1074" s="75"/>
      <c r="E1074" s="75"/>
      <c r="F1074" s="75"/>
      <c r="G1074" s="75"/>
      <c r="H1074" s="75"/>
      <c r="I1074" s="75"/>
      <c r="J1074" s="75"/>
      <c r="K1074" s="75"/>
      <c r="L1074" s="75"/>
      <c r="M1074" s="75"/>
      <c r="N1074" s="75"/>
      <c r="O1074" s="75"/>
      <c r="P1074" s="75"/>
      <c r="Q1074" s="75"/>
      <c r="R1074" s="75"/>
      <c r="S1074" s="75"/>
      <c r="T1074" s="75"/>
    </row>
    <row r="1075" spans="2:20">
      <c r="C1075" s="75"/>
      <c r="D1075" s="75"/>
      <c r="E1075" s="75"/>
      <c r="F1075" s="75"/>
      <c r="G1075" s="75"/>
      <c r="H1075" s="75"/>
      <c r="I1075" s="75"/>
      <c r="J1075" s="75"/>
      <c r="K1075" s="75"/>
      <c r="L1075" s="75"/>
      <c r="M1075" s="75"/>
      <c r="N1075" s="75"/>
      <c r="O1075" s="75"/>
      <c r="P1075" s="75"/>
      <c r="Q1075" s="75"/>
      <c r="R1075" s="75"/>
      <c r="S1075" s="75"/>
      <c r="T1075" s="75"/>
    </row>
    <row r="1076" spans="2:20">
      <c r="C1076" s="75"/>
      <c r="D1076" s="75"/>
      <c r="E1076" s="75"/>
      <c r="F1076" s="75"/>
      <c r="G1076" s="75"/>
      <c r="H1076" s="75"/>
      <c r="I1076" s="230">
        <f>1+I1036</f>
        <v>25</v>
      </c>
      <c r="J1076" s="75"/>
      <c r="K1076" s="75"/>
      <c r="L1076" s="75"/>
      <c r="M1076" s="75"/>
      <c r="N1076" s="75"/>
      <c r="O1076" s="75"/>
      <c r="P1076" s="75"/>
      <c r="Q1076" s="75"/>
      <c r="R1076" s="75"/>
      <c r="S1076" s="75"/>
      <c r="T1076" s="75"/>
    </row>
    <row r="1077" spans="2:20">
      <c r="C1077" s="75"/>
      <c r="D1077" s="75"/>
      <c r="E1077" s="75"/>
      <c r="F1077" s="75"/>
      <c r="G1077" s="75"/>
      <c r="H1077" s="75"/>
      <c r="I1077" s="75"/>
      <c r="J1077" s="75"/>
      <c r="K1077" s="75"/>
      <c r="L1077" s="75"/>
      <c r="M1077" s="75"/>
      <c r="N1077" s="75"/>
      <c r="O1077" s="75"/>
      <c r="P1077" s="75"/>
      <c r="Q1077" s="75"/>
      <c r="R1077" s="75"/>
      <c r="S1077" s="75"/>
      <c r="T1077" s="75"/>
    </row>
    <row r="1078" spans="2:20" ht="9.75" customHeight="1">
      <c r="C1078" s="56"/>
      <c r="D1078" s="56"/>
      <c r="E1078" s="56"/>
      <c r="F1078" s="56"/>
      <c r="G1078" s="56"/>
      <c r="H1078" s="56"/>
      <c r="I1078" s="56"/>
      <c r="J1078" s="56"/>
      <c r="K1078" s="56"/>
      <c r="L1078" s="56"/>
      <c r="M1078" s="56"/>
      <c r="N1078" s="56"/>
      <c r="O1078" s="56"/>
      <c r="P1078" s="56"/>
      <c r="Q1078" s="56"/>
      <c r="R1078" s="56"/>
      <c r="S1078" s="56"/>
      <c r="T1078" s="56"/>
    </row>
    <row r="1079" spans="2:20" ht="23.4">
      <c r="C1079" s="200" t="s">
        <v>263</v>
      </c>
      <c r="D1079" s="202" t="s">
        <v>291</v>
      </c>
      <c r="E1079" s="202"/>
      <c r="F1079" s="202"/>
      <c r="G1079" s="202"/>
      <c r="H1079" s="202"/>
      <c r="I1079" s="200"/>
      <c r="J1079" s="200"/>
      <c r="K1079" s="200"/>
      <c r="L1079" s="200"/>
      <c r="M1079" s="200"/>
      <c r="N1079" s="200"/>
      <c r="O1079" s="200"/>
      <c r="P1079" s="200"/>
      <c r="Q1079" s="200"/>
      <c r="R1079" s="200"/>
      <c r="S1079" s="200"/>
      <c r="T1079" s="200"/>
    </row>
    <row r="1080" spans="2:20" ht="5.4" customHeight="1"/>
    <row r="1081" spans="2:20" ht="5.4" customHeight="1">
      <c r="B1081" s="203"/>
      <c r="C1081" s="203"/>
      <c r="D1081" s="203"/>
      <c r="E1081" s="203"/>
      <c r="F1081" s="203"/>
      <c r="G1081" s="203"/>
      <c r="H1081" s="203"/>
    </row>
    <row r="1082" spans="2:20" ht="17.25" customHeight="1">
      <c r="D1082" s="934"/>
      <c r="E1082" s="934"/>
      <c r="F1082" s="934"/>
      <c r="G1082" s="934"/>
      <c r="H1082" s="934"/>
      <c r="I1082" s="934"/>
      <c r="J1082" s="934"/>
      <c r="K1082" s="934"/>
      <c r="L1082" s="934"/>
      <c r="M1082" s="934"/>
      <c r="N1082" s="934"/>
    </row>
    <row r="1083" spans="2:20">
      <c r="C1083" s="75"/>
      <c r="O1083" s="75"/>
      <c r="P1083" s="75"/>
      <c r="Q1083" s="75"/>
      <c r="R1083" s="75"/>
      <c r="S1083" s="75"/>
      <c r="T1083" s="75"/>
    </row>
    <row r="1084" spans="2:20" ht="20.25" customHeight="1">
      <c r="C1084" s="75"/>
      <c r="I1084" s="75"/>
      <c r="J1084" s="75"/>
      <c r="K1084" s="75"/>
      <c r="L1084" s="75"/>
      <c r="M1084" s="75"/>
      <c r="N1084" s="75"/>
      <c r="O1084" s="75"/>
      <c r="P1084" s="75"/>
      <c r="Q1084" s="75"/>
      <c r="R1084" s="75"/>
      <c r="S1084" s="75"/>
      <c r="T1084" s="75"/>
    </row>
    <row r="1085" spans="2:20">
      <c r="C1085" s="75"/>
      <c r="I1085" s="75"/>
      <c r="J1085" s="75"/>
      <c r="K1085" s="75"/>
      <c r="L1085" s="75"/>
      <c r="M1085" s="75"/>
      <c r="N1085" s="75"/>
      <c r="O1085" s="75"/>
      <c r="P1085" s="75"/>
      <c r="Q1085" s="75"/>
      <c r="R1085" s="75"/>
      <c r="S1085" s="75"/>
      <c r="T1085" s="75"/>
    </row>
    <row r="1086" spans="2:20">
      <c r="C1086" s="75"/>
      <c r="I1086" s="75"/>
      <c r="J1086" s="75"/>
      <c r="K1086" s="75"/>
      <c r="L1086" s="75"/>
      <c r="M1086" s="75"/>
      <c r="N1086" s="75"/>
      <c r="O1086" s="75"/>
      <c r="P1086" s="75"/>
      <c r="Q1086" s="75"/>
      <c r="R1086" s="75"/>
      <c r="S1086" s="75"/>
      <c r="T1086" s="75"/>
    </row>
    <row r="1087" spans="2:20">
      <c r="C1087" s="75"/>
      <c r="I1087" s="75"/>
      <c r="J1087" s="75"/>
      <c r="K1087" s="75"/>
      <c r="L1087" s="75"/>
      <c r="M1087" s="75"/>
      <c r="N1087" s="75"/>
      <c r="O1087" s="75"/>
      <c r="P1087" s="75"/>
      <c r="Q1087" s="75"/>
      <c r="R1087" s="75"/>
      <c r="S1087" s="75"/>
      <c r="T1087" s="75"/>
    </row>
    <row r="1088" spans="2:20">
      <c r="C1088" s="75"/>
      <c r="I1088" s="75"/>
      <c r="J1088" s="75"/>
      <c r="K1088" s="75"/>
      <c r="L1088" s="75"/>
      <c r="M1088" s="75"/>
      <c r="N1088" s="75"/>
      <c r="O1088" s="75"/>
      <c r="P1088" s="75"/>
      <c r="Q1088" s="75"/>
      <c r="R1088" s="75"/>
      <c r="S1088" s="75"/>
      <c r="T1088" s="75"/>
    </row>
    <row r="1089" spans="3:20">
      <c r="C1089" s="75"/>
      <c r="I1089" s="75"/>
      <c r="J1089" s="75"/>
      <c r="K1089" s="75"/>
      <c r="L1089" s="75"/>
      <c r="M1089" s="75"/>
      <c r="N1089" s="75"/>
      <c r="O1089" s="75"/>
      <c r="P1089" s="75"/>
      <c r="Q1089" s="75"/>
      <c r="R1089" s="75"/>
      <c r="S1089" s="75"/>
      <c r="T1089" s="75"/>
    </row>
    <row r="1090" spans="3:20">
      <c r="C1090" s="75"/>
      <c r="I1090" s="75"/>
      <c r="J1090" s="75"/>
      <c r="K1090" s="75"/>
      <c r="L1090" s="75"/>
      <c r="M1090" s="75"/>
      <c r="N1090" s="75"/>
      <c r="O1090" s="75"/>
      <c r="P1090" s="75"/>
      <c r="Q1090" s="75"/>
      <c r="R1090" s="75"/>
      <c r="S1090" s="75"/>
      <c r="T1090" s="75"/>
    </row>
    <row r="1091" spans="3:20">
      <c r="C1091" s="75"/>
      <c r="I1091" s="75"/>
      <c r="J1091" s="75"/>
      <c r="K1091" s="75"/>
      <c r="L1091" s="75"/>
      <c r="M1091" s="75"/>
      <c r="N1091" s="75"/>
      <c r="O1091" s="75"/>
      <c r="P1091" s="75"/>
      <c r="Q1091" s="75"/>
      <c r="R1091" s="75"/>
      <c r="S1091" s="75"/>
      <c r="T1091" s="75"/>
    </row>
    <row r="1092" spans="3:20">
      <c r="C1092" s="75"/>
      <c r="I1092" s="75"/>
      <c r="J1092" s="75"/>
      <c r="K1092" s="75"/>
      <c r="L1092" s="75"/>
      <c r="M1092" s="75"/>
      <c r="N1092" s="75"/>
      <c r="O1092" s="75"/>
      <c r="P1092" s="75"/>
      <c r="Q1092" s="75"/>
      <c r="R1092" s="75"/>
      <c r="S1092" s="75"/>
      <c r="T1092" s="75"/>
    </row>
    <row r="1093" spans="3:20">
      <c r="C1093" s="75"/>
      <c r="I1093" s="75"/>
      <c r="J1093" s="75"/>
      <c r="K1093" s="75"/>
      <c r="L1093" s="75"/>
      <c r="M1093" s="75"/>
      <c r="N1093" s="75"/>
      <c r="O1093" s="75"/>
      <c r="P1093" s="75"/>
      <c r="Q1093" s="75"/>
      <c r="R1093" s="75"/>
      <c r="S1093" s="75"/>
      <c r="T1093" s="75"/>
    </row>
    <row r="1094" spans="3:20">
      <c r="C1094" s="75"/>
      <c r="I1094" s="75"/>
      <c r="J1094" s="75"/>
      <c r="K1094" s="75"/>
      <c r="L1094" s="75"/>
      <c r="M1094" s="75"/>
      <c r="N1094" s="75"/>
      <c r="O1094" s="75"/>
      <c r="P1094" s="75"/>
      <c r="Q1094" s="75"/>
      <c r="R1094" s="75"/>
      <c r="S1094" s="75"/>
      <c r="T1094" s="75"/>
    </row>
    <row r="1095" spans="3:20">
      <c r="C1095" s="75"/>
      <c r="D1095" s="75"/>
      <c r="E1095" s="75"/>
      <c r="F1095" s="75"/>
      <c r="G1095" s="75"/>
      <c r="H1095" s="75"/>
      <c r="I1095" s="75"/>
      <c r="J1095" s="75"/>
      <c r="K1095" s="75"/>
      <c r="L1095" s="75"/>
      <c r="M1095" s="75"/>
      <c r="N1095" s="75"/>
      <c r="O1095" s="75"/>
      <c r="P1095" s="75"/>
      <c r="Q1095" s="75"/>
      <c r="R1095" s="75"/>
      <c r="S1095" s="75"/>
      <c r="T1095" s="75"/>
    </row>
    <row r="1096" spans="3:20">
      <c r="C1096" s="75"/>
      <c r="D1096" s="75"/>
      <c r="E1096" s="75"/>
      <c r="F1096" s="75"/>
      <c r="G1096" s="75"/>
      <c r="H1096" s="75"/>
      <c r="I1096" s="75"/>
      <c r="J1096" s="75"/>
      <c r="K1096" s="75"/>
      <c r="L1096" s="75"/>
      <c r="M1096" s="75"/>
      <c r="N1096" s="75"/>
      <c r="O1096" s="75"/>
      <c r="P1096" s="75"/>
      <c r="Q1096" s="75"/>
      <c r="R1096" s="75"/>
      <c r="S1096" s="75"/>
      <c r="T1096" s="75"/>
    </row>
    <row r="1097" spans="3:20">
      <c r="C1097" s="75"/>
      <c r="D1097" s="75"/>
      <c r="E1097" s="75"/>
      <c r="F1097" s="75"/>
      <c r="G1097" s="75"/>
      <c r="H1097" s="75"/>
      <c r="I1097" s="75"/>
      <c r="J1097" s="75"/>
      <c r="K1097" s="75"/>
      <c r="L1097" s="75"/>
      <c r="M1097" s="75"/>
      <c r="N1097" s="75"/>
      <c r="O1097" s="75"/>
      <c r="P1097" s="75"/>
      <c r="Q1097" s="75"/>
      <c r="R1097" s="75"/>
      <c r="S1097" s="75"/>
      <c r="T1097" s="75"/>
    </row>
    <row r="1098" spans="3:20">
      <c r="C1098" s="75"/>
      <c r="D1098" s="75"/>
      <c r="E1098" s="75"/>
      <c r="F1098" s="75"/>
      <c r="G1098" s="75"/>
      <c r="H1098" s="75"/>
      <c r="I1098" s="204"/>
      <c r="J1098" s="205"/>
      <c r="K1098" s="75"/>
      <c r="L1098" s="204"/>
      <c r="M1098" s="75"/>
      <c r="N1098" s="75"/>
      <c r="O1098" s="75"/>
      <c r="P1098" s="75"/>
      <c r="Q1098" s="75"/>
      <c r="R1098" s="75"/>
      <c r="S1098" s="75"/>
      <c r="T1098" s="75"/>
    </row>
    <row r="1099" spans="3:20">
      <c r="C1099" s="75"/>
      <c r="D1099" s="75"/>
      <c r="E1099" s="75"/>
      <c r="F1099" s="75"/>
      <c r="G1099" s="75"/>
      <c r="H1099" s="75"/>
      <c r="I1099" s="204"/>
      <c r="J1099" s="205"/>
      <c r="K1099" s="75"/>
      <c r="L1099" s="204"/>
      <c r="M1099" s="75"/>
      <c r="N1099" s="75"/>
      <c r="O1099" s="75"/>
      <c r="P1099" s="75"/>
      <c r="Q1099" s="75"/>
      <c r="R1099" s="75"/>
      <c r="S1099" s="75"/>
      <c r="T1099" s="75"/>
    </row>
    <row r="1100" spans="3:20">
      <c r="C1100" s="75"/>
      <c r="D1100" s="75"/>
      <c r="E1100" s="75"/>
      <c r="F1100" s="75"/>
      <c r="G1100" s="75"/>
      <c r="H1100" s="75"/>
      <c r="J1100" s="205"/>
      <c r="K1100" s="75"/>
      <c r="L1100" s="204"/>
      <c r="M1100" s="75"/>
      <c r="N1100" s="75"/>
      <c r="O1100" s="75"/>
      <c r="P1100" s="75"/>
      <c r="Q1100" s="75"/>
      <c r="R1100" s="75"/>
      <c r="S1100" s="75"/>
      <c r="T1100" s="75"/>
    </row>
    <row r="1101" spans="3:20">
      <c r="C1101" s="75"/>
      <c r="D1101" s="75"/>
      <c r="E1101" s="75"/>
      <c r="F1101" s="75"/>
      <c r="G1101" s="75"/>
      <c r="H1101" s="75"/>
      <c r="I1101" s="206"/>
      <c r="J1101" s="205"/>
      <c r="K1101" s="75"/>
      <c r="L1101" s="204"/>
      <c r="M1101" s="75"/>
      <c r="N1101" s="75"/>
      <c r="O1101" s="206"/>
      <c r="P1101" s="75"/>
      <c r="Q1101" s="75"/>
      <c r="R1101" s="75"/>
      <c r="S1101" s="75"/>
      <c r="T1101" s="75"/>
    </row>
    <row r="1102" spans="3:20">
      <c r="C1102" s="75"/>
      <c r="D1102" s="75"/>
      <c r="E1102" s="75"/>
      <c r="F1102" s="75"/>
      <c r="G1102" s="75"/>
      <c r="H1102" s="75"/>
      <c r="I1102" s="204"/>
      <c r="J1102" s="205"/>
      <c r="K1102" s="75"/>
      <c r="L1102" s="204"/>
      <c r="M1102" s="75"/>
      <c r="N1102" s="75"/>
      <c r="O1102" s="75"/>
      <c r="P1102" s="75"/>
      <c r="Q1102" s="75"/>
      <c r="R1102" s="75"/>
      <c r="S1102" s="75"/>
      <c r="T1102" s="75"/>
    </row>
    <row r="1103" spans="3:20">
      <c r="C1103" s="75"/>
      <c r="D1103" s="75"/>
      <c r="E1103" s="75"/>
      <c r="F1103" s="75"/>
      <c r="G1103" s="75"/>
      <c r="H1103" s="75"/>
      <c r="I1103" s="204"/>
      <c r="J1103" s="205"/>
      <c r="K1103" s="75"/>
      <c r="L1103" s="204"/>
      <c r="M1103" s="75"/>
      <c r="N1103" s="75"/>
      <c r="O1103" s="75"/>
      <c r="P1103" s="75"/>
      <c r="Q1103" s="75"/>
      <c r="R1103" s="75"/>
      <c r="S1103" s="75"/>
      <c r="T1103" s="75"/>
    </row>
    <row r="1104" spans="3:20">
      <c r="C1104" s="75"/>
      <c r="D1104" s="75"/>
      <c r="E1104" s="75"/>
      <c r="F1104" s="75"/>
      <c r="G1104" s="75"/>
      <c r="H1104" s="75"/>
      <c r="I1104" s="204"/>
      <c r="J1104" s="205"/>
      <c r="K1104" s="75"/>
      <c r="L1104" s="204"/>
      <c r="M1104" s="75"/>
      <c r="N1104" s="75"/>
      <c r="O1104" s="75"/>
      <c r="P1104" s="75"/>
      <c r="Q1104" s="75"/>
      <c r="R1104" s="75"/>
      <c r="S1104" s="75"/>
      <c r="T1104" s="75"/>
    </row>
    <row r="1105" spans="3:20">
      <c r="C1105" s="75"/>
      <c r="D1105" s="75"/>
      <c r="E1105" s="75"/>
      <c r="F1105" s="75"/>
      <c r="G1105" s="75"/>
      <c r="H1105" s="75"/>
      <c r="I1105" s="204"/>
      <c r="J1105" s="205"/>
      <c r="K1105" s="75"/>
      <c r="L1105" s="204"/>
      <c r="M1105" s="75"/>
      <c r="N1105" s="75"/>
      <c r="O1105" s="75"/>
      <c r="P1105" s="75"/>
      <c r="Q1105" s="75"/>
      <c r="R1105" s="75"/>
      <c r="S1105" s="75"/>
      <c r="T1105" s="75"/>
    </row>
    <row r="1106" spans="3:20">
      <c r="C1106" s="75"/>
      <c r="D1106" s="75"/>
      <c r="E1106" s="75"/>
      <c r="F1106" s="75"/>
      <c r="G1106" s="75"/>
      <c r="H1106" s="75"/>
      <c r="I1106" s="75"/>
      <c r="J1106" s="75"/>
      <c r="K1106" s="75"/>
      <c r="L1106" s="75"/>
      <c r="M1106" s="75"/>
      <c r="N1106" s="75"/>
      <c r="O1106" s="75"/>
      <c r="P1106" s="75"/>
      <c r="Q1106" s="75"/>
      <c r="R1106" s="75"/>
      <c r="S1106" s="75"/>
      <c r="T1106" s="75"/>
    </row>
    <row r="1107" spans="3:20">
      <c r="C1107" s="75"/>
      <c r="D1107" s="75"/>
      <c r="E1107" s="75"/>
      <c r="F1107" s="75"/>
      <c r="G1107" s="75"/>
      <c r="H1107" s="75"/>
      <c r="I1107" s="75"/>
      <c r="J1107" s="75"/>
      <c r="K1107" s="75"/>
      <c r="L1107" s="75"/>
      <c r="M1107" s="75"/>
      <c r="N1107" s="75"/>
      <c r="O1107" s="75"/>
      <c r="P1107" s="75"/>
      <c r="Q1107" s="75"/>
      <c r="R1107" s="75"/>
      <c r="S1107" s="75"/>
      <c r="T1107" s="75"/>
    </row>
    <row r="1108" spans="3:20">
      <c r="C1108" s="75"/>
      <c r="D1108" s="75"/>
      <c r="E1108" s="75"/>
      <c r="F1108" s="75"/>
      <c r="G1108" s="75"/>
      <c r="H1108" s="75"/>
      <c r="I1108" s="75"/>
      <c r="J1108" s="75"/>
      <c r="K1108" s="75"/>
      <c r="L1108" s="75"/>
      <c r="M1108" s="75"/>
      <c r="N1108" s="75"/>
      <c r="O1108" s="75"/>
      <c r="P1108" s="75"/>
      <c r="Q1108" s="75"/>
      <c r="R1108" s="75"/>
      <c r="S1108" s="75"/>
      <c r="T1108" s="75"/>
    </row>
    <row r="1109" spans="3:20">
      <c r="C1109" s="75"/>
      <c r="D1109" s="75"/>
      <c r="E1109" s="75"/>
      <c r="F1109" s="75"/>
      <c r="G1109" s="75"/>
      <c r="H1109" s="75"/>
      <c r="I1109" s="75"/>
      <c r="J1109" s="75"/>
      <c r="K1109" s="75"/>
      <c r="L1109" s="75"/>
      <c r="M1109" s="75"/>
      <c r="N1109" s="75"/>
      <c r="O1109" s="75"/>
      <c r="P1109" s="75"/>
      <c r="Q1109" s="75"/>
      <c r="R1109" s="75"/>
      <c r="S1109" s="75"/>
      <c r="T1109" s="75"/>
    </row>
    <row r="1110" spans="3:20">
      <c r="C1110" s="75"/>
      <c r="D1110" s="75"/>
      <c r="E1110" s="75"/>
      <c r="F1110" s="75"/>
      <c r="G1110" s="75"/>
      <c r="H1110" s="75"/>
      <c r="I1110" s="75"/>
      <c r="J1110" s="75"/>
      <c r="K1110" s="75"/>
      <c r="L1110" s="75"/>
      <c r="M1110" s="75"/>
      <c r="N1110" s="75"/>
      <c r="O1110" s="75"/>
      <c r="P1110" s="75"/>
      <c r="Q1110" s="75"/>
      <c r="R1110" s="75"/>
      <c r="S1110" s="75"/>
      <c r="T1110" s="75"/>
    </row>
    <row r="1111" spans="3:20">
      <c r="C1111" s="75"/>
      <c r="D1111" s="75"/>
      <c r="E1111" s="75"/>
      <c r="F1111" s="75"/>
      <c r="G1111" s="75"/>
      <c r="H1111" s="75"/>
      <c r="I1111" s="75"/>
      <c r="J1111" s="75"/>
      <c r="K1111" s="75"/>
      <c r="L1111" s="75"/>
      <c r="M1111" s="75"/>
      <c r="N1111" s="75"/>
      <c r="O1111" s="75"/>
      <c r="P1111" s="75"/>
      <c r="Q1111" s="75"/>
      <c r="R1111" s="75"/>
      <c r="S1111" s="75"/>
      <c r="T1111" s="75"/>
    </row>
    <row r="1112" spans="3:20">
      <c r="C1112" s="75"/>
      <c r="D1112" s="75"/>
      <c r="E1112" s="75"/>
      <c r="F1112" s="75"/>
      <c r="G1112" s="75"/>
      <c r="H1112" s="75"/>
      <c r="I1112" s="75"/>
      <c r="J1112" s="75"/>
      <c r="K1112" s="75"/>
      <c r="L1112" s="75"/>
      <c r="M1112" s="75"/>
      <c r="N1112" s="75"/>
      <c r="O1112" s="75"/>
      <c r="P1112" s="75"/>
      <c r="Q1112" s="75"/>
      <c r="R1112" s="75"/>
      <c r="S1112" s="75"/>
      <c r="T1112" s="75"/>
    </row>
    <row r="1113" spans="3:20" ht="7.5" customHeight="1">
      <c r="C1113" s="75"/>
      <c r="D1113" s="75"/>
      <c r="E1113" s="75"/>
      <c r="F1113" s="75"/>
      <c r="G1113" s="75"/>
      <c r="H1113" s="75"/>
      <c r="I1113" s="75"/>
      <c r="J1113" s="75"/>
      <c r="K1113" s="75"/>
      <c r="L1113" s="75"/>
      <c r="M1113" s="75"/>
      <c r="N1113" s="75"/>
      <c r="O1113" s="75"/>
      <c r="P1113" s="75"/>
      <c r="Q1113" s="75"/>
      <c r="R1113" s="75"/>
      <c r="S1113" s="75"/>
      <c r="T1113" s="75"/>
    </row>
    <row r="1114" spans="3:20">
      <c r="C1114" s="75"/>
      <c r="D1114" s="75"/>
      <c r="E1114" s="75"/>
      <c r="F1114" s="75"/>
      <c r="G1114" s="75"/>
      <c r="H1114" s="75"/>
      <c r="I1114" s="75"/>
      <c r="J1114" s="75"/>
      <c r="K1114" s="75"/>
      <c r="L1114" s="75"/>
      <c r="M1114" s="75"/>
      <c r="N1114" s="75"/>
      <c r="O1114" s="75"/>
      <c r="P1114" s="75"/>
      <c r="Q1114" s="75"/>
      <c r="R1114" s="75"/>
      <c r="S1114" s="75"/>
      <c r="T1114" s="75"/>
    </row>
    <row r="1115" spans="3:20">
      <c r="C1115" s="75"/>
      <c r="D1115" s="75"/>
      <c r="E1115" s="75"/>
      <c r="F1115" s="75"/>
      <c r="G1115" s="75"/>
      <c r="H1115" s="75"/>
      <c r="I1115" s="75"/>
      <c r="J1115" s="75"/>
      <c r="K1115" s="75"/>
      <c r="L1115" s="75"/>
      <c r="M1115" s="75"/>
      <c r="N1115" s="75"/>
      <c r="O1115" s="75"/>
      <c r="P1115" s="75"/>
      <c r="Q1115" s="75"/>
      <c r="R1115" s="75"/>
      <c r="S1115" s="75"/>
      <c r="T1115" s="75"/>
    </row>
    <row r="1116" spans="3:20">
      <c r="C1116" s="75"/>
      <c r="D1116" s="75"/>
      <c r="E1116" s="75"/>
      <c r="F1116" s="75"/>
      <c r="G1116" s="75"/>
      <c r="H1116" s="75"/>
      <c r="I1116" s="230">
        <f>1+I1076</f>
        <v>26</v>
      </c>
      <c r="J1116" s="75"/>
      <c r="K1116" s="75"/>
      <c r="L1116" s="75"/>
      <c r="M1116" s="75"/>
      <c r="N1116" s="75"/>
      <c r="O1116" s="75"/>
      <c r="P1116" s="75"/>
      <c r="Q1116" s="75"/>
      <c r="R1116" s="75"/>
      <c r="S1116" s="75"/>
      <c r="T1116" s="75"/>
    </row>
    <row r="1117" spans="3:20">
      <c r="C1117" s="75"/>
      <c r="D1117" s="75"/>
      <c r="E1117" s="75"/>
      <c r="F1117" s="75"/>
      <c r="G1117" s="75"/>
      <c r="H1117" s="75"/>
      <c r="I1117" s="75"/>
      <c r="J1117" s="75"/>
      <c r="K1117" s="75"/>
      <c r="L1117" s="75"/>
      <c r="M1117" s="75"/>
      <c r="N1117" s="75"/>
      <c r="O1117" s="75"/>
      <c r="P1117" s="75"/>
      <c r="Q1117" s="75"/>
      <c r="R1117" s="75"/>
      <c r="S1117" s="75"/>
      <c r="T1117" s="75"/>
    </row>
    <row r="1118" spans="3:20">
      <c r="C1118" s="75"/>
      <c r="D1118" s="75"/>
      <c r="E1118" s="75"/>
      <c r="F1118" s="75"/>
      <c r="G1118" s="75"/>
      <c r="H1118" s="75"/>
      <c r="I1118" s="75"/>
      <c r="J1118" s="75"/>
      <c r="K1118" s="75"/>
      <c r="L1118" s="75"/>
      <c r="M1118" s="75"/>
      <c r="N1118" s="75"/>
      <c r="O1118" s="75"/>
      <c r="P1118" s="75"/>
      <c r="Q1118" s="75"/>
      <c r="R1118" s="75"/>
      <c r="S1118" s="75"/>
      <c r="T1118" s="75"/>
    </row>
    <row r="1119" spans="3:20">
      <c r="C1119" s="75"/>
      <c r="D1119" s="75"/>
      <c r="E1119" s="75"/>
      <c r="F1119" s="75"/>
      <c r="G1119" s="75"/>
      <c r="H1119" s="75"/>
      <c r="I1119" s="75"/>
      <c r="J1119" s="75"/>
      <c r="K1119" s="75"/>
      <c r="L1119" s="75"/>
      <c r="M1119" s="75"/>
      <c r="N1119" s="75"/>
      <c r="O1119" s="75"/>
      <c r="P1119" s="75"/>
      <c r="Q1119" s="75"/>
      <c r="R1119" s="75"/>
      <c r="S1119" s="75"/>
      <c r="T1119" s="75"/>
    </row>
    <row r="1120" spans="3:20">
      <c r="C1120" s="75"/>
      <c r="D1120" s="75"/>
      <c r="E1120" s="75"/>
      <c r="F1120" s="75"/>
      <c r="G1120" s="75"/>
      <c r="H1120" s="75"/>
      <c r="I1120" s="75"/>
      <c r="J1120" s="75"/>
      <c r="K1120" s="75"/>
      <c r="L1120" s="75"/>
      <c r="M1120" s="75"/>
      <c r="N1120" s="75"/>
      <c r="O1120" s="75"/>
      <c r="P1120" s="75"/>
      <c r="Q1120" s="75"/>
      <c r="R1120" s="75"/>
      <c r="S1120" s="75"/>
      <c r="T1120" s="75"/>
    </row>
    <row r="1121" spans="3:20">
      <c r="C1121" s="75"/>
      <c r="D1121" s="75"/>
      <c r="E1121" s="75"/>
      <c r="F1121" s="75"/>
      <c r="G1121" s="75"/>
      <c r="H1121" s="75"/>
      <c r="I1121" s="75"/>
      <c r="J1121" s="75"/>
      <c r="K1121" s="75"/>
      <c r="L1121" s="75"/>
      <c r="M1121" s="75"/>
      <c r="N1121" s="75"/>
      <c r="O1121" s="75"/>
      <c r="P1121" s="75"/>
      <c r="Q1121" s="75"/>
      <c r="R1121" s="75"/>
      <c r="S1121" s="75"/>
      <c r="T1121" s="75"/>
    </row>
    <row r="1122" spans="3:20">
      <c r="C1122" s="75"/>
      <c r="D1122" s="75"/>
      <c r="E1122" s="75"/>
      <c r="F1122" s="75"/>
      <c r="G1122" s="75"/>
      <c r="H1122" s="75"/>
      <c r="I1122" s="75"/>
      <c r="J1122" s="75"/>
      <c r="K1122" s="75"/>
      <c r="L1122" s="75"/>
      <c r="M1122" s="75"/>
      <c r="N1122" s="75"/>
      <c r="O1122" s="75"/>
      <c r="P1122" s="75"/>
      <c r="Q1122" s="75"/>
      <c r="R1122" s="75"/>
      <c r="S1122" s="75"/>
      <c r="T1122" s="75"/>
    </row>
  </sheetData>
  <sheetProtection selectLockedCells="1"/>
  <mergeCells count="119">
    <mergeCell ref="J564:K564"/>
    <mergeCell ref="J565:K565"/>
    <mergeCell ref="J566:K566"/>
    <mergeCell ref="D379:N379"/>
    <mergeCell ref="J392:K392"/>
    <mergeCell ref="J393:K393"/>
    <mergeCell ref="J394:K394"/>
    <mergeCell ref="J395:K395"/>
    <mergeCell ref="J396:K396"/>
    <mergeCell ref="J397:K397"/>
    <mergeCell ref="J398:K398"/>
    <mergeCell ref="J399:K399"/>
    <mergeCell ref="J400:K400"/>
    <mergeCell ref="J401:K401"/>
    <mergeCell ref="J402:K402"/>
    <mergeCell ref="J404:K404"/>
    <mergeCell ref="J558:K558"/>
    <mergeCell ref="J559:K559"/>
    <mergeCell ref="J560:K560"/>
    <mergeCell ref="J561:K561"/>
    <mergeCell ref="J562:K562"/>
    <mergeCell ref="J553:K553"/>
    <mergeCell ref="J554:K554"/>
    <mergeCell ref="J555:K555"/>
    <mergeCell ref="J556:K556"/>
    <mergeCell ref="J557:K557"/>
    <mergeCell ref="J524:K524"/>
    <mergeCell ref="J525:K525"/>
    <mergeCell ref="J526:K526"/>
    <mergeCell ref="D539:N539"/>
    <mergeCell ref="J552:K552"/>
    <mergeCell ref="J518:K518"/>
    <mergeCell ref="J519:K519"/>
    <mergeCell ref="J520:K520"/>
    <mergeCell ref="J521:K521"/>
    <mergeCell ref="J522:K522"/>
    <mergeCell ref="J527:N528"/>
    <mergeCell ref="J513:K513"/>
    <mergeCell ref="J514:K514"/>
    <mergeCell ref="J515:K515"/>
    <mergeCell ref="J516:K516"/>
    <mergeCell ref="J517:K517"/>
    <mergeCell ref="J484:K484"/>
    <mergeCell ref="J485:K485"/>
    <mergeCell ref="J486:K486"/>
    <mergeCell ref="D499:N499"/>
    <mergeCell ref="J512:K512"/>
    <mergeCell ref="J439:K439"/>
    <mergeCell ref="J440:K440"/>
    <mergeCell ref="J1065:K1065"/>
    <mergeCell ref="J438:K438"/>
    <mergeCell ref="D922:N922"/>
    <mergeCell ref="D339:N339"/>
    <mergeCell ref="D419:N419"/>
    <mergeCell ref="J432:K432"/>
    <mergeCell ref="J433:K433"/>
    <mergeCell ref="J405:K405"/>
    <mergeCell ref="J406:K406"/>
    <mergeCell ref="J434:K434"/>
    <mergeCell ref="J441:K441"/>
    <mergeCell ref="J442:K442"/>
    <mergeCell ref="J478:K478"/>
    <mergeCell ref="J479:K479"/>
    <mergeCell ref="J480:K480"/>
    <mergeCell ref="J481:K481"/>
    <mergeCell ref="J482:K482"/>
    <mergeCell ref="J473:K473"/>
    <mergeCell ref="J474:K474"/>
    <mergeCell ref="J475:K475"/>
    <mergeCell ref="J476:K476"/>
    <mergeCell ref="J477:K477"/>
    <mergeCell ref="J1069:K1069"/>
    <mergeCell ref="J1070:K1070"/>
    <mergeCell ref="N5:O5"/>
    <mergeCell ref="N2:O2"/>
    <mergeCell ref="D142:N142"/>
    <mergeCell ref="D182:N182"/>
    <mergeCell ref="J1047:K1047"/>
    <mergeCell ref="D579:N579"/>
    <mergeCell ref="D619:N619"/>
    <mergeCell ref="D802:N802"/>
    <mergeCell ref="D882:N882"/>
    <mergeCell ref="D962:N962"/>
    <mergeCell ref="D223:N223"/>
    <mergeCell ref="D299:N299"/>
    <mergeCell ref="D1002:N1002"/>
    <mergeCell ref="J435:K435"/>
    <mergeCell ref="J436:K436"/>
    <mergeCell ref="J437:K437"/>
    <mergeCell ref="J444:K444"/>
    <mergeCell ref="J445:K445"/>
    <mergeCell ref="J446:K446"/>
    <mergeCell ref="D459:N459"/>
    <mergeCell ref="D762:N762"/>
    <mergeCell ref="J472:K472"/>
    <mergeCell ref="D722:N722"/>
    <mergeCell ref="D84:N84"/>
    <mergeCell ref="D1082:N1082"/>
    <mergeCell ref="D659:N659"/>
    <mergeCell ref="D842:N842"/>
    <mergeCell ref="D1042:N1042"/>
    <mergeCell ref="J1046:K1046"/>
    <mergeCell ref="J1054:K1054"/>
    <mergeCell ref="J1055:K1055"/>
    <mergeCell ref="J1056:K1056"/>
    <mergeCell ref="J1048:K1048"/>
    <mergeCell ref="J1049:K1049"/>
    <mergeCell ref="J1050:K1050"/>
    <mergeCell ref="J1051:K1051"/>
    <mergeCell ref="J1052:K1052"/>
    <mergeCell ref="J1053:K1053"/>
    <mergeCell ref="J1063:K1063"/>
    <mergeCell ref="J1064:K1064"/>
    <mergeCell ref="J1071:K1071"/>
    <mergeCell ref="J1072:K1072"/>
    <mergeCell ref="J1073:K1073"/>
    <mergeCell ref="J1066:K1066"/>
    <mergeCell ref="J1067:K1067"/>
    <mergeCell ref="J1068:K1068"/>
  </mergeCells>
  <pageMargins left="0.19685039370078741" right="0.19685039370078741" top="0.19685039370078741" bottom="0.19685039370078741" header="0.31496062992125984" footer="0.31496062992125984"/>
  <pageSetup paperSize="9" scale="70" orientation="landscape" r:id="rId1"/>
  <headerFooter>
    <oddFooter>&amp;R&amp;1#&amp;"Calibri"&amp;10&amp;K000000C2 - Confidential</oddFooter>
  </headerFooter>
  <rowBreaks count="26" manualBreakCount="26">
    <brk id="39" max="16383" man="1"/>
    <brk id="79" min="4" max="14" man="1"/>
    <brk id="135" min="4" max="14" man="1"/>
    <brk id="177" min="4" max="14" man="1"/>
    <brk id="218" min="4" max="14" man="1"/>
    <brk id="259" min="4" max="14" man="1"/>
    <brk id="334" min="4" max="14" man="1"/>
    <brk id="374" min="4" max="14" man="1"/>
    <brk id="414" min="4" max="14" man="1"/>
    <brk id="454" min="4" max="14" man="1"/>
    <brk id="494" min="4" max="14" man="1"/>
    <brk id="534" min="4" max="14" man="1"/>
    <brk id="574" min="4" max="14" man="1"/>
    <brk id="614" min="4" max="14" man="1"/>
    <brk id="654" min="4" max="14" man="1"/>
    <brk id="693" min="4" max="14" man="1"/>
    <brk id="717" min="4" max="14" man="1"/>
    <brk id="757" min="4" max="14" man="1"/>
    <brk id="797" min="4" max="14" man="1"/>
    <brk id="837" min="4" max="14" man="1"/>
    <brk id="877" min="4" max="14" man="1"/>
    <brk id="917" min="4" max="14" man="1"/>
    <brk id="957" min="4" max="14" man="1"/>
    <brk id="997" min="4" max="14" man="1"/>
    <brk id="1037" min="4" max="14" man="1"/>
    <brk id="1077" min="4" max="14" man="1"/>
  </rowBreaks>
  <colBreaks count="1" manualBreakCount="1">
    <brk id="15" max="1048575" man="1"/>
  </colBreaks>
  <drawing r:id="rId2"/>
  <extLst>
    <ext xmlns:x14="http://schemas.microsoft.com/office/spreadsheetml/2009/9/main" uri="{78C0D931-6437-407d-A8EE-F0AAD7539E65}">
      <x14:conditionalFormattings>
        <x14:conditionalFormatting xmlns:xm="http://schemas.microsoft.com/office/excel/2006/main">
          <x14:cfRule type="iconSet" priority="2" id="{76D48E7F-C0C5-49CC-9DBC-F9E3DF64DC14}">
            <x14:iconSet iconSet="3Triangles">
              <x14:cfvo type="percent">
                <xm:f>0</xm:f>
              </x14:cfvo>
              <x14:cfvo type="num">
                <xm:f>0</xm:f>
              </x14:cfvo>
              <x14:cfvo type="num" gte="0">
                <xm:f>0</xm:f>
              </x14:cfvo>
            </x14:iconSet>
          </x14:cfRule>
          <xm:sqref>M1046:M1056</xm:sqref>
        </x14:conditionalFormatting>
        <x14:conditionalFormatting xmlns:xm="http://schemas.microsoft.com/office/excel/2006/main">
          <x14:cfRule type="iconSet" priority="1" id="{672CA66E-497E-4F0F-9C69-CCF73B2BB749}">
            <x14:iconSet iconSet="3Triangles">
              <x14:cfvo type="percent">
                <xm:f>0</xm:f>
              </x14:cfvo>
              <x14:cfvo type="num">
                <xm:f>0</xm:f>
              </x14:cfvo>
              <x14:cfvo type="num" gte="0">
                <xm:f>0</xm:f>
              </x14:cfvo>
            </x14:iconSet>
          </x14:cfRule>
          <xm:sqref>M1063:M1073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32"/>
  <sheetViews>
    <sheetView workbookViewId="0">
      <selection activeCell="F2" sqref="F2"/>
    </sheetView>
  </sheetViews>
  <sheetFormatPr baseColWidth="10" defaultColWidth="11.44140625" defaultRowHeight="14.4"/>
  <cols>
    <col min="2" max="2" width="12.44140625" bestFit="1" customWidth="1"/>
    <col min="3" max="3" width="17" bestFit="1" customWidth="1"/>
    <col min="4" max="4" width="16.44140625" bestFit="1" customWidth="1"/>
    <col min="5" max="5" width="26.33203125" customWidth="1"/>
    <col min="6" max="6" width="16.44140625" bestFit="1" customWidth="1"/>
    <col min="7" max="7" width="1.88671875" customWidth="1"/>
    <col min="8" max="8" width="17.109375" bestFit="1" customWidth="1"/>
    <col min="12" max="12" width="28" bestFit="1" customWidth="1"/>
    <col min="16" max="16" width="16.44140625" bestFit="1" customWidth="1"/>
  </cols>
  <sheetData>
    <row r="1" spans="2:16" s="350" customFormat="1"/>
    <row r="2" spans="2:16" s="350" customFormat="1">
      <c r="C2" s="947" t="s">
        <v>422</v>
      </c>
      <c r="D2" s="947"/>
      <c r="E2" s="947"/>
      <c r="F2" s="947"/>
      <c r="G2" s="390"/>
      <c r="H2" s="410" t="s">
        <v>423</v>
      </c>
    </row>
    <row r="3" spans="2:16">
      <c r="B3" s="410" t="s">
        <v>425</v>
      </c>
      <c r="C3" s="410" t="s">
        <v>366</v>
      </c>
      <c r="D3" s="410" t="s">
        <v>420</v>
      </c>
      <c r="E3" s="410" t="s">
        <v>424</v>
      </c>
      <c r="F3" s="410" t="s">
        <v>421</v>
      </c>
      <c r="H3" s="410" t="s">
        <v>421</v>
      </c>
      <c r="L3" s="422" t="s">
        <v>437</v>
      </c>
      <c r="M3" s="422" t="s">
        <v>438</v>
      </c>
      <c r="N3" s="430" t="s">
        <v>441</v>
      </c>
      <c r="O3" s="430" t="s">
        <v>442</v>
      </c>
    </row>
    <row r="4" spans="2:16">
      <c r="B4" s="403" t="s">
        <v>123</v>
      </c>
      <c r="C4" s="405">
        <v>24230000000</v>
      </c>
      <c r="D4" s="405">
        <v>6490000000</v>
      </c>
      <c r="E4" s="406">
        <f>SUM(C4:D4)/655.957</f>
        <v>46832338.095332466</v>
      </c>
      <c r="F4" s="411">
        <v>2160</v>
      </c>
      <c r="G4" s="64"/>
      <c r="H4" s="412">
        <v>250</v>
      </c>
      <c r="L4" s="425" t="s">
        <v>439</v>
      </c>
      <c r="M4" s="426" t="s">
        <v>21</v>
      </c>
      <c r="N4" s="431">
        <v>36938396.876624532</v>
      </c>
      <c r="O4" s="432">
        <v>9893941.218707934</v>
      </c>
      <c r="P4" s="432">
        <f>SUM(N4:O4)</f>
        <v>46832338.095332466</v>
      </c>
    </row>
    <row r="5" spans="2:16">
      <c r="B5" s="403" t="s">
        <v>137</v>
      </c>
      <c r="C5" s="407">
        <v>782600000000</v>
      </c>
      <c r="D5" s="407">
        <v>10400000000</v>
      </c>
      <c r="E5" s="406">
        <f>SUM(C5:D5)/10034.345</f>
        <v>79028576.354510441</v>
      </c>
      <c r="F5" s="404">
        <v>5777</v>
      </c>
      <c r="G5" s="64"/>
      <c r="H5" s="404">
        <v>310</v>
      </c>
      <c r="L5" s="425" t="s">
        <v>439</v>
      </c>
      <c r="M5" s="426" t="s">
        <v>18</v>
      </c>
      <c r="N5" s="431">
        <v>112720765.98588018</v>
      </c>
      <c r="O5" s="432">
        <v>4147726.1466833954</v>
      </c>
      <c r="P5" s="432">
        <f t="shared" ref="P5:P14" si="0">SUM(N5:O5)</f>
        <v>116868492.13256358</v>
      </c>
    </row>
    <row r="6" spans="2:16">
      <c r="B6" s="403" t="s">
        <v>141</v>
      </c>
      <c r="C6" s="408">
        <v>52680032696</v>
      </c>
      <c r="D6" s="408">
        <v>12670008174</v>
      </c>
      <c r="E6" s="406">
        <f t="shared" ref="E6" si="1">SUM(C6:D6)/655.957</f>
        <v>99625495.070561022</v>
      </c>
      <c r="F6" s="404" t="s">
        <v>262</v>
      </c>
      <c r="G6" s="64"/>
      <c r="H6" s="404"/>
      <c r="L6" s="425" t="s">
        <v>439</v>
      </c>
      <c r="M6" s="427" t="s">
        <v>13</v>
      </c>
      <c r="N6" s="431">
        <v>365616174.38338184</v>
      </c>
      <c r="O6" s="432">
        <v>30489803.447482083</v>
      </c>
      <c r="P6" s="432">
        <f t="shared" si="0"/>
        <v>396105977.83086395</v>
      </c>
    </row>
    <row r="7" spans="2:16">
      <c r="B7" s="403" t="s">
        <v>131</v>
      </c>
      <c r="C7" s="403"/>
      <c r="D7" s="403"/>
      <c r="E7" s="403"/>
      <c r="F7" s="404"/>
      <c r="G7" s="64"/>
      <c r="H7" s="404"/>
      <c r="L7" s="425" t="s">
        <v>439</v>
      </c>
      <c r="M7" s="427" t="s">
        <v>22</v>
      </c>
      <c r="N7" s="431">
        <v>51535176.675462395</v>
      </c>
      <c r="O7" s="432">
        <v>2149272.5030826144</v>
      </c>
      <c r="P7" s="432">
        <f t="shared" si="0"/>
        <v>53684449.178545013</v>
      </c>
    </row>
    <row r="8" spans="2:16">
      <c r="B8" s="403" t="s">
        <v>136</v>
      </c>
      <c r="C8" s="403"/>
      <c r="D8" s="403"/>
      <c r="E8" s="403"/>
      <c r="F8" s="404"/>
      <c r="G8" s="64"/>
      <c r="H8" s="404"/>
      <c r="L8" s="425" t="s">
        <v>439</v>
      </c>
      <c r="M8" s="427" t="s">
        <v>19</v>
      </c>
      <c r="N8" s="431">
        <v>93467495.464846894</v>
      </c>
      <c r="O8" s="432">
        <v>1034548.6939489227</v>
      </c>
      <c r="P8" s="432">
        <f t="shared" si="0"/>
        <v>94502044.158795819</v>
      </c>
    </row>
    <row r="9" spans="2:16">
      <c r="B9" s="403" t="s">
        <v>139</v>
      </c>
      <c r="C9" s="403"/>
      <c r="D9" s="403"/>
      <c r="E9" s="403"/>
      <c r="F9" s="404"/>
      <c r="G9" s="64"/>
      <c r="H9" s="404"/>
      <c r="L9" s="425" t="s">
        <v>439</v>
      </c>
      <c r="M9" s="427" t="s">
        <v>14</v>
      </c>
      <c r="N9" s="431">
        <v>73063301.687449783</v>
      </c>
      <c r="O9" s="432">
        <v>0</v>
      </c>
      <c r="P9" s="432">
        <f t="shared" si="0"/>
        <v>73063301.687449783</v>
      </c>
    </row>
    <row r="10" spans="2:16">
      <c r="B10" s="403" t="s">
        <v>124</v>
      </c>
      <c r="C10" s="403"/>
      <c r="D10" s="403"/>
      <c r="E10" s="403"/>
      <c r="F10" s="404"/>
      <c r="G10" s="64"/>
      <c r="H10" s="404"/>
      <c r="L10" s="425" t="s">
        <v>439</v>
      </c>
      <c r="M10" s="426" t="s">
        <v>17</v>
      </c>
      <c r="N10" s="431">
        <v>93420807.607815757</v>
      </c>
      <c r="O10" s="432">
        <v>10778157.979867583</v>
      </c>
      <c r="P10" s="432">
        <f t="shared" si="0"/>
        <v>104198965.58768333</v>
      </c>
    </row>
    <row r="11" spans="2:16">
      <c r="B11" s="403" t="s">
        <v>132</v>
      </c>
      <c r="C11" s="403"/>
      <c r="D11" s="403"/>
      <c r="E11" s="403"/>
      <c r="F11" s="404"/>
      <c r="G11" s="64"/>
      <c r="H11" s="404"/>
      <c r="L11" s="425" t="s">
        <v>440</v>
      </c>
      <c r="M11" s="428" t="s">
        <v>23</v>
      </c>
      <c r="N11" s="431">
        <v>16388269.353021616</v>
      </c>
      <c r="O11" s="432">
        <v>617418.51981151209</v>
      </c>
      <c r="P11" s="432">
        <f t="shared" si="0"/>
        <v>17005687.872833129</v>
      </c>
    </row>
    <row r="12" spans="2:16">
      <c r="B12" s="403" t="s">
        <v>135</v>
      </c>
      <c r="C12" s="409">
        <v>10750000000</v>
      </c>
      <c r="D12" s="409">
        <v>405000000</v>
      </c>
      <c r="E12" s="406">
        <f t="shared" ref="E12:E14" si="2">SUM(C12:D12)/655.957</f>
        <v>17005687.872833129</v>
      </c>
      <c r="F12" s="404">
        <v>4900</v>
      </c>
      <c r="G12" s="64"/>
      <c r="H12" s="412">
        <v>100</v>
      </c>
      <c r="L12" s="425" t="s">
        <v>440</v>
      </c>
      <c r="M12" s="429" t="s">
        <v>20</v>
      </c>
      <c r="N12" s="431">
        <v>24525997.893154584</v>
      </c>
      <c r="O12" s="432">
        <v>658503.52995699411</v>
      </c>
      <c r="P12" s="432">
        <f t="shared" si="0"/>
        <v>25184501.423111577</v>
      </c>
    </row>
    <row r="13" spans="2:16">
      <c r="B13" s="403" t="s">
        <v>138</v>
      </c>
      <c r="C13" s="409">
        <v>600800000000</v>
      </c>
      <c r="D13" s="409">
        <v>14240000000</v>
      </c>
      <c r="E13" s="406">
        <f>SUM(C13:D13)/4432.08</f>
        <v>138770058.30219671</v>
      </c>
      <c r="F13" s="404">
        <v>40377</v>
      </c>
      <c r="G13" s="64"/>
      <c r="H13" s="404">
        <v>2542</v>
      </c>
      <c r="L13" s="425" t="s">
        <v>440</v>
      </c>
      <c r="M13" s="428" t="s">
        <v>15</v>
      </c>
      <c r="N13" s="431">
        <v>135727081.93551156</v>
      </c>
      <c r="O13" s="432">
        <v>3216966.7888842956</v>
      </c>
      <c r="P13" s="432">
        <f t="shared" si="0"/>
        <v>138944048.72439584</v>
      </c>
    </row>
    <row r="14" spans="2:16">
      <c r="B14" s="403" t="s">
        <v>140</v>
      </c>
      <c r="C14" s="409">
        <v>16088000000</v>
      </c>
      <c r="D14" s="409">
        <v>431950000</v>
      </c>
      <c r="E14" s="406">
        <f t="shared" si="2"/>
        <v>25184501.423111577</v>
      </c>
      <c r="F14" s="413">
        <v>3639</v>
      </c>
      <c r="G14" s="64"/>
      <c r="H14" s="412">
        <v>75</v>
      </c>
      <c r="L14" s="425" t="s">
        <v>440</v>
      </c>
      <c r="M14" s="426" t="s">
        <v>16</v>
      </c>
      <c r="N14" s="431">
        <v>149175014.48463848</v>
      </c>
      <c r="O14" s="432">
        <v>2550167.1603474007</v>
      </c>
      <c r="P14" s="432">
        <f t="shared" si="0"/>
        <v>151725181.64498588</v>
      </c>
    </row>
    <row r="16" spans="2:16" ht="15" thickBot="1"/>
    <row r="17" spans="2:4" ht="15.6" thickTop="1" thickBot="1">
      <c r="B17" s="29"/>
      <c r="C17" s="233" t="s">
        <v>426</v>
      </c>
    </row>
    <row r="18" spans="2:4" ht="15" thickTop="1">
      <c r="B18" s="30" t="s">
        <v>64</v>
      </c>
      <c r="C18" s="157">
        <f>SUM(C26,C31)</f>
        <v>1218114.9883365605</v>
      </c>
    </row>
    <row r="19" spans="2:4">
      <c r="B19" s="47" t="s">
        <v>13</v>
      </c>
      <c r="C19" s="414">
        <f>+D19/1000</f>
        <v>396105.97783086397</v>
      </c>
      <c r="D19">
        <v>396105977.83086395</v>
      </c>
    </row>
    <row r="20" spans="2:4">
      <c r="B20" s="47" t="s">
        <v>14</v>
      </c>
      <c r="C20" s="414">
        <f t="shared" ref="C20:C25" si="3">+D20/1000</f>
        <v>73063.301687449784</v>
      </c>
      <c r="D20">
        <v>73063301.687449783</v>
      </c>
    </row>
    <row r="21" spans="2:4">
      <c r="B21" s="47" t="s">
        <v>17</v>
      </c>
      <c r="C21" s="415">
        <f t="shared" si="3"/>
        <v>104198.96558768334</v>
      </c>
      <c r="D21">
        <v>104198965.58768333</v>
      </c>
    </row>
    <row r="22" spans="2:4">
      <c r="B22" s="47" t="s">
        <v>18</v>
      </c>
      <c r="C22" s="414">
        <f t="shared" si="3"/>
        <v>116868.49213256358</v>
      </c>
      <c r="D22" s="433">
        <v>116868492.13256358</v>
      </c>
    </row>
    <row r="23" spans="2:4">
      <c r="B23" s="47" t="s">
        <v>19</v>
      </c>
      <c r="C23" s="415">
        <f t="shared" si="3"/>
        <v>94502.044158795819</v>
      </c>
      <c r="D23">
        <v>94502044.158795819</v>
      </c>
    </row>
    <row r="24" spans="2:4">
      <c r="B24" s="47" t="s">
        <v>21</v>
      </c>
      <c r="C24" s="415">
        <f t="shared" si="3"/>
        <v>46832.338095332467</v>
      </c>
      <c r="D24">
        <v>46832338.095332466</v>
      </c>
    </row>
    <row r="25" spans="2:4">
      <c r="B25" s="47" t="s">
        <v>22</v>
      </c>
      <c r="C25" s="414">
        <f t="shared" si="3"/>
        <v>53684.449178545015</v>
      </c>
      <c r="D25">
        <v>53684449.178545013</v>
      </c>
    </row>
    <row r="26" spans="2:4">
      <c r="B26" s="48" t="s">
        <v>62</v>
      </c>
      <c r="C26" s="124">
        <f>SUM(C19:C25)</f>
        <v>885255.56867123407</v>
      </c>
    </row>
    <row r="27" spans="2:4">
      <c r="B27" s="47" t="s">
        <v>15</v>
      </c>
      <c r="C27" s="415">
        <f t="shared" ref="C27:C30" si="4">+D27/1000</f>
        <v>138944.04872439583</v>
      </c>
      <c r="D27">
        <v>138944048.72439584</v>
      </c>
    </row>
    <row r="28" spans="2:4">
      <c r="B28" s="47" t="s">
        <v>16</v>
      </c>
      <c r="C28" s="414">
        <f t="shared" si="4"/>
        <v>151725.18164498589</v>
      </c>
      <c r="D28">
        <v>151725181.64498588</v>
      </c>
    </row>
    <row r="29" spans="2:4">
      <c r="B29" s="47" t="s">
        <v>20</v>
      </c>
      <c r="C29" s="415">
        <f t="shared" si="4"/>
        <v>25184.501423111578</v>
      </c>
      <c r="D29">
        <v>25184501.423111577</v>
      </c>
    </row>
    <row r="30" spans="2:4">
      <c r="B30" s="47" t="s">
        <v>23</v>
      </c>
      <c r="C30" s="415">
        <f t="shared" si="4"/>
        <v>17005.687872833128</v>
      </c>
      <c r="D30">
        <v>17005687.872833129</v>
      </c>
    </row>
    <row r="31" spans="2:4" ht="15" thickBot="1">
      <c r="B31" s="49" t="s">
        <v>63</v>
      </c>
      <c r="C31" s="129">
        <f>SUM(C27:C30)</f>
        <v>332859.41966532642</v>
      </c>
    </row>
    <row r="32" spans="2:4" ht="15" thickTop="1"/>
  </sheetData>
  <mergeCells count="1">
    <mergeCell ref="C2:F2"/>
  </mergeCells>
  <conditionalFormatting sqref="H4">
    <cfRule type="cellIs" dxfId="21" priority="3" operator="lessThan">
      <formula>0</formula>
    </cfRule>
  </conditionalFormatting>
  <conditionalFormatting sqref="H12">
    <cfRule type="cellIs" dxfId="20" priority="2" operator="lessThan">
      <formula>0</formula>
    </cfRule>
  </conditionalFormatting>
  <conditionalFormatting sqref="H14">
    <cfRule type="cellIs" dxfId="19" priority="1" operator="lessThan">
      <formula>0</formula>
    </cfRule>
  </conditionalFormatting>
  <dataValidations count="3">
    <dataValidation type="decimal" allowBlank="1" showInputMessage="1" showErrorMessage="1" error="Veuillez entrer un chiffre valide" sqref="C4:D5 C12:D14" xr:uid="{00000000-0002-0000-0300-000000000000}">
      <formula1>0</formula1>
      <formula2>9.99999999999999E+46</formula2>
    </dataValidation>
    <dataValidation type="whole" allowBlank="1" showInputMessage="1" showErrorMessage="1" error="Veuillez entrer un chiffre valide" sqref="F4 F14" xr:uid="{00000000-0002-0000-0300-000001000000}">
      <formula1>0</formula1>
      <formula2>9.99999999999999E+46</formula2>
    </dataValidation>
    <dataValidation type="whole" allowBlank="1" showInputMessage="1" showErrorMessage="1" error="Veuillez entrer un chiffre valide" sqref="H4 H12 H14" xr:uid="{00000000-0002-0000-0300-000002000000}">
      <formula1>0</formula1>
      <formula2>9.99999999999999E+43</formula2>
    </dataValidation>
  </dataValidations>
  <pageMargins left="0.7" right="0.7" top="0.75" bottom="0.75" header="0.3" footer="0.3"/>
  <pageSetup paperSize="9" orientation="portrait" verticalDpi="0" r:id="rId1"/>
  <headerFooter>
    <oddFooter>&amp;R&amp;1#&amp;"Calibri"&amp;10&amp;K000000C2 - Confidential</oddFooter>
  </headerFooter>
  <ignoredErrors>
    <ignoredError sqref="E5 E13"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BF76"/>
  <sheetViews>
    <sheetView workbookViewId="0">
      <pane xSplit="4" topLeftCell="E1" activePane="topRight" state="frozen"/>
      <selection activeCell="F2" sqref="F2"/>
      <selection pane="topRight" activeCell="M15" sqref="M15"/>
    </sheetView>
  </sheetViews>
  <sheetFormatPr baseColWidth="10" defaultColWidth="11.44140625" defaultRowHeight="14.4"/>
  <cols>
    <col min="1" max="1" width="11.44140625" style="866" customWidth="1"/>
    <col min="2" max="2" width="11.33203125" style="599" customWidth="1"/>
    <col min="3" max="3" width="0.5546875" style="599" hidden="1" customWidth="1"/>
    <col min="4" max="4" width="23.33203125" style="599" bestFit="1" customWidth="1"/>
    <col min="5" max="7" width="11.44140625" style="769"/>
    <col min="8" max="8" width="9.5546875" style="769" customWidth="1"/>
    <col min="9" max="14" width="8.6640625" style="390" customWidth="1"/>
    <col min="15" max="15" width="11.44140625" style="599" customWidth="1"/>
    <col min="16" max="16" width="13.109375" style="599" hidden="1" customWidth="1"/>
    <col min="17" max="17" width="13.109375" style="773" customWidth="1"/>
    <col min="18" max="21" width="11.44140625" style="599"/>
    <col min="22" max="22" width="9.88671875" style="390" bestFit="1" customWidth="1"/>
    <col min="23" max="27" width="9.88671875" style="390" customWidth="1"/>
    <col min="28" max="29" width="12.44140625" style="390" customWidth="1"/>
    <col min="30" max="30" width="14.6640625" style="136" customWidth="1"/>
    <col min="31" max="42" width="16.5546875" style="136" customWidth="1"/>
    <col min="43" max="43" width="16.6640625" style="136" customWidth="1"/>
    <col min="45" max="49" width="11.44140625" style="829"/>
    <col min="50" max="50" width="11.44140625" style="773"/>
    <col min="52" max="52" width="17.88671875" customWidth="1"/>
    <col min="54" max="57" width="11.44140625" style="599"/>
  </cols>
  <sheetData>
    <row r="1" spans="1:58">
      <c r="B1" s="56"/>
      <c r="C1" s="56"/>
      <c r="D1" s="56"/>
      <c r="E1" s="56"/>
      <c r="F1" s="56"/>
      <c r="G1" s="56"/>
      <c r="H1" s="56"/>
      <c r="I1" s="607"/>
      <c r="J1" s="607"/>
      <c r="K1" s="607"/>
      <c r="L1" s="607"/>
      <c r="M1" s="607"/>
      <c r="N1" s="607"/>
      <c r="O1" s="56"/>
      <c r="P1" s="56"/>
      <c r="Q1" s="56"/>
      <c r="R1" s="56"/>
      <c r="S1" s="56"/>
      <c r="T1" s="56"/>
      <c r="U1" s="56"/>
      <c r="V1" s="607"/>
      <c r="W1" s="607"/>
      <c r="X1" s="607"/>
      <c r="Y1" s="607"/>
      <c r="Z1" s="607"/>
      <c r="AA1" s="607"/>
      <c r="AB1" s="607"/>
      <c r="AC1" s="607"/>
      <c r="AD1" s="75"/>
      <c r="AE1" s="75"/>
      <c r="AF1" s="75"/>
      <c r="AG1" s="75"/>
      <c r="AH1" s="75"/>
      <c r="AI1" s="75"/>
      <c r="AJ1" s="75"/>
      <c r="AK1" s="75"/>
      <c r="AL1" s="75"/>
      <c r="AM1" s="75"/>
      <c r="AN1" s="75"/>
      <c r="AO1" s="75"/>
      <c r="AP1" s="75"/>
      <c r="AQ1" s="75"/>
    </row>
    <row r="2" spans="1:58" ht="15" thickBot="1">
      <c r="E2" s="959">
        <v>2021</v>
      </c>
      <c r="F2" s="960"/>
      <c r="G2" s="960"/>
      <c r="H2" s="960"/>
      <c r="I2" s="960"/>
      <c r="J2" s="960"/>
      <c r="K2" s="960"/>
      <c r="L2" s="960"/>
      <c r="M2" s="960"/>
      <c r="N2" s="960"/>
      <c r="O2" s="960"/>
      <c r="P2" s="960"/>
      <c r="Q2" s="961"/>
      <c r="R2" s="956">
        <v>2022</v>
      </c>
      <c r="S2" s="957"/>
      <c r="T2" s="957"/>
      <c r="U2" s="957"/>
      <c r="V2" s="957"/>
      <c r="W2" s="957"/>
      <c r="X2" s="957"/>
      <c r="Y2" s="957"/>
      <c r="Z2" s="957"/>
      <c r="AA2" s="957"/>
      <c r="AB2" s="957"/>
      <c r="AC2" s="957"/>
      <c r="AD2" s="957"/>
      <c r="AE2" s="955">
        <v>2023</v>
      </c>
      <c r="AF2" s="955"/>
      <c r="AG2" s="955"/>
      <c r="AH2" s="955"/>
      <c r="AI2" s="955"/>
      <c r="AJ2" s="955"/>
      <c r="AK2" s="955"/>
      <c r="AL2" s="955"/>
      <c r="AM2" s="955"/>
      <c r="AN2" s="955"/>
      <c r="AO2" s="955"/>
      <c r="AP2" s="955"/>
      <c r="AQ2" s="955"/>
    </row>
    <row r="3" spans="1:58" ht="15.6" thickTop="1" thickBot="1">
      <c r="C3" s="28"/>
      <c r="D3" s="28"/>
      <c r="E3" s="608">
        <v>44227</v>
      </c>
      <c r="F3" s="609">
        <v>44255</v>
      </c>
      <c r="G3" s="609">
        <v>44286</v>
      </c>
      <c r="H3" s="610">
        <v>44316</v>
      </c>
      <c r="I3" s="610">
        <v>44347</v>
      </c>
      <c r="J3" s="610">
        <v>44377</v>
      </c>
      <c r="K3" s="610">
        <v>44408</v>
      </c>
      <c r="L3" s="610">
        <v>44439</v>
      </c>
      <c r="M3" s="610">
        <v>44469</v>
      </c>
      <c r="N3" s="610">
        <v>44500</v>
      </c>
      <c r="O3" s="611">
        <v>44530</v>
      </c>
      <c r="P3" s="612">
        <v>44561</v>
      </c>
      <c r="Q3" s="761" t="s">
        <v>450</v>
      </c>
      <c r="R3" s="613">
        <v>44592</v>
      </c>
      <c r="S3" s="614">
        <v>44620</v>
      </c>
      <c r="T3" s="614">
        <v>44651</v>
      </c>
      <c r="U3" s="615">
        <v>44681</v>
      </c>
      <c r="V3" s="615">
        <v>44712</v>
      </c>
      <c r="W3" s="615">
        <v>44713</v>
      </c>
      <c r="X3" s="615">
        <v>44743</v>
      </c>
      <c r="Y3" s="615">
        <v>44774</v>
      </c>
      <c r="Z3" s="615">
        <v>44805</v>
      </c>
      <c r="AA3" s="615">
        <v>44835</v>
      </c>
      <c r="AB3" s="807">
        <v>44866</v>
      </c>
      <c r="AC3" s="807">
        <v>44896</v>
      </c>
      <c r="AD3" s="856" t="s">
        <v>451</v>
      </c>
      <c r="AE3" s="857">
        <v>44957</v>
      </c>
      <c r="AF3" s="857">
        <v>44958</v>
      </c>
      <c r="AG3" s="857">
        <v>44986</v>
      </c>
      <c r="AH3" s="857">
        <v>45017</v>
      </c>
      <c r="AI3" s="857">
        <v>45047</v>
      </c>
      <c r="AJ3" s="857">
        <v>45078</v>
      </c>
      <c r="AK3" s="857">
        <v>45108</v>
      </c>
      <c r="AL3" s="857">
        <v>45139</v>
      </c>
      <c r="AM3" s="857">
        <v>45170</v>
      </c>
      <c r="AN3" s="857">
        <v>45200</v>
      </c>
      <c r="AO3" s="857">
        <v>45231</v>
      </c>
      <c r="AP3" s="857">
        <v>45261</v>
      </c>
      <c r="AQ3" s="858" t="s">
        <v>491</v>
      </c>
      <c r="AZ3" s="29"/>
      <c r="BA3" s="953">
        <v>44926</v>
      </c>
      <c r="BB3" s="953"/>
      <c r="BC3" s="953"/>
      <c r="BD3" s="953">
        <v>45291</v>
      </c>
      <c r="BE3" s="953"/>
      <c r="BF3" s="953"/>
    </row>
    <row r="4" spans="1:58">
      <c r="A4" s="866" t="str">
        <f>B4</f>
        <v>BFA</v>
      </c>
      <c r="B4" s="958" t="s">
        <v>124</v>
      </c>
      <c r="C4" s="616"/>
      <c r="D4" s="617" t="s">
        <v>452</v>
      </c>
      <c r="E4" s="618">
        <v>875</v>
      </c>
      <c r="F4" s="619">
        <v>1012</v>
      </c>
      <c r="G4" s="619">
        <v>998</v>
      </c>
      <c r="H4" s="620">
        <v>944</v>
      </c>
      <c r="I4" s="620">
        <v>818</v>
      </c>
      <c r="J4" s="620">
        <v>2535</v>
      </c>
      <c r="K4" s="754">
        <v>3247</v>
      </c>
      <c r="L4" s="754">
        <v>3653</v>
      </c>
      <c r="M4" s="754">
        <v>4362</v>
      </c>
      <c r="N4" s="754">
        <v>2928</v>
      </c>
      <c r="O4" s="622">
        <v>1728</v>
      </c>
      <c r="P4" s="623">
        <v>1024</v>
      </c>
      <c r="Q4" s="621">
        <f>+E4+F4+G4+H4+I4+J4+K4+L4+M4+N4+O4</f>
        <v>23100</v>
      </c>
      <c r="R4" s="624">
        <v>761</v>
      </c>
      <c r="S4" s="625">
        <v>942</v>
      </c>
      <c r="T4" s="625">
        <v>1119</v>
      </c>
      <c r="U4" s="626">
        <v>1060</v>
      </c>
      <c r="V4" s="626">
        <v>913</v>
      </c>
      <c r="W4" s="626">
        <v>2301</v>
      </c>
      <c r="X4" s="759">
        <v>3412</v>
      </c>
      <c r="Y4" s="759">
        <v>4297</v>
      </c>
      <c r="Z4" s="759">
        <v>4016</v>
      </c>
      <c r="AA4" s="759">
        <v>3038</v>
      </c>
      <c r="AB4" s="759">
        <v>1744</v>
      </c>
      <c r="AC4" s="759">
        <v>1019</v>
      </c>
      <c r="AD4" s="841">
        <v>24622</v>
      </c>
      <c r="AE4" s="659">
        <v>842</v>
      </c>
      <c r="AF4" s="659">
        <v>667</v>
      </c>
      <c r="AG4" s="659">
        <v>694</v>
      </c>
      <c r="AH4" s="659">
        <v>655</v>
      </c>
      <c r="AI4" s="659">
        <v>694</v>
      </c>
      <c r="AJ4" s="659">
        <v>1357</v>
      </c>
      <c r="AK4" s="659">
        <v>2358</v>
      </c>
      <c r="AL4" s="659">
        <v>2694</v>
      </c>
      <c r="AM4" s="659">
        <v>3188</v>
      </c>
      <c r="AN4" s="659">
        <v>2515</v>
      </c>
      <c r="AO4" s="659">
        <v>1547</v>
      </c>
      <c r="AP4" s="659">
        <f>VLOOKUP($A4,[1]Toute_Prod!$G:$I,3,0)</f>
        <v>1037</v>
      </c>
      <c r="AQ4" s="853">
        <f>AE4+AF4+AG4+AH4+AI4+AJ4+AK4+AL4+AM4+AN4+AO4+AP4</f>
        <v>18248</v>
      </c>
      <c r="AZ4" s="30" t="s">
        <v>64</v>
      </c>
      <c r="BA4" s="124">
        <f>SUM(BA12,BA17)</f>
        <v>239860</v>
      </c>
      <c r="BB4" s="124">
        <f>SUM(BB12,BB17)</f>
        <v>153088</v>
      </c>
      <c r="BC4" s="41">
        <f t="shared" ref="BC4:BC17" si="0">+BB4/BA4</f>
        <v>0.63823897273409491</v>
      </c>
      <c r="BD4" s="124">
        <f>SUM(BD12,BD17)</f>
        <v>245748</v>
      </c>
      <c r="BE4" s="124">
        <f>SUM(BE12,BE17)</f>
        <v>128286</v>
      </c>
      <c r="BF4" s="41">
        <f>+BE4/BD4</f>
        <v>0.52202255969529765</v>
      </c>
    </row>
    <row r="5" spans="1:58">
      <c r="A5" s="866" t="str">
        <f>A4</f>
        <v>BFA</v>
      </c>
      <c r="B5" s="948"/>
      <c r="C5" s="627"/>
      <c r="D5" s="628" t="s">
        <v>453</v>
      </c>
      <c r="E5" s="629">
        <v>242</v>
      </c>
      <c r="F5" s="630">
        <v>279</v>
      </c>
      <c r="G5" s="630">
        <v>271</v>
      </c>
      <c r="H5" s="630">
        <v>276</v>
      </c>
      <c r="I5" s="630">
        <v>263</v>
      </c>
      <c r="J5" s="630">
        <v>331</v>
      </c>
      <c r="K5" s="755">
        <v>376</v>
      </c>
      <c r="L5" s="755">
        <v>431</v>
      </c>
      <c r="M5" s="755">
        <v>509</v>
      </c>
      <c r="N5" s="755">
        <v>461</v>
      </c>
      <c r="O5" s="631">
        <v>345</v>
      </c>
      <c r="P5" s="631">
        <v>282</v>
      </c>
      <c r="Q5" s="621">
        <f t="shared" ref="Q5:Q6" si="1">+E5+F5+G5+H5+I5+J5+K5+L5+M5+N5+O5</f>
        <v>3784</v>
      </c>
      <c r="R5" s="632">
        <v>242</v>
      </c>
      <c r="S5" s="633">
        <v>279</v>
      </c>
      <c r="T5" s="633">
        <v>342</v>
      </c>
      <c r="U5" s="633">
        <v>325</v>
      </c>
      <c r="V5" s="633">
        <v>283</v>
      </c>
      <c r="W5" s="633">
        <v>288</v>
      </c>
      <c r="X5" s="633">
        <v>461</v>
      </c>
      <c r="Y5" s="633">
        <v>601</v>
      </c>
      <c r="Z5" s="771">
        <v>609</v>
      </c>
      <c r="AA5" s="771">
        <v>472</v>
      </c>
      <c r="AB5" s="771">
        <v>337</v>
      </c>
      <c r="AC5" s="837">
        <v>244</v>
      </c>
      <c r="AD5" s="841">
        <v>4483</v>
      </c>
      <c r="AE5" s="842">
        <v>280</v>
      </c>
      <c r="AF5" s="842">
        <v>219</v>
      </c>
      <c r="AG5" s="842">
        <v>214</v>
      </c>
      <c r="AH5" s="842">
        <v>212</v>
      </c>
      <c r="AI5" s="842">
        <v>214</v>
      </c>
      <c r="AJ5" s="842">
        <v>149</v>
      </c>
      <c r="AK5" s="842">
        <v>317</v>
      </c>
      <c r="AL5" s="842">
        <v>386</v>
      </c>
      <c r="AM5" s="842">
        <v>505</v>
      </c>
      <c r="AN5" s="842">
        <v>426</v>
      </c>
      <c r="AO5" s="842">
        <v>381</v>
      </c>
      <c r="AP5" s="842">
        <f>VLOOKUP($A$4,[1]Nouveau_PPO!$G:$I,3,0)</f>
        <v>288</v>
      </c>
      <c r="AQ5" s="853">
        <f>AE5+AF5+AG5+AH5+AI5+AJ5+AK5+AL5+AM5+AN5+AO5+AP5</f>
        <v>3591</v>
      </c>
      <c r="AZ5" s="47" t="s">
        <v>13</v>
      </c>
      <c r="BA5" s="126">
        <f>+AD14</f>
        <v>32545</v>
      </c>
      <c r="BB5" s="126">
        <f>+AD16</f>
        <v>13210</v>
      </c>
      <c r="BC5" s="224">
        <f>+BB5/BA5</f>
        <v>0.40589952373636501</v>
      </c>
      <c r="BD5" s="126">
        <f>+AQ14</f>
        <v>40914</v>
      </c>
      <c r="BE5" s="126">
        <f>+AQ16</f>
        <v>11573</v>
      </c>
      <c r="BF5" s="224">
        <f t="shared" ref="BF5:BF17" si="2">+BE5/BD5</f>
        <v>0.2828616121620961</v>
      </c>
    </row>
    <row r="6" spans="1:58">
      <c r="A6" s="866">
        <f t="shared" ref="A6:A68" si="3">B6</f>
        <v>0</v>
      </c>
      <c r="B6" s="948"/>
      <c r="C6" s="627"/>
      <c r="D6" s="634" t="s">
        <v>454</v>
      </c>
      <c r="E6" s="635">
        <f t="shared" ref="E6:W6" si="4">E4-E5</f>
        <v>633</v>
      </c>
      <c r="F6" s="636">
        <f t="shared" si="4"/>
        <v>733</v>
      </c>
      <c r="G6" s="636">
        <f t="shared" si="4"/>
        <v>727</v>
      </c>
      <c r="H6" s="636">
        <f t="shared" si="4"/>
        <v>668</v>
      </c>
      <c r="I6" s="636">
        <f t="shared" si="4"/>
        <v>555</v>
      </c>
      <c r="J6" s="636">
        <v>2204</v>
      </c>
      <c r="K6" s="756">
        <v>2871</v>
      </c>
      <c r="L6" s="756">
        <f>L4-L5</f>
        <v>3222</v>
      </c>
      <c r="M6" s="756">
        <f t="shared" si="4"/>
        <v>3853</v>
      </c>
      <c r="N6" s="756">
        <f t="shared" si="4"/>
        <v>2467</v>
      </c>
      <c r="O6" s="637">
        <f t="shared" si="4"/>
        <v>1383</v>
      </c>
      <c r="P6" s="637">
        <f t="shared" si="4"/>
        <v>742</v>
      </c>
      <c r="Q6" s="621">
        <f t="shared" si="1"/>
        <v>19316</v>
      </c>
      <c r="R6" s="638">
        <f t="shared" si="4"/>
        <v>519</v>
      </c>
      <c r="S6" s="639">
        <f t="shared" si="4"/>
        <v>663</v>
      </c>
      <c r="T6" s="639">
        <f t="shared" si="4"/>
        <v>777</v>
      </c>
      <c r="U6" s="639">
        <f t="shared" si="4"/>
        <v>735</v>
      </c>
      <c r="V6" s="639">
        <f t="shared" si="4"/>
        <v>630</v>
      </c>
      <c r="W6" s="639">
        <f t="shared" si="4"/>
        <v>2013</v>
      </c>
      <c r="X6" s="639">
        <f t="shared" ref="X6:AA6" si="5">X4-X5</f>
        <v>2951</v>
      </c>
      <c r="Y6" s="639">
        <f t="shared" si="5"/>
        <v>3696</v>
      </c>
      <c r="Z6" s="639">
        <f t="shared" si="5"/>
        <v>3407</v>
      </c>
      <c r="AA6" s="639">
        <f t="shared" si="5"/>
        <v>2566</v>
      </c>
      <c r="AB6" s="808">
        <v>1407</v>
      </c>
      <c r="AC6" s="639">
        <v>775</v>
      </c>
      <c r="AD6" s="841">
        <v>20139</v>
      </c>
      <c r="AE6" s="842">
        <f>AE4-AE5</f>
        <v>562</v>
      </c>
      <c r="AF6" s="842">
        <f>AF4-AF5</f>
        <v>448</v>
      </c>
      <c r="AG6" s="842">
        <v>480</v>
      </c>
      <c r="AH6" s="842">
        <v>443</v>
      </c>
      <c r="AI6" s="842">
        <v>480</v>
      </c>
      <c r="AJ6" s="842">
        <v>1208</v>
      </c>
      <c r="AK6" s="842">
        <v>2041</v>
      </c>
      <c r="AL6" s="842">
        <v>2308</v>
      </c>
      <c r="AM6" s="842">
        <v>2683</v>
      </c>
      <c r="AN6" s="842">
        <v>2089</v>
      </c>
      <c r="AO6" s="842">
        <v>1166</v>
      </c>
      <c r="AP6" s="842">
        <f>AP4-AP5</f>
        <v>749</v>
      </c>
      <c r="AQ6" s="853">
        <f>AE6+AF6+AG6+AH6+AI6+AJ6+AK6+AL6+AM6+AN6</f>
        <v>12742</v>
      </c>
      <c r="AZ6" s="47" t="s">
        <v>14</v>
      </c>
      <c r="BA6" s="126">
        <f>+AD19</f>
        <v>15949</v>
      </c>
      <c r="BB6" s="126">
        <f>+AD21</f>
        <v>7715</v>
      </c>
      <c r="BC6" s="224">
        <f t="shared" si="0"/>
        <v>0.48372938742240895</v>
      </c>
      <c r="BD6" s="126">
        <f>+AQ19</f>
        <v>17744</v>
      </c>
      <c r="BE6" s="126">
        <f>+AQ21</f>
        <v>6401</v>
      </c>
      <c r="BF6" s="224">
        <f t="shared" si="2"/>
        <v>0.36074165915238954</v>
      </c>
    </row>
    <row r="7" spans="1:58">
      <c r="A7" s="866">
        <f t="shared" si="3"/>
        <v>0</v>
      </c>
      <c r="B7" s="948"/>
      <c r="C7" s="627"/>
      <c r="D7" s="640" t="s">
        <v>455</v>
      </c>
      <c r="E7" s="641">
        <f t="shared" ref="E7:W7" si="6">E5/E4</f>
        <v>0.27657142857142858</v>
      </c>
      <c r="F7" s="642">
        <f t="shared" si="6"/>
        <v>0.2756916996047431</v>
      </c>
      <c r="G7" s="642">
        <f>G5/G4</f>
        <v>0.27154308617234468</v>
      </c>
      <c r="H7" s="643">
        <f>H5/H4</f>
        <v>0.2923728813559322</v>
      </c>
      <c r="I7" s="643">
        <f t="shared" si="6"/>
        <v>0.32151589242053791</v>
      </c>
      <c r="J7" s="643">
        <v>0.13057199211045364</v>
      </c>
      <c r="K7" s="757">
        <v>0.11579919926085618</v>
      </c>
      <c r="L7" s="757">
        <f>L5/L4</f>
        <v>0.11798521762934575</v>
      </c>
      <c r="M7" s="757">
        <f t="shared" si="6"/>
        <v>0.1166895919303072</v>
      </c>
      <c r="N7" s="757">
        <f t="shared" si="6"/>
        <v>0.15744535519125682</v>
      </c>
      <c r="O7" s="645">
        <f t="shared" si="6"/>
        <v>0.19965277777777779</v>
      </c>
      <c r="P7" s="646">
        <f t="shared" si="6"/>
        <v>0.275390625</v>
      </c>
      <c r="Q7" s="644">
        <f>+Q5/Q4</f>
        <v>0.16380952380952382</v>
      </c>
      <c r="R7" s="647">
        <f t="shared" si="6"/>
        <v>0.31800262812089358</v>
      </c>
      <c r="S7" s="648">
        <f t="shared" si="6"/>
        <v>0.29617834394904458</v>
      </c>
      <c r="T7" s="648">
        <f t="shared" si="6"/>
        <v>0.30563002680965146</v>
      </c>
      <c r="U7" s="649">
        <f t="shared" si="6"/>
        <v>0.30660377358490565</v>
      </c>
      <c r="V7" s="649">
        <f t="shared" si="6"/>
        <v>0.30996714129244252</v>
      </c>
      <c r="W7" s="649">
        <f t="shared" si="6"/>
        <v>0.12516297262059975</v>
      </c>
      <c r="X7" s="649">
        <f t="shared" ref="X7:AA7" si="7">X5/X4</f>
        <v>0.13511137162954279</v>
      </c>
      <c r="Y7" s="649">
        <f t="shared" si="7"/>
        <v>0.13986502210844776</v>
      </c>
      <c r="Z7" s="649">
        <f t="shared" si="7"/>
        <v>0.15164342629482072</v>
      </c>
      <c r="AA7" s="649">
        <f t="shared" si="7"/>
        <v>0.1553653719552337</v>
      </c>
      <c r="AB7" s="809">
        <v>0.19323394495412843</v>
      </c>
      <c r="AC7" s="649">
        <v>0.239450441609421</v>
      </c>
      <c r="AD7" s="843">
        <v>0.18207294289659653</v>
      </c>
      <c r="AE7" s="648">
        <f t="shared" ref="AE7:AF7" si="8">AE5/AE4</f>
        <v>0.33254156769596199</v>
      </c>
      <c r="AF7" s="648">
        <f t="shared" si="8"/>
        <v>0.328335832083958</v>
      </c>
      <c r="AG7" s="648">
        <v>0.30835734870317005</v>
      </c>
      <c r="AH7" s="648">
        <v>0.32366412213740459</v>
      </c>
      <c r="AI7" s="648">
        <v>0.30835734870317005</v>
      </c>
      <c r="AJ7" s="648">
        <v>0.10980103168754606</v>
      </c>
      <c r="AK7" s="648">
        <v>0.1344359626802375</v>
      </c>
      <c r="AL7" s="648">
        <v>0.14328136599851521</v>
      </c>
      <c r="AM7" s="648">
        <v>0.15840652446675033</v>
      </c>
      <c r="AN7" s="648">
        <v>0.16938369781312126</v>
      </c>
      <c r="AO7" s="648">
        <v>0.24628312863606983</v>
      </c>
      <c r="AP7" s="648">
        <f t="shared" ref="AP7" si="9">AP5/AP4</f>
        <v>0.2777242044358727</v>
      </c>
      <c r="AQ7" s="854">
        <f>AQ5/AQ4</f>
        <v>0.19678868917141604</v>
      </c>
      <c r="AZ7" s="47" t="s">
        <v>17</v>
      </c>
      <c r="BA7" s="126">
        <f>+AD34</f>
        <v>15053</v>
      </c>
      <c r="BB7" s="126">
        <f>+AD36</f>
        <v>10016</v>
      </c>
      <c r="BC7" s="224">
        <f t="shared" si="0"/>
        <v>0.665382315817445</v>
      </c>
      <c r="BD7" s="126">
        <f>+AQ34</f>
        <v>15307</v>
      </c>
      <c r="BE7" s="126">
        <f>+AQ36</f>
        <v>7843</v>
      </c>
      <c r="BF7" s="224">
        <f t="shared" si="2"/>
        <v>0.51237995688247207</v>
      </c>
    </row>
    <row r="8" spans="1:58">
      <c r="A8" s="866">
        <f t="shared" si="3"/>
        <v>0</v>
      </c>
      <c r="B8" s="650"/>
      <c r="C8" s="75"/>
      <c r="D8" s="651"/>
      <c r="E8" s="650"/>
      <c r="F8" s="75"/>
      <c r="G8" s="75"/>
      <c r="H8" s="75"/>
      <c r="I8" s="136"/>
      <c r="J8" s="136"/>
      <c r="K8" s="136"/>
      <c r="L8" s="136"/>
      <c r="M8" s="136"/>
      <c r="N8" s="136"/>
      <c r="O8" s="136"/>
      <c r="P8" s="136"/>
      <c r="Q8" s="652"/>
      <c r="R8" s="650"/>
      <c r="S8" s="75"/>
      <c r="T8" s="75"/>
      <c r="U8" s="75"/>
      <c r="V8" s="75"/>
      <c r="W8" s="75"/>
      <c r="X8" s="75"/>
      <c r="Y8" s="75"/>
      <c r="Z8" s="75"/>
      <c r="AA8" s="75"/>
      <c r="AB8" s="75"/>
      <c r="AC8" s="829"/>
      <c r="AD8" s="844"/>
      <c r="AE8" s="403"/>
      <c r="AF8" s="403"/>
      <c r="AG8" s="403"/>
      <c r="AH8" s="403"/>
      <c r="AI8" s="403"/>
      <c r="AJ8" s="403"/>
      <c r="AK8" s="403"/>
      <c r="AL8" s="403"/>
      <c r="AM8" s="403"/>
      <c r="AN8" s="403"/>
      <c r="AO8" s="403"/>
      <c r="AP8" s="403"/>
      <c r="AQ8" s="855"/>
      <c r="AZ8" s="47" t="s">
        <v>18</v>
      </c>
      <c r="BA8" s="126">
        <f>+AD4</f>
        <v>24622</v>
      </c>
      <c r="BB8" s="126">
        <f>+AD6</f>
        <v>20139</v>
      </c>
      <c r="BC8" s="224">
        <f t="shared" si="0"/>
        <v>0.81792705710340341</v>
      </c>
      <c r="BD8" s="126">
        <f>+AQ4</f>
        <v>18248</v>
      </c>
      <c r="BE8" s="126">
        <f>+AQ6</f>
        <v>12742</v>
      </c>
      <c r="BF8" s="224">
        <f t="shared" si="2"/>
        <v>0.69826830337571244</v>
      </c>
    </row>
    <row r="9" spans="1:58">
      <c r="A9" s="866" t="str">
        <f t="shared" si="3"/>
        <v>BEN</v>
      </c>
      <c r="B9" s="948" t="s">
        <v>123</v>
      </c>
      <c r="C9" s="627"/>
      <c r="D9" s="640" t="s">
        <v>452</v>
      </c>
      <c r="E9" s="653">
        <v>94</v>
      </c>
      <c r="F9" s="654">
        <v>141</v>
      </c>
      <c r="G9" s="654">
        <v>178</v>
      </c>
      <c r="H9" s="655">
        <v>198</v>
      </c>
      <c r="I9" s="655">
        <v>188</v>
      </c>
      <c r="J9" s="655">
        <v>198</v>
      </c>
      <c r="K9" s="754">
        <v>184</v>
      </c>
      <c r="L9" s="754">
        <v>249</v>
      </c>
      <c r="M9" s="754">
        <v>294</v>
      </c>
      <c r="N9" s="754">
        <v>252</v>
      </c>
      <c r="O9" s="656">
        <v>221</v>
      </c>
      <c r="P9" s="657">
        <v>225</v>
      </c>
      <c r="Q9" s="621">
        <f>+E9+F9+G9+H9+I9+J9+K9+L9+M9+N9+O9</f>
        <v>2197</v>
      </c>
      <c r="R9" s="658">
        <v>167</v>
      </c>
      <c r="S9" s="659">
        <v>191</v>
      </c>
      <c r="T9" s="659">
        <v>215</v>
      </c>
      <c r="U9" s="660">
        <v>178</v>
      </c>
      <c r="V9" s="660">
        <v>177</v>
      </c>
      <c r="W9" s="660">
        <v>104</v>
      </c>
      <c r="X9" s="759">
        <v>189</v>
      </c>
      <c r="Y9" s="759">
        <v>252</v>
      </c>
      <c r="Z9" s="759">
        <v>208</v>
      </c>
      <c r="AA9" s="759">
        <v>168</v>
      </c>
      <c r="AB9" s="759">
        <v>184</v>
      </c>
      <c r="AC9" s="759">
        <v>121</v>
      </c>
      <c r="AD9" s="841">
        <v>2154</v>
      </c>
      <c r="AE9" s="659">
        <v>59</v>
      </c>
      <c r="AF9" s="659">
        <v>99</v>
      </c>
      <c r="AG9" s="659">
        <v>175</v>
      </c>
      <c r="AH9" s="659">
        <v>141</v>
      </c>
      <c r="AI9" s="659">
        <v>175</v>
      </c>
      <c r="AJ9" s="659">
        <v>131</v>
      </c>
      <c r="AK9" s="659">
        <v>148</v>
      </c>
      <c r="AL9" s="659">
        <v>179</v>
      </c>
      <c r="AM9" s="659">
        <v>146</v>
      </c>
      <c r="AN9" s="659">
        <v>128</v>
      </c>
      <c r="AO9" s="659">
        <v>116</v>
      </c>
      <c r="AP9" s="659">
        <f>VLOOKUP($A$9,[1]Toute_Prod!$G:$I,3,0)</f>
        <v>101</v>
      </c>
      <c r="AQ9" s="853">
        <f>AE9+AF9+AG9+AH9+AI9+AJ9+AK9+AL9+AM9+AN9+AO9+AP9</f>
        <v>1598</v>
      </c>
      <c r="AZ9" s="47" t="s">
        <v>19</v>
      </c>
      <c r="BA9" s="126">
        <f>+AD24</f>
        <v>15923</v>
      </c>
      <c r="BB9" s="126">
        <f>+AD26</f>
        <v>9776</v>
      </c>
      <c r="BC9" s="224">
        <f t="shared" si="0"/>
        <v>0.61395465678578154</v>
      </c>
      <c r="BD9" s="126">
        <f>+AQ24</f>
        <v>8136</v>
      </c>
      <c r="BE9" s="126">
        <f>+AQ26</f>
        <v>3785</v>
      </c>
      <c r="BF9" s="224">
        <f t="shared" si="2"/>
        <v>0.46521632251720746</v>
      </c>
    </row>
    <row r="10" spans="1:58">
      <c r="A10" s="866" t="str">
        <f t="shared" ref="A10" si="10">A9</f>
        <v>BEN</v>
      </c>
      <c r="B10" s="948"/>
      <c r="C10" s="627"/>
      <c r="D10" s="628" t="s">
        <v>453</v>
      </c>
      <c r="E10" s="629">
        <v>36</v>
      </c>
      <c r="F10" s="630">
        <v>54</v>
      </c>
      <c r="G10" s="630">
        <v>47</v>
      </c>
      <c r="H10" s="630">
        <v>80</v>
      </c>
      <c r="I10" s="630">
        <v>62</v>
      </c>
      <c r="J10" s="630">
        <v>65</v>
      </c>
      <c r="K10" s="755">
        <v>65</v>
      </c>
      <c r="L10" s="755">
        <v>106</v>
      </c>
      <c r="M10" s="755">
        <v>153</v>
      </c>
      <c r="N10" s="755">
        <v>145</v>
      </c>
      <c r="O10" s="631">
        <v>108</v>
      </c>
      <c r="P10" s="631">
        <v>128</v>
      </c>
      <c r="Q10" s="621">
        <f t="shared" ref="Q10:Q11" si="11">+E10+F10+G10+H10+I10+J10+K10+L10+M10+N10+O10</f>
        <v>921</v>
      </c>
      <c r="R10" s="632">
        <v>103</v>
      </c>
      <c r="S10" s="633">
        <v>106</v>
      </c>
      <c r="T10" s="633">
        <v>110</v>
      </c>
      <c r="U10" s="633">
        <v>77</v>
      </c>
      <c r="V10" s="633">
        <v>72</v>
      </c>
      <c r="W10" s="633">
        <v>41</v>
      </c>
      <c r="X10" s="633">
        <v>63</v>
      </c>
      <c r="Y10" s="633">
        <v>108</v>
      </c>
      <c r="Z10" s="771">
        <v>79</v>
      </c>
      <c r="AA10" s="771">
        <v>62</v>
      </c>
      <c r="AB10" s="771">
        <v>67</v>
      </c>
      <c r="AC10" s="837">
        <v>53</v>
      </c>
      <c r="AD10" s="841">
        <v>941</v>
      </c>
      <c r="AE10" s="842">
        <v>33</v>
      </c>
      <c r="AF10" s="842">
        <v>30</v>
      </c>
      <c r="AG10" s="842">
        <v>42</v>
      </c>
      <c r="AH10" s="842">
        <v>25</v>
      </c>
      <c r="AI10" s="842">
        <v>42</v>
      </c>
      <c r="AJ10" s="842">
        <v>28</v>
      </c>
      <c r="AK10" s="842">
        <v>32</v>
      </c>
      <c r="AL10" s="842">
        <v>45</v>
      </c>
      <c r="AM10" s="842">
        <v>36</v>
      </c>
      <c r="AN10" s="842">
        <v>26</v>
      </c>
      <c r="AO10" s="842">
        <v>22</v>
      </c>
      <c r="AP10" s="842">
        <f>VLOOKUP($A$9,[1]Nouveau_PPO!$G:$I,3,0)</f>
        <v>35</v>
      </c>
      <c r="AQ10" s="853">
        <f>AE10+AF10+AG10+AH10+AI10+AJ10+AK10+AL10+AM10+AN10+AO10+AP10</f>
        <v>396</v>
      </c>
      <c r="AZ10" s="47" t="s">
        <v>21</v>
      </c>
      <c r="BA10" s="126">
        <f>+AD9</f>
        <v>2154</v>
      </c>
      <c r="BB10" s="126">
        <f>+AD11</f>
        <v>1213</v>
      </c>
      <c r="BC10" s="224">
        <f t="shared" si="0"/>
        <v>0.56313834726090994</v>
      </c>
      <c r="BD10" s="126">
        <f>+AD9</f>
        <v>2154</v>
      </c>
      <c r="BE10" s="126">
        <f>+AQ11</f>
        <v>1042</v>
      </c>
      <c r="BF10" s="224">
        <f t="shared" si="2"/>
        <v>0.48375116063138346</v>
      </c>
    </row>
    <row r="11" spans="1:58">
      <c r="A11" s="866">
        <f t="shared" si="3"/>
        <v>0</v>
      </c>
      <c r="B11" s="948"/>
      <c r="C11" s="627"/>
      <c r="D11" s="634" t="s">
        <v>454</v>
      </c>
      <c r="E11" s="635">
        <f t="shared" ref="E11:AA11" si="12">E9-E10</f>
        <v>58</v>
      </c>
      <c r="F11" s="636">
        <f t="shared" si="12"/>
        <v>87</v>
      </c>
      <c r="G11" s="636">
        <f t="shared" si="12"/>
        <v>131</v>
      </c>
      <c r="H11" s="636">
        <f t="shared" si="12"/>
        <v>118</v>
      </c>
      <c r="I11" s="636">
        <f t="shared" si="12"/>
        <v>126</v>
      </c>
      <c r="J11" s="636">
        <v>133</v>
      </c>
      <c r="K11" s="756">
        <v>119</v>
      </c>
      <c r="L11" s="756">
        <f>L9-L10</f>
        <v>143</v>
      </c>
      <c r="M11" s="756">
        <f t="shared" si="12"/>
        <v>141</v>
      </c>
      <c r="N11" s="756">
        <f t="shared" si="12"/>
        <v>107</v>
      </c>
      <c r="O11" s="637">
        <f t="shared" si="12"/>
        <v>113</v>
      </c>
      <c r="P11" s="637">
        <f t="shared" si="12"/>
        <v>97</v>
      </c>
      <c r="Q11" s="621">
        <f t="shared" si="11"/>
        <v>1276</v>
      </c>
      <c r="R11" s="638">
        <f t="shared" si="12"/>
        <v>64</v>
      </c>
      <c r="S11" s="639">
        <f t="shared" si="12"/>
        <v>85</v>
      </c>
      <c r="T11" s="639">
        <f t="shared" si="12"/>
        <v>105</v>
      </c>
      <c r="U11" s="639">
        <f t="shared" si="12"/>
        <v>101</v>
      </c>
      <c r="V11" s="639">
        <f t="shared" si="12"/>
        <v>105</v>
      </c>
      <c r="W11" s="639">
        <f t="shared" si="12"/>
        <v>63</v>
      </c>
      <c r="X11" s="639">
        <f t="shared" si="12"/>
        <v>126</v>
      </c>
      <c r="Y11" s="639">
        <f t="shared" si="12"/>
        <v>144</v>
      </c>
      <c r="Z11" s="639">
        <f t="shared" si="12"/>
        <v>129</v>
      </c>
      <c r="AA11" s="639">
        <f t="shared" si="12"/>
        <v>106</v>
      </c>
      <c r="AB11" s="808">
        <v>117</v>
      </c>
      <c r="AC11" s="808">
        <v>68</v>
      </c>
      <c r="AD11" s="841">
        <v>1213</v>
      </c>
      <c r="AE11" s="842">
        <f t="shared" ref="AE11:AF11" si="13">AE9-AE10</f>
        <v>26</v>
      </c>
      <c r="AF11" s="842">
        <f t="shared" si="13"/>
        <v>69</v>
      </c>
      <c r="AG11" s="842">
        <v>133</v>
      </c>
      <c r="AH11" s="842">
        <v>116</v>
      </c>
      <c r="AI11" s="842">
        <v>133</v>
      </c>
      <c r="AJ11" s="842">
        <v>103</v>
      </c>
      <c r="AK11" s="842">
        <v>116</v>
      </c>
      <c r="AL11" s="842">
        <v>134</v>
      </c>
      <c r="AM11" s="842">
        <v>110</v>
      </c>
      <c r="AN11" s="842">
        <v>102</v>
      </c>
      <c r="AO11" s="842">
        <v>94</v>
      </c>
      <c r="AP11" s="842">
        <f>AP9-AP10</f>
        <v>66</v>
      </c>
      <c r="AQ11" s="853">
        <f>AE11+AF11+AG11+AH11+AI11+AJ11+AK11+AL11+AM11+AN11</f>
        <v>1042</v>
      </c>
      <c r="AZ11" s="47" t="s">
        <v>22</v>
      </c>
      <c r="BA11" s="126">
        <f>+AD29</f>
        <v>13265</v>
      </c>
      <c r="BB11" s="126">
        <f>+AD31</f>
        <v>11002</v>
      </c>
      <c r="BC11" s="224">
        <f t="shared" si="0"/>
        <v>0.82940067847719567</v>
      </c>
      <c r="BD11" s="126">
        <f>+AQ29</f>
        <v>12342</v>
      </c>
      <c r="BE11" s="126">
        <f>+AQ31</f>
        <v>9848</v>
      </c>
      <c r="BF11" s="224">
        <f t="shared" si="2"/>
        <v>0.79792578188300112</v>
      </c>
    </row>
    <row r="12" spans="1:58">
      <c r="A12" s="866">
        <f t="shared" si="3"/>
        <v>0</v>
      </c>
      <c r="B12" s="948"/>
      <c r="C12" s="627"/>
      <c r="D12" s="640" t="s">
        <v>455</v>
      </c>
      <c r="E12" s="641">
        <f t="shared" ref="E12:U12" si="14">E10/E9</f>
        <v>0.38297872340425532</v>
      </c>
      <c r="F12" s="642">
        <f t="shared" si="14"/>
        <v>0.38297872340425532</v>
      </c>
      <c r="G12" s="642">
        <f t="shared" si="14"/>
        <v>0.2640449438202247</v>
      </c>
      <c r="H12" s="643">
        <f t="shared" si="14"/>
        <v>0.40404040404040403</v>
      </c>
      <c r="I12" s="643">
        <f t="shared" si="14"/>
        <v>0.32978723404255317</v>
      </c>
      <c r="J12" s="643">
        <v>0.32828282828282829</v>
      </c>
      <c r="K12" s="757">
        <v>0.35326086956521741</v>
      </c>
      <c r="L12" s="757">
        <f>L10/L9</f>
        <v>0.42570281124497994</v>
      </c>
      <c r="M12" s="757">
        <f t="shared" si="14"/>
        <v>0.52040816326530615</v>
      </c>
      <c r="N12" s="757">
        <f t="shared" si="14"/>
        <v>0.57539682539682535</v>
      </c>
      <c r="O12" s="645">
        <f t="shared" si="14"/>
        <v>0.48868778280542985</v>
      </c>
      <c r="P12" s="646">
        <f t="shared" si="14"/>
        <v>0.56888888888888889</v>
      </c>
      <c r="Q12" s="644">
        <f>+Q10/Q9</f>
        <v>0.41920801092398724</v>
      </c>
      <c r="R12" s="647">
        <f t="shared" si="14"/>
        <v>0.61676646706586824</v>
      </c>
      <c r="S12" s="648">
        <f t="shared" si="14"/>
        <v>0.55497382198952883</v>
      </c>
      <c r="T12" s="648">
        <f t="shared" si="14"/>
        <v>0.51162790697674421</v>
      </c>
      <c r="U12" s="649">
        <f t="shared" si="14"/>
        <v>0.43258426966292135</v>
      </c>
      <c r="V12" s="649">
        <f>+V10/V9</f>
        <v>0.40677966101694918</v>
      </c>
      <c r="W12" s="649">
        <f>+W10/W9</f>
        <v>0.39423076923076922</v>
      </c>
      <c r="X12" s="649">
        <f t="shared" ref="X12:AA12" si="15">+X10/X9</f>
        <v>0.33333333333333331</v>
      </c>
      <c r="Y12" s="649">
        <f t="shared" si="15"/>
        <v>0.42857142857142855</v>
      </c>
      <c r="Z12" s="649">
        <f t="shared" si="15"/>
        <v>0.37980769230769229</v>
      </c>
      <c r="AA12" s="649">
        <f t="shared" si="15"/>
        <v>0.36904761904761907</v>
      </c>
      <c r="AB12" s="809">
        <v>0.3641304347826087</v>
      </c>
      <c r="AC12" s="809">
        <v>0.43801652892561982</v>
      </c>
      <c r="AD12" s="843">
        <v>0.43686165273909006</v>
      </c>
      <c r="AE12" s="648">
        <f t="shared" ref="AE12" si="16">AE10/AE9</f>
        <v>0.55932203389830504</v>
      </c>
      <c r="AF12" s="648">
        <f t="shared" ref="AF12" si="17">AF10/AF9</f>
        <v>0.30303030303030304</v>
      </c>
      <c r="AG12" s="648">
        <v>0.24</v>
      </c>
      <c r="AH12" s="648">
        <v>0.1773049645390071</v>
      </c>
      <c r="AI12" s="648">
        <v>0.24</v>
      </c>
      <c r="AJ12" s="648">
        <v>0.21374045801526717</v>
      </c>
      <c r="AK12" s="648">
        <v>0.21621621621621623</v>
      </c>
      <c r="AL12" s="648">
        <v>0.25139664804469275</v>
      </c>
      <c r="AM12" s="648">
        <v>0.24657534246575341</v>
      </c>
      <c r="AN12" s="648">
        <v>0.203125</v>
      </c>
      <c r="AO12" s="648">
        <v>0.18965517241379309</v>
      </c>
      <c r="AP12" s="648">
        <f t="shared" ref="AP12" si="18">AP10/AP9</f>
        <v>0.34653465346534651</v>
      </c>
      <c r="AQ12" s="854">
        <f>AQ10/AQ9</f>
        <v>0.24780976220275344</v>
      </c>
      <c r="AZ12" s="48" t="s">
        <v>62</v>
      </c>
      <c r="BA12" s="124">
        <f>SUM(BA5:BA11)</f>
        <v>119511</v>
      </c>
      <c r="BB12" s="124">
        <f>SUM(BB5:BB11)</f>
        <v>73071</v>
      </c>
      <c r="BC12" s="41">
        <f t="shared" si="0"/>
        <v>0.61141652232848864</v>
      </c>
      <c r="BD12" s="124">
        <f>SUM(BD5:BD11)</f>
        <v>114845</v>
      </c>
      <c r="BE12" s="124">
        <f>SUM(BE5:BE11)</f>
        <v>53234</v>
      </c>
      <c r="BF12" s="41">
        <f t="shared" si="2"/>
        <v>0.46352910444512169</v>
      </c>
    </row>
    <row r="13" spans="1:58">
      <c r="A13" s="866">
        <f t="shared" si="3"/>
        <v>0</v>
      </c>
      <c r="B13" s="650"/>
      <c r="C13" s="75"/>
      <c r="D13" s="651"/>
      <c r="E13" s="650"/>
      <c r="F13" s="75"/>
      <c r="G13" s="75"/>
      <c r="H13" s="75"/>
      <c r="I13" s="136"/>
      <c r="J13" s="136"/>
      <c r="K13" s="136"/>
      <c r="L13" s="136"/>
      <c r="M13" s="136"/>
      <c r="N13" s="136"/>
      <c r="O13" s="136"/>
      <c r="P13" s="136"/>
      <c r="Q13" s="652"/>
      <c r="R13" s="650"/>
      <c r="S13" s="75"/>
      <c r="T13" s="75"/>
      <c r="U13" s="75"/>
      <c r="V13" s="75"/>
      <c r="W13" s="75"/>
      <c r="X13" s="75"/>
      <c r="Y13" s="75"/>
      <c r="Z13" s="75"/>
      <c r="AA13" s="75"/>
      <c r="AB13" s="75"/>
      <c r="AC13" s="829"/>
      <c r="AD13" s="844"/>
      <c r="AE13" s="403"/>
      <c r="AF13" s="403"/>
      <c r="AG13" s="403"/>
      <c r="AH13" s="403"/>
      <c r="AI13" s="403"/>
      <c r="AJ13" s="403"/>
      <c r="AK13" s="403"/>
      <c r="AL13" s="403"/>
      <c r="AM13" s="403"/>
      <c r="AN13" s="403"/>
      <c r="AO13" s="403"/>
      <c r="AP13" s="403"/>
      <c r="AQ13" s="855"/>
      <c r="AZ13" s="47" t="s">
        <v>15</v>
      </c>
      <c r="BA13" s="126">
        <f>+AD50</f>
        <v>85855</v>
      </c>
      <c r="BB13" s="126">
        <f>+AD52</f>
        <v>60693</v>
      </c>
      <c r="BC13" s="224">
        <f t="shared" si="0"/>
        <v>0.70692446566886025</v>
      </c>
      <c r="BD13" s="126">
        <f>+AQ50</f>
        <v>84977</v>
      </c>
      <c r="BE13" s="126">
        <f>+AQ52</f>
        <v>52448</v>
      </c>
      <c r="BF13" s="224">
        <f t="shared" si="2"/>
        <v>0.61720230179931035</v>
      </c>
    </row>
    <row r="14" spans="1:58">
      <c r="A14" s="866" t="str">
        <f t="shared" si="3"/>
        <v>CIV</v>
      </c>
      <c r="B14" s="948" t="s">
        <v>131</v>
      </c>
      <c r="C14" s="627"/>
      <c r="D14" s="640" t="s">
        <v>452</v>
      </c>
      <c r="E14" s="653">
        <v>2390</v>
      </c>
      <c r="F14" s="654">
        <v>2593</v>
      </c>
      <c r="G14" s="654">
        <v>2888</v>
      </c>
      <c r="H14" s="655">
        <v>2507</v>
      </c>
      <c r="I14" s="655">
        <v>2055</v>
      </c>
      <c r="J14" s="655">
        <v>2700</v>
      </c>
      <c r="K14" s="754">
        <v>2710</v>
      </c>
      <c r="L14" s="754">
        <v>3664</v>
      </c>
      <c r="M14" s="754">
        <v>3768</v>
      </c>
      <c r="N14" s="754">
        <v>2948</v>
      </c>
      <c r="O14" s="656">
        <v>2315</v>
      </c>
      <c r="P14" s="657">
        <v>2054</v>
      </c>
      <c r="Q14" s="621">
        <f>+E14+F14+G14+H14+I14+J14+K14+L14+M14+N14+O14</f>
        <v>30538</v>
      </c>
      <c r="R14" s="658">
        <v>1954</v>
      </c>
      <c r="S14" s="659">
        <v>2428</v>
      </c>
      <c r="T14" s="659">
        <v>2556</v>
      </c>
      <c r="U14" s="660">
        <v>2390</v>
      </c>
      <c r="V14" s="660">
        <v>2317</v>
      </c>
      <c r="W14" s="660">
        <v>3052</v>
      </c>
      <c r="X14" s="759">
        <v>2587</v>
      </c>
      <c r="Y14" s="759">
        <v>3501</v>
      </c>
      <c r="Z14" s="759">
        <v>3649</v>
      </c>
      <c r="AA14" s="759">
        <v>3691</v>
      </c>
      <c r="AB14" s="759">
        <v>2531</v>
      </c>
      <c r="AC14" s="759">
        <v>1889</v>
      </c>
      <c r="AD14" s="841">
        <v>32545</v>
      </c>
      <c r="AE14" s="659">
        <v>2040</v>
      </c>
      <c r="AF14" s="659">
        <v>2286</v>
      </c>
      <c r="AG14" s="659">
        <v>2908</v>
      </c>
      <c r="AH14" s="659">
        <v>10535</v>
      </c>
      <c r="AI14" s="659">
        <v>2908</v>
      </c>
      <c r="AJ14" s="659">
        <v>2828</v>
      </c>
      <c r="AK14" s="659">
        <v>2810</v>
      </c>
      <c r="AL14" s="659">
        <v>3677</v>
      </c>
      <c r="AM14" s="659">
        <v>3345</v>
      </c>
      <c r="AN14" s="659">
        <v>3336</v>
      </c>
      <c r="AO14" s="659">
        <v>2378</v>
      </c>
      <c r="AP14" s="659">
        <f>VLOOKUP($A14,[1]Toute_Prod!$G:$I,3,0)</f>
        <v>1863</v>
      </c>
      <c r="AQ14" s="853">
        <f>AE14+AF14+AG14+AH14+AI14+AJ14+AK14+AL14+AM14+AN14+AO14+AP14</f>
        <v>40914</v>
      </c>
      <c r="AZ14" s="47" t="s">
        <v>16</v>
      </c>
      <c r="BA14" s="126">
        <f>+AD45</f>
        <v>24332</v>
      </c>
      <c r="BB14" s="126">
        <f>+AD47</f>
        <v>14361</v>
      </c>
      <c r="BC14" s="224">
        <f t="shared" si="0"/>
        <v>0.59021042248890354</v>
      </c>
      <c r="BD14" s="126">
        <f>+AQ45</f>
        <v>37776</v>
      </c>
      <c r="BE14" s="126">
        <f>+AQ47</f>
        <v>19481</v>
      </c>
      <c r="BF14" s="224">
        <f t="shared" si="2"/>
        <v>0.51569779754341383</v>
      </c>
    </row>
    <row r="15" spans="1:58">
      <c r="A15" s="866" t="str">
        <f t="shared" ref="A15" si="19">A14</f>
        <v>CIV</v>
      </c>
      <c r="B15" s="948"/>
      <c r="C15" s="627"/>
      <c r="D15" s="628" t="s">
        <v>453</v>
      </c>
      <c r="E15" s="629">
        <v>1255</v>
      </c>
      <c r="F15" s="630">
        <v>1391</v>
      </c>
      <c r="G15" s="630">
        <v>1715</v>
      </c>
      <c r="H15" s="630">
        <v>1449</v>
      </c>
      <c r="I15" s="630">
        <v>1195</v>
      </c>
      <c r="J15" s="630">
        <v>1570</v>
      </c>
      <c r="K15" s="755">
        <v>1465</v>
      </c>
      <c r="L15" s="755">
        <v>1969</v>
      </c>
      <c r="M15" s="755">
        <v>2023</v>
      </c>
      <c r="N15" s="755">
        <v>1791</v>
      </c>
      <c r="O15" s="631">
        <v>1408</v>
      </c>
      <c r="P15" s="631">
        <v>1206</v>
      </c>
      <c r="Q15" s="621">
        <f t="shared" ref="Q15:Q16" si="20">+E15+F15+G15+H15+I15+J15+K15+L15+M15+N15+O15</f>
        <v>17231</v>
      </c>
      <c r="R15" s="632">
        <v>1158</v>
      </c>
      <c r="S15" s="633">
        <v>1476</v>
      </c>
      <c r="T15" s="633">
        <v>1575</v>
      </c>
      <c r="U15" s="633">
        <v>1410</v>
      </c>
      <c r="V15" s="633">
        <v>1431</v>
      </c>
      <c r="W15" s="633">
        <v>1904</v>
      </c>
      <c r="X15" s="633">
        <v>1559</v>
      </c>
      <c r="Y15" s="633">
        <v>2090</v>
      </c>
      <c r="Z15" s="771">
        <v>1968</v>
      </c>
      <c r="AA15" s="771">
        <v>2101</v>
      </c>
      <c r="AB15" s="771">
        <v>1544</v>
      </c>
      <c r="AC15" s="837">
        <v>1119</v>
      </c>
      <c r="AD15" s="841">
        <v>19335</v>
      </c>
      <c r="AE15" s="842">
        <v>1249</v>
      </c>
      <c r="AF15" s="842">
        <v>1362</v>
      </c>
      <c r="AG15" s="842">
        <v>1747</v>
      </c>
      <c r="AH15" s="842">
        <v>9628</v>
      </c>
      <c r="AI15" s="842">
        <v>1747</v>
      </c>
      <c r="AJ15" s="842">
        <v>1667</v>
      </c>
      <c r="AK15" s="842">
        <v>1714</v>
      </c>
      <c r="AL15" s="842">
        <v>2072</v>
      </c>
      <c r="AM15" s="842">
        <v>1886</v>
      </c>
      <c r="AN15" s="842">
        <v>2028</v>
      </c>
      <c r="AO15" s="842">
        <v>1478</v>
      </c>
      <c r="AP15" s="842">
        <f>VLOOKUP($A14,[1]Nouveau_PPO!$G:$I,3,0)</f>
        <v>1167</v>
      </c>
      <c r="AQ15" s="853">
        <f>AE15+AF15+AG15+AH15+AI15+AJ15+AK15+AL15+AM15+AN15+AO15+AP15</f>
        <v>27745</v>
      </c>
      <c r="AZ15" s="47" t="s">
        <v>20</v>
      </c>
      <c r="BA15" s="126">
        <f>+AD60</f>
        <v>8621</v>
      </c>
      <c r="BB15" s="126">
        <f>+AD62</f>
        <v>4341</v>
      </c>
      <c r="BC15" s="224">
        <f t="shared" si="0"/>
        <v>0.50353787263658512</v>
      </c>
      <c r="BD15" s="126">
        <f>+AQ60</f>
        <v>6797</v>
      </c>
      <c r="BE15" s="126">
        <f>+AQ62</f>
        <v>2617</v>
      </c>
      <c r="BF15" s="224">
        <f t="shared" si="2"/>
        <v>0.38502280417831397</v>
      </c>
    </row>
    <row r="16" spans="1:58">
      <c r="A16" s="866">
        <f t="shared" si="3"/>
        <v>0</v>
      </c>
      <c r="B16" s="948"/>
      <c r="C16" s="627"/>
      <c r="D16" s="634" t="s">
        <v>454</v>
      </c>
      <c r="E16" s="635">
        <f t="shared" ref="E16:W16" si="21">E14-E15</f>
        <v>1135</v>
      </c>
      <c r="F16" s="636">
        <f t="shared" si="21"/>
        <v>1202</v>
      </c>
      <c r="G16" s="636">
        <f t="shared" si="21"/>
        <v>1173</v>
      </c>
      <c r="H16" s="636">
        <f t="shared" si="21"/>
        <v>1058</v>
      </c>
      <c r="I16" s="636">
        <f t="shared" si="21"/>
        <v>860</v>
      </c>
      <c r="J16" s="636">
        <v>1130</v>
      </c>
      <c r="K16" s="756">
        <v>1245</v>
      </c>
      <c r="L16" s="756">
        <f>L14-L15</f>
        <v>1695</v>
      </c>
      <c r="M16" s="756">
        <f t="shared" si="21"/>
        <v>1745</v>
      </c>
      <c r="N16" s="756">
        <f t="shared" si="21"/>
        <v>1157</v>
      </c>
      <c r="O16" s="637">
        <f t="shared" si="21"/>
        <v>907</v>
      </c>
      <c r="P16" s="637">
        <f t="shared" si="21"/>
        <v>848</v>
      </c>
      <c r="Q16" s="621">
        <f t="shared" si="20"/>
        <v>13307</v>
      </c>
      <c r="R16" s="638">
        <f t="shared" si="21"/>
        <v>796</v>
      </c>
      <c r="S16" s="639">
        <f t="shared" si="21"/>
        <v>952</v>
      </c>
      <c r="T16" s="639">
        <f t="shared" si="21"/>
        <v>981</v>
      </c>
      <c r="U16" s="639">
        <f t="shared" si="21"/>
        <v>980</v>
      </c>
      <c r="V16" s="639">
        <f t="shared" si="21"/>
        <v>886</v>
      </c>
      <c r="W16" s="639">
        <f t="shared" si="21"/>
        <v>1148</v>
      </c>
      <c r="X16" s="639">
        <f t="shared" ref="X16:AA16" si="22">X14-X15</f>
        <v>1028</v>
      </c>
      <c r="Y16" s="639">
        <f t="shared" si="22"/>
        <v>1411</v>
      </c>
      <c r="Z16" s="639">
        <f t="shared" si="22"/>
        <v>1681</v>
      </c>
      <c r="AA16" s="639">
        <f t="shared" si="22"/>
        <v>1590</v>
      </c>
      <c r="AB16" s="808">
        <v>987</v>
      </c>
      <c r="AC16" s="808">
        <v>770</v>
      </c>
      <c r="AD16" s="841">
        <v>13210</v>
      </c>
      <c r="AE16" s="842">
        <f t="shared" ref="AE16:AF16" si="23">AE14-AE15</f>
        <v>791</v>
      </c>
      <c r="AF16" s="842">
        <f t="shared" si="23"/>
        <v>924</v>
      </c>
      <c r="AG16" s="842">
        <v>1161</v>
      </c>
      <c r="AH16" s="842">
        <v>907</v>
      </c>
      <c r="AI16" s="842">
        <v>1161</v>
      </c>
      <c r="AJ16" s="842">
        <v>1161</v>
      </c>
      <c r="AK16" s="842">
        <v>1096</v>
      </c>
      <c r="AL16" s="842">
        <v>1605</v>
      </c>
      <c r="AM16" s="842">
        <v>1459</v>
      </c>
      <c r="AN16" s="842">
        <v>1308</v>
      </c>
      <c r="AO16" s="842">
        <v>900</v>
      </c>
      <c r="AP16" s="842">
        <f>AP14-AP15</f>
        <v>696</v>
      </c>
      <c r="AQ16" s="853">
        <f>AE16+AF16+AG16+AH16+AI16+AJ16+AK16+AL16+AM16+AN16</f>
        <v>11573</v>
      </c>
      <c r="AZ16" s="47" t="s">
        <v>23</v>
      </c>
      <c r="BA16" s="126">
        <f>+AD55</f>
        <v>1541</v>
      </c>
      <c r="BB16" s="126">
        <f>+AD57</f>
        <v>622</v>
      </c>
      <c r="BC16" s="224">
        <f t="shared" si="0"/>
        <v>0.40363400389357562</v>
      </c>
      <c r="BD16" s="126">
        <f>+AQ55</f>
        <v>1353</v>
      </c>
      <c r="BE16" s="126">
        <f>+AQ57</f>
        <v>506</v>
      </c>
      <c r="BF16" s="224">
        <f t="shared" si="2"/>
        <v>0.37398373983739835</v>
      </c>
    </row>
    <row r="17" spans="1:58" ht="15" thickBot="1">
      <c r="A17" s="866">
        <f t="shared" si="3"/>
        <v>0</v>
      </c>
      <c r="B17" s="948"/>
      <c r="C17" s="627"/>
      <c r="D17" s="640" t="s">
        <v>455</v>
      </c>
      <c r="E17" s="641">
        <f t="shared" ref="E17:U17" si="24">E15/E14</f>
        <v>0.52510460251046021</v>
      </c>
      <c r="F17" s="642">
        <f t="shared" si="24"/>
        <v>0.53644427304280751</v>
      </c>
      <c r="G17" s="642">
        <f t="shared" si="24"/>
        <v>0.59383656509695293</v>
      </c>
      <c r="H17" s="643">
        <f t="shared" si="24"/>
        <v>0.57798165137614677</v>
      </c>
      <c r="I17" s="643">
        <f t="shared" si="24"/>
        <v>0.58150851581508511</v>
      </c>
      <c r="J17" s="643">
        <v>0.58148148148148149</v>
      </c>
      <c r="K17" s="757">
        <v>0.54059040590405905</v>
      </c>
      <c r="L17" s="757">
        <f>L15/L14</f>
        <v>0.53739082969432317</v>
      </c>
      <c r="M17" s="757">
        <f t="shared" si="24"/>
        <v>0.53688959660297242</v>
      </c>
      <c r="N17" s="757">
        <f t="shared" si="24"/>
        <v>0.6075305291723202</v>
      </c>
      <c r="O17" s="645">
        <f t="shared" si="24"/>
        <v>0.60820734341252702</v>
      </c>
      <c r="P17" s="646">
        <f t="shared" si="24"/>
        <v>0.58714703018500491</v>
      </c>
      <c r="Q17" s="644">
        <f>+Q15/Q14</f>
        <v>0.56424782238522497</v>
      </c>
      <c r="R17" s="647">
        <f t="shared" si="24"/>
        <v>0.59263050153531216</v>
      </c>
      <c r="S17" s="648">
        <f t="shared" si="24"/>
        <v>0.6079077429983526</v>
      </c>
      <c r="T17" s="648">
        <f t="shared" si="24"/>
        <v>0.61619718309859151</v>
      </c>
      <c r="U17" s="649">
        <f t="shared" si="24"/>
        <v>0.58995815899581594</v>
      </c>
      <c r="V17" s="649">
        <f>+V15/V14</f>
        <v>0.61760897712559348</v>
      </c>
      <c r="W17" s="649">
        <f>+W15/W14</f>
        <v>0.62385321100917435</v>
      </c>
      <c r="X17" s="649">
        <f t="shared" ref="X17:AA17" si="25">+X15/X14</f>
        <v>0.60262852725164284</v>
      </c>
      <c r="Y17" s="649">
        <f t="shared" si="25"/>
        <v>0.59697229363039128</v>
      </c>
      <c r="Z17" s="649">
        <f t="shared" si="25"/>
        <v>0.5393258426966292</v>
      </c>
      <c r="AA17" s="649">
        <f t="shared" si="25"/>
        <v>0.5692224329450013</v>
      </c>
      <c r="AB17" s="809">
        <v>0.61003555906756224</v>
      </c>
      <c r="AC17" s="809">
        <v>0.59237691900476441</v>
      </c>
      <c r="AD17" s="843">
        <v>0.59410047626363494</v>
      </c>
      <c r="AE17" s="648">
        <f t="shared" ref="AE17:AF17" si="26">AE15/AE14</f>
        <v>0.61225490196078436</v>
      </c>
      <c r="AF17" s="648">
        <f t="shared" si="26"/>
        <v>0.59580052493438318</v>
      </c>
      <c r="AG17" s="648">
        <v>0.6007565337001376</v>
      </c>
      <c r="AH17" s="648">
        <v>0.91390602752729</v>
      </c>
      <c r="AI17" s="648">
        <v>0.6007565337001376</v>
      </c>
      <c r="AJ17" s="648">
        <v>0.58946251768033942</v>
      </c>
      <c r="AK17" s="648">
        <v>0.60996441281138791</v>
      </c>
      <c r="AL17" s="648">
        <v>0.5635028555887952</v>
      </c>
      <c r="AM17" s="648">
        <v>0.56382660687593422</v>
      </c>
      <c r="AN17" s="648">
        <v>0.6079136690647482</v>
      </c>
      <c r="AO17" s="648">
        <v>0.62153069806560135</v>
      </c>
      <c r="AP17" s="648">
        <f t="shared" ref="AP17" si="27">AP15/AP14</f>
        <v>0.62640901771336555</v>
      </c>
      <c r="AQ17" s="854">
        <f>AQ15/AQ14</f>
        <v>0.67812973554284595</v>
      </c>
      <c r="AZ17" s="49" t="s">
        <v>63</v>
      </c>
      <c r="BA17" s="129">
        <f>SUM(BA13:BA16)</f>
        <v>120349</v>
      </c>
      <c r="BB17" s="129">
        <f>SUM(BB13:BB16)</f>
        <v>80017</v>
      </c>
      <c r="BC17" s="701">
        <f t="shared" si="0"/>
        <v>0.66487465620819453</v>
      </c>
      <c r="BD17" s="129">
        <f>SUM(BD13:BD16)</f>
        <v>130903</v>
      </c>
      <c r="BE17" s="129">
        <f>SUM(BE13:BE16)</f>
        <v>75052</v>
      </c>
      <c r="BF17" s="701">
        <f t="shared" si="2"/>
        <v>0.57334056515129528</v>
      </c>
    </row>
    <row r="18" spans="1:58" ht="15" thickTop="1">
      <c r="A18" s="866">
        <f t="shared" si="3"/>
        <v>0</v>
      </c>
      <c r="B18" s="650"/>
      <c r="C18" s="75"/>
      <c r="D18" s="651"/>
      <c r="E18" s="650"/>
      <c r="F18" s="75"/>
      <c r="G18" s="75"/>
      <c r="H18" s="75"/>
      <c r="I18" s="136"/>
      <c r="J18" s="136"/>
      <c r="K18" s="136"/>
      <c r="L18" s="136"/>
      <c r="M18" s="136"/>
      <c r="N18" s="136"/>
      <c r="O18" s="136"/>
      <c r="P18" s="136"/>
      <c r="Q18" s="652"/>
      <c r="R18" s="650"/>
      <c r="S18" s="75"/>
      <c r="T18" s="75"/>
      <c r="U18" s="75"/>
      <c r="V18" s="75"/>
      <c r="W18" s="75"/>
      <c r="X18" s="75"/>
      <c r="Y18" s="75"/>
      <c r="Z18" s="75"/>
      <c r="AA18" s="75"/>
      <c r="AB18" s="75"/>
      <c r="AC18" s="829"/>
      <c r="AD18" s="844"/>
      <c r="AE18" s="403"/>
      <c r="AF18" s="403"/>
      <c r="AG18" s="403"/>
      <c r="AH18" s="403"/>
      <c r="AI18" s="403"/>
      <c r="AJ18" s="403"/>
      <c r="AK18" s="403"/>
      <c r="AL18" s="403"/>
      <c r="AM18" s="403"/>
      <c r="AN18" s="403"/>
      <c r="AO18" s="403"/>
      <c r="AP18" s="403"/>
      <c r="AQ18" s="855"/>
    </row>
    <row r="19" spans="1:58">
      <c r="A19" s="866" t="str">
        <f t="shared" si="3"/>
        <v>GHA</v>
      </c>
      <c r="B19" s="948" t="s">
        <v>136</v>
      </c>
      <c r="C19" s="627"/>
      <c r="D19" s="640" t="s">
        <v>452</v>
      </c>
      <c r="E19" s="653">
        <v>957</v>
      </c>
      <c r="F19" s="654">
        <v>1283</v>
      </c>
      <c r="G19" s="654">
        <v>1455</v>
      </c>
      <c r="H19" s="655">
        <v>1391</v>
      </c>
      <c r="I19" s="655">
        <v>1435</v>
      </c>
      <c r="J19" s="655">
        <v>1641</v>
      </c>
      <c r="K19" s="754">
        <v>1545</v>
      </c>
      <c r="L19" s="754">
        <v>1639</v>
      </c>
      <c r="M19" s="754">
        <v>1367</v>
      </c>
      <c r="N19" s="754">
        <v>1460</v>
      </c>
      <c r="O19" s="656">
        <v>1367</v>
      </c>
      <c r="P19" s="657">
        <v>1171</v>
      </c>
      <c r="Q19" s="621">
        <f>+E19+F19+G19+H19+I19+J19+K19+L19+M19+N19+O19</f>
        <v>15540</v>
      </c>
      <c r="R19" s="658">
        <v>1340</v>
      </c>
      <c r="S19" s="659">
        <v>1595</v>
      </c>
      <c r="T19" s="659">
        <v>1770</v>
      </c>
      <c r="U19" s="660">
        <v>1495</v>
      </c>
      <c r="V19" s="660">
        <v>1474</v>
      </c>
      <c r="W19" s="660">
        <v>1494</v>
      </c>
      <c r="X19" s="759">
        <v>1589</v>
      </c>
      <c r="Y19" s="759">
        <v>1472</v>
      </c>
      <c r="Z19" s="759">
        <v>1125</v>
      </c>
      <c r="AA19" s="759">
        <v>1111</v>
      </c>
      <c r="AB19" s="759">
        <v>920</v>
      </c>
      <c r="AC19" s="759">
        <v>564</v>
      </c>
      <c r="AD19" s="841">
        <v>15949</v>
      </c>
      <c r="AE19" s="659">
        <v>694</v>
      </c>
      <c r="AF19" s="659">
        <v>1325</v>
      </c>
      <c r="AG19" s="659">
        <v>1244</v>
      </c>
      <c r="AH19" s="659">
        <v>887</v>
      </c>
      <c r="AI19" s="659">
        <v>1244</v>
      </c>
      <c r="AJ19" s="659">
        <v>1898</v>
      </c>
      <c r="AK19" s="659">
        <v>2275</v>
      </c>
      <c r="AL19" s="659">
        <v>2169</v>
      </c>
      <c r="AM19" s="659">
        <v>2042</v>
      </c>
      <c r="AN19" s="659">
        <v>1911</v>
      </c>
      <c r="AO19" s="659">
        <v>1303</v>
      </c>
      <c r="AP19" s="659">
        <f>VLOOKUP($A19,[1]Toute_Prod!$G:$I,3,0)</f>
        <v>752</v>
      </c>
      <c r="AQ19" s="853">
        <f>AE19+AF19+AG19+AH19+AI19+AJ19+AK19+AL19+AM19+AN19+AO19+AP19</f>
        <v>17744</v>
      </c>
    </row>
    <row r="20" spans="1:58">
      <c r="A20" s="866" t="str">
        <f t="shared" ref="A20" si="28">A19</f>
        <v>GHA</v>
      </c>
      <c r="B20" s="948"/>
      <c r="C20" s="627"/>
      <c r="D20" s="628" t="s">
        <v>453</v>
      </c>
      <c r="E20" s="629">
        <v>501</v>
      </c>
      <c r="F20" s="630">
        <v>697</v>
      </c>
      <c r="G20" s="630">
        <v>761</v>
      </c>
      <c r="H20" s="630">
        <v>758</v>
      </c>
      <c r="I20" s="630">
        <v>757</v>
      </c>
      <c r="J20" s="630">
        <v>871</v>
      </c>
      <c r="K20" s="755">
        <v>758</v>
      </c>
      <c r="L20" s="755">
        <v>828</v>
      </c>
      <c r="M20" s="755">
        <v>667</v>
      </c>
      <c r="N20" s="755">
        <v>729</v>
      </c>
      <c r="O20" s="631">
        <v>746</v>
      </c>
      <c r="P20" s="631">
        <v>608</v>
      </c>
      <c r="Q20" s="621">
        <f t="shared" ref="Q20:Q21" si="29">+E20+F20+G20+H20+I20+J20+K20+L20+M20+N20+O20</f>
        <v>8073</v>
      </c>
      <c r="R20" s="632">
        <v>703</v>
      </c>
      <c r="S20" s="633">
        <v>781</v>
      </c>
      <c r="T20" s="633">
        <v>836</v>
      </c>
      <c r="U20" s="633">
        <v>712</v>
      </c>
      <c r="V20" s="633">
        <v>718</v>
      </c>
      <c r="W20" s="633">
        <v>722</v>
      </c>
      <c r="X20" s="633">
        <v>870</v>
      </c>
      <c r="Y20" s="633">
        <v>794</v>
      </c>
      <c r="Z20" s="771">
        <v>620</v>
      </c>
      <c r="AA20" s="771">
        <v>630</v>
      </c>
      <c r="AB20" s="771">
        <v>515</v>
      </c>
      <c r="AC20" s="837">
        <v>333</v>
      </c>
      <c r="AD20" s="841">
        <v>8234</v>
      </c>
      <c r="AE20" s="842">
        <v>408</v>
      </c>
      <c r="AF20" s="842">
        <v>815</v>
      </c>
      <c r="AG20" s="842">
        <v>775</v>
      </c>
      <c r="AH20" s="842">
        <v>512</v>
      </c>
      <c r="AI20" s="842">
        <v>775</v>
      </c>
      <c r="AJ20" s="842">
        <v>1047</v>
      </c>
      <c r="AK20" s="842">
        <v>1355</v>
      </c>
      <c r="AL20" s="842">
        <v>1294</v>
      </c>
      <c r="AM20" s="842">
        <v>1197</v>
      </c>
      <c r="AN20" s="842">
        <v>1110</v>
      </c>
      <c r="AO20" s="842">
        <v>803</v>
      </c>
      <c r="AP20" s="842">
        <f>VLOOKUP($A19,[1]Nouveau_PPO!$G:$I,3,0)</f>
        <v>463</v>
      </c>
      <c r="AQ20" s="853">
        <f>AE20+AF20+AG20+AH20+AI20+AJ20+AK20+AL20+AM20+AN20+AO20+AP20</f>
        <v>10554</v>
      </c>
    </row>
    <row r="21" spans="1:58">
      <c r="A21" s="866">
        <f t="shared" si="3"/>
        <v>0</v>
      </c>
      <c r="B21" s="948"/>
      <c r="C21" s="627"/>
      <c r="D21" s="634" t="s">
        <v>454</v>
      </c>
      <c r="E21" s="635">
        <f t="shared" ref="E21:W21" si="30">E19-E20</f>
        <v>456</v>
      </c>
      <c r="F21" s="636">
        <f t="shared" si="30"/>
        <v>586</v>
      </c>
      <c r="G21" s="636">
        <f t="shared" si="30"/>
        <v>694</v>
      </c>
      <c r="H21" s="636">
        <f t="shared" si="30"/>
        <v>633</v>
      </c>
      <c r="I21" s="636">
        <f t="shared" si="30"/>
        <v>678</v>
      </c>
      <c r="J21" s="636">
        <v>770</v>
      </c>
      <c r="K21" s="756">
        <v>787</v>
      </c>
      <c r="L21" s="756">
        <f>L19-L20</f>
        <v>811</v>
      </c>
      <c r="M21" s="756">
        <f t="shared" si="30"/>
        <v>700</v>
      </c>
      <c r="N21" s="756">
        <f t="shared" si="30"/>
        <v>731</v>
      </c>
      <c r="O21" s="637">
        <f t="shared" si="30"/>
        <v>621</v>
      </c>
      <c r="P21" s="637">
        <f t="shared" si="30"/>
        <v>563</v>
      </c>
      <c r="Q21" s="621">
        <f t="shared" si="29"/>
        <v>7467</v>
      </c>
      <c r="R21" s="638">
        <f t="shared" si="30"/>
        <v>637</v>
      </c>
      <c r="S21" s="639">
        <f t="shared" si="30"/>
        <v>814</v>
      </c>
      <c r="T21" s="639">
        <f t="shared" si="30"/>
        <v>934</v>
      </c>
      <c r="U21" s="639">
        <f t="shared" si="30"/>
        <v>783</v>
      </c>
      <c r="V21" s="639">
        <f t="shared" si="30"/>
        <v>756</v>
      </c>
      <c r="W21" s="639">
        <f t="shared" si="30"/>
        <v>772</v>
      </c>
      <c r="X21" s="639">
        <f t="shared" ref="X21:AA21" si="31">X19-X20</f>
        <v>719</v>
      </c>
      <c r="Y21" s="639">
        <f t="shared" si="31"/>
        <v>678</v>
      </c>
      <c r="Z21" s="639">
        <f t="shared" si="31"/>
        <v>505</v>
      </c>
      <c r="AA21" s="639">
        <f t="shared" si="31"/>
        <v>481</v>
      </c>
      <c r="AB21" s="808">
        <v>405</v>
      </c>
      <c r="AC21" s="808">
        <v>231</v>
      </c>
      <c r="AD21" s="841">
        <v>7715</v>
      </c>
      <c r="AE21" s="842">
        <f t="shared" ref="AE21:AF21" si="32">AE19-AE20</f>
        <v>286</v>
      </c>
      <c r="AF21" s="842">
        <f t="shared" si="32"/>
        <v>510</v>
      </c>
      <c r="AG21" s="842">
        <v>469</v>
      </c>
      <c r="AH21" s="842">
        <v>375</v>
      </c>
      <c r="AI21" s="842">
        <v>469</v>
      </c>
      <c r="AJ21" s="842">
        <v>851</v>
      </c>
      <c r="AK21" s="842">
        <v>920</v>
      </c>
      <c r="AL21" s="842">
        <v>875</v>
      </c>
      <c r="AM21" s="842">
        <v>845</v>
      </c>
      <c r="AN21" s="842">
        <v>801</v>
      </c>
      <c r="AO21" s="842">
        <v>500</v>
      </c>
      <c r="AP21" s="842">
        <f>AP19-AP20</f>
        <v>289</v>
      </c>
      <c r="AQ21" s="853">
        <f>AE21+AF21+AG21+AH21+AI21+AJ21+AK21+AL21+AM21+AN21</f>
        <v>6401</v>
      </c>
      <c r="AY21" s="750"/>
      <c r="AZ21" s="750"/>
    </row>
    <row r="22" spans="1:58">
      <c r="A22" s="866">
        <f t="shared" si="3"/>
        <v>0</v>
      </c>
      <c r="B22" s="948"/>
      <c r="C22" s="627"/>
      <c r="D22" s="640" t="s">
        <v>455</v>
      </c>
      <c r="E22" s="641">
        <f t="shared" ref="E22:U22" si="33">E20/E19</f>
        <v>0.52351097178683381</v>
      </c>
      <c r="F22" s="642">
        <f t="shared" si="33"/>
        <v>0.54325798908807488</v>
      </c>
      <c r="G22" s="642">
        <f t="shared" si="33"/>
        <v>0.5230240549828179</v>
      </c>
      <c r="H22" s="643">
        <f t="shared" si="33"/>
        <v>0.5449317038102085</v>
      </c>
      <c r="I22" s="643">
        <f t="shared" si="33"/>
        <v>0.52752613240418122</v>
      </c>
      <c r="J22" s="643">
        <v>0.53077391834247412</v>
      </c>
      <c r="K22" s="757">
        <v>0.49061488673139159</v>
      </c>
      <c r="L22" s="757">
        <f>L20/L19</f>
        <v>0.50518608907870655</v>
      </c>
      <c r="M22" s="757">
        <f t="shared" si="33"/>
        <v>0.48792977322604242</v>
      </c>
      <c r="N22" s="757">
        <f t="shared" si="33"/>
        <v>0.49931506849315066</v>
      </c>
      <c r="O22" s="645">
        <f t="shared" si="33"/>
        <v>0.54572055596196045</v>
      </c>
      <c r="P22" s="646">
        <f t="shared" si="33"/>
        <v>0.51921434671221178</v>
      </c>
      <c r="Q22" s="644">
        <f>+Q20/Q19</f>
        <v>0.51949806949806954</v>
      </c>
      <c r="R22" s="647">
        <f t="shared" si="33"/>
        <v>0.52462686567164174</v>
      </c>
      <c r="S22" s="648">
        <f t="shared" si="33"/>
        <v>0.48965517241379308</v>
      </c>
      <c r="T22" s="648">
        <f t="shared" si="33"/>
        <v>0.47231638418079097</v>
      </c>
      <c r="U22" s="649">
        <f t="shared" si="33"/>
        <v>0.47625418060200669</v>
      </c>
      <c r="V22" s="649">
        <f>+V20/V19</f>
        <v>0.48710990502035278</v>
      </c>
      <c r="W22" s="649">
        <f>+W20/W19</f>
        <v>0.48326639892904955</v>
      </c>
      <c r="X22" s="649">
        <f t="shared" ref="X22:AA22" si="34">+X20/X19</f>
        <v>0.54751415984896157</v>
      </c>
      <c r="Y22" s="649">
        <f t="shared" si="34"/>
        <v>0.53940217391304346</v>
      </c>
      <c r="Z22" s="649">
        <f t="shared" si="34"/>
        <v>0.55111111111111111</v>
      </c>
      <c r="AA22" s="649">
        <f t="shared" si="34"/>
        <v>0.5670567056705671</v>
      </c>
      <c r="AB22" s="809">
        <v>0.55978260869565222</v>
      </c>
      <c r="AC22" s="809">
        <v>0.59042553191489366</v>
      </c>
      <c r="AD22" s="843">
        <v>0.5162706125775911</v>
      </c>
      <c r="AE22" s="648">
        <f t="shared" ref="AE22:AF22" si="35">AE20/AE19</f>
        <v>0.58789625360230546</v>
      </c>
      <c r="AF22" s="648">
        <f t="shared" si="35"/>
        <v>0.61509433962264148</v>
      </c>
      <c r="AG22" s="648">
        <v>0.62299035369774924</v>
      </c>
      <c r="AH22" s="648">
        <v>0.57722660653889513</v>
      </c>
      <c r="AI22" s="648">
        <v>0.62299035369774924</v>
      </c>
      <c r="AJ22" s="648">
        <v>0.55163329820864071</v>
      </c>
      <c r="AK22" s="648">
        <v>0.5956043956043956</v>
      </c>
      <c r="AL22" s="648">
        <v>0.59658828953434762</v>
      </c>
      <c r="AM22" s="648">
        <v>0.58619000979431934</v>
      </c>
      <c r="AN22" s="648">
        <v>0.58084772370486659</v>
      </c>
      <c r="AO22" s="648">
        <v>0.61627014581734463</v>
      </c>
      <c r="AP22" s="648">
        <f t="shared" ref="AP22" si="36">AP20/AP19</f>
        <v>0.61569148936170215</v>
      </c>
      <c r="AQ22" s="854">
        <f>AQ20/AQ19</f>
        <v>0.59479260595130745</v>
      </c>
      <c r="AY22" s="750"/>
      <c r="AZ22" s="750"/>
    </row>
    <row r="23" spans="1:58">
      <c r="A23" s="866">
        <f t="shared" si="3"/>
        <v>0</v>
      </c>
      <c r="B23" s="650"/>
      <c r="C23" s="75"/>
      <c r="D23" s="651"/>
      <c r="E23" s="650"/>
      <c r="F23" s="75"/>
      <c r="G23" s="75"/>
      <c r="H23" s="75"/>
      <c r="I23" s="136"/>
      <c r="J23" s="136"/>
      <c r="K23" s="136"/>
      <c r="L23" s="136"/>
      <c r="M23" s="136"/>
      <c r="N23" s="136"/>
      <c r="O23" s="136"/>
      <c r="P23" s="136"/>
      <c r="Q23" s="652"/>
      <c r="R23" s="650"/>
      <c r="S23" s="75"/>
      <c r="T23" s="75"/>
      <c r="U23" s="75"/>
      <c r="V23" s="75"/>
      <c r="W23" s="75"/>
      <c r="X23" s="75"/>
      <c r="Y23" s="75"/>
      <c r="Z23" s="75"/>
      <c r="AA23" s="75"/>
      <c r="AB23" s="75"/>
      <c r="AC23" s="829"/>
      <c r="AD23" s="844"/>
      <c r="AE23" s="403"/>
      <c r="AF23" s="403"/>
      <c r="AG23" s="403"/>
      <c r="AH23" s="403"/>
      <c r="AI23" s="403"/>
      <c r="AJ23" s="403"/>
      <c r="AK23" s="403"/>
      <c r="AL23" s="403"/>
      <c r="AM23" s="403"/>
      <c r="AN23" s="403"/>
      <c r="AO23" s="403"/>
      <c r="AP23" s="403"/>
      <c r="AQ23" s="855"/>
      <c r="AY23" s="750"/>
      <c r="AZ23" s="750"/>
    </row>
    <row r="24" spans="1:58">
      <c r="A24" s="866" t="str">
        <f t="shared" si="3"/>
        <v>GIN</v>
      </c>
      <c r="B24" s="948" t="s">
        <v>137</v>
      </c>
      <c r="C24" s="627"/>
      <c r="D24" s="640" t="s">
        <v>452</v>
      </c>
      <c r="E24" s="653">
        <v>845</v>
      </c>
      <c r="F24" s="654">
        <v>1235</v>
      </c>
      <c r="G24" s="654">
        <v>1858</v>
      </c>
      <c r="H24" s="655">
        <v>1396</v>
      </c>
      <c r="I24" s="655">
        <v>1498</v>
      </c>
      <c r="J24" s="655">
        <v>1329</v>
      </c>
      <c r="K24" s="754">
        <v>2284</v>
      </c>
      <c r="L24" s="754">
        <v>1865</v>
      </c>
      <c r="M24" s="754">
        <v>1910</v>
      </c>
      <c r="N24" s="754">
        <v>2071</v>
      </c>
      <c r="O24" s="656">
        <v>1296</v>
      </c>
      <c r="P24" s="657">
        <v>539</v>
      </c>
      <c r="Q24" s="621">
        <f>+E24+F24+G24+H24+I24+J24+K24+L24+M24+N24+O24</f>
        <v>17587</v>
      </c>
      <c r="R24" s="658">
        <v>409</v>
      </c>
      <c r="S24" s="659">
        <v>982</v>
      </c>
      <c r="T24" s="659">
        <v>1376</v>
      </c>
      <c r="U24" s="660">
        <v>775</v>
      </c>
      <c r="V24" s="660">
        <v>1415</v>
      </c>
      <c r="W24" s="660">
        <v>1284</v>
      </c>
      <c r="X24" s="759">
        <v>1351</v>
      </c>
      <c r="Y24" s="759">
        <v>2154</v>
      </c>
      <c r="Z24" s="759">
        <v>1357</v>
      </c>
      <c r="AA24" s="759">
        <v>2121</v>
      </c>
      <c r="AB24" s="759">
        <v>1651</v>
      </c>
      <c r="AC24" s="759">
        <v>1048</v>
      </c>
      <c r="AD24" s="841">
        <v>15923</v>
      </c>
      <c r="AE24" s="659">
        <v>660</v>
      </c>
      <c r="AF24" s="659">
        <v>208</v>
      </c>
      <c r="AG24" s="659">
        <v>607</v>
      </c>
      <c r="AH24" s="659">
        <v>462</v>
      </c>
      <c r="AI24" s="659">
        <v>607</v>
      </c>
      <c r="AJ24" s="659">
        <v>401</v>
      </c>
      <c r="AK24" s="659">
        <v>623</v>
      </c>
      <c r="AL24" s="659">
        <v>952</v>
      </c>
      <c r="AM24" s="659">
        <v>1136</v>
      </c>
      <c r="AN24" s="659">
        <v>1017</v>
      </c>
      <c r="AO24" s="659">
        <v>881</v>
      </c>
      <c r="AP24" s="659">
        <f>VLOOKUP($A24,[1]Toute_Prod!$G:$I,3,0)</f>
        <v>582</v>
      </c>
      <c r="AQ24" s="853">
        <f>AE24+AF24+AG24+AH24+AI24+AJ24+AK24+AL24+AM24+AN24+AO24+AP24</f>
        <v>8136</v>
      </c>
      <c r="AY24" s="750"/>
      <c r="AZ24" s="750"/>
    </row>
    <row r="25" spans="1:58">
      <c r="A25" s="866" t="str">
        <f t="shared" ref="A25" si="37">A24</f>
        <v>GIN</v>
      </c>
      <c r="B25" s="948"/>
      <c r="C25" s="627"/>
      <c r="D25" s="628" t="s">
        <v>453</v>
      </c>
      <c r="E25" s="629">
        <v>312</v>
      </c>
      <c r="F25" s="630">
        <v>423</v>
      </c>
      <c r="G25" s="630">
        <v>523</v>
      </c>
      <c r="H25" s="630">
        <v>420</v>
      </c>
      <c r="I25" s="630">
        <v>492</v>
      </c>
      <c r="J25" s="630">
        <v>362</v>
      </c>
      <c r="K25" s="755">
        <v>392</v>
      </c>
      <c r="L25" s="755">
        <v>530</v>
      </c>
      <c r="M25" s="755">
        <v>629</v>
      </c>
      <c r="N25" s="755">
        <v>593</v>
      </c>
      <c r="O25" s="631">
        <v>454</v>
      </c>
      <c r="P25" s="631">
        <v>284</v>
      </c>
      <c r="Q25" s="621">
        <f t="shared" ref="Q25:Q26" si="38">+E25+F25+G25+H25+I25+J25+K25+L25+M25+N25+O25</f>
        <v>5130</v>
      </c>
      <c r="R25" s="632">
        <v>259</v>
      </c>
      <c r="S25" s="633">
        <v>409</v>
      </c>
      <c r="T25" s="633">
        <v>613</v>
      </c>
      <c r="U25" s="633">
        <v>365</v>
      </c>
      <c r="V25" s="633">
        <v>710</v>
      </c>
      <c r="W25" s="633">
        <v>409</v>
      </c>
      <c r="X25" s="633">
        <v>425</v>
      </c>
      <c r="Y25" s="633">
        <v>639</v>
      </c>
      <c r="Z25" s="771">
        <v>422</v>
      </c>
      <c r="AA25" s="771">
        <v>690</v>
      </c>
      <c r="AB25" s="771">
        <v>706</v>
      </c>
      <c r="AC25" s="837">
        <v>500</v>
      </c>
      <c r="AD25" s="841">
        <v>6147</v>
      </c>
      <c r="AE25" s="842">
        <v>255</v>
      </c>
      <c r="AF25" s="842">
        <v>108</v>
      </c>
      <c r="AG25" s="842">
        <v>260</v>
      </c>
      <c r="AH25" s="842">
        <v>199</v>
      </c>
      <c r="AI25" s="842">
        <v>260</v>
      </c>
      <c r="AJ25" s="842">
        <v>192</v>
      </c>
      <c r="AK25" s="842">
        <v>253</v>
      </c>
      <c r="AL25" s="842">
        <v>391</v>
      </c>
      <c r="AM25" s="842">
        <v>564</v>
      </c>
      <c r="AN25" s="842">
        <v>406</v>
      </c>
      <c r="AO25" s="842">
        <v>329</v>
      </c>
      <c r="AP25" s="842">
        <f>VLOOKUP($A24,[1]Nouveau_PPO!$G:$I,3,0)</f>
        <v>229</v>
      </c>
      <c r="AQ25" s="853">
        <f>AE25+AF25+AG25+AH25+AI25+AJ25+AK25+AL25+AM25+AN25+AO25+AP25</f>
        <v>3446</v>
      </c>
      <c r="AY25" s="750"/>
      <c r="AZ25" s="750"/>
    </row>
    <row r="26" spans="1:58">
      <c r="A26" s="866">
        <f t="shared" si="3"/>
        <v>0</v>
      </c>
      <c r="B26" s="948"/>
      <c r="C26" s="627"/>
      <c r="D26" s="634" t="s">
        <v>454</v>
      </c>
      <c r="E26" s="635">
        <f t="shared" ref="E26:W26" si="39">E24-E25</f>
        <v>533</v>
      </c>
      <c r="F26" s="636">
        <f t="shared" si="39"/>
        <v>812</v>
      </c>
      <c r="G26" s="636">
        <f t="shared" si="39"/>
        <v>1335</v>
      </c>
      <c r="H26" s="636">
        <f t="shared" si="39"/>
        <v>976</v>
      </c>
      <c r="I26" s="636">
        <f t="shared" si="39"/>
        <v>1006</v>
      </c>
      <c r="J26" s="636">
        <v>967</v>
      </c>
      <c r="K26" s="756">
        <v>1892</v>
      </c>
      <c r="L26" s="756">
        <f>L24-L25</f>
        <v>1335</v>
      </c>
      <c r="M26" s="756">
        <f t="shared" si="39"/>
        <v>1281</v>
      </c>
      <c r="N26" s="756">
        <f t="shared" si="39"/>
        <v>1478</v>
      </c>
      <c r="O26" s="637">
        <f t="shared" si="39"/>
        <v>842</v>
      </c>
      <c r="P26" s="637">
        <f t="shared" si="39"/>
        <v>255</v>
      </c>
      <c r="Q26" s="621">
        <f t="shared" si="38"/>
        <v>12457</v>
      </c>
      <c r="R26" s="638">
        <f t="shared" si="39"/>
        <v>150</v>
      </c>
      <c r="S26" s="639">
        <f t="shared" si="39"/>
        <v>573</v>
      </c>
      <c r="T26" s="639">
        <f t="shared" si="39"/>
        <v>763</v>
      </c>
      <c r="U26" s="639">
        <f t="shared" si="39"/>
        <v>410</v>
      </c>
      <c r="V26" s="639">
        <f t="shared" si="39"/>
        <v>705</v>
      </c>
      <c r="W26" s="639">
        <f t="shared" si="39"/>
        <v>875</v>
      </c>
      <c r="X26" s="639">
        <f t="shared" ref="X26:AA26" si="40">X24-X25</f>
        <v>926</v>
      </c>
      <c r="Y26" s="639">
        <f t="shared" si="40"/>
        <v>1515</v>
      </c>
      <c r="Z26" s="639">
        <f t="shared" si="40"/>
        <v>935</v>
      </c>
      <c r="AA26" s="639">
        <f t="shared" si="40"/>
        <v>1431</v>
      </c>
      <c r="AB26" s="808">
        <v>945</v>
      </c>
      <c r="AC26" s="808">
        <v>548</v>
      </c>
      <c r="AD26" s="841">
        <v>9776</v>
      </c>
      <c r="AE26" s="842">
        <f t="shared" ref="AE26:AF26" si="41">AE24-AE25</f>
        <v>405</v>
      </c>
      <c r="AF26" s="842">
        <f t="shared" si="41"/>
        <v>100</v>
      </c>
      <c r="AG26" s="842">
        <v>347</v>
      </c>
      <c r="AH26" s="842">
        <v>263</v>
      </c>
      <c r="AI26" s="842">
        <v>347</v>
      </c>
      <c r="AJ26" s="842">
        <v>209</v>
      </c>
      <c r="AK26" s="842">
        <v>370</v>
      </c>
      <c r="AL26" s="842">
        <v>561</v>
      </c>
      <c r="AM26" s="842">
        <v>572</v>
      </c>
      <c r="AN26" s="842">
        <v>611</v>
      </c>
      <c r="AO26" s="842">
        <v>552</v>
      </c>
      <c r="AP26" s="842">
        <f>AP24-AP25</f>
        <v>353</v>
      </c>
      <c r="AQ26" s="853">
        <f>AE26+AF26+AG26+AH26+AI26+AJ26+AK26+AL26+AM26+AN26</f>
        <v>3785</v>
      </c>
      <c r="AY26" s="750"/>
      <c r="AZ26" s="750"/>
    </row>
    <row r="27" spans="1:58">
      <c r="A27" s="866">
        <f t="shared" si="3"/>
        <v>0</v>
      </c>
      <c r="B27" s="948"/>
      <c r="C27" s="627"/>
      <c r="D27" s="640" t="s">
        <v>455</v>
      </c>
      <c r="E27" s="641">
        <f t="shared" ref="E27:U27" si="42">E25/E24</f>
        <v>0.36923076923076925</v>
      </c>
      <c r="F27" s="642">
        <f t="shared" si="42"/>
        <v>0.34251012145748988</v>
      </c>
      <c r="G27" s="642">
        <f t="shared" si="42"/>
        <v>0.2814854682454252</v>
      </c>
      <c r="H27" s="643">
        <f t="shared" si="42"/>
        <v>0.3008595988538682</v>
      </c>
      <c r="I27" s="643">
        <f t="shared" si="42"/>
        <v>0.32843791722296395</v>
      </c>
      <c r="J27" s="643">
        <v>0.27238525206922498</v>
      </c>
      <c r="K27" s="757">
        <v>0.17162872154115585</v>
      </c>
      <c r="L27" s="757">
        <f>L25/L24</f>
        <v>0.28418230563002683</v>
      </c>
      <c r="M27" s="757">
        <f t="shared" si="42"/>
        <v>0.32931937172774867</v>
      </c>
      <c r="N27" s="757">
        <f t="shared" si="42"/>
        <v>0.28633510381458233</v>
      </c>
      <c r="O27" s="645">
        <f t="shared" si="42"/>
        <v>0.35030864197530864</v>
      </c>
      <c r="P27" s="646">
        <f t="shared" si="42"/>
        <v>0.52690166975881259</v>
      </c>
      <c r="Q27" s="644">
        <f>+Q25/Q24</f>
        <v>0.29169272758287373</v>
      </c>
      <c r="R27" s="647">
        <f t="shared" si="42"/>
        <v>0.63325183374083127</v>
      </c>
      <c r="S27" s="648">
        <f t="shared" si="42"/>
        <v>0.41649694501018331</v>
      </c>
      <c r="T27" s="648">
        <f t="shared" si="42"/>
        <v>0.44549418604651164</v>
      </c>
      <c r="U27" s="649">
        <f t="shared" si="42"/>
        <v>0.47096774193548385</v>
      </c>
      <c r="V27" s="649">
        <f>+V25/V24</f>
        <v>0.50176678445229683</v>
      </c>
      <c r="W27" s="649">
        <f>+W25/W24</f>
        <v>0.31853582554517135</v>
      </c>
      <c r="X27" s="649">
        <f t="shared" ref="X27:Y27" si="43">+X25/X24</f>
        <v>0.3145817912657291</v>
      </c>
      <c r="Y27" s="649">
        <f t="shared" si="43"/>
        <v>0.2966573816155989</v>
      </c>
      <c r="Z27" s="649">
        <f>+Z25/Z24</f>
        <v>0.31098010316875463</v>
      </c>
      <c r="AA27" s="649">
        <f>+AA25/AA24</f>
        <v>0.32531824611032534</v>
      </c>
      <c r="AB27" s="809">
        <v>0.42761962447001817</v>
      </c>
      <c r="AC27" s="809">
        <v>0.47709923664122139</v>
      </c>
      <c r="AD27" s="843">
        <v>0.38604534321421841</v>
      </c>
      <c r="AE27" s="648">
        <f t="shared" ref="AE27:AF27" si="44">AE25/AE24</f>
        <v>0.38636363636363635</v>
      </c>
      <c r="AF27" s="648">
        <f t="shared" si="44"/>
        <v>0.51923076923076927</v>
      </c>
      <c r="AG27" s="648">
        <v>0.42833607907742999</v>
      </c>
      <c r="AH27" s="648">
        <v>0.43073593073593075</v>
      </c>
      <c r="AI27" s="648">
        <v>0.42833607907742999</v>
      </c>
      <c r="AJ27" s="648">
        <v>0.47880299251870323</v>
      </c>
      <c r="AK27" s="648">
        <v>0.406099518459069</v>
      </c>
      <c r="AL27" s="648">
        <v>0.4107142857142857</v>
      </c>
      <c r="AM27" s="648">
        <v>0.49647887323943662</v>
      </c>
      <c r="AN27" s="648">
        <v>0.39921337266470008</v>
      </c>
      <c r="AO27" s="648">
        <v>0.37343927355278095</v>
      </c>
      <c r="AP27" s="648">
        <f t="shared" ref="AP27" si="45">AP25/AP24</f>
        <v>0.39347079037800686</v>
      </c>
      <c r="AQ27" s="854">
        <f>AQ25/AQ24</f>
        <v>0.42354965585054083</v>
      </c>
      <c r="AY27" s="750"/>
      <c r="AZ27" s="750"/>
    </row>
    <row r="28" spans="1:58">
      <c r="A28" s="866">
        <f t="shared" si="3"/>
        <v>0</v>
      </c>
      <c r="B28" s="650"/>
      <c r="C28" s="75"/>
      <c r="D28" s="651"/>
      <c r="E28" s="650"/>
      <c r="F28" s="75"/>
      <c r="G28" s="75"/>
      <c r="H28" s="75"/>
      <c r="I28" s="136"/>
      <c r="J28" s="136"/>
      <c r="K28" s="136"/>
      <c r="L28" s="136"/>
      <c r="M28" s="136"/>
      <c r="N28" s="136"/>
      <c r="O28" s="136"/>
      <c r="P28" s="136"/>
      <c r="Q28" s="652"/>
      <c r="R28" s="650"/>
      <c r="S28" s="75"/>
      <c r="T28" s="75"/>
      <c r="U28" s="75"/>
      <c r="V28" s="75"/>
      <c r="W28" s="75"/>
      <c r="X28" s="75"/>
      <c r="Y28" s="75"/>
      <c r="Z28" s="75"/>
      <c r="AA28" s="75"/>
      <c r="AB28" s="75"/>
      <c r="AC28" s="829"/>
      <c r="AD28" s="844"/>
      <c r="AE28" s="403"/>
      <c r="AF28" s="403"/>
      <c r="AG28" s="403"/>
      <c r="AH28" s="403"/>
      <c r="AI28" s="403"/>
      <c r="AJ28" s="403"/>
      <c r="AK28" s="403"/>
      <c r="AL28" s="403"/>
      <c r="AM28" s="403"/>
      <c r="AN28" s="403"/>
      <c r="AO28" s="403"/>
      <c r="AP28" s="403"/>
      <c r="AQ28" s="855"/>
      <c r="AY28" s="750"/>
      <c r="AZ28" s="750"/>
    </row>
    <row r="29" spans="1:58">
      <c r="A29" s="866" t="str">
        <f t="shared" si="3"/>
        <v>MRT</v>
      </c>
      <c r="B29" s="948" t="s">
        <v>139</v>
      </c>
      <c r="C29" s="627"/>
      <c r="D29" s="640" t="s">
        <v>452</v>
      </c>
      <c r="E29" s="653">
        <v>533</v>
      </c>
      <c r="F29" s="654">
        <v>616</v>
      </c>
      <c r="G29" s="654">
        <v>662</v>
      </c>
      <c r="H29" s="655">
        <v>740</v>
      </c>
      <c r="I29" s="655">
        <v>483</v>
      </c>
      <c r="J29" s="655">
        <v>594</v>
      </c>
      <c r="K29" s="754">
        <v>538</v>
      </c>
      <c r="L29" s="754">
        <v>621</v>
      </c>
      <c r="M29" s="754">
        <v>801</v>
      </c>
      <c r="N29" s="754">
        <v>2863</v>
      </c>
      <c r="O29" s="656">
        <v>1739</v>
      </c>
      <c r="P29" s="657">
        <v>567</v>
      </c>
      <c r="Q29" s="621">
        <f>+E29+F29+G29+H29+I29+J29+K29+L29+M29+N29+O29</f>
        <v>10190</v>
      </c>
      <c r="R29" s="658">
        <v>474</v>
      </c>
      <c r="S29" s="659">
        <v>607</v>
      </c>
      <c r="T29" s="659">
        <v>844</v>
      </c>
      <c r="U29" s="660">
        <v>1718</v>
      </c>
      <c r="V29" s="660">
        <v>393</v>
      </c>
      <c r="W29" s="660">
        <v>761</v>
      </c>
      <c r="X29" s="759">
        <v>605</v>
      </c>
      <c r="Y29" s="759">
        <v>663</v>
      </c>
      <c r="Z29" s="759">
        <v>3606</v>
      </c>
      <c r="AA29" s="759">
        <v>2518</v>
      </c>
      <c r="AB29" s="759">
        <v>625</v>
      </c>
      <c r="AC29" s="759">
        <v>451</v>
      </c>
      <c r="AD29" s="841">
        <v>13265</v>
      </c>
      <c r="AE29" s="659">
        <v>394</v>
      </c>
      <c r="AF29" s="659">
        <v>658</v>
      </c>
      <c r="AG29" s="659">
        <v>611</v>
      </c>
      <c r="AH29" s="659">
        <v>413</v>
      </c>
      <c r="AI29" s="659">
        <v>611</v>
      </c>
      <c r="AJ29" s="659">
        <v>3411</v>
      </c>
      <c r="AK29" s="659">
        <v>934</v>
      </c>
      <c r="AL29" s="659">
        <v>816</v>
      </c>
      <c r="AM29" s="659">
        <v>2036</v>
      </c>
      <c r="AN29" s="659">
        <v>1699</v>
      </c>
      <c r="AO29" s="659">
        <v>472</v>
      </c>
      <c r="AP29" s="659">
        <f>VLOOKUP($A29,[1]Toute_Prod!$G:$I,3,0)</f>
        <v>287</v>
      </c>
      <c r="AQ29" s="853">
        <f>AE29+AF29+AG29+AH29+AI29+AJ29+AK29+AL29+AM29+AN29+AO29+AP29</f>
        <v>12342</v>
      </c>
      <c r="AY29" s="750"/>
      <c r="AZ29" s="750"/>
    </row>
    <row r="30" spans="1:58">
      <c r="A30" s="866" t="str">
        <f t="shared" ref="A30" si="46">A29</f>
        <v>MRT</v>
      </c>
      <c r="B30" s="948"/>
      <c r="C30" s="627"/>
      <c r="D30" s="628" t="s">
        <v>453</v>
      </c>
      <c r="E30" s="629">
        <v>199</v>
      </c>
      <c r="F30" s="630">
        <v>216</v>
      </c>
      <c r="G30" s="630">
        <v>264</v>
      </c>
      <c r="H30" s="630">
        <v>283</v>
      </c>
      <c r="I30" s="630">
        <v>155</v>
      </c>
      <c r="J30" s="630">
        <v>162</v>
      </c>
      <c r="K30" s="755">
        <v>167</v>
      </c>
      <c r="L30" s="755">
        <v>190</v>
      </c>
      <c r="M30" s="755">
        <v>187</v>
      </c>
      <c r="N30" s="755">
        <v>178</v>
      </c>
      <c r="O30" s="631">
        <v>253</v>
      </c>
      <c r="P30" s="631">
        <v>183</v>
      </c>
      <c r="Q30" s="621">
        <f t="shared" ref="Q30:Q31" si="47">+E30+F30+G30+H30+I30+J30+K30+L30+M30+N30+O30</f>
        <v>2254</v>
      </c>
      <c r="R30" s="632">
        <v>143</v>
      </c>
      <c r="S30" s="633">
        <v>146</v>
      </c>
      <c r="T30" s="633">
        <v>151</v>
      </c>
      <c r="U30" s="633">
        <v>203</v>
      </c>
      <c r="V30" s="633">
        <v>148</v>
      </c>
      <c r="W30" s="633">
        <v>192</v>
      </c>
      <c r="X30" s="633">
        <v>193</v>
      </c>
      <c r="Y30" s="633">
        <v>197</v>
      </c>
      <c r="Z30" s="771">
        <v>218</v>
      </c>
      <c r="AA30" s="771">
        <v>280</v>
      </c>
      <c r="AB30" s="771">
        <v>206</v>
      </c>
      <c r="AC30" s="837">
        <v>186</v>
      </c>
      <c r="AD30" s="841">
        <v>2263</v>
      </c>
      <c r="AE30" s="842">
        <v>139</v>
      </c>
      <c r="AF30" s="842">
        <v>159</v>
      </c>
      <c r="AG30" s="842">
        <v>140</v>
      </c>
      <c r="AH30" s="842">
        <v>124</v>
      </c>
      <c r="AI30" s="842">
        <v>140</v>
      </c>
      <c r="AJ30" s="842">
        <v>217</v>
      </c>
      <c r="AK30" s="842">
        <v>167</v>
      </c>
      <c r="AL30" s="842">
        <v>194</v>
      </c>
      <c r="AM30" s="842">
        <v>199</v>
      </c>
      <c r="AN30" s="842">
        <v>256</v>
      </c>
      <c r="AO30" s="842">
        <v>138</v>
      </c>
      <c r="AP30" s="842">
        <f>VLOOKUP($A29,[1]Nouveau_PPO!$G:$I,3,0)</f>
        <v>98</v>
      </c>
      <c r="AQ30" s="853">
        <f>AE30+AF30+AG30+AH30+AI30+AJ30+AK30+AL30+AM30+AN30+AO30+AP30</f>
        <v>1971</v>
      </c>
      <c r="AY30" s="750"/>
      <c r="AZ30" s="750"/>
    </row>
    <row r="31" spans="1:58">
      <c r="A31" s="866">
        <f t="shared" si="3"/>
        <v>0</v>
      </c>
      <c r="B31" s="948"/>
      <c r="C31" s="627"/>
      <c r="D31" s="634" t="s">
        <v>454</v>
      </c>
      <c r="E31" s="635">
        <f t="shared" ref="E31:W31" si="48">E29-E30</f>
        <v>334</v>
      </c>
      <c r="F31" s="636">
        <f t="shared" si="48"/>
        <v>400</v>
      </c>
      <c r="G31" s="636">
        <f t="shared" si="48"/>
        <v>398</v>
      </c>
      <c r="H31" s="636">
        <f t="shared" si="48"/>
        <v>457</v>
      </c>
      <c r="I31" s="636">
        <f t="shared" si="48"/>
        <v>328</v>
      </c>
      <c r="J31" s="636">
        <v>432</v>
      </c>
      <c r="K31" s="756">
        <v>371</v>
      </c>
      <c r="L31" s="756">
        <f>L29-L30</f>
        <v>431</v>
      </c>
      <c r="M31" s="756">
        <f t="shared" si="48"/>
        <v>614</v>
      </c>
      <c r="N31" s="756">
        <f t="shared" si="48"/>
        <v>2685</v>
      </c>
      <c r="O31" s="637">
        <f t="shared" si="48"/>
        <v>1486</v>
      </c>
      <c r="P31" s="637">
        <f t="shared" si="48"/>
        <v>384</v>
      </c>
      <c r="Q31" s="621">
        <f t="shared" si="47"/>
        <v>7936</v>
      </c>
      <c r="R31" s="638">
        <f t="shared" si="48"/>
        <v>331</v>
      </c>
      <c r="S31" s="639">
        <f t="shared" si="48"/>
        <v>461</v>
      </c>
      <c r="T31" s="639">
        <f t="shared" si="48"/>
        <v>693</v>
      </c>
      <c r="U31" s="639">
        <f t="shared" si="48"/>
        <v>1515</v>
      </c>
      <c r="V31" s="639">
        <f t="shared" si="48"/>
        <v>245</v>
      </c>
      <c r="W31" s="639">
        <f t="shared" si="48"/>
        <v>569</v>
      </c>
      <c r="X31" s="639">
        <f t="shared" ref="X31:AA31" si="49">X29-X30</f>
        <v>412</v>
      </c>
      <c r="Y31" s="639">
        <f t="shared" si="49"/>
        <v>466</v>
      </c>
      <c r="Z31" s="639">
        <f t="shared" si="49"/>
        <v>3388</v>
      </c>
      <c r="AA31" s="639">
        <f t="shared" si="49"/>
        <v>2238</v>
      </c>
      <c r="AB31" s="808">
        <v>419</v>
      </c>
      <c r="AC31" s="808">
        <v>265</v>
      </c>
      <c r="AD31" s="841">
        <v>11002</v>
      </c>
      <c r="AE31" s="842">
        <f t="shared" ref="AE31:AF31" si="50">AE29-AE30</f>
        <v>255</v>
      </c>
      <c r="AF31" s="842">
        <f t="shared" si="50"/>
        <v>499</v>
      </c>
      <c r="AG31" s="842">
        <v>471</v>
      </c>
      <c r="AH31" s="842">
        <v>289</v>
      </c>
      <c r="AI31" s="842">
        <v>471</v>
      </c>
      <c r="AJ31" s="842">
        <v>3194</v>
      </c>
      <c r="AK31" s="842">
        <v>767</v>
      </c>
      <c r="AL31" s="842">
        <v>622</v>
      </c>
      <c r="AM31" s="842">
        <v>1837</v>
      </c>
      <c r="AN31" s="842">
        <v>1443</v>
      </c>
      <c r="AO31" s="842">
        <v>334</v>
      </c>
      <c r="AP31" s="842">
        <f>AP29-AP30</f>
        <v>189</v>
      </c>
      <c r="AQ31" s="853">
        <f>AE31+AF31+AG31+AH31+AI31+AJ31+AK31+AL31+AM31+AN31</f>
        <v>9848</v>
      </c>
      <c r="AY31" s="750"/>
      <c r="AZ31" s="750"/>
    </row>
    <row r="32" spans="1:58">
      <c r="A32" s="866">
        <f t="shared" si="3"/>
        <v>0</v>
      </c>
      <c r="B32" s="948"/>
      <c r="C32" s="627"/>
      <c r="D32" s="640" t="s">
        <v>455</v>
      </c>
      <c r="E32" s="641">
        <f t="shared" ref="E32:U32" si="51">E30/E29</f>
        <v>0.37335834896810505</v>
      </c>
      <c r="F32" s="642">
        <f t="shared" si="51"/>
        <v>0.35064935064935066</v>
      </c>
      <c r="G32" s="642">
        <f t="shared" si="51"/>
        <v>0.3987915407854985</v>
      </c>
      <c r="H32" s="643">
        <f t="shared" si="51"/>
        <v>0.38243243243243241</v>
      </c>
      <c r="I32" s="643">
        <f t="shared" si="51"/>
        <v>0.32091097308488614</v>
      </c>
      <c r="J32" s="643">
        <v>0.27272727272727271</v>
      </c>
      <c r="K32" s="757">
        <v>0.3104089219330855</v>
      </c>
      <c r="L32" s="757">
        <f>L30/L29</f>
        <v>0.30595813204508859</v>
      </c>
      <c r="M32" s="757">
        <f t="shared" si="51"/>
        <v>0.23345817727840198</v>
      </c>
      <c r="N32" s="757">
        <f t="shared" si="51"/>
        <v>6.2172546280125744E-2</v>
      </c>
      <c r="O32" s="645">
        <f t="shared" si="51"/>
        <v>0.14548591144335826</v>
      </c>
      <c r="P32" s="646">
        <f t="shared" si="51"/>
        <v>0.32275132275132273</v>
      </c>
      <c r="Q32" s="644">
        <f>+Q30/Q29</f>
        <v>0.22119725220804712</v>
      </c>
      <c r="R32" s="647">
        <f t="shared" si="51"/>
        <v>0.30168776371308015</v>
      </c>
      <c r="S32" s="648">
        <f t="shared" si="51"/>
        <v>0.24052718286655683</v>
      </c>
      <c r="T32" s="648">
        <f t="shared" si="51"/>
        <v>0.17890995260663506</v>
      </c>
      <c r="U32" s="649">
        <f t="shared" si="51"/>
        <v>0.11816065192083819</v>
      </c>
      <c r="V32" s="649">
        <f>+V30/V29</f>
        <v>0.37659033078880405</v>
      </c>
      <c r="W32" s="649">
        <f>+W30/W29</f>
        <v>0.25229960578186594</v>
      </c>
      <c r="X32" s="649">
        <f t="shared" ref="X32:AA32" si="52">+X30/X29</f>
        <v>0.31900826446280994</v>
      </c>
      <c r="Y32" s="649">
        <f t="shared" si="52"/>
        <v>0.2971342383107089</v>
      </c>
      <c r="Z32" s="649">
        <f t="shared" si="52"/>
        <v>6.0454797559622853E-2</v>
      </c>
      <c r="AA32" s="649">
        <f t="shared" si="52"/>
        <v>0.11119936457505956</v>
      </c>
      <c r="AB32" s="809">
        <v>0.3296</v>
      </c>
      <c r="AC32" s="809">
        <v>0.41241685144124168</v>
      </c>
      <c r="AD32" s="843">
        <v>0.17059932152280438</v>
      </c>
      <c r="AE32" s="648">
        <f t="shared" ref="AE32:AF32" si="53">AE30/AE29</f>
        <v>0.35279187817258884</v>
      </c>
      <c r="AF32" s="648">
        <f t="shared" si="53"/>
        <v>0.24164133738601823</v>
      </c>
      <c r="AG32" s="648">
        <v>0.22913256955810146</v>
      </c>
      <c r="AH32" s="648">
        <v>0.30024213075060535</v>
      </c>
      <c r="AI32" s="648">
        <v>0.22913256955810146</v>
      </c>
      <c r="AJ32" s="648">
        <v>6.3617707417179717E-2</v>
      </c>
      <c r="AK32" s="648">
        <v>0.17880085653104924</v>
      </c>
      <c r="AL32" s="648">
        <v>0.23774509803921567</v>
      </c>
      <c r="AM32" s="648">
        <v>9.7740667976424361E-2</v>
      </c>
      <c r="AN32" s="648">
        <v>0.15067686874632136</v>
      </c>
      <c r="AO32" s="648">
        <v>0.2923728813559322</v>
      </c>
      <c r="AP32" s="648">
        <f t="shared" ref="AP32" si="54">AP30/AP29</f>
        <v>0.34146341463414637</v>
      </c>
      <c r="AQ32" s="854">
        <f>AQ30/AQ29</f>
        <v>0.15969859017987359</v>
      </c>
    </row>
    <row r="33" spans="1:43">
      <c r="A33" s="866">
        <f t="shared" si="3"/>
        <v>0</v>
      </c>
      <c r="B33" s="650"/>
      <c r="C33" s="75"/>
      <c r="D33" s="651"/>
      <c r="E33" s="650"/>
      <c r="F33" s="75"/>
      <c r="G33" s="75"/>
      <c r="H33" s="75"/>
      <c r="I33" s="136"/>
      <c r="J33" s="136"/>
      <c r="K33" s="136"/>
      <c r="L33" s="136"/>
      <c r="M33" s="136"/>
      <c r="N33" s="136"/>
      <c r="O33" s="136"/>
      <c r="P33" s="136"/>
      <c r="Q33" s="652"/>
      <c r="R33" s="650"/>
      <c r="S33" s="75"/>
      <c r="T33" s="75"/>
      <c r="U33" s="75"/>
      <c r="V33" s="75"/>
      <c r="W33" s="75"/>
      <c r="X33" s="75"/>
      <c r="Y33" s="75"/>
      <c r="Z33" s="75"/>
      <c r="AA33" s="75"/>
      <c r="AB33" s="75"/>
      <c r="AC33" s="829"/>
      <c r="AD33" s="844"/>
      <c r="AE33" s="403"/>
      <c r="AF33" s="403"/>
      <c r="AG33" s="403"/>
      <c r="AH33" s="403"/>
      <c r="AI33" s="403"/>
      <c r="AJ33" s="403"/>
      <c r="AK33" s="403"/>
      <c r="AL33" s="403"/>
      <c r="AM33" s="403"/>
      <c r="AN33" s="403"/>
      <c r="AO33" s="403"/>
      <c r="AP33" s="403"/>
      <c r="AQ33" s="855"/>
    </row>
    <row r="34" spans="1:43">
      <c r="A34" s="866" t="str">
        <f t="shared" si="3"/>
        <v>SEN</v>
      </c>
      <c r="B34" s="948" t="s">
        <v>141</v>
      </c>
      <c r="C34" s="627"/>
      <c r="D34" s="640" t="s">
        <v>452</v>
      </c>
      <c r="E34" s="653">
        <v>1049</v>
      </c>
      <c r="F34" s="654">
        <v>1009</v>
      </c>
      <c r="G34" s="654">
        <v>1232</v>
      </c>
      <c r="H34" s="655">
        <v>1598</v>
      </c>
      <c r="I34" s="655">
        <v>1383</v>
      </c>
      <c r="J34" s="655">
        <v>2401</v>
      </c>
      <c r="K34" s="754">
        <v>1211</v>
      </c>
      <c r="L34" s="754">
        <v>813</v>
      </c>
      <c r="M34" s="754">
        <v>1374</v>
      </c>
      <c r="N34" s="754">
        <v>873</v>
      </c>
      <c r="O34" s="656">
        <v>1128</v>
      </c>
      <c r="P34" s="657">
        <v>1245</v>
      </c>
      <c r="Q34" s="621">
        <f>+E34+F34+G34+H34+I34+J34+K34+L34+M34+N34+O34</f>
        <v>14071</v>
      </c>
      <c r="R34" s="658">
        <v>729</v>
      </c>
      <c r="S34" s="659">
        <v>993</v>
      </c>
      <c r="T34" s="659">
        <v>1623</v>
      </c>
      <c r="U34" s="660">
        <v>1459</v>
      </c>
      <c r="V34" s="660">
        <v>1099</v>
      </c>
      <c r="W34" s="660">
        <v>2074</v>
      </c>
      <c r="X34" s="759">
        <v>1167</v>
      </c>
      <c r="Y34" s="759">
        <v>1209</v>
      </c>
      <c r="Z34" s="759">
        <v>1224</v>
      </c>
      <c r="AA34" s="759">
        <v>1128</v>
      </c>
      <c r="AB34" s="759">
        <v>1265</v>
      </c>
      <c r="AC34" s="759">
        <v>1083</v>
      </c>
      <c r="AD34" s="841">
        <v>15053</v>
      </c>
      <c r="AE34" s="659">
        <v>1035</v>
      </c>
      <c r="AF34" s="659">
        <v>1012</v>
      </c>
      <c r="AG34" s="659">
        <v>1857</v>
      </c>
      <c r="AH34" s="659">
        <v>1176</v>
      </c>
      <c r="AI34" s="659">
        <v>1857</v>
      </c>
      <c r="AJ34" s="659">
        <v>1167</v>
      </c>
      <c r="AK34" s="659">
        <v>980</v>
      </c>
      <c r="AL34" s="659">
        <v>1236</v>
      </c>
      <c r="AM34" s="659">
        <v>1000</v>
      </c>
      <c r="AN34" s="659">
        <v>1289</v>
      </c>
      <c r="AO34" s="659">
        <v>1357</v>
      </c>
      <c r="AP34" s="659">
        <f>VLOOKUP($A34,[1]Toute_Prod!$G:$I,3,0)</f>
        <v>1341</v>
      </c>
      <c r="AQ34" s="853">
        <f>AE34+AF34+AG34+AH34+AI34+AJ34+AK34+AL34+AM34+AN34+AO34+AP34</f>
        <v>15307</v>
      </c>
    </row>
    <row r="35" spans="1:43">
      <c r="A35" s="866" t="str">
        <f t="shared" ref="A35" si="55">A34</f>
        <v>SEN</v>
      </c>
      <c r="B35" s="948"/>
      <c r="C35" s="627"/>
      <c r="D35" s="628" t="s">
        <v>453</v>
      </c>
      <c r="E35" s="629">
        <v>366</v>
      </c>
      <c r="F35" s="630">
        <v>343</v>
      </c>
      <c r="G35" s="630">
        <v>394</v>
      </c>
      <c r="H35" s="630">
        <v>420</v>
      </c>
      <c r="I35" s="630">
        <v>510</v>
      </c>
      <c r="J35" s="630">
        <v>755</v>
      </c>
      <c r="K35" s="755">
        <v>502</v>
      </c>
      <c r="L35" s="755">
        <v>314</v>
      </c>
      <c r="M35" s="755">
        <v>627</v>
      </c>
      <c r="N35" s="755">
        <v>345</v>
      </c>
      <c r="O35" s="631">
        <v>389</v>
      </c>
      <c r="P35" s="631">
        <v>491</v>
      </c>
      <c r="Q35" s="621">
        <f t="shared" ref="Q35:Q36" si="56">+E35+F35+G35+H35+I35+J35+K35+L35+M35+N35+O35</f>
        <v>4965</v>
      </c>
      <c r="R35" s="632">
        <v>296</v>
      </c>
      <c r="S35" s="633">
        <v>386</v>
      </c>
      <c r="T35" s="633">
        <v>486</v>
      </c>
      <c r="U35" s="633">
        <v>518</v>
      </c>
      <c r="V35" s="633">
        <v>447</v>
      </c>
      <c r="W35" s="633">
        <v>508</v>
      </c>
      <c r="X35" s="633">
        <v>416</v>
      </c>
      <c r="Y35" s="633">
        <v>375</v>
      </c>
      <c r="Z35" s="771">
        <v>394</v>
      </c>
      <c r="AA35" s="771">
        <v>380</v>
      </c>
      <c r="AB35" s="771">
        <v>457</v>
      </c>
      <c r="AC35" s="837">
        <v>374</v>
      </c>
      <c r="AD35" s="841">
        <v>5037</v>
      </c>
      <c r="AE35" s="842">
        <v>389</v>
      </c>
      <c r="AF35" s="842">
        <v>400</v>
      </c>
      <c r="AG35" s="842">
        <v>497</v>
      </c>
      <c r="AH35" s="842">
        <v>511</v>
      </c>
      <c r="AI35" s="842">
        <v>497</v>
      </c>
      <c r="AJ35" s="842">
        <v>498</v>
      </c>
      <c r="AK35" s="842">
        <v>408</v>
      </c>
      <c r="AL35" s="842">
        <v>515</v>
      </c>
      <c r="AM35" s="842">
        <v>424</v>
      </c>
      <c r="AN35" s="842">
        <v>627</v>
      </c>
      <c r="AO35" s="842">
        <v>566</v>
      </c>
      <c r="AP35" s="842">
        <f>VLOOKUP($A34,[1]Nouveau_PPO!$G:$I,3,0)</f>
        <v>564</v>
      </c>
      <c r="AQ35" s="853">
        <f>AE35+AF35+AG35+AH35+AI35+AJ35+AK35+AL35+AM35+AN35+AO35+AP35</f>
        <v>5896</v>
      </c>
    </row>
    <row r="36" spans="1:43">
      <c r="A36" s="866">
        <f t="shared" si="3"/>
        <v>0</v>
      </c>
      <c r="B36" s="948"/>
      <c r="C36" s="627"/>
      <c r="D36" s="634" t="s">
        <v>454</v>
      </c>
      <c r="E36" s="635">
        <f t="shared" ref="E36:W36" si="57">E34-E35</f>
        <v>683</v>
      </c>
      <c r="F36" s="636">
        <f t="shared" si="57"/>
        <v>666</v>
      </c>
      <c r="G36" s="636">
        <f t="shared" si="57"/>
        <v>838</v>
      </c>
      <c r="H36" s="636">
        <f t="shared" si="57"/>
        <v>1178</v>
      </c>
      <c r="I36" s="636">
        <f t="shared" si="57"/>
        <v>873</v>
      </c>
      <c r="J36" s="636">
        <v>1646</v>
      </c>
      <c r="K36" s="756">
        <v>709</v>
      </c>
      <c r="L36" s="756">
        <f>L34-L35</f>
        <v>499</v>
      </c>
      <c r="M36" s="756">
        <f t="shared" si="57"/>
        <v>747</v>
      </c>
      <c r="N36" s="756">
        <f t="shared" si="57"/>
        <v>528</v>
      </c>
      <c r="O36" s="637">
        <f t="shared" si="57"/>
        <v>739</v>
      </c>
      <c r="P36" s="637">
        <f t="shared" si="57"/>
        <v>754</v>
      </c>
      <c r="Q36" s="621">
        <f t="shared" si="56"/>
        <v>9106</v>
      </c>
      <c r="R36" s="638">
        <f t="shared" si="57"/>
        <v>433</v>
      </c>
      <c r="S36" s="639">
        <f t="shared" si="57"/>
        <v>607</v>
      </c>
      <c r="T36" s="639">
        <f t="shared" si="57"/>
        <v>1137</v>
      </c>
      <c r="U36" s="639">
        <f t="shared" si="57"/>
        <v>941</v>
      </c>
      <c r="V36" s="639">
        <f t="shared" si="57"/>
        <v>652</v>
      </c>
      <c r="W36" s="639">
        <f t="shared" si="57"/>
        <v>1566</v>
      </c>
      <c r="X36" s="639">
        <f t="shared" ref="X36:AA36" si="58">X34-X35</f>
        <v>751</v>
      </c>
      <c r="Y36" s="639">
        <f t="shared" si="58"/>
        <v>834</v>
      </c>
      <c r="Z36" s="639">
        <f t="shared" si="58"/>
        <v>830</v>
      </c>
      <c r="AA36" s="639">
        <f t="shared" si="58"/>
        <v>748</v>
      </c>
      <c r="AB36" s="808">
        <v>808</v>
      </c>
      <c r="AC36" s="808">
        <v>709</v>
      </c>
      <c r="AD36" s="841">
        <v>10016</v>
      </c>
      <c r="AE36" s="842">
        <f t="shared" ref="AE36:AF36" si="59">AE34-AE35</f>
        <v>646</v>
      </c>
      <c r="AF36" s="842">
        <f t="shared" si="59"/>
        <v>612</v>
      </c>
      <c r="AG36" s="842">
        <v>1360</v>
      </c>
      <c r="AH36" s="842">
        <v>665</v>
      </c>
      <c r="AI36" s="842">
        <v>1360</v>
      </c>
      <c r="AJ36" s="842">
        <v>669</v>
      </c>
      <c r="AK36" s="842">
        <v>572</v>
      </c>
      <c r="AL36" s="842">
        <v>721</v>
      </c>
      <c r="AM36" s="842">
        <v>576</v>
      </c>
      <c r="AN36" s="842">
        <v>662</v>
      </c>
      <c r="AO36" s="842">
        <v>791</v>
      </c>
      <c r="AP36" s="842">
        <f>AP34-AP35</f>
        <v>777</v>
      </c>
      <c r="AQ36" s="853">
        <f>AE36+AF36+AG36+AH36+AI36+AJ36+AK36+AL36+AM36+AN36</f>
        <v>7843</v>
      </c>
    </row>
    <row r="37" spans="1:43" ht="15" thickBot="1">
      <c r="A37" s="866">
        <f t="shared" si="3"/>
        <v>0</v>
      </c>
      <c r="B37" s="954"/>
      <c r="C37" s="627"/>
      <c r="D37" s="661" t="s">
        <v>455</v>
      </c>
      <c r="E37" s="662">
        <f t="shared" ref="E37:U37" si="60">E35/E34</f>
        <v>0.34890371782650142</v>
      </c>
      <c r="F37" s="663">
        <f t="shared" si="60"/>
        <v>0.33994053518334988</v>
      </c>
      <c r="G37" s="663">
        <f t="shared" si="60"/>
        <v>0.31980519480519481</v>
      </c>
      <c r="H37" s="664">
        <f t="shared" si="60"/>
        <v>0.26282853566958697</v>
      </c>
      <c r="I37" s="664">
        <f t="shared" si="60"/>
        <v>0.36876355748373102</v>
      </c>
      <c r="J37" s="664">
        <v>0.31445231153685965</v>
      </c>
      <c r="K37" s="758">
        <v>0.41453344343517756</v>
      </c>
      <c r="L37" s="758">
        <f>L35/L34</f>
        <v>0.38622386223862237</v>
      </c>
      <c r="M37" s="758">
        <f t="shared" si="60"/>
        <v>0.45633187772925765</v>
      </c>
      <c r="N37" s="758">
        <f t="shared" si="60"/>
        <v>0.3951890034364261</v>
      </c>
      <c r="O37" s="665">
        <f t="shared" si="60"/>
        <v>0.34485815602836878</v>
      </c>
      <c r="P37" s="666">
        <f t="shared" si="60"/>
        <v>0.39437751004016064</v>
      </c>
      <c r="Q37" s="644">
        <f>+Q35/Q34</f>
        <v>0.35285338639755526</v>
      </c>
      <c r="R37" s="667">
        <f t="shared" si="60"/>
        <v>0.40603566529492457</v>
      </c>
      <c r="S37" s="668">
        <f t="shared" si="60"/>
        <v>0.38872104733131924</v>
      </c>
      <c r="T37" s="668">
        <f t="shared" si="60"/>
        <v>0.29944547134935307</v>
      </c>
      <c r="U37" s="669">
        <f t="shared" si="60"/>
        <v>0.35503769705277588</v>
      </c>
      <c r="V37" s="669">
        <f>+V35/V34</f>
        <v>0.4067333939945405</v>
      </c>
      <c r="W37" s="669">
        <f>+W35/W34</f>
        <v>0.24493731918997108</v>
      </c>
      <c r="X37" s="669">
        <f t="shared" ref="X37:AA37" si="61">+X35/X34</f>
        <v>0.35646958011996571</v>
      </c>
      <c r="Y37" s="669">
        <f t="shared" si="61"/>
        <v>0.31017369727047145</v>
      </c>
      <c r="Z37" s="669">
        <f t="shared" si="61"/>
        <v>0.32189542483660133</v>
      </c>
      <c r="AA37" s="669">
        <f t="shared" si="61"/>
        <v>0.33687943262411346</v>
      </c>
      <c r="AB37" s="810">
        <v>0.36126482213438738</v>
      </c>
      <c r="AC37" s="810">
        <v>0.34533702677746997</v>
      </c>
      <c r="AD37" s="843">
        <v>0.334617684182555</v>
      </c>
      <c r="AE37" s="648">
        <f t="shared" ref="AE37:AF37" si="62">AE35/AE34</f>
        <v>0.37584541062801935</v>
      </c>
      <c r="AF37" s="648">
        <f t="shared" si="62"/>
        <v>0.39525691699604742</v>
      </c>
      <c r="AG37" s="648">
        <v>0.267635971997846</v>
      </c>
      <c r="AH37" s="648">
        <v>0.43452380952380953</v>
      </c>
      <c r="AI37" s="648">
        <v>0.267635971997846</v>
      </c>
      <c r="AJ37" s="648">
        <v>0.42673521850899743</v>
      </c>
      <c r="AK37" s="648">
        <v>0.41632653061224489</v>
      </c>
      <c r="AL37" s="648">
        <v>0.41666666666666669</v>
      </c>
      <c r="AM37" s="648">
        <v>0.42399999999999999</v>
      </c>
      <c r="AN37" s="648">
        <v>0.48642358417377812</v>
      </c>
      <c r="AO37" s="648">
        <v>0.41709653647752393</v>
      </c>
      <c r="AP37" s="648">
        <f t="shared" ref="AP37" si="63">AP35/AP34</f>
        <v>0.42058165548098436</v>
      </c>
      <c r="AQ37" s="854">
        <f>AQ35/AQ34</f>
        <v>0.3851832494936957</v>
      </c>
    </row>
    <row r="38" spans="1:43" ht="15" thickTop="1">
      <c r="A38" s="866">
        <f t="shared" si="3"/>
        <v>0</v>
      </c>
      <c r="B38" s="650"/>
      <c r="C38" s="75"/>
      <c r="D38" s="651"/>
      <c r="E38" s="650"/>
      <c r="F38" s="75"/>
      <c r="G38" s="75"/>
      <c r="H38" s="75"/>
      <c r="I38" s="136"/>
      <c r="J38" s="136"/>
      <c r="K38" s="136"/>
      <c r="L38" s="136"/>
      <c r="M38" s="136"/>
      <c r="N38" s="136"/>
      <c r="O38" s="136"/>
      <c r="P38" s="136"/>
      <c r="Q38" s="652"/>
      <c r="R38" s="650"/>
      <c r="S38" s="75"/>
      <c r="T38" s="75"/>
      <c r="U38" s="75"/>
      <c r="V38" s="75"/>
      <c r="W38" s="75"/>
      <c r="X38" s="75"/>
      <c r="Y38" s="75"/>
      <c r="Z38" s="75"/>
      <c r="AA38" s="75"/>
      <c r="AB38" s="75"/>
      <c r="AC38" s="829"/>
      <c r="AD38" s="844"/>
      <c r="AE38" s="403"/>
      <c r="AF38" s="403"/>
      <c r="AG38" s="403"/>
      <c r="AH38" s="403"/>
      <c r="AI38" s="403"/>
      <c r="AJ38" s="403"/>
      <c r="AK38" s="403"/>
      <c r="AL38" s="403"/>
      <c r="AM38" s="403"/>
      <c r="AN38" s="403"/>
      <c r="AO38" s="403"/>
      <c r="AP38" s="403"/>
      <c r="AQ38" s="855"/>
    </row>
    <row r="39" spans="1:43">
      <c r="A39" s="866" t="str">
        <f t="shared" si="3"/>
        <v>AFO</v>
      </c>
      <c r="B39" s="949" t="s">
        <v>145</v>
      </c>
      <c r="C39" s="670"/>
      <c r="D39" s="671" t="s">
        <v>452</v>
      </c>
      <c r="E39" s="653">
        <f>+E34+E29+E24+E19+E14+E9+E4</f>
        <v>6743</v>
      </c>
      <c r="F39" s="654">
        <f t="shared" ref="F39:I40" si="64">+F34+F29+F24+F19+F14+F9+F4</f>
        <v>7889</v>
      </c>
      <c r="G39" s="654">
        <f t="shared" si="64"/>
        <v>9271</v>
      </c>
      <c r="H39" s="655">
        <f t="shared" si="64"/>
        <v>8774</v>
      </c>
      <c r="I39" s="655">
        <f>+I34+I29+I24+I19+I14+I9+I4</f>
        <v>7860</v>
      </c>
      <c r="J39" s="655">
        <v>11398</v>
      </c>
      <c r="K39" s="754">
        <v>11719</v>
      </c>
      <c r="L39" s="754">
        <f>+L34+L29+L24+L19+L14+L9+L4</f>
        <v>12504</v>
      </c>
      <c r="M39" s="754">
        <f t="shared" ref="M39:X39" si="65">+M34+M29+M24+M19+M14+M9+M4</f>
        <v>13876</v>
      </c>
      <c r="N39" s="754">
        <f t="shared" si="65"/>
        <v>13395</v>
      </c>
      <c r="O39" s="656">
        <f t="shared" si="65"/>
        <v>9794</v>
      </c>
      <c r="P39" s="657">
        <f t="shared" si="65"/>
        <v>6825</v>
      </c>
      <c r="Q39" s="621">
        <f>+E39+F39+G39+H39+I39+J39+K39+L39+M39+N39+O39</f>
        <v>113223</v>
      </c>
      <c r="R39" s="658">
        <f t="shared" si="65"/>
        <v>5834</v>
      </c>
      <c r="S39" s="659">
        <f t="shared" si="65"/>
        <v>7738</v>
      </c>
      <c r="T39" s="659">
        <f t="shared" si="65"/>
        <v>9503</v>
      </c>
      <c r="U39" s="660">
        <f t="shared" si="65"/>
        <v>9075</v>
      </c>
      <c r="V39" s="660">
        <f t="shared" si="65"/>
        <v>7788</v>
      </c>
      <c r="W39" s="731">
        <f t="shared" si="65"/>
        <v>11070</v>
      </c>
      <c r="X39" s="731">
        <f t="shared" si="65"/>
        <v>10900</v>
      </c>
      <c r="Y39" s="731">
        <f t="shared" ref="Y39:AA40" si="66">+Y34+Y29+Y24+Y19+Y14+Y9+Y4</f>
        <v>13548</v>
      </c>
      <c r="Z39" s="731">
        <f t="shared" si="66"/>
        <v>15185</v>
      </c>
      <c r="AA39" s="731">
        <f t="shared" si="66"/>
        <v>13775</v>
      </c>
      <c r="AB39" s="811">
        <v>8920</v>
      </c>
      <c r="AC39" s="731">
        <v>6175</v>
      </c>
      <c r="AD39" s="841">
        <v>119511</v>
      </c>
      <c r="AE39" s="846">
        <f t="shared" ref="AE39:AF39" si="67">+AE34+AE29+AE24+AE19+AE14+AE9+AE4</f>
        <v>5724</v>
      </c>
      <c r="AF39" s="846">
        <f t="shared" si="67"/>
        <v>6255</v>
      </c>
      <c r="AG39" s="846">
        <v>8096</v>
      </c>
      <c r="AH39" s="846">
        <v>14269</v>
      </c>
      <c r="AI39" s="846">
        <v>8096</v>
      </c>
      <c r="AJ39" s="846">
        <v>11193</v>
      </c>
      <c r="AK39" s="846">
        <v>10128</v>
      </c>
      <c r="AL39" s="846">
        <v>11723</v>
      </c>
      <c r="AM39" s="846">
        <v>12893</v>
      </c>
      <c r="AN39" s="846">
        <v>11895</v>
      </c>
      <c r="AO39" s="846">
        <v>8054</v>
      </c>
      <c r="AP39" s="846">
        <f t="shared" ref="AP39" si="68">+AP34+AP29+AP24+AP19+AP14+AP9+AP4</f>
        <v>5963</v>
      </c>
      <c r="AQ39" s="853">
        <f>AE39+AF39+AG39+AH39+AI39+AJ39+AK39+AL39+AM39+AN39+AO39+AP39</f>
        <v>114289</v>
      </c>
    </row>
    <row r="40" spans="1:43">
      <c r="A40" s="866" t="str">
        <f t="shared" ref="A40" si="69">A39</f>
        <v>AFO</v>
      </c>
      <c r="B40" s="949"/>
      <c r="C40" s="670"/>
      <c r="D40" s="672" t="s">
        <v>453</v>
      </c>
      <c r="E40" s="629">
        <f>+E35+E30+E25+E20+E15+E10+E5</f>
        <v>2911</v>
      </c>
      <c r="F40" s="630">
        <f t="shared" si="64"/>
        <v>3403</v>
      </c>
      <c r="G40" s="630">
        <f t="shared" si="64"/>
        <v>3975</v>
      </c>
      <c r="H40" s="630">
        <f t="shared" si="64"/>
        <v>3686</v>
      </c>
      <c r="I40" s="630">
        <f t="shared" si="64"/>
        <v>3434</v>
      </c>
      <c r="J40" s="630">
        <v>4116</v>
      </c>
      <c r="K40" s="755">
        <v>3725</v>
      </c>
      <c r="L40" s="755">
        <f>+L35+L30+L25+L20+L15+L10+L5</f>
        <v>4368</v>
      </c>
      <c r="M40" s="755">
        <f t="shared" ref="M40:X40" si="70">+M35+M30+M25+M20+M15+M10+M5</f>
        <v>4795</v>
      </c>
      <c r="N40" s="755">
        <f>+N35+N30+N25+N20+N15+N10+N5</f>
        <v>4242</v>
      </c>
      <c r="O40" s="631">
        <f t="shared" si="70"/>
        <v>3703</v>
      </c>
      <c r="P40" s="631">
        <f t="shared" si="70"/>
        <v>3182</v>
      </c>
      <c r="Q40" s="621">
        <f t="shared" ref="Q40:Q41" si="71">+E40+F40+G40+H40+I40+J40+K40+L40+M40+N40+O40</f>
        <v>42358</v>
      </c>
      <c r="R40" s="632">
        <f t="shared" si="70"/>
        <v>2904</v>
      </c>
      <c r="S40" s="633">
        <f t="shared" si="70"/>
        <v>3583</v>
      </c>
      <c r="T40" s="633">
        <f t="shared" si="70"/>
        <v>4113</v>
      </c>
      <c r="U40" s="633">
        <f t="shared" si="70"/>
        <v>3610</v>
      </c>
      <c r="V40" s="633">
        <f t="shared" si="70"/>
        <v>3809</v>
      </c>
      <c r="W40" s="732">
        <f t="shared" si="70"/>
        <v>4064</v>
      </c>
      <c r="X40" s="732">
        <f t="shared" si="70"/>
        <v>3987</v>
      </c>
      <c r="Y40" s="732">
        <f t="shared" si="66"/>
        <v>4804</v>
      </c>
      <c r="Z40" s="732">
        <f t="shared" si="66"/>
        <v>4310</v>
      </c>
      <c r="AA40" s="732">
        <f t="shared" si="66"/>
        <v>4615</v>
      </c>
      <c r="AB40" s="812">
        <v>3832</v>
      </c>
      <c r="AC40" s="732">
        <v>2809</v>
      </c>
      <c r="AD40" s="841">
        <v>46440</v>
      </c>
      <c r="AE40" s="847">
        <f t="shared" ref="AE40:AF40" si="72">+AE35+AE30+AE25+AE20+AE15+AE10+AE5</f>
        <v>2753</v>
      </c>
      <c r="AF40" s="847">
        <f t="shared" si="72"/>
        <v>3093</v>
      </c>
      <c r="AG40" s="847">
        <v>3675</v>
      </c>
      <c r="AH40" s="847">
        <v>11211</v>
      </c>
      <c r="AI40" s="847">
        <v>3675</v>
      </c>
      <c r="AJ40" s="847">
        <v>3798</v>
      </c>
      <c r="AK40" s="847">
        <v>4246</v>
      </c>
      <c r="AL40" s="847">
        <v>4897</v>
      </c>
      <c r="AM40" s="847">
        <v>4811</v>
      </c>
      <c r="AN40" s="847">
        <v>4879</v>
      </c>
      <c r="AO40" s="847">
        <v>3717</v>
      </c>
      <c r="AP40" s="847">
        <f t="shared" ref="AP40" si="73">+AP35+AP30+AP25+AP20+AP15+AP10+AP5</f>
        <v>2844</v>
      </c>
      <c r="AQ40" s="853">
        <f>AE40+AF40+AG40+AH40+AI40+AJ40+AK40+AL40+AM40+AN40+AO40+AP40</f>
        <v>53599</v>
      </c>
    </row>
    <row r="41" spans="1:43">
      <c r="A41" s="866">
        <f t="shared" si="3"/>
        <v>0</v>
      </c>
      <c r="B41" s="949"/>
      <c r="C41" s="670"/>
      <c r="D41" s="672" t="s">
        <v>454</v>
      </c>
      <c r="E41" s="635">
        <f t="shared" ref="E41:W41" si="74">E39-E40</f>
        <v>3832</v>
      </c>
      <c r="F41" s="636">
        <f t="shared" si="74"/>
        <v>4486</v>
      </c>
      <c r="G41" s="636">
        <f t="shared" si="74"/>
        <v>5296</v>
      </c>
      <c r="H41" s="636">
        <f t="shared" si="74"/>
        <v>5088</v>
      </c>
      <c r="I41" s="636">
        <f t="shared" si="74"/>
        <v>4426</v>
      </c>
      <c r="J41" s="636">
        <v>7282</v>
      </c>
      <c r="K41" s="756">
        <v>7994</v>
      </c>
      <c r="L41" s="756">
        <f>L39-L40</f>
        <v>8136</v>
      </c>
      <c r="M41" s="756">
        <f t="shared" si="74"/>
        <v>9081</v>
      </c>
      <c r="N41" s="756">
        <f t="shared" si="74"/>
        <v>9153</v>
      </c>
      <c r="O41" s="637">
        <f t="shared" si="74"/>
        <v>6091</v>
      </c>
      <c r="P41" s="637">
        <f t="shared" si="74"/>
        <v>3643</v>
      </c>
      <c r="Q41" s="621">
        <f t="shared" si="71"/>
        <v>70865</v>
      </c>
      <c r="R41" s="638">
        <f t="shared" si="74"/>
        <v>2930</v>
      </c>
      <c r="S41" s="639">
        <f t="shared" si="74"/>
        <v>4155</v>
      </c>
      <c r="T41" s="639">
        <f t="shared" si="74"/>
        <v>5390</v>
      </c>
      <c r="U41" s="639">
        <f t="shared" si="74"/>
        <v>5465</v>
      </c>
      <c r="V41" s="639">
        <f t="shared" si="74"/>
        <v>3979</v>
      </c>
      <c r="W41" s="733">
        <f t="shared" si="74"/>
        <v>7006</v>
      </c>
      <c r="X41" s="733">
        <f t="shared" ref="X41" si="75">X39-X40</f>
        <v>6913</v>
      </c>
      <c r="Y41" s="733">
        <f>Y39-Y40</f>
        <v>8744</v>
      </c>
      <c r="Z41" s="733">
        <f>Z39-Z40</f>
        <v>10875</v>
      </c>
      <c r="AA41" s="733">
        <f>AA39-AA40</f>
        <v>9160</v>
      </c>
      <c r="AB41" s="813">
        <v>5088</v>
      </c>
      <c r="AC41" s="733">
        <v>3366</v>
      </c>
      <c r="AD41" s="841">
        <v>73071</v>
      </c>
      <c r="AE41" s="847">
        <f>AE39-AE40</f>
        <v>2971</v>
      </c>
      <c r="AF41" s="847">
        <f>AF39-AF40</f>
        <v>3162</v>
      </c>
      <c r="AG41" s="847">
        <v>4421</v>
      </c>
      <c r="AH41" s="847">
        <v>3058</v>
      </c>
      <c r="AI41" s="847">
        <v>4421</v>
      </c>
      <c r="AJ41" s="847">
        <v>7395</v>
      </c>
      <c r="AK41" s="847">
        <v>5882</v>
      </c>
      <c r="AL41" s="847">
        <v>6826</v>
      </c>
      <c r="AM41" s="847">
        <v>8082</v>
      </c>
      <c r="AN41" s="847">
        <v>7016</v>
      </c>
      <c r="AO41" s="847">
        <v>4337</v>
      </c>
      <c r="AP41" s="847">
        <f>AP39-AP40</f>
        <v>3119</v>
      </c>
      <c r="AQ41" s="853">
        <f>AE41+AF41+AG41+AH41+AI41+AJ41+AK41+AL41+AM41+AN41</f>
        <v>53234</v>
      </c>
    </row>
    <row r="42" spans="1:43" ht="15" thickBot="1">
      <c r="A42" s="866">
        <f t="shared" si="3"/>
        <v>0</v>
      </c>
      <c r="B42" s="950"/>
      <c r="C42" s="673"/>
      <c r="D42" s="674" t="s">
        <v>455</v>
      </c>
      <c r="E42" s="675">
        <f t="shared" ref="E42:U42" si="76">E40/E39</f>
        <v>0.43170695536111525</v>
      </c>
      <c r="F42" s="676">
        <f t="shared" si="76"/>
        <v>0.43136012168842691</v>
      </c>
      <c r="G42" s="676">
        <f t="shared" si="76"/>
        <v>0.4287563369647287</v>
      </c>
      <c r="H42" s="677">
        <f t="shared" si="76"/>
        <v>0.42010485525416003</v>
      </c>
      <c r="I42" s="677">
        <f t="shared" si="76"/>
        <v>0.43689567430025444</v>
      </c>
      <c r="J42" s="677">
        <v>0.36111598526057204</v>
      </c>
      <c r="K42" s="758">
        <v>0.31785988565577267</v>
      </c>
      <c r="L42" s="758">
        <f>L40/L39</f>
        <v>0.34932821497120919</v>
      </c>
      <c r="M42" s="758">
        <f t="shared" si="76"/>
        <v>0.34556068031132892</v>
      </c>
      <c r="N42" s="758">
        <f t="shared" si="76"/>
        <v>0.31668533034714447</v>
      </c>
      <c r="O42" s="678">
        <f t="shared" si="76"/>
        <v>0.37808862568919749</v>
      </c>
      <c r="P42" s="679">
        <f t="shared" si="76"/>
        <v>0.46622710622710622</v>
      </c>
      <c r="Q42" s="644">
        <f>+Q40/Q39</f>
        <v>0.37411126714536797</v>
      </c>
      <c r="R42" s="680">
        <f t="shared" si="76"/>
        <v>0.49777168323620158</v>
      </c>
      <c r="S42" s="681">
        <f t="shared" si="76"/>
        <v>0.46303954510209355</v>
      </c>
      <c r="T42" s="681">
        <f t="shared" si="76"/>
        <v>0.43281069136062295</v>
      </c>
      <c r="U42" s="682">
        <f t="shared" si="76"/>
        <v>0.39779614325068868</v>
      </c>
      <c r="V42" s="682">
        <f>+V40/V39</f>
        <v>0.48908577298407807</v>
      </c>
      <c r="W42" s="734">
        <f>+W40/W39</f>
        <v>0.36711833785004516</v>
      </c>
      <c r="X42" s="734">
        <f t="shared" ref="X42:Y42" si="77">+X40/X39</f>
        <v>0.36577981651376146</v>
      </c>
      <c r="Y42" s="734">
        <f t="shared" si="77"/>
        <v>0.3545910835547682</v>
      </c>
      <c r="Z42" s="734">
        <f>+Z40/Z39</f>
        <v>0.28383272966743495</v>
      </c>
      <c r="AA42" s="734">
        <f>+AA40/AA39</f>
        <v>0.33502722323049</v>
      </c>
      <c r="AB42" s="760">
        <v>0.4295964125560538</v>
      </c>
      <c r="AC42" s="734">
        <v>0.4548987854251012</v>
      </c>
      <c r="AD42" s="843">
        <v>0.38858347767151141</v>
      </c>
      <c r="AE42" s="848">
        <f>+AE40/AE39</f>
        <v>0.48095737246680642</v>
      </c>
      <c r="AF42" s="848">
        <f>+AF40/AF39</f>
        <v>0.494484412470024</v>
      </c>
      <c r="AG42" s="848">
        <v>0.4539278656126482</v>
      </c>
      <c r="AH42" s="848">
        <v>0.78568925643002308</v>
      </c>
      <c r="AI42" s="848">
        <v>0.4539278656126482</v>
      </c>
      <c r="AJ42" s="848">
        <v>0.33931921736799786</v>
      </c>
      <c r="AK42" s="848">
        <v>0.41923380726698262</v>
      </c>
      <c r="AL42" s="848">
        <v>0.41772583809605052</v>
      </c>
      <c r="AM42" s="848">
        <v>0.37314821996432174</v>
      </c>
      <c r="AN42" s="848">
        <v>0.41017234131988228</v>
      </c>
      <c r="AO42" s="848">
        <v>0.461509808790663</v>
      </c>
      <c r="AP42" s="848">
        <f>+AP40/AP39</f>
        <v>0.47694113701157137</v>
      </c>
      <c r="AQ42" s="854">
        <f>AQ40/AQ39</f>
        <v>0.46897776688920195</v>
      </c>
    </row>
    <row r="43" spans="1:43">
      <c r="A43" s="866">
        <f t="shared" si="3"/>
        <v>0</v>
      </c>
      <c r="B43" s="650"/>
      <c r="C43" s="75"/>
      <c r="D43" s="651"/>
      <c r="E43" s="650"/>
      <c r="F43" s="75"/>
      <c r="G43" s="75"/>
      <c r="H43" s="75"/>
      <c r="I43" s="136"/>
      <c r="J43" s="136"/>
      <c r="K43" s="136"/>
      <c r="L43" s="136"/>
      <c r="M43" s="136"/>
      <c r="N43" s="136"/>
      <c r="O43" s="136"/>
      <c r="P43" s="136"/>
      <c r="Q43" s="652"/>
      <c r="R43" s="650"/>
      <c r="S43" s="75"/>
      <c r="T43" s="75"/>
      <c r="U43" s="75"/>
      <c r="V43" s="75"/>
      <c r="W43" s="75"/>
      <c r="X43" s="75"/>
      <c r="Y43" s="75"/>
      <c r="Z43" s="75"/>
      <c r="AA43" s="75"/>
      <c r="AB43" s="75"/>
      <c r="AC43" s="829"/>
      <c r="AD43" s="844"/>
      <c r="AE43" s="403"/>
      <c r="AF43" s="403"/>
      <c r="AG43" s="403"/>
      <c r="AH43" s="403"/>
      <c r="AI43" s="403"/>
      <c r="AJ43" s="403"/>
      <c r="AK43" s="403"/>
      <c r="AL43" s="403"/>
      <c r="AM43" s="403"/>
      <c r="AN43" s="403"/>
      <c r="AO43" s="403"/>
      <c r="AP43" s="403"/>
      <c r="AQ43" s="855"/>
    </row>
    <row r="44" spans="1:43">
      <c r="A44" s="866">
        <f t="shared" si="3"/>
        <v>0</v>
      </c>
      <c r="B44" s="683"/>
      <c r="C44" s="56"/>
      <c r="D44" s="684"/>
      <c r="E44" s="685"/>
      <c r="F44" s="686"/>
      <c r="G44" s="686"/>
      <c r="H44" s="686"/>
      <c r="I44" s="769"/>
      <c r="J44" s="769"/>
      <c r="K44" s="769"/>
      <c r="L44" s="769"/>
      <c r="M44" s="769"/>
      <c r="N44" s="773"/>
      <c r="Q44" s="687"/>
      <c r="R44" s="688"/>
      <c r="S44" s="689"/>
      <c r="T44" s="689"/>
      <c r="U44" s="689"/>
      <c r="V44" s="690"/>
      <c r="W44" s="690"/>
      <c r="X44" s="690"/>
      <c r="Y44" s="690"/>
      <c r="Z44" s="690"/>
      <c r="AA44" s="690"/>
      <c r="AB44" s="690"/>
      <c r="AC44" s="690"/>
      <c r="AD44" s="845"/>
      <c r="AE44" s="849"/>
      <c r="AF44" s="849"/>
      <c r="AG44" s="849"/>
      <c r="AH44" s="849"/>
      <c r="AI44" s="849"/>
      <c r="AJ44" s="849"/>
      <c r="AK44" s="849"/>
      <c r="AL44" s="849"/>
      <c r="AM44" s="849"/>
      <c r="AN44" s="849"/>
      <c r="AO44" s="849"/>
      <c r="AP44" s="849"/>
      <c r="AQ44" s="855"/>
    </row>
    <row r="45" spans="1:43">
      <c r="A45" s="866" t="str">
        <f>B45</f>
        <v>CMR</v>
      </c>
      <c r="B45" s="948" t="s">
        <v>132</v>
      </c>
      <c r="C45" s="691"/>
      <c r="D45" s="640" t="s">
        <v>452</v>
      </c>
      <c r="E45" s="653">
        <v>1488</v>
      </c>
      <c r="F45" s="654">
        <v>1642</v>
      </c>
      <c r="G45" s="654">
        <v>1906</v>
      </c>
      <c r="H45" s="655">
        <v>2069</v>
      </c>
      <c r="I45" s="655">
        <v>1678</v>
      </c>
      <c r="J45" s="655">
        <v>2201</v>
      </c>
      <c r="K45" s="754">
        <v>3069</v>
      </c>
      <c r="L45" s="754">
        <v>5736</v>
      </c>
      <c r="M45" s="754">
        <v>6368</v>
      </c>
      <c r="N45" s="754">
        <v>3720</v>
      </c>
      <c r="O45" s="656">
        <v>2544</v>
      </c>
      <c r="P45" s="657">
        <v>1957</v>
      </c>
      <c r="Q45" s="621">
        <f>+E45+F45+G45+H45+I45+J45+K45+L45+M45+N45+O45</f>
        <v>32421</v>
      </c>
      <c r="R45" s="658">
        <v>1320</v>
      </c>
      <c r="S45" s="659">
        <v>1528</v>
      </c>
      <c r="T45" s="659">
        <v>1842</v>
      </c>
      <c r="U45" s="660">
        <v>1665</v>
      </c>
      <c r="V45" s="660">
        <v>1614</v>
      </c>
      <c r="W45" s="660">
        <v>2044</v>
      </c>
      <c r="X45" s="759">
        <v>4140</v>
      </c>
      <c r="Y45" s="759">
        <v>2806</v>
      </c>
      <c r="Z45" s="759">
        <v>2092</v>
      </c>
      <c r="AA45" s="759">
        <v>1807</v>
      </c>
      <c r="AB45" s="759">
        <v>1824</v>
      </c>
      <c r="AC45" s="759">
        <v>1650</v>
      </c>
      <c r="AD45" s="841">
        <v>24332</v>
      </c>
      <c r="AE45" s="659">
        <v>1824</v>
      </c>
      <c r="AF45" s="659">
        <v>1605</v>
      </c>
      <c r="AG45" s="659">
        <v>2084</v>
      </c>
      <c r="AH45" s="659">
        <v>1635</v>
      </c>
      <c r="AI45" s="659">
        <v>2084</v>
      </c>
      <c r="AJ45" s="659">
        <v>2120</v>
      </c>
      <c r="AK45" s="659">
        <v>4192</v>
      </c>
      <c r="AL45" s="659">
        <v>6501</v>
      </c>
      <c r="AM45" s="659">
        <v>5856</v>
      </c>
      <c r="AN45" s="659">
        <v>4547</v>
      </c>
      <c r="AO45" s="659">
        <v>3659</v>
      </c>
      <c r="AP45" s="659">
        <f>VLOOKUP($A45,[1]Toute_Prod!$G:$I,3,0)</f>
        <v>1669</v>
      </c>
      <c r="AQ45" s="853">
        <f>AE45+AF45+AG45+AH45+AI45+AJ45+AK45+AL45+AM45+AN45+AO45+AP45</f>
        <v>37776</v>
      </c>
    </row>
    <row r="46" spans="1:43">
      <c r="A46" s="866" t="str">
        <f>A45</f>
        <v>CMR</v>
      </c>
      <c r="B46" s="948"/>
      <c r="C46" s="691"/>
      <c r="D46" s="628" t="s">
        <v>453</v>
      </c>
      <c r="E46" s="629">
        <v>797</v>
      </c>
      <c r="F46" s="630">
        <v>817</v>
      </c>
      <c r="G46" s="630">
        <v>874</v>
      </c>
      <c r="H46" s="630">
        <v>871</v>
      </c>
      <c r="I46" s="630">
        <v>634</v>
      </c>
      <c r="J46" s="630">
        <v>896</v>
      </c>
      <c r="K46" s="755">
        <v>1108</v>
      </c>
      <c r="L46" s="755">
        <v>2196</v>
      </c>
      <c r="M46" s="755">
        <v>3021</v>
      </c>
      <c r="N46" s="755">
        <v>1926</v>
      </c>
      <c r="O46" s="631">
        <v>1257</v>
      </c>
      <c r="P46" s="631">
        <v>972</v>
      </c>
      <c r="Q46" s="621">
        <f t="shared" ref="Q46:Q47" si="78">+E46+F46+G46+H46+I46+J46+K46+L46+M46+N46+O46</f>
        <v>14397</v>
      </c>
      <c r="R46" s="632">
        <v>645</v>
      </c>
      <c r="S46" s="633">
        <v>674</v>
      </c>
      <c r="T46" s="633">
        <v>836</v>
      </c>
      <c r="U46" s="633">
        <v>697</v>
      </c>
      <c r="V46" s="633">
        <v>657</v>
      </c>
      <c r="W46" s="633">
        <v>870</v>
      </c>
      <c r="X46" s="633">
        <v>1400</v>
      </c>
      <c r="Y46" s="633">
        <v>924</v>
      </c>
      <c r="Z46" s="771">
        <v>867</v>
      </c>
      <c r="AA46" s="771">
        <v>791</v>
      </c>
      <c r="AB46" s="771">
        <v>833</v>
      </c>
      <c r="AC46" s="837">
        <v>777</v>
      </c>
      <c r="AD46" s="841">
        <v>9971</v>
      </c>
      <c r="AE46" s="842">
        <v>905</v>
      </c>
      <c r="AF46" s="842">
        <v>714</v>
      </c>
      <c r="AG46" s="842">
        <v>819</v>
      </c>
      <c r="AH46" s="842">
        <v>643</v>
      </c>
      <c r="AI46" s="842">
        <v>819</v>
      </c>
      <c r="AJ46" s="842">
        <v>845</v>
      </c>
      <c r="AK46" s="842">
        <v>1272</v>
      </c>
      <c r="AL46" s="842">
        <v>2313</v>
      </c>
      <c r="AM46" s="842">
        <v>2471</v>
      </c>
      <c r="AN46" s="842">
        <v>2166</v>
      </c>
      <c r="AO46" s="842">
        <v>1754</v>
      </c>
      <c r="AP46" s="842">
        <f>VLOOKUP($A45,[1]Nouveau_PPO!$G:$I,3,0)</f>
        <v>765</v>
      </c>
      <c r="AQ46" s="853">
        <f>AE46+AF46+AG46+AH46+AI46+AJ46+AK46+AL46+AM46+AN46+AO46+AP46</f>
        <v>15486</v>
      </c>
    </row>
    <row r="47" spans="1:43">
      <c r="A47" s="866">
        <f t="shared" si="3"/>
        <v>0</v>
      </c>
      <c r="B47" s="948"/>
      <c r="C47" s="691"/>
      <c r="D47" s="634" t="s">
        <v>456</v>
      </c>
      <c r="E47" s="635">
        <f t="shared" ref="E47:W47" si="79">E45-E46</f>
        <v>691</v>
      </c>
      <c r="F47" s="636">
        <f t="shared" si="79"/>
        <v>825</v>
      </c>
      <c r="G47" s="636">
        <f t="shared" si="79"/>
        <v>1032</v>
      </c>
      <c r="H47" s="636">
        <f t="shared" si="79"/>
        <v>1198</v>
      </c>
      <c r="I47" s="636">
        <f t="shared" si="79"/>
        <v>1044</v>
      </c>
      <c r="J47" s="636">
        <v>1305</v>
      </c>
      <c r="K47" s="756">
        <v>1961</v>
      </c>
      <c r="L47" s="756">
        <f>L45-L46</f>
        <v>3540</v>
      </c>
      <c r="M47" s="756">
        <f t="shared" si="79"/>
        <v>3347</v>
      </c>
      <c r="N47" s="756">
        <f t="shared" si="79"/>
        <v>1794</v>
      </c>
      <c r="O47" s="637">
        <f t="shared" si="79"/>
        <v>1287</v>
      </c>
      <c r="P47" s="637">
        <f t="shared" si="79"/>
        <v>985</v>
      </c>
      <c r="Q47" s="621">
        <f t="shared" si="78"/>
        <v>18024</v>
      </c>
      <c r="R47" s="638">
        <f t="shared" si="79"/>
        <v>675</v>
      </c>
      <c r="S47" s="639">
        <f t="shared" si="79"/>
        <v>854</v>
      </c>
      <c r="T47" s="639">
        <f t="shared" si="79"/>
        <v>1006</v>
      </c>
      <c r="U47" s="639">
        <f t="shared" si="79"/>
        <v>968</v>
      </c>
      <c r="V47" s="639">
        <f t="shared" si="79"/>
        <v>957</v>
      </c>
      <c r="W47" s="639">
        <f t="shared" si="79"/>
        <v>1174</v>
      </c>
      <c r="X47" s="639">
        <f t="shared" ref="X47:AA47" si="80">X45-X46</f>
        <v>2740</v>
      </c>
      <c r="Y47" s="639">
        <f t="shared" si="80"/>
        <v>1882</v>
      </c>
      <c r="Z47" s="639">
        <f t="shared" si="80"/>
        <v>1225</v>
      </c>
      <c r="AA47" s="639">
        <f t="shared" si="80"/>
        <v>1016</v>
      </c>
      <c r="AB47" s="808">
        <v>991</v>
      </c>
      <c r="AC47" s="808">
        <v>873</v>
      </c>
      <c r="AD47" s="841">
        <v>14361</v>
      </c>
      <c r="AE47" s="842">
        <f t="shared" ref="AE47:AF47" si="81">AE45-AE46</f>
        <v>919</v>
      </c>
      <c r="AF47" s="842">
        <f t="shared" si="81"/>
        <v>891</v>
      </c>
      <c r="AG47" s="842">
        <v>1265</v>
      </c>
      <c r="AH47" s="842">
        <v>992</v>
      </c>
      <c r="AI47" s="842">
        <v>1265</v>
      </c>
      <c r="AJ47" s="842">
        <v>1275</v>
      </c>
      <c r="AK47" s="842">
        <v>2920</v>
      </c>
      <c r="AL47" s="842">
        <v>4188</v>
      </c>
      <c r="AM47" s="842">
        <v>3385</v>
      </c>
      <c r="AN47" s="842">
        <v>2381</v>
      </c>
      <c r="AO47" s="842">
        <v>1905</v>
      </c>
      <c r="AP47" s="842">
        <f>AP45-AP46</f>
        <v>904</v>
      </c>
      <c r="AQ47" s="853">
        <f>AE47+AF47+AG47+AH47+AI47+AJ47+AK47+AL47+AM47+AN47</f>
        <v>19481</v>
      </c>
    </row>
    <row r="48" spans="1:43">
      <c r="A48" s="866">
        <f t="shared" si="3"/>
        <v>0</v>
      </c>
      <c r="B48" s="948"/>
      <c r="C48" s="691"/>
      <c r="D48" s="640" t="s">
        <v>455</v>
      </c>
      <c r="E48" s="641">
        <f t="shared" ref="E48:U48" si="82">E46/E45</f>
        <v>0.5356182795698925</v>
      </c>
      <c r="F48" s="642">
        <f t="shared" si="82"/>
        <v>0.49756394640682094</v>
      </c>
      <c r="G48" s="642">
        <f t="shared" si="82"/>
        <v>0.45855194123819515</v>
      </c>
      <c r="H48" s="643">
        <f t="shared" si="82"/>
        <v>0.42097631706138233</v>
      </c>
      <c r="I48" s="643">
        <f t="shared" si="82"/>
        <v>0.37783075089392132</v>
      </c>
      <c r="J48" s="643">
        <v>0.40708768741481144</v>
      </c>
      <c r="K48" s="757">
        <v>0.36102965135223197</v>
      </c>
      <c r="L48" s="757">
        <f>L46/L45</f>
        <v>0.38284518828451886</v>
      </c>
      <c r="M48" s="757">
        <f t="shared" si="82"/>
        <v>0.4744032663316583</v>
      </c>
      <c r="N48" s="757">
        <f t="shared" si="82"/>
        <v>0.51774193548387093</v>
      </c>
      <c r="O48" s="645">
        <f t="shared" si="82"/>
        <v>0.49410377358490565</v>
      </c>
      <c r="P48" s="646">
        <f t="shared" si="82"/>
        <v>0.49667858967807871</v>
      </c>
      <c r="Q48" s="644">
        <f>+Q46/Q45</f>
        <v>0.44406403257148147</v>
      </c>
      <c r="R48" s="647">
        <f t="shared" si="82"/>
        <v>0.48863636363636365</v>
      </c>
      <c r="S48" s="648">
        <f t="shared" si="82"/>
        <v>0.44109947643979058</v>
      </c>
      <c r="T48" s="648">
        <f t="shared" si="82"/>
        <v>0.45385450597176979</v>
      </c>
      <c r="U48" s="649">
        <f t="shared" si="82"/>
        <v>0.4186186186186186</v>
      </c>
      <c r="V48" s="649">
        <f>+V46/V45</f>
        <v>0.40706319702602228</v>
      </c>
      <c r="W48" s="649">
        <f>+W46/W45</f>
        <v>0.42563600782778865</v>
      </c>
      <c r="X48" s="649">
        <f t="shared" ref="X48:AA48" si="83">+X46/X45</f>
        <v>0.33816425120772947</v>
      </c>
      <c r="Y48" s="649">
        <f t="shared" si="83"/>
        <v>0.3292943692088382</v>
      </c>
      <c r="Z48" s="649">
        <f t="shared" si="83"/>
        <v>0.41443594646271509</v>
      </c>
      <c r="AA48" s="649">
        <f t="shared" si="83"/>
        <v>0.4377421140011068</v>
      </c>
      <c r="AB48" s="809">
        <v>0.45668859649122806</v>
      </c>
      <c r="AC48" s="809">
        <v>0.47090909090909089</v>
      </c>
      <c r="AD48" s="843">
        <v>0.40978957751109651</v>
      </c>
      <c r="AE48" s="648">
        <f t="shared" ref="AE48:AF48" si="84">AE46/AE45</f>
        <v>0.49616228070175439</v>
      </c>
      <c r="AF48" s="648">
        <f t="shared" si="84"/>
        <v>0.44485981308411215</v>
      </c>
      <c r="AG48" s="648">
        <v>0.39299424184261039</v>
      </c>
      <c r="AH48" s="648">
        <v>0.39327217125382263</v>
      </c>
      <c r="AI48" s="648">
        <v>0.39299424184261039</v>
      </c>
      <c r="AJ48" s="648">
        <v>0.39858490566037735</v>
      </c>
      <c r="AK48" s="648">
        <v>0.30343511450381677</v>
      </c>
      <c r="AL48" s="648">
        <v>0.35579141670512227</v>
      </c>
      <c r="AM48" s="648">
        <v>0.42196038251366119</v>
      </c>
      <c r="AN48" s="648">
        <v>0.47635803826698925</v>
      </c>
      <c r="AO48" s="648">
        <v>0.4793659469800492</v>
      </c>
      <c r="AP48" s="648">
        <f t="shared" ref="AP48" si="85">AP46/AP45</f>
        <v>0.45835829838226483</v>
      </c>
      <c r="AQ48" s="854">
        <f>AQ46/AQ45</f>
        <v>0.40994282083862771</v>
      </c>
    </row>
    <row r="49" spans="1:43">
      <c r="A49" s="866">
        <f t="shared" si="3"/>
        <v>0</v>
      </c>
      <c r="B49" s="650"/>
      <c r="C49" s="75"/>
      <c r="D49" s="651"/>
      <c r="E49" s="650"/>
      <c r="F49" s="75"/>
      <c r="G49" s="75"/>
      <c r="H49" s="75"/>
      <c r="I49" s="136"/>
      <c r="J49" s="136"/>
      <c r="K49" s="136"/>
      <c r="L49" s="136"/>
      <c r="M49" s="136"/>
      <c r="N49" s="136"/>
      <c r="O49" s="136"/>
      <c r="P49" s="136"/>
      <c r="Q49" s="652"/>
      <c r="R49" s="650"/>
      <c r="S49" s="75"/>
      <c r="T49" s="75"/>
      <c r="U49" s="75"/>
      <c r="V49" s="75"/>
      <c r="W49" s="75"/>
      <c r="X49" s="75"/>
      <c r="Y49" s="75"/>
      <c r="Z49" s="75"/>
      <c r="AA49" s="75"/>
      <c r="AB49" s="75"/>
      <c r="AC49" s="829"/>
      <c r="AD49" s="844"/>
      <c r="AE49" s="403"/>
      <c r="AF49" s="403"/>
      <c r="AG49" s="403"/>
      <c r="AH49" s="403"/>
      <c r="AI49" s="403"/>
      <c r="AJ49" s="403"/>
      <c r="AK49" s="403"/>
      <c r="AL49" s="403"/>
      <c r="AM49" s="403"/>
      <c r="AN49" s="403"/>
      <c r="AO49" s="403"/>
      <c r="AP49" s="403"/>
      <c r="AQ49" s="855"/>
    </row>
    <row r="50" spans="1:43">
      <c r="A50" s="866" t="str">
        <f>B50</f>
        <v>MDG</v>
      </c>
      <c r="B50" s="948" t="s">
        <v>138</v>
      </c>
      <c r="C50" s="691"/>
      <c r="D50" s="640" t="s">
        <v>452</v>
      </c>
      <c r="E50" s="653">
        <v>3756</v>
      </c>
      <c r="F50" s="654">
        <v>5066</v>
      </c>
      <c r="G50" s="654">
        <v>6017</v>
      </c>
      <c r="H50" s="655">
        <v>6500</v>
      </c>
      <c r="I50" s="655">
        <v>5116</v>
      </c>
      <c r="J50" s="655">
        <v>6374</v>
      </c>
      <c r="K50" s="754">
        <v>6011</v>
      </c>
      <c r="L50" s="754">
        <v>9420</v>
      </c>
      <c r="M50" s="754">
        <v>8343</v>
      </c>
      <c r="N50" s="754">
        <v>7305</v>
      </c>
      <c r="O50" s="656">
        <v>5709</v>
      </c>
      <c r="P50" s="657">
        <v>5938</v>
      </c>
      <c r="Q50" s="621">
        <f>+E50+F50+G50+H50+I50+J50+K50+L50+M50+N50+O50</f>
        <v>69617</v>
      </c>
      <c r="R50" s="658">
        <v>3426</v>
      </c>
      <c r="S50" s="659">
        <v>4220</v>
      </c>
      <c r="T50" s="659">
        <v>5663</v>
      </c>
      <c r="U50" s="660">
        <v>6377</v>
      </c>
      <c r="V50" s="660">
        <v>6566</v>
      </c>
      <c r="W50" s="660">
        <v>8467</v>
      </c>
      <c r="X50" s="759">
        <v>7890</v>
      </c>
      <c r="Y50" s="759">
        <v>9613</v>
      </c>
      <c r="Z50" s="759">
        <v>10788</v>
      </c>
      <c r="AA50" s="759">
        <v>8437</v>
      </c>
      <c r="AB50" s="759">
        <v>7467</v>
      </c>
      <c r="AC50" s="759">
        <v>6941</v>
      </c>
      <c r="AD50" s="841">
        <v>85855</v>
      </c>
      <c r="AE50" s="659">
        <v>5842</v>
      </c>
      <c r="AF50" s="659">
        <v>5700</v>
      </c>
      <c r="AG50" s="659">
        <v>6957</v>
      </c>
      <c r="AH50" s="659">
        <v>6652</v>
      </c>
      <c r="AI50" s="659">
        <v>6957</v>
      </c>
      <c r="AJ50" s="659">
        <v>7933</v>
      </c>
      <c r="AK50" s="659">
        <v>8207</v>
      </c>
      <c r="AL50" s="659">
        <v>9767</v>
      </c>
      <c r="AM50" s="659">
        <v>8648</v>
      </c>
      <c r="AN50" s="659">
        <v>6991</v>
      </c>
      <c r="AO50" s="659">
        <v>5671</v>
      </c>
      <c r="AP50" s="659">
        <f>VLOOKUP($A50,[1]Toute_Prod!$G:$I,3,0)</f>
        <v>5652</v>
      </c>
      <c r="AQ50" s="853">
        <f>AE50+AF50+AG50+AH50+AI50+AJ50+AK50+AL50+AM50+AN50+AO50+AP50</f>
        <v>84977</v>
      </c>
    </row>
    <row r="51" spans="1:43">
      <c r="A51" s="866" t="str">
        <f>A50</f>
        <v>MDG</v>
      </c>
      <c r="B51" s="948"/>
      <c r="C51" s="691"/>
      <c r="D51" s="628" t="s">
        <v>453</v>
      </c>
      <c r="E51" s="629">
        <v>1391</v>
      </c>
      <c r="F51" s="630">
        <v>1868</v>
      </c>
      <c r="G51" s="630">
        <v>2011</v>
      </c>
      <c r="H51" s="630">
        <v>2171</v>
      </c>
      <c r="I51" s="630">
        <v>1949</v>
      </c>
      <c r="J51" s="630">
        <v>2712</v>
      </c>
      <c r="K51" s="755">
        <v>2205</v>
      </c>
      <c r="L51" s="755">
        <v>2826</v>
      </c>
      <c r="M51" s="755">
        <v>2616</v>
      </c>
      <c r="N51" s="755">
        <v>2686</v>
      </c>
      <c r="O51" s="631">
        <v>2207</v>
      </c>
      <c r="P51" s="631">
        <v>2213</v>
      </c>
      <c r="Q51" s="621">
        <f t="shared" ref="Q51:Q52" si="86">+E51+F51+G51+H51+I51+J51+K51+L51+M51+N51+O51</f>
        <v>24642</v>
      </c>
      <c r="R51" s="632">
        <v>1246</v>
      </c>
      <c r="S51" s="633">
        <v>1560</v>
      </c>
      <c r="T51" s="633">
        <v>1744</v>
      </c>
      <c r="U51" s="633">
        <v>2088</v>
      </c>
      <c r="V51" s="633">
        <v>2266</v>
      </c>
      <c r="W51" s="633">
        <v>2440</v>
      </c>
      <c r="X51" s="633">
        <v>1959</v>
      </c>
      <c r="Y51" s="633">
        <v>2458</v>
      </c>
      <c r="Z51" s="771">
        <v>2988</v>
      </c>
      <c r="AA51" s="771">
        <v>2274</v>
      </c>
      <c r="AB51" s="771">
        <v>2134</v>
      </c>
      <c r="AC51" s="837">
        <v>2005</v>
      </c>
      <c r="AD51" s="841">
        <v>25162</v>
      </c>
      <c r="AE51" s="842">
        <v>1971</v>
      </c>
      <c r="AF51" s="842">
        <v>1786</v>
      </c>
      <c r="AG51" s="842">
        <v>1983</v>
      </c>
      <c r="AH51" s="842">
        <v>1989</v>
      </c>
      <c r="AI51" s="842">
        <v>1983</v>
      </c>
      <c r="AJ51" s="842">
        <v>2559</v>
      </c>
      <c r="AK51" s="842">
        <v>2307</v>
      </c>
      <c r="AL51" s="842">
        <v>2580</v>
      </c>
      <c r="AM51" s="842">
        <v>2117</v>
      </c>
      <c r="AN51" s="842">
        <v>1931</v>
      </c>
      <c r="AO51" s="842">
        <v>1124</v>
      </c>
      <c r="AP51" s="842">
        <f>VLOOKUP($A50,[1]Nouveau_PPO!$G:$I,3,0)</f>
        <v>1051</v>
      </c>
      <c r="AQ51" s="853">
        <f>AE51+AF51+AG51+AH51+AI51+AJ51+AK51+AL51+AM51+AN51+AO51+AP51</f>
        <v>23381</v>
      </c>
    </row>
    <row r="52" spans="1:43">
      <c r="A52" s="866">
        <f t="shared" si="3"/>
        <v>0</v>
      </c>
      <c r="B52" s="948"/>
      <c r="C52" s="691"/>
      <c r="D52" s="634" t="s">
        <v>456</v>
      </c>
      <c r="E52" s="635">
        <f t="shared" ref="E52:W52" si="87">E50-E51</f>
        <v>2365</v>
      </c>
      <c r="F52" s="636">
        <f t="shared" si="87"/>
        <v>3198</v>
      </c>
      <c r="G52" s="636">
        <f t="shared" si="87"/>
        <v>4006</v>
      </c>
      <c r="H52" s="636">
        <f t="shared" si="87"/>
        <v>4329</v>
      </c>
      <c r="I52" s="636">
        <f t="shared" si="87"/>
        <v>3167</v>
      </c>
      <c r="J52" s="636">
        <v>3662</v>
      </c>
      <c r="K52" s="756">
        <v>3806</v>
      </c>
      <c r="L52" s="756">
        <f>L50-L51</f>
        <v>6594</v>
      </c>
      <c r="M52" s="756">
        <f t="shared" si="87"/>
        <v>5727</v>
      </c>
      <c r="N52" s="756">
        <f t="shared" si="87"/>
        <v>4619</v>
      </c>
      <c r="O52" s="637">
        <f t="shared" si="87"/>
        <v>3502</v>
      </c>
      <c r="P52" s="637">
        <f t="shared" si="87"/>
        <v>3725</v>
      </c>
      <c r="Q52" s="621">
        <f t="shared" si="86"/>
        <v>44975</v>
      </c>
      <c r="R52" s="638">
        <f t="shared" si="87"/>
        <v>2180</v>
      </c>
      <c r="S52" s="639">
        <f t="shared" si="87"/>
        <v>2660</v>
      </c>
      <c r="T52" s="639">
        <f t="shared" si="87"/>
        <v>3919</v>
      </c>
      <c r="U52" s="639">
        <f t="shared" si="87"/>
        <v>4289</v>
      </c>
      <c r="V52" s="639">
        <f t="shared" si="87"/>
        <v>4300</v>
      </c>
      <c r="W52" s="639">
        <f t="shared" si="87"/>
        <v>6027</v>
      </c>
      <c r="X52" s="639">
        <f t="shared" ref="X52:AA52" si="88">X50-X51</f>
        <v>5931</v>
      </c>
      <c r="Y52" s="639">
        <f t="shared" si="88"/>
        <v>7155</v>
      </c>
      <c r="Z52" s="639">
        <f t="shared" si="88"/>
        <v>7800</v>
      </c>
      <c r="AA52" s="639">
        <f t="shared" si="88"/>
        <v>6163</v>
      </c>
      <c r="AB52" s="808">
        <v>5333</v>
      </c>
      <c r="AC52" s="808">
        <v>4936</v>
      </c>
      <c r="AD52" s="841">
        <v>60693</v>
      </c>
      <c r="AE52" s="842">
        <f t="shared" ref="AE52:AF52" si="89">AE50-AE51</f>
        <v>3871</v>
      </c>
      <c r="AF52" s="842">
        <f t="shared" si="89"/>
        <v>3914</v>
      </c>
      <c r="AG52" s="842">
        <v>4974</v>
      </c>
      <c r="AH52" s="842">
        <v>4663</v>
      </c>
      <c r="AI52" s="842">
        <v>4974</v>
      </c>
      <c r="AJ52" s="842">
        <v>5374</v>
      </c>
      <c r="AK52" s="842">
        <v>5900</v>
      </c>
      <c r="AL52" s="842">
        <v>7187</v>
      </c>
      <c r="AM52" s="842">
        <v>6531</v>
      </c>
      <c r="AN52" s="842">
        <v>5060</v>
      </c>
      <c r="AO52" s="842">
        <v>4547</v>
      </c>
      <c r="AP52" s="842">
        <f>AP50-AP51</f>
        <v>4601</v>
      </c>
      <c r="AQ52" s="853">
        <f>AE52+AF52+AG52+AH52+AI52+AJ52+AK52+AL52+AM52+AN52</f>
        <v>52448</v>
      </c>
    </row>
    <row r="53" spans="1:43">
      <c r="A53" s="866">
        <f t="shared" si="3"/>
        <v>0</v>
      </c>
      <c r="B53" s="948"/>
      <c r="C53" s="691"/>
      <c r="D53" s="640" t="s">
        <v>455</v>
      </c>
      <c r="E53" s="641">
        <f t="shared" ref="E53:U53" si="90">E51/E50</f>
        <v>0.37034078807241749</v>
      </c>
      <c r="F53" s="642">
        <f t="shared" si="90"/>
        <v>0.36873272799052509</v>
      </c>
      <c r="G53" s="642">
        <f t="shared" si="90"/>
        <v>0.33421971081934521</v>
      </c>
      <c r="H53" s="643">
        <f t="shared" si="90"/>
        <v>0.33400000000000002</v>
      </c>
      <c r="I53" s="643">
        <f t="shared" si="90"/>
        <v>0.38096168881939013</v>
      </c>
      <c r="J53" s="643">
        <v>0.42547850643238155</v>
      </c>
      <c r="K53" s="757">
        <v>0.36682748294792877</v>
      </c>
      <c r="L53" s="757">
        <f>L51/L50</f>
        <v>0.3</v>
      </c>
      <c r="M53" s="757">
        <f t="shared" si="90"/>
        <v>0.31355627472132325</v>
      </c>
      <c r="N53" s="757">
        <f t="shared" si="90"/>
        <v>0.36769336071184122</v>
      </c>
      <c r="O53" s="645">
        <f t="shared" si="90"/>
        <v>0.38658258889472763</v>
      </c>
      <c r="P53" s="646">
        <f t="shared" si="90"/>
        <v>0.37268440552374538</v>
      </c>
      <c r="Q53" s="644">
        <f>+Q51/Q50</f>
        <v>0.35396526710429926</v>
      </c>
      <c r="R53" s="647">
        <f t="shared" si="90"/>
        <v>0.36368943374197316</v>
      </c>
      <c r="S53" s="648">
        <f t="shared" si="90"/>
        <v>0.36966824644549762</v>
      </c>
      <c r="T53" s="648">
        <f t="shared" si="90"/>
        <v>0.30796397669079995</v>
      </c>
      <c r="U53" s="649">
        <f t="shared" si="90"/>
        <v>0.32742668966598715</v>
      </c>
      <c r="V53" s="649">
        <f>+V51/V50</f>
        <v>0.34511117879987818</v>
      </c>
      <c r="W53" s="649">
        <f>+W51/W50</f>
        <v>0.28817763080193692</v>
      </c>
      <c r="X53" s="649">
        <f t="shared" ref="X53:AA53" si="91">+X51/X50</f>
        <v>0.24828897338403041</v>
      </c>
      <c r="Y53" s="649">
        <f t="shared" si="91"/>
        <v>0.25569541246229066</v>
      </c>
      <c r="Z53" s="649">
        <f t="shared" si="91"/>
        <v>0.27697441601779754</v>
      </c>
      <c r="AA53" s="649">
        <f t="shared" si="91"/>
        <v>0.26952708308640511</v>
      </c>
      <c r="AB53" s="809">
        <v>0.28579081291013791</v>
      </c>
      <c r="AC53" s="809">
        <v>0.28886327618498775</v>
      </c>
      <c r="AD53" s="843">
        <v>0.2930755343311397</v>
      </c>
      <c r="AE53" s="648">
        <f t="shared" ref="AE53:AF53" si="92">AE51/AE50</f>
        <v>0.33738445737761041</v>
      </c>
      <c r="AF53" s="648">
        <f t="shared" si="92"/>
        <v>0.31333333333333335</v>
      </c>
      <c r="AG53" s="648">
        <v>0.28503665373005604</v>
      </c>
      <c r="AH53" s="648">
        <v>0.29900781719783526</v>
      </c>
      <c r="AI53" s="648">
        <v>0.28503665373005604</v>
      </c>
      <c r="AJ53" s="648">
        <v>0.32257657884785074</v>
      </c>
      <c r="AK53" s="648">
        <v>0.28110149872060436</v>
      </c>
      <c r="AL53" s="648">
        <v>0.26415480700317395</v>
      </c>
      <c r="AM53" s="648">
        <v>0.24479648473635524</v>
      </c>
      <c r="AN53" s="648">
        <v>0.27621227292232869</v>
      </c>
      <c r="AO53" s="648">
        <v>0.1982013754187974</v>
      </c>
      <c r="AP53" s="648">
        <f t="shared" ref="AP53" si="93">AP51/AP50</f>
        <v>0.18595187544232131</v>
      </c>
      <c r="AQ53" s="854">
        <f>AQ51/AQ50</f>
        <v>0.2751450392459136</v>
      </c>
    </row>
    <row r="54" spans="1:43">
      <c r="A54" s="866">
        <f t="shared" si="3"/>
        <v>0</v>
      </c>
      <c r="B54" s="650"/>
      <c r="C54" s="75"/>
      <c r="D54" s="651"/>
      <c r="E54" s="650"/>
      <c r="F54" s="75"/>
      <c r="G54" s="75"/>
      <c r="H54" s="75"/>
      <c r="I54" s="136"/>
      <c r="J54" s="136"/>
      <c r="K54" s="136"/>
      <c r="L54" s="136"/>
      <c r="M54" s="136"/>
      <c r="N54" s="136"/>
      <c r="O54" s="136"/>
      <c r="P54" s="136"/>
      <c r="Q54" s="652"/>
      <c r="R54" s="650"/>
      <c r="S54" s="75"/>
      <c r="T54" s="75"/>
      <c r="U54" s="75"/>
      <c r="V54" s="75"/>
      <c r="W54" s="75"/>
      <c r="X54" s="75"/>
      <c r="Y54" s="75"/>
      <c r="Z54" s="75"/>
      <c r="AA54" s="75"/>
      <c r="AB54" s="75"/>
      <c r="AC54" s="829"/>
      <c r="AD54" s="844"/>
      <c r="AE54" s="403"/>
      <c r="AF54" s="403"/>
      <c r="AG54" s="403"/>
      <c r="AH54" s="403"/>
      <c r="AI54" s="403"/>
      <c r="AJ54" s="403"/>
      <c r="AK54" s="403"/>
      <c r="AL54" s="403"/>
      <c r="AM54" s="403"/>
      <c r="AN54" s="403"/>
      <c r="AO54" s="403"/>
      <c r="AP54" s="403"/>
      <c r="AQ54" s="855"/>
    </row>
    <row r="55" spans="1:43">
      <c r="A55" s="866" t="str">
        <f>B55</f>
        <v>COG</v>
      </c>
      <c r="B55" s="948" t="s">
        <v>135</v>
      </c>
      <c r="C55" s="691"/>
      <c r="D55" s="640" t="s">
        <v>452</v>
      </c>
      <c r="E55" s="653">
        <v>85</v>
      </c>
      <c r="F55" s="654">
        <v>68</v>
      </c>
      <c r="G55" s="654">
        <v>67</v>
      </c>
      <c r="H55" s="655">
        <v>92</v>
      </c>
      <c r="I55" s="655">
        <v>109</v>
      </c>
      <c r="J55" s="655">
        <v>173</v>
      </c>
      <c r="K55" s="754">
        <v>159</v>
      </c>
      <c r="L55" s="754">
        <v>158</v>
      </c>
      <c r="M55" s="754">
        <v>195</v>
      </c>
      <c r="N55" s="754">
        <v>171</v>
      </c>
      <c r="O55" s="656">
        <v>150</v>
      </c>
      <c r="P55" s="657">
        <v>117</v>
      </c>
      <c r="Q55" s="621">
        <f>+E55+F55+G55+H55+I55+J55+K55+L55+M55+N55+O55</f>
        <v>1427</v>
      </c>
      <c r="R55" s="658">
        <v>72</v>
      </c>
      <c r="S55" s="659">
        <v>78</v>
      </c>
      <c r="T55" s="659">
        <v>177</v>
      </c>
      <c r="U55" s="660">
        <v>111</v>
      </c>
      <c r="V55" s="660">
        <v>122</v>
      </c>
      <c r="W55" s="660">
        <v>141</v>
      </c>
      <c r="X55" s="759">
        <v>116</v>
      </c>
      <c r="Y55" s="759">
        <v>209</v>
      </c>
      <c r="Z55" s="759">
        <v>161</v>
      </c>
      <c r="AA55" s="759">
        <v>148</v>
      </c>
      <c r="AB55" s="759">
        <v>109</v>
      </c>
      <c r="AC55" s="759">
        <v>97</v>
      </c>
      <c r="AD55" s="841">
        <v>1541</v>
      </c>
      <c r="AE55" s="659">
        <v>86</v>
      </c>
      <c r="AF55" s="659">
        <v>71</v>
      </c>
      <c r="AG55" s="659">
        <v>100</v>
      </c>
      <c r="AH55" s="659">
        <v>54</v>
      </c>
      <c r="AI55" s="659">
        <v>100</v>
      </c>
      <c r="AJ55" s="659">
        <v>103</v>
      </c>
      <c r="AK55" s="659">
        <v>119</v>
      </c>
      <c r="AL55" s="659">
        <v>145</v>
      </c>
      <c r="AM55" s="659">
        <v>141</v>
      </c>
      <c r="AN55" s="659">
        <v>188</v>
      </c>
      <c r="AO55" s="659">
        <v>133</v>
      </c>
      <c r="AP55" s="659">
        <f>VLOOKUP($A55,[1]Toute_Prod!$G:$I,3,0)</f>
        <v>113</v>
      </c>
      <c r="AQ55" s="853">
        <f>AE55+AF55+AG55+AH55+AI55+AJ55+AK55+AL55+AM55+AN55+AO55+AP55</f>
        <v>1353</v>
      </c>
    </row>
    <row r="56" spans="1:43">
      <c r="A56" s="866" t="str">
        <f>A55</f>
        <v>COG</v>
      </c>
      <c r="B56" s="948"/>
      <c r="C56" s="691"/>
      <c r="D56" s="628" t="s">
        <v>453</v>
      </c>
      <c r="E56" s="629">
        <v>69</v>
      </c>
      <c r="F56" s="630">
        <v>49</v>
      </c>
      <c r="G56" s="630">
        <v>49</v>
      </c>
      <c r="H56" s="630">
        <v>73</v>
      </c>
      <c r="I56" s="630">
        <v>72</v>
      </c>
      <c r="J56" s="630">
        <v>101</v>
      </c>
      <c r="K56" s="755">
        <v>80</v>
      </c>
      <c r="L56" s="755">
        <v>90</v>
      </c>
      <c r="M56" s="755">
        <v>109</v>
      </c>
      <c r="N56" s="755">
        <v>101</v>
      </c>
      <c r="O56" s="631">
        <v>84</v>
      </c>
      <c r="P56" s="631">
        <v>69</v>
      </c>
      <c r="Q56" s="621">
        <f t="shared" ref="Q56:Q57" si="94">+E56+F56+G56+H56+I56+J56+K56+L56+M56+N56+O56</f>
        <v>877</v>
      </c>
      <c r="R56" s="632">
        <v>55</v>
      </c>
      <c r="S56" s="633">
        <v>59</v>
      </c>
      <c r="T56" s="633">
        <v>115</v>
      </c>
      <c r="U56" s="633">
        <v>67</v>
      </c>
      <c r="V56" s="633">
        <v>78</v>
      </c>
      <c r="W56" s="633">
        <v>79</v>
      </c>
      <c r="X56" s="633">
        <v>59</v>
      </c>
      <c r="Y56" s="633">
        <v>120</v>
      </c>
      <c r="Z56" s="771">
        <v>82</v>
      </c>
      <c r="AA56" s="771">
        <v>78</v>
      </c>
      <c r="AB56" s="771">
        <v>68</v>
      </c>
      <c r="AC56" s="837">
        <v>59</v>
      </c>
      <c r="AD56" s="841">
        <v>919</v>
      </c>
      <c r="AE56" s="842">
        <v>51</v>
      </c>
      <c r="AF56" s="842">
        <v>44</v>
      </c>
      <c r="AG56" s="842">
        <v>53</v>
      </c>
      <c r="AH56" s="842">
        <v>37</v>
      </c>
      <c r="AI56" s="842">
        <v>53</v>
      </c>
      <c r="AJ56" s="842">
        <v>56</v>
      </c>
      <c r="AK56" s="842">
        <v>75</v>
      </c>
      <c r="AL56" s="842">
        <v>75</v>
      </c>
      <c r="AM56" s="842">
        <v>67</v>
      </c>
      <c r="AN56" s="842">
        <v>90</v>
      </c>
      <c r="AO56" s="842">
        <v>66</v>
      </c>
      <c r="AP56" s="842">
        <f>VLOOKUP($A55,[1]Nouveau_PPO!$G:$I,3,0)</f>
        <v>57</v>
      </c>
      <c r="AQ56" s="853">
        <f>AE56+AF56+AG56+AH56+AI56+AJ56+AK56+AL56+AM56+AN56+AO56+AP56</f>
        <v>724</v>
      </c>
    </row>
    <row r="57" spans="1:43">
      <c r="A57" s="866">
        <f t="shared" si="3"/>
        <v>0</v>
      </c>
      <c r="B57" s="948"/>
      <c r="C57" s="691"/>
      <c r="D57" s="634" t="s">
        <v>456</v>
      </c>
      <c r="E57" s="635">
        <f t="shared" ref="E57:W57" si="95">E55-E56</f>
        <v>16</v>
      </c>
      <c r="F57" s="636">
        <f t="shared" si="95"/>
        <v>19</v>
      </c>
      <c r="G57" s="636">
        <f t="shared" si="95"/>
        <v>18</v>
      </c>
      <c r="H57" s="636">
        <f t="shared" si="95"/>
        <v>19</v>
      </c>
      <c r="I57" s="636">
        <f t="shared" si="95"/>
        <v>37</v>
      </c>
      <c r="J57" s="636">
        <v>72</v>
      </c>
      <c r="K57" s="756">
        <v>79</v>
      </c>
      <c r="L57" s="756">
        <f>L55-L56</f>
        <v>68</v>
      </c>
      <c r="M57" s="756">
        <f t="shared" si="95"/>
        <v>86</v>
      </c>
      <c r="N57" s="756">
        <f t="shared" si="95"/>
        <v>70</v>
      </c>
      <c r="O57" s="637">
        <f t="shared" si="95"/>
        <v>66</v>
      </c>
      <c r="P57" s="637">
        <f t="shared" si="95"/>
        <v>48</v>
      </c>
      <c r="Q57" s="621">
        <f t="shared" si="94"/>
        <v>550</v>
      </c>
      <c r="R57" s="638">
        <f t="shared" si="95"/>
        <v>17</v>
      </c>
      <c r="S57" s="639">
        <f t="shared" si="95"/>
        <v>19</v>
      </c>
      <c r="T57" s="639">
        <f t="shared" si="95"/>
        <v>62</v>
      </c>
      <c r="U57" s="639">
        <f t="shared" si="95"/>
        <v>44</v>
      </c>
      <c r="V57" s="639">
        <f t="shared" si="95"/>
        <v>44</v>
      </c>
      <c r="W57" s="639">
        <f t="shared" si="95"/>
        <v>62</v>
      </c>
      <c r="X57" s="639">
        <f t="shared" ref="X57:AA57" si="96">X55-X56</f>
        <v>57</v>
      </c>
      <c r="Y57" s="639">
        <f t="shared" si="96"/>
        <v>89</v>
      </c>
      <c r="Z57" s="639">
        <f t="shared" si="96"/>
        <v>79</v>
      </c>
      <c r="AA57" s="639">
        <f t="shared" si="96"/>
        <v>70</v>
      </c>
      <c r="AB57" s="808">
        <v>41</v>
      </c>
      <c r="AC57" s="808">
        <v>38</v>
      </c>
      <c r="AD57" s="841">
        <v>622</v>
      </c>
      <c r="AE57" s="842">
        <f t="shared" ref="AE57:AF57" si="97">AE55-AE56</f>
        <v>35</v>
      </c>
      <c r="AF57" s="842">
        <f t="shared" si="97"/>
        <v>27</v>
      </c>
      <c r="AG57" s="842">
        <v>47</v>
      </c>
      <c r="AH57" s="842">
        <v>17</v>
      </c>
      <c r="AI57" s="842">
        <v>47</v>
      </c>
      <c r="AJ57" s="842">
        <v>47</v>
      </c>
      <c r="AK57" s="842">
        <v>44</v>
      </c>
      <c r="AL57" s="842">
        <v>70</v>
      </c>
      <c r="AM57" s="842">
        <v>74</v>
      </c>
      <c r="AN57" s="842">
        <v>98</v>
      </c>
      <c r="AO57" s="842">
        <v>67</v>
      </c>
      <c r="AP57" s="842">
        <f>AP55-AP56</f>
        <v>56</v>
      </c>
      <c r="AQ57" s="853">
        <f>AE57+AF57+AG57+AH57+AI57+AJ57+AK57+AL57+AM57+AN57</f>
        <v>506</v>
      </c>
    </row>
    <row r="58" spans="1:43">
      <c r="A58" s="866">
        <f t="shared" si="3"/>
        <v>0</v>
      </c>
      <c r="B58" s="948"/>
      <c r="C58" s="691"/>
      <c r="D58" s="640" t="s">
        <v>455</v>
      </c>
      <c r="E58" s="641">
        <f t="shared" ref="E58:U58" si="98">E56/E55</f>
        <v>0.81176470588235294</v>
      </c>
      <c r="F58" s="642">
        <f t="shared" si="98"/>
        <v>0.72058823529411764</v>
      </c>
      <c r="G58" s="642">
        <f t="shared" si="98"/>
        <v>0.73134328358208955</v>
      </c>
      <c r="H58" s="643">
        <f t="shared" si="98"/>
        <v>0.79347826086956519</v>
      </c>
      <c r="I58" s="643">
        <f t="shared" si="98"/>
        <v>0.66055045871559637</v>
      </c>
      <c r="J58" s="643">
        <v>0.58381502890173409</v>
      </c>
      <c r="K58" s="757">
        <v>0.50314465408805031</v>
      </c>
      <c r="L58" s="757">
        <f>L56/L55</f>
        <v>0.569620253164557</v>
      </c>
      <c r="M58" s="757">
        <f t="shared" si="98"/>
        <v>0.55897435897435899</v>
      </c>
      <c r="N58" s="757">
        <f t="shared" si="98"/>
        <v>0.59064327485380119</v>
      </c>
      <c r="O58" s="645">
        <f t="shared" si="98"/>
        <v>0.56000000000000005</v>
      </c>
      <c r="P58" s="646">
        <f t="shared" si="98"/>
        <v>0.58974358974358976</v>
      </c>
      <c r="Q58" s="644">
        <f>+Q56/Q55</f>
        <v>0.61457603363700075</v>
      </c>
      <c r="R58" s="647">
        <f t="shared" si="98"/>
        <v>0.76388888888888884</v>
      </c>
      <c r="S58" s="648">
        <f t="shared" si="98"/>
        <v>0.75641025641025639</v>
      </c>
      <c r="T58" s="648">
        <f t="shared" si="98"/>
        <v>0.64971751412429379</v>
      </c>
      <c r="U58" s="649">
        <f t="shared" si="98"/>
        <v>0.60360360360360366</v>
      </c>
      <c r="V58" s="649">
        <f>+V56/V55</f>
        <v>0.63934426229508201</v>
      </c>
      <c r="W58" s="649">
        <f>+W56/W55</f>
        <v>0.56028368794326244</v>
      </c>
      <c r="X58" s="649">
        <f t="shared" ref="X58:AA58" si="99">+X56/X55</f>
        <v>0.50862068965517238</v>
      </c>
      <c r="Y58" s="649">
        <f t="shared" si="99"/>
        <v>0.57416267942583732</v>
      </c>
      <c r="Z58" s="649">
        <f t="shared" si="99"/>
        <v>0.50931677018633537</v>
      </c>
      <c r="AA58" s="649">
        <f t="shared" si="99"/>
        <v>0.52702702702702697</v>
      </c>
      <c r="AB58" s="809">
        <v>0.62385321100917435</v>
      </c>
      <c r="AC58" s="809">
        <v>0.60824742268041232</v>
      </c>
      <c r="AD58" s="843">
        <v>0.59636599610642438</v>
      </c>
      <c r="AE58" s="648">
        <f t="shared" ref="AE58:AF58" si="100">AE56/AE55</f>
        <v>0.59302325581395354</v>
      </c>
      <c r="AF58" s="648">
        <f t="shared" si="100"/>
        <v>0.61971830985915488</v>
      </c>
      <c r="AG58" s="648">
        <v>0.53</v>
      </c>
      <c r="AH58" s="648">
        <v>0.68518518518518523</v>
      </c>
      <c r="AI58" s="648">
        <v>0.53</v>
      </c>
      <c r="AJ58" s="648">
        <v>0.5436893203883495</v>
      </c>
      <c r="AK58" s="648">
        <v>0.63025210084033612</v>
      </c>
      <c r="AL58" s="648">
        <v>0.51724137931034486</v>
      </c>
      <c r="AM58" s="648">
        <v>0.47517730496453903</v>
      </c>
      <c r="AN58" s="648">
        <v>0.47872340425531917</v>
      </c>
      <c r="AO58" s="648">
        <v>0.49624060150375937</v>
      </c>
      <c r="AP58" s="648">
        <f t="shared" ref="AP58" si="101">AP56/AP55</f>
        <v>0.50442477876106195</v>
      </c>
      <c r="AQ58" s="854">
        <f>AQ56/AQ55</f>
        <v>0.53510716925351076</v>
      </c>
    </row>
    <row r="59" spans="1:43">
      <c r="A59" s="866">
        <f t="shared" si="3"/>
        <v>0</v>
      </c>
      <c r="B59" s="650"/>
      <c r="C59" s="75"/>
      <c r="D59" s="651"/>
      <c r="E59" s="650"/>
      <c r="F59" s="75"/>
      <c r="G59" s="75"/>
      <c r="H59" s="75"/>
      <c r="I59" s="136"/>
      <c r="J59" s="136"/>
      <c r="K59" s="136"/>
      <c r="L59" s="136"/>
      <c r="M59" s="136"/>
      <c r="N59" s="136"/>
      <c r="O59" s="136"/>
      <c r="P59" s="136"/>
      <c r="Q59" s="652"/>
      <c r="R59" s="650"/>
      <c r="S59" s="75"/>
      <c r="T59" s="75"/>
      <c r="U59" s="75"/>
      <c r="V59" s="75"/>
      <c r="W59" s="75"/>
      <c r="X59" s="75"/>
      <c r="Y59" s="75"/>
      <c r="Z59" s="75"/>
      <c r="AA59" s="75"/>
      <c r="AB59" s="75"/>
      <c r="AC59" s="829"/>
      <c r="AD59" s="844"/>
      <c r="AE59" s="403"/>
      <c r="AF59" s="403"/>
      <c r="AG59" s="403"/>
      <c r="AH59" s="403"/>
      <c r="AI59" s="403"/>
      <c r="AJ59" s="403"/>
      <c r="AK59" s="403"/>
      <c r="AL59" s="403"/>
      <c r="AM59" s="403"/>
      <c r="AN59" s="403"/>
      <c r="AO59" s="403"/>
      <c r="AP59" s="403"/>
      <c r="AQ59" s="855"/>
    </row>
    <row r="60" spans="1:43">
      <c r="A60" s="866" t="str">
        <f>B60</f>
        <v>TCD</v>
      </c>
      <c r="B60" s="948" t="s">
        <v>140</v>
      </c>
      <c r="C60" s="692"/>
      <c r="D60" s="640" t="s">
        <v>452</v>
      </c>
      <c r="E60" s="653">
        <v>347</v>
      </c>
      <c r="F60" s="654">
        <v>373</v>
      </c>
      <c r="G60" s="654">
        <v>546</v>
      </c>
      <c r="H60" s="655">
        <v>302</v>
      </c>
      <c r="I60" s="655">
        <v>416</v>
      </c>
      <c r="J60" s="655">
        <v>579</v>
      </c>
      <c r="K60" s="754">
        <v>628</v>
      </c>
      <c r="L60" s="754">
        <v>2615</v>
      </c>
      <c r="M60" s="754">
        <v>2090</v>
      </c>
      <c r="N60" s="754">
        <v>1080</v>
      </c>
      <c r="O60" s="656">
        <v>721</v>
      </c>
      <c r="P60" s="657">
        <v>509</v>
      </c>
      <c r="Q60" s="621">
        <f>+E60+F60+G60+H60+I60+J60+K60+L60+M60+N60+O60</f>
        <v>9697</v>
      </c>
      <c r="R60" s="658">
        <v>347</v>
      </c>
      <c r="S60" s="659">
        <v>361</v>
      </c>
      <c r="T60" s="659">
        <v>504</v>
      </c>
      <c r="U60" s="660">
        <v>409</v>
      </c>
      <c r="V60" s="660">
        <v>485</v>
      </c>
      <c r="W60" s="660">
        <v>547</v>
      </c>
      <c r="X60" s="759">
        <v>437</v>
      </c>
      <c r="Y60" s="759">
        <v>1050</v>
      </c>
      <c r="Z60" s="759">
        <v>2336</v>
      </c>
      <c r="AA60" s="759">
        <v>1088</v>
      </c>
      <c r="AB60" s="759">
        <v>644</v>
      </c>
      <c r="AC60" s="759">
        <v>413</v>
      </c>
      <c r="AD60" s="841">
        <v>8621</v>
      </c>
      <c r="AE60" s="659">
        <v>259</v>
      </c>
      <c r="AF60" s="659">
        <v>444</v>
      </c>
      <c r="AG60" s="659">
        <v>461</v>
      </c>
      <c r="AH60" s="659">
        <v>386</v>
      </c>
      <c r="AI60" s="659">
        <v>461</v>
      </c>
      <c r="AJ60" s="659">
        <v>506</v>
      </c>
      <c r="AK60" s="659">
        <v>564</v>
      </c>
      <c r="AL60" s="659">
        <v>552</v>
      </c>
      <c r="AM60" s="659">
        <v>695</v>
      </c>
      <c r="AN60" s="659">
        <v>1003</v>
      </c>
      <c r="AO60" s="659">
        <v>666</v>
      </c>
      <c r="AP60" s="659">
        <f>VLOOKUP($A60,[1]Toute_Prod!$G:$I,3,0)</f>
        <v>800</v>
      </c>
      <c r="AQ60" s="853">
        <f>AE60+AF60+AG60+AH60+AI60+AJ60+AK60+AL60+AM60+AN60+AO60+AP60</f>
        <v>6797</v>
      </c>
    </row>
    <row r="61" spans="1:43">
      <c r="A61" s="866" t="str">
        <f>A60</f>
        <v>TCD</v>
      </c>
      <c r="B61" s="948"/>
      <c r="C61" s="691"/>
      <c r="D61" s="628" t="s">
        <v>453</v>
      </c>
      <c r="E61" s="629">
        <v>244</v>
      </c>
      <c r="F61" s="630">
        <v>247</v>
      </c>
      <c r="G61" s="630">
        <v>318</v>
      </c>
      <c r="H61" s="630">
        <v>144</v>
      </c>
      <c r="I61" s="630">
        <v>235</v>
      </c>
      <c r="J61" s="630">
        <v>352</v>
      </c>
      <c r="K61" s="755">
        <v>407</v>
      </c>
      <c r="L61" s="755">
        <v>1039</v>
      </c>
      <c r="M61" s="755">
        <v>1056</v>
      </c>
      <c r="N61" s="755">
        <v>665</v>
      </c>
      <c r="O61" s="631">
        <v>473</v>
      </c>
      <c r="P61" s="631">
        <v>325</v>
      </c>
      <c r="Q61" s="621">
        <f t="shared" ref="Q61:Q62" si="102">+E61+F61+G61+H61+I61+J61+K61+L61+M61+N61+O61</f>
        <v>5180</v>
      </c>
      <c r="R61" s="632">
        <v>209</v>
      </c>
      <c r="S61" s="633">
        <v>211</v>
      </c>
      <c r="T61" s="633">
        <v>270</v>
      </c>
      <c r="U61" s="633">
        <v>205</v>
      </c>
      <c r="V61" s="633">
        <v>255</v>
      </c>
      <c r="W61" s="633">
        <v>307</v>
      </c>
      <c r="X61" s="633">
        <v>252</v>
      </c>
      <c r="Y61" s="633">
        <v>498</v>
      </c>
      <c r="Z61" s="771">
        <v>902</v>
      </c>
      <c r="AA61" s="771">
        <v>538</v>
      </c>
      <c r="AB61" s="771">
        <v>365</v>
      </c>
      <c r="AC61" s="837">
        <v>268</v>
      </c>
      <c r="AD61" s="841">
        <v>4280</v>
      </c>
      <c r="AE61" s="842">
        <v>149</v>
      </c>
      <c r="AF61" s="842">
        <v>207</v>
      </c>
      <c r="AG61" s="842">
        <v>217</v>
      </c>
      <c r="AH61" s="842">
        <v>185</v>
      </c>
      <c r="AI61" s="842">
        <v>217</v>
      </c>
      <c r="AJ61" s="842">
        <v>230</v>
      </c>
      <c r="AK61" s="842">
        <v>290</v>
      </c>
      <c r="AL61" s="842">
        <v>281</v>
      </c>
      <c r="AM61" s="842">
        <v>379</v>
      </c>
      <c r="AN61" s="842">
        <v>559</v>
      </c>
      <c r="AO61" s="842">
        <v>361</v>
      </c>
      <c r="AP61" s="842">
        <f>VLOOKUP($A60,[1]Nouveau_PPO!$G:$I,3,0)</f>
        <v>346</v>
      </c>
      <c r="AQ61" s="853">
        <f>AE61+AF61+AG61+AH61+AI61+AJ61+AK61+AL61+AM61+AN61+AO61+AP61</f>
        <v>3421</v>
      </c>
    </row>
    <row r="62" spans="1:43">
      <c r="A62" s="866">
        <f t="shared" si="3"/>
        <v>0</v>
      </c>
      <c r="B62" s="948"/>
      <c r="C62" s="691"/>
      <c r="D62" s="634" t="s">
        <v>456</v>
      </c>
      <c r="E62" s="635">
        <f t="shared" ref="E62:W62" si="103">E60-E61</f>
        <v>103</v>
      </c>
      <c r="F62" s="636">
        <f t="shared" si="103"/>
        <v>126</v>
      </c>
      <c r="G62" s="636">
        <f t="shared" si="103"/>
        <v>228</v>
      </c>
      <c r="H62" s="636">
        <f t="shared" si="103"/>
        <v>158</v>
      </c>
      <c r="I62" s="636">
        <f t="shared" si="103"/>
        <v>181</v>
      </c>
      <c r="J62" s="636">
        <v>227</v>
      </c>
      <c r="K62" s="756">
        <v>221</v>
      </c>
      <c r="L62" s="756">
        <f>L60-L61</f>
        <v>1576</v>
      </c>
      <c r="M62" s="756">
        <f t="shared" si="103"/>
        <v>1034</v>
      </c>
      <c r="N62" s="756">
        <f t="shared" si="103"/>
        <v>415</v>
      </c>
      <c r="O62" s="637">
        <f t="shared" si="103"/>
        <v>248</v>
      </c>
      <c r="P62" s="637">
        <f t="shared" si="103"/>
        <v>184</v>
      </c>
      <c r="Q62" s="621">
        <f t="shared" si="102"/>
        <v>4517</v>
      </c>
      <c r="R62" s="638">
        <f t="shared" si="103"/>
        <v>138</v>
      </c>
      <c r="S62" s="639">
        <f t="shared" si="103"/>
        <v>150</v>
      </c>
      <c r="T62" s="639">
        <f t="shared" si="103"/>
        <v>234</v>
      </c>
      <c r="U62" s="639">
        <f t="shared" si="103"/>
        <v>204</v>
      </c>
      <c r="V62" s="639">
        <f t="shared" si="103"/>
        <v>230</v>
      </c>
      <c r="W62" s="639">
        <f t="shared" si="103"/>
        <v>240</v>
      </c>
      <c r="X62" s="639">
        <f t="shared" ref="X62:AA62" si="104">X60-X61</f>
        <v>185</v>
      </c>
      <c r="Y62" s="639">
        <f t="shared" si="104"/>
        <v>552</v>
      </c>
      <c r="Z62" s="639">
        <f t="shared" si="104"/>
        <v>1434</v>
      </c>
      <c r="AA62" s="639">
        <f t="shared" si="104"/>
        <v>550</v>
      </c>
      <c r="AB62" s="808">
        <v>279</v>
      </c>
      <c r="AC62" s="808">
        <v>145</v>
      </c>
      <c r="AD62" s="841">
        <v>4341</v>
      </c>
      <c r="AE62" s="842">
        <f t="shared" ref="AE62:AF62" si="105">AE60-AE61</f>
        <v>110</v>
      </c>
      <c r="AF62" s="842">
        <f t="shared" si="105"/>
        <v>237</v>
      </c>
      <c r="AG62" s="842">
        <v>244</v>
      </c>
      <c r="AH62" s="842">
        <v>201</v>
      </c>
      <c r="AI62" s="842">
        <v>244</v>
      </c>
      <c r="AJ62" s="842">
        <v>276</v>
      </c>
      <c r="AK62" s="842">
        <v>274</v>
      </c>
      <c r="AL62" s="842">
        <v>271</v>
      </c>
      <c r="AM62" s="842">
        <v>316</v>
      </c>
      <c r="AN62" s="842">
        <v>444</v>
      </c>
      <c r="AO62" s="842">
        <v>305</v>
      </c>
      <c r="AP62" s="842">
        <f>AP60-AP61</f>
        <v>454</v>
      </c>
      <c r="AQ62" s="853">
        <f>AE62+AF62+AG62+AH62+AI62+AJ62+AK62+AL62+AM62+AN62</f>
        <v>2617</v>
      </c>
    </row>
    <row r="63" spans="1:43" ht="15" thickBot="1">
      <c r="A63" s="866">
        <f t="shared" si="3"/>
        <v>0</v>
      </c>
      <c r="B63" s="948"/>
      <c r="C63" s="693"/>
      <c r="D63" s="640" t="s">
        <v>455</v>
      </c>
      <c r="E63" s="662">
        <f t="shared" ref="E63:U63" si="106">E61/E60</f>
        <v>0.70317002881844382</v>
      </c>
      <c r="F63" s="663">
        <f t="shared" si="106"/>
        <v>0.66219839142091153</v>
      </c>
      <c r="G63" s="663">
        <f t="shared" si="106"/>
        <v>0.58241758241758246</v>
      </c>
      <c r="H63" s="664">
        <f t="shared" si="106"/>
        <v>0.47682119205298013</v>
      </c>
      <c r="I63" s="664">
        <f t="shared" si="106"/>
        <v>0.56490384615384615</v>
      </c>
      <c r="J63" s="664">
        <v>0.60794473229706392</v>
      </c>
      <c r="K63" s="758">
        <v>0.64808917197452232</v>
      </c>
      <c r="L63" s="758">
        <f>L61/L60</f>
        <v>0.39732313575525813</v>
      </c>
      <c r="M63" s="758">
        <f t="shared" si="106"/>
        <v>0.50526315789473686</v>
      </c>
      <c r="N63" s="758">
        <f t="shared" si="106"/>
        <v>0.6157407407407407</v>
      </c>
      <c r="O63" s="665">
        <f t="shared" si="106"/>
        <v>0.65603328710124831</v>
      </c>
      <c r="P63" s="666">
        <f t="shared" si="106"/>
        <v>0.63850687622789781</v>
      </c>
      <c r="Q63" s="644">
        <f>+Q61/Q60</f>
        <v>0.53418583066927916</v>
      </c>
      <c r="R63" s="667">
        <f t="shared" si="106"/>
        <v>0.60230547550432278</v>
      </c>
      <c r="S63" s="668">
        <f t="shared" si="106"/>
        <v>0.58448753462603875</v>
      </c>
      <c r="T63" s="668">
        <f t="shared" si="106"/>
        <v>0.5357142857142857</v>
      </c>
      <c r="U63" s="669">
        <f t="shared" si="106"/>
        <v>0.5012224938875306</v>
      </c>
      <c r="V63" s="669">
        <f>+V61/V60</f>
        <v>0.52577319587628868</v>
      </c>
      <c r="W63" s="669">
        <f>+W61/W60</f>
        <v>0.56124314442413159</v>
      </c>
      <c r="X63" s="669">
        <f t="shared" ref="X63:AA63" si="107">+X61/X60</f>
        <v>0.57665903890160186</v>
      </c>
      <c r="Y63" s="669">
        <f t="shared" si="107"/>
        <v>0.47428571428571431</v>
      </c>
      <c r="Z63" s="669">
        <f t="shared" si="107"/>
        <v>0.38613013698630139</v>
      </c>
      <c r="AA63" s="669">
        <f t="shared" si="107"/>
        <v>0.49448529411764708</v>
      </c>
      <c r="AB63" s="810">
        <v>0.56677018633540377</v>
      </c>
      <c r="AC63" s="810">
        <v>0.64891041162227603</v>
      </c>
      <c r="AD63" s="843">
        <v>0.49646212736341494</v>
      </c>
      <c r="AE63" s="648">
        <f t="shared" ref="AE63:AF63" si="108">AE61/AE60</f>
        <v>0.57528957528957525</v>
      </c>
      <c r="AF63" s="648">
        <f t="shared" si="108"/>
        <v>0.46621621621621623</v>
      </c>
      <c r="AG63" s="648">
        <v>0.47071583514099785</v>
      </c>
      <c r="AH63" s="648">
        <v>0.47927461139896371</v>
      </c>
      <c r="AI63" s="648">
        <v>0.47071583514099785</v>
      </c>
      <c r="AJ63" s="648">
        <v>0.45454545454545453</v>
      </c>
      <c r="AK63" s="648">
        <v>0.51418439716312059</v>
      </c>
      <c r="AL63" s="648">
        <v>0.50905797101449279</v>
      </c>
      <c r="AM63" s="648">
        <v>0.54532374100719427</v>
      </c>
      <c r="AN63" s="648">
        <v>0.55732801595214354</v>
      </c>
      <c r="AO63" s="648">
        <v>0.54204204204204209</v>
      </c>
      <c r="AP63" s="648">
        <f t="shared" ref="AP63" si="109">AP61/AP60</f>
        <v>0.4325</v>
      </c>
      <c r="AQ63" s="854">
        <f>AQ61/AQ60</f>
        <v>0.50331028394880095</v>
      </c>
    </row>
    <row r="64" spans="1:43" ht="15" thickTop="1">
      <c r="A64" s="866">
        <f t="shared" si="3"/>
        <v>0</v>
      </c>
      <c r="B64" s="650"/>
      <c r="C64" s="75"/>
      <c r="D64" s="651"/>
      <c r="E64" s="650"/>
      <c r="F64" s="75"/>
      <c r="G64" s="75"/>
      <c r="H64" s="75"/>
      <c r="I64" s="136"/>
      <c r="J64" s="136"/>
      <c r="K64" s="136"/>
      <c r="L64" s="136"/>
      <c r="M64" s="136"/>
      <c r="N64" s="136"/>
      <c r="O64" s="136"/>
      <c r="P64" s="136"/>
      <c r="Q64" s="652"/>
      <c r="R64" s="650"/>
      <c r="S64" s="75"/>
      <c r="T64" s="75"/>
      <c r="U64" s="75"/>
      <c r="V64" s="75"/>
      <c r="W64" s="75"/>
      <c r="X64" s="75"/>
      <c r="Y64" s="75"/>
      <c r="Z64" s="75"/>
      <c r="AA64" s="75"/>
      <c r="AB64" s="75"/>
      <c r="AC64" s="829"/>
      <c r="AD64" s="844"/>
      <c r="AE64" s="403"/>
      <c r="AF64" s="403"/>
      <c r="AG64" s="403"/>
      <c r="AH64" s="403"/>
      <c r="AI64" s="403"/>
      <c r="AJ64" s="403"/>
      <c r="AK64" s="403"/>
      <c r="AL64" s="403"/>
      <c r="AM64" s="403"/>
      <c r="AN64" s="403"/>
      <c r="AO64" s="403"/>
      <c r="AP64" s="403"/>
      <c r="AQ64" s="855"/>
    </row>
    <row r="65" spans="1:43">
      <c r="A65" s="866" t="str">
        <f>B65</f>
        <v>AFCE</v>
      </c>
      <c r="B65" s="949" t="s">
        <v>142</v>
      </c>
      <c r="C65" s="670"/>
      <c r="D65" s="671" t="s">
        <v>452</v>
      </c>
      <c r="E65" s="653">
        <f>+E60+E55+E50+E45</f>
        <v>5676</v>
      </c>
      <c r="F65" s="654">
        <f t="shared" ref="F65:U66" si="110">+F60+F55+F50+F45</f>
        <v>7149</v>
      </c>
      <c r="G65" s="654">
        <f t="shared" si="110"/>
        <v>8536</v>
      </c>
      <c r="H65" s="655">
        <f t="shared" si="110"/>
        <v>8963</v>
      </c>
      <c r="I65" s="655">
        <f t="shared" si="110"/>
        <v>7319</v>
      </c>
      <c r="J65" s="655">
        <v>9327</v>
      </c>
      <c r="K65" s="754">
        <v>9867</v>
      </c>
      <c r="L65" s="754">
        <f>+L60+L55+L50+L45</f>
        <v>17929</v>
      </c>
      <c r="M65" s="754">
        <f t="shared" si="110"/>
        <v>16996</v>
      </c>
      <c r="N65" s="754">
        <f t="shared" si="110"/>
        <v>12276</v>
      </c>
      <c r="O65" s="656">
        <f t="shared" si="110"/>
        <v>9124</v>
      </c>
      <c r="P65" s="657">
        <f t="shared" si="110"/>
        <v>8521</v>
      </c>
      <c r="Q65" s="621">
        <f>+E65+F65+G65+H65+I65+J65+K65+L65+M65+N65+O65</f>
        <v>113162</v>
      </c>
      <c r="R65" s="658">
        <f t="shared" si="110"/>
        <v>5165</v>
      </c>
      <c r="S65" s="659">
        <f t="shared" si="110"/>
        <v>6187</v>
      </c>
      <c r="T65" s="659">
        <f t="shared" si="110"/>
        <v>8186</v>
      </c>
      <c r="U65" s="660">
        <f>+U60+U55+U50+U45</f>
        <v>8562</v>
      </c>
      <c r="V65" s="660">
        <f>+V60+V55+V50+V45</f>
        <v>8787</v>
      </c>
      <c r="W65" s="731">
        <f>+W60+W55+W50+W45</f>
        <v>11199</v>
      </c>
      <c r="X65" s="731">
        <f t="shared" ref="X65" si="111">+X60+X55+X50+X45</f>
        <v>12583</v>
      </c>
      <c r="Y65" s="731">
        <f t="shared" ref="Y65:AA66" si="112">+Y60+Y55+Y50+Y45</f>
        <v>13678</v>
      </c>
      <c r="Z65" s="731">
        <f t="shared" si="112"/>
        <v>15377</v>
      </c>
      <c r="AA65" s="731">
        <f t="shared" si="112"/>
        <v>11480</v>
      </c>
      <c r="AB65" s="811">
        <v>10044</v>
      </c>
      <c r="AC65" s="731">
        <f t="shared" ref="AC65:AC66" si="113">+AC60+AC55+AC50+AC45</f>
        <v>9101</v>
      </c>
      <c r="AD65" s="841">
        <v>120349</v>
      </c>
      <c r="AE65" s="846">
        <f t="shared" ref="AE65:AF65" si="114">+AE60+AE55+AE50+AE45</f>
        <v>8011</v>
      </c>
      <c r="AF65" s="846">
        <f t="shared" si="114"/>
        <v>7820</v>
      </c>
      <c r="AG65" s="846">
        <v>9602</v>
      </c>
      <c r="AH65" s="846">
        <v>8727</v>
      </c>
      <c r="AI65" s="846">
        <v>9602</v>
      </c>
      <c r="AJ65" s="846">
        <v>10662</v>
      </c>
      <c r="AK65" s="846">
        <v>13082</v>
      </c>
      <c r="AL65" s="846">
        <v>16965</v>
      </c>
      <c r="AM65" s="846">
        <v>15340</v>
      </c>
      <c r="AN65" s="846">
        <v>12729</v>
      </c>
      <c r="AO65" s="846">
        <v>10129</v>
      </c>
      <c r="AP65" s="846">
        <f t="shared" ref="AP65" si="115">+AP60+AP55+AP50+AP45</f>
        <v>8234</v>
      </c>
      <c r="AQ65" s="853">
        <f>AE65+AF65+AG65+AH65+AI65+AJ65+AK65+AL65+AM65+AN65+AO65+AP65</f>
        <v>130903</v>
      </c>
    </row>
    <row r="66" spans="1:43">
      <c r="A66" s="866" t="str">
        <f>A65</f>
        <v>AFCE</v>
      </c>
      <c r="B66" s="949"/>
      <c r="C66" s="670"/>
      <c r="D66" s="694" t="s">
        <v>453</v>
      </c>
      <c r="E66" s="629">
        <f>+E61+E56+E51+E46</f>
        <v>2501</v>
      </c>
      <c r="F66" s="630">
        <f t="shared" si="110"/>
        <v>2981</v>
      </c>
      <c r="G66" s="630">
        <f t="shared" si="110"/>
        <v>3252</v>
      </c>
      <c r="H66" s="630">
        <f t="shared" si="110"/>
        <v>3259</v>
      </c>
      <c r="I66" s="630">
        <f t="shared" si="110"/>
        <v>2890</v>
      </c>
      <c r="J66" s="630">
        <v>4061</v>
      </c>
      <c r="K66" s="755">
        <v>3800</v>
      </c>
      <c r="L66" s="755">
        <f>+L61+L56+L51+L46</f>
        <v>6151</v>
      </c>
      <c r="M66" s="755">
        <f t="shared" si="110"/>
        <v>6802</v>
      </c>
      <c r="N66" s="755">
        <f t="shared" si="110"/>
        <v>5378</v>
      </c>
      <c r="O66" s="631">
        <f>+O61+O56+O51+O46</f>
        <v>4021</v>
      </c>
      <c r="P66" s="631">
        <f t="shared" si="110"/>
        <v>3579</v>
      </c>
      <c r="Q66" s="621">
        <f t="shared" ref="Q66:Q67" si="116">+E66+F66+G66+H66+I66+J66+K66+L66+M66+N66+O66</f>
        <v>45096</v>
      </c>
      <c r="R66" s="632">
        <f t="shared" si="110"/>
        <v>2155</v>
      </c>
      <c r="S66" s="633">
        <f t="shared" si="110"/>
        <v>2504</v>
      </c>
      <c r="T66" s="633">
        <f t="shared" si="110"/>
        <v>2965</v>
      </c>
      <c r="U66" s="633">
        <f t="shared" si="110"/>
        <v>3057</v>
      </c>
      <c r="V66" s="633">
        <f>+V61+V56+V51+V46</f>
        <v>3256</v>
      </c>
      <c r="W66" s="732">
        <f>+W61+W56+W51+W46</f>
        <v>3696</v>
      </c>
      <c r="X66" s="732">
        <v>3670</v>
      </c>
      <c r="Y66" s="732">
        <f t="shared" si="112"/>
        <v>4000</v>
      </c>
      <c r="Z66" s="732">
        <f t="shared" si="112"/>
        <v>4839</v>
      </c>
      <c r="AA66" s="732">
        <f t="shared" si="112"/>
        <v>3681</v>
      </c>
      <c r="AB66" s="812">
        <v>3400</v>
      </c>
      <c r="AC66" s="732">
        <f t="shared" si="113"/>
        <v>3109</v>
      </c>
      <c r="AD66" s="841">
        <v>40332</v>
      </c>
      <c r="AE66" s="847">
        <f t="shared" ref="AE66:AF66" si="117">+AE61+AE56+AE51+AE46</f>
        <v>3076</v>
      </c>
      <c r="AF66" s="847">
        <f t="shared" si="117"/>
        <v>2751</v>
      </c>
      <c r="AG66" s="847">
        <v>3072</v>
      </c>
      <c r="AH66" s="847">
        <v>2854</v>
      </c>
      <c r="AI66" s="847">
        <v>3072</v>
      </c>
      <c r="AJ66" s="847">
        <v>3690</v>
      </c>
      <c r="AK66" s="847">
        <v>3944</v>
      </c>
      <c r="AL66" s="847">
        <v>5249</v>
      </c>
      <c r="AM66" s="847">
        <v>5034</v>
      </c>
      <c r="AN66" s="847">
        <v>4746</v>
      </c>
      <c r="AO66" s="847">
        <v>3305</v>
      </c>
      <c r="AP66" s="847">
        <f t="shared" ref="AP66" si="118">+AP61+AP56+AP51+AP46</f>
        <v>2219</v>
      </c>
      <c r="AQ66" s="853">
        <f>AE66+AF66+AG66+AH66+AI66+AJ66+AK66+AL66+AM66+AN66+AO66+AP66</f>
        <v>43012</v>
      </c>
    </row>
    <row r="67" spans="1:43">
      <c r="A67" s="866">
        <f t="shared" si="3"/>
        <v>0</v>
      </c>
      <c r="B67" s="949"/>
      <c r="C67" s="670"/>
      <c r="D67" s="694" t="s">
        <v>456</v>
      </c>
      <c r="E67" s="635">
        <f t="shared" ref="E67:W67" si="119">E65-E66</f>
        <v>3175</v>
      </c>
      <c r="F67" s="636">
        <f t="shared" si="119"/>
        <v>4168</v>
      </c>
      <c r="G67" s="636">
        <f t="shared" si="119"/>
        <v>5284</v>
      </c>
      <c r="H67" s="636">
        <f t="shared" si="119"/>
        <v>5704</v>
      </c>
      <c r="I67" s="636">
        <f t="shared" si="119"/>
        <v>4429</v>
      </c>
      <c r="J67" s="636">
        <v>5266</v>
      </c>
      <c r="K67" s="756">
        <v>6067</v>
      </c>
      <c r="L67" s="756">
        <f>L65-L66</f>
        <v>11778</v>
      </c>
      <c r="M67" s="756">
        <f t="shared" si="119"/>
        <v>10194</v>
      </c>
      <c r="N67" s="756">
        <f t="shared" si="119"/>
        <v>6898</v>
      </c>
      <c r="O67" s="637">
        <f t="shared" si="119"/>
        <v>5103</v>
      </c>
      <c r="P67" s="637">
        <f t="shared" si="119"/>
        <v>4942</v>
      </c>
      <c r="Q67" s="621">
        <f t="shared" si="116"/>
        <v>68066</v>
      </c>
      <c r="R67" s="638">
        <f t="shared" si="119"/>
        <v>3010</v>
      </c>
      <c r="S67" s="639">
        <f t="shared" si="119"/>
        <v>3683</v>
      </c>
      <c r="T67" s="639">
        <f t="shared" si="119"/>
        <v>5221</v>
      </c>
      <c r="U67" s="639">
        <f t="shared" si="119"/>
        <v>5505</v>
      </c>
      <c r="V67" s="639">
        <f t="shared" si="119"/>
        <v>5531</v>
      </c>
      <c r="W67" s="733">
        <f t="shared" si="119"/>
        <v>7503</v>
      </c>
      <c r="X67" s="733">
        <v>8913</v>
      </c>
      <c r="Y67" s="733">
        <f>Y65-Y66</f>
        <v>9678</v>
      </c>
      <c r="Z67" s="733">
        <f>Z65-Z66</f>
        <v>10538</v>
      </c>
      <c r="AA67" s="733">
        <f>AA65-AA66</f>
        <v>7799</v>
      </c>
      <c r="AB67" s="813">
        <v>6644</v>
      </c>
      <c r="AC67" s="733">
        <f t="shared" ref="AC67" si="120">AC65-AC66</f>
        <v>5992</v>
      </c>
      <c r="AD67" s="841">
        <v>80017</v>
      </c>
      <c r="AE67" s="847">
        <f t="shared" ref="AE67:AF67" si="121">AE65-AE66</f>
        <v>4935</v>
      </c>
      <c r="AF67" s="847">
        <f t="shared" si="121"/>
        <v>5069</v>
      </c>
      <c r="AG67" s="847">
        <v>6530</v>
      </c>
      <c r="AH67" s="847">
        <v>5873</v>
      </c>
      <c r="AI67" s="847">
        <v>6530</v>
      </c>
      <c r="AJ67" s="847">
        <v>6972</v>
      </c>
      <c r="AK67" s="847">
        <v>9138</v>
      </c>
      <c r="AL67" s="847">
        <v>11716</v>
      </c>
      <c r="AM67" s="847">
        <v>10306</v>
      </c>
      <c r="AN67" s="847">
        <v>7983</v>
      </c>
      <c r="AO67" s="847">
        <v>6824</v>
      </c>
      <c r="AP67" s="847">
        <f t="shared" ref="AP67" si="122">AP65-AP66</f>
        <v>6015</v>
      </c>
      <c r="AQ67" s="853">
        <f>AE67+AF67+AG67+AH67+AI67+AJ67+AK67+AL67+AM67+AN67</f>
        <v>75052</v>
      </c>
    </row>
    <row r="68" spans="1:43" ht="15" thickBot="1">
      <c r="A68" s="866">
        <f t="shared" si="3"/>
        <v>0</v>
      </c>
      <c r="B68" s="950"/>
      <c r="C68" s="673"/>
      <c r="D68" s="674" t="s">
        <v>455</v>
      </c>
      <c r="E68" s="675">
        <f t="shared" ref="E68:U68" si="123">E66/E65</f>
        <v>0.44062720225510921</v>
      </c>
      <c r="F68" s="676">
        <f t="shared" si="123"/>
        <v>0.41698139599944051</v>
      </c>
      <c r="G68" s="676">
        <f t="shared" si="123"/>
        <v>0.38097469540768508</v>
      </c>
      <c r="H68" s="677">
        <f t="shared" si="123"/>
        <v>0.36360593551266318</v>
      </c>
      <c r="I68" s="677">
        <f t="shared" si="123"/>
        <v>0.39486268615931136</v>
      </c>
      <c r="J68" s="677">
        <v>0.43540259461777636</v>
      </c>
      <c r="K68" s="758">
        <v>0.38512212425255904</v>
      </c>
      <c r="L68" s="758">
        <f>L66/L65</f>
        <v>0.34307546433152991</v>
      </c>
      <c r="M68" s="758">
        <f t="shared" si="123"/>
        <v>0.40021181454459875</v>
      </c>
      <c r="N68" s="758">
        <f t="shared" si="123"/>
        <v>0.43809058325187356</v>
      </c>
      <c r="O68" s="678">
        <f t="shared" si="123"/>
        <v>0.44070583077597547</v>
      </c>
      <c r="P68" s="679">
        <f t="shared" si="123"/>
        <v>0.42002112428118765</v>
      </c>
      <c r="Q68" s="644">
        <f>+Q66/Q65</f>
        <v>0.39850833318605183</v>
      </c>
      <c r="R68" s="680">
        <f t="shared" si="123"/>
        <v>0.41723136495643753</v>
      </c>
      <c r="S68" s="681">
        <f t="shared" si="123"/>
        <v>0.40471957329885244</v>
      </c>
      <c r="T68" s="681">
        <f t="shared" si="123"/>
        <v>0.36220376252137798</v>
      </c>
      <c r="U68" s="682">
        <f t="shared" si="123"/>
        <v>0.35704274702172389</v>
      </c>
      <c r="V68" s="682">
        <f t="shared" ref="V68:AA68" si="124">+V66/V65</f>
        <v>0.37054739956754296</v>
      </c>
      <c r="W68" s="734">
        <f t="shared" si="124"/>
        <v>0.330029466916689</v>
      </c>
      <c r="X68" s="760">
        <f t="shared" si="124"/>
        <v>0.29166335532067073</v>
      </c>
      <c r="Y68" s="734">
        <f t="shared" si="124"/>
        <v>0.29244041526538966</v>
      </c>
      <c r="Z68" s="734">
        <f t="shared" si="124"/>
        <v>0.31469077193210637</v>
      </c>
      <c r="AA68" s="734">
        <f t="shared" si="124"/>
        <v>0.32064459930313588</v>
      </c>
      <c r="AB68" s="760">
        <v>0.33851055356431703</v>
      </c>
      <c r="AC68" s="734">
        <f t="shared" ref="AC68" si="125">+AC66/AC65</f>
        <v>0.34161081199868149</v>
      </c>
      <c r="AD68" s="843">
        <v>0.33512534379180547</v>
      </c>
      <c r="AE68" s="848">
        <f t="shared" ref="AE68:AF68" si="126">+AE66/AE65</f>
        <v>0.38397203844713518</v>
      </c>
      <c r="AF68" s="848">
        <f t="shared" si="126"/>
        <v>0.35179028132992329</v>
      </c>
      <c r="AG68" s="848">
        <v>0.31993334721932931</v>
      </c>
      <c r="AH68" s="848">
        <v>0.32703105305374125</v>
      </c>
      <c r="AI68" s="848">
        <v>0.31993334721932931</v>
      </c>
      <c r="AJ68" s="848">
        <v>0.34608891389983115</v>
      </c>
      <c r="AK68" s="848">
        <v>0.30148295367680783</v>
      </c>
      <c r="AL68" s="848">
        <v>0.30940170940170941</v>
      </c>
      <c r="AM68" s="848">
        <v>0.32816166883963493</v>
      </c>
      <c r="AN68" s="848">
        <v>0.37284939901013436</v>
      </c>
      <c r="AO68" s="848">
        <v>0.32629084806002567</v>
      </c>
      <c r="AP68" s="848">
        <f t="shared" ref="AP68" si="127">+AP66/AP65</f>
        <v>0.2694923487976682</v>
      </c>
      <c r="AQ68" s="854">
        <f>AQ66/AQ65</f>
        <v>0.3285791769478163</v>
      </c>
    </row>
    <row r="69" spans="1:43">
      <c r="A69" s="866">
        <f t="shared" ref="A69" si="128">B69</f>
        <v>0</v>
      </c>
      <c r="B69" s="650"/>
      <c r="C69" s="75"/>
      <c r="D69" s="651"/>
      <c r="E69" s="650"/>
      <c r="F69" s="75"/>
      <c r="G69" s="75"/>
      <c r="H69" s="75"/>
      <c r="I69" s="136"/>
      <c r="J69" s="136"/>
      <c r="K69" s="136"/>
      <c r="L69" s="136"/>
      <c r="M69" s="136"/>
      <c r="N69" s="136"/>
      <c r="O69" s="136"/>
      <c r="P69" s="136"/>
      <c r="Q69" s="652"/>
      <c r="R69" s="650"/>
      <c r="S69" s="75"/>
      <c r="T69" s="75"/>
      <c r="U69" s="75"/>
      <c r="V69" s="75"/>
      <c r="W69" s="75"/>
      <c r="X69" s="75"/>
      <c r="Y69" s="75"/>
      <c r="Z69" s="75"/>
      <c r="AA69" s="75"/>
      <c r="AB69" s="75"/>
      <c r="AC69" s="829"/>
      <c r="AD69" s="844"/>
      <c r="AE69" s="403"/>
      <c r="AF69" s="403"/>
      <c r="AG69" s="403"/>
      <c r="AH69" s="403"/>
      <c r="AI69" s="403"/>
      <c r="AJ69" s="403"/>
      <c r="AK69" s="403"/>
      <c r="AL69" s="403"/>
      <c r="AM69" s="403"/>
      <c r="AN69" s="403"/>
      <c r="AO69" s="403"/>
      <c r="AP69" s="403"/>
      <c r="AQ69" s="855"/>
    </row>
    <row r="70" spans="1:43">
      <c r="A70" s="866" t="str">
        <f>B70</f>
        <v>AFS</v>
      </c>
      <c r="B70" s="951" t="s">
        <v>209</v>
      </c>
      <c r="C70" s="695"/>
      <c r="D70" s="696" t="s">
        <v>452</v>
      </c>
      <c r="E70" s="653">
        <f>+E65+E39</f>
        <v>12419</v>
      </c>
      <c r="F70" s="654">
        <f t="shared" ref="F70:H71" si="129">+F65+F39</f>
        <v>15038</v>
      </c>
      <c r="G70" s="654">
        <f t="shared" si="129"/>
        <v>17807</v>
      </c>
      <c r="H70" s="655">
        <f t="shared" si="129"/>
        <v>17737</v>
      </c>
      <c r="I70" s="655">
        <f t="shared" ref="I70:P71" si="130">+I65+I60+I55+I50</f>
        <v>12960</v>
      </c>
      <c r="J70" s="655">
        <v>16453</v>
      </c>
      <c r="K70" s="754">
        <v>16665</v>
      </c>
      <c r="L70" s="754">
        <f>+L65+L60+L55+L50</f>
        <v>30122</v>
      </c>
      <c r="M70" s="754">
        <f t="shared" ref="M70:P70" si="131">+M65+M60+M55+M50</f>
        <v>27624</v>
      </c>
      <c r="N70" s="754">
        <f t="shared" si="131"/>
        <v>20832</v>
      </c>
      <c r="O70" s="656">
        <f t="shared" si="131"/>
        <v>15704</v>
      </c>
      <c r="P70" s="657">
        <f t="shared" si="131"/>
        <v>15085</v>
      </c>
      <c r="Q70" s="621">
        <f>+E70+F70+G70+H70+I70+J70+K70+L70+M70+N70+O70</f>
        <v>203361</v>
      </c>
      <c r="R70" s="658">
        <f>+R65+R39</f>
        <v>10999</v>
      </c>
      <c r="S70" s="659">
        <f t="shared" ref="S70:W71" si="132">+S65+S39</f>
        <v>13925</v>
      </c>
      <c r="T70" s="659">
        <f t="shared" si="132"/>
        <v>17689</v>
      </c>
      <c r="U70" s="660">
        <f t="shared" si="132"/>
        <v>17637</v>
      </c>
      <c r="V70" s="660">
        <f>+V65+V39</f>
        <v>16575</v>
      </c>
      <c r="W70" s="735">
        <f>+W65+W39</f>
        <v>22269</v>
      </c>
      <c r="X70" s="735">
        <f t="shared" ref="X70" si="133">+X65+X39</f>
        <v>23483</v>
      </c>
      <c r="Y70" s="735">
        <f>+Y65+Y39</f>
        <v>27226</v>
      </c>
      <c r="Z70" s="735">
        <f>+Z65+Z39</f>
        <v>30562</v>
      </c>
      <c r="AA70" s="735">
        <f>+AA65+AA39</f>
        <v>25255</v>
      </c>
      <c r="AB70" s="814">
        <v>18964</v>
      </c>
      <c r="AC70" s="735">
        <f t="shared" ref="AC70:AC71" si="134">+AC65+AC39</f>
        <v>15276</v>
      </c>
      <c r="AD70" s="841">
        <v>239860</v>
      </c>
      <c r="AE70" s="850">
        <f t="shared" ref="AE70:AF70" si="135">+AE65+AE39</f>
        <v>13735</v>
      </c>
      <c r="AF70" s="850">
        <f t="shared" si="135"/>
        <v>14075</v>
      </c>
      <c r="AG70" s="850">
        <v>17698</v>
      </c>
      <c r="AH70" s="850">
        <v>22996</v>
      </c>
      <c r="AI70" s="850">
        <v>17698</v>
      </c>
      <c r="AJ70" s="850">
        <v>21855</v>
      </c>
      <c r="AK70" s="850">
        <v>23210</v>
      </c>
      <c r="AL70" s="850">
        <v>28688</v>
      </c>
      <c r="AM70" s="850">
        <v>28233</v>
      </c>
      <c r="AN70" s="850">
        <v>24624</v>
      </c>
      <c r="AO70" s="850">
        <v>18183</v>
      </c>
      <c r="AP70" s="850">
        <f t="shared" ref="AP70" si="136">+AP65+AP39</f>
        <v>14197</v>
      </c>
      <c r="AQ70" s="853">
        <f>AE70+AF70+AG70+AH70+AI70+AJ70+AK70+AL70+AM70+AN70+AO70+AP70</f>
        <v>245192</v>
      </c>
    </row>
    <row r="71" spans="1:43">
      <c r="A71" s="866" t="str">
        <f>A70</f>
        <v>AFS</v>
      </c>
      <c r="B71" s="951"/>
      <c r="C71" s="695"/>
      <c r="D71" s="697" t="s">
        <v>453</v>
      </c>
      <c r="E71" s="629">
        <f>+E66+E40</f>
        <v>5412</v>
      </c>
      <c r="F71" s="630">
        <f t="shared" si="129"/>
        <v>6384</v>
      </c>
      <c r="G71" s="630">
        <f t="shared" si="129"/>
        <v>7227</v>
      </c>
      <c r="H71" s="630">
        <f t="shared" si="129"/>
        <v>6945</v>
      </c>
      <c r="I71" s="630">
        <f t="shared" si="130"/>
        <v>5146</v>
      </c>
      <c r="J71" s="630">
        <v>7226</v>
      </c>
      <c r="K71" s="755">
        <v>6492</v>
      </c>
      <c r="L71" s="755">
        <f>+L66+L61+L56+L51</f>
        <v>10106</v>
      </c>
      <c r="M71" s="755">
        <f t="shared" si="130"/>
        <v>10583</v>
      </c>
      <c r="N71" s="755">
        <f t="shared" si="130"/>
        <v>8830</v>
      </c>
      <c r="O71" s="631">
        <f>+O66+O61+O56+O51</f>
        <v>6785</v>
      </c>
      <c r="P71" s="631">
        <f t="shared" si="130"/>
        <v>6186</v>
      </c>
      <c r="Q71" s="621">
        <f t="shared" ref="Q71:Q72" si="137">+E71+F71+G71+H71+I71+J71+K71+L71+M71+N71+O71</f>
        <v>81136</v>
      </c>
      <c r="R71" s="632">
        <f>+R66+R40</f>
        <v>5059</v>
      </c>
      <c r="S71" s="633">
        <f t="shared" si="132"/>
        <v>6087</v>
      </c>
      <c r="T71" s="633">
        <f t="shared" si="132"/>
        <v>7078</v>
      </c>
      <c r="U71" s="633">
        <f t="shared" si="132"/>
        <v>6667</v>
      </c>
      <c r="V71" s="633">
        <f t="shared" si="132"/>
        <v>7065</v>
      </c>
      <c r="W71" s="736">
        <f t="shared" si="132"/>
        <v>7760</v>
      </c>
      <c r="X71" s="736">
        <f t="shared" ref="X71:Y71" si="138">+X66+X40</f>
        <v>7657</v>
      </c>
      <c r="Y71" s="736">
        <f t="shared" si="138"/>
        <v>8804</v>
      </c>
      <c r="Z71" s="736">
        <f>+Z66+Z40</f>
        <v>9149</v>
      </c>
      <c r="AA71" s="736">
        <f>+AA66+AA40</f>
        <v>8296</v>
      </c>
      <c r="AB71" s="815">
        <v>7232</v>
      </c>
      <c r="AC71" s="736">
        <f t="shared" si="134"/>
        <v>5918</v>
      </c>
      <c r="AD71" s="841">
        <v>86772</v>
      </c>
      <c r="AE71" s="851">
        <f t="shared" ref="AE71:AF71" si="139">+AE66+AE40</f>
        <v>5829</v>
      </c>
      <c r="AF71" s="851">
        <f t="shared" si="139"/>
        <v>5844</v>
      </c>
      <c r="AG71" s="851">
        <v>6747</v>
      </c>
      <c r="AH71" s="851">
        <v>14065</v>
      </c>
      <c r="AI71" s="851">
        <v>6747</v>
      </c>
      <c r="AJ71" s="851">
        <v>7488</v>
      </c>
      <c r="AK71" s="851">
        <v>8190</v>
      </c>
      <c r="AL71" s="851">
        <v>10146</v>
      </c>
      <c r="AM71" s="851">
        <v>9845</v>
      </c>
      <c r="AN71" s="851">
        <v>9625</v>
      </c>
      <c r="AO71" s="851">
        <v>7022</v>
      </c>
      <c r="AP71" s="851">
        <f t="shared" ref="AP71" si="140">+AP66+AP40</f>
        <v>5063</v>
      </c>
      <c r="AQ71" s="853">
        <f>AE71+AF71+AG71+AH71+AI71+AJ71+AK71+AL71+AM71+AN71+AO71+AP71</f>
        <v>96611</v>
      </c>
    </row>
    <row r="72" spans="1:43">
      <c r="A72" s="866">
        <f t="shared" ref="A72:A73" si="141">B72</f>
        <v>0</v>
      </c>
      <c r="B72" s="951"/>
      <c r="C72" s="695"/>
      <c r="D72" s="697" t="s">
        <v>456</v>
      </c>
      <c r="E72" s="635">
        <f>E70-E71</f>
        <v>7007</v>
      </c>
      <c r="F72" s="636">
        <f t="shared" ref="F72:W72" si="142">F70-F71</f>
        <v>8654</v>
      </c>
      <c r="G72" s="636">
        <f t="shared" si="142"/>
        <v>10580</v>
      </c>
      <c r="H72" s="636">
        <f t="shared" si="142"/>
        <v>10792</v>
      </c>
      <c r="I72" s="636">
        <f t="shared" si="142"/>
        <v>7814</v>
      </c>
      <c r="J72" s="636">
        <v>9227</v>
      </c>
      <c r="K72" s="756">
        <v>10173</v>
      </c>
      <c r="L72" s="756">
        <f>L70-L71</f>
        <v>20016</v>
      </c>
      <c r="M72" s="756">
        <f t="shared" si="142"/>
        <v>17041</v>
      </c>
      <c r="N72" s="756">
        <f t="shared" si="142"/>
        <v>12002</v>
      </c>
      <c r="O72" s="637">
        <f t="shared" si="142"/>
        <v>8919</v>
      </c>
      <c r="P72" s="637">
        <f t="shared" si="142"/>
        <v>8899</v>
      </c>
      <c r="Q72" s="621">
        <f t="shared" si="137"/>
        <v>122225</v>
      </c>
      <c r="R72" s="638">
        <f t="shared" si="142"/>
        <v>5940</v>
      </c>
      <c r="S72" s="639">
        <f t="shared" si="142"/>
        <v>7838</v>
      </c>
      <c r="T72" s="639">
        <f t="shared" si="142"/>
        <v>10611</v>
      </c>
      <c r="U72" s="639">
        <f t="shared" si="142"/>
        <v>10970</v>
      </c>
      <c r="V72" s="639">
        <f t="shared" si="142"/>
        <v>9510</v>
      </c>
      <c r="W72" s="737">
        <f t="shared" si="142"/>
        <v>14509</v>
      </c>
      <c r="X72" s="737">
        <f t="shared" ref="X72:AA72" si="143">X70-X71</f>
        <v>15826</v>
      </c>
      <c r="Y72" s="737">
        <f t="shared" si="143"/>
        <v>18422</v>
      </c>
      <c r="Z72" s="737">
        <f t="shared" si="143"/>
        <v>21413</v>
      </c>
      <c r="AA72" s="737">
        <f t="shared" si="143"/>
        <v>16959</v>
      </c>
      <c r="AB72" s="816">
        <v>11732</v>
      </c>
      <c r="AC72" s="737">
        <f t="shared" ref="AC72" si="144">AC70-AC71</f>
        <v>9358</v>
      </c>
      <c r="AD72" s="841">
        <v>153088</v>
      </c>
      <c r="AE72" s="851">
        <f t="shared" ref="AE72:AF72" si="145">AE70-AE71</f>
        <v>7906</v>
      </c>
      <c r="AF72" s="851">
        <f t="shared" si="145"/>
        <v>8231</v>
      </c>
      <c r="AG72" s="851">
        <v>10951</v>
      </c>
      <c r="AH72" s="851">
        <v>8931</v>
      </c>
      <c r="AI72" s="851">
        <v>10951</v>
      </c>
      <c r="AJ72" s="851">
        <v>14367</v>
      </c>
      <c r="AK72" s="851">
        <v>15020</v>
      </c>
      <c r="AL72" s="851">
        <v>18542</v>
      </c>
      <c r="AM72" s="851">
        <v>18388</v>
      </c>
      <c r="AN72" s="851">
        <v>14999</v>
      </c>
      <c r="AO72" s="851">
        <v>11161</v>
      </c>
      <c r="AP72" s="851">
        <f t="shared" ref="AP72" si="146">AP70-AP71</f>
        <v>9134</v>
      </c>
      <c r="AQ72" s="853">
        <f>AE72+AF72+AG72+AH72+AI72+AJ72+AK72+AL72+AM72+AN72</f>
        <v>128286</v>
      </c>
    </row>
    <row r="73" spans="1:43" ht="15" thickBot="1">
      <c r="A73" s="866">
        <f t="shared" si="141"/>
        <v>0</v>
      </c>
      <c r="B73" s="952"/>
      <c r="C73" s="698"/>
      <c r="D73" s="699" t="s">
        <v>455</v>
      </c>
      <c r="E73" s="675">
        <f t="shared" ref="E73:U73" si="147">E71/E70</f>
        <v>0.43578387953941539</v>
      </c>
      <c r="F73" s="676">
        <f t="shared" si="147"/>
        <v>0.4245245378374784</v>
      </c>
      <c r="G73" s="676">
        <f t="shared" si="147"/>
        <v>0.40585163138091762</v>
      </c>
      <c r="H73" s="677">
        <f t="shared" si="147"/>
        <v>0.39155437785420305</v>
      </c>
      <c r="I73" s="677">
        <f t="shared" si="147"/>
        <v>0.39706790123456792</v>
      </c>
      <c r="J73" s="677">
        <v>0.43919042119978119</v>
      </c>
      <c r="K73" s="758">
        <v>0.38955895589558953</v>
      </c>
      <c r="L73" s="758">
        <f>L71/L70</f>
        <v>0.33550229068454951</v>
      </c>
      <c r="M73" s="758">
        <f t="shared" si="147"/>
        <v>0.38310889081957716</v>
      </c>
      <c r="N73" s="758">
        <f t="shared" si="147"/>
        <v>0.42386712749615973</v>
      </c>
      <c r="O73" s="678">
        <f t="shared" si="147"/>
        <v>0.43205552725420276</v>
      </c>
      <c r="P73" s="679">
        <f t="shared" si="147"/>
        <v>0.41007623467020221</v>
      </c>
      <c r="Q73" s="644">
        <f>+Q71/Q70</f>
        <v>0.39897522140430075</v>
      </c>
      <c r="R73" s="680">
        <f t="shared" si="147"/>
        <v>0.45995090462769345</v>
      </c>
      <c r="S73" s="681">
        <f t="shared" si="147"/>
        <v>0.43712746858168761</v>
      </c>
      <c r="T73" s="681">
        <f t="shared" si="147"/>
        <v>0.40013567753971396</v>
      </c>
      <c r="U73" s="682">
        <f t="shared" si="147"/>
        <v>0.37801213358280888</v>
      </c>
      <c r="V73" s="682">
        <f>+V71/V70</f>
        <v>0.4262443438914027</v>
      </c>
      <c r="W73" s="738">
        <f>+W71/W70</f>
        <v>0.34846647806367598</v>
      </c>
      <c r="X73" s="738">
        <f t="shared" ref="X73:Y73" si="148">+X71/X70</f>
        <v>0.32606566452327218</v>
      </c>
      <c r="Y73" s="738">
        <f t="shared" si="148"/>
        <v>0.32336736942628369</v>
      </c>
      <c r="Z73" s="738">
        <f>+Z71/Z70</f>
        <v>0.29935868071461291</v>
      </c>
      <c r="AA73" s="738">
        <f>+AA71/AA70</f>
        <v>0.3284894080380123</v>
      </c>
      <c r="AB73" s="817">
        <v>0.38135414469521201</v>
      </c>
      <c r="AC73" s="738">
        <f t="shared" ref="AC73" si="149">+AC71/AC70</f>
        <v>0.38740507986383871</v>
      </c>
      <c r="AD73" s="843">
        <v>0.36176102726590509</v>
      </c>
      <c r="AE73" s="852">
        <f t="shared" ref="AE73:AF73" si="150">+AE71/AE70</f>
        <v>0.42439024390243901</v>
      </c>
      <c r="AF73" s="852">
        <f t="shared" si="150"/>
        <v>0.41520426287744228</v>
      </c>
      <c r="AG73" s="852">
        <v>0.38122951745959993</v>
      </c>
      <c r="AH73" s="852">
        <v>0.61162810923638888</v>
      </c>
      <c r="AI73" s="852">
        <v>0.38122951745959993</v>
      </c>
      <c r="AJ73" s="852">
        <v>0.34262182566918326</v>
      </c>
      <c r="AK73" s="852">
        <v>0.35286514433433863</v>
      </c>
      <c r="AL73" s="852">
        <v>0.35366703848298942</v>
      </c>
      <c r="AM73" s="852">
        <v>0.34870541564835478</v>
      </c>
      <c r="AN73" s="852">
        <v>0.39087881741390512</v>
      </c>
      <c r="AO73" s="852">
        <v>0.38618489798163119</v>
      </c>
      <c r="AP73" s="852">
        <f t="shared" ref="AP73" si="151">+AP71/AP70</f>
        <v>0.35662463900824115</v>
      </c>
      <c r="AQ73" s="854">
        <f>AQ71/AQ70</f>
        <v>0.3940218277920976</v>
      </c>
    </row>
    <row r="74" spans="1:43">
      <c r="AE74" s="840"/>
      <c r="AF74" s="840"/>
      <c r="AG74" s="840"/>
      <c r="AH74" s="840"/>
      <c r="AI74" s="840"/>
      <c r="AJ74" s="840"/>
      <c r="AK74" s="840"/>
      <c r="AL74" s="840"/>
      <c r="AM74" s="840"/>
      <c r="AN74" s="840"/>
      <c r="AO74" s="840"/>
      <c r="AP74" s="840"/>
      <c r="AQ74" s="840"/>
    </row>
    <row r="75" spans="1:43">
      <c r="AD75" s="700"/>
      <c r="AE75" s="838"/>
      <c r="AF75" s="838"/>
      <c r="AG75" s="838"/>
      <c r="AH75" s="838"/>
      <c r="AI75" s="838"/>
      <c r="AJ75" s="838"/>
      <c r="AK75" s="838"/>
      <c r="AL75" s="838"/>
      <c r="AM75" s="838"/>
      <c r="AN75" s="838"/>
      <c r="AO75" s="838"/>
      <c r="AP75" s="838"/>
      <c r="AQ75" s="838"/>
    </row>
    <row r="76" spans="1:43" s="739" customFormat="1" ht="10.5" customHeight="1">
      <c r="I76" s="740"/>
      <c r="J76" s="740"/>
      <c r="K76" s="740"/>
      <c r="L76" s="740"/>
      <c r="M76" s="740"/>
      <c r="N76" s="740"/>
      <c r="V76" s="740"/>
      <c r="W76" s="740"/>
      <c r="X76" s="740"/>
      <c r="Y76" s="740"/>
      <c r="Z76" s="740"/>
      <c r="AA76" s="740"/>
      <c r="AB76" s="740"/>
      <c r="AC76" s="740"/>
      <c r="AE76" s="839"/>
      <c r="AF76" s="839"/>
      <c r="AG76" s="839"/>
      <c r="AH76" s="839"/>
      <c r="AI76" s="839"/>
      <c r="AJ76" s="839"/>
      <c r="AK76" s="839"/>
      <c r="AL76" s="839"/>
      <c r="AM76" s="839"/>
      <c r="AN76" s="839"/>
      <c r="AO76" s="839"/>
      <c r="AP76" s="839"/>
      <c r="AQ76" s="839"/>
    </row>
  </sheetData>
  <mergeCells count="19">
    <mergeCell ref="AE2:AQ2"/>
    <mergeCell ref="R2:AD2"/>
    <mergeCell ref="B4:B7"/>
    <mergeCell ref="B9:B12"/>
    <mergeCell ref="B14:B17"/>
    <mergeCell ref="E2:Q2"/>
    <mergeCell ref="BD3:BF3"/>
    <mergeCell ref="B24:B27"/>
    <mergeCell ref="B29:B32"/>
    <mergeCell ref="B34:B37"/>
    <mergeCell ref="B39:B42"/>
    <mergeCell ref="B19:B22"/>
    <mergeCell ref="B55:B58"/>
    <mergeCell ref="B60:B63"/>
    <mergeCell ref="B65:B68"/>
    <mergeCell ref="B70:B73"/>
    <mergeCell ref="BA3:BC3"/>
    <mergeCell ref="B45:B48"/>
    <mergeCell ref="B50:B53"/>
  </mergeCells>
  <pageMargins left="0.7" right="0.7" top="0.75" bottom="0.75" header="0.3" footer="0.3"/>
  <pageSetup paperSize="9" orientation="portrait" verticalDpi="0" r:id="rId1"/>
  <headerFooter>
    <oddFooter>&amp;R&amp;1#&amp;"Calibri"&amp;10&amp;K000000C2 - Confidential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2:S21"/>
  <sheetViews>
    <sheetView workbookViewId="0">
      <selection activeCell="F24" sqref="F24"/>
    </sheetView>
  </sheetViews>
  <sheetFormatPr baseColWidth="10" defaultColWidth="11.44140625" defaultRowHeight="14.4"/>
  <cols>
    <col min="2" max="2" width="20" customWidth="1"/>
    <col min="3" max="3" width="19.5546875" bestFit="1" customWidth="1"/>
    <col min="4" max="4" width="22.33203125" bestFit="1" customWidth="1"/>
    <col min="5" max="5" width="17.21875" bestFit="1" customWidth="1"/>
    <col min="6" max="6" width="15.6640625" bestFit="1" customWidth="1"/>
    <col min="7" max="7" width="19.5546875" bestFit="1" customWidth="1"/>
    <col min="8" max="8" width="22.33203125" bestFit="1" customWidth="1"/>
    <col min="9" max="9" width="15.6640625" bestFit="1" customWidth="1"/>
    <col min="10" max="10" width="14.6640625" bestFit="1" customWidth="1"/>
    <col min="11" max="12" width="14.6640625" style="750" customWidth="1"/>
    <col min="13" max="19" width="14.6640625" bestFit="1" customWidth="1"/>
  </cols>
  <sheetData>
    <row r="2" spans="2:19">
      <c r="B2" s="769"/>
      <c r="C2" s="769"/>
      <c r="D2" s="962" t="s">
        <v>463</v>
      </c>
      <c r="E2" s="962"/>
      <c r="F2" s="716"/>
      <c r="G2" s="773"/>
      <c r="H2" s="962" t="s">
        <v>464</v>
      </c>
      <c r="I2" s="962"/>
    </row>
    <row r="3" spans="2:19">
      <c r="B3" s="963" t="s">
        <v>465</v>
      </c>
      <c r="C3" s="207" t="s">
        <v>466</v>
      </c>
      <c r="D3" s="207" t="s">
        <v>471</v>
      </c>
      <c r="G3" s="207" t="s">
        <v>466</v>
      </c>
      <c r="H3" s="207" t="s">
        <v>471</v>
      </c>
      <c r="K3"/>
      <c r="L3"/>
    </row>
    <row r="4" spans="2:19" ht="15" thickBot="1">
      <c r="B4" s="963"/>
      <c r="D4" s="915" t="s">
        <v>467</v>
      </c>
      <c r="E4" s="915" t="s">
        <v>492</v>
      </c>
      <c r="H4" s="915" t="s">
        <v>467</v>
      </c>
      <c r="I4" s="915" t="s">
        <v>492</v>
      </c>
      <c r="K4"/>
      <c r="L4"/>
    </row>
    <row r="5" spans="2:19" ht="15.6" thickTop="1" thickBot="1">
      <c r="B5" s="963"/>
      <c r="K5"/>
      <c r="L5"/>
      <c r="M5" s="29"/>
      <c r="N5" s="878">
        <v>44926</v>
      </c>
      <c r="O5" s="878"/>
      <c r="P5" s="878"/>
      <c r="Q5" s="878">
        <v>45291</v>
      </c>
      <c r="R5" s="878"/>
      <c r="S5" s="878"/>
    </row>
    <row r="6" spans="2:19" ht="15" thickTop="1">
      <c r="B6" s="964"/>
      <c r="C6" s="207" t="s">
        <v>472</v>
      </c>
      <c r="G6" s="207" t="s">
        <v>472</v>
      </c>
      <c r="K6"/>
      <c r="L6"/>
      <c r="M6" s="870"/>
      <c r="N6" s="64" t="s">
        <v>517</v>
      </c>
      <c r="O6" s="64" t="s">
        <v>518</v>
      </c>
      <c r="P6" s="64" t="s">
        <v>519</v>
      </c>
      <c r="Q6" s="64" t="s">
        <v>517</v>
      </c>
      <c r="R6" s="64" t="s">
        <v>518</v>
      </c>
      <c r="S6" s="64" t="s">
        <v>519</v>
      </c>
    </row>
    <row r="7" spans="2:19">
      <c r="B7" s="773" t="s">
        <v>21</v>
      </c>
      <c r="C7" s="208" t="s">
        <v>123</v>
      </c>
      <c r="D7" s="741">
        <v>15419784142</v>
      </c>
      <c r="E7" s="741">
        <v>11901284681</v>
      </c>
      <c r="G7" s="208" t="s">
        <v>123</v>
      </c>
      <c r="H7" s="741">
        <v>5638295000</v>
      </c>
      <c r="I7" s="741">
        <v>2992363000</v>
      </c>
      <c r="K7"/>
      <c r="L7"/>
      <c r="M7" s="30" t="s">
        <v>64</v>
      </c>
      <c r="N7" s="877">
        <f>SUM(N15,N20)</f>
        <v>1821012.6687167319</v>
      </c>
      <c r="O7" s="877">
        <f>SUM(O15,O21)</f>
        <v>309784.3688768592</v>
      </c>
      <c r="P7" s="41">
        <f>1-O7/N7</f>
        <v>0.82988346308696226</v>
      </c>
      <c r="Q7" s="877">
        <f>SUM(Q15,Q21)</f>
        <v>677958.4207863959</v>
      </c>
      <c r="R7" s="877">
        <f>SUM(R15,R21)</f>
        <v>309464.15519995755</v>
      </c>
      <c r="S7" s="41">
        <f>1-R7/Q7</f>
        <v>0.5435351996351111</v>
      </c>
    </row>
    <row r="8" spans="2:19">
      <c r="B8" s="773" t="s">
        <v>18</v>
      </c>
      <c r="C8" s="208" t="s">
        <v>124</v>
      </c>
      <c r="D8" s="741">
        <v>75692277904</v>
      </c>
      <c r="E8" s="741">
        <v>48882861906</v>
      </c>
      <c r="G8" s="208" t="s">
        <v>124</v>
      </c>
      <c r="H8" s="741">
        <v>19142192672</v>
      </c>
      <c r="I8" s="741">
        <v>14078780500</v>
      </c>
      <c r="K8"/>
      <c r="L8" t="s">
        <v>13</v>
      </c>
      <c r="M8" s="47" t="s">
        <v>13</v>
      </c>
      <c r="N8" s="126">
        <f>+SUMIF($B$7:$B$17,$M8,$D$7:$D$17)/('Tableau détaillé'!$N6*1000)</f>
        <v>301556.2955437628</v>
      </c>
      <c r="O8" s="126">
        <f>+SUMIF($B$7:$B$17,$M8,$H$7:$H$17)/('Tableau détaillé'!$N6*1000)</f>
        <v>170512.70438915965</v>
      </c>
      <c r="P8" s="224">
        <f>1-O8/N8</f>
        <v>0.43455763680312776</v>
      </c>
      <c r="Q8" s="126">
        <f>+SUMIF($B$7:$B$17,$M8,$E$7:$E$17)/('Tableau détaillé'!$P6*1000)</f>
        <v>308150.22366100218</v>
      </c>
      <c r="R8" s="126">
        <f>+SUMIF($B$7:$B$17,$M8,$I$7:$I$17)/('Tableau détaillé'!$P6*1000)</f>
        <v>177150.14141323289</v>
      </c>
      <c r="S8" s="224">
        <f t="shared" ref="S8" si="0">1-R8/Q8</f>
        <v>0.42511759586416276</v>
      </c>
    </row>
    <row r="9" spans="2:19">
      <c r="B9" s="773" t="s">
        <v>13</v>
      </c>
      <c r="C9" s="208" t="s">
        <v>131</v>
      </c>
      <c r="D9" s="741">
        <v>197807962956</v>
      </c>
      <c r="E9" s="741">
        <v>202133296262</v>
      </c>
      <c r="G9" s="208" t="s">
        <v>131</v>
      </c>
      <c r="H9" s="741">
        <v>111849002033</v>
      </c>
      <c r="I9" s="741">
        <v>116202875311</v>
      </c>
      <c r="K9"/>
      <c r="L9" t="s">
        <v>14</v>
      </c>
      <c r="M9" s="47" t="s">
        <v>14</v>
      </c>
      <c r="N9" s="126">
        <f>+SUMIF($B$7:$B$17,$M9,$D$7:$D$17)/('Tableau détaillé'!$N7*1000)</f>
        <v>48633.887573395157</v>
      </c>
      <c r="O9" s="126">
        <f>+SUMIF($B$7:$B$17,$M9,$H$7:$H$17)/('Tableau détaillé'!$N7*1000)</f>
        <v>20143.700256951357</v>
      </c>
      <c r="P9" s="224">
        <f t="shared" ref="P9:P13" si="1">1-O9/N9</f>
        <v>0.5858093756837397</v>
      </c>
      <c r="Q9" s="126">
        <f>+SUMIF($B$7:$B$17,$M9,$E$7:$E$17)/('Tableau détaillé'!$P7*1000)</f>
        <v>40860.564946977087</v>
      </c>
      <c r="R9" s="126">
        <f>+SUMIF($B$7:$B$17,$M9,$I$7:$I$17)/('Tableau détaillé'!$P7*1000)</f>
        <v>19396.793062835201</v>
      </c>
      <c r="S9" s="224">
        <f t="shared" ref="S9:S14" si="2">1-R9/Q9</f>
        <v>0.52529307688218352</v>
      </c>
    </row>
    <row r="10" spans="2:19">
      <c r="B10" s="773" t="s">
        <v>16</v>
      </c>
      <c r="C10" s="208" t="s">
        <v>132</v>
      </c>
      <c r="D10" s="741">
        <v>91008552356</v>
      </c>
      <c r="E10" s="741">
        <v>104186733427</v>
      </c>
      <c r="G10" s="208" t="s">
        <v>132</v>
      </c>
      <c r="H10" s="741">
        <v>31394154085</v>
      </c>
      <c r="I10" s="741">
        <v>35755435191</v>
      </c>
      <c r="K10"/>
      <c r="L10" t="s">
        <v>17</v>
      </c>
      <c r="M10" s="47" t="s">
        <v>17</v>
      </c>
      <c r="N10" s="126">
        <f>+SUMIF($B$7:$B$17,$M10,$D$7:$D$17)/('Tableau détaillé'!$N8*1000)</f>
        <v>117474.90466753156</v>
      </c>
      <c r="O10" s="126">
        <f>+SUMIF($B$7:$B$17,$M10,$H$7:$H$17)/('Tableau détaillé'!$N8*1000)</f>
        <v>39429.312993077292</v>
      </c>
      <c r="P10" s="224">
        <f t="shared" si="1"/>
        <v>0.66435969363272007</v>
      </c>
      <c r="Q10" s="126">
        <f>+SUMIF($B$7:$B$17,$M10,$E$7:$E$17)/('Tableau détaillé'!$P8*1000)</f>
        <v>127450.1883812506</v>
      </c>
      <c r="R10" s="126">
        <f>+SUMIF($B$7:$B$17,$M10,$I$7:$I$17)/('Tableau détaillé'!$P8*1000)</f>
        <v>51746.120837189024</v>
      </c>
      <c r="S10" s="224">
        <f t="shared" si="2"/>
        <v>0.59398945192299557</v>
      </c>
    </row>
    <row r="11" spans="2:19">
      <c r="B11" s="773" t="s">
        <v>23</v>
      </c>
      <c r="C11" s="208" t="s">
        <v>135</v>
      </c>
      <c r="D11" s="741">
        <v>10055184254</v>
      </c>
      <c r="E11" s="741">
        <v>8902740036</v>
      </c>
      <c r="G11" s="208" t="s">
        <v>135</v>
      </c>
      <c r="H11" s="741">
        <v>5580318236</v>
      </c>
      <c r="I11" s="741">
        <v>4174118499</v>
      </c>
      <c r="K11"/>
      <c r="L11" t="s">
        <v>18</v>
      </c>
      <c r="M11" s="47" t="s">
        <v>18</v>
      </c>
      <c r="N11" s="126">
        <f>+SUMIF($B$7:$B$17,$M11,$D$7:$D$17)/('Tableau détaillé'!$N9*1000)</f>
        <v>115392.13378925752</v>
      </c>
      <c r="O11" s="126">
        <f>+SUMIF($B$7:$B$17,$M11,$H$7:$H$17)/('Tableau détaillé'!$N9*1000)</f>
        <v>29182.084606155586</v>
      </c>
      <c r="P11" s="224">
        <f t="shared" si="1"/>
        <v>0.74710507858836128</v>
      </c>
      <c r="Q11" s="126">
        <f>+SUMIF($B$7:$B$17,$M11,$E$7:$E$17)/('Tableau détaillé'!$P9*1000)</f>
        <v>74521.442573217457</v>
      </c>
      <c r="R11" s="126">
        <f>+SUMIF($B$7:$B$17,$M11,$I$7:$I$17)/('Tableau détaillé'!$P9*1000)</f>
        <v>21462.962511262172</v>
      </c>
      <c r="S11" s="224">
        <f t="shared" si="2"/>
        <v>0.71198943860789099</v>
      </c>
    </row>
    <row r="12" spans="2:19">
      <c r="B12" s="773" t="s">
        <v>14</v>
      </c>
      <c r="C12" s="208" t="s">
        <v>136</v>
      </c>
      <c r="D12" s="741">
        <v>444790945.58000004</v>
      </c>
      <c r="E12" s="741">
        <v>536352119.72000003</v>
      </c>
      <c r="G12" s="208" t="s">
        <v>136</v>
      </c>
      <c r="H12" s="741">
        <v>184228239.44</v>
      </c>
      <c r="I12" s="741">
        <v>254610064.45999995</v>
      </c>
      <c r="K12"/>
      <c r="L12" t="s">
        <v>19</v>
      </c>
      <c r="M12" s="47" t="s">
        <v>19</v>
      </c>
      <c r="N12" s="126">
        <f>+SUMIF($B$7:$B$17,$M12,$D$7:$D$17)/('Tableau détaillé'!$N10*1000)</f>
        <v>78164.818659494325</v>
      </c>
      <c r="O12" s="126">
        <f>+SUMIF($B$7:$B$17,$M12,$H$7:$H$17)/('Tableau détaillé'!$N10*1000)</f>
        <v>27465.106213478681</v>
      </c>
      <c r="P12" s="224">
        <f t="shared" si="1"/>
        <v>0.64862572849911393</v>
      </c>
      <c r="Q12" s="126">
        <f>+SUMIF($B$7:$B$17,$M12,$E$7:$E$17)/('Tableau détaillé'!$P10*1000)</f>
        <v>56886.49092169568</v>
      </c>
      <c r="R12" s="126">
        <f>+SUMIF($B$7:$B$17,$M12,$I$7:$I$17)/('Tableau détaillé'!$P10*1000)</f>
        <v>21499.582472884616</v>
      </c>
      <c r="S12" s="224">
        <f t="shared" si="2"/>
        <v>0.62206172107752589</v>
      </c>
    </row>
    <row r="13" spans="2:19">
      <c r="B13" s="773" t="s">
        <v>19</v>
      </c>
      <c r="C13" s="208" t="s">
        <v>137</v>
      </c>
      <c r="D13" s="741">
        <v>710150225098</v>
      </c>
      <c r="E13" s="741">
        <v>533594693226</v>
      </c>
      <c r="G13" s="208" t="s">
        <v>137</v>
      </c>
      <c r="H13" s="741">
        <v>249528518000</v>
      </c>
      <c r="I13" s="741">
        <v>201665860000</v>
      </c>
      <c r="K13"/>
      <c r="L13" t="s">
        <v>21</v>
      </c>
      <c r="M13" s="47" t="s">
        <v>21</v>
      </c>
      <c r="N13" s="126">
        <f>+SUMIF($B$7:$B$17,$M13,$D$7:$D$17)/('Tableau détaillé'!$N11*1000)</f>
        <v>23507.309384609052</v>
      </c>
      <c r="O13" s="126">
        <f>+SUMIF($B$7:$B$17,$M13,$H$7:$H$17)/('Tableau détaillé'!$N11*1000)</f>
        <v>8595.5253164460482</v>
      </c>
      <c r="P13" s="224">
        <f t="shared" si="1"/>
        <v>0.63434669719905079</v>
      </c>
      <c r="Q13" s="126">
        <f>+SUMIF($B$7:$B$17,$M13,$E$7:$E$17)/('Tableau détaillé'!$P11*1000)</f>
        <v>18143.391534810969</v>
      </c>
      <c r="R13" s="126">
        <f>+SUMIF($B$7:$B$17,$M13,$I$7:$I$17)/('Tableau détaillé'!$P11*1000)</f>
        <v>4561.82798567589</v>
      </c>
      <c r="S13" s="224">
        <f t="shared" si="2"/>
        <v>0.74856806805258547</v>
      </c>
    </row>
    <row r="14" spans="2:19">
      <c r="B14" s="773" t="s">
        <v>15</v>
      </c>
      <c r="C14" s="208" t="s">
        <v>138</v>
      </c>
      <c r="D14" s="741">
        <v>708252686460.45007</v>
      </c>
      <c r="E14" s="741">
        <v>749423419770.69995</v>
      </c>
      <c r="G14" s="208" t="s">
        <v>138</v>
      </c>
      <c r="H14" s="741">
        <v>157805678774.70001</v>
      </c>
      <c r="I14" s="741">
        <v>160595341326.92001</v>
      </c>
      <c r="K14"/>
      <c r="L14" t="s">
        <v>22</v>
      </c>
      <c r="M14" s="47" t="s">
        <v>22</v>
      </c>
      <c r="N14" s="126">
        <f>+SUMIF($B$7:$B$17,$M14,$D$7:$D$17)/('Tableau détaillé'!$N12*1000)</f>
        <v>57405.393809902518</v>
      </c>
      <c r="O14" s="126">
        <f>+SUMIF($B$7:$B$17,$M14,$H$7:$H$17)/('Tableau détaillé'!$N12*1000)</f>
        <v>14455.935101590559</v>
      </c>
      <c r="P14" s="224">
        <f>1-O14/N14</f>
        <v>0.74817810414364083</v>
      </c>
      <c r="Q14" s="126">
        <f>+SUMIF($B$7:$B$17,$M14,$E$7:$E$17)/('Tableau détaillé'!$P12*1000)</f>
        <v>51946.118767441854</v>
      </c>
      <c r="R14" s="126">
        <f>+SUMIF($B$7:$B$17,$M14,$I$7:$I$17)/('Tableau détaillé'!$P12*1000)</f>
        <v>13646.726916877735</v>
      </c>
      <c r="S14" s="224">
        <f t="shared" si="2"/>
        <v>0.73729073045913374</v>
      </c>
    </row>
    <row r="15" spans="2:19">
      <c r="B15" s="773" t="s">
        <v>22</v>
      </c>
      <c r="C15" s="208" t="s">
        <v>139</v>
      </c>
      <c r="D15" s="741">
        <v>2237662250.71</v>
      </c>
      <c r="E15" s="741">
        <v>2256019938.0699997</v>
      </c>
      <c r="G15" s="208" t="s">
        <v>139</v>
      </c>
      <c r="H15" s="741">
        <v>563492350.25999999</v>
      </c>
      <c r="I15" s="741">
        <v>592677350</v>
      </c>
      <c r="K15"/>
      <c r="L15" t="s">
        <v>62</v>
      </c>
      <c r="M15" s="48" t="s">
        <v>62</v>
      </c>
      <c r="N15" s="877">
        <f>SUM(N8:N14)</f>
        <v>742134.74342795287</v>
      </c>
      <c r="O15" s="877">
        <f>SUM(O8:O14)</f>
        <v>309784.3688768592</v>
      </c>
      <c r="P15" s="41">
        <f>1-O15/N15</f>
        <v>0.58257665252814927</v>
      </c>
      <c r="Q15" s="877">
        <f>SUM(Q8:Q14)</f>
        <v>677958.4207863959</v>
      </c>
      <c r="R15" s="877">
        <f>SUM(R8:R14)</f>
        <v>309464.15519995755</v>
      </c>
      <c r="S15" s="41">
        <f>1-R15/Q15</f>
        <v>0.5435351996351111</v>
      </c>
    </row>
    <row r="16" spans="2:19">
      <c r="B16" s="773" t="s">
        <v>17</v>
      </c>
      <c r="C16" s="208" t="s">
        <v>141</v>
      </c>
      <c r="D16" s="741">
        <v>77058486041</v>
      </c>
      <c r="E16" s="741">
        <v>83601843220</v>
      </c>
      <c r="G16" s="208" t="s">
        <v>141</v>
      </c>
      <c r="H16" s="741">
        <v>25863933863</v>
      </c>
      <c r="I16" s="741">
        <v>33943230186</v>
      </c>
      <c r="K16"/>
      <c r="L16" t="s">
        <v>15</v>
      </c>
      <c r="M16" s="47" t="s">
        <v>15</v>
      </c>
      <c r="N16" s="126">
        <f>+SUMIF($B$7:$B$17,$M16,$D$7:$D$17)/('Tableau détaillé'!$N14*1000)</f>
        <v>149782.21367236259</v>
      </c>
      <c r="O16" s="126">
        <f>+SUMIF($B$7:$B$17,$M16,$H$7:$H$17)/('Tableau détaillé'!$N14*1000)</f>
        <v>33372.953394740463</v>
      </c>
      <c r="P16" s="224">
        <f t="shared" ref="P16:P19" si="3">1-O16/N16</f>
        <v>0.7771901444336955</v>
      </c>
      <c r="Q16" s="126">
        <f>+SUMIF($B$7:$B$17,$M16,$E$7:$E$17)/('Tableau détaillé'!$P14*1000)</f>
        <v>150288.3584850308</v>
      </c>
      <c r="R16" s="126">
        <f>+SUMIF($B$7:$B$17,$M16,$I$7:$I$17)/('Tableau détaillé'!$P14*1000)</f>
        <v>32205.572432938876</v>
      </c>
      <c r="S16" s="224">
        <f t="shared" ref="S16:S19" si="4">1-R16/Q16</f>
        <v>0.78570813629489034</v>
      </c>
    </row>
    <row r="17" spans="2:19">
      <c r="B17" s="773" t="s">
        <v>20</v>
      </c>
      <c r="C17" s="208" t="s">
        <v>140</v>
      </c>
      <c r="D17" s="741">
        <v>21574619200</v>
      </c>
      <c r="E17" s="741">
        <v>25338955488</v>
      </c>
      <c r="G17" s="208" t="s">
        <v>140</v>
      </c>
      <c r="H17" s="741">
        <v>11515076516</v>
      </c>
      <c r="I17" s="741">
        <v>11763878000</v>
      </c>
      <c r="K17" s="741"/>
      <c r="L17" s="741" t="s">
        <v>16</v>
      </c>
      <c r="M17" s="47" t="s">
        <v>16</v>
      </c>
      <c r="N17" s="126">
        <f>+SUMIF($B$7:$B$17,$M17,$D$7:$D$17)/('Tableau détaillé'!$N15*1000)</f>
        <v>138741.6436687161</v>
      </c>
      <c r="O17" s="126">
        <f>+SUMIF($B$7:$B$17,$M17,$H$7:$H$17)/('Tableau détaillé'!$N15*1000)</f>
        <v>47860.079372580825</v>
      </c>
      <c r="P17" s="224">
        <f t="shared" si="3"/>
        <v>0.65504171561596936</v>
      </c>
      <c r="Q17" s="126">
        <f>+SUMIF($B$7:$B$17,$M17,$E$7:$E$17)/('Tableau détaillé'!$P15*1000)</f>
        <v>158831.65120122203</v>
      </c>
      <c r="R17" s="126">
        <f>+SUMIF($B$7:$B$17,$M17,$I$7:$I$17)/('Tableau détaillé'!$P15*1000)</f>
        <v>54508.809557638684</v>
      </c>
      <c r="S17" s="224">
        <f t="shared" si="4"/>
        <v>0.65681393383877817</v>
      </c>
    </row>
    <row r="18" spans="2:19">
      <c r="B18" s="773"/>
      <c r="C18" s="208" t="s">
        <v>473</v>
      </c>
      <c r="D18" s="741">
        <v>1909702231607.7402</v>
      </c>
      <c r="E18" s="741">
        <v>1770758200074.49</v>
      </c>
      <c r="G18" s="208" t="s">
        <v>473</v>
      </c>
      <c r="H18" s="741">
        <v>619064889769.40002</v>
      </c>
      <c r="I18" s="741">
        <v>582019169428.38</v>
      </c>
      <c r="K18" s="741"/>
      <c r="L18" s="741" t="s">
        <v>20</v>
      </c>
      <c r="M18" s="47" t="s">
        <v>20</v>
      </c>
      <c r="N18" s="126">
        <f>+SUMIF($B$7:$B$17,$M18,$D$7:$D$17)/('Tableau détaillé'!$N16*1000)</f>
        <v>32890.294943113651</v>
      </c>
      <c r="O18" s="126">
        <f>+SUMIF($B$7:$B$17,$M18,$H$7:$H$17)/('Tableau détaillé'!$N16*1000)</f>
        <v>17554.620982777833</v>
      </c>
      <c r="P18" s="224">
        <f t="shared" si="3"/>
        <v>0.46626745022688521</v>
      </c>
      <c r="Q18" s="126">
        <f>+SUMIF($B$7:$B$17,$M18,$E$7:$E$17)/('Tableau détaillé'!$P16*1000)</f>
        <v>38628.988619680866</v>
      </c>
      <c r="R18" s="126">
        <f>+SUMIF($B$7:$B$17,$M18,$I$7:$I$17)/('Tableau détaillé'!$P16*1000)</f>
        <v>17933.916400007929</v>
      </c>
      <c r="S18" s="224">
        <f t="shared" si="4"/>
        <v>0.53573942676638242</v>
      </c>
    </row>
    <row r="19" spans="2:19">
      <c r="L19" s="750" t="s">
        <v>23</v>
      </c>
      <c r="M19" s="47" t="s">
        <v>23</v>
      </c>
      <c r="N19" s="126">
        <f>+SUMIF($B$7:$B$17,$M19,$D$7:$D$17)/('Tableau détaillé'!$N17*1000)</f>
        <v>15329.029576633835</v>
      </c>
      <c r="O19" s="126">
        <f>+SUMIF($B$7:$B$17,$M19,$H$7:$H$17)/('Tableau détaillé'!$N17*1000)</f>
        <v>8507.1403095019941</v>
      </c>
      <c r="P19" s="224">
        <f t="shared" si="3"/>
        <v>0.44503073289978523</v>
      </c>
      <c r="Q19" s="126">
        <f>+SUMIF($B$7:$B$17,$M19,$E$7:$E$17)/('Tableau détaillé'!$P17*1000)</f>
        <v>13572.139692083474</v>
      </c>
      <c r="R19" s="126">
        <f>+SUMIF($B$7:$B$17,$M19,$I$7:$I$17)/('Tableau détaillé'!$P17*1000)</f>
        <v>6363.4026300504456</v>
      </c>
      <c r="S19" s="224">
        <f t="shared" si="4"/>
        <v>0.53114226832176137</v>
      </c>
    </row>
    <row r="20" spans="2:19" ht="15" thickBot="1">
      <c r="L20" s="750" t="s">
        <v>63</v>
      </c>
      <c r="M20" s="49" t="s">
        <v>63</v>
      </c>
      <c r="N20" s="129">
        <f>SUM(N15:N19)</f>
        <v>1078877.925288779</v>
      </c>
      <c r="O20" s="129">
        <f>SUM(O15:O19)</f>
        <v>417079.16293646034</v>
      </c>
      <c r="P20" s="701">
        <f t="shared" ref="P20" si="5">1-O20/N20</f>
        <v>0.61341394317172404</v>
      </c>
      <c r="Q20" s="129">
        <f>SUM(Q15:Q19)</f>
        <v>1039279.558784413</v>
      </c>
      <c r="R20" s="129">
        <f>SUM(R15:R19)</f>
        <v>420475.85622059344</v>
      </c>
      <c r="S20" s="701">
        <f t="shared" ref="S20" si="6">1-R20/Q20</f>
        <v>0.59541602385367765</v>
      </c>
    </row>
    <row r="21" spans="2:19" ht="15" thickTop="1">
      <c r="F21" s="865"/>
    </row>
  </sheetData>
  <mergeCells count="3">
    <mergeCell ref="D2:E2"/>
    <mergeCell ref="H2:I2"/>
    <mergeCell ref="B3:B6"/>
  </mergeCells>
  <pageMargins left="0.7" right="0.7" top="0.75" bottom="0.75" header="0.3" footer="0.3"/>
  <pageSetup paperSize="9" orientation="portrait" verticalDpi="0" r:id="rId3"/>
  <headerFooter>
    <oddFooter>&amp;R&amp;1#&amp;"Calibri"&amp;10&amp;K000000C2 - Confidential</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2">
    <tabColor rgb="FF00B050"/>
  </sheetPr>
  <dimension ref="B1:AW1060"/>
  <sheetViews>
    <sheetView showGridLines="0" topLeftCell="A205" zoomScale="95" zoomScaleNormal="85" workbookViewId="0">
      <pane xSplit="4" topLeftCell="E1" activePane="topRight" state="frozen"/>
      <selection activeCell="H24" sqref="H24"/>
      <selection pane="topRight" activeCell="D234" sqref="D234"/>
    </sheetView>
  </sheetViews>
  <sheetFormatPr baseColWidth="10" defaultColWidth="11.5546875" defaultRowHeight="13.8" outlineLevelRow="1"/>
  <cols>
    <col min="1" max="1" width="5.33203125" style="28" customWidth="1"/>
    <col min="2" max="2" width="12.6640625" style="28" customWidth="1"/>
    <col min="3" max="3" width="43.5546875" style="265" bestFit="1" customWidth="1"/>
    <col min="4" max="4" width="17.33203125" style="28" customWidth="1"/>
    <col min="5" max="5" width="13.109375" style="28" customWidth="1"/>
    <col min="6" max="6" width="11.6640625" style="28" customWidth="1"/>
    <col min="7" max="7" width="12.6640625" style="28" customWidth="1"/>
    <col min="8" max="8" width="13.33203125" style="51" customWidth="1"/>
    <col min="9" max="9" width="13.44140625" style="51" customWidth="1"/>
    <col min="10" max="10" width="14" style="51" bestFit="1" customWidth="1"/>
    <col min="11" max="13" width="11.5546875" style="51"/>
    <col min="14" max="14" width="14.109375" style="452" bestFit="1" customWidth="1"/>
    <col min="15" max="15" width="14.44140625" style="452" bestFit="1" customWidth="1"/>
    <col min="16" max="16" width="14.5546875" style="452" customWidth="1"/>
    <col min="17" max="17" width="14.109375" style="452" customWidth="1"/>
    <col min="18" max="18" width="13.33203125" style="452" customWidth="1"/>
    <col min="19" max="19" width="14.109375" style="452" bestFit="1" customWidth="1"/>
    <col min="20" max="20" width="11.5546875" style="452"/>
    <col min="21" max="21" width="15" style="51" bestFit="1" customWidth="1"/>
    <col min="22" max="22" width="14.109375" style="51" bestFit="1" customWidth="1"/>
    <col min="23" max="37" width="11.5546875" style="28" customWidth="1"/>
    <col min="38" max="16384" width="11.5546875" style="28"/>
  </cols>
  <sheetData>
    <row r="1" spans="3:27" ht="9" customHeight="1" thickBot="1"/>
    <row r="2" spans="3:27" ht="39" customHeight="1" thickTop="1" thickBot="1">
      <c r="C2" s="434" t="s">
        <v>160</v>
      </c>
      <c r="D2" s="94" t="s">
        <v>159</v>
      </c>
      <c r="E2" s="133">
        <v>44926</v>
      </c>
      <c r="F2" s="133">
        <v>44926</v>
      </c>
      <c r="G2" s="133">
        <v>45291</v>
      </c>
      <c r="H2" s="174" t="s">
        <v>195</v>
      </c>
      <c r="I2" s="175" t="s">
        <v>196</v>
      </c>
      <c r="J2" s="95" t="s">
        <v>157</v>
      </c>
      <c r="K2" s="95" t="s">
        <v>158</v>
      </c>
      <c r="L2" s="95"/>
      <c r="M2" s="95"/>
      <c r="N2" s="453"/>
      <c r="O2" s="453"/>
      <c r="P2" s="453"/>
      <c r="Q2" s="453"/>
      <c r="R2" s="453"/>
      <c r="S2" s="453"/>
      <c r="T2" s="453"/>
      <c r="U2" s="99"/>
      <c r="V2" s="99"/>
    </row>
    <row r="3" spans="3:27" ht="15" thickTop="1" thickBot="1">
      <c r="L3" s="98"/>
      <c r="M3" s="98"/>
      <c r="N3" s="170"/>
      <c r="O3" s="170"/>
      <c r="P3" s="170"/>
      <c r="Q3" s="170"/>
      <c r="R3" s="170"/>
      <c r="S3" s="170"/>
      <c r="T3" s="170"/>
      <c r="U3" s="98"/>
      <c r="V3" s="98" t="s">
        <v>188</v>
      </c>
    </row>
    <row r="4" spans="3:27" ht="28.95" customHeight="1" thickTop="1" thickBot="1">
      <c r="C4" s="459" t="s">
        <v>59</v>
      </c>
      <c r="D4" s="29"/>
      <c r="E4" s="747">
        <v>44926</v>
      </c>
      <c r="F4" s="747">
        <v>44926</v>
      </c>
      <c r="G4" s="747">
        <v>45291</v>
      </c>
      <c r="H4" s="232" t="s">
        <v>187</v>
      </c>
      <c r="I4" s="233" t="s">
        <v>496</v>
      </c>
      <c r="J4" s="159" t="s">
        <v>444</v>
      </c>
      <c r="K4" s="158" t="s">
        <v>495</v>
      </c>
      <c r="L4" s="158" t="s">
        <v>152</v>
      </c>
      <c r="M4" s="158"/>
      <c r="N4" s="438" t="s">
        <v>494</v>
      </c>
      <c r="O4" s="438" t="s">
        <v>494</v>
      </c>
      <c r="P4" s="438" t="s">
        <v>560</v>
      </c>
      <c r="Q4" s="280"/>
      <c r="R4" s="279" t="s">
        <v>241</v>
      </c>
      <c r="S4" s="279" t="s">
        <v>494</v>
      </c>
      <c r="T4" s="281"/>
      <c r="U4" s="169"/>
      <c r="V4" s="62">
        <f>+MONTH($G$4)/12</f>
        <v>1</v>
      </c>
      <c r="W4" s="774"/>
      <c r="X4" s="774"/>
      <c r="Y4" s="774"/>
      <c r="Z4" s="275"/>
      <c r="AA4" s="265"/>
    </row>
    <row r="5" spans="3:27" ht="15" thickTop="1">
      <c r="C5" s="460" t="s">
        <v>215</v>
      </c>
      <c r="D5" s="30" t="s">
        <v>64</v>
      </c>
      <c r="E5" s="124">
        <f>SUM(E13,E18)</f>
        <v>1137405.92432</v>
      </c>
      <c r="F5" s="124">
        <f>SUM(F13,F18)</f>
        <v>1137405.92432</v>
      </c>
      <c r="G5" s="124">
        <f>SUM(G13,G18)</f>
        <v>1087818.69187</v>
      </c>
      <c r="H5" s="234">
        <f>+G5/I5</f>
        <v>0.91013031367336794</v>
      </c>
      <c r="I5" s="157">
        <f>SUM(I13,I18)</f>
        <v>1195233.9961949687</v>
      </c>
      <c r="J5" s="450">
        <f t="shared" ref="J5:J6" si="0">+$H$5</f>
        <v>0.91013031367336794</v>
      </c>
      <c r="K5" s="61">
        <f>+G5/F5</f>
        <v>0.9564032229921382</v>
      </c>
      <c r="L5" s="61">
        <f>+R5/E5-1</f>
        <v>-1.1055680140595214E-2</v>
      </c>
      <c r="M5" s="61">
        <f>+$L$5</f>
        <v>-1.1055680140595214E-2</v>
      </c>
      <c r="N5" s="439"/>
      <c r="O5" s="439"/>
      <c r="P5" s="439"/>
      <c r="Q5" s="282"/>
      <c r="R5" s="283">
        <f>SUM(R13,R18)</f>
        <v>1124831.1282307</v>
      </c>
      <c r="S5" s="283">
        <f>SUM(S13,S18)</f>
        <v>1124831.1282307</v>
      </c>
      <c r="T5" s="284"/>
      <c r="U5" s="169"/>
      <c r="V5" s="774"/>
      <c r="W5" s="774"/>
      <c r="X5" s="774"/>
      <c r="Y5" s="774"/>
      <c r="Z5" s="275"/>
      <c r="AA5" s="265"/>
    </row>
    <row r="6" spans="3:27" ht="14.4">
      <c r="C6" s="435"/>
      <c r="D6" s="47" t="s">
        <v>13</v>
      </c>
      <c r="E6" s="126">
        <f>+SUMIF('Mois Y-1'!$A$25:$A$52,'Tableau détaillé'!$D6,'Mois Y-1'!$E$25:$E$52)</f>
        <v>317238.79381</v>
      </c>
      <c r="F6" s="126">
        <f>+SUMIF('Dec A-1'!$A$26:$A$56,'Tableau détaillé'!$D6,'Dec A-1'!$E$26:$E$56)</f>
        <v>317238.79381</v>
      </c>
      <c r="G6" s="126">
        <f>+SUMIF('Mois courant'!$A$29:$A$60,'Tableau détaillé'!$D6,'Mois courant'!$E$29:$E$60)</f>
        <v>322664.15944999998</v>
      </c>
      <c r="H6" s="163">
        <f t="shared" ref="H6:H18" si="1">+G6/I6</f>
        <v>0.8768047811141304</v>
      </c>
      <c r="I6" s="126">
        <v>368000</v>
      </c>
      <c r="J6" s="62">
        <f t="shared" si="0"/>
        <v>0.91013031367336794</v>
      </c>
      <c r="K6" s="62">
        <f t="shared" ref="K6:K18" si="2">+G6/F6</f>
        <v>1.0171018354181782</v>
      </c>
      <c r="L6" s="62">
        <f>+R6/E6-1</f>
        <v>1.7101835418178224E-2</v>
      </c>
      <c r="M6" s="62">
        <f>+$L$5</f>
        <v>-1.1055680140595214E-2</v>
      </c>
      <c r="N6" s="277">
        <v>655.95699999999999</v>
      </c>
      <c r="O6" s="277">
        <v>655.95699999999999</v>
      </c>
      <c r="P6" s="277">
        <v>655.95699999999999</v>
      </c>
      <c r="Q6" s="286"/>
      <c r="R6" s="285">
        <f>+G6*P6/N6</f>
        <v>322664.15944999998</v>
      </c>
      <c r="S6" s="285">
        <f>+G6*P6/O6</f>
        <v>322664.15944999998</v>
      </c>
      <c r="T6" s="287"/>
      <c r="U6" s="254"/>
      <c r="V6" s="774"/>
      <c r="W6" s="774"/>
      <c r="X6" s="774"/>
      <c r="Y6" s="774"/>
      <c r="Z6" s="275"/>
      <c r="AA6" s="265"/>
    </row>
    <row r="7" spans="3:27" ht="14.4">
      <c r="C7" s="435"/>
      <c r="D7" s="47" t="s">
        <v>14</v>
      </c>
      <c r="E7" s="126">
        <f>+SUMIF('Mois Y-1'!$A$25:$A$52,'Tableau détaillé'!$D7,'Mois Y-1'!$E$25:$E$52)</f>
        <v>54968.149580000005</v>
      </c>
      <c r="F7" s="126">
        <f>+SUMIF('Dec A-1'!$A$26:$A$56,'Tableau détaillé'!$D7,'Dec A-1'!$E$26:$E$56)</f>
        <v>54968.149580000005</v>
      </c>
      <c r="G7" s="126">
        <f>+SUMIF('Mois courant'!$A$29:$A$60,'Tableau détaillé'!$D7,'Mois courant'!$E$29:$E$60)</f>
        <v>45263.795340000004</v>
      </c>
      <c r="H7" s="163">
        <f t="shared" si="1"/>
        <v>0.65034735217816808</v>
      </c>
      <c r="I7" s="126">
        <v>69599.415125472224</v>
      </c>
      <c r="J7" s="62">
        <f t="shared" ref="J7:J18" si="3">+$H$5</f>
        <v>0.91013031367336794</v>
      </c>
      <c r="K7" s="62">
        <f t="shared" si="2"/>
        <v>0.8234549586597163</v>
      </c>
      <c r="L7" s="62">
        <f t="shared" ref="L7:L18" si="4">+R7/E7-1</f>
        <v>0.18186679744042555</v>
      </c>
      <c r="M7" s="62">
        <f t="shared" ref="M7:M18" si="5">+$L$5</f>
        <v>-1.1055680140595214E-2</v>
      </c>
      <c r="N7" s="278">
        <f>Source!GI37</f>
        <v>9.1456999999999997</v>
      </c>
      <c r="O7" s="278">
        <v>9.1456999999999997</v>
      </c>
      <c r="P7" s="278">
        <f>Source!GI38</f>
        <v>13.1264</v>
      </c>
      <c r="Q7" s="286"/>
      <c r="R7" s="285">
        <f>+G7*P7/N7</f>
        <v>64965.030905340878</v>
      </c>
      <c r="S7" s="285">
        <f>+G7*P7/O7</f>
        <v>64965.030905340878</v>
      </c>
      <c r="T7" s="287"/>
      <c r="U7" s="254"/>
      <c r="V7" s="774"/>
      <c r="W7" s="774"/>
      <c r="X7" s="774"/>
      <c r="Y7" s="774"/>
      <c r="Z7" s="275"/>
      <c r="AA7" s="265"/>
    </row>
    <row r="8" spans="3:27" ht="14.4">
      <c r="C8" s="435"/>
      <c r="D8" s="47" t="s">
        <v>17</v>
      </c>
      <c r="E8" s="126">
        <f>+SUMIF('Mois Y-1'!$A$25:$A$52,'Tableau détaillé'!$D8,'Mois Y-1'!$E$25:$E$52)</f>
        <v>125175.46533000001</v>
      </c>
      <c r="F8" s="126">
        <f>+SUMIF('Dec A-1'!$A$26:$A$56,'Tableau détaillé'!$D8,'Dec A-1'!$E$26:$E$56)</f>
        <v>125175.46533000001</v>
      </c>
      <c r="G8" s="126">
        <f>+SUMIF('Mois courant'!$A$29:$A$60,'Tableau détaillé'!$D8,'Mois courant'!$E$29:$E$60)</f>
        <v>134020.02697000001</v>
      </c>
      <c r="H8" s="163">
        <f t="shared" si="1"/>
        <v>1.0182901815228522</v>
      </c>
      <c r="I8" s="126">
        <v>131612.80487804877</v>
      </c>
      <c r="J8" s="62">
        <f t="shared" si="3"/>
        <v>0.91013031367336794</v>
      </c>
      <c r="K8" s="62">
        <f t="shared" si="2"/>
        <v>1.0706573098544758</v>
      </c>
      <c r="L8" s="62">
        <f t="shared" si="4"/>
        <v>7.0657309854475825E-2</v>
      </c>
      <c r="M8" s="62">
        <f t="shared" si="5"/>
        <v>-1.1055680140595214E-2</v>
      </c>
      <c r="N8" s="277">
        <v>655.95699999999999</v>
      </c>
      <c r="O8" s="277">
        <v>655.95699999999999</v>
      </c>
      <c r="P8" s="277">
        <v>655.95699999999999</v>
      </c>
      <c r="Q8" s="286"/>
      <c r="R8" s="285">
        <f t="shared" ref="R8:R12" si="6">+G8*P8/N8</f>
        <v>134020.02697000001</v>
      </c>
      <c r="S8" s="285">
        <f t="shared" ref="S8:S12" si="7">+G8*P8/O8</f>
        <v>134020.02697000001</v>
      </c>
      <c r="T8" s="287"/>
      <c r="U8" s="254"/>
      <c r="V8" s="774"/>
      <c r="W8" s="774"/>
      <c r="X8" s="774"/>
      <c r="Y8" s="774"/>
      <c r="Z8" s="275"/>
      <c r="AA8" s="265"/>
    </row>
    <row r="9" spans="3:27" ht="14.4">
      <c r="C9" s="435"/>
      <c r="D9" s="47" t="s">
        <v>18</v>
      </c>
      <c r="E9" s="126">
        <f>+SUMIF('Mois Y-1'!$A$25:$A$52,'Tableau détaillé'!$D9,'Mois Y-1'!$E$25:$E$52)</f>
        <v>117073.00637</v>
      </c>
      <c r="F9" s="126">
        <f>+SUMIF('Dec A-1'!$A$26:$A$56,'Tableau détaillé'!$D9,'Dec A-1'!$E$26:$E$56)</f>
        <v>117073.00637</v>
      </c>
      <c r="G9" s="126">
        <f>+SUMIF('Mois courant'!$A$29:$A$60,'Tableau détaillé'!$D9,'Mois courant'!$E$29:$E$60)</f>
        <v>74707.887700000007</v>
      </c>
      <c r="H9" s="163">
        <f t="shared" si="1"/>
        <v>0.61917954643017015</v>
      </c>
      <c r="I9" s="126">
        <v>120656.25896514561</v>
      </c>
      <c r="J9" s="62">
        <f t="shared" si="3"/>
        <v>0.91013031367336794</v>
      </c>
      <c r="K9" s="62">
        <f t="shared" si="2"/>
        <v>0.63813076999057849</v>
      </c>
      <c r="L9" s="62">
        <f>+R9/E9-1</f>
        <v>-0.36186923000942151</v>
      </c>
      <c r="M9" s="62">
        <f t="shared" si="5"/>
        <v>-1.1055680140595214E-2</v>
      </c>
      <c r="N9" s="277">
        <v>655.95699999999999</v>
      </c>
      <c r="O9" s="277">
        <v>655.95699999999999</v>
      </c>
      <c r="P9" s="277">
        <v>655.95699999999999</v>
      </c>
      <c r="Q9" s="286"/>
      <c r="R9" s="285">
        <f t="shared" si="6"/>
        <v>74707.887700000007</v>
      </c>
      <c r="S9" s="285">
        <f t="shared" si="7"/>
        <v>74707.887700000007</v>
      </c>
      <c r="T9" s="287"/>
      <c r="U9" s="254"/>
      <c r="V9" s="774"/>
      <c r="W9" s="774"/>
      <c r="X9" s="774"/>
      <c r="Y9" s="774"/>
      <c r="Z9" s="275"/>
      <c r="AA9" s="265"/>
    </row>
    <row r="10" spans="3:27" ht="14.4">
      <c r="C10" s="435"/>
      <c r="D10" s="47" t="s">
        <v>19</v>
      </c>
      <c r="E10" s="126">
        <f>+SUMIF('Mois Y-1'!$A$25:$A$52,'Tableau détaillé'!$D10,'Mois Y-1'!$E$25:$E$52)</f>
        <v>76275.235499999995</v>
      </c>
      <c r="F10" s="126">
        <f>+SUMIF('Dec A-1'!$A$26:$A$56,'Tableau détaillé'!$D10,'Dec A-1'!$E$26:$E$56)</f>
        <v>76275.235499999995</v>
      </c>
      <c r="G10" s="126">
        <f>+SUMIF('Mois courant'!$A$29:$A$60,'Tableau détaillé'!$D10,'Mois courant'!$E$29:$E$60)</f>
        <v>58340.603730000003</v>
      </c>
      <c r="H10" s="163">
        <f t="shared" si="1"/>
        <v>0.71147077719512197</v>
      </c>
      <c r="I10" s="126">
        <v>82000</v>
      </c>
      <c r="J10" s="62">
        <f t="shared" si="3"/>
        <v>0.91013031367336794</v>
      </c>
      <c r="K10" s="62">
        <f t="shared" si="2"/>
        <v>0.76486953265454038</v>
      </c>
      <c r="L10" s="62">
        <f>+R10/E10-1</f>
        <v>-0.21032059016346116</v>
      </c>
      <c r="M10" s="62">
        <f t="shared" si="5"/>
        <v>-1.1055680140595214E-2</v>
      </c>
      <c r="N10" s="277">
        <f>Source!GI39</f>
        <v>9085.2922999999992</v>
      </c>
      <c r="O10" s="277">
        <v>9085.2922999999992</v>
      </c>
      <c r="P10" s="277">
        <f>Source!GI40</f>
        <v>9379.9896000000008</v>
      </c>
      <c r="Q10" s="286"/>
      <c r="R10" s="285">
        <f>+G10*P10/N10</f>
        <v>60232.982954783009</v>
      </c>
      <c r="S10" s="285">
        <f t="shared" si="7"/>
        <v>60232.982954783009</v>
      </c>
      <c r="T10" s="287"/>
      <c r="U10" s="254"/>
      <c r="V10" s="209"/>
      <c r="W10" s="774"/>
      <c r="X10" s="774"/>
      <c r="Y10" s="774"/>
      <c r="Z10" s="275"/>
      <c r="AA10" s="265"/>
    </row>
    <row r="11" spans="3:27" ht="14.4">
      <c r="C11" s="435"/>
      <c r="D11" s="47" t="s">
        <v>21</v>
      </c>
      <c r="E11" s="126">
        <f>+SUMIF('Mois Y-1'!$A$25:$A$52,'Tableau détaillé'!$D11,'Mois Y-1'!$E$25:$E$52)</f>
        <v>24792.454619999997</v>
      </c>
      <c r="F11" s="126">
        <f>+SUMIF('Dec A-1'!$A$26:$A$56,'Tableau détaillé'!$D11,'Dec A-1'!$E$26:$E$56)</f>
        <v>24792.454619999997</v>
      </c>
      <c r="G11" s="126">
        <f>+SUMIF('Mois courant'!$A$29:$A$60,'Tableau détaillé'!$D11,'Mois courant'!$E$29:$E$60)</f>
        <v>19347.1162</v>
      </c>
      <c r="H11" s="163">
        <f>+G11/I11</f>
        <v>0.67870097471657753</v>
      </c>
      <c r="I11" s="126">
        <v>28506.09756097561</v>
      </c>
      <c r="J11" s="62">
        <f t="shared" si="3"/>
        <v>0.91013031367336794</v>
      </c>
      <c r="K11" s="62">
        <f t="shared" si="2"/>
        <v>0.78036307806298222</v>
      </c>
      <c r="L11" s="62">
        <f>+R11/E11-1</f>
        <v>-0.21963692193701778</v>
      </c>
      <c r="M11" s="62">
        <f t="shared" si="5"/>
        <v>-1.1055680140595214E-2</v>
      </c>
      <c r="N11" s="277">
        <v>655.95699999999999</v>
      </c>
      <c r="O11" s="277">
        <v>655.95699999999999</v>
      </c>
      <c r="P11" s="277">
        <v>655.95699999999999</v>
      </c>
      <c r="Q11" s="286"/>
      <c r="R11" s="285">
        <f t="shared" si="6"/>
        <v>19347.1162</v>
      </c>
      <c r="S11" s="285">
        <f t="shared" si="7"/>
        <v>19347.1162</v>
      </c>
      <c r="T11" s="287"/>
      <c r="U11" s="254"/>
      <c r="V11" s="449"/>
      <c r="W11" s="449"/>
      <c r="X11" s="449"/>
      <c r="Y11" s="449"/>
      <c r="Z11" s="275"/>
      <c r="AA11" s="265"/>
    </row>
    <row r="12" spans="3:27" ht="14.4">
      <c r="C12" s="435"/>
      <c r="D12" s="47" t="s">
        <v>22</v>
      </c>
      <c r="E12" s="126">
        <f>+SUMIF('Mois Y-1'!$A$25:$A$52,'Tableau détaillé'!$D12,'Mois Y-1'!$E$25:$E$52)</f>
        <v>59458.187019999998</v>
      </c>
      <c r="F12" s="126">
        <f>+SUMIF('Dec A-1'!$A$26:$A$56,'Tableau détaillé'!$D12,'Dec A-1'!$E$26:$E$56)</f>
        <v>59458.187019999998</v>
      </c>
      <c r="G12" s="126">
        <f>+SUMIF('Mois courant'!$A$29:$A$60,'Tableau détaillé'!$D12,'Mois courant'!$E$29:$E$60)</f>
        <v>58444.022320000004</v>
      </c>
      <c r="H12" s="163">
        <f t="shared" si="1"/>
        <v>0.94264552129032264</v>
      </c>
      <c r="I12" s="126">
        <v>62000</v>
      </c>
      <c r="J12" s="62">
        <f t="shared" si="3"/>
        <v>0.91013031367336794</v>
      </c>
      <c r="K12" s="62">
        <f t="shared" si="2"/>
        <v>0.98294322866489592</v>
      </c>
      <c r="L12" s="62">
        <f t="shared" si="4"/>
        <v>9.5157117006578584E-2</v>
      </c>
      <c r="M12" s="62">
        <f t="shared" si="5"/>
        <v>-1.1055680140595214E-2</v>
      </c>
      <c r="N12" s="277">
        <f>Source!GI43</f>
        <v>38.979999999999997</v>
      </c>
      <c r="O12" s="277">
        <v>38.979999999999997</v>
      </c>
      <c r="P12" s="277">
        <f>Source!GI44</f>
        <v>43.43</v>
      </c>
      <c r="Q12" s="286"/>
      <c r="R12" s="285">
        <f t="shared" si="6"/>
        <v>65116.056679261172</v>
      </c>
      <c r="S12" s="285">
        <f t="shared" si="7"/>
        <v>65116.056679261172</v>
      </c>
      <c r="T12" s="287"/>
      <c r="U12" s="254"/>
      <c r="V12" s="449"/>
      <c r="W12" s="449"/>
      <c r="X12" s="449"/>
      <c r="Y12" s="449"/>
      <c r="Z12" s="275"/>
      <c r="AA12" s="265"/>
    </row>
    <row r="13" spans="3:27" ht="14.4">
      <c r="C13" s="435"/>
      <c r="D13" s="48" t="s">
        <v>62</v>
      </c>
      <c r="E13" s="124">
        <f>SUM(E6:E12)</f>
        <v>774981.2922299999</v>
      </c>
      <c r="F13" s="124">
        <f>SUM(F6:F12)</f>
        <v>774981.2922299999</v>
      </c>
      <c r="G13" s="124">
        <f>SUM(G6:G12)</f>
        <v>712787.61170999997</v>
      </c>
      <c r="H13" s="103">
        <f t="shared" si="1"/>
        <v>0.82654061368366361</v>
      </c>
      <c r="I13" s="124">
        <f>SUM(I6:I12)</f>
        <v>862374.57652964222</v>
      </c>
      <c r="J13" s="62">
        <f t="shared" si="3"/>
        <v>0.91013031367336794</v>
      </c>
      <c r="K13" s="61">
        <f t="shared" si="2"/>
        <v>0.91974815244760511</v>
      </c>
      <c r="L13" s="61">
        <f t="shared" si="4"/>
        <v>-4.3779161782070086E-2</v>
      </c>
      <c r="M13" s="61">
        <f t="shared" si="5"/>
        <v>-1.1055680140595214E-2</v>
      </c>
      <c r="N13" s="277"/>
      <c r="O13" s="277"/>
      <c r="P13" s="277"/>
      <c r="Q13" s="286"/>
      <c r="R13" s="285">
        <f>SUM(R6:R12)</f>
        <v>741053.26085938502</v>
      </c>
      <c r="S13" s="285">
        <f>SUM(S6:S12)</f>
        <v>741053.26085938502</v>
      </c>
      <c r="T13" s="284"/>
      <c r="U13" s="169"/>
      <c r="V13" s="449"/>
      <c r="W13" s="449"/>
      <c r="X13" s="449"/>
      <c r="Y13" s="449"/>
      <c r="Z13" s="252"/>
      <c r="AA13" s="265"/>
    </row>
    <row r="14" spans="3:27" ht="14.4">
      <c r="C14" s="435"/>
      <c r="D14" s="47" t="s">
        <v>15</v>
      </c>
      <c r="E14" s="126">
        <f>+SUMIF('Mois Y-1'!$A$25:$A$52,'Tableau détaillé'!$D14,'Mois Y-1'!$E$25:$E$52)</f>
        <v>168934.49978000001</v>
      </c>
      <c r="F14" s="126">
        <f>+SUMIF('Dec A-1'!$A$26:$A$56,'Tableau détaillé'!$D14,'Dec A-1'!$E$26:$E$56)</f>
        <v>168934.49978000001</v>
      </c>
      <c r="G14" s="126">
        <f>+SUMIF('Mois courant'!$A$29:$A$60,'Tableau détaillé'!$D14,'Mois courant'!$E$29:$E$60)</f>
        <v>160296.18117999999</v>
      </c>
      <c r="H14" s="163">
        <f t="shared" si="1"/>
        <v>1.1536743217981034</v>
      </c>
      <c r="I14" s="126">
        <v>138944.04872439583</v>
      </c>
      <c r="J14" s="62">
        <f t="shared" si="3"/>
        <v>0.91013031367336794</v>
      </c>
      <c r="K14" s="62">
        <f t="shared" si="2"/>
        <v>0.948865870433514</v>
      </c>
      <c r="L14" s="62">
        <f t="shared" si="4"/>
        <v>6.420749548268212E-4</v>
      </c>
      <c r="M14" s="62">
        <f t="shared" si="5"/>
        <v>-1.1055680140595214E-2</v>
      </c>
      <c r="N14" s="277">
        <f>Source!GI41</f>
        <v>4728.55</v>
      </c>
      <c r="O14" s="277">
        <v>4728.55</v>
      </c>
      <c r="P14" s="277">
        <f>Source!GI42</f>
        <v>4986.57</v>
      </c>
      <c r="Q14" s="286"/>
      <c r="R14" s="285">
        <f>+G14*P14/N14</f>
        <v>169042.96839131496</v>
      </c>
      <c r="S14" s="285">
        <f>+G14*P14/O14</f>
        <v>169042.96839131496</v>
      </c>
      <c r="T14" s="287"/>
      <c r="U14" s="254"/>
      <c r="V14" s="449"/>
      <c r="W14" s="449"/>
      <c r="X14" s="449"/>
      <c r="Y14" s="449"/>
      <c r="Z14" s="252"/>
      <c r="AA14" s="265"/>
    </row>
    <row r="15" spans="3:27" ht="14.4">
      <c r="C15" s="435"/>
      <c r="D15" s="47" t="s">
        <v>16</v>
      </c>
      <c r="E15" s="126">
        <f>+SUMIF('Mois Y-1'!$A$25:$A$52,'Tableau détaillé'!$D15,'Mois Y-1'!$E$25:$E$52)</f>
        <v>142517.21534999998</v>
      </c>
      <c r="F15" s="126">
        <f>+SUMIF('Dec A-1'!$A$26:$A$56,'Tableau détaillé'!$D15,'Dec A-1'!$E$26:$E$56)</f>
        <v>142517.21534999998</v>
      </c>
      <c r="G15" s="126">
        <f>+SUMIF('Mois courant'!$A$29:$A$60,'Tableau détaillé'!$D15,'Mois courant'!$E$29:$E$60)</f>
        <v>162555.92911</v>
      </c>
      <c r="H15" s="163">
        <f t="shared" si="1"/>
        <v>1.0713839808764007</v>
      </c>
      <c r="I15" s="126">
        <v>151725.18164498589</v>
      </c>
      <c r="J15" s="62">
        <f t="shared" si="3"/>
        <v>0.91013031367336794</v>
      </c>
      <c r="K15" s="62">
        <f t="shared" si="2"/>
        <v>1.1406055662173027</v>
      </c>
      <c r="L15" s="62">
        <f t="shared" si="4"/>
        <v>0.14060556621730269</v>
      </c>
      <c r="M15" s="62">
        <f t="shared" si="5"/>
        <v>-1.1055680140595214E-2</v>
      </c>
      <c r="N15" s="277">
        <v>655.95699999999999</v>
      </c>
      <c r="O15" s="277">
        <v>655.95699999999999</v>
      </c>
      <c r="P15" s="277">
        <v>655.95699999999999</v>
      </c>
      <c r="Q15" s="286"/>
      <c r="R15" s="285">
        <f>+G15*P15/N15</f>
        <v>162555.92911</v>
      </c>
      <c r="S15" s="285">
        <f>+G15*P15/O15</f>
        <v>162555.92911</v>
      </c>
      <c r="T15" s="287"/>
      <c r="U15" s="254"/>
      <c r="V15" s="449"/>
      <c r="W15" s="449"/>
      <c r="X15" s="449"/>
      <c r="Y15" s="449"/>
      <c r="Z15" s="252"/>
      <c r="AA15" s="265"/>
    </row>
    <row r="16" spans="3:27" ht="14.4">
      <c r="C16" s="435"/>
      <c r="D16" s="47" t="s">
        <v>20</v>
      </c>
      <c r="E16" s="126">
        <f>+SUMIF('Mois Y-1'!$A$25:$A$52,'Tableau détaillé'!$D16,'Mois Y-1'!$E$25:$E$52)</f>
        <v>33743.094729999997</v>
      </c>
      <c r="F16" s="126">
        <f>+SUMIF('Dec A-1'!$A$26:$A$56,'Tableau détaillé'!$D16,'Dec A-1'!$E$26:$E$56)</f>
        <v>33743.094729999997</v>
      </c>
      <c r="G16" s="126">
        <f>+SUMIF('Mois courant'!$A$29:$A$60,'Tableau détaillé'!$D16,'Mois courant'!$E$29:$E$60)</f>
        <v>38752.548560000003</v>
      </c>
      <c r="H16" s="163">
        <f t="shared" si="1"/>
        <v>1.5387459099919745</v>
      </c>
      <c r="I16" s="126">
        <v>25184.501423111578</v>
      </c>
      <c r="J16" s="62">
        <f t="shared" si="3"/>
        <v>0.91013031367336794</v>
      </c>
      <c r="K16" s="62">
        <f t="shared" si="2"/>
        <v>1.1484586363546034</v>
      </c>
      <c r="L16" s="62">
        <f t="shared" si="4"/>
        <v>0.14845863635460343</v>
      </c>
      <c r="M16" s="62">
        <f t="shared" si="5"/>
        <v>-1.1055680140595214E-2</v>
      </c>
      <c r="N16" s="277">
        <v>655.95699999999999</v>
      </c>
      <c r="O16" s="277">
        <v>655.95699999999999</v>
      </c>
      <c r="P16" s="277">
        <v>655.95699999999999</v>
      </c>
      <c r="Q16" s="286"/>
      <c r="R16" s="285">
        <f>+G16*P16/N16</f>
        <v>38752.548560000003</v>
      </c>
      <c r="S16" s="285">
        <f>+G16*P16/O16</f>
        <v>38752.548560000003</v>
      </c>
      <c r="T16" s="287"/>
      <c r="U16" s="254"/>
      <c r="V16" s="449"/>
      <c r="W16" s="449"/>
      <c r="X16" s="449"/>
      <c r="Y16" s="449"/>
      <c r="Z16" s="252"/>
      <c r="AA16" s="265"/>
    </row>
    <row r="17" spans="3:27">
      <c r="C17" s="435"/>
      <c r="D17" s="47" t="s">
        <v>23</v>
      </c>
      <c r="E17" s="126">
        <f>+SUMIF('Mois Y-1'!$A$25:$A$52,'Tableau détaillé'!$D17,'Mois Y-1'!$E$25:$E$52)</f>
        <v>17229.822230000002</v>
      </c>
      <c r="F17" s="126">
        <f>+SUMIF('Dec A-1'!$A$26:$A$56,'Tableau détaillé'!$D17,'Dec A-1'!$E$26:$E$56)</f>
        <v>17229.822230000002</v>
      </c>
      <c r="G17" s="126">
        <f>+SUMIF('Mois courant'!$A$29:$A$60,'Tableau détaillé'!$D17,'Mois courant'!$E$29:$E$60)</f>
        <v>13426.42131</v>
      </c>
      <c r="H17" s="163">
        <f t="shared" si="1"/>
        <v>0.78952532884300042</v>
      </c>
      <c r="I17" s="126">
        <v>17005.687872833128</v>
      </c>
      <c r="J17" s="62">
        <f t="shared" si="3"/>
        <v>0.91013031367336794</v>
      </c>
      <c r="K17" s="62">
        <f t="shared" si="2"/>
        <v>0.77925477876506211</v>
      </c>
      <c r="L17" s="62">
        <f t="shared" si="4"/>
        <v>-0.220745221234938</v>
      </c>
      <c r="M17" s="62">
        <f t="shared" si="5"/>
        <v>-1.1055680140595214E-2</v>
      </c>
      <c r="N17" s="277">
        <v>655.95699999999999</v>
      </c>
      <c r="O17" s="277">
        <v>655.95699999999999</v>
      </c>
      <c r="P17" s="277">
        <v>655.95699999999999</v>
      </c>
      <c r="Q17" s="286"/>
      <c r="R17" s="285">
        <f>+G17*P17/N17</f>
        <v>13426.421309999998</v>
      </c>
      <c r="S17" s="285">
        <f>+G17*P17/O17</f>
        <v>13426.421309999998</v>
      </c>
      <c r="T17" s="287"/>
      <c r="U17" s="254"/>
      <c r="V17" s="254"/>
      <c r="W17" s="252"/>
      <c r="X17" s="252"/>
      <c r="Y17" s="252"/>
      <c r="Z17" s="252"/>
      <c r="AA17" s="265"/>
    </row>
    <row r="18" spans="3:27" ht="14.4" thickBot="1">
      <c r="C18" s="436"/>
      <c r="D18" s="49" t="s">
        <v>63</v>
      </c>
      <c r="E18" s="129">
        <f>SUM(E14:E17)</f>
        <v>362424.63209000003</v>
      </c>
      <c r="F18" s="129">
        <f>SUM(F14:F17)</f>
        <v>362424.63209000003</v>
      </c>
      <c r="G18" s="129">
        <f>SUM(G14:G17)</f>
        <v>375031.08016000001</v>
      </c>
      <c r="H18" s="86">
        <f t="shared" si="1"/>
        <v>1.1266951091156594</v>
      </c>
      <c r="I18" s="129">
        <f>SUM(I14:I17)</f>
        <v>332859.41966532642</v>
      </c>
      <c r="J18" s="68">
        <f t="shared" si="3"/>
        <v>0.91013031367336794</v>
      </c>
      <c r="K18" s="134">
        <f t="shared" si="2"/>
        <v>1.0347836403869741</v>
      </c>
      <c r="L18" s="134">
        <f t="shared" si="4"/>
        <v>5.8917726309541729E-2</v>
      </c>
      <c r="M18" s="134">
        <f t="shared" si="5"/>
        <v>-1.1055680140595214E-2</v>
      </c>
      <c r="N18" s="286"/>
      <c r="O18" s="286"/>
      <c r="P18" s="286"/>
      <c r="Q18" s="286"/>
      <c r="R18" s="285">
        <f>SUM(R14:R17)</f>
        <v>383777.86737131502</v>
      </c>
      <c r="S18" s="285">
        <f>SUM(S14:S17)</f>
        <v>383777.86737131502</v>
      </c>
      <c r="T18" s="284"/>
      <c r="U18" s="169"/>
      <c r="V18" s="169"/>
      <c r="W18" s="252"/>
      <c r="X18" s="252"/>
      <c r="Y18" s="252"/>
      <c r="Z18" s="252"/>
      <c r="AA18" s="265"/>
    </row>
    <row r="19" spans="3:27" ht="21.6" thickTop="1" thickBot="1">
      <c r="C19" s="252"/>
      <c r="D19" s="34"/>
      <c r="E19" s="130"/>
      <c r="F19" s="131"/>
      <c r="G19" s="131"/>
      <c r="H19" s="101"/>
      <c r="I19" s="101"/>
      <c r="J19" s="35"/>
      <c r="K19" s="35"/>
      <c r="L19" s="101"/>
      <c r="M19" s="101"/>
      <c r="N19" s="438" t="s">
        <v>494</v>
      </c>
      <c r="O19" s="438" t="s">
        <v>494</v>
      </c>
      <c r="P19" s="438" t="s">
        <v>560</v>
      </c>
      <c r="Q19" s="282"/>
      <c r="R19" s="282"/>
      <c r="S19" s="282"/>
      <c r="T19" s="284"/>
      <c r="U19" s="266"/>
      <c r="V19" s="266"/>
      <c r="W19" s="252"/>
      <c r="X19" s="252"/>
      <c r="Y19" s="252"/>
      <c r="Z19" s="252"/>
      <c r="AA19" s="265"/>
    </row>
    <row r="20" spans="3:27" ht="14.4" thickTop="1">
      <c r="C20" s="459" t="s">
        <v>61</v>
      </c>
      <c r="D20" s="29" t="s">
        <v>64</v>
      </c>
      <c r="E20" s="198">
        <f>SUM(E28,E33)</f>
        <v>2291451.8499400001</v>
      </c>
      <c r="F20" s="198">
        <f>SUM(F28,F33)</f>
        <v>2291451.8499400001</v>
      </c>
      <c r="G20" s="198">
        <f>SUM(G28,G33)</f>
        <v>2402024.7385899997</v>
      </c>
      <c r="H20" s="104">
        <f>+S20/F20-1</f>
        <v>7.8157129242167001E-2</v>
      </c>
      <c r="I20" s="235">
        <f>+R20/E20-1</f>
        <v>7.8157129242167001E-2</v>
      </c>
      <c r="J20" s="171"/>
      <c r="K20" s="171"/>
      <c r="L20" s="171"/>
      <c r="M20" s="171"/>
      <c r="N20" s="439"/>
      <c r="O20" s="439"/>
      <c r="P20" s="439"/>
      <c r="Q20" s="282"/>
      <c r="R20" s="283">
        <f>SUM(R28,R33)</f>
        <v>2470545.1483279634</v>
      </c>
      <c r="S20" s="283">
        <f>SUM(S28,S33)</f>
        <v>2470545.1483279634</v>
      </c>
      <c r="T20" s="284"/>
      <c r="U20" s="169"/>
      <c r="V20" s="169"/>
      <c r="W20" s="252"/>
      <c r="X20" s="252"/>
      <c r="Y20" s="252"/>
      <c r="Z20" s="252"/>
      <c r="AA20" s="265"/>
    </row>
    <row r="21" spans="3:27">
      <c r="C21" s="435"/>
      <c r="D21" s="47" t="s">
        <v>13</v>
      </c>
      <c r="E21" s="126">
        <f>+SUMIF('Mois Y-1'!$A$25:$A$52,'Tableau détaillé'!$D21,'Mois Y-1'!$B$25:$B$52)</f>
        <v>695136.25952999992</v>
      </c>
      <c r="F21" s="126">
        <f>+SUMIF('Dec A-1'!$A$26:$A$56,'Tableau détaillé'!$D21,'Dec A-1'!$B$26:$B$56)</f>
        <v>695136.25952999992</v>
      </c>
      <c r="G21" s="126">
        <f>+SUMIF('Mois courant'!$A$29:$A$60,'Tableau détaillé'!$D21,'Mois courant'!$B$29:$B$60)</f>
        <v>770492.05397000001</v>
      </c>
      <c r="H21" s="163">
        <f>+((G21*P21))/O21/F21-1</f>
        <v>0.10840435009238347</v>
      </c>
      <c r="I21" s="164">
        <f>+R21/E21-1</f>
        <v>0.10840435009238347</v>
      </c>
      <c r="J21" s="62">
        <f>+$H$20</f>
        <v>7.8157129242167001E-2</v>
      </c>
      <c r="K21" s="62">
        <f>+$I$20</f>
        <v>7.8157129242167001E-2</v>
      </c>
      <c r="L21" s="157"/>
      <c r="M21" s="156"/>
      <c r="N21" s="277">
        <f>N6</f>
        <v>655.95699999999999</v>
      </c>
      <c r="O21" s="277">
        <v>655.95699999999999</v>
      </c>
      <c r="P21" s="277">
        <f>P6</f>
        <v>655.95699999999999</v>
      </c>
      <c r="Q21" s="286"/>
      <c r="R21" s="285">
        <f>+G21*P21/N21</f>
        <v>770492.05397000001</v>
      </c>
      <c r="S21" s="285">
        <f>+G21*P21/O21</f>
        <v>770492.05397000001</v>
      </c>
      <c r="T21" s="287"/>
      <c r="U21" s="254"/>
      <c r="V21" s="254"/>
      <c r="W21" s="252"/>
      <c r="X21" s="252"/>
      <c r="Y21" s="252"/>
      <c r="Z21" s="252"/>
      <c r="AA21" s="265"/>
    </row>
    <row r="22" spans="3:27">
      <c r="C22" s="435"/>
      <c r="D22" s="47" t="s">
        <v>14</v>
      </c>
      <c r="E22" s="126">
        <f>+SUMIF('Mois Y-1'!$A$25:$A$52,'Tableau détaillé'!$D22,'Mois Y-1'!$B$25:$B$52)</f>
        <v>110387.0637</v>
      </c>
      <c r="F22" s="126">
        <f>+SUMIF('Dec A-1'!$A$26:$A$56,'Tableau détaillé'!$D22,'Dec A-1'!$B$26:$B$56)</f>
        <v>110387.0637</v>
      </c>
      <c r="G22" s="126">
        <f>+SUMIF('Mois courant'!$A$29:$A$60,'Tableau détaillé'!$D22,'Mois courant'!$B$29:$B$60)</f>
        <v>87688.645120000001</v>
      </c>
      <c r="H22" s="163">
        <f t="shared" ref="H22:H27" si="8">+((G22*P22))/O22/F22-1</f>
        <v>0.14012865638316296</v>
      </c>
      <c r="I22" s="164">
        <f t="shared" ref="I22:I33" si="9">+R22/E22-1</f>
        <v>0.14012865638316296</v>
      </c>
      <c r="J22" s="62">
        <f t="shared" ref="J22:J33" si="10">+$H$20</f>
        <v>7.8157129242167001E-2</v>
      </c>
      <c r="K22" s="62">
        <f t="shared" ref="K22:K33" si="11">+$I$20</f>
        <v>7.8157129242167001E-2</v>
      </c>
      <c r="L22" s="126"/>
      <c r="M22" s="32"/>
      <c r="N22" s="278">
        <f t="shared" ref="N22:N32" si="12">N7</f>
        <v>9.1456999999999997</v>
      </c>
      <c r="O22" s="278">
        <v>9.1456999999999997</v>
      </c>
      <c r="P22" s="278">
        <f t="shared" ref="P22:P32" si="13">P7</f>
        <v>13.1264</v>
      </c>
      <c r="Q22" s="286"/>
      <c r="R22" s="285">
        <f t="shared" ref="R22:R27" si="14">+G22*P22/N22</f>
        <v>125855.45461836361</v>
      </c>
      <c r="S22" s="285">
        <f t="shared" ref="S22:S27" si="15">+G22*P22/O22</f>
        <v>125855.45461836361</v>
      </c>
      <c r="T22" s="287"/>
      <c r="U22" s="254"/>
      <c r="V22" s="254"/>
      <c r="W22" s="252"/>
      <c r="X22" s="252"/>
      <c r="Y22" s="252"/>
      <c r="Z22" s="252"/>
      <c r="AA22" s="265"/>
    </row>
    <row r="23" spans="3:27">
      <c r="C23" s="435"/>
      <c r="D23" s="47" t="s">
        <v>17</v>
      </c>
      <c r="E23" s="126">
        <f>+SUMIF('Mois Y-1'!$A$25:$A$52,'Tableau détaillé'!$D23,'Mois Y-1'!$B$25:$B$52)</f>
        <v>316620.83496000001</v>
      </c>
      <c r="F23" s="126">
        <f>+SUMIF('Dec A-1'!$A$26:$A$56,'Tableau détaillé'!$D23,'Dec A-1'!$B$26:$B$56)</f>
        <v>316620.83496000001</v>
      </c>
      <c r="G23" s="126">
        <f>+SUMIF('Mois courant'!$A$29:$A$60,'Tableau détaillé'!$D23,'Mois courant'!$B$29:$B$60)</f>
        <v>349040.58428999997</v>
      </c>
      <c r="H23" s="163">
        <f t="shared" si="8"/>
        <v>0.1023929752888677</v>
      </c>
      <c r="I23" s="164">
        <f t="shared" si="9"/>
        <v>0.1023929752888677</v>
      </c>
      <c r="J23" s="62">
        <f t="shared" si="10"/>
        <v>7.8157129242167001E-2</v>
      </c>
      <c r="K23" s="62">
        <f t="shared" si="11"/>
        <v>7.8157129242167001E-2</v>
      </c>
      <c r="L23" s="126"/>
      <c r="M23" s="32"/>
      <c r="N23" s="277">
        <f t="shared" si="12"/>
        <v>655.95699999999999</v>
      </c>
      <c r="O23" s="277">
        <v>655.95699999999999</v>
      </c>
      <c r="P23" s="277">
        <f t="shared" si="13"/>
        <v>655.95699999999999</v>
      </c>
      <c r="Q23" s="286"/>
      <c r="R23" s="285">
        <f t="shared" si="14"/>
        <v>349040.58428999997</v>
      </c>
      <c r="S23" s="285">
        <f t="shared" si="15"/>
        <v>349040.58428999997</v>
      </c>
      <c r="T23" s="287"/>
      <c r="U23" s="254"/>
      <c r="V23" s="254"/>
      <c r="W23" s="252"/>
      <c r="X23" s="252"/>
      <c r="Y23" s="252"/>
      <c r="Z23" s="252"/>
      <c r="AA23" s="265"/>
    </row>
    <row r="24" spans="3:27">
      <c r="C24" s="435"/>
      <c r="D24" s="47" t="s">
        <v>18</v>
      </c>
      <c r="E24" s="126">
        <f>+SUMIF('Mois Y-1'!$A$25:$A$52,'Tableau détaillé'!$D24,'Mois Y-1'!$B$25:$B$52)</f>
        <v>266951.85517</v>
      </c>
      <c r="F24" s="126">
        <f>+SUMIF('Dec A-1'!$A$26:$A$56,'Tableau détaillé'!$D24,'Dec A-1'!$B$26:$B$56)</f>
        <v>266951.85517</v>
      </c>
      <c r="G24" s="126">
        <f>+SUMIF('Mois courant'!$A$29:$A$60,'Tableau détaillé'!$D24,'Mois courant'!$B$29:$B$60)</f>
        <v>246776.71958999999</v>
      </c>
      <c r="H24" s="163">
        <f>+((G24*P24))/O24/F24-1</f>
        <v>-7.5575933222685854E-2</v>
      </c>
      <c r="I24" s="164">
        <f t="shared" si="9"/>
        <v>-7.5575933222685854E-2</v>
      </c>
      <c r="J24" s="62">
        <f t="shared" si="10"/>
        <v>7.8157129242167001E-2</v>
      </c>
      <c r="K24" s="62">
        <f t="shared" si="11"/>
        <v>7.8157129242167001E-2</v>
      </c>
      <c r="L24" s="126"/>
      <c r="M24" s="32"/>
      <c r="N24" s="277">
        <f t="shared" si="12"/>
        <v>655.95699999999999</v>
      </c>
      <c r="O24" s="277">
        <v>655.95699999999999</v>
      </c>
      <c r="P24" s="277">
        <f t="shared" si="13"/>
        <v>655.95699999999999</v>
      </c>
      <c r="Q24" s="286"/>
      <c r="R24" s="285">
        <f t="shared" si="14"/>
        <v>246776.71958999996</v>
      </c>
      <c r="S24" s="285">
        <f t="shared" si="15"/>
        <v>246776.71958999996</v>
      </c>
      <c r="T24" s="287"/>
      <c r="U24" s="254"/>
      <c r="V24" s="254"/>
      <c r="W24" s="252"/>
      <c r="X24" s="252"/>
      <c r="Y24" s="252"/>
      <c r="Z24" s="252"/>
      <c r="AA24" s="265"/>
    </row>
    <row r="25" spans="3:27">
      <c r="C25" s="435"/>
      <c r="D25" s="47" t="s">
        <v>19</v>
      </c>
      <c r="E25" s="126">
        <f>+SUMIF('Mois Y-1'!$A$25:$A$52,'Tableau détaillé'!$D25,'Mois Y-1'!$B$25:$B$52)</f>
        <v>156545.24489</v>
      </c>
      <c r="F25" s="126">
        <f>+SUMIF('Dec A-1'!$A$26:$A$56,'Tableau détaillé'!$D25,'Dec A-1'!$B$26:$B$56)</f>
        <v>156545.24489</v>
      </c>
      <c r="G25" s="126">
        <f>+SUMIF('Mois courant'!$A$29:$A$60,'Tableau détaillé'!$D25,'Mois courant'!$B$29:$B$60)</f>
        <v>147751.99635</v>
      </c>
      <c r="H25" s="163">
        <f>+((G25*P25))/O25/F25-1</f>
        <v>-2.5555901553273253E-2</v>
      </c>
      <c r="I25" s="164">
        <f t="shared" si="9"/>
        <v>-2.5555901553273253E-2</v>
      </c>
      <c r="J25" s="62">
        <f t="shared" si="10"/>
        <v>7.8157129242167001E-2</v>
      </c>
      <c r="K25" s="62">
        <f t="shared" si="11"/>
        <v>7.8157129242167001E-2</v>
      </c>
      <c r="L25" s="126"/>
      <c r="M25" s="32"/>
      <c r="N25" s="277">
        <f t="shared" si="12"/>
        <v>9085.2922999999992</v>
      </c>
      <c r="O25" s="277">
        <v>9085.2922999999992</v>
      </c>
      <c r="P25" s="277">
        <f t="shared" si="13"/>
        <v>9379.9896000000008</v>
      </c>
      <c r="Q25" s="286"/>
      <c r="R25" s="285">
        <f t="shared" si="14"/>
        <v>152544.59002295812</v>
      </c>
      <c r="S25" s="285">
        <f t="shared" si="15"/>
        <v>152544.59002295812</v>
      </c>
      <c r="T25" s="287"/>
      <c r="U25" s="254"/>
      <c r="V25" s="254"/>
      <c r="W25" s="252"/>
      <c r="X25" s="252"/>
      <c r="Y25" s="252"/>
      <c r="Z25" s="252"/>
      <c r="AA25" s="265"/>
    </row>
    <row r="26" spans="3:27">
      <c r="C26" s="435"/>
      <c r="D26" s="47" t="s">
        <v>21</v>
      </c>
      <c r="E26" s="126">
        <f>+SUMIF('Mois Y-1'!$A$25:$A$52,'Tableau détaillé'!$D26,'Mois Y-1'!$B$25:$B$52)</f>
        <v>68119.138160000002</v>
      </c>
      <c r="F26" s="126">
        <f>+SUMIF('Dec A-1'!$A$26:$A$56,'Tableau détaillé'!$D26,'Dec A-1'!$B$26:$B$56)</f>
        <v>68119.138160000002</v>
      </c>
      <c r="G26" s="126">
        <f>+SUMIF('Mois courant'!$A$29:$A$60,'Tableau détaillé'!$D26,'Mois courant'!$B$29:$B$60)</f>
        <v>63945.560600000004</v>
      </c>
      <c r="H26" s="163">
        <f>+((G26*P26))/O26/F26-1</f>
        <v>-6.1268795711962643E-2</v>
      </c>
      <c r="I26" s="164">
        <f t="shared" si="9"/>
        <v>-6.1268795711962643E-2</v>
      </c>
      <c r="J26" s="62">
        <f t="shared" si="10"/>
        <v>7.8157129242167001E-2</v>
      </c>
      <c r="K26" s="62">
        <f t="shared" si="11"/>
        <v>7.8157129242167001E-2</v>
      </c>
      <c r="L26" s="126"/>
      <c r="M26" s="32"/>
      <c r="N26" s="277">
        <f t="shared" si="12"/>
        <v>655.95699999999999</v>
      </c>
      <c r="O26" s="277">
        <v>655.95699999999999</v>
      </c>
      <c r="P26" s="277">
        <f t="shared" si="13"/>
        <v>655.95699999999999</v>
      </c>
      <c r="Q26" s="286"/>
      <c r="R26" s="285">
        <f t="shared" si="14"/>
        <v>63945.560600000004</v>
      </c>
      <c r="S26" s="285">
        <f t="shared" si="15"/>
        <v>63945.560600000004</v>
      </c>
      <c r="T26" s="287"/>
      <c r="U26" s="254"/>
      <c r="V26" s="254"/>
      <c r="W26" s="252"/>
      <c r="X26" s="252"/>
      <c r="Y26" s="252"/>
      <c r="Z26" s="252"/>
      <c r="AA26" s="265"/>
    </row>
    <row r="27" spans="3:27">
      <c r="C27" s="435"/>
      <c r="D27" s="47" t="s">
        <v>22</v>
      </c>
      <c r="E27" s="126">
        <f>+SUMIF('Mois Y-1'!$A$25:$A$52,'Tableau détaillé'!$D27,'Mois Y-1'!$B$25:$B$52)</f>
        <v>112199.4868</v>
      </c>
      <c r="F27" s="126">
        <f>+SUMIF('Dec A-1'!$A$26:$A$56,'Tableau détaillé'!$D27,'Dec A-1'!$B$26:$B$56)</f>
        <v>112199.4868</v>
      </c>
      <c r="G27" s="126">
        <f>+SUMIF('Mois courant'!$A$29:$A$60,'Tableau détaillé'!$D27,'Mois courant'!$B$29:$B$60)</f>
        <v>109264.45345</v>
      </c>
      <c r="H27" s="163">
        <f t="shared" si="8"/>
        <v>8.5015698568648101E-2</v>
      </c>
      <c r="I27" s="164">
        <f t="shared" si="9"/>
        <v>8.5015698568648101E-2</v>
      </c>
      <c r="J27" s="62">
        <f t="shared" si="10"/>
        <v>7.8157129242167001E-2</v>
      </c>
      <c r="K27" s="62">
        <f t="shared" si="11"/>
        <v>7.8157129242167001E-2</v>
      </c>
      <c r="L27" s="126"/>
      <c r="M27" s="32"/>
      <c r="N27" s="277">
        <f t="shared" si="12"/>
        <v>38.979999999999997</v>
      </c>
      <c r="O27" s="277">
        <v>38.979999999999997</v>
      </c>
      <c r="P27" s="277">
        <f t="shared" si="13"/>
        <v>43.43</v>
      </c>
      <c r="Q27" s="286"/>
      <c r="R27" s="285">
        <f t="shared" si="14"/>
        <v>121738.20454934581</v>
      </c>
      <c r="S27" s="285">
        <f t="shared" si="15"/>
        <v>121738.20454934581</v>
      </c>
      <c r="T27" s="287"/>
      <c r="U27" s="254"/>
      <c r="V27" s="254"/>
      <c r="W27" s="252"/>
      <c r="X27" s="252"/>
      <c r="Y27" s="252"/>
      <c r="Z27" s="252"/>
      <c r="AA27" s="265"/>
    </row>
    <row r="28" spans="3:27">
      <c r="C28" s="435"/>
      <c r="D28" s="48" t="s">
        <v>62</v>
      </c>
      <c r="E28" s="124">
        <f>SUM(E21:E27)</f>
        <v>1725959.8832099999</v>
      </c>
      <c r="F28" s="124">
        <f>SUM(F21:F27)</f>
        <v>1725959.8832099999</v>
      </c>
      <c r="G28" s="124">
        <f>SUM(G21:G27)</f>
        <v>1774960.0133699996</v>
      </c>
      <c r="H28" s="103">
        <f>+S28/F28-1</f>
        <v>6.0507364885236337E-2</v>
      </c>
      <c r="I28" s="165">
        <f t="shared" si="9"/>
        <v>6.0507364885236337E-2</v>
      </c>
      <c r="J28" s="62">
        <f t="shared" si="10"/>
        <v>7.8157129242167001E-2</v>
      </c>
      <c r="K28" s="62">
        <f t="shared" si="11"/>
        <v>7.8157129242167001E-2</v>
      </c>
      <c r="L28" s="126"/>
      <c r="M28" s="32"/>
      <c r="N28" s="277">
        <f t="shared" si="12"/>
        <v>0</v>
      </c>
      <c r="O28" s="277"/>
      <c r="P28" s="277">
        <f t="shared" si="13"/>
        <v>0</v>
      </c>
      <c r="Q28" s="286"/>
      <c r="R28" s="285">
        <f>SUM(R21:R27)</f>
        <v>1830393.1676406674</v>
      </c>
      <c r="S28" s="285">
        <f>SUM(S21:S27)</f>
        <v>1830393.1676406674</v>
      </c>
      <c r="T28" s="287"/>
      <c r="U28" s="254"/>
      <c r="V28" s="254"/>
      <c r="W28" s="252"/>
      <c r="X28" s="252"/>
      <c r="Y28" s="252"/>
      <c r="Z28" s="252"/>
      <c r="AA28" s="265"/>
    </row>
    <row r="29" spans="3:27">
      <c r="C29" s="435"/>
      <c r="D29" s="47" t="s">
        <v>15</v>
      </c>
      <c r="E29" s="126">
        <f>+SUMIF('Mois Y-1'!$A$25:$A$52,'Tableau détaillé'!$D29,'Mois Y-1'!$B$25:$B$52)</f>
        <v>222037.97528000001</v>
      </c>
      <c r="F29" s="126">
        <f>+SUMIF('Dec A-1'!$A$26:$A$56,'Tableau détaillé'!$D29,'Dec A-1'!$B$26:$B$56)</f>
        <v>222037.97528000001</v>
      </c>
      <c r="G29" s="126">
        <f>+SUMIF('Mois courant'!$A$29:$A$60,'Tableau détaillé'!$D29,'Mois courant'!$B$29:$B$60)</f>
        <v>239840.87218000001</v>
      </c>
      <c r="H29" s="163">
        <f>+((G29*P29))/O29/F29-1</f>
        <v>0.13912103246456953</v>
      </c>
      <c r="I29" s="164">
        <f t="shared" si="9"/>
        <v>0.13912103246456953</v>
      </c>
      <c r="J29" s="62">
        <f t="shared" si="10"/>
        <v>7.8157129242167001E-2</v>
      </c>
      <c r="K29" s="62">
        <f>+$I$20</f>
        <v>7.8157129242167001E-2</v>
      </c>
      <c r="L29" s="124"/>
      <c r="M29" s="31"/>
      <c r="N29" s="277">
        <f t="shared" si="12"/>
        <v>4728.55</v>
      </c>
      <c r="O29" s="277">
        <v>4728.55</v>
      </c>
      <c r="P29" s="277">
        <f t="shared" si="13"/>
        <v>4986.57</v>
      </c>
      <c r="Q29" s="286"/>
      <c r="R29" s="285">
        <f>+G29*P29/N29</f>
        <v>252928.12764729621</v>
      </c>
      <c r="S29" s="285">
        <f>+G29*P29/O29</f>
        <v>252928.12764729621</v>
      </c>
      <c r="T29" s="287"/>
      <c r="U29" s="254"/>
      <c r="V29" s="254"/>
      <c r="W29" s="252"/>
      <c r="X29" s="252"/>
      <c r="Y29" s="252"/>
      <c r="Z29" s="252"/>
      <c r="AA29" s="265"/>
    </row>
    <row r="30" spans="3:27">
      <c r="C30" s="435"/>
      <c r="D30" s="47" t="s">
        <v>16</v>
      </c>
      <c r="E30" s="126">
        <f>+SUMIF('Mois Y-1'!$A$25:$A$52,'Tableau détaillé'!$D30,'Mois Y-1'!$B$25:$B$52)</f>
        <v>248735.14093999998</v>
      </c>
      <c r="F30" s="126">
        <f>+SUMIF('Dec A-1'!$A$26:$A$56,'Tableau détaillé'!$D30,'Dec A-1'!$B$26:$B$56)</f>
        <v>248735.14093999998</v>
      </c>
      <c r="G30" s="126">
        <f>+SUMIF('Mois courant'!$A$29:$A$60,'Tableau détaillé'!$D30,'Mois courant'!$B$29:$B$60)</f>
        <v>280116.61800000002</v>
      </c>
      <c r="H30" s="163">
        <f>+((G30*P30))/O30/F30-1</f>
        <v>0.12616422810788075</v>
      </c>
      <c r="I30" s="164">
        <f t="shared" si="9"/>
        <v>0.12616422810788075</v>
      </c>
      <c r="J30" s="62">
        <f t="shared" si="10"/>
        <v>7.8157129242167001E-2</v>
      </c>
      <c r="K30" s="62">
        <f t="shared" si="11"/>
        <v>7.8157129242167001E-2</v>
      </c>
      <c r="L30" s="126"/>
      <c r="M30" s="32"/>
      <c r="N30" s="277">
        <f t="shared" si="12"/>
        <v>655.95699999999999</v>
      </c>
      <c r="O30" s="277">
        <v>655.95699999999999</v>
      </c>
      <c r="P30" s="277">
        <f t="shared" si="13"/>
        <v>655.95699999999999</v>
      </c>
      <c r="Q30" s="286"/>
      <c r="R30" s="285">
        <f>+G30*P30/N30</f>
        <v>280116.61800000002</v>
      </c>
      <c r="S30" s="285">
        <f>+G30*P30/O30</f>
        <v>280116.61800000002</v>
      </c>
      <c r="T30" s="287"/>
      <c r="U30" s="254"/>
      <c r="V30" s="254"/>
      <c r="W30" s="252"/>
      <c r="X30" s="252"/>
      <c r="Y30" s="252"/>
      <c r="Z30" s="252"/>
      <c r="AA30" s="265"/>
    </row>
    <row r="31" spans="3:27">
      <c r="C31" s="435"/>
      <c r="D31" s="47" t="s">
        <v>20</v>
      </c>
      <c r="E31" s="126">
        <f>+SUMIF('Mois Y-1'!$A$25:$A$52,'Tableau détaillé'!$D31,'Mois Y-1'!$B$25:$B$52)</f>
        <v>58774.138650000001</v>
      </c>
      <c r="F31" s="126">
        <f>+SUMIF('Dec A-1'!$A$26:$A$56,'Tableau détaillé'!$D31,'Dec A-1'!$B$26:$B$56)</f>
        <v>58774.138650000001</v>
      </c>
      <c r="G31" s="126">
        <f>+SUMIF('Mois courant'!$A$29:$A$60,'Tableau détaillé'!$D31,'Mois courant'!$B$29:$B$60)</f>
        <v>70789.022249999995</v>
      </c>
      <c r="H31" s="163">
        <f>+((G31*P31))/O31/F31-1</f>
        <v>0.20442466492871336</v>
      </c>
      <c r="I31" s="164">
        <f t="shared" si="9"/>
        <v>0.20442466492871336</v>
      </c>
      <c r="J31" s="62">
        <f t="shared" si="10"/>
        <v>7.8157129242167001E-2</v>
      </c>
      <c r="K31" s="62">
        <f t="shared" si="11"/>
        <v>7.8157129242167001E-2</v>
      </c>
      <c r="L31" s="126"/>
      <c r="M31" s="32"/>
      <c r="N31" s="277">
        <f t="shared" si="12"/>
        <v>655.95699999999999</v>
      </c>
      <c r="O31" s="277">
        <v>655.95699999999999</v>
      </c>
      <c r="P31" s="277">
        <f t="shared" si="13"/>
        <v>655.95699999999999</v>
      </c>
      <c r="Q31" s="286"/>
      <c r="R31" s="285">
        <f>+G31*P31/N31</f>
        <v>70789.022249999995</v>
      </c>
      <c r="S31" s="285">
        <f>+G31*P31/O31</f>
        <v>70789.022249999995</v>
      </c>
      <c r="T31" s="287"/>
      <c r="U31" s="254"/>
      <c r="V31" s="254"/>
      <c r="W31" s="252"/>
      <c r="X31" s="252"/>
      <c r="Y31" s="252"/>
      <c r="Z31" s="252"/>
      <c r="AA31" s="265"/>
    </row>
    <row r="32" spans="3:27">
      <c r="C32" s="435"/>
      <c r="D32" s="47" t="s">
        <v>23</v>
      </c>
      <c r="E32" s="126">
        <f>+SUMIF('Mois Y-1'!$A$25:$A$52,'Tableau détaillé'!$D32,'Mois Y-1'!$B$25:$B$52)</f>
        <v>35944.711859999996</v>
      </c>
      <c r="F32" s="126">
        <f>+SUMIF('Dec A-1'!$A$26:$A$56,'Tableau détaillé'!$D32,'Dec A-1'!$B$26:$B$56)</f>
        <v>35944.711859999996</v>
      </c>
      <c r="G32" s="126">
        <f>+SUMIF('Mois courant'!$A$29:$A$60,'Tableau détaillé'!$D32,'Mois courant'!$B$29:$B$60)</f>
        <v>36318.212789999998</v>
      </c>
      <c r="H32" s="163">
        <f>+((G32*P32))/O32/F32-1</f>
        <v>1.0390984116237734E-2</v>
      </c>
      <c r="I32" s="164">
        <f t="shared" si="9"/>
        <v>1.0390984116237734E-2</v>
      </c>
      <c r="J32" s="62">
        <f t="shared" si="10"/>
        <v>7.8157129242167001E-2</v>
      </c>
      <c r="K32" s="62">
        <f t="shared" si="11"/>
        <v>7.8157129242167001E-2</v>
      </c>
      <c r="L32" s="126"/>
      <c r="M32" s="32"/>
      <c r="N32" s="277">
        <f t="shared" si="12"/>
        <v>655.95699999999999</v>
      </c>
      <c r="O32" s="277">
        <v>655.95699999999999</v>
      </c>
      <c r="P32" s="277">
        <f t="shared" si="13"/>
        <v>655.95699999999999</v>
      </c>
      <c r="Q32" s="286"/>
      <c r="R32" s="285">
        <f>+G32*P32/N32</f>
        <v>36318.212789999998</v>
      </c>
      <c r="S32" s="285">
        <f>+G32*P32/O32</f>
        <v>36318.212789999998</v>
      </c>
      <c r="T32" s="287"/>
      <c r="U32" s="254"/>
      <c r="V32" s="254"/>
      <c r="W32" s="252"/>
      <c r="X32" s="252"/>
      <c r="Y32" s="252"/>
      <c r="Z32" s="252"/>
      <c r="AA32" s="265"/>
    </row>
    <row r="33" spans="3:27" ht="14.4" thickBot="1">
      <c r="C33" s="436"/>
      <c r="D33" s="49" t="s">
        <v>63</v>
      </c>
      <c r="E33" s="129">
        <f>SUM(E29:E32)</f>
        <v>565491.96672999999</v>
      </c>
      <c r="F33" s="129">
        <f>SUM(F29:F32)</f>
        <v>565491.96672999999</v>
      </c>
      <c r="G33" s="129">
        <f>SUM(G29:G32)</f>
        <v>627064.72522000002</v>
      </c>
      <c r="H33" s="166">
        <f>+S33/F33-1</f>
        <v>0.13202665705230698</v>
      </c>
      <c r="I33" s="166">
        <f t="shared" si="9"/>
        <v>0.13202665705230698</v>
      </c>
      <c r="J33" s="68">
        <f t="shared" si="10"/>
        <v>7.8157129242167001E-2</v>
      </c>
      <c r="K33" s="68">
        <f t="shared" si="11"/>
        <v>7.8157129242167001E-2</v>
      </c>
      <c r="L33" s="172"/>
      <c r="M33" s="173"/>
      <c r="N33" s="286"/>
      <c r="O33" s="286"/>
      <c r="P33" s="286"/>
      <c r="Q33" s="286"/>
      <c r="R33" s="285">
        <f>SUM(R29:R32)</f>
        <v>640151.98068729625</v>
      </c>
      <c r="S33" s="285">
        <f>SUM(S29:S32)</f>
        <v>640151.98068729625</v>
      </c>
      <c r="T33" s="287"/>
      <c r="U33" s="254"/>
      <c r="V33" s="254"/>
      <c r="W33" s="252"/>
      <c r="X33" s="252"/>
      <c r="Y33" s="252"/>
      <c r="Z33" s="252"/>
      <c r="AA33" s="265"/>
    </row>
    <row r="34" spans="3:27" ht="15" thickTop="1" thickBot="1">
      <c r="C34" s="252"/>
      <c r="D34" s="34"/>
      <c r="E34" s="130"/>
      <c r="F34" s="131"/>
      <c r="G34" s="131"/>
      <c r="H34" s="35"/>
      <c r="I34" s="35"/>
      <c r="J34" s="35"/>
      <c r="K34" s="35"/>
      <c r="L34" s="101"/>
      <c r="M34" s="101"/>
      <c r="N34" s="289"/>
      <c r="O34" s="289"/>
      <c r="P34" s="289"/>
      <c r="Q34" s="289"/>
      <c r="R34" s="289"/>
      <c r="S34" s="289"/>
      <c r="T34" s="290"/>
      <c r="U34" s="266"/>
      <c r="V34" s="266"/>
      <c r="W34" s="252"/>
      <c r="X34" s="252"/>
      <c r="Y34" s="252"/>
      <c r="Z34" s="252"/>
      <c r="AA34" s="265"/>
    </row>
    <row r="35" spans="3:27" ht="15" thickTop="1" thickBot="1">
      <c r="C35" s="252"/>
      <c r="D35" s="34"/>
      <c r="E35" s="130"/>
      <c r="F35" s="131"/>
      <c r="G35" s="131"/>
      <c r="H35" s="35"/>
      <c r="I35" s="35"/>
      <c r="J35" s="35"/>
      <c r="K35" s="35"/>
      <c r="L35" s="101"/>
      <c r="M35" s="101"/>
      <c r="N35" s="266"/>
      <c r="O35" s="266"/>
      <c r="P35" s="266"/>
      <c r="Q35" s="266"/>
      <c r="R35" s="266"/>
      <c r="S35" s="266"/>
      <c r="T35" s="266"/>
      <c r="U35" s="266"/>
      <c r="V35" s="266"/>
      <c r="W35" s="252"/>
      <c r="X35" s="252"/>
      <c r="Y35" s="252"/>
      <c r="Z35" s="252"/>
      <c r="AA35" s="265"/>
    </row>
    <row r="36" spans="3:27" ht="14.4" thickTop="1">
      <c r="C36" s="459" t="s">
        <v>284</v>
      </c>
      <c r="D36" s="29" t="s">
        <v>64</v>
      </c>
      <c r="E36" s="198"/>
      <c r="F36" s="104">
        <f>+SUMIF('Dec A-1'!$A$25:$A$57,'Tableau détaillé'!$D36,'Dec A-1'!$K$25:$K$57)</f>
        <v>0.44680167774399998</v>
      </c>
      <c r="G36" s="104">
        <f>+SUMIF('Mois courant'!$A$28:$A$61,'Tableau détaillé'!$D36,'Mois courant'!$K$28:$K$61)</f>
        <v>0.457401656612</v>
      </c>
      <c r="H36" s="38">
        <f>+(G36-F36)*100</f>
        <v>1.0599978868000015</v>
      </c>
      <c r="I36" s="50"/>
      <c r="J36" s="69"/>
      <c r="K36" s="50"/>
      <c r="L36" s="171"/>
      <c r="M36" s="171"/>
      <c r="N36" s="169"/>
      <c r="O36" s="169"/>
      <c r="P36" s="169"/>
      <c r="Q36" s="169"/>
      <c r="R36" s="169"/>
      <c r="S36" s="169"/>
      <c r="T36" s="169"/>
      <c r="U36" s="169"/>
      <c r="V36" s="169"/>
      <c r="W36" s="252"/>
      <c r="X36" s="252"/>
      <c r="Y36" s="252"/>
      <c r="Z36" s="252"/>
      <c r="AA36" s="265"/>
    </row>
    <row r="37" spans="3:27">
      <c r="C37" s="435"/>
      <c r="D37" s="47" t="s">
        <v>13</v>
      </c>
      <c r="E37" s="126"/>
      <c r="F37" s="163">
        <f>+SUMIF('Dec A-1'!$A$25:$A$57,'Tableau détaillé'!$D37,'Dec A-1'!$K$25:$K$57)</f>
        <v>0.34063849919700001</v>
      </c>
      <c r="G37" s="163">
        <f>+SUMIF('Mois courant'!$A$28:$A$61,'Tableau détaillé'!$D37,'Mois courant'!$K$28:$K$61)</f>
        <v>0.34564971100399999</v>
      </c>
      <c r="H37" s="40">
        <f t="shared" ref="H37:H40" si="16">+(G37-F37)*100</f>
        <v>0.50112118069999823</v>
      </c>
      <c r="I37" s="91"/>
      <c r="J37" s="63">
        <f>+$H$36</f>
        <v>1.0599978868000015</v>
      </c>
      <c r="K37" s="91"/>
      <c r="L37" s="157"/>
      <c r="M37" s="156"/>
      <c r="N37" s="254"/>
      <c r="O37" s="254"/>
      <c r="P37" s="254"/>
      <c r="Q37" s="254"/>
      <c r="R37" s="254"/>
      <c r="S37" s="254"/>
      <c r="T37" s="254"/>
      <c r="U37" s="254"/>
      <c r="V37" s="254"/>
      <c r="W37" s="252"/>
      <c r="X37" s="252"/>
      <c r="Y37" s="252"/>
      <c r="Z37" s="252"/>
      <c r="AA37" s="265"/>
    </row>
    <row r="38" spans="3:27">
      <c r="C38" s="435"/>
      <c r="D38" s="47" t="s">
        <v>14</v>
      </c>
      <c r="E38" s="126"/>
      <c r="F38" s="163">
        <f>+SUMIF('Dec A-1'!$A$25:$A$57,'Tableau détaillé'!$D38,'Dec A-1'!$K$25:$K$57)</f>
        <v>0.480735020618</v>
      </c>
      <c r="G38" s="163">
        <f>+SUMIF('Mois courant'!$A$28:$A$61,'Tableau détaillé'!$D38,'Mois courant'!$K$28:$K$61)</f>
        <v>0.492547994351</v>
      </c>
      <c r="H38" s="40">
        <f t="shared" si="16"/>
        <v>1.1812973732999998</v>
      </c>
      <c r="I38" s="91"/>
      <c r="J38" s="63">
        <f t="shared" ref="J38:J49" si="17">+$H$36</f>
        <v>1.0599978868000015</v>
      </c>
      <c r="K38" s="91"/>
      <c r="L38" s="126"/>
      <c r="M38" s="32"/>
      <c r="N38" s="254"/>
      <c r="O38" s="254"/>
      <c r="P38" s="254"/>
      <c r="Q38" s="254"/>
      <c r="R38" s="254"/>
      <c r="S38" s="254"/>
      <c r="T38" s="254"/>
      <c r="U38" s="254"/>
      <c r="V38" s="254"/>
      <c r="W38" s="252"/>
      <c r="X38" s="252"/>
      <c r="Y38" s="252"/>
      <c r="Z38" s="252"/>
      <c r="AA38" s="265"/>
    </row>
    <row r="39" spans="3:27">
      <c r="C39" s="435"/>
      <c r="D39" s="47" t="s">
        <v>17</v>
      </c>
      <c r="E39" s="126"/>
      <c r="F39" s="163">
        <f>+SUMIF('Dec A-1'!$A$25:$A$57,'Tableau détaillé'!$D39,'Dec A-1'!$K$25:$K$57)</f>
        <v>0.40447595973</v>
      </c>
      <c r="G39" s="163">
        <f>+SUMIF('Mois courant'!$A$28:$A$61,'Tableau détaillé'!$D39,'Mois courant'!$K$28:$K$61)</f>
        <v>0.399026962938</v>
      </c>
      <c r="H39" s="40">
        <f t="shared" si="16"/>
        <v>-0.54489967920000049</v>
      </c>
      <c r="I39" s="91"/>
      <c r="J39" s="63">
        <f t="shared" si="17"/>
        <v>1.0599978868000015</v>
      </c>
      <c r="K39" s="91"/>
      <c r="L39" s="126"/>
      <c r="M39" s="32"/>
      <c r="N39" s="254"/>
      <c r="O39" s="254"/>
      <c r="P39" s="254"/>
      <c r="Q39" s="254"/>
      <c r="R39" s="254"/>
      <c r="S39" s="254"/>
      <c r="T39" s="254"/>
      <c r="U39" s="254"/>
      <c r="V39" s="254"/>
      <c r="W39" s="252"/>
      <c r="X39" s="252"/>
      <c r="Y39" s="252"/>
      <c r="Z39" s="252"/>
      <c r="AA39" s="265"/>
    </row>
    <row r="40" spans="3:27">
      <c r="C40" s="435"/>
      <c r="D40" s="47" t="s">
        <v>18</v>
      </c>
      <c r="E40" s="126"/>
      <c r="F40" s="163">
        <f>+SUMIF('Dec A-1'!$A$25:$A$57,'Tableau détaillé'!$D40,'Dec A-1'!$K$25:$K$57)</f>
        <v>0.70015934523500001</v>
      </c>
      <c r="G40" s="163">
        <f>+SUMIF('Mois courant'!$A$28:$A$61,'Tableau détaillé'!$D40,'Mois courant'!$K$28:$K$61)</f>
        <v>0.68209070235000002</v>
      </c>
      <c r="H40" s="40">
        <f t="shared" si="16"/>
        <v>-1.8068642884999986</v>
      </c>
      <c r="I40" s="91"/>
      <c r="J40" s="63">
        <f t="shared" si="17"/>
        <v>1.0599978868000015</v>
      </c>
      <c r="K40" s="91"/>
      <c r="L40" s="126"/>
      <c r="M40" s="32"/>
      <c r="N40" s="254"/>
      <c r="O40" s="254"/>
      <c r="P40" s="254"/>
      <c r="Q40" s="254"/>
      <c r="R40" s="254"/>
      <c r="S40" s="254"/>
      <c r="T40" s="254"/>
      <c r="U40" s="254"/>
      <c r="V40" s="254"/>
      <c r="W40" s="252"/>
      <c r="X40" s="252"/>
      <c r="Y40" s="252"/>
      <c r="Z40" s="252"/>
      <c r="AA40" s="265"/>
    </row>
    <row r="41" spans="3:27">
      <c r="C41" s="435"/>
      <c r="D41" s="47" t="s">
        <v>19</v>
      </c>
      <c r="E41" s="126"/>
      <c r="F41" s="163">
        <f>+SUMIF('Dec A-1'!$A$25:$A$57,'Tableau détaillé'!$D41,'Dec A-1'!$K$25:$K$57)</f>
        <v>0.52565300723800001</v>
      </c>
      <c r="G41" s="163">
        <f>+SUMIF('Mois courant'!$A$28:$A$61,'Tableau détaillé'!$D41,'Mois courant'!$K$28:$K$61)</f>
        <v>0.499880128501</v>
      </c>
      <c r="H41" s="40">
        <f>+IFERROR((G41-F41)*100,"ND")</f>
        <v>-2.5772878737000013</v>
      </c>
      <c r="I41" s="91"/>
      <c r="J41" s="63">
        <f t="shared" si="17"/>
        <v>1.0599978868000015</v>
      </c>
      <c r="K41" s="91"/>
      <c r="L41" s="126"/>
      <c r="M41" s="32"/>
      <c r="N41" s="254"/>
      <c r="O41" s="254"/>
      <c r="P41" s="254"/>
      <c r="Q41" s="254"/>
      <c r="R41" s="254"/>
      <c r="S41" s="254"/>
      <c r="T41" s="254"/>
      <c r="U41" s="254"/>
      <c r="V41" s="254"/>
      <c r="W41" s="252"/>
      <c r="X41" s="252"/>
      <c r="Y41" s="252"/>
      <c r="Z41" s="252"/>
      <c r="AA41" s="265"/>
    </row>
    <row r="42" spans="3:27">
      <c r="C42" s="435"/>
      <c r="D42" s="47" t="s">
        <v>21</v>
      </c>
      <c r="E42" s="126"/>
      <c r="F42" s="163">
        <f>+SUMIF('Dec A-1'!$A$25:$A$57,'Tableau détaillé'!$D42,'Dec A-1'!$K$25:$K$57)</f>
        <v>0.47199461905200002</v>
      </c>
      <c r="G42" s="163">
        <f>+SUMIF('Mois courant'!$A$28:$A$61,'Tableau détaillé'!$D42,'Mois courant'!$K$28:$K$61)</f>
        <v>0.41883742617299996</v>
      </c>
      <c r="H42" s="40">
        <f t="shared" ref="H42:H49" si="18">+(G42-F42)*100</f>
        <v>-5.3157192879000057</v>
      </c>
      <c r="I42" s="91"/>
      <c r="J42" s="63">
        <f t="shared" si="17"/>
        <v>1.0599978868000015</v>
      </c>
      <c r="K42" s="91"/>
      <c r="L42" s="126"/>
      <c r="M42" s="32"/>
      <c r="N42" s="254"/>
      <c r="O42" s="254"/>
      <c r="P42" s="254"/>
      <c r="Q42" s="254"/>
      <c r="R42" s="254"/>
      <c r="S42" s="254"/>
      <c r="T42" s="254"/>
      <c r="U42" s="254"/>
      <c r="V42" s="254"/>
      <c r="W42" s="252"/>
      <c r="X42" s="252"/>
      <c r="Y42" s="252"/>
      <c r="Z42" s="252"/>
      <c r="AA42" s="265"/>
    </row>
    <row r="43" spans="3:27">
      <c r="C43" s="435"/>
      <c r="D43" s="47" t="s">
        <v>22</v>
      </c>
      <c r="E43" s="126"/>
      <c r="F43" s="163">
        <f>+SUMIF('Dec A-1'!$A$25:$A$57,'Tableau détaillé'!$D43,'Dec A-1'!$K$25:$K$57)</f>
        <v>0.66755613941400005</v>
      </c>
      <c r="G43" s="163">
        <f>+SUMIF('Mois courant'!$A$28:$A$61,'Tableau détaillé'!$D43,'Mois courant'!$K$28:$K$61)</f>
        <v>0.67407287710899999</v>
      </c>
      <c r="H43" s="40">
        <f t="shared" si="18"/>
        <v>0.65167376949999412</v>
      </c>
      <c r="I43" s="91"/>
      <c r="J43" s="63">
        <f t="shared" si="17"/>
        <v>1.0599978868000015</v>
      </c>
      <c r="K43" s="91"/>
      <c r="L43" s="126"/>
      <c r="M43" s="32"/>
      <c r="N43" s="254"/>
      <c r="O43" s="254"/>
      <c r="P43" s="254"/>
      <c r="Q43" s="254"/>
      <c r="R43" s="254"/>
      <c r="S43" s="254"/>
      <c r="T43" s="254"/>
      <c r="U43" s="254"/>
      <c r="V43" s="254"/>
      <c r="W43" s="252"/>
      <c r="X43" s="252"/>
      <c r="Y43" s="252"/>
      <c r="Z43" s="252"/>
      <c r="AA43" s="265"/>
    </row>
    <row r="44" spans="3:27">
      <c r="C44" s="435"/>
      <c r="D44" s="48" t="s">
        <v>62</v>
      </c>
      <c r="E44" s="124"/>
      <c r="F44" s="103">
        <f>+SUMIF('Dec A-1'!$A$25:$A$57,'Tableau détaillé'!$D44,'Dec A-1'!$K$25:$K$57)</f>
        <v>0.443883705967</v>
      </c>
      <c r="G44" s="103">
        <f>+SUMIF('Mois courant'!$A$28:$A$61,'Tableau détaillé'!$D44,'Mois courant'!$K$28:$K$61)</f>
        <v>0.43840617132500004</v>
      </c>
      <c r="H44" s="42">
        <f t="shared" si="18"/>
        <v>-0.54775346419999593</v>
      </c>
      <c r="I44" s="92"/>
      <c r="J44" s="63">
        <f t="shared" si="17"/>
        <v>1.0599978868000015</v>
      </c>
      <c r="K44" s="92"/>
      <c r="L44" s="126"/>
      <c r="M44" s="32"/>
      <c r="N44" s="254"/>
      <c r="O44" s="254"/>
      <c r="P44" s="254"/>
      <c r="Q44" s="254"/>
      <c r="R44" s="254"/>
      <c r="S44" s="254"/>
      <c r="T44" s="254"/>
      <c r="U44" s="254"/>
      <c r="V44" s="254"/>
      <c r="W44" s="252"/>
      <c r="X44" s="252"/>
      <c r="Y44" s="252"/>
      <c r="Z44" s="252"/>
      <c r="AA44" s="265"/>
    </row>
    <row r="45" spans="3:27">
      <c r="C45" s="435"/>
      <c r="D45" s="47" t="s">
        <v>15</v>
      </c>
      <c r="E45" s="126"/>
      <c r="F45" s="163">
        <f>+SUMIF('Dec A-1'!$A$25:$A$57,'Tableau détaillé'!$D45,'Dec A-1'!$K$25:$K$57)</f>
        <v>0.54100020601900001</v>
      </c>
      <c r="G45" s="163">
        <f>+SUMIF('Mois courant'!$A$28:$A$61,'Tableau détaillé'!$D45,'Mois courant'!$K$28:$K$61)</f>
        <v>0.54694066229500005</v>
      </c>
      <c r="H45" s="40">
        <f t="shared" si="18"/>
        <v>0.5940456276000039</v>
      </c>
      <c r="I45" s="91"/>
      <c r="J45" s="63">
        <f t="shared" si="17"/>
        <v>1.0599978868000015</v>
      </c>
      <c r="K45" s="91"/>
      <c r="L45" s="124"/>
      <c r="M45" s="31"/>
      <c r="N45" s="254"/>
      <c r="O45" s="254"/>
      <c r="P45" s="254"/>
      <c r="Q45" s="254"/>
      <c r="R45" s="254"/>
      <c r="S45" s="254"/>
      <c r="T45" s="254"/>
      <c r="U45" s="254"/>
      <c r="V45" s="254"/>
      <c r="W45" s="252"/>
      <c r="X45" s="252"/>
      <c r="Y45" s="252"/>
      <c r="Z45" s="252"/>
      <c r="AA45" s="265"/>
    </row>
    <row r="46" spans="3:27">
      <c r="C46" s="435"/>
      <c r="D46" s="47" t="s">
        <v>16</v>
      </c>
      <c r="E46" s="126"/>
      <c r="F46" s="163">
        <f>+SUMIF('Dec A-1'!$A$25:$A$57,'Tableau détaillé'!$D46,'Dec A-1'!$K$25:$K$57)</f>
        <v>0.35578801222200002</v>
      </c>
      <c r="G46" s="163">
        <f>+SUMIF('Mois courant'!$A$28:$A$61,'Tableau détaillé'!$D46,'Mois courant'!$K$28:$K$61)</f>
        <v>0.40234309058300005</v>
      </c>
      <c r="H46" s="40">
        <f t="shared" si="18"/>
        <v>4.6555078361000035</v>
      </c>
      <c r="I46" s="91"/>
      <c r="J46" s="63">
        <f t="shared" si="17"/>
        <v>1.0599978868000015</v>
      </c>
      <c r="K46" s="91"/>
      <c r="L46" s="126"/>
      <c r="M46" s="32"/>
      <c r="N46" s="254"/>
      <c r="O46" s="254"/>
      <c r="P46" s="254">
        <f>(G52-F52)/F52</f>
        <v>2.6262177430132719E-2</v>
      </c>
      <c r="Q46" s="254">
        <f>(G52-E52)/E52</f>
        <v>2.6262177430132719E-2</v>
      </c>
      <c r="R46" s="254"/>
      <c r="S46" s="254"/>
      <c r="T46" s="254"/>
      <c r="U46" s="254"/>
      <c r="V46" s="254"/>
      <c r="W46" s="252"/>
      <c r="X46" s="252"/>
      <c r="Y46" s="252"/>
      <c r="Z46" s="252"/>
      <c r="AA46" s="265"/>
    </row>
    <row r="47" spans="3:27">
      <c r="C47" s="435"/>
      <c r="D47" s="47" t="s">
        <v>20</v>
      </c>
      <c r="E47" s="126"/>
      <c r="F47" s="163">
        <f>+SUMIF('Dec A-1'!$A$25:$A$57,'Tableau détaillé'!$D47,'Dec A-1'!$K$25:$K$57)</f>
        <v>0.42848311133400002</v>
      </c>
      <c r="G47" s="163">
        <f>+SUMIF('Mois courant'!$A$28:$A$61,'Tableau détaillé'!$D47,'Mois courant'!$K$28:$K$61)</f>
        <v>0.41868541182300001</v>
      </c>
      <c r="H47" s="40">
        <f t="shared" si="18"/>
        <v>-0.97976995110000131</v>
      </c>
      <c r="I47" s="91"/>
      <c r="J47" s="63">
        <f t="shared" si="17"/>
        <v>1.0599978868000015</v>
      </c>
      <c r="K47" s="91"/>
      <c r="L47" s="126"/>
      <c r="M47" s="32"/>
      <c r="N47" s="254"/>
      <c r="O47" s="254"/>
      <c r="P47" s="254"/>
      <c r="Q47" s="254"/>
      <c r="R47" s="254"/>
      <c r="S47" s="254"/>
      <c r="T47" s="254"/>
      <c r="U47" s="254"/>
      <c r="V47" s="254"/>
      <c r="W47" s="252"/>
      <c r="X47" s="252"/>
      <c r="Y47" s="252"/>
      <c r="Z47" s="252"/>
      <c r="AA47" s="265"/>
    </row>
    <row r="48" spans="3:27">
      <c r="C48" s="435"/>
      <c r="D48" s="47" t="s">
        <v>23</v>
      </c>
      <c r="E48" s="126"/>
      <c r="F48" s="163">
        <f>+SUMIF('Dec A-1'!$A$25:$A$57,'Tableau détaillé'!$D48,'Dec A-1'!$K$25:$K$57)</f>
        <v>0.16185402767999998</v>
      </c>
      <c r="G48" s="163">
        <f>+SUMIF('Mois courant'!$A$28:$A$61,'Tableau détaillé'!$D48,'Mois courant'!$K$28:$K$61)</f>
        <v>0.16658454867899999</v>
      </c>
      <c r="H48" s="40">
        <f t="shared" si="18"/>
        <v>0.47305209990000097</v>
      </c>
      <c r="I48" s="91"/>
      <c r="J48" s="63">
        <f t="shared" si="17"/>
        <v>1.0599978868000015</v>
      </c>
      <c r="K48" s="91"/>
      <c r="L48" s="126"/>
      <c r="M48" s="32"/>
      <c r="N48" s="254"/>
      <c r="O48" s="254"/>
      <c r="P48" s="254"/>
      <c r="Q48" s="254"/>
      <c r="R48" s="254"/>
      <c r="S48" s="254"/>
      <c r="T48" s="254"/>
      <c r="U48" s="254"/>
      <c r="V48" s="254"/>
      <c r="W48" s="252"/>
      <c r="X48" s="252"/>
      <c r="Y48" s="252"/>
      <c r="Z48" s="252"/>
      <c r="AA48" s="265"/>
    </row>
    <row r="49" spans="3:27" ht="14.4" thickBot="1">
      <c r="C49" s="436"/>
      <c r="D49" s="49" t="s">
        <v>63</v>
      </c>
      <c r="E49" s="129"/>
      <c r="F49" s="86">
        <f>+SUMIF('Dec A-1'!$A$25:$A$57,'Tableau détaillé'!$D49,'Dec A-1'!$K$25:$K$57)</f>
        <v>0.45084482910599999</v>
      </c>
      <c r="G49" s="86">
        <f>+SUMIF('Mois courant'!$A$28:$A$61,'Tableau détaillé'!$D49,'Mois courant'!$K$28:$K$61)</f>
        <v>0.48530925024000005</v>
      </c>
      <c r="H49" s="44">
        <f t="shared" si="18"/>
        <v>3.4464421134000056</v>
      </c>
      <c r="I49" s="93"/>
      <c r="J49" s="87">
        <f t="shared" si="17"/>
        <v>1.0599978868000015</v>
      </c>
      <c r="K49" s="93"/>
      <c r="L49" s="172"/>
      <c r="M49" s="173"/>
      <c r="N49" s="254"/>
      <c r="O49" s="254"/>
      <c r="P49" s="254"/>
      <c r="Q49" s="254"/>
      <c r="R49" s="254"/>
      <c r="S49" s="254"/>
      <c r="T49" s="254"/>
      <c r="U49" s="254"/>
      <c r="V49" s="254"/>
      <c r="W49" s="252"/>
      <c r="X49" s="252"/>
      <c r="Y49" s="252"/>
      <c r="Z49" s="252"/>
      <c r="AA49" s="265"/>
    </row>
    <row r="50" spans="3:27" ht="15" thickTop="1" thickBot="1">
      <c r="C50" s="252"/>
      <c r="E50" s="132"/>
      <c r="F50" s="132"/>
      <c r="G50" s="132"/>
      <c r="L50" s="98"/>
      <c r="M50" s="98"/>
      <c r="N50" s="291"/>
      <c r="O50" s="292"/>
      <c r="P50" s="292"/>
      <c r="Q50" s="292"/>
      <c r="R50" s="292"/>
      <c r="S50" s="292"/>
      <c r="T50" s="293"/>
      <c r="U50" s="170"/>
      <c r="V50" s="170"/>
      <c r="W50" s="252"/>
      <c r="X50" s="252"/>
      <c r="Y50" s="252"/>
      <c r="Z50" s="252"/>
      <c r="AA50" s="265"/>
    </row>
    <row r="51" spans="3:27" ht="32.4" customHeight="1" thickTop="1" thickBot="1">
      <c r="C51" s="459" t="s">
        <v>65</v>
      </c>
      <c r="D51" s="29"/>
      <c r="E51" s="747">
        <v>44926</v>
      </c>
      <c r="F51" s="747">
        <v>44926</v>
      </c>
      <c r="G51" s="747">
        <v>45291</v>
      </c>
      <c r="H51" s="174" t="s">
        <v>195</v>
      </c>
      <c r="I51" s="175" t="s">
        <v>196</v>
      </c>
      <c r="J51" s="50"/>
      <c r="K51" s="69"/>
      <c r="L51" s="122"/>
      <c r="M51" s="120"/>
      <c r="N51" s="438" t="s">
        <v>494</v>
      </c>
      <c r="O51" s="438" t="s">
        <v>494</v>
      </c>
      <c r="P51" s="438" t="s">
        <v>560</v>
      </c>
      <c r="Q51" s="282"/>
      <c r="R51" s="282"/>
      <c r="S51" s="282"/>
      <c r="T51" s="284"/>
      <c r="U51" s="169"/>
      <c r="V51" s="169"/>
      <c r="W51" s="252"/>
      <c r="X51" s="252"/>
      <c r="Y51" s="252"/>
      <c r="Z51" s="252"/>
      <c r="AA51" s="265"/>
    </row>
    <row r="52" spans="3:27" ht="14.4" thickTop="1">
      <c r="C52" s="460" t="s">
        <v>61</v>
      </c>
      <c r="D52" s="30" t="s">
        <v>64</v>
      </c>
      <c r="E52" s="124">
        <f>SUM(E60,E65)</f>
        <v>3929800.9608900007</v>
      </c>
      <c r="F52" s="124">
        <f>SUM(F60,F65)</f>
        <v>3929800.9608900007</v>
      </c>
      <c r="G52" s="124">
        <f>SUM(G60,G65)</f>
        <v>4033006.0909899999</v>
      </c>
      <c r="H52" s="103">
        <f>+S52/F52-1</f>
        <v>4.9873568684914771E-2</v>
      </c>
      <c r="I52" s="165">
        <f>+R52/E52-1</f>
        <v>4.9873568684914771E-2</v>
      </c>
      <c r="J52" s="61"/>
      <c r="K52" s="61"/>
      <c r="L52" s="124"/>
      <c r="M52" s="31"/>
      <c r="N52" s="439"/>
      <c r="O52" s="439"/>
      <c r="P52" s="439"/>
      <c r="Q52" s="282"/>
      <c r="R52" s="283">
        <f>SUM(R60,R65)</f>
        <v>4125794.1590309925</v>
      </c>
      <c r="S52" s="283">
        <f>SUM(S60,S65)</f>
        <v>4125794.1590309925</v>
      </c>
      <c r="T52" s="284"/>
      <c r="U52" s="169"/>
      <c r="V52" s="169"/>
      <c r="W52" s="252"/>
      <c r="X52" s="252"/>
      <c r="Y52" s="252"/>
      <c r="Z52" s="252"/>
      <c r="AA52" s="265"/>
    </row>
    <row r="53" spans="3:27">
      <c r="C53" s="435"/>
      <c r="D53" s="47" t="s">
        <v>13</v>
      </c>
      <c r="E53" s="126">
        <f>+SUMIF('Mois Y-1'!$A$76:$A$86,'Tableau détaillé'!$D53,'Mois Y-1'!$C$76:$C$86)+SUMIF('Mois Y-1'!$A$76:$A$86,'Tableau détaillé'!$D53,'Mois Y-1'!$D$76:$D$86)+SUMIF('Mois Y-1'!$A$76:$A$86,'Tableau détaillé'!$D53,'Mois Y-1'!$E$76:$E$86)</f>
        <v>1598703.88696</v>
      </c>
      <c r="F53" s="126">
        <f>+SUMIF('Dec A-1'!$A$81:$A$92,'Tableau détaillé'!$D53,'Dec A-1'!$C$81:$C$92)+SUMIF('Dec A-1'!$A$81:$A$92,'Tableau détaillé'!$D53,'Dec A-1'!$E$81:$E$92)+SUMIF('Dec A-1'!$A$81:$A$92,'Tableau détaillé'!$D53,'Dec A-1'!$F$81:$F$92)</f>
        <v>1598703.88696</v>
      </c>
      <c r="G53" s="126">
        <f>+SUMIF('Mois courant'!$A$86:$A$97,'Tableau détaillé'!$D53,'Mois courant'!$C$86:$C$97)+SUMIF('Mois courant'!$A$86:$A$97,'Tableau détaillé'!$D53,'Mois courant'!$E$86:$E$97)+SUMIF('Mois courant'!$A$86:$A$97,'Tableau détaillé'!$D53,'Mois courant'!$F$86:$F$97)</f>
        <v>1719378.3365999998</v>
      </c>
      <c r="H53" s="163">
        <f>+((G53*P53))/O53/F53-1</f>
        <v>7.5482677326485392E-2</v>
      </c>
      <c r="I53" s="164">
        <f t="shared" ref="I53:I65" si="19">+R53/E53-1</f>
        <v>7.5482677326485392E-2</v>
      </c>
      <c r="J53" s="62">
        <f>+$H$52</f>
        <v>4.9873568684914771E-2</v>
      </c>
      <c r="K53" s="62">
        <f>+$I$52</f>
        <v>4.9873568684914771E-2</v>
      </c>
      <c r="L53" s="126"/>
      <c r="M53" s="32"/>
      <c r="N53" s="277">
        <f>N21</f>
        <v>655.95699999999999</v>
      </c>
      <c r="O53" s="277">
        <v>655.95699999999999</v>
      </c>
      <c r="P53" s="277">
        <f>P21</f>
        <v>655.95699999999999</v>
      </c>
      <c r="Q53" s="286"/>
      <c r="R53" s="285">
        <f>+G53*P53/N53</f>
        <v>1719378.3365999998</v>
      </c>
      <c r="S53" s="285">
        <f>+G53*P53/O53</f>
        <v>1719378.3365999998</v>
      </c>
      <c r="T53" s="287"/>
      <c r="U53" s="254"/>
      <c r="V53" s="254"/>
      <c r="W53" s="252"/>
      <c r="X53" s="252"/>
      <c r="Y53" s="252"/>
      <c r="Z53" s="252"/>
      <c r="AA53" s="265"/>
    </row>
    <row r="54" spans="3:27">
      <c r="C54" s="435"/>
      <c r="D54" s="47" t="s">
        <v>14</v>
      </c>
      <c r="E54" s="126">
        <f>+SUMIF('Mois Y-1'!$A$76:$A$86,'Tableau détaillé'!$D54,'Mois Y-1'!$C$76:$C$86)+SUMIF('Mois Y-1'!$A$76:$A$86,'Tableau détaillé'!$D54,'Mois Y-1'!$D$76:$D$86)+SUMIF('Mois Y-1'!$A$76:$A$86,'Tableau détaillé'!$D54,'Mois Y-1'!$E$76:$E$86)</f>
        <v>183557.11632</v>
      </c>
      <c r="F54" s="126">
        <f>+SUMIF('Dec A-1'!$A$81:$A$92,'Tableau détaillé'!$D54,'Dec A-1'!$C$81:$C$92)+SUMIF('Dec A-1'!$A$81:$A$92,'Tableau détaillé'!$D54,'Dec A-1'!$E$81:$E$92)+SUMIF('Dec A-1'!$A$81:$A$92,'Tableau détaillé'!$D54,'Dec A-1'!$F$81:$F$92)</f>
        <v>183557.11632</v>
      </c>
      <c r="G54" s="126">
        <f>+SUMIF('Mois courant'!$A$86:$A$97,'Tableau détaillé'!$D54,'Mois courant'!$C$86:$C$97)+SUMIF('Mois courant'!$A$86:$A$97,'Tableau détaillé'!$D54,'Mois courant'!$E$86:$E$97)+SUMIF('Mois courant'!$A$86:$A$97,'Tableau détaillé'!$D54,'Mois courant'!$F$86:$F$97)</f>
        <v>158929.79947</v>
      </c>
      <c r="H54" s="163">
        <f t="shared" ref="H54:H64" si="20">+((G54*P54))/O54/F54-1</f>
        <v>0.24268996703702328</v>
      </c>
      <c r="I54" s="164">
        <f t="shared" si="19"/>
        <v>0.24268996703702328</v>
      </c>
      <c r="J54" s="62">
        <f t="shared" ref="J54:J65" si="21">+$H$52</f>
        <v>4.9873568684914771E-2</v>
      </c>
      <c r="K54" s="62">
        <f t="shared" ref="K54:K65" si="22">+$I$52</f>
        <v>4.9873568684914771E-2</v>
      </c>
      <c r="L54" s="126"/>
      <c r="M54" s="32"/>
      <c r="N54" s="278">
        <f t="shared" ref="N54:N64" si="23">N22</f>
        <v>9.1456999999999997</v>
      </c>
      <c r="O54" s="278">
        <v>9.1456999999999997</v>
      </c>
      <c r="P54" s="278">
        <f t="shared" ref="P54:P64" si="24">P22</f>
        <v>13.1264</v>
      </c>
      <c r="Q54" s="286"/>
      <c r="R54" s="285">
        <f t="shared" ref="R54:R64" si="25">+G54*P54/N54</f>
        <v>228104.58682911185</v>
      </c>
      <c r="S54" s="285">
        <f t="shared" ref="S54:S64" si="26">+G54*P54/O54</f>
        <v>228104.58682911185</v>
      </c>
      <c r="T54" s="287"/>
      <c r="U54" s="254"/>
      <c r="V54" s="254"/>
      <c r="W54" s="252"/>
      <c r="X54" s="252"/>
      <c r="Y54" s="252"/>
      <c r="Z54" s="252"/>
      <c r="AA54" s="265"/>
    </row>
    <row r="55" spans="3:27">
      <c r="C55" s="435"/>
      <c r="D55" s="47" t="s">
        <v>17</v>
      </c>
      <c r="E55" s="126">
        <f>+SUMIF('Mois Y-1'!$A$76:$A$86,'Tableau détaillé'!$D55,'Mois Y-1'!$C$76:$C$86)+SUMIF('Mois Y-1'!$A$76:$A$86,'Tableau détaillé'!$D55,'Mois Y-1'!$D$76:$D$86)+SUMIF('Mois Y-1'!$A$76:$A$86,'Tableau détaillé'!$D55,'Mois Y-1'!$E$76:$E$86)</f>
        <v>710825.41534999991</v>
      </c>
      <c r="F55" s="126">
        <f>+SUMIF('Dec A-1'!$A$81:$A$92,'Tableau détaillé'!$D55,'Dec A-1'!$C$81:$C$92)+SUMIF('Dec A-1'!$A$81:$A$92,'Tableau détaillé'!$D55,'Dec A-1'!$E$81:$E$92)+SUMIF('Dec A-1'!$A$81:$A$92,'Tableau détaillé'!$D55,'Dec A-1'!$F$81:$F$92)</f>
        <v>710825.41534999991</v>
      </c>
      <c r="G55" s="126">
        <f>+SUMIF('Mois courant'!$A$86:$A$97,'Tableau détaillé'!$D55,'Mois courant'!$C$86:$C$97)+SUMIF('Mois courant'!$A$86:$A$97,'Tableau détaillé'!$D55,'Mois courant'!$E$86:$E$97)+SUMIF('Mois courant'!$A$86:$A$97,'Tableau détaillé'!$D55,'Mois courant'!$F$86:$F$97)</f>
        <v>731672.02084000001</v>
      </c>
      <c r="H55" s="163">
        <f t="shared" si="20"/>
        <v>2.9327321505148385E-2</v>
      </c>
      <c r="I55" s="164">
        <f t="shared" si="19"/>
        <v>2.9327321505148385E-2</v>
      </c>
      <c r="J55" s="62">
        <f t="shared" si="21"/>
        <v>4.9873568684914771E-2</v>
      </c>
      <c r="K55" s="62">
        <f t="shared" si="22"/>
        <v>4.9873568684914771E-2</v>
      </c>
      <c r="L55" s="126"/>
      <c r="M55" s="32"/>
      <c r="N55" s="277">
        <f t="shared" si="23"/>
        <v>655.95699999999999</v>
      </c>
      <c r="O55" s="277">
        <v>655.95699999999999</v>
      </c>
      <c r="P55" s="277">
        <f t="shared" si="24"/>
        <v>655.95699999999999</v>
      </c>
      <c r="Q55" s="286"/>
      <c r="R55" s="285">
        <f t="shared" si="25"/>
        <v>731672.02084000001</v>
      </c>
      <c r="S55" s="285">
        <f t="shared" si="26"/>
        <v>731672.02084000001</v>
      </c>
      <c r="T55" s="287"/>
      <c r="U55" s="254"/>
      <c r="V55" s="254"/>
      <c r="W55" s="252"/>
      <c r="X55" s="252"/>
      <c r="Y55" s="252"/>
      <c r="Z55" s="252"/>
      <c r="AA55" s="265"/>
    </row>
    <row r="56" spans="3:27">
      <c r="C56" s="435"/>
      <c r="D56" s="47" t="s">
        <v>18</v>
      </c>
      <c r="E56" s="126">
        <f>+SUMIF('Mois Y-1'!$A$76:$A$86,'Tableau détaillé'!$D56,'Mois Y-1'!$C$76:$C$86)+SUMIF('Mois Y-1'!$A$76:$A$86,'Tableau détaillé'!$D56,'Mois Y-1'!$D$76:$D$86)+SUMIF('Mois Y-1'!$A$76:$A$86,'Tableau détaillé'!$D56,'Mois Y-1'!$E$76:$E$86)</f>
        <v>209342.93213000003</v>
      </c>
      <c r="F56" s="126">
        <f>+SUMIF('Dec A-1'!$A$81:$A$92,'Tableau détaillé'!$D56,'Dec A-1'!$C$81:$C$92)+SUMIF('Dec A-1'!$A$81:$A$92,'Tableau détaillé'!$D56,'Dec A-1'!$E$81:$E$92)+SUMIF('Dec A-1'!$A$81:$A$92,'Tableau détaillé'!$D56,'Dec A-1'!$F$81:$F$92)</f>
        <v>209342.93213000003</v>
      </c>
      <c r="G56" s="126">
        <f>+SUMIF('Mois courant'!$A$86:$A$97,'Tableau détaillé'!$D56,'Mois courant'!$C$86:$C$97)+SUMIF('Mois courant'!$A$86:$A$97,'Tableau détaillé'!$D56,'Mois courant'!$E$86:$E$97)+SUMIF('Mois courant'!$A$86:$A$97,'Tableau détaillé'!$D56,'Mois courant'!$F$86:$F$97)</f>
        <v>206077.53074000002</v>
      </c>
      <c r="H56" s="163">
        <f t="shared" si="20"/>
        <v>-1.5598335978079358E-2</v>
      </c>
      <c r="I56" s="164">
        <f t="shared" si="19"/>
        <v>-1.5598335978079358E-2</v>
      </c>
      <c r="J56" s="62">
        <f t="shared" si="21"/>
        <v>4.9873568684914771E-2</v>
      </c>
      <c r="K56" s="62">
        <f t="shared" si="22"/>
        <v>4.9873568684914771E-2</v>
      </c>
      <c r="L56" s="126"/>
      <c r="M56" s="32"/>
      <c r="N56" s="277">
        <f t="shared" si="23"/>
        <v>655.95699999999999</v>
      </c>
      <c r="O56" s="277">
        <v>655.95699999999999</v>
      </c>
      <c r="P56" s="277">
        <f t="shared" si="24"/>
        <v>655.95699999999999</v>
      </c>
      <c r="Q56" s="286"/>
      <c r="R56" s="285">
        <f t="shared" si="25"/>
        <v>206077.53074000002</v>
      </c>
      <c r="S56" s="285">
        <f t="shared" si="26"/>
        <v>206077.53074000002</v>
      </c>
      <c r="T56" s="287"/>
      <c r="U56" s="254"/>
      <c r="V56" s="254"/>
      <c r="W56" s="252"/>
      <c r="X56" s="252"/>
      <c r="Y56" s="252"/>
      <c r="Z56" s="252"/>
      <c r="AA56" s="265"/>
    </row>
    <row r="57" spans="3:27">
      <c r="C57" s="435"/>
      <c r="D57" s="47" t="s">
        <v>19</v>
      </c>
      <c r="E57" s="126">
        <f>+SUMIF('Mois Y-1'!$A$76:$A$86,'Tableau détaillé'!$D57,'Mois Y-1'!$C$76:$C$86)+SUMIF('Mois Y-1'!$A$76:$A$86,'Tableau détaillé'!$D57,'Mois Y-1'!$D$76:$D$86)+SUMIF('Mois Y-1'!$A$76:$A$86,'Tableau détaillé'!$D57,'Mois Y-1'!$E$76:$E$86)</f>
        <v>146043.49767000001</v>
      </c>
      <c r="F57" s="126">
        <f>+SUMIF('Dec A-1'!$A$81:$A$92,'Tableau détaillé'!$D57,'Dec A-1'!$C$81:$C$92)+SUMIF('Dec A-1'!$A$81:$A$92,'Tableau détaillé'!$D57,'Dec A-1'!$E$81:$E$92)+SUMIF('Dec A-1'!$A$81:$A$92,'Tableau détaillé'!$D57,'Dec A-1'!$F$81:$F$92)</f>
        <v>146043.49767000001</v>
      </c>
      <c r="G57" s="126">
        <f>+SUMIF('Mois courant'!$A$86:$A$97,'Tableau détaillé'!$D57,'Mois courant'!$C$86:$C$97)+SUMIF('Mois courant'!$A$86:$A$97,'Tableau détaillé'!$D57,'Mois courant'!$E$86:$E$97)+SUMIF('Mois courant'!$A$86:$A$97,'Tableau détaillé'!$D57,'Mois courant'!$F$86:$F$97)</f>
        <v>151027.21400000001</v>
      </c>
      <c r="H57" s="163">
        <f t="shared" si="20"/>
        <v>6.7668520385383513E-2</v>
      </c>
      <c r="I57" s="164">
        <f t="shared" si="19"/>
        <v>6.7668520385383513E-2</v>
      </c>
      <c r="J57" s="62">
        <f t="shared" si="21"/>
        <v>4.9873568684914771E-2</v>
      </c>
      <c r="K57" s="62">
        <f t="shared" si="22"/>
        <v>4.9873568684914771E-2</v>
      </c>
      <c r="L57" s="126"/>
      <c r="M57" s="32"/>
      <c r="N57" s="277">
        <f t="shared" si="23"/>
        <v>9085.2922999999992</v>
      </c>
      <c r="O57" s="277">
        <v>9085.2922999999992</v>
      </c>
      <c r="P57" s="277">
        <f t="shared" si="24"/>
        <v>9379.9896000000008</v>
      </c>
      <c r="Q57" s="286"/>
      <c r="R57" s="285">
        <f t="shared" si="25"/>
        <v>155926.04506923512</v>
      </c>
      <c r="S57" s="285">
        <f t="shared" si="26"/>
        <v>155926.04506923512</v>
      </c>
      <c r="T57" s="287"/>
      <c r="U57" s="254"/>
      <c r="V57" s="254"/>
      <c r="W57" s="252"/>
      <c r="X57" s="252"/>
      <c r="Y57" s="252"/>
      <c r="Z57" s="252"/>
      <c r="AA57" s="265"/>
    </row>
    <row r="58" spans="3:27">
      <c r="C58" s="435"/>
      <c r="D58" s="47" t="s">
        <v>21</v>
      </c>
      <c r="E58" s="126">
        <f>+SUMIF('Mois Y-1'!$A$76:$A$86,'Tableau détaillé'!$D58,'Mois Y-1'!$C$76:$C$86)+SUMIF('Mois Y-1'!$A$76:$A$86,'Tableau détaillé'!$D58,'Mois Y-1'!$D$76:$D$86)+SUMIF('Mois Y-1'!$A$76:$A$86,'Tableau détaillé'!$D58,'Mois Y-1'!$E$76:$E$86)</f>
        <v>89368.135460000005</v>
      </c>
      <c r="F58" s="126">
        <f>+SUMIF('Dec A-1'!$A$81:$A$92,'Tableau détaillé'!$D58,'Dec A-1'!$C$81:$C$92)+SUMIF('Dec A-1'!$A$81:$A$92,'Tableau détaillé'!$D58,'Dec A-1'!$E$81:$E$92)+SUMIF('Dec A-1'!$A$81:$A$92,'Tableau détaillé'!$D58,'Dec A-1'!$F$81:$F$92)</f>
        <v>89368.135460000005</v>
      </c>
      <c r="G58" s="126">
        <f>+SUMIF('Mois courant'!$A$86:$A$97,'Tableau détaillé'!$D58,'Mois courant'!$C$86:$C$97)+SUMIF('Mois courant'!$A$86:$A$97,'Tableau détaillé'!$D58,'Mois courant'!$E$86:$E$97)+SUMIF('Mois courant'!$A$86:$A$97,'Tableau détaillé'!$D58,'Mois courant'!$F$86:$F$97)</f>
        <v>84799.436419999984</v>
      </c>
      <c r="H58" s="163">
        <f t="shared" si="20"/>
        <v>-5.112223743377653E-2</v>
      </c>
      <c r="I58" s="164">
        <f t="shared" si="19"/>
        <v>-5.112223743377653E-2</v>
      </c>
      <c r="J58" s="62">
        <f t="shared" si="21"/>
        <v>4.9873568684914771E-2</v>
      </c>
      <c r="K58" s="62">
        <f t="shared" si="22"/>
        <v>4.9873568684914771E-2</v>
      </c>
      <c r="L58" s="126"/>
      <c r="M58" s="32"/>
      <c r="N58" s="277">
        <f t="shared" si="23"/>
        <v>655.95699999999999</v>
      </c>
      <c r="O58" s="277">
        <v>655.95699999999999</v>
      </c>
      <c r="P58" s="277">
        <f t="shared" si="24"/>
        <v>655.95699999999999</v>
      </c>
      <c r="Q58" s="286"/>
      <c r="R58" s="285">
        <f t="shared" si="25"/>
        <v>84799.436419999984</v>
      </c>
      <c r="S58" s="285">
        <f t="shared" si="26"/>
        <v>84799.436419999984</v>
      </c>
      <c r="T58" s="287"/>
      <c r="U58" s="254"/>
      <c r="V58" s="254"/>
      <c r="W58" s="252"/>
      <c r="X58" s="252"/>
      <c r="Y58" s="252"/>
      <c r="Z58" s="252"/>
      <c r="AA58" s="265"/>
    </row>
    <row r="59" spans="3:27">
      <c r="C59" s="435"/>
      <c r="D59" s="47" t="s">
        <v>22</v>
      </c>
      <c r="E59" s="126">
        <f>+SUMIF('Mois Y-1'!$A$76:$A$86,'Tableau détaillé'!$D59,'Mois Y-1'!$C$76:$C$86)+SUMIF('Mois Y-1'!$A$76:$A$86,'Tableau détaillé'!$D59,'Mois Y-1'!$D$76:$D$86)+SUMIF('Mois Y-1'!$A$76:$A$86,'Tableau détaillé'!$D59,'Mois Y-1'!$E$76:$E$86)</f>
        <v>73684.258709999995</v>
      </c>
      <c r="F59" s="126">
        <f>+SUMIF('Dec A-1'!$A$81:$A$92,'Tableau détaillé'!$D59,'Dec A-1'!$C$81:$C$92)+SUMIF('Dec A-1'!$A$81:$A$92,'Tableau détaillé'!$D59,'Dec A-1'!$E$81:$E$92)+SUMIF('Dec A-1'!$A$81:$A$92,'Tableau détaillé'!$D59,'Dec A-1'!$F$81:$F$92)</f>
        <v>73684.258709999995</v>
      </c>
      <c r="G59" s="126">
        <f>+SUMIF('Mois courant'!$A$86:$A$97,'Tableau détaillé'!$D59,'Mois courant'!$C$86:$C$97)+SUMIF('Mois courant'!$A$86:$A$97,'Tableau détaillé'!$D59,'Mois courant'!$E$86:$E$97)+SUMIF('Mois courant'!$A$86:$A$97,'Tableau détaillé'!$D59,'Mois courant'!$F$86:$F$97)</f>
        <v>62748.82344</v>
      </c>
      <c r="H59" s="163">
        <f t="shared" si="20"/>
        <v>-5.1190852837148082E-2</v>
      </c>
      <c r="I59" s="164">
        <f t="shared" si="19"/>
        <v>-5.1190852837148082E-2</v>
      </c>
      <c r="J59" s="62">
        <f t="shared" si="21"/>
        <v>4.9873568684914771E-2</v>
      </c>
      <c r="K59" s="62">
        <f t="shared" si="22"/>
        <v>4.9873568684914771E-2</v>
      </c>
      <c r="L59" s="126"/>
      <c r="M59" s="32"/>
      <c r="N59" s="277">
        <f t="shared" si="23"/>
        <v>38.979999999999997</v>
      </c>
      <c r="O59" s="277">
        <v>38.979999999999997</v>
      </c>
      <c r="P59" s="277">
        <f t="shared" si="24"/>
        <v>43.43</v>
      </c>
      <c r="Q59" s="286"/>
      <c r="R59" s="285">
        <f t="shared" si="25"/>
        <v>69912.298665962036</v>
      </c>
      <c r="S59" s="285">
        <f t="shared" si="26"/>
        <v>69912.298665962036</v>
      </c>
      <c r="T59" s="287"/>
      <c r="U59" s="254"/>
      <c r="V59" s="254"/>
      <c r="W59" s="252"/>
      <c r="X59" s="252"/>
      <c r="Y59" s="252"/>
      <c r="Z59" s="252"/>
      <c r="AA59" s="265"/>
    </row>
    <row r="60" spans="3:27">
      <c r="C60" s="435"/>
      <c r="D60" s="48" t="s">
        <v>62</v>
      </c>
      <c r="E60" s="124">
        <f>SUM(E53:E59)</f>
        <v>3011525.2426000005</v>
      </c>
      <c r="F60" s="124">
        <f>SUM(F53:F59)</f>
        <v>3011525.2426000005</v>
      </c>
      <c r="G60" s="124">
        <f>SUM(G53:G59)</f>
        <v>3114633.16151</v>
      </c>
      <c r="H60" s="103">
        <f>+S60/F60-1</f>
        <v>6.1213171969016766E-2</v>
      </c>
      <c r="I60" s="165">
        <f t="shared" si="19"/>
        <v>6.1213171969016766E-2</v>
      </c>
      <c r="J60" s="62">
        <f t="shared" si="21"/>
        <v>4.9873568684914771E-2</v>
      </c>
      <c r="K60" s="62">
        <f t="shared" si="22"/>
        <v>4.9873568684914771E-2</v>
      </c>
      <c r="L60" s="124"/>
      <c r="M60" s="31"/>
      <c r="N60" s="277">
        <f t="shared" si="23"/>
        <v>0</v>
      </c>
      <c r="O60" s="277"/>
      <c r="P60" s="277">
        <f t="shared" si="24"/>
        <v>0</v>
      </c>
      <c r="Q60" s="286"/>
      <c r="R60" s="285">
        <f>SUM(R53:R59)</f>
        <v>3195870.2551643089</v>
      </c>
      <c r="S60" s="285">
        <f>SUM(S53:S59)</f>
        <v>3195870.2551643089</v>
      </c>
      <c r="T60" s="287"/>
      <c r="U60" s="254"/>
      <c r="V60" s="254"/>
      <c r="W60" s="252"/>
      <c r="X60" s="252"/>
      <c r="Y60" s="252"/>
      <c r="Z60" s="252"/>
      <c r="AA60" s="265"/>
    </row>
    <row r="61" spans="3:27">
      <c r="C61" s="435"/>
      <c r="D61" s="47" t="s">
        <v>15</v>
      </c>
      <c r="E61" s="126">
        <f>+SUMIF('Mois Y-1'!$A$76:$A$86,'Tableau détaillé'!$D61,'Mois Y-1'!$C$76:$C$86)+SUMIF('Mois Y-1'!$A$76:$A$86,'Tableau détaillé'!$D61,'Mois Y-1'!$D$76:$D$86)+SUMIF('Mois Y-1'!$A$76:$A$86,'Tableau détaillé'!$D61,'Mois Y-1'!$E$76:$E$86)</f>
        <v>195997.13308999999</v>
      </c>
      <c r="F61" s="126">
        <f>+SUMIF('Dec A-1'!$A$81:$A$92,'Tableau détaillé'!$D61,'Dec A-1'!$C$81:$C$92)+SUMIF('Dec A-1'!$A$81:$A$92,'Tableau détaillé'!$D61,'Dec A-1'!$E$81:$E$92)+SUMIF('Dec A-1'!$A$81:$A$92,'Tableau détaillé'!$D61,'Dec A-1'!$F$81:$F$92)</f>
        <v>195997.13308999999</v>
      </c>
      <c r="G61" s="126">
        <f>+SUMIF('Mois courant'!$A$86:$A$97,'Tableau détaillé'!$D61,'Mois courant'!$C$86:$C$97)+SUMIF('Mois courant'!$A$86:$A$97,'Tableau détaillé'!$D61,'Mois courant'!$E$86:$E$97)+SUMIF('Mois courant'!$A$86:$A$97,'Tableau détaillé'!$D61,'Mois courant'!$F$86:$F$97)</f>
        <v>211686.53568</v>
      </c>
      <c r="H61" s="163">
        <f t="shared" si="20"/>
        <v>0.13898354811228408</v>
      </c>
      <c r="I61" s="164">
        <f t="shared" si="19"/>
        <v>0.13898354811228408</v>
      </c>
      <c r="J61" s="62">
        <f t="shared" si="21"/>
        <v>4.9873568684914771E-2</v>
      </c>
      <c r="K61" s="62">
        <f t="shared" si="22"/>
        <v>4.9873568684914771E-2</v>
      </c>
      <c r="L61" s="126"/>
      <c r="M61" s="32"/>
      <c r="N61" s="277">
        <f t="shared" si="23"/>
        <v>4728.55</v>
      </c>
      <c r="O61" s="277">
        <v>4728.55</v>
      </c>
      <c r="P61" s="277">
        <f t="shared" si="24"/>
        <v>4986.57</v>
      </c>
      <c r="Q61" s="286"/>
      <c r="R61" s="285">
        <f t="shared" si="25"/>
        <v>223237.51006668375</v>
      </c>
      <c r="S61" s="285">
        <f t="shared" si="26"/>
        <v>223237.51006668375</v>
      </c>
      <c r="T61" s="287"/>
      <c r="U61" s="254"/>
      <c r="V61" s="254"/>
      <c r="W61" s="252"/>
      <c r="X61" s="252"/>
      <c r="Y61" s="252"/>
      <c r="Z61" s="252"/>
      <c r="AA61" s="265"/>
    </row>
    <row r="62" spans="3:27">
      <c r="C62" s="435"/>
      <c r="D62" s="47" t="s">
        <v>16</v>
      </c>
      <c r="E62" s="126">
        <f>+SUMIF('Mois Y-1'!$A$76:$A$86,'Tableau détaillé'!$D62,'Mois Y-1'!$C$76:$C$86)+SUMIF('Mois Y-1'!$A$76:$A$86,'Tableau détaillé'!$D62,'Mois Y-1'!$D$76:$D$86)+SUMIF('Mois Y-1'!$A$76:$A$86,'Tableau détaillé'!$D62,'Mois Y-1'!$E$76:$E$86)</f>
        <v>515410.37255999999</v>
      </c>
      <c r="F62" s="126">
        <f>+SUMIF('Dec A-1'!$A$81:$A$92,'Tableau détaillé'!$D62,'Dec A-1'!$C$81:$C$92)+SUMIF('Dec A-1'!$A$81:$A$92,'Tableau détaillé'!$D62,'Dec A-1'!$E$81:$E$92)+SUMIF('Dec A-1'!$A$81:$A$92,'Tableau détaillé'!$D62,'Dec A-1'!$F$81:$F$92)</f>
        <v>515410.37255999999</v>
      </c>
      <c r="G62" s="126">
        <f>+SUMIF('Mois courant'!$A$86:$A$97,'Tableau détaillé'!$D62,'Mois courant'!$C$86:$C$97)+SUMIF('Mois courant'!$A$86:$A$97,'Tableau détaillé'!$D62,'Mois courant'!$E$86:$E$97)+SUMIF('Mois courant'!$A$86:$A$97,'Tableau détaillé'!$D62,'Mois courant'!$F$86:$F$97)</f>
        <v>507312.43197999999</v>
      </c>
      <c r="H62" s="163">
        <f>+((G62*P62))/O62/F62-1</f>
        <v>-1.5711636806566842E-2</v>
      </c>
      <c r="I62" s="164">
        <f t="shared" si="19"/>
        <v>-1.5711636806566842E-2</v>
      </c>
      <c r="J62" s="62">
        <f t="shared" si="21"/>
        <v>4.9873568684914771E-2</v>
      </c>
      <c r="K62" s="62">
        <f t="shared" si="22"/>
        <v>4.9873568684914771E-2</v>
      </c>
      <c r="L62" s="126"/>
      <c r="M62" s="32"/>
      <c r="N62" s="277">
        <f t="shared" si="23"/>
        <v>655.95699999999999</v>
      </c>
      <c r="O62" s="277">
        <v>655.95699999999999</v>
      </c>
      <c r="P62" s="277">
        <f t="shared" si="24"/>
        <v>655.95699999999999</v>
      </c>
      <c r="Q62" s="286"/>
      <c r="R62" s="285">
        <f t="shared" si="25"/>
        <v>507312.43197999994</v>
      </c>
      <c r="S62" s="285">
        <f t="shared" si="26"/>
        <v>507312.43197999994</v>
      </c>
      <c r="T62" s="287"/>
      <c r="U62" s="254"/>
      <c r="V62" s="254"/>
      <c r="W62" s="252"/>
      <c r="X62" s="252"/>
      <c r="Y62" s="252"/>
      <c r="Z62" s="252"/>
      <c r="AA62" s="265"/>
    </row>
    <row r="63" spans="3:27">
      <c r="C63" s="435"/>
      <c r="D63" s="47" t="s">
        <v>20</v>
      </c>
      <c r="E63" s="126">
        <f>+SUMIF('Mois Y-1'!$A$76:$A$86,'Tableau détaillé'!$D63,'Mois Y-1'!$C$76:$C$86)+SUMIF('Mois Y-1'!$A$76:$A$86,'Tableau détaillé'!$D63,'Mois Y-1'!$D$76:$D$86)+SUMIF('Mois Y-1'!$A$76:$A$86,'Tableau détaillé'!$D63,'Mois Y-1'!$E$76:$E$86)</f>
        <v>97220.274649999992</v>
      </c>
      <c r="F63" s="126">
        <f>+SUMIF('Dec A-1'!$A$81:$A$92,'Tableau détaillé'!$D63,'Dec A-1'!$C$81:$C$92)+SUMIF('Dec A-1'!$A$81:$A$92,'Tableau détaillé'!$D63,'Dec A-1'!$E$81:$E$92)+SUMIF('Dec A-1'!$A$81:$A$92,'Tableau détaillé'!$D63,'Dec A-1'!$F$81:$F$92)</f>
        <v>97220.274649999992</v>
      </c>
      <c r="G63" s="126">
        <f>+SUMIF('Mois courant'!$A$86:$A$97,'Tableau détaillé'!$D63,'Mois courant'!$C$86:$C$97)+SUMIF('Mois courant'!$A$86:$A$97,'Tableau détaillé'!$D63,'Mois courant'!$E$86:$E$97)+SUMIF('Mois courant'!$A$86:$A$97,'Tableau détaillé'!$D63,'Mois courant'!$F$86:$F$97)</f>
        <v>92201.026360000003</v>
      </c>
      <c r="H63" s="163">
        <f t="shared" si="20"/>
        <v>-5.1627588052694184E-2</v>
      </c>
      <c r="I63" s="164">
        <f t="shared" si="19"/>
        <v>-5.1627588052694184E-2</v>
      </c>
      <c r="J63" s="62">
        <f t="shared" si="21"/>
        <v>4.9873568684914771E-2</v>
      </c>
      <c r="K63" s="62">
        <f t="shared" si="22"/>
        <v>4.9873568684914771E-2</v>
      </c>
      <c r="L63" s="126"/>
      <c r="M63" s="32"/>
      <c r="N63" s="277">
        <f t="shared" si="23"/>
        <v>655.95699999999999</v>
      </c>
      <c r="O63" s="277">
        <v>655.95699999999999</v>
      </c>
      <c r="P63" s="277">
        <f t="shared" si="24"/>
        <v>655.95699999999999</v>
      </c>
      <c r="Q63" s="286"/>
      <c r="R63" s="285">
        <f t="shared" si="25"/>
        <v>92201.026360000003</v>
      </c>
      <c r="S63" s="285">
        <f t="shared" si="26"/>
        <v>92201.026360000003</v>
      </c>
      <c r="T63" s="287"/>
      <c r="U63" s="254"/>
      <c r="V63" s="254"/>
      <c r="W63" s="252"/>
      <c r="X63" s="252"/>
      <c r="Y63" s="252"/>
      <c r="Z63" s="252"/>
      <c r="AA63" s="265"/>
    </row>
    <row r="64" spans="3:27">
      <c r="C64" s="435"/>
      <c r="D64" s="47" t="s">
        <v>23</v>
      </c>
      <c r="E64" s="126">
        <f>+SUMIF('Mois Y-1'!$A$76:$A$86,'Tableau détaillé'!$D64,'Mois Y-1'!$C$76:$C$86)+SUMIF('Mois Y-1'!$A$76:$A$86,'Tableau détaillé'!$D64,'Mois Y-1'!$D$76:$D$86)+SUMIF('Mois Y-1'!$A$76:$A$86,'Tableau détaillé'!$D64,'Mois Y-1'!$E$76:$E$86)</f>
        <v>109647.93798999999</v>
      </c>
      <c r="F64" s="126">
        <f>+SUMIF('Dec A-1'!$A$81:$A$92,'Tableau détaillé'!$D64,'Dec A-1'!$C$81:$C$92)+SUMIF('Dec A-1'!$A$81:$A$92,'Tableau détaillé'!$D64,'Dec A-1'!$E$81:$E$92)+SUMIF('Dec A-1'!$A$81:$A$92,'Tableau détaillé'!$D64,'Dec A-1'!$F$81:$F$92)</f>
        <v>109647.93798999999</v>
      </c>
      <c r="G64" s="126">
        <f>+SUMIF('Mois courant'!$A$86:$A$97,'Tableau détaillé'!$D64,'Mois courant'!$C$86:$C$97)+SUMIF('Mois courant'!$A$86:$A$97,'Tableau détaillé'!$D64,'Mois courant'!$E$86:$E$97)+SUMIF('Mois courant'!$A$86:$A$97,'Tableau détaillé'!$D64,'Mois courant'!$F$86:$F$97)</f>
        <v>107172.93546000001</v>
      </c>
      <c r="H64" s="163">
        <f t="shared" si="20"/>
        <v>-2.2572266978934996E-2</v>
      </c>
      <c r="I64" s="164">
        <f t="shared" si="19"/>
        <v>-2.2572266978934996E-2</v>
      </c>
      <c r="J64" s="62">
        <f t="shared" si="21"/>
        <v>4.9873568684914771E-2</v>
      </c>
      <c r="K64" s="62">
        <f t="shared" si="22"/>
        <v>4.9873568684914771E-2</v>
      </c>
      <c r="L64" s="126"/>
      <c r="M64" s="32"/>
      <c r="N64" s="277">
        <f t="shared" si="23"/>
        <v>655.95699999999999</v>
      </c>
      <c r="O64" s="277">
        <v>655.95699999999999</v>
      </c>
      <c r="P64" s="277">
        <f t="shared" si="24"/>
        <v>655.95699999999999</v>
      </c>
      <c r="Q64" s="286"/>
      <c r="R64" s="285">
        <f t="shared" si="25"/>
        <v>107172.93546000001</v>
      </c>
      <c r="S64" s="285">
        <f t="shared" si="26"/>
        <v>107172.93546000001</v>
      </c>
      <c r="T64" s="287"/>
      <c r="U64" s="254"/>
      <c r="V64" s="254"/>
      <c r="W64" s="252"/>
      <c r="X64" s="252"/>
      <c r="Y64" s="252"/>
      <c r="Z64" s="252"/>
      <c r="AA64" s="265"/>
    </row>
    <row r="65" spans="3:27" ht="14.4" thickBot="1">
      <c r="C65" s="436"/>
      <c r="D65" s="49" t="s">
        <v>63</v>
      </c>
      <c r="E65" s="129">
        <f>SUM(E61:E64)</f>
        <v>918275.71828999999</v>
      </c>
      <c r="F65" s="129">
        <f>SUM(F61:F64)</f>
        <v>918275.71828999999</v>
      </c>
      <c r="G65" s="129">
        <f>SUM(G61:G64)</f>
        <v>918372.92947999993</v>
      </c>
      <c r="H65" s="166">
        <f>+S65/F65-1</f>
        <v>1.268484546054971E-2</v>
      </c>
      <c r="I65" s="166">
        <f t="shared" si="19"/>
        <v>1.268484546054971E-2</v>
      </c>
      <c r="J65" s="68">
        <f t="shared" si="21"/>
        <v>4.9873568684914771E-2</v>
      </c>
      <c r="K65" s="68">
        <f t="shared" si="22"/>
        <v>4.9873568684914771E-2</v>
      </c>
      <c r="L65" s="129"/>
      <c r="M65" s="33"/>
      <c r="N65" s="286"/>
      <c r="O65" s="286"/>
      <c r="P65" s="286"/>
      <c r="Q65" s="286"/>
      <c r="R65" s="285">
        <f>SUM(R61:R64)</f>
        <v>929923.90386668383</v>
      </c>
      <c r="S65" s="285">
        <f>SUM(S61:S64)</f>
        <v>929923.90386668383</v>
      </c>
      <c r="T65" s="287"/>
      <c r="U65" s="254"/>
      <c r="V65" s="254"/>
      <c r="W65" s="252"/>
      <c r="X65" s="252"/>
      <c r="Y65" s="252"/>
      <c r="Z65" s="252"/>
      <c r="AA65" s="265"/>
    </row>
    <row r="66" spans="3:27" ht="15" thickTop="1" thickBot="1">
      <c r="C66" s="252"/>
      <c r="D66" s="34"/>
      <c r="E66" s="130"/>
      <c r="F66" s="131"/>
      <c r="G66" s="131"/>
      <c r="H66" s="35"/>
      <c r="I66" s="35"/>
      <c r="J66" s="35"/>
      <c r="K66" s="35"/>
      <c r="L66" s="101"/>
      <c r="M66" s="101"/>
      <c r="N66" s="288"/>
      <c r="O66" s="289"/>
      <c r="P66" s="289"/>
      <c r="Q66" s="289"/>
      <c r="R66" s="289"/>
      <c r="S66" s="289"/>
      <c r="T66" s="290"/>
      <c r="U66" s="266"/>
      <c r="V66" s="266"/>
      <c r="W66" s="252"/>
      <c r="X66" s="252"/>
      <c r="Y66" s="252"/>
      <c r="Z66" s="252"/>
      <c r="AA66" s="265"/>
    </row>
    <row r="67" spans="3:27" ht="15" thickTop="1" thickBot="1">
      <c r="C67" s="252"/>
      <c r="D67" s="34"/>
      <c r="E67" s="130"/>
      <c r="F67" s="131"/>
      <c r="G67" s="131"/>
      <c r="H67" s="35"/>
      <c r="I67" s="35"/>
      <c r="J67" s="35"/>
      <c r="K67" s="35"/>
      <c r="L67" s="101"/>
      <c r="M67" s="101"/>
      <c r="N67" s="266"/>
      <c r="O67" s="266"/>
      <c r="P67" s="266"/>
      <c r="Q67" s="266"/>
      <c r="R67" s="266"/>
      <c r="S67" s="266"/>
      <c r="T67" s="266"/>
      <c r="U67" s="266"/>
      <c r="V67" s="266"/>
      <c r="W67" s="252"/>
      <c r="X67" s="252"/>
      <c r="Y67" s="252"/>
      <c r="Z67" s="252"/>
      <c r="AA67" s="265"/>
    </row>
    <row r="68" spans="3:27" ht="14.4" thickTop="1">
      <c r="C68" s="459" t="s">
        <v>285</v>
      </c>
      <c r="D68" s="29" t="s">
        <v>64</v>
      </c>
      <c r="E68" s="198"/>
      <c r="F68" s="104">
        <f>+SUMIF('Dec A-1'!$A$80:$A$93,'Tableau détaillé'!$D68,'Dec A-1'!$L$80:$L$93)</f>
        <v>0.48903407272999999</v>
      </c>
      <c r="G68" s="104">
        <f>+SUMIF('Mois courant'!$A$85:$A$98,'Tableau détaillé'!$D68,'Mois courant'!$O$85:$O$98)</f>
        <v>0.494160658852</v>
      </c>
      <c r="H68" s="38">
        <f>+(G68-F68)*100</f>
        <v>0.51265861220000097</v>
      </c>
      <c r="I68" s="50"/>
      <c r="J68" s="69"/>
      <c r="K68" s="50"/>
      <c r="L68" s="171"/>
      <c r="M68" s="171"/>
      <c r="N68" s="169"/>
      <c r="O68" s="169"/>
      <c r="P68" s="169"/>
      <c r="Q68" s="169"/>
      <c r="R68" s="169"/>
      <c r="S68" s="169"/>
      <c r="T68" s="169"/>
      <c r="U68" s="169"/>
      <c r="V68" s="169"/>
      <c r="W68" s="252"/>
      <c r="X68" s="252"/>
      <c r="Y68" s="252"/>
      <c r="Z68" s="252"/>
      <c r="AA68" s="265"/>
    </row>
    <row r="69" spans="3:27">
      <c r="C69" s="435"/>
      <c r="D69" s="47" t="s">
        <v>13</v>
      </c>
      <c r="E69" s="126"/>
      <c r="F69" s="163">
        <f>+SUMIF('Dec A-1'!$A$80:$A$93,'Tableau détaillé'!$D69,'Dec A-1'!$L$80:$L$93)</f>
        <v>0.72052993397999998</v>
      </c>
      <c r="G69" s="163">
        <f>+SUMIF('Mois courant'!$A$85:$A$98,'Tableau détaillé'!$D69,'Mois courant'!$O$85:$O$98)</f>
        <v>0.72598427696199996</v>
      </c>
      <c r="H69" s="40">
        <f t="shared" ref="H69:H72" si="27">+(G69-F69)*100</f>
        <v>0.54543429819999822</v>
      </c>
      <c r="I69" s="91"/>
      <c r="J69" s="63">
        <f>+$H$68</f>
        <v>0.51265861220000097</v>
      </c>
      <c r="K69" s="91"/>
      <c r="L69" s="157"/>
      <c r="M69" s="156"/>
      <c r="N69" s="254"/>
      <c r="O69" s="254"/>
      <c r="P69" s="254"/>
      <c r="Q69" s="254"/>
      <c r="R69" s="254"/>
      <c r="S69" s="254"/>
      <c r="T69" s="254"/>
      <c r="U69" s="254"/>
      <c r="V69" s="254"/>
      <c r="W69" s="252"/>
      <c r="X69" s="252"/>
      <c r="Y69" s="252"/>
      <c r="Z69" s="252"/>
      <c r="AA69" s="265"/>
    </row>
    <row r="70" spans="3:27">
      <c r="C70" s="435"/>
      <c r="D70" s="47" t="s">
        <v>14</v>
      </c>
      <c r="E70" s="126"/>
      <c r="F70" s="163">
        <f>+SUMIF('Dec A-1'!$A$80:$A$93,'Tableau détaillé'!$D70,'Dec A-1'!$L$80:$L$93)</f>
        <v>0.39558240186100002</v>
      </c>
      <c r="G70" s="163">
        <f>+SUMIF('Mois courant'!$A$85:$A$98,'Tableau détaillé'!$D70,'Mois courant'!$O$85:$O$98)</f>
        <v>0.37791842475300003</v>
      </c>
      <c r="H70" s="40">
        <f t="shared" si="27"/>
        <v>-1.7663977107999995</v>
      </c>
      <c r="I70" s="91"/>
      <c r="J70" s="63">
        <f t="shared" ref="J70:J81" si="28">+$H$68</f>
        <v>0.51265861220000097</v>
      </c>
      <c r="K70" s="91"/>
      <c r="L70" s="126"/>
      <c r="M70" s="32"/>
      <c r="N70" s="254"/>
      <c r="O70" s="254"/>
      <c r="P70" s="254"/>
      <c r="Q70" s="254"/>
      <c r="R70" s="254"/>
      <c r="S70" s="254"/>
      <c r="T70" s="254"/>
      <c r="U70" s="254"/>
      <c r="V70" s="254"/>
      <c r="W70" s="252"/>
      <c r="X70" s="252"/>
      <c r="Y70" s="252"/>
      <c r="Z70" s="252"/>
      <c r="AA70" s="265"/>
    </row>
    <row r="71" spans="3:27">
      <c r="C71" s="435"/>
      <c r="D71" s="47" t="s">
        <v>17</v>
      </c>
      <c r="E71" s="126"/>
      <c r="F71" s="163">
        <f>+SUMIF('Dec A-1'!$A$80:$A$93,'Tableau détaillé'!$D71,'Dec A-1'!$L$80:$L$93)</f>
        <v>0.44065760597499998</v>
      </c>
      <c r="G71" s="163">
        <f>+SUMIF('Mois courant'!$A$85:$A$98,'Tableau détaillé'!$D71,'Mois courant'!$O$85:$O$98)</f>
        <v>0.43658390550699999</v>
      </c>
      <c r="H71" s="40">
        <f t="shared" si="27"/>
        <v>-0.40737004679999855</v>
      </c>
      <c r="I71" s="91"/>
      <c r="J71" s="63">
        <f t="shared" si="28"/>
        <v>0.51265861220000097</v>
      </c>
      <c r="K71" s="91"/>
      <c r="L71" s="126"/>
      <c r="M71" s="32"/>
      <c r="N71" s="254"/>
      <c r="O71" s="254"/>
      <c r="P71" s="254"/>
      <c r="Q71" s="254"/>
      <c r="R71" s="254"/>
      <c r="S71" s="254"/>
      <c r="T71" s="254"/>
      <c r="U71" s="254"/>
      <c r="V71" s="254"/>
      <c r="W71" s="252"/>
      <c r="X71" s="252"/>
      <c r="Y71" s="252"/>
      <c r="Z71" s="252"/>
      <c r="AA71" s="265"/>
    </row>
    <row r="72" spans="3:27">
      <c r="C72" s="435"/>
      <c r="D72" s="47" t="s">
        <v>18</v>
      </c>
      <c r="E72" s="126"/>
      <c r="F72" s="163">
        <f>+SUMIF('Dec A-1'!$A$80:$A$93,'Tableau détaillé'!$D72,'Dec A-1'!$L$80:$L$93)</f>
        <v>0.77123619793099996</v>
      </c>
      <c r="G72" s="163">
        <f>+SUMIF('Mois courant'!$A$85:$A$98,'Tableau détaillé'!$D72,'Mois courant'!$O$85:$O$98)</f>
        <v>0.79557527465800004</v>
      </c>
      <c r="H72" s="40">
        <f t="shared" si="27"/>
        <v>2.4339076727000086</v>
      </c>
      <c r="I72" s="91"/>
      <c r="J72" s="63">
        <f t="shared" si="28"/>
        <v>0.51265861220000097</v>
      </c>
      <c r="K72" s="91"/>
      <c r="L72" s="126"/>
      <c r="M72" s="32"/>
      <c r="N72" s="254"/>
      <c r="O72" s="254"/>
      <c r="P72" s="254"/>
      <c r="Q72" s="254"/>
      <c r="R72" s="254"/>
      <c r="S72" s="254"/>
      <c r="T72" s="254"/>
      <c r="U72" s="254"/>
      <c r="V72" s="254"/>
      <c r="W72" s="252"/>
      <c r="X72" s="252"/>
      <c r="Y72" s="252"/>
      <c r="Z72" s="252"/>
      <c r="AA72" s="265"/>
    </row>
    <row r="73" spans="3:27">
      <c r="C73" s="435"/>
      <c r="D73" s="47" t="s">
        <v>19</v>
      </c>
      <c r="E73" s="126"/>
      <c r="F73" s="163">
        <f>+SUMIF('Dec A-1'!$A$80:$A$93,'Tableau détaillé'!$D73,'Dec A-1'!$L$80:$L$93)</f>
        <v>0.247895309546</v>
      </c>
      <c r="G73" s="163">
        <f>+SUMIF('Mois courant'!$A$85:$A$98,'Tableau détaillé'!$D73,'Mois courant'!$O$85:$O$98)</f>
        <v>0.24584471435999999</v>
      </c>
      <c r="H73" s="40">
        <f>+IFERROR((G73-F73)*100,"ND")</f>
        <v>-0.20505951860000093</v>
      </c>
      <c r="I73" s="91"/>
      <c r="J73" s="63">
        <f t="shared" si="28"/>
        <v>0.51265861220000097</v>
      </c>
      <c r="K73" s="91"/>
      <c r="L73" s="126"/>
      <c r="M73" s="32"/>
      <c r="N73" s="254"/>
      <c r="O73" s="254"/>
      <c r="P73" s="254"/>
      <c r="Q73" s="254"/>
      <c r="R73" s="254"/>
      <c r="S73" s="254"/>
      <c r="T73" s="254"/>
      <c r="U73" s="254"/>
      <c r="V73" s="254"/>
      <c r="W73" s="252"/>
      <c r="X73" s="252"/>
      <c r="Y73" s="252"/>
      <c r="Z73" s="252"/>
      <c r="AA73" s="265"/>
    </row>
    <row r="74" spans="3:27">
      <c r="C74" s="435"/>
      <c r="D74" s="47" t="s">
        <v>21</v>
      </c>
      <c r="E74" s="126"/>
      <c r="F74" s="163">
        <f>+SUMIF('Dec A-1'!$A$80:$A$93,'Tableau détaillé'!$D74,'Dec A-1'!$L$80:$L$93)</f>
        <v>0.40213994886799997</v>
      </c>
      <c r="G74" s="163">
        <f>+SUMIF('Mois courant'!$A$85:$A$98,'Tableau détaillé'!$D74,'Mois courant'!$O$85:$O$98)</f>
        <v>0.38764403039899997</v>
      </c>
      <c r="H74" s="40">
        <f t="shared" ref="H74:H81" si="29">+(G74-F74)*100</f>
        <v>-1.4495918469000002</v>
      </c>
      <c r="I74" s="91"/>
      <c r="J74" s="63">
        <f t="shared" si="28"/>
        <v>0.51265861220000097</v>
      </c>
      <c r="K74" s="91"/>
      <c r="L74" s="126"/>
      <c r="M74" s="32"/>
      <c r="N74" s="254"/>
      <c r="O74" s="254"/>
      <c r="P74" s="254"/>
      <c r="Q74" s="254"/>
      <c r="R74" s="254"/>
      <c r="S74" s="254"/>
      <c r="T74" s="254"/>
      <c r="U74" s="254"/>
      <c r="V74" s="254"/>
      <c r="W74" s="252"/>
      <c r="X74" s="252"/>
      <c r="Y74" s="252"/>
      <c r="Z74" s="252"/>
      <c r="AA74" s="265"/>
    </row>
    <row r="75" spans="3:27">
      <c r="C75" s="435"/>
      <c r="D75" s="47" t="s">
        <v>22</v>
      </c>
      <c r="E75" s="126"/>
      <c r="F75" s="163">
        <f>+SUMIF('Dec A-1'!$A$80:$A$93,'Tableau détaillé'!$D75,'Dec A-1'!$L$80:$L$93)</f>
        <v>8.5364903808000006E-2</v>
      </c>
      <c r="G75" s="163">
        <f>+SUMIF('Mois courant'!$A$85:$A$98,'Tableau détaillé'!$D75,'Mois courant'!$O$85:$O$98)</f>
        <v>8.4877786730999993E-2</v>
      </c>
      <c r="H75" s="40">
        <f t="shared" si="29"/>
        <v>-4.8711707700001272E-2</v>
      </c>
      <c r="I75" s="91"/>
      <c r="J75" s="63">
        <f t="shared" si="28"/>
        <v>0.51265861220000097</v>
      </c>
      <c r="K75" s="91"/>
      <c r="L75" s="126"/>
      <c r="M75" s="32"/>
      <c r="N75" s="254"/>
      <c r="O75" s="254"/>
      <c r="P75" s="254"/>
      <c r="Q75" s="254"/>
      <c r="R75" s="254"/>
      <c r="S75" s="254"/>
      <c r="T75" s="254"/>
      <c r="U75" s="254"/>
      <c r="V75" s="254"/>
      <c r="W75" s="252"/>
      <c r="X75" s="252"/>
      <c r="Y75" s="252"/>
      <c r="Z75" s="252"/>
      <c r="AA75" s="265"/>
    </row>
    <row r="76" spans="3:27">
      <c r="C76" s="435"/>
      <c r="D76" s="48" t="s">
        <v>62</v>
      </c>
      <c r="E76" s="124"/>
      <c r="F76" s="103">
        <f>+SUMIF('Dec A-1'!$A$80:$A$93,'Tableau détaillé'!$D76,'Dec A-1'!$L$80:$L$93)</f>
        <v>0.55580393666899996</v>
      </c>
      <c r="G76" s="103">
        <f>+SUMIF('Mois courant'!$A$85:$A$98,'Tableau détaillé'!$D76,'Mois courant'!$O$85:$O$98)</f>
        <v>0.55888703568700004</v>
      </c>
      <c r="H76" s="42">
        <f t="shared" si="29"/>
        <v>0.30830990180000795</v>
      </c>
      <c r="I76" s="92"/>
      <c r="J76" s="63">
        <f t="shared" si="28"/>
        <v>0.51265861220000097</v>
      </c>
      <c r="K76" s="92"/>
      <c r="L76" s="126"/>
      <c r="M76" s="32"/>
      <c r="N76" s="254"/>
      <c r="O76" s="254"/>
      <c r="P76" s="254"/>
      <c r="Q76" s="254"/>
      <c r="R76" s="254"/>
      <c r="S76" s="254"/>
      <c r="T76" s="254"/>
      <c r="U76" s="254"/>
      <c r="V76" s="254"/>
      <c r="W76" s="252"/>
      <c r="X76" s="252"/>
      <c r="Y76" s="252"/>
      <c r="Z76" s="252"/>
      <c r="AA76" s="265"/>
    </row>
    <row r="77" spans="3:27">
      <c r="C77" s="435"/>
      <c r="D77" s="47" t="s">
        <v>15</v>
      </c>
      <c r="E77" s="126"/>
      <c r="F77" s="163">
        <f>+SUMIF('Dec A-1'!$A$80:$A$93,'Tableau détaillé'!$D77,'Dec A-1'!$L$80:$L$93)</f>
        <v>0.39145686321000001</v>
      </c>
      <c r="G77" s="163">
        <f>+SUMIF('Mois courant'!$A$85:$A$98,'Tableau détaillé'!$D77,'Mois courant'!$O$85:$O$98)</f>
        <v>0.40991792683700001</v>
      </c>
      <c r="H77" s="40">
        <f t="shared" si="29"/>
        <v>1.8461063627000007</v>
      </c>
      <c r="I77" s="91"/>
      <c r="J77" s="63">
        <f t="shared" si="28"/>
        <v>0.51265861220000097</v>
      </c>
      <c r="K77" s="91"/>
      <c r="L77" s="124"/>
      <c r="M77" s="31"/>
      <c r="N77" s="254"/>
      <c r="O77" s="254"/>
      <c r="P77" s="254"/>
      <c r="Q77" s="254"/>
      <c r="R77" s="254"/>
      <c r="S77" s="254"/>
      <c r="T77" s="254"/>
      <c r="U77" s="254"/>
      <c r="V77" s="254"/>
      <c r="W77" s="252"/>
      <c r="X77" s="252"/>
      <c r="Y77" s="252"/>
      <c r="Z77" s="252"/>
      <c r="AA77" s="265"/>
    </row>
    <row r="78" spans="3:27">
      <c r="C78" s="435"/>
      <c r="D78" s="47" t="s">
        <v>16</v>
      </c>
      <c r="E78" s="126"/>
      <c r="F78" s="163">
        <f>+SUMIF('Dec A-1'!$A$80:$A$93,'Tableau détaillé'!$D78,'Dec A-1'!$L$80:$L$93)</f>
        <v>0.36382310154199998</v>
      </c>
      <c r="G78" s="163">
        <f>+SUMIF('Mois courant'!$A$85:$A$98,'Tableau détaillé'!$D78,'Mois courant'!$O$85:$O$98)</f>
        <v>0.37682393555799998</v>
      </c>
      <c r="H78" s="40">
        <f t="shared" si="29"/>
        <v>1.3000834015999996</v>
      </c>
      <c r="I78" s="91"/>
      <c r="J78" s="63">
        <f t="shared" si="28"/>
        <v>0.51265861220000097</v>
      </c>
      <c r="K78" s="91"/>
      <c r="L78" s="126"/>
      <c r="M78" s="32"/>
      <c r="N78" s="254"/>
      <c r="O78" s="254"/>
      <c r="P78" s="254"/>
      <c r="Q78" s="254"/>
      <c r="R78" s="254"/>
      <c r="S78" s="254"/>
      <c r="T78" s="254"/>
      <c r="U78" s="254"/>
      <c r="V78" s="254"/>
      <c r="W78" s="252"/>
      <c r="X78" s="252"/>
      <c r="Y78" s="252"/>
      <c r="Z78" s="252"/>
      <c r="AA78" s="265"/>
    </row>
    <row r="79" spans="3:27">
      <c r="C79" s="435"/>
      <c r="D79" s="47" t="s">
        <v>20</v>
      </c>
      <c r="E79" s="126"/>
      <c r="F79" s="163">
        <f>+SUMIF('Dec A-1'!$A$80:$A$93,'Tableau détaillé'!$D79,'Dec A-1'!$L$80:$L$93)</f>
        <v>0.17083198967999999</v>
      </c>
      <c r="G79" s="163">
        <f>+SUMIF('Mois courant'!$A$85:$A$98,'Tableau détaillé'!$D79,'Mois courant'!$O$85:$O$98)</f>
        <v>0.17414779595400001</v>
      </c>
      <c r="H79" s="40">
        <f t="shared" si="29"/>
        <v>0.33158062740000216</v>
      </c>
      <c r="I79" s="91"/>
      <c r="J79" s="63">
        <f t="shared" si="28"/>
        <v>0.51265861220000097</v>
      </c>
      <c r="K79" s="91"/>
      <c r="L79" s="126"/>
      <c r="M79" s="32"/>
      <c r="N79" s="254"/>
      <c r="O79" s="254"/>
      <c r="P79" s="254"/>
      <c r="Q79" s="254"/>
      <c r="R79" s="254"/>
      <c r="S79" s="254"/>
      <c r="T79" s="254"/>
      <c r="U79" s="254"/>
      <c r="V79" s="254"/>
      <c r="W79" s="252"/>
      <c r="X79" s="252"/>
      <c r="Y79" s="252"/>
      <c r="Z79" s="252"/>
      <c r="AA79" s="265"/>
    </row>
    <row r="80" spans="3:27">
      <c r="C80" s="435"/>
      <c r="D80" s="47" t="s">
        <v>23</v>
      </c>
      <c r="E80" s="126"/>
      <c r="F80" s="163">
        <f>+SUMIF('Dec A-1'!$A$80:$A$93,'Tableau détaillé'!$D80,'Dec A-1'!$L$80:$L$93)</f>
        <v>0.62807777411599996</v>
      </c>
      <c r="G80" s="163">
        <f>+SUMIF('Mois courant'!$A$85:$A$98,'Tableau détaillé'!$D80,'Mois courant'!$O$85:$O$98)</f>
        <v>0</v>
      </c>
      <c r="H80" s="40">
        <f t="shared" si="29"/>
        <v>-62.8077774116</v>
      </c>
      <c r="I80" s="91"/>
      <c r="J80" s="63">
        <f t="shared" si="28"/>
        <v>0.51265861220000097</v>
      </c>
      <c r="K80" s="91"/>
      <c r="L80" s="126"/>
      <c r="M80" s="32"/>
      <c r="N80" s="254"/>
      <c r="O80" s="254"/>
      <c r="P80" s="254"/>
      <c r="Q80" s="254"/>
      <c r="R80" s="254"/>
      <c r="S80" s="254"/>
      <c r="T80" s="254"/>
      <c r="U80" s="254"/>
      <c r="V80" s="254"/>
      <c r="W80" s="252"/>
      <c r="X80" s="252"/>
      <c r="Y80" s="252"/>
      <c r="Z80" s="252"/>
      <c r="AA80" s="265"/>
    </row>
    <row r="81" spans="3:27" ht="14.4" thickBot="1">
      <c r="C81" s="436"/>
      <c r="D81" s="49" t="s">
        <v>63</v>
      </c>
      <c r="E81" s="129"/>
      <c r="F81" s="86">
        <f>+SUMIF('Dec A-1'!$A$80:$A$93,'Tableau détaillé'!$D81,'Dec A-1'!$L$80:$L$93)</f>
        <v>0.37475284114200003</v>
      </c>
      <c r="G81" s="86">
        <f>+SUMIF('Mois courant'!$A$85:$A$98,'Tableau détaillé'!$D81,'Mois courant'!$O$85:$O$98)</f>
        <v>0.37871061698199998</v>
      </c>
      <c r="H81" s="44">
        <f t="shared" si="29"/>
        <v>0.39577758399999552</v>
      </c>
      <c r="I81" s="93"/>
      <c r="J81" s="87">
        <f t="shared" si="28"/>
        <v>0.51265861220000097</v>
      </c>
      <c r="K81" s="93"/>
      <c r="L81" s="172"/>
      <c r="M81" s="173"/>
      <c r="N81" s="254"/>
      <c r="O81" s="254"/>
      <c r="P81" s="254"/>
      <c r="Q81" s="254"/>
      <c r="R81" s="254"/>
      <c r="S81" s="254"/>
      <c r="T81" s="254"/>
      <c r="U81" s="254"/>
      <c r="V81" s="254"/>
      <c r="W81" s="252"/>
      <c r="X81" s="252"/>
      <c r="Y81" s="252"/>
      <c r="Z81" s="252"/>
      <c r="AA81" s="265"/>
    </row>
    <row r="82" spans="3:27" ht="14.4" thickTop="1">
      <c r="C82" s="252"/>
      <c r="E82" s="132"/>
      <c r="F82" s="132"/>
      <c r="G82" s="132"/>
      <c r="H82" s="98"/>
      <c r="L82" s="98"/>
      <c r="M82" s="98"/>
      <c r="N82" s="170"/>
      <c r="O82" s="170"/>
      <c r="P82" s="170"/>
      <c r="Q82" s="170"/>
      <c r="R82" s="170"/>
      <c r="S82" s="170"/>
      <c r="T82" s="170"/>
      <c r="U82" s="170"/>
      <c r="V82" s="170"/>
      <c r="W82" s="265"/>
      <c r="X82" s="265"/>
      <c r="Y82" s="265"/>
      <c r="Z82" s="265"/>
      <c r="AA82" s="265"/>
    </row>
    <row r="83" spans="3:27" ht="14.4" thickBot="1">
      <c r="C83" s="252"/>
      <c r="E83" s="132"/>
      <c r="F83" s="132"/>
      <c r="G83" s="132"/>
      <c r="H83" s="98"/>
      <c r="L83" s="98"/>
      <c r="M83" s="98"/>
      <c r="N83" s="170"/>
      <c r="O83" s="170"/>
      <c r="P83" s="170"/>
      <c r="Q83" s="170"/>
      <c r="R83" s="170"/>
      <c r="S83" s="170"/>
      <c r="T83" s="170"/>
      <c r="U83" s="170"/>
      <c r="V83" s="170"/>
      <c r="W83" s="265"/>
      <c r="X83" s="265"/>
      <c r="Y83" s="265"/>
      <c r="Z83" s="265"/>
      <c r="AA83" s="265"/>
    </row>
    <row r="84" spans="3:27" ht="15" thickTop="1" thickBot="1">
      <c r="C84" s="461" t="s">
        <v>66</v>
      </c>
      <c r="D84" s="29"/>
      <c r="E84" s="747">
        <v>44926</v>
      </c>
      <c r="F84" s="747">
        <v>44926</v>
      </c>
      <c r="G84" s="747">
        <v>45291</v>
      </c>
      <c r="H84" s="104" t="s">
        <v>60</v>
      </c>
      <c r="I84" s="50"/>
      <c r="J84" s="69"/>
      <c r="K84" s="50"/>
      <c r="L84" s="97"/>
      <c r="M84" s="97"/>
      <c r="N84" s="169"/>
      <c r="O84" s="169"/>
      <c r="P84" s="169"/>
      <c r="Q84" s="169"/>
      <c r="R84" s="169"/>
      <c r="S84" s="169"/>
      <c r="T84" s="169"/>
      <c r="U84" s="169"/>
      <c r="V84" s="169"/>
      <c r="W84" s="265"/>
      <c r="X84" s="265"/>
      <c r="Y84" s="265"/>
      <c r="Z84" s="265"/>
      <c r="AA84" s="265"/>
    </row>
    <row r="85" spans="3:27" ht="14.4" thickTop="1">
      <c r="C85" s="462" t="s">
        <v>67</v>
      </c>
      <c r="D85" s="30" t="s">
        <v>64</v>
      </c>
      <c r="E85" s="123"/>
      <c r="F85" s="124">
        <f>SUM(F93,F98)</f>
        <v>1444586</v>
      </c>
      <c r="G85" s="124">
        <f>SUM(G93,G98)</f>
        <v>1470188</v>
      </c>
      <c r="H85" s="103">
        <f>+G85/F85-1</f>
        <v>1.7722724711439763E-2</v>
      </c>
      <c r="I85" s="88"/>
      <c r="J85" s="61"/>
      <c r="K85" s="88"/>
      <c r="L85" s="97"/>
      <c r="M85" s="97"/>
      <c r="N85" s="169"/>
      <c r="O85" s="169"/>
      <c r="P85" s="169"/>
      <c r="Q85" s="169"/>
      <c r="R85" s="169"/>
      <c r="S85" s="169"/>
      <c r="T85" s="169"/>
      <c r="U85" s="169"/>
      <c r="V85" s="169"/>
      <c r="W85" s="265"/>
      <c r="X85" s="265"/>
      <c r="Y85" s="265"/>
      <c r="Z85" s="265"/>
      <c r="AA85" s="265"/>
    </row>
    <row r="86" spans="3:27">
      <c r="C86" s="435"/>
      <c r="D86" s="47" t="s">
        <v>13</v>
      </c>
      <c r="E86" s="125"/>
      <c r="F86" s="126">
        <f>+SUMIF('Dec A-1'!$A$81:$A$92,'Tableau détaillé'!$D86,'Dec A-1'!$B$81:$B$92)</f>
        <v>421135</v>
      </c>
      <c r="G86" s="126">
        <f>+SUMIF('Mois courant'!$A$86:$A$97,'Tableau détaillé'!$D86,'Mois courant'!$B$86:$B$97)</f>
        <v>424466</v>
      </c>
      <c r="H86" s="163">
        <f t="shared" ref="H86:H98" si="30">+G86/F86-1</f>
        <v>7.9095776888646885E-3</v>
      </c>
      <c r="I86" s="89"/>
      <c r="J86" s="62">
        <f>+$H$85</f>
        <v>1.7722724711439763E-2</v>
      </c>
      <c r="K86" s="89"/>
      <c r="L86" s="100"/>
      <c r="M86" s="100"/>
      <c r="N86" s="254"/>
      <c r="O86" s="254"/>
      <c r="P86" s="254"/>
      <c r="Q86" s="254"/>
      <c r="R86" s="254"/>
      <c r="S86" s="254"/>
      <c r="T86" s="254"/>
      <c r="U86" s="254"/>
      <c r="V86" s="254"/>
      <c r="W86" s="265"/>
      <c r="X86" s="265"/>
      <c r="Y86" s="265"/>
      <c r="Z86" s="265"/>
      <c r="AA86" s="265"/>
    </row>
    <row r="87" spans="3:27">
      <c r="C87" s="435"/>
      <c r="D87" s="47" t="s">
        <v>14</v>
      </c>
      <c r="E87" s="125"/>
      <c r="F87" s="126">
        <f>+SUMIF('Dec A-1'!$A$81:$A$92,'Tableau détaillé'!$D87,'Dec A-1'!$B$81:$B$92)</f>
        <v>183635</v>
      </c>
      <c r="G87" s="126">
        <f>+SUMIF('Mois courant'!$A$86:$A$97,'Tableau détaillé'!$D87,'Mois courant'!$B$86:$B$97)</f>
        <v>183028</v>
      </c>
      <c r="H87" s="163">
        <f t="shared" si="30"/>
        <v>-3.305470090124385E-3</v>
      </c>
      <c r="I87" s="89"/>
      <c r="J87" s="62">
        <f t="shared" ref="J87:J98" si="31">+$H$85</f>
        <v>1.7722724711439763E-2</v>
      </c>
      <c r="K87" s="89"/>
      <c r="L87" s="100"/>
      <c r="M87" s="100"/>
      <c r="N87" s="254"/>
      <c r="O87" s="254"/>
      <c r="P87" s="254"/>
      <c r="Q87" s="254"/>
      <c r="R87" s="254"/>
      <c r="S87" s="254"/>
      <c r="T87" s="254"/>
      <c r="U87" s="254"/>
      <c r="V87" s="254"/>
      <c r="W87" s="265"/>
      <c r="X87" s="265"/>
      <c r="Y87" s="265"/>
      <c r="Z87" s="265"/>
      <c r="AA87" s="265"/>
    </row>
    <row r="88" spans="3:27">
      <c r="C88" s="435"/>
      <c r="D88" s="47" t="s">
        <v>17</v>
      </c>
      <c r="E88" s="125"/>
      <c r="F88" s="126">
        <f>+SUMIF('Dec A-1'!$A$81:$A$92,'Tableau détaillé'!$D88,'Dec A-1'!$B$81:$B$92)</f>
        <v>138116</v>
      </c>
      <c r="G88" s="126">
        <f>+SUMIF('Mois courant'!$A$86:$A$97,'Tableau détaillé'!$D88,'Mois courant'!$B$86:$B$97)</f>
        <v>141330</v>
      </c>
      <c r="H88" s="163">
        <f t="shared" si="30"/>
        <v>2.3270294535028491E-2</v>
      </c>
      <c r="I88" s="89"/>
      <c r="J88" s="62">
        <f t="shared" si="31"/>
        <v>1.7722724711439763E-2</v>
      </c>
      <c r="K88" s="89"/>
      <c r="L88" s="100"/>
      <c r="M88" s="100"/>
      <c r="N88" s="254"/>
      <c r="O88" s="254"/>
      <c r="P88" s="254"/>
      <c r="Q88" s="254"/>
      <c r="R88" s="254"/>
      <c r="S88" s="254"/>
      <c r="T88" s="254"/>
      <c r="U88" s="254"/>
      <c r="V88" s="254"/>
      <c r="W88" s="265"/>
      <c r="X88" s="265"/>
      <c r="Y88" s="265"/>
      <c r="Z88" s="265"/>
      <c r="AA88" s="265"/>
    </row>
    <row r="89" spans="3:27">
      <c r="C89" s="435"/>
      <c r="D89" s="47" t="s">
        <v>18</v>
      </c>
      <c r="E89" s="125"/>
      <c r="F89" s="126">
        <f>+SUMIF('Dec A-1'!$A$81:$A$92,'Tableau détaillé'!$D89,'Dec A-1'!$B$81:$B$92)</f>
        <v>70433</v>
      </c>
      <c r="G89" s="126">
        <f>+SUMIF('Mois courant'!$A$86:$A$97,'Tableau détaillé'!$D89,'Mois courant'!$B$86:$B$97)</f>
        <v>68564</v>
      </c>
      <c r="H89" s="163">
        <f t="shared" si="30"/>
        <v>-2.6535856771683686E-2</v>
      </c>
      <c r="I89" s="89"/>
      <c r="J89" s="62">
        <f t="shared" si="31"/>
        <v>1.7722724711439763E-2</v>
      </c>
      <c r="K89" s="89"/>
      <c r="L89" s="100"/>
      <c r="M89" s="100"/>
      <c r="N89" s="254"/>
      <c r="O89" s="254"/>
      <c r="P89" s="254"/>
      <c r="Q89" s="254"/>
      <c r="R89" s="254"/>
      <c r="S89" s="254"/>
      <c r="T89" s="254"/>
      <c r="U89" s="254"/>
      <c r="V89" s="254"/>
      <c r="W89" s="265"/>
      <c r="X89" s="265"/>
      <c r="Y89" s="265"/>
      <c r="Z89" s="265"/>
      <c r="AA89" s="265"/>
    </row>
    <row r="90" spans="3:27">
      <c r="C90" s="435"/>
      <c r="D90" s="47" t="s">
        <v>19</v>
      </c>
      <c r="E90" s="125"/>
      <c r="F90" s="126">
        <f>+SUMIF('Dec A-1'!$A$81:$A$92,'Tableau détaillé'!$D90,'Dec A-1'!$B$81:$B$92)</f>
        <v>77237</v>
      </c>
      <c r="G90" s="126">
        <f>+SUMIF('Mois courant'!$A$86:$A$97,'Tableau détaillé'!$D90,'Mois courant'!$B$86:$B$97)</f>
        <v>74940</v>
      </c>
      <c r="H90" s="163">
        <f t="shared" si="30"/>
        <v>-2.9739632559524609E-2</v>
      </c>
      <c r="I90" s="89"/>
      <c r="J90" s="62">
        <f t="shared" si="31"/>
        <v>1.7722724711439763E-2</v>
      </c>
      <c r="K90" s="89"/>
      <c r="L90" s="100"/>
      <c r="M90" s="100"/>
      <c r="N90" s="254"/>
      <c r="O90" s="254"/>
      <c r="P90" s="254"/>
      <c r="Q90" s="254"/>
      <c r="R90" s="254"/>
      <c r="S90" s="254"/>
      <c r="T90" s="254"/>
      <c r="U90" s="254"/>
      <c r="V90" s="254"/>
      <c r="W90" s="265"/>
      <c r="X90" s="265"/>
      <c r="Y90" s="265"/>
      <c r="Z90" s="265"/>
      <c r="AA90" s="265"/>
    </row>
    <row r="91" spans="3:27">
      <c r="C91" s="435"/>
      <c r="D91" s="47" t="s">
        <v>21</v>
      </c>
      <c r="E91" s="125"/>
      <c r="F91" s="126">
        <f>+SUMIF('Dec A-1'!$A$81:$A$92,'Tableau détaillé'!$D91,'Dec A-1'!$B$81:$B$92)</f>
        <v>18550</v>
      </c>
      <c r="G91" s="126">
        <f>+SUMIF('Mois courant'!$A$86:$A$97,'Tableau détaillé'!$D91,'Mois courant'!$B$86:$B$97)</f>
        <v>19281</v>
      </c>
      <c r="H91" s="163">
        <f t="shared" si="30"/>
        <v>3.9407008086253414E-2</v>
      </c>
      <c r="I91" s="89"/>
      <c r="J91" s="62">
        <f t="shared" si="31"/>
        <v>1.7722724711439763E-2</v>
      </c>
      <c r="K91" s="89"/>
      <c r="L91" s="100"/>
      <c r="M91" s="100"/>
      <c r="N91" s="254"/>
      <c r="O91" s="254"/>
      <c r="P91" s="254"/>
      <c r="Q91" s="254"/>
      <c r="R91" s="254"/>
      <c r="S91" s="254"/>
      <c r="T91" s="254"/>
      <c r="U91" s="254"/>
      <c r="V91" s="254"/>
      <c r="W91" s="265"/>
      <c r="X91" s="265"/>
      <c r="Y91" s="265"/>
      <c r="Z91" s="265"/>
      <c r="AA91" s="265"/>
    </row>
    <row r="92" spans="3:27">
      <c r="C92" s="435"/>
      <c r="D92" s="47" t="s">
        <v>22</v>
      </c>
      <c r="E92" s="125"/>
      <c r="F92" s="126">
        <f>+SUMIF('Dec A-1'!$A$81:$A$92,'Tableau détaillé'!$D92,'Dec A-1'!$B$81:$B$92)</f>
        <v>30817</v>
      </c>
      <c r="G92" s="126">
        <f>+SUMIF('Mois courant'!$A$86:$A$97,'Tableau détaillé'!$D92,'Mois courant'!$B$86:$B$97)</f>
        <v>31949</v>
      </c>
      <c r="H92" s="163">
        <f t="shared" si="30"/>
        <v>3.6732972060875557E-2</v>
      </c>
      <c r="I92" s="89"/>
      <c r="J92" s="62">
        <f t="shared" si="31"/>
        <v>1.7722724711439763E-2</v>
      </c>
      <c r="K92" s="89"/>
      <c r="L92" s="100"/>
      <c r="M92" s="100"/>
      <c r="N92" s="254"/>
      <c r="O92" s="254"/>
      <c r="P92" s="254"/>
      <c r="Q92" s="254"/>
      <c r="R92" s="254"/>
      <c r="S92" s="254"/>
      <c r="T92" s="254"/>
      <c r="U92" s="254"/>
      <c r="V92" s="254"/>
      <c r="W92" s="265"/>
      <c r="X92" s="265"/>
      <c r="Y92" s="265"/>
      <c r="Z92" s="265"/>
      <c r="AA92" s="265"/>
    </row>
    <row r="93" spans="3:27">
      <c r="C93" s="435"/>
      <c r="D93" s="48" t="s">
        <v>62</v>
      </c>
      <c r="E93" s="127"/>
      <c r="F93" s="124">
        <f>SUM(F86:F92)</f>
        <v>939923</v>
      </c>
      <c r="G93" s="124">
        <f>SUM(G86:G92)</f>
        <v>943558</v>
      </c>
      <c r="H93" s="103">
        <f t="shared" si="30"/>
        <v>3.867338069182269E-3</v>
      </c>
      <c r="I93" s="88"/>
      <c r="J93" s="62">
        <f t="shared" si="31"/>
        <v>1.7722724711439763E-2</v>
      </c>
      <c r="K93" s="88"/>
      <c r="L93" s="97"/>
      <c r="M93" s="97"/>
      <c r="N93" s="169"/>
      <c r="O93" s="169"/>
      <c r="P93" s="169"/>
      <c r="Q93" s="169"/>
      <c r="R93" s="169"/>
      <c r="S93" s="169"/>
      <c r="T93" s="169"/>
      <c r="U93" s="169"/>
      <c r="V93" s="169"/>
      <c r="W93" s="265"/>
      <c r="X93" s="265"/>
      <c r="Y93" s="265"/>
      <c r="Z93" s="265"/>
      <c r="AA93" s="265"/>
    </row>
    <row r="94" spans="3:27">
      <c r="C94" s="435"/>
      <c r="D94" s="47" t="s">
        <v>15</v>
      </c>
      <c r="E94" s="125"/>
      <c r="F94" s="126">
        <f>+SUMIF('Dec A-1'!$A$81:$A$92,'Tableau détaillé'!$D94,'Dec A-1'!$B$81:$B$92)</f>
        <v>250421</v>
      </c>
      <c r="G94" s="126">
        <f>+SUMIF('Mois courant'!$A$86:$A$97,'Tableau détaillé'!$D94,'Mois courant'!$B$86:$B$97)</f>
        <v>268937</v>
      </c>
      <c r="H94" s="163">
        <f t="shared" si="30"/>
        <v>7.3939485905734736E-2</v>
      </c>
      <c r="I94" s="89"/>
      <c r="J94" s="62">
        <f t="shared" si="31"/>
        <v>1.7722724711439763E-2</v>
      </c>
      <c r="K94" s="89"/>
      <c r="L94" s="100"/>
      <c r="M94" s="100"/>
      <c r="N94" s="254"/>
      <c r="O94" s="254"/>
      <c r="P94" s="254"/>
      <c r="Q94" s="254"/>
      <c r="R94" s="254"/>
      <c r="S94" s="254"/>
      <c r="T94" s="254"/>
      <c r="U94" s="254"/>
      <c r="V94" s="254"/>
      <c r="W94" s="265"/>
      <c r="X94" s="265"/>
      <c r="Y94" s="265"/>
      <c r="Z94" s="265"/>
      <c r="AA94" s="265"/>
    </row>
    <row r="95" spans="3:27">
      <c r="C95" s="435"/>
      <c r="D95" s="47" t="s">
        <v>16</v>
      </c>
      <c r="E95" s="125"/>
      <c r="F95" s="126">
        <f>+SUMIF('Dec A-1'!$A$81:$A$92,'Tableau détaillé'!$D95,'Dec A-1'!$B$81:$B$92)</f>
        <v>179673</v>
      </c>
      <c r="G95" s="126">
        <f>+SUMIF('Mois courant'!$A$86:$A$97,'Tableau détaillé'!$D95,'Mois courant'!$B$86:$B$97)</f>
        <v>178900</v>
      </c>
      <c r="H95" s="163">
        <f t="shared" si="30"/>
        <v>-4.3022602171722824E-3</v>
      </c>
      <c r="I95" s="89"/>
      <c r="J95" s="62">
        <f t="shared" si="31"/>
        <v>1.7722724711439763E-2</v>
      </c>
      <c r="K95" s="89"/>
      <c r="L95" s="100"/>
      <c r="M95" s="100"/>
      <c r="N95" s="254"/>
      <c r="O95" s="254"/>
      <c r="P95" s="254"/>
      <c r="Q95" s="254"/>
      <c r="R95" s="254"/>
      <c r="S95" s="254"/>
      <c r="T95" s="254"/>
      <c r="U95" s="254"/>
      <c r="V95" s="254"/>
      <c r="W95" s="265"/>
      <c r="X95" s="265"/>
      <c r="Y95" s="265"/>
      <c r="Z95" s="265"/>
      <c r="AA95" s="265"/>
    </row>
    <row r="96" spans="3:27">
      <c r="C96" s="435"/>
      <c r="D96" s="47" t="s">
        <v>20</v>
      </c>
      <c r="E96" s="125"/>
      <c r="F96" s="126">
        <f>+SUMIF('Dec A-1'!$A$81:$A$92,'Tableau détaillé'!$D96,'Dec A-1'!$B$81:$B$92)</f>
        <v>49618</v>
      </c>
      <c r="G96" s="126">
        <f>+SUMIF('Mois courant'!$A$86:$A$97,'Tableau détaillé'!$D96,'Mois courant'!$B$86:$B$97)</f>
        <v>51745</v>
      </c>
      <c r="H96" s="163">
        <f t="shared" si="30"/>
        <v>4.2867507759280832E-2</v>
      </c>
      <c r="I96" s="89"/>
      <c r="J96" s="62">
        <f t="shared" si="31"/>
        <v>1.7722724711439763E-2</v>
      </c>
      <c r="K96" s="89"/>
      <c r="L96" s="117"/>
      <c r="M96" s="100"/>
      <c r="N96" s="254"/>
      <c r="O96" s="254"/>
      <c r="P96" s="254"/>
      <c r="Q96" s="254"/>
      <c r="R96" s="254"/>
      <c r="S96" s="254"/>
      <c r="T96" s="254"/>
      <c r="U96" s="254"/>
      <c r="V96" s="254"/>
      <c r="W96" s="265"/>
      <c r="X96" s="265"/>
      <c r="Y96" s="265"/>
      <c r="Z96" s="265"/>
      <c r="AA96" s="265"/>
    </row>
    <row r="97" spans="3:27">
      <c r="C97" s="435"/>
      <c r="D97" s="47" t="s">
        <v>23</v>
      </c>
      <c r="E97" s="125"/>
      <c r="F97" s="126">
        <f>+SUMIF('Dec A-1'!$A$81:$A$92,'Tableau détaillé'!$D97,'Dec A-1'!$B$81:$B$92)</f>
        <v>24951</v>
      </c>
      <c r="G97" s="126">
        <f>+SUMIF('Mois courant'!$A$86:$A$97,'Tableau détaillé'!$D97,'Mois courant'!$B$86:$B$97)</f>
        <v>27048</v>
      </c>
      <c r="H97" s="163">
        <f t="shared" si="30"/>
        <v>8.4044727666225727E-2</v>
      </c>
      <c r="I97" s="89"/>
      <c r="J97" s="62">
        <f t="shared" si="31"/>
        <v>1.7722724711439763E-2</v>
      </c>
      <c r="K97" s="89"/>
      <c r="L97" s="100"/>
      <c r="M97" s="100"/>
      <c r="N97" s="254"/>
      <c r="O97" s="254"/>
      <c r="P97" s="254"/>
      <c r="Q97" s="254"/>
      <c r="R97" s="254"/>
      <c r="S97" s="254"/>
      <c r="T97" s="254"/>
      <c r="U97" s="254"/>
      <c r="V97" s="254"/>
      <c r="W97" s="265"/>
      <c r="X97" s="265"/>
      <c r="Y97" s="265"/>
      <c r="Z97" s="265"/>
      <c r="AA97" s="265"/>
    </row>
    <row r="98" spans="3:27" ht="14.4" thickBot="1">
      <c r="C98" s="436"/>
      <c r="D98" s="49" t="s">
        <v>63</v>
      </c>
      <c r="E98" s="128"/>
      <c r="F98" s="129">
        <f>SUM(F94:F97)</f>
        <v>504663</v>
      </c>
      <c r="G98" s="129">
        <f>SUM(G94:G97)</f>
        <v>526630</v>
      </c>
      <c r="H98" s="86">
        <f t="shared" si="30"/>
        <v>4.3528057337272497E-2</v>
      </c>
      <c r="I98" s="90"/>
      <c r="J98" s="68">
        <f t="shared" si="31"/>
        <v>1.7722724711439763E-2</v>
      </c>
      <c r="K98" s="90"/>
      <c r="L98" s="97"/>
      <c r="M98" s="97"/>
      <c r="N98" s="169"/>
      <c r="O98" s="169"/>
      <c r="P98" s="169"/>
      <c r="Q98" s="169"/>
      <c r="R98" s="169"/>
      <c r="S98" s="169"/>
      <c r="T98" s="169"/>
      <c r="U98" s="169"/>
      <c r="V98" s="169"/>
      <c r="W98" s="265"/>
      <c r="X98" s="265"/>
      <c r="Y98" s="265"/>
      <c r="Z98" s="265"/>
      <c r="AA98" s="265"/>
    </row>
    <row r="99" spans="3:27" ht="14.4" thickTop="1">
      <c r="C99" s="252"/>
      <c r="E99" s="132"/>
      <c r="F99" s="132"/>
      <c r="G99" s="132"/>
      <c r="H99" s="98"/>
      <c r="L99" s="98"/>
      <c r="M99" s="98"/>
      <c r="N99" s="170"/>
      <c r="O99" s="170"/>
      <c r="P99" s="170"/>
      <c r="Q99" s="170"/>
      <c r="R99" s="170"/>
      <c r="S99" s="170"/>
      <c r="T99" s="170"/>
      <c r="U99" s="170"/>
      <c r="V99" s="170"/>
      <c r="W99" s="265"/>
      <c r="X99" s="265"/>
      <c r="Y99" s="265"/>
      <c r="Z99" s="265"/>
      <c r="AA99" s="265"/>
    </row>
    <row r="100" spans="3:27" ht="14.4" thickBot="1">
      <c r="C100" s="252"/>
      <c r="E100" s="132"/>
      <c r="F100" s="132"/>
      <c r="G100" s="132"/>
      <c r="H100" s="98"/>
      <c r="L100" s="98"/>
      <c r="M100" s="98"/>
      <c r="N100" s="170"/>
      <c r="O100" s="170"/>
      <c r="P100" s="170"/>
      <c r="Q100" s="170"/>
      <c r="R100" s="170"/>
      <c r="S100" s="170"/>
      <c r="T100" s="170"/>
      <c r="U100" s="170"/>
      <c r="V100" s="170"/>
      <c r="W100" s="265"/>
      <c r="X100" s="265"/>
      <c r="Y100" s="265"/>
      <c r="Z100" s="265"/>
      <c r="AA100" s="265"/>
    </row>
    <row r="101" spans="3:27" ht="15" thickTop="1" thickBot="1">
      <c r="C101" s="461" t="s">
        <v>66</v>
      </c>
      <c r="D101" s="29"/>
      <c r="E101" s="768">
        <v>44926</v>
      </c>
      <c r="F101" s="768">
        <v>44926</v>
      </c>
      <c r="G101" s="768">
        <v>45291</v>
      </c>
      <c r="H101" s="104" t="s">
        <v>60</v>
      </c>
      <c r="I101" s="50"/>
      <c r="J101" s="69"/>
      <c r="K101" s="50"/>
      <c r="L101" s="97"/>
      <c r="M101" s="97"/>
      <c r="N101" s="169"/>
      <c r="O101" s="169"/>
      <c r="P101" s="169"/>
      <c r="Q101" s="169"/>
      <c r="R101" s="169"/>
      <c r="S101" s="169"/>
      <c r="T101" s="169"/>
      <c r="U101" s="169"/>
      <c r="V101" s="169"/>
      <c r="W101" s="265"/>
      <c r="X101" s="265"/>
      <c r="Y101" s="265"/>
      <c r="Z101" s="265"/>
      <c r="AA101" s="265"/>
    </row>
    <row r="102" spans="3:27" ht="14.4" thickTop="1">
      <c r="C102" s="462" t="s">
        <v>267</v>
      </c>
      <c r="D102" s="30" t="s">
        <v>64</v>
      </c>
      <c r="E102" s="123"/>
      <c r="F102" s="103">
        <f>+SUMIF('Dec A-1'!$A$80:$A$93,'Tableau détaillé'!$D102,'Dec A-1'!$K$80:$K$93)</f>
        <v>0.81543135287500002</v>
      </c>
      <c r="G102" s="103">
        <f>+SUMIF('Mois courant'!$A$85:$A$98,'Tableau détaillé'!$D102,'Mois courant'!$K$85:$K$98)</f>
        <v>0.82015215081399995</v>
      </c>
      <c r="H102" s="38">
        <f>+(G102-F102)*100</f>
        <v>0.47207979389999322</v>
      </c>
      <c r="I102" s="88"/>
      <c r="J102" s="61"/>
      <c r="K102" s="88"/>
      <c r="L102" s="97"/>
      <c r="M102" s="97"/>
      <c r="N102" s="169"/>
      <c r="O102" s="169"/>
      <c r="P102" s="169"/>
      <c r="Q102" s="169"/>
      <c r="R102" s="169"/>
      <c r="S102" s="169"/>
      <c r="T102" s="169"/>
      <c r="U102" s="169"/>
      <c r="V102" s="169"/>
      <c r="W102" s="265"/>
      <c r="X102" s="265"/>
      <c r="Y102" s="265"/>
      <c r="Z102" s="265"/>
      <c r="AA102" s="265"/>
    </row>
    <row r="103" spans="3:27">
      <c r="C103" s="435"/>
      <c r="D103" s="47" t="s">
        <v>13</v>
      </c>
      <c r="E103" s="125"/>
      <c r="F103" s="163">
        <f>+SUMIF('Dec A-1'!$A$81:$A$92,'Tableau détaillé'!$D103,'Dec A-1'!$K$81:$K$92)</f>
        <v>0.74153755414599998</v>
      </c>
      <c r="G103" s="163">
        <f>+SUMIF('Mois courant'!$A$85:$A$98,'Tableau détaillé'!$D103,'Mois courant'!$K$85:$K$98)</f>
        <v>0.74517251959999997</v>
      </c>
      <c r="H103" s="40">
        <f>+(G103-F103)*100</f>
        <v>0.36349654539999943</v>
      </c>
      <c r="I103" s="89"/>
      <c r="J103" s="63">
        <f>+$H$102</f>
        <v>0.47207979389999322</v>
      </c>
      <c r="K103" s="89"/>
      <c r="L103" s="100"/>
      <c r="M103" s="100"/>
      <c r="N103" s="254"/>
      <c r="O103" s="254"/>
      <c r="P103" s="254"/>
      <c r="Q103" s="254"/>
      <c r="R103" s="254"/>
      <c r="S103" s="254"/>
      <c r="T103" s="254"/>
      <c r="U103" s="254"/>
      <c r="V103" s="254"/>
      <c r="W103" s="265"/>
      <c r="X103" s="265"/>
      <c r="Y103" s="265"/>
      <c r="Z103" s="265"/>
      <c r="AA103" s="265"/>
    </row>
    <row r="104" spans="3:27">
      <c r="C104" s="435"/>
      <c r="D104" s="47" t="s">
        <v>14</v>
      </c>
      <c r="E104" s="125"/>
      <c r="F104" s="163">
        <f>+SUMIF('Dec A-1'!$A$81:$A$92,'Tableau détaillé'!$D104,'Dec A-1'!$K$81:$K$92)</f>
        <v>0.70584750110100003</v>
      </c>
      <c r="G104" s="163">
        <f>+SUMIF('Mois courant'!$A$85:$A$98,'Tableau détaillé'!$D104,'Mois courant'!$K$85:$K$98)</f>
        <v>0.73701828410600001</v>
      </c>
      <c r="H104" s="40">
        <f t="shared" ref="H104:H115" si="32">+(G104-F104)*100</f>
        <v>3.117078300499998</v>
      </c>
      <c r="I104" s="89"/>
      <c r="J104" s="63">
        <f t="shared" ref="J104:J115" si="33">+$H$102</f>
        <v>0.47207979389999322</v>
      </c>
      <c r="K104" s="89"/>
      <c r="L104" s="100"/>
      <c r="M104" s="100"/>
      <c r="N104" s="254"/>
      <c r="O104" s="254"/>
      <c r="P104" s="254"/>
      <c r="Q104" s="254"/>
      <c r="R104" s="254"/>
      <c r="S104" s="254"/>
      <c r="T104" s="254"/>
      <c r="U104" s="254"/>
      <c r="V104" s="254"/>
      <c r="W104" s="265"/>
      <c r="X104" s="265"/>
      <c r="Y104" s="265"/>
      <c r="Z104" s="265"/>
      <c r="AA104" s="265"/>
    </row>
    <row r="105" spans="3:27">
      <c r="C105" s="435"/>
      <c r="D105" s="47" t="s">
        <v>17</v>
      </c>
      <c r="E105" s="125"/>
      <c r="F105" s="163">
        <f>+SUMIF('Dec A-1'!$A$81:$A$92,'Tableau détaillé'!$D105,'Dec A-1'!$K$81:$K$92)</f>
        <v>0.74116197589800004</v>
      </c>
      <c r="G105" s="163">
        <f>+SUMIF('Mois courant'!$A$85:$A$98,'Tableau détaillé'!$D105,'Mois courant'!$K$85:$K$98)</f>
        <v>0.763924636283</v>
      </c>
      <c r="H105" s="40">
        <f t="shared" si="32"/>
        <v>2.2762660384999966</v>
      </c>
      <c r="I105" s="89"/>
      <c r="J105" s="63">
        <f t="shared" si="33"/>
        <v>0.47207979389999322</v>
      </c>
      <c r="K105" s="89"/>
      <c r="L105" s="100"/>
      <c r="M105" s="100"/>
      <c r="N105" s="254"/>
      <c r="O105" s="254"/>
      <c r="P105" s="254"/>
      <c r="Q105" s="254"/>
      <c r="R105" s="254"/>
      <c r="S105" s="254"/>
      <c r="T105" s="254"/>
      <c r="U105" s="254"/>
      <c r="V105" s="254"/>
      <c r="W105" s="265"/>
      <c r="X105" s="265"/>
      <c r="Y105" s="265"/>
      <c r="Z105" s="265"/>
      <c r="AA105" s="265"/>
    </row>
    <row r="106" spans="3:27">
      <c r="C106" s="435"/>
      <c r="D106" s="47" t="s">
        <v>18</v>
      </c>
      <c r="E106" s="125"/>
      <c r="F106" s="163">
        <f>+SUMIF('Dec A-1'!$A$81:$A$92,'Tableau détaillé'!$D106,'Dec A-1'!$K$81:$K$92)</f>
        <v>0.80658117660799999</v>
      </c>
      <c r="G106" s="163">
        <f>+SUMIF('Mois courant'!$A$85:$A$98,'Tableau détaillé'!$D106,'Mois courant'!$K$85:$K$98)</f>
        <v>0.80295484727699995</v>
      </c>
      <c r="H106" s="40">
        <f t="shared" si="32"/>
        <v>-0.36263293310000444</v>
      </c>
      <c r="I106" s="89"/>
      <c r="J106" s="63">
        <f t="shared" si="33"/>
        <v>0.47207979389999322</v>
      </c>
      <c r="K106" s="89"/>
      <c r="L106" s="100"/>
      <c r="M106" s="100"/>
      <c r="N106" s="254"/>
      <c r="O106" s="254"/>
      <c r="P106" s="254"/>
      <c r="Q106" s="254"/>
      <c r="R106" s="254"/>
      <c r="S106" s="254"/>
      <c r="T106" s="254"/>
      <c r="U106" s="254"/>
      <c r="V106" s="254"/>
      <c r="W106" s="265"/>
      <c r="X106" s="265"/>
      <c r="Y106" s="265"/>
      <c r="Z106" s="265"/>
      <c r="AA106" s="265"/>
    </row>
    <row r="107" spans="3:27">
      <c r="C107" s="435"/>
      <c r="D107" s="47" t="s">
        <v>19</v>
      </c>
      <c r="E107" s="125"/>
      <c r="F107" s="163">
        <f>+SUMIF('Dec A-1'!$A$81:$A$92,'Tableau détaillé'!$D107,'Dec A-1'!$K$81:$K$92)</f>
        <v>0.90387148502299997</v>
      </c>
      <c r="G107" s="163">
        <f>+SUMIF('Mois courant'!$A$85:$A$98,'Tableau détaillé'!$D107,'Mois courant'!$K$85:$K$98)</f>
        <v>0.90901958505199998</v>
      </c>
      <c r="H107" s="40">
        <f t="shared" si="32"/>
        <v>0.51481000290000134</v>
      </c>
      <c r="I107" s="89"/>
      <c r="J107" s="63">
        <f t="shared" si="33"/>
        <v>0.47207979389999322</v>
      </c>
      <c r="K107" s="89"/>
      <c r="L107" s="100"/>
      <c r="M107" s="100"/>
      <c r="N107" s="254"/>
      <c r="O107" s="254"/>
      <c r="P107" s="254"/>
      <c r="Q107" s="254"/>
      <c r="R107" s="254"/>
      <c r="S107" s="254"/>
      <c r="T107" s="254"/>
      <c r="U107" s="254"/>
      <c r="V107" s="254"/>
      <c r="W107" s="265"/>
      <c r="X107" s="265"/>
      <c r="Y107" s="265"/>
      <c r="Z107" s="265"/>
      <c r="AA107" s="265"/>
    </row>
    <row r="108" spans="3:27">
      <c r="C108" s="435"/>
      <c r="D108" s="47" t="s">
        <v>21</v>
      </c>
      <c r="E108" s="125"/>
      <c r="F108" s="163">
        <f>+SUMIF('Dec A-1'!$A$81:$A$92,'Tableau détaillé'!$D108,'Dec A-1'!$K$81:$K$92)</f>
        <v>0.77426380077599999</v>
      </c>
      <c r="G108" s="163">
        <f>+SUMIF('Mois courant'!$A$85:$A$98,'Tableau détaillé'!$D108,'Mois courant'!$K$85:$K$98)</f>
        <v>0.78867369453199998</v>
      </c>
      <c r="H108" s="40">
        <f t="shared" si="32"/>
        <v>1.4409893755999992</v>
      </c>
      <c r="I108" s="89"/>
      <c r="J108" s="63">
        <f t="shared" si="33"/>
        <v>0.47207979389999322</v>
      </c>
      <c r="K108" s="89"/>
      <c r="L108" s="100"/>
      <c r="M108" s="100"/>
      <c r="N108" s="254"/>
      <c r="O108" s="254"/>
      <c r="P108" s="254"/>
      <c r="Q108" s="254"/>
      <c r="R108" s="254"/>
      <c r="S108" s="254"/>
      <c r="T108" s="254"/>
      <c r="U108" s="254"/>
      <c r="V108" s="254"/>
      <c r="W108" s="265"/>
      <c r="X108" s="265"/>
      <c r="Y108" s="265"/>
      <c r="Z108" s="265"/>
      <c r="AA108" s="265"/>
    </row>
    <row r="109" spans="3:27">
      <c r="C109" s="435"/>
      <c r="D109" s="47" t="s">
        <v>22</v>
      </c>
      <c r="E109" s="125"/>
      <c r="F109" s="163">
        <f>+SUMIF('Dec A-1'!$A$81:$A$92,'Tableau détaillé'!$D109,'Dec A-1'!$K$81:$K$92)</f>
        <v>0.94863307111100004</v>
      </c>
      <c r="G109" s="163">
        <f>+SUMIF('Mois courant'!$A$85:$A$98,'Tableau détaillé'!$D109,'Mois courant'!$K$85:$K$98)</f>
        <v>0.949848432523</v>
      </c>
      <c r="H109" s="40">
        <f t="shared" si="32"/>
        <v>0.12153614119999601</v>
      </c>
      <c r="I109" s="89"/>
      <c r="J109" s="63">
        <f t="shared" si="33"/>
        <v>0.47207979389999322</v>
      </c>
      <c r="K109" s="89"/>
      <c r="L109" s="100"/>
      <c r="M109" s="100"/>
      <c r="N109" s="254"/>
      <c r="O109" s="254"/>
      <c r="P109" s="254"/>
      <c r="Q109" s="254"/>
      <c r="R109" s="254"/>
      <c r="S109" s="254"/>
      <c r="T109" s="254"/>
      <c r="U109" s="254"/>
      <c r="V109" s="254"/>
      <c r="W109" s="265"/>
      <c r="X109" s="265"/>
      <c r="Y109" s="265"/>
      <c r="Z109" s="265"/>
      <c r="AA109" s="265"/>
    </row>
    <row r="110" spans="3:27">
      <c r="C110" s="435"/>
      <c r="D110" s="48" t="s">
        <v>62</v>
      </c>
      <c r="E110" s="127"/>
      <c r="F110" s="103">
        <f>+SUMIF('Dec A-1'!$A$80:$A$93,'Tableau détaillé'!$D110,'Dec A-1'!$K$80:$K$93)</f>
        <v>0.76222135555299997</v>
      </c>
      <c r="G110" s="103">
        <f>+SUMIF('Mois courant'!$A$85:$A$98,'Tableau détaillé'!$D110,'Mois courant'!$K$85:$K$98)</f>
        <v>0.772363754598</v>
      </c>
      <c r="H110" s="42">
        <f t="shared" si="32"/>
        <v>1.0142399045000028</v>
      </c>
      <c r="I110" s="88"/>
      <c r="J110" s="63">
        <f t="shared" si="33"/>
        <v>0.47207979389999322</v>
      </c>
      <c r="K110" s="88"/>
      <c r="L110" s="97"/>
      <c r="M110" s="97"/>
      <c r="N110" s="169"/>
      <c r="O110" s="169"/>
      <c r="P110" s="169"/>
      <c r="Q110" s="169"/>
      <c r="R110" s="169"/>
      <c r="S110" s="169"/>
      <c r="T110" s="169"/>
      <c r="U110" s="169"/>
      <c r="V110" s="169"/>
      <c r="W110" s="265"/>
      <c r="X110" s="265"/>
      <c r="Y110" s="265"/>
      <c r="Z110" s="265"/>
      <c r="AA110" s="265"/>
    </row>
    <row r="111" spans="3:27">
      <c r="C111" s="435"/>
      <c r="D111" s="47" t="s">
        <v>15</v>
      </c>
      <c r="E111" s="125"/>
      <c r="F111" s="163">
        <f>+SUMIF('Dec A-1'!$A$81:$A$92,'Tableau détaillé'!$D111,'Dec A-1'!$K$81:$K$92)</f>
        <v>0.932545360883</v>
      </c>
      <c r="G111" s="163">
        <f>+SUMIF('Mois courant'!$A$85:$A$98,'Tableau détaillé'!$D111,'Mois courant'!$K$85:$K$98)</f>
        <v>0.93478149837500002</v>
      </c>
      <c r="H111" s="40">
        <f t="shared" si="32"/>
        <v>0.22361374920000232</v>
      </c>
      <c r="I111" s="89"/>
      <c r="J111" s="63">
        <f t="shared" si="33"/>
        <v>0.47207979389999322</v>
      </c>
      <c r="K111" s="89"/>
      <c r="L111" s="100"/>
      <c r="M111" s="100"/>
      <c r="N111" s="254"/>
      <c r="O111" s="254"/>
      <c r="P111" s="254"/>
      <c r="Q111" s="254"/>
      <c r="R111" s="254"/>
      <c r="S111" s="254"/>
      <c r="T111" s="254"/>
      <c r="U111" s="254"/>
      <c r="V111" s="254"/>
      <c r="W111" s="265"/>
      <c r="X111" s="265"/>
      <c r="Y111" s="265"/>
      <c r="Z111" s="265"/>
      <c r="AA111" s="265"/>
    </row>
    <row r="112" spans="3:27">
      <c r="C112" s="435"/>
      <c r="D112" s="47" t="s">
        <v>16</v>
      </c>
      <c r="E112" s="125"/>
      <c r="F112" s="163">
        <f>+SUMIF('Dec A-1'!$A$81:$A$92,'Tableau détaillé'!$D112,'Dec A-1'!$K$81:$K$92)</f>
        <v>0.853855106197</v>
      </c>
      <c r="G112" s="163">
        <f>+SUMIF('Mois courant'!$A$85:$A$98,'Tableau détaillé'!$D112,'Mois courant'!$K$85:$K$98)</f>
        <v>0.85082853854999996</v>
      </c>
      <c r="H112" s="40">
        <f t="shared" si="32"/>
        <v>-0.30265676470000447</v>
      </c>
      <c r="I112" s="89"/>
      <c r="J112" s="63">
        <f t="shared" si="33"/>
        <v>0.47207979389999322</v>
      </c>
      <c r="K112" s="89"/>
      <c r="L112" s="100"/>
      <c r="M112" s="100"/>
      <c r="N112" s="254"/>
      <c r="O112" s="254"/>
      <c r="P112" s="254"/>
      <c r="Q112" s="254"/>
      <c r="R112" s="254"/>
      <c r="S112" s="254"/>
      <c r="T112" s="254"/>
      <c r="U112" s="254"/>
      <c r="V112" s="254"/>
      <c r="W112" s="265"/>
      <c r="X112" s="265"/>
      <c r="Y112" s="265"/>
      <c r="Z112" s="265"/>
      <c r="AA112" s="265"/>
    </row>
    <row r="113" spans="3:27">
      <c r="C113" s="435"/>
      <c r="D113" s="47" t="s">
        <v>20</v>
      </c>
      <c r="E113" s="125"/>
      <c r="F113" s="163">
        <f>+SUMIF('Dec A-1'!$A$81:$A$92,'Tableau détaillé'!$D113,'Dec A-1'!$K$81:$K$92)</f>
        <v>0.95630441792900001</v>
      </c>
      <c r="G113" s="163">
        <f>+SUMIF('Mois courant'!$A$85:$A$98,'Tableau détaillé'!$D113,'Mois courant'!$K$85:$K$98)</f>
        <v>0.95916942004399997</v>
      </c>
      <c r="H113" s="40">
        <f t="shared" si="32"/>
        <v>0.28650021149999594</v>
      </c>
      <c r="I113" s="89"/>
      <c r="J113" s="63">
        <f t="shared" si="33"/>
        <v>0.47207979389999322</v>
      </c>
      <c r="K113" s="89"/>
      <c r="L113" s="117"/>
      <c r="M113" s="100"/>
      <c r="N113" s="254"/>
      <c r="O113" s="254"/>
      <c r="P113" s="254"/>
      <c r="Q113" s="254"/>
      <c r="R113" s="254"/>
      <c r="S113" s="254"/>
      <c r="T113" s="254"/>
      <c r="U113" s="254"/>
      <c r="V113" s="254"/>
      <c r="W113" s="265"/>
      <c r="X113" s="265"/>
      <c r="Y113" s="265"/>
      <c r="Z113" s="265"/>
      <c r="AA113" s="265"/>
    </row>
    <row r="114" spans="3:27">
      <c r="C114" s="435"/>
      <c r="D114" s="47" t="s">
        <v>23</v>
      </c>
      <c r="E114" s="125"/>
      <c r="F114" s="163">
        <f>+SUMIF('Dec A-1'!$A$81:$A$92,'Tableau détaillé'!$D114,'Dec A-1'!$K$81:$K$92)</f>
        <v>0.945341556423</v>
      </c>
      <c r="G114" s="163">
        <f>+SUMIF('Mois courant'!$A$85:$A$98,'Tableau détaillé'!$D114,'Mois courant'!$K$85:$K$98)</f>
        <v>0</v>
      </c>
      <c r="H114" s="40">
        <f t="shared" si="32"/>
        <v>-94.534155642299993</v>
      </c>
      <c r="I114" s="89"/>
      <c r="J114" s="63">
        <f t="shared" si="33"/>
        <v>0.47207979389999322</v>
      </c>
      <c r="K114" s="89"/>
      <c r="L114" s="100"/>
      <c r="M114" s="100"/>
      <c r="N114" s="254"/>
      <c r="O114" s="254"/>
      <c r="P114" s="254"/>
      <c r="Q114" s="254"/>
      <c r="R114" s="254"/>
      <c r="S114" s="254"/>
      <c r="T114" s="254"/>
      <c r="U114" s="254"/>
      <c r="V114" s="254"/>
      <c r="W114" s="265"/>
      <c r="X114" s="265"/>
      <c r="Y114" s="265"/>
      <c r="Z114" s="265"/>
      <c r="AA114" s="265"/>
    </row>
    <row r="115" spans="3:27" ht="14.4" thickBot="1">
      <c r="C115" s="436"/>
      <c r="D115" s="49" t="s">
        <v>63</v>
      </c>
      <c r="E115" s="128"/>
      <c r="F115" s="86">
        <f>+SUMIF('Dec A-1'!$A$80:$A$93,'Tableau détaillé'!$D115,'Dec A-1'!$K$80:$K$93)</f>
        <v>0.906503936643</v>
      </c>
      <c r="G115" s="86">
        <f>+SUMIF('Mois courant'!$A$85:$A$98,'Tableau détaillé'!$D115,'Mois courant'!$K$85:$K$98)</f>
        <v>0.90539054377899997</v>
      </c>
      <c r="H115" s="44">
        <f t="shared" si="32"/>
        <v>-0.1113392864000029</v>
      </c>
      <c r="I115" s="90"/>
      <c r="J115" s="87">
        <f t="shared" si="33"/>
        <v>0.47207979389999322</v>
      </c>
      <c r="K115" s="90"/>
      <c r="L115" s="97"/>
      <c r="M115" s="97"/>
      <c r="N115" s="169"/>
      <c r="O115" s="169"/>
      <c r="P115" s="169"/>
      <c r="Q115" s="169"/>
      <c r="R115" s="169"/>
      <c r="S115" s="169"/>
      <c r="T115" s="169"/>
      <c r="U115" s="169"/>
      <c r="V115" s="169"/>
      <c r="W115" s="265"/>
      <c r="X115" s="265"/>
      <c r="Y115" s="265"/>
      <c r="Z115" s="265"/>
      <c r="AA115" s="265"/>
    </row>
    <row r="116" spans="3:27" ht="15" thickTop="1" thickBot="1">
      <c r="C116" s="252"/>
      <c r="E116" s="132"/>
      <c r="F116" s="132"/>
      <c r="G116" s="132"/>
      <c r="H116" s="98"/>
      <c r="L116" s="98"/>
      <c r="M116" s="98"/>
      <c r="N116" s="170"/>
      <c r="O116" s="170"/>
      <c r="P116" s="170"/>
      <c r="Q116" s="170"/>
      <c r="R116" s="170"/>
      <c r="S116" s="170"/>
      <c r="T116" s="170"/>
      <c r="U116" s="170"/>
      <c r="V116" s="170"/>
      <c r="W116" s="265"/>
      <c r="X116" s="265"/>
      <c r="Y116" s="265"/>
      <c r="Z116" s="265"/>
      <c r="AA116" s="265"/>
    </row>
    <row r="117" spans="3:27" ht="14.4" thickTop="1">
      <c r="C117" s="463" t="s">
        <v>68</v>
      </c>
      <c r="D117" s="36" t="s">
        <v>64</v>
      </c>
      <c r="E117" s="36"/>
      <c r="F117" s="37">
        <f>+SUMIF('Dec A-1'!$A$80:$A$93,'Tableau détaillé'!$D117,'Dec A-1'!$O$80:$O$93)</f>
        <v>0.64190566092800005</v>
      </c>
      <c r="G117" s="440">
        <f>+SUMIF('Mois courant'!$A$85:$A$98,'Tableau détaillé'!$D117,'Mois courant'!$N$85:$N$98)</f>
        <v>0.66289290782999999</v>
      </c>
      <c r="H117" s="38">
        <f>+(G117-F117)*100</f>
        <v>2.0987246901999934</v>
      </c>
      <c r="I117" s="50"/>
      <c r="J117" s="69"/>
      <c r="K117" s="50"/>
      <c r="L117" s="97"/>
      <c r="M117" s="97"/>
      <c r="N117" s="169"/>
      <c r="O117" s="169"/>
      <c r="P117" s="169"/>
      <c r="Q117" s="169"/>
      <c r="R117" s="169"/>
      <c r="S117" s="169"/>
      <c r="T117" s="169"/>
      <c r="U117" s="169"/>
      <c r="V117" s="169"/>
      <c r="W117" s="265"/>
      <c r="X117" s="265"/>
      <c r="Y117" s="265"/>
      <c r="Z117" s="265"/>
      <c r="AA117" s="265"/>
    </row>
    <row r="118" spans="3:27">
      <c r="C118" s="435"/>
      <c r="D118" s="47" t="s">
        <v>13</v>
      </c>
      <c r="E118" s="125"/>
      <c r="F118" s="39">
        <f>+SUMIF('Dec A-1'!$A$80:$A$93,'Tableau détaillé'!$D118,'Dec A-1'!$O$80:$O$93)</f>
        <v>0.68362200189199995</v>
      </c>
      <c r="G118" s="121">
        <f>+SUMIF('Mois courant'!$A$85:$A$98,'Tableau détaillé'!$D118,'Mois courant'!$N$85:$N$98)</f>
        <v>0.69511684620799996</v>
      </c>
      <c r="H118" s="40">
        <f>+(G118-F118)*100</f>
        <v>1.1494844316000008</v>
      </c>
      <c r="I118" s="91"/>
      <c r="J118" s="63">
        <f>+$H$117</f>
        <v>2.0987246901999934</v>
      </c>
      <c r="K118" s="91"/>
      <c r="L118" s="63"/>
      <c r="M118" s="63"/>
      <c r="N118" s="267"/>
      <c r="O118" s="267"/>
      <c r="P118" s="267"/>
      <c r="Q118" s="267"/>
      <c r="R118" s="267"/>
      <c r="S118" s="267"/>
      <c r="T118" s="267"/>
      <c r="U118" s="267"/>
      <c r="V118" s="267"/>
      <c r="W118" s="265"/>
      <c r="X118" s="265"/>
      <c r="Y118" s="265"/>
      <c r="Z118" s="265"/>
      <c r="AA118" s="265"/>
    </row>
    <row r="119" spans="3:27">
      <c r="C119" s="435"/>
      <c r="D119" s="47" t="s">
        <v>14</v>
      </c>
      <c r="E119" s="125"/>
      <c r="F119" s="39">
        <f>+SUMIF('Dec A-1'!$A$80:$A$93,'Tableau détaillé'!$D119,'Dec A-1'!$O$80:$O$93)</f>
        <v>0.11688364195000001</v>
      </c>
      <c r="G119" s="121">
        <f>+SUMIF('Mois courant'!$A$85:$A$98,'Tableau détaillé'!$D119,'Mois courant'!$N$85:$N$98)</f>
        <v>0.11360253425400001</v>
      </c>
      <c r="H119" s="40">
        <f t="shared" ref="H119:H124" si="34">+(G119-F119)*100</f>
        <v>-0.32811076959999991</v>
      </c>
      <c r="I119" s="91"/>
      <c r="J119" s="63">
        <f t="shared" ref="J119:J130" si="35">+$H$117</f>
        <v>2.0987246901999934</v>
      </c>
      <c r="K119" s="91"/>
      <c r="L119" s="63"/>
      <c r="M119" s="63"/>
      <c r="N119" s="267"/>
      <c r="O119" s="267"/>
      <c r="P119" s="267"/>
      <c r="Q119" s="267"/>
      <c r="R119" s="267"/>
      <c r="S119" s="267"/>
      <c r="T119" s="267"/>
      <c r="U119" s="267"/>
      <c r="V119" s="267"/>
      <c r="W119" s="265"/>
      <c r="X119" s="265"/>
      <c r="Y119" s="265"/>
      <c r="Z119" s="265"/>
      <c r="AA119" s="265"/>
    </row>
    <row r="120" spans="3:27">
      <c r="C120" s="435"/>
      <c r="D120" s="47" t="s">
        <v>17</v>
      </c>
      <c r="E120" s="125"/>
      <c r="F120" s="39">
        <f>+SUMIF('Dec A-1'!$A$80:$A$93,'Tableau détaillé'!$D120,'Dec A-1'!$O$80:$O$93)</f>
        <v>0.66708091398900005</v>
      </c>
      <c r="G120" s="121">
        <f>+SUMIF('Mois courant'!$A$85:$A$98,'Tableau détaillé'!$D120,'Mois courant'!$N$85:$N$98)</f>
        <v>0.68112594288499995</v>
      </c>
      <c r="H120" s="40">
        <f t="shared" si="34"/>
        <v>1.40450288959999</v>
      </c>
      <c r="I120" s="91"/>
      <c r="J120" s="63">
        <f t="shared" si="35"/>
        <v>2.0987246901999934</v>
      </c>
      <c r="K120" s="91"/>
      <c r="L120" s="63"/>
      <c r="M120" s="63"/>
      <c r="N120" s="267"/>
      <c r="O120" s="267"/>
      <c r="P120" s="267"/>
      <c r="Q120" s="267"/>
      <c r="R120" s="267"/>
      <c r="S120" s="267"/>
      <c r="T120" s="267"/>
      <c r="U120" s="267"/>
      <c r="V120" s="267"/>
      <c r="W120" s="265"/>
      <c r="X120" s="265"/>
      <c r="Y120" s="265"/>
      <c r="Z120" s="265"/>
      <c r="AA120" s="265"/>
    </row>
    <row r="121" spans="3:27">
      <c r="C121" s="435"/>
      <c r="D121" s="47" t="s">
        <v>18</v>
      </c>
      <c r="E121" s="125"/>
      <c r="F121" s="39">
        <f>+SUMIF('Dec A-1'!$A$80:$A$93,'Tableau détaillé'!$D121,'Dec A-1'!$O$80:$O$93)</f>
        <v>0.59808785716799995</v>
      </c>
      <c r="G121" s="121">
        <f>+SUMIF('Mois courant'!$A$85:$A$98,'Tableau détaillé'!$D121,'Mois courant'!$N$85:$N$98)</f>
        <v>0.59753415903899998</v>
      </c>
      <c r="H121" s="40">
        <f t="shared" si="34"/>
        <v>-5.5369812899996873E-2</v>
      </c>
      <c r="I121" s="91"/>
      <c r="J121" s="63">
        <f t="shared" si="35"/>
        <v>2.0987246901999934</v>
      </c>
      <c r="K121" s="91"/>
      <c r="L121" s="63"/>
      <c r="M121" s="63"/>
      <c r="N121" s="267"/>
      <c r="O121" s="267"/>
      <c r="P121" s="267"/>
      <c r="Q121" s="267"/>
      <c r="R121" s="267"/>
      <c r="S121" s="267"/>
      <c r="T121" s="267"/>
      <c r="U121" s="267"/>
      <c r="V121" s="267"/>
      <c r="W121" s="265"/>
      <c r="X121" s="265"/>
      <c r="Y121" s="265"/>
      <c r="Z121" s="265"/>
      <c r="AA121" s="265"/>
    </row>
    <row r="122" spans="3:27">
      <c r="C122" s="435"/>
      <c r="D122" s="47" t="s">
        <v>19</v>
      </c>
      <c r="E122" s="125"/>
      <c r="F122" s="39">
        <f>+SUMIF('Dec A-1'!$A$80:$A$93,'Tableau détaillé'!$D122,'Dec A-1'!$O$80:$O$93)</f>
        <v>0.29430865976999998</v>
      </c>
      <c r="G122" s="121">
        <f>+SUMIF('Mois courant'!$A$85:$A$98,'Tableau détaillé'!$D122,'Mois courant'!$N$85:$N$98)</f>
        <v>0.29846404654199998</v>
      </c>
      <c r="H122" s="40">
        <f t="shared" si="34"/>
        <v>0.41553867720000026</v>
      </c>
      <c r="I122" s="91"/>
      <c r="J122" s="63">
        <f t="shared" si="35"/>
        <v>2.0987246901999934</v>
      </c>
      <c r="K122" s="91"/>
      <c r="L122" s="63"/>
      <c r="M122" s="63"/>
      <c r="N122" s="267"/>
      <c r="O122" s="267"/>
      <c r="P122" s="267"/>
      <c r="Q122" s="267"/>
      <c r="R122" s="267"/>
      <c r="S122" s="267"/>
      <c r="T122" s="267"/>
      <c r="U122" s="267"/>
      <c r="V122" s="267"/>
      <c r="W122" s="265"/>
      <c r="X122" s="265"/>
      <c r="Y122" s="265"/>
      <c r="Z122" s="265"/>
      <c r="AA122" s="265"/>
    </row>
    <row r="123" spans="3:27">
      <c r="C123" s="435"/>
      <c r="D123" s="47" t="s">
        <v>21</v>
      </c>
      <c r="E123" s="125"/>
      <c r="F123" s="39">
        <f>+SUMIF('Dec A-1'!$A$80:$A$93,'Tableau détaillé'!$D123,'Dec A-1'!$O$80:$O$93)</f>
        <v>0.48899351840499999</v>
      </c>
      <c r="G123" s="121">
        <f>+SUMIF('Mois courant'!$A$85:$A$98,'Tableau détaillé'!$D123,'Mois courant'!$N$85:$N$98)</f>
        <v>0.47839602113700003</v>
      </c>
      <c r="H123" s="40">
        <f t="shared" si="34"/>
        <v>-1.0597497267999967</v>
      </c>
      <c r="I123" s="91"/>
      <c r="J123" s="63">
        <f t="shared" si="35"/>
        <v>2.0987246901999934</v>
      </c>
      <c r="K123" s="91"/>
      <c r="L123" s="63"/>
      <c r="M123" s="63"/>
      <c r="N123" s="267"/>
      <c r="O123" s="267"/>
      <c r="P123" s="267"/>
      <c r="Q123" s="267"/>
      <c r="R123" s="267"/>
      <c r="S123" s="267"/>
      <c r="T123" s="267"/>
      <c r="U123" s="267"/>
      <c r="V123" s="267"/>
      <c r="W123" s="265"/>
      <c r="X123" s="265"/>
      <c r="Y123" s="265"/>
      <c r="Z123" s="265"/>
      <c r="AA123" s="265"/>
    </row>
    <row r="124" spans="3:27">
      <c r="C124" s="435"/>
      <c r="D124" s="47" t="s">
        <v>22</v>
      </c>
      <c r="E124" s="125"/>
      <c r="F124" s="39">
        <f>+SUMIF('Dec A-1'!$A$80:$A$93,'Tableau détaillé'!$D124,'Dec A-1'!$O$80:$O$93)</f>
        <v>4.1052588365696501E-5</v>
      </c>
      <c r="G124" s="121">
        <f>+SUMIF('Mois courant'!$A$85:$A$98,'Tableau détaillé'!$D124,'Mois courant'!$N$85:$N$98)</f>
        <v>0</v>
      </c>
      <c r="H124" s="40">
        <f t="shared" si="34"/>
        <v>-4.10525883656965E-3</v>
      </c>
      <c r="I124" s="91"/>
      <c r="J124" s="63">
        <f t="shared" si="35"/>
        <v>2.0987246901999934</v>
      </c>
      <c r="K124" s="91"/>
      <c r="L124" s="63"/>
      <c r="M124" s="63"/>
      <c r="N124" s="267"/>
      <c r="O124" s="267"/>
      <c r="P124" s="267"/>
      <c r="Q124" s="267"/>
      <c r="R124" s="267"/>
      <c r="S124" s="267"/>
      <c r="T124" s="267"/>
      <c r="U124" s="267"/>
      <c r="V124" s="267"/>
      <c r="W124" s="265"/>
      <c r="X124" s="265"/>
      <c r="Y124" s="265"/>
      <c r="Z124" s="265"/>
      <c r="AA124" s="265"/>
    </row>
    <row r="125" spans="3:27">
      <c r="C125" s="435"/>
      <c r="D125" s="48" t="s">
        <v>62</v>
      </c>
      <c r="E125" s="127"/>
      <c r="F125" s="41">
        <f>+SUMIF('Dec A-1'!$A$80:$A$93,'Tableau détaillé'!$D125,'Dec A-1'!$O$80:$O$93)</f>
        <v>0.50469311296899999</v>
      </c>
      <c r="G125" s="441">
        <f>+SUMIF('Mois courant'!$A$85:$A$98,'Tableau détaillé'!$D125,'Mois courant'!$N$85:$N$98)</f>
        <v>0.51272674456099998</v>
      </c>
      <c r="H125" s="42">
        <f t="shared" ref="H125:H130" si="36">+(G125-F125)*100</f>
        <v>0.80336315919999901</v>
      </c>
      <c r="I125" s="92"/>
      <c r="J125" s="63">
        <f t="shared" si="35"/>
        <v>2.0987246901999934</v>
      </c>
      <c r="K125" s="92"/>
      <c r="L125" s="102"/>
      <c r="M125" s="102"/>
      <c r="N125" s="268"/>
      <c r="O125" s="268"/>
      <c r="P125" s="268"/>
      <c r="Q125" s="268"/>
      <c r="R125" s="268"/>
      <c r="S125" s="268"/>
      <c r="T125" s="268"/>
      <c r="U125" s="268"/>
      <c r="V125" s="268"/>
      <c r="W125" s="265"/>
      <c r="X125" s="265"/>
      <c r="Y125" s="265"/>
      <c r="Z125" s="265"/>
      <c r="AA125" s="265"/>
    </row>
    <row r="126" spans="3:27">
      <c r="C126" s="435"/>
      <c r="D126" s="47" t="s">
        <v>15</v>
      </c>
      <c r="E126" s="125"/>
      <c r="F126" s="39">
        <f>+SUMIF('Dec A-1'!$A$80:$A$93,'Tableau détaillé'!$D126,'Dec A-1'!$O$80:$O$93)</f>
        <v>0.91385726747100005</v>
      </c>
      <c r="G126" s="121">
        <f>+SUMIF('Mois courant'!$A$85:$A$98,'Tableau détaillé'!$D126,'Mois courant'!$N$85:$N$98)</f>
        <v>0.94592788703899999</v>
      </c>
      <c r="H126" s="40">
        <f t="shared" si="36"/>
        <v>3.2070619567999947</v>
      </c>
      <c r="I126" s="91"/>
      <c r="J126" s="63">
        <f t="shared" si="35"/>
        <v>2.0987246901999934</v>
      </c>
      <c r="K126" s="91"/>
      <c r="L126" s="63"/>
      <c r="M126" s="63"/>
      <c r="N126" s="267"/>
      <c r="O126" s="267"/>
      <c r="P126" s="267"/>
      <c r="Q126" s="267"/>
      <c r="R126" s="267"/>
      <c r="S126" s="267"/>
      <c r="T126" s="267"/>
      <c r="U126" s="267"/>
      <c r="V126" s="267"/>
      <c r="W126" s="265"/>
      <c r="X126" s="265"/>
      <c r="Y126" s="265"/>
      <c r="Z126" s="265"/>
      <c r="AA126" s="265"/>
    </row>
    <row r="127" spans="3:27">
      <c r="C127" s="435"/>
      <c r="D127" s="47" t="s">
        <v>16</v>
      </c>
      <c r="E127" s="125"/>
      <c r="F127" s="39">
        <f>+SUMIF('Dec A-1'!$A$80:$A$93,'Tableau détaillé'!$D127,'Dec A-1'!$O$80:$O$93)</f>
        <v>0.84626326284700004</v>
      </c>
      <c r="G127" s="121">
        <f>+SUMIF('Mois courant'!$A$85:$A$98,'Tableau détaillé'!$D127,'Mois courant'!$N$85:$N$98)</f>
        <v>0.86724737499500004</v>
      </c>
      <c r="H127" s="40">
        <f t="shared" si="36"/>
        <v>2.0984112148</v>
      </c>
      <c r="I127" s="91"/>
      <c r="J127" s="63">
        <f t="shared" si="35"/>
        <v>2.0987246901999934</v>
      </c>
      <c r="K127" s="91"/>
      <c r="L127" s="63"/>
      <c r="M127" s="63"/>
      <c r="N127" s="267"/>
      <c r="O127" s="267"/>
      <c r="P127" s="267"/>
      <c r="Q127" s="267"/>
      <c r="R127" s="267"/>
      <c r="S127" s="267"/>
      <c r="T127" s="267"/>
      <c r="U127" s="267"/>
      <c r="V127" s="267"/>
      <c r="W127" s="265"/>
      <c r="X127" s="265"/>
      <c r="Y127" s="265"/>
      <c r="Z127" s="265"/>
      <c r="AA127" s="265"/>
    </row>
    <row r="128" spans="3:27">
      <c r="C128" s="435"/>
      <c r="D128" s="47" t="s">
        <v>20</v>
      </c>
      <c r="E128" s="125"/>
      <c r="F128" s="39">
        <f>+SUMIF('Dec A-1'!$A$80:$A$93,'Tableau détaillé'!$D128,'Dec A-1'!$O$80:$O$93)</f>
        <v>0.51371325802199996</v>
      </c>
      <c r="G128" s="121">
        <f>+SUMIF('Mois courant'!$A$85:$A$98,'Tableau détaillé'!$D128,'Mois courant'!$N$85:$N$98)</f>
        <v>0.53502114431299996</v>
      </c>
      <c r="H128" s="40">
        <f t="shared" si="36"/>
        <v>2.1307886291</v>
      </c>
      <c r="I128" s="91"/>
      <c r="J128" s="63">
        <f t="shared" si="35"/>
        <v>2.0987246901999934</v>
      </c>
      <c r="K128" s="91"/>
      <c r="L128" s="63"/>
      <c r="M128" s="63"/>
      <c r="N128" s="267"/>
      <c r="O128" s="267"/>
      <c r="P128" s="267"/>
      <c r="Q128" s="267"/>
      <c r="R128" s="267"/>
      <c r="S128" s="267"/>
      <c r="T128" s="267"/>
      <c r="U128" s="267"/>
      <c r="V128" s="267"/>
      <c r="W128" s="265"/>
      <c r="X128" s="265"/>
      <c r="Y128" s="265"/>
      <c r="Z128" s="265"/>
      <c r="AA128" s="265"/>
    </row>
    <row r="129" spans="3:27">
      <c r="C129" s="435"/>
      <c r="D129" s="47" t="s">
        <v>23</v>
      </c>
      <c r="E129" s="125"/>
      <c r="F129" s="39">
        <f>+SUMIF('Dec A-1'!$A$80:$A$93,'Tableau détaillé'!$D129,'Dec A-1'!$O$80:$O$93)</f>
        <v>0.36244150154299998</v>
      </c>
      <c r="G129" s="121">
        <f>+SUMIF('Mois courant'!$A$85:$A$98,'Tableau détaillé'!$D129,'Mois courant'!$N$85:$N$98)</f>
        <v>0</v>
      </c>
      <c r="H129" s="40">
        <f t="shared" si="36"/>
        <v>-36.244150154299994</v>
      </c>
      <c r="I129" s="91"/>
      <c r="J129" s="63">
        <f t="shared" si="35"/>
        <v>2.0987246901999934</v>
      </c>
      <c r="K129" s="91"/>
      <c r="L129" s="63"/>
      <c r="M129" s="63"/>
      <c r="N129" s="267"/>
      <c r="O129" s="267"/>
      <c r="P129" s="267"/>
      <c r="Q129" s="267"/>
      <c r="R129" s="267"/>
      <c r="S129" s="267"/>
      <c r="T129" s="267"/>
      <c r="U129" s="267"/>
      <c r="V129" s="267"/>
      <c r="W129" s="265"/>
      <c r="X129" s="265"/>
      <c r="Y129" s="265"/>
      <c r="Z129" s="265"/>
      <c r="AA129" s="265"/>
    </row>
    <row r="130" spans="3:27" ht="14.4" thickBot="1">
      <c r="C130" s="436"/>
      <c r="D130" s="49" t="s">
        <v>63</v>
      </c>
      <c r="E130" s="128"/>
      <c r="F130" s="43">
        <f>+SUMIF('Dec A-1'!$A$80:$A$93,'Tableau détaillé'!$D130,'Dec A-1'!$O$80:$O$93)</f>
        <v>0.83202782201699998</v>
      </c>
      <c r="G130" s="43">
        <f>+SUMIF('Mois courant'!$A$85:$A$98,'Tableau détaillé'!$D130,'Mois courant'!$N$85:$N$98)</f>
        <v>0.88351250231099998</v>
      </c>
      <c r="H130" s="44">
        <f t="shared" si="36"/>
        <v>5.1484680294</v>
      </c>
      <c r="I130" s="93"/>
      <c r="J130" s="87">
        <f t="shared" si="35"/>
        <v>2.0987246901999934</v>
      </c>
      <c r="K130" s="93"/>
      <c r="L130" s="102"/>
      <c r="M130" s="102"/>
      <c r="N130" s="268"/>
      <c r="O130" s="268"/>
      <c r="P130" s="268"/>
      <c r="Q130" s="268"/>
      <c r="R130" s="268"/>
      <c r="S130" s="268"/>
      <c r="T130" s="268"/>
      <c r="U130" s="268"/>
      <c r="V130" s="268"/>
      <c r="W130" s="265"/>
      <c r="X130" s="265"/>
      <c r="Y130" s="265"/>
      <c r="Z130" s="265"/>
      <c r="AA130" s="265"/>
    </row>
    <row r="131" spans="3:27" ht="15" thickTop="1" thickBot="1">
      <c r="C131" s="252"/>
      <c r="E131" s="132"/>
      <c r="F131" s="132"/>
      <c r="G131" s="132"/>
      <c r="H131" s="98"/>
      <c r="L131" s="98"/>
      <c r="M131" s="98"/>
      <c r="N131" s="170"/>
      <c r="O131" s="170"/>
      <c r="P131" s="170"/>
      <c r="Q131" s="170"/>
      <c r="R131" s="170"/>
      <c r="S131" s="170"/>
      <c r="T131" s="170"/>
      <c r="U131" s="170"/>
      <c r="V131" s="170"/>
      <c r="W131" s="265"/>
      <c r="X131" s="265"/>
      <c r="Y131" s="265"/>
      <c r="Z131" s="265"/>
      <c r="AA131" s="265"/>
    </row>
    <row r="132" spans="3:27" ht="14.4" thickTop="1">
      <c r="C132" s="464" t="s">
        <v>69</v>
      </c>
      <c r="D132" s="45" t="s">
        <v>64</v>
      </c>
      <c r="E132" s="45"/>
      <c r="F132" s="37">
        <f>SUM(Source!GA3:GA13)/F85</f>
        <v>0.70433397527042352</v>
      </c>
      <c r="G132" s="37">
        <f>SUM(Source!GB3:GB13)/G85</f>
        <v>0.70022065205266271</v>
      </c>
      <c r="H132" s="38">
        <f>+(G132-F132)*100</f>
        <v>-0.41133232177608114</v>
      </c>
      <c r="I132" s="50"/>
      <c r="J132" s="69"/>
      <c r="K132" s="50"/>
      <c r="L132" s="97"/>
      <c r="M132" s="97"/>
      <c r="N132" s="169"/>
      <c r="O132" s="169"/>
      <c r="P132" s="169"/>
      <c r="Q132" s="169"/>
      <c r="R132" s="169"/>
      <c r="S132" s="169"/>
      <c r="T132" s="169"/>
      <c r="U132" s="169"/>
      <c r="V132" s="169"/>
      <c r="W132" s="265"/>
      <c r="X132" s="265"/>
      <c r="Y132" s="265"/>
      <c r="Z132" s="265"/>
      <c r="AA132" s="265"/>
    </row>
    <row r="133" spans="3:27">
      <c r="C133" s="435"/>
      <c r="D133" s="47" t="s">
        <v>13</v>
      </c>
      <c r="E133" s="125"/>
      <c r="F133" s="39">
        <f>+Source!GA5/'Tableau détaillé'!F86</f>
        <v>0.7342776069431417</v>
      </c>
      <c r="G133" s="39">
        <f>+Source!GB5/'Tableau détaillé'!G86</f>
        <v>0.7248966937281196</v>
      </c>
      <c r="H133" s="40">
        <f>+(G133-F133)*100</f>
        <v>-0.9380913215022102</v>
      </c>
      <c r="I133" s="91"/>
      <c r="J133" s="63">
        <f>+$H$132</f>
        <v>-0.41133232177608114</v>
      </c>
      <c r="K133" s="91"/>
      <c r="L133" s="63"/>
      <c r="M133" s="63"/>
      <c r="N133" s="267"/>
      <c r="O133" s="267"/>
      <c r="P133" s="267"/>
      <c r="Q133" s="267"/>
      <c r="R133" s="267"/>
      <c r="S133" s="267"/>
      <c r="T133" s="267"/>
      <c r="U133" s="267"/>
      <c r="V133" s="267"/>
      <c r="W133" s="265"/>
      <c r="X133" s="265"/>
      <c r="Y133" s="265"/>
      <c r="Z133" s="265"/>
      <c r="AA133" s="265"/>
    </row>
    <row r="134" spans="3:27">
      <c r="C134" s="435"/>
      <c r="D134" s="47" t="s">
        <v>14</v>
      </c>
      <c r="E134" s="125"/>
      <c r="F134" s="39">
        <f>+Source!GA8/'Tableau détaillé'!F87</f>
        <v>0.50540474310452799</v>
      </c>
      <c r="G134" s="39">
        <f>+Source!GB8/'Tableau détaillé'!G87</f>
        <v>0.34756430710055292</v>
      </c>
      <c r="H134" s="40">
        <f t="shared" ref="H134:H139" si="37">+(G134-F134)*100</f>
        <v>-15.784043600397506</v>
      </c>
      <c r="I134" s="91"/>
      <c r="J134" s="63">
        <f t="shared" ref="J134:J145" si="38">+$H$132</f>
        <v>-0.41133232177608114</v>
      </c>
      <c r="K134" s="91"/>
      <c r="L134" s="63"/>
      <c r="M134" s="63"/>
      <c r="N134" s="267"/>
      <c r="O134" s="267"/>
      <c r="P134" s="267"/>
      <c r="Q134" s="267"/>
      <c r="R134" s="267"/>
      <c r="S134" s="267"/>
      <c r="T134" s="267"/>
      <c r="U134" s="267"/>
      <c r="V134" s="267"/>
      <c r="W134" s="265"/>
      <c r="X134" s="265"/>
      <c r="Y134" s="265"/>
      <c r="Z134" s="265"/>
      <c r="AA134" s="265"/>
    </row>
    <row r="135" spans="3:27">
      <c r="C135" s="435"/>
      <c r="D135" s="47" t="s">
        <v>17</v>
      </c>
      <c r="E135" s="125"/>
      <c r="F135" s="39">
        <f>+Source!GA12/'Tableau détaillé'!F88</f>
        <v>0.70905615569521274</v>
      </c>
      <c r="G135" s="39">
        <f>+Source!GB12/'Tableau détaillé'!G88</f>
        <v>0.68501379749522395</v>
      </c>
      <c r="H135" s="40">
        <f t="shared" si="37"/>
        <v>-2.4042358199988789</v>
      </c>
      <c r="I135" s="91"/>
      <c r="J135" s="63">
        <f t="shared" si="38"/>
        <v>-0.41133232177608114</v>
      </c>
      <c r="K135" s="91"/>
      <c r="L135" s="63"/>
      <c r="M135" s="63"/>
      <c r="N135" s="267"/>
      <c r="O135" s="267"/>
      <c r="P135" s="267"/>
      <c r="Q135" s="267"/>
      <c r="R135" s="267"/>
      <c r="S135" s="267"/>
      <c r="T135" s="267"/>
      <c r="U135" s="267"/>
      <c r="V135" s="267"/>
      <c r="W135" s="265"/>
      <c r="X135" s="265"/>
      <c r="Y135" s="265"/>
      <c r="Z135" s="265"/>
      <c r="AA135" s="265"/>
    </row>
    <row r="136" spans="3:27">
      <c r="C136" s="435"/>
      <c r="D136" s="47" t="s">
        <v>18</v>
      </c>
      <c r="E136" s="125"/>
      <c r="F136" s="39">
        <f>+Source!GA4/'Tableau détaillé'!F89</f>
        <v>0.74801584484545591</v>
      </c>
      <c r="G136" s="39">
        <f>+Source!GB4/'Tableau détaillé'!G89</f>
        <v>0.74865818797036343</v>
      </c>
      <c r="H136" s="40">
        <f t="shared" si="37"/>
        <v>6.4234312490751844E-2</v>
      </c>
      <c r="I136" s="91"/>
      <c r="J136" s="63">
        <f t="shared" si="38"/>
        <v>-0.41133232177608114</v>
      </c>
      <c r="K136" s="91"/>
      <c r="L136" s="63"/>
      <c r="M136" s="63"/>
      <c r="N136" s="267"/>
      <c r="O136" s="267"/>
      <c r="P136" s="267"/>
      <c r="Q136" s="267"/>
      <c r="R136" s="267"/>
      <c r="S136" s="267"/>
      <c r="T136" s="267"/>
      <c r="U136" s="267"/>
      <c r="V136" s="267"/>
      <c r="W136" s="265"/>
      <c r="X136" s="265"/>
      <c r="Y136" s="265"/>
      <c r="Z136" s="265"/>
      <c r="AA136" s="265"/>
    </row>
    <row r="137" spans="3:27">
      <c r="C137" s="435"/>
      <c r="D137" s="47" t="s">
        <v>19</v>
      </c>
      <c r="E137" s="125"/>
      <c r="F137" s="39">
        <f>+Source!GA9/'Tableau détaillé'!F90</f>
        <v>0.59146523039475896</v>
      </c>
      <c r="G137" s="39">
        <f>+Source!GB9/'Tableau détaillé'!G90</f>
        <v>0.60432345876701365</v>
      </c>
      <c r="H137" s="40">
        <f t="shared" si="37"/>
        <v>1.2858228372254699</v>
      </c>
      <c r="I137" s="91"/>
      <c r="J137" s="63">
        <f t="shared" si="38"/>
        <v>-0.41133232177608114</v>
      </c>
      <c r="K137" s="91"/>
      <c r="L137" s="63"/>
      <c r="M137" s="63"/>
      <c r="N137" s="267"/>
      <c r="O137" s="267"/>
      <c r="P137" s="267"/>
      <c r="Q137" s="267"/>
      <c r="R137" s="267"/>
      <c r="S137" s="267"/>
      <c r="T137" s="267"/>
      <c r="U137" s="267"/>
      <c r="V137" s="267"/>
      <c r="W137" s="265"/>
      <c r="X137" s="265"/>
      <c r="Y137" s="265"/>
      <c r="Z137" s="265"/>
      <c r="AA137" s="265"/>
    </row>
    <row r="138" spans="3:27">
      <c r="C138" s="435"/>
      <c r="D138" s="47" t="s">
        <v>21</v>
      </c>
      <c r="E138" s="125"/>
      <c r="F138" s="39">
        <f>+Source!GA3/'Tableau détaillé'!F91</f>
        <v>0.7147708894878706</v>
      </c>
      <c r="G138" s="39">
        <f>+Source!GB3/'Tableau détaillé'!G91</f>
        <v>0.71936102899227217</v>
      </c>
      <c r="H138" s="40">
        <f t="shared" si="37"/>
        <v>0.45901395044015691</v>
      </c>
      <c r="I138" s="91"/>
      <c r="J138" s="63">
        <f t="shared" si="38"/>
        <v>-0.41133232177608114</v>
      </c>
      <c r="K138" s="91"/>
      <c r="L138" s="63"/>
      <c r="M138" s="63"/>
      <c r="N138" s="267"/>
      <c r="O138" s="267"/>
      <c r="P138" s="267"/>
      <c r="Q138" s="267"/>
      <c r="R138" s="267"/>
      <c r="S138" s="267"/>
      <c r="T138" s="267"/>
      <c r="U138" s="267"/>
      <c r="V138" s="267"/>
      <c r="W138" s="265"/>
      <c r="X138" s="265"/>
      <c r="Y138" s="265"/>
      <c r="Z138" s="265"/>
      <c r="AA138" s="265"/>
    </row>
    <row r="139" spans="3:27">
      <c r="C139" s="435"/>
      <c r="D139" s="47" t="s">
        <v>22</v>
      </c>
      <c r="E139" s="125"/>
      <c r="F139" s="39">
        <f>+Source!GA11/'Tableau détaillé'!F92</f>
        <v>0.48411591004964794</v>
      </c>
      <c r="G139" s="39">
        <f>+Source!GB11/'Tableau détaillé'!G92</f>
        <v>0.5030204388243763</v>
      </c>
      <c r="H139" s="40">
        <f t="shared" si="37"/>
        <v>1.8904528774728369</v>
      </c>
      <c r="I139" s="91"/>
      <c r="J139" s="63">
        <f t="shared" si="38"/>
        <v>-0.41133232177608114</v>
      </c>
      <c r="K139" s="91"/>
      <c r="L139" s="63"/>
      <c r="M139" s="63"/>
      <c r="N139" s="267"/>
      <c r="O139" s="267"/>
      <c r="P139" s="267"/>
      <c r="Q139" s="267"/>
      <c r="R139" s="267"/>
      <c r="S139" s="267"/>
      <c r="T139" s="267"/>
      <c r="U139" s="267"/>
      <c r="V139" s="267"/>
      <c r="W139" s="265"/>
      <c r="X139" s="265"/>
      <c r="Y139" s="265"/>
      <c r="Z139" s="265"/>
      <c r="AA139" s="265"/>
    </row>
    <row r="140" spans="3:27">
      <c r="C140" s="435"/>
      <c r="D140" s="48" t="s">
        <v>62</v>
      </c>
      <c r="E140" s="127"/>
      <c r="F140" s="41">
        <f>SUM(Source!GA3:GA5,Source!GA8,Source!GA9,Source!GA11:GA12)/'Tableau détaillé'!F93</f>
        <v>0.66656311208471331</v>
      </c>
      <c r="G140" s="41">
        <f>SUM(Source!GB3:GB5,Source!GB8,Source!GB9,Source!GB11:GB12)/'Tableau détaillé'!G93</f>
        <v>0.63025378408110577</v>
      </c>
      <c r="H140" s="42">
        <f t="shared" ref="H140:H145" si="39">+(G140-F140)*100</f>
        <v>-3.6309328003607533</v>
      </c>
      <c r="I140" s="92"/>
      <c r="J140" s="63">
        <f t="shared" si="38"/>
        <v>-0.41133232177608114</v>
      </c>
      <c r="K140" s="92"/>
      <c r="L140" s="102"/>
      <c r="M140" s="102"/>
      <c r="N140" s="268"/>
      <c r="O140" s="268"/>
      <c r="P140" s="268"/>
      <c r="Q140" s="268"/>
      <c r="R140" s="268"/>
      <c r="S140" s="268"/>
      <c r="T140" s="268"/>
      <c r="U140" s="268"/>
      <c r="V140" s="268"/>
      <c r="W140" s="265"/>
      <c r="X140" s="265"/>
      <c r="Y140" s="265"/>
      <c r="Z140" s="265"/>
      <c r="AA140" s="265"/>
    </row>
    <row r="141" spans="3:27">
      <c r="C141" s="435"/>
      <c r="D141" s="47" t="s">
        <v>15</v>
      </c>
      <c r="E141" s="125"/>
      <c r="F141" s="39">
        <f>+Source!GA10/'Tableau détaillé'!F94</f>
        <v>0.93908657820230734</v>
      </c>
      <c r="G141" s="39">
        <f>+Source!GB10/'Tableau détaillé'!G94</f>
        <v>0.95540591290897126</v>
      </c>
      <c r="H141" s="40">
        <f t="shared" si="39"/>
        <v>1.6319334706663913</v>
      </c>
      <c r="I141" s="91"/>
      <c r="J141" s="63">
        <f t="shared" si="38"/>
        <v>-0.41133232177608114</v>
      </c>
      <c r="K141" s="91"/>
      <c r="L141" s="63"/>
      <c r="M141" s="63"/>
      <c r="N141" s="267"/>
      <c r="O141" s="267"/>
      <c r="P141" s="267"/>
      <c r="Q141" s="267"/>
      <c r="R141" s="267"/>
      <c r="S141" s="267"/>
      <c r="T141" s="267"/>
      <c r="U141" s="267"/>
      <c r="V141" s="267"/>
      <c r="W141" s="265"/>
      <c r="X141" s="265"/>
      <c r="Y141" s="265"/>
      <c r="Z141" s="265"/>
      <c r="AA141" s="265"/>
    </row>
    <row r="142" spans="3:27">
      <c r="C142" s="435"/>
      <c r="D142" s="47" t="s">
        <v>16</v>
      </c>
      <c r="E142" s="125"/>
      <c r="F142" s="39">
        <f>+Source!GA6/'Tableau détaillé'!F95</f>
        <v>0.66340518608805998</v>
      </c>
      <c r="G142" s="39">
        <f>+Source!GB6/'Tableau détaillé'!G95</f>
        <v>0.77733370598099494</v>
      </c>
      <c r="H142" s="40">
        <f t="shared" si="39"/>
        <v>11.392851989293495</v>
      </c>
      <c r="I142" s="91"/>
      <c r="J142" s="63">
        <f t="shared" si="38"/>
        <v>-0.41133232177608114</v>
      </c>
      <c r="K142" s="91"/>
      <c r="L142" s="63"/>
      <c r="M142" s="63"/>
      <c r="N142" s="267"/>
      <c r="O142" s="267"/>
      <c r="P142" s="267"/>
      <c r="Q142" s="267"/>
      <c r="R142" s="267"/>
      <c r="S142" s="267"/>
      <c r="T142" s="267"/>
      <c r="U142" s="267"/>
      <c r="V142" s="267"/>
      <c r="W142" s="265"/>
      <c r="X142" s="265"/>
      <c r="Y142" s="265"/>
      <c r="Z142" s="265"/>
      <c r="AA142" s="265"/>
    </row>
    <row r="143" spans="3:27">
      <c r="C143" s="435"/>
      <c r="D143" s="47" t="s">
        <v>20</v>
      </c>
      <c r="E143" s="125"/>
      <c r="F143" s="39">
        <f>+Source!GA13/'Tableau détaillé'!F96</f>
        <v>0.46662501511548227</v>
      </c>
      <c r="G143" s="39">
        <f>+Source!GB13/'Tableau détaillé'!G96</f>
        <v>0.45944535703932748</v>
      </c>
      <c r="H143" s="40">
        <f t="shared" si="39"/>
        <v>-0.71796580761547824</v>
      </c>
      <c r="I143" s="91"/>
      <c r="J143" s="63">
        <f t="shared" si="38"/>
        <v>-0.41133232177608114</v>
      </c>
      <c r="K143" s="91"/>
      <c r="L143" s="63"/>
      <c r="M143" s="63"/>
      <c r="N143" s="267"/>
      <c r="O143" s="267"/>
      <c r="P143" s="267"/>
      <c r="Q143" s="267"/>
      <c r="R143" s="267"/>
      <c r="S143" s="267"/>
      <c r="T143" s="267"/>
      <c r="U143" s="267"/>
      <c r="V143" s="267"/>
      <c r="W143" s="265"/>
      <c r="X143" s="265"/>
      <c r="Y143" s="265"/>
      <c r="Z143" s="265"/>
      <c r="AA143" s="265"/>
    </row>
    <row r="144" spans="3:27">
      <c r="C144" s="435"/>
      <c r="D144" s="47" t="s">
        <v>23</v>
      </c>
      <c r="E144" s="125"/>
      <c r="F144" s="39">
        <f>+Source!GA7/'Tableau détaillé'!F97</f>
        <v>0.5385355296380907</v>
      </c>
      <c r="G144" s="39">
        <f>+Source!GB7/'Tableau détaillé'!G97</f>
        <v>0.55427388346643003</v>
      </c>
      <c r="H144" s="40">
        <f t="shared" si="39"/>
        <v>1.5738353828339324</v>
      </c>
      <c r="I144" s="91"/>
      <c r="J144" s="63">
        <f t="shared" si="38"/>
        <v>-0.41133232177608114</v>
      </c>
      <c r="K144" s="91"/>
      <c r="L144" s="63"/>
      <c r="M144" s="63"/>
      <c r="N144" s="267"/>
      <c r="O144" s="267"/>
      <c r="P144" s="267"/>
      <c r="Q144" s="267"/>
      <c r="R144" s="267"/>
      <c r="S144" s="267"/>
      <c r="T144" s="267"/>
      <c r="U144" s="267"/>
      <c r="V144" s="267"/>
      <c r="W144" s="265"/>
      <c r="X144" s="265"/>
      <c r="Y144" s="265"/>
      <c r="Z144" s="265"/>
      <c r="AA144" s="265"/>
    </row>
    <row r="145" spans="3:27" ht="14.4" thickBot="1">
      <c r="C145" s="436"/>
      <c r="D145" s="49" t="s">
        <v>63</v>
      </c>
      <c r="E145" s="128"/>
      <c r="F145" s="43">
        <f>SUM(Source!GA6:GA7,Source!GA10,Source!GA13)/'Tableau détaillé'!F98</f>
        <v>0.77468132199111095</v>
      </c>
      <c r="G145" s="43">
        <f>SUM(Source!GB6:GB7,Source!GB10,Source!GB13)/'Tableau détaillé'!G98</f>
        <v>0.82557962896150994</v>
      </c>
      <c r="H145" s="44">
        <f t="shared" si="39"/>
        <v>5.0898306970398988</v>
      </c>
      <c r="I145" s="93"/>
      <c r="J145" s="87">
        <f t="shared" si="38"/>
        <v>-0.41133232177608114</v>
      </c>
      <c r="K145" s="93"/>
      <c r="L145" s="102"/>
      <c r="M145" s="102"/>
      <c r="N145" s="268"/>
      <c r="O145" s="268"/>
      <c r="P145" s="268"/>
      <c r="Q145" s="268"/>
      <c r="R145" s="268"/>
      <c r="S145" s="268"/>
      <c r="T145" s="268"/>
      <c r="U145" s="268"/>
      <c r="V145" s="268"/>
      <c r="W145" s="265"/>
      <c r="X145" s="265"/>
      <c r="Y145" s="265"/>
      <c r="Z145" s="265"/>
      <c r="AA145" s="265"/>
    </row>
    <row r="146" spans="3:27" ht="14.4" thickTop="1">
      <c r="C146" s="252"/>
      <c r="E146" s="132"/>
      <c r="F146" s="132"/>
      <c r="G146" s="132"/>
      <c r="H146" s="98"/>
      <c r="L146" s="98"/>
      <c r="M146" s="98"/>
      <c r="N146" s="170"/>
      <c r="O146" s="170"/>
      <c r="P146" s="170"/>
      <c r="Q146" s="170"/>
      <c r="R146" s="170"/>
      <c r="S146" s="170"/>
      <c r="T146" s="170"/>
      <c r="U146" s="170"/>
      <c r="V146" s="170"/>
      <c r="W146" s="265"/>
      <c r="X146" s="265"/>
      <c r="Y146" s="265"/>
      <c r="Z146" s="265"/>
      <c r="AA146" s="265"/>
    </row>
    <row r="147" spans="3:27" hidden="1">
      <c r="C147" s="252"/>
      <c r="E147" s="132"/>
      <c r="F147" s="132"/>
      <c r="G147" s="132"/>
      <c r="H147" s="98"/>
      <c r="L147" s="98"/>
      <c r="M147" s="98"/>
      <c r="N147" s="170"/>
      <c r="O147" s="170"/>
      <c r="P147" s="170"/>
      <c r="Q147" s="170"/>
      <c r="R147" s="170"/>
      <c r="S147" s="170"/>
      <c r="T147" s="170"/>
      <c r="U147" s="170"/>
      <c r="V147" s="170"/>
      <c r="W147" s="265"/>
      <c r="X147" s="265"/>
      <c r="Y147" s="265"/>
      <c r="Z147" s="265"/>
      <c r="AA147" s="265"/>
    </row>
    <row r="148" spans="3:27" hidden="1">
      <c r="C148" s="252" t="s">
        <v>70</v>
      </c>
      <c r="E148" s="132"/>
      <c r="F148" s="132"/>
      <c r="G148" s="132"/>
      <c r="H148" s="98"/>
      <c r="L148" s="98"/>
      <c r="M148" s="98"/>
      <c r="N148" s="170"/>
      <c r="O148" s="170"/>
      <c r="P148" s="170"/>
      <c r="Q148" s="170"/>
      <c r="R148" s="170"/>
      <c r="S148" s="170"/>
      <c r="T148" s="170"/>
      <c r="U148" s="170"/>
      <c r="V148" s="170"/>
      <c r="W148" s="265"/>
      <c r="X148" s="265"/>
      <c r="Y148" s="265"/>
      <c r="Z148" s="265"/>
      <c r="AA148" s="265"/>
    </row>
    <row r="149" spans="3:27" ht="14.4" thickBot="1">
      <c r="C149" s="252"/>
      <c r="E149" s="132"/>
      <c r="F149" s="132"/>
      <c r="G149" s="132"/>
      <c r="H149" s="98"/>
      <c r="L149" s="98"/>
      <c r="M149" s="98"/>
      <c r="N149" s="170"/>
      <c r="O149" s="170"/>
      <c r="P149" s="170"/>
      <c r="Q149" s="170"/>
      <c r="R149" s="170"/>
      <c r="S149" s="170"/>
      <c r="T149" s="170"/>
      <c r="U149" s="170"/>
      <c r="V149" s="170"/>
      <c r="W149" s="265"/>
      <c r="X149" s="265"/>
      <c r="Y149" s="265"/>
      <c r="Z149" s="265"/>
      <c r="AA149" s="265"/>
    </row>
    <row r="150" spans="3:27" ht="14.4" thickTop="1">
      <c r="C150" s="464" t="s">
        <v>71</v>
      </c>
      <c r="D150" s="45" t="s">
        <v>64</v>
      </c>
      <c r="E150" s="45"/>
      <c r="F150" s="104">
        <f>SUM(Source!GG3:GG13)/('Tableau détaillé'!F85)</f>
        <v>0.50066939593765969</v>
      </c>
      <c r="G150" s="104">
        <f>SUM(Source!GH3:GH13)/('Tableau détaillé'!G85)</f>
        <v>0.58820980718112237</v>
      </c>
      <c r="H150" s="38">
        <f>+(G150-F150)*100</f>
        <v>8.7540411243462675</v>
      </c>
      <c r="I150" s="50"/>
      <c r="J150" s="69"/>
      <c r="K150" s="50"/>
      <c r="L150" s="97"/>
      <c r="M150" s="97"/>
      <c r="N150" s="169"/>
      <c r="O150" s="169"/>
      <c r="P150" s="169"/>
      <c r="Q150" s="169"/>
      <c r="R150" s="169"/>
      <c r="S150" s="169"/>
      <c r="T150" s="169"/>
      <c r="U150" s="169"/>
      <c r="V150" s="169"/>
      <c r="W150" s="265"/>
      <c r="X150" s="265"/>
      <c r="Y150" s="265"/>
      <c r="Z150" s="265"/>
      <c r="AA150" s="265"/>
    </row>
    <row r="151" spans="3:27">
      <c r="C151" s="435"/>
      <c r="D151" s="47" t="s">
        <v>13</v>
      </c>
      <c r="E151" s="125"/>
      <c r="F151" s="85">
        <f>+Source!GG5/'Tableau détaillé'!F86</f>
        <v>0.40440476331817587</v>
      </c>
      <c r="G151" s="85">
        <f>+Source!GH5/'Tableau détaillé'!G86</f>
        <v>0.38924436821794917</v>
      </c>
      <c r="H151" s="40">
        <f t="shared" ref="H151:H163" si="40">+(G151-F151)*100</f>
        <v>-1.5160395100226709</v>
      </c>
      <c r="I151" s="91"/>
      <c r="J151" s="63">
        <f>+$H$150</f>
        <v>8.7540411243462675</v>
      </c>
      <c r="K151" s="91"/>
      <c r="L151" s="63"/>
      <c r="M151" s="63"/>
      <c r="N151" s="267"/>
      <c r="O151" s="267"/>
      <c r="P151" s="267"/>
      <c r="Q151" s="267"/>
      <c r="R151" s="267"/>
      <c r="S151" s="267"/>
      <c r="T151" s="267"/>
      <c r="U151" s="267"/>
      <c r="V151" s="267"/>
      <c r="W151" s="265"/>
      <c r="X151" s="265"/>
      <c r="Y151" s="265"/>
      <c r="Z151" s="265"/>
      <c r="AA151" s="265"/>
    </row>
    <row r="152" spans="3:27">
      <c r="C152" s="435"/>
      <c r="D152" s="47" t="s">
        <v>14</v>
      </c>
      <c r="E152" s="125"/>
      <c r="F152" s="85">
        <f>+Source!GG8/'Tableau détaillé'!F87</f>
        <v>0.35574917635526998</v>
      </c>
      <c r="G152" s="85">
        <f>+Source!GH8/'Tableau détaillé'!G87</f>
        <v>0.36706951941779398</v>
      </c>
      <c r="H152" s="40">
        <f t="shared" si="40"/>
        <v>1.1320343062523996</v>
      </c>
      <c r="I152" s="91"/>
      <c r="J152" s="63">
        <f t="shared" ref="J152:J163" si="41">+$H$150</f>
        <v>8.7540411243462675</v>
      </c>
      <c r="K152" s="91"/>
      <c r="L152" s="63"/>
      <c r="M152" s="63"/>
      <c r="N152" s="267"/>
      <c r="O152" s="267"/>
      <c r="P152" s="267"/>
      <c r="Q152" s="267"/>
      <c r="R152" s="267"/>
      <c r="S152" s="267"/>
      <c r="T152" s="267"/>
      <c r="U152" s="267"/>
      <c r="V152" s="267"/>
      <c r="W152" s="265"/>
      <c r="X152" s="265"/>
      <c r="Y152" s="265"/>
      <c r="Z152" s="265"/>
      <c r="AA152" s="265"/>
    </row>
    <row r="153" spans="3:27">
      <c r="C153" s="435"/>
      <c r="D153" s="47" t="s">
        <v>17</v>
      </c>
      <c r="E153" s="125"/>
      <c r="F153" s="85">
        <f>+Source!GG12/'Tableau détaillé'!F88</f>
        <v>0.58236554780039962</v>
      </c>
      <c r="G153" s="85">
        <f>+Source!GH12/'Tableau détaillé'!G88</f>
        <v>0.55405080308497845</v>
      </c>
      <c r="H153" s="40">
        <f t="shared" si="40"/>
        <v>-2.831474471542117</v>
      </c>
      <c r="I153" s="91"/>
      <c r="J153" s="63">
        <f t="shared" si="41"/>
        <v>8.7540411243462675</v>
      </c>
      <c r="K153" s="91"/>
      <c r="L153" s="63"/>
      <c r="M153" s="63"/>
      <c r="N153" s="267"/>
      <c r="O153" s="267"/>
      <c r="P153" s="267"/>
      <c r="Q153" s="267"/>
      <c r="R153" s="267"/>
      <c r="S153" s="267"/>
      <c r="T153" s="267"/>
      <c r="U153" s="267"/>
      <c r="V153" s="267"/>
      <c r="W153" s="265"/>
      <c r="X153" s="265"/>
      <c r="Y153" s="265"/>
      <c r="Z153" s="265"/>
      <c r="AA153" s="265"/>
    </row>
    <row r="154" spans="3:27">
      <c r="C154" s="435"/>
      <c r="D154" s="47" t="s">
        <v>18</v>
      </c>
      <c r="E154" s="125"/>
      <c r="F154" s="85">
        <f>+Source!GG4/'Tableau détaillé'!F89</f>
        <v>4.259367058055173E-5</v>
      </c>
      <c r="G154" s="85">
        <f>+Source!GH4/'Tableau détaillé'!G89</f>
        <v>0.74079691966629713</v>
      </c>
      <c r="H154" s="40">
        <f t="shared" si="40"/>
        <v>74.075432599571656</v>
      </c>
      <c r="I154" s="91"/>
      <c r="J154" s="63">
        <f t="shared" si="41"/>
        <v>8.7540411243462675</v>
      </c>
      <c r="K154" s="91"/>
      <c r="L154" s="63"/>
      <c r="M154" s="63"/>
      <c r="N154" s="267"/>
      <c r="O154" s="267"/>
      <c r="P154" s="267"/>
      <c r="Q154" s="267"/>
      <c r="R154" s="267"/>
      <c r="S154" s="267"/>
      <c r="T154" s="267"/>
      <c r="U154" s="267"/>
      <c r="V154" s="267"/>
      <c r="W154" s="265"/>
      <c r="X154" s="265"/>
      <c r="Y154" s="265"/>
      <c r="Z154" s="265"/>
      <c r="AA154" s="265"/>
    </row>
    <row r="155" spans="3:27">
      <c r="C155" s="435"/>
      <c r="D155" s="47" t="s">
        <v>19</v>
      </c>
      <c r="E155" s="125"/>
      <c r="F155" s="85">
        <f>+Source!GG9/'Tableau détaillé'!F90</f>
        <v>0.55397024742027789</v>
      </c>
      <c r="G155" s="85">
        <f>+IFERROR(Source!GH9/'Tableau détaillé'!G90,"ND")</f>
        <v>0.54073925807312517</v>
      </c>
      <c r="H155" s="40">
        <f>+IFERROR((G155-F155)*100,"ND")</f>
        <v>-1.3230989347152722</v>
      </c>
      <c r="I155" s="91"/>
      <c r="J155" s="63">
        <f t="shared" si="41"/>
        <v>8.7540411243462675</v>
      </c>
      <c r="K155" s="91"/>
      <c r="L155" s="63"/>
      <c r="M155" s="63"/>
      <c r="N155" s="267"/>
      <c r="O155" s="267"/>
      <c r="P155" s="267"/>
      <c r="Q155" s="267"/>
      <c r="R155" s="267"/>
      <c r="S155" s="267"/>
      <c r="T155" s="267"/>
      <c r="U155" s="267"/>
      <c r="V155" s="267"/>
      <c r="W155" s="265"/>
      <c r="X155" s="265"/>
      <c r="Y155" s="265"/>
      <c r="Z155" s="265"/>
      <c r="AA155" s="265"/>
    </row>
    <row r="156" spans="3:27">
      <c r="C156" s="435"/>
      <c r="D156" s="47" t="s">
        <v>21</v>
      </c>
      <c r="E156" s="125"/>
      <c r="F156" s="85">
        <f>+Source!GG3/'Tableau détaillé'!F91</f>
        <v>0.70490566037735847</v>
      </c>
      <c r="G156" s="85">
        <f>+Source!GH3/'Tableau détaillé'!G91</f>
        <v>0.71189253669415486</v>
      </c>
      <c r="H156" s="40">
        <f t="shared" si="40"/>
        <v>0.69868763167963976</v>
      </c>
      <c r="I156" s="91"/>
      <c r="J156" s="63">
        <f t="shared" si="41"/>
        <v>8.7540411243462675</v>
      </c>
      <c r="K156" s="91"/>
      <c r="L156" s="63"/>
      <c r="M156" s="63"/>
      <c r="N156" s="267"/>
      <c r="O156" s="267"/>
      <c r="P156" s="267"/>
      <c r="Q156" s="267"/>
      <c r="R156" s="267"/>
      <c r="S156" s="267"/>
      <c r="T156" s="267"/>
      <c r="U156" s="267"/>
      <c r="V156" s="267"/>
      <c r="W156" s="265"/>
      <c r="X156" s="265"/>
      <c r="Y156" s="265"/>
      <c r="Z156" s="265"/>
      <c r="AA156" s="265"/>
    </row>
    <row r="157" spans="3:27">
      <c r="C157" s="435"/>
      <c r="D157" s="47" t="s">
        <v>22</v>
      </c>
      <c r="E157" s="125"/>
      <c r="F157" s="85">
        <f>+Source!GG11/'Tableau détaillé'!F92</f>
        <v>0.54641918421650393</v>
      </c>
      <c r="G157" s="85">
        <f>+Source!GH11/'Tableau détaillé'!G92</f>
        <v>0.49031268584306237</v>
      </c>
      <c r="H157" s="40">
        <f t="shared" si="40"/>
        <v>-5.6106498373441562</v>
      </c>
      <c r="I157" s="91"/>
      <c r="J157" s="63">
        <f t="shared" si="41"/>
        <v>8.7540411243462675</v>
      </c>
      <c r="K157" s="91"/>
      <c r="L157" s="63"/>
      <c r="M157" s="63"/>
      <c r="N157" s="267"/>
      <c r="O157" s="267"/>
      <c r="P157" s="267"/>
      <c r="Q157" s="267"/>
      <c r="R157" s="267"/>
      <c r="S157" s="267"/>
      <c r="T157" s="267"/>
      <c r="U157" s="267"/>
      <c r="V157" s="267"/>
      <c r="W157" s="265"/>
      <c r="X157" s="265"/>
      <c r="Y157" s="265"/>
      <c r="Z157" s="265"/>
      <c r="AA157" s="265"/>
    </row>
    <row r="158" spans="3:27">
      <c r="C158" s="435"/>
      <c r="D158" s="48" t="s">
        <v>62</v>
      </c>
      <c r="E158" s="127"/>
      <c r="F158" s="103">
        <f>SUM(Source!GG3:GG5,Source!GG8:GG9,Source!GG11:GG12)/(F93)</f>
        <v>0.41362537144000094</v>
      </c>
      <c r="G158" s="103">
        <f>SUM(Source!GH3:GH5,Source!GH8:GH9,Source!GH11:GH12)/(G93)</f>
        <v>0.45722149565792458</v>
      </c>
      <c r="H158" s="42">
        <f t="shared" si="40"/>
        <v>4.359612421792364</v>
      </c>
      <c r="I158" s="92"/>
      <c r="J158" s="63">
        <f t="shared" si="41"/>
        <v>8.7540411243462675</v>
      </c>
      <c r="K158" s="92"/>
      <c r="L158" s="102"/>
      <c r="M158" s="102"/>
      <c r="N158" s="268"/>
      <c r="O158" s="268"/>
      <c r="P158" s="268"/>
      <c r="Q158" s="268"/>
      <c r="R158" s="268"/>
      <c r="S158" s="268"/>
      <c r="T158" s="268"/>
      <c r="U158" s="268"/>
      <c r="V158" s="268"/>
      <c r="W158" s="265"/>
      <c r="X158" s="265"/>
      <c r="Y158" s="265"/>
      <c r="Z158" s="265"/>
      <c r="AA158" s="265"/>
    </row>
    <row r="159" spans="3:27">
      <c r="C159" s="435"/>
      <c r="D159" s="47" t="s">
        <v>15</v>
      </c>
      <c r="E159" s="125"/>
      <c r="F159" s="85">
        <f>+Source!GG10/'Tableau détaillé'!F94</f>
        <v>0.54163987844469907</v>
      </c>
      <c r="G159" s="85">
        <f>+Source!GH10/'Tableau détaillé'!G94</f>
        <v>0.87016290060497437</v>
      </c>
      <c r="H159" s="40">
        <f t="shared" si="40"/>
        <v>32.852302216027532</v>
      </c>
      <c r="I159" s="91"/>
      <c r="J159" s="63">
        <f t="shared" si="41"/>
        <v>8.7540411243462675</v>
      </c>
      <c r="K159" s="91"/>
      <c r="L159" s="63"/>
      <c r="M159" s="63"/>
      <c r="N159" s="267"/>
      <c r="O159" s="267"/>
      <c r="P159" s="267"/>
      <c r="Q159" s="267"/>
      <c r="R159" s="267"/>
      <c r="S159" s="267"/>
      <c r="T159" s="267"/>
      <c r="U159" s="267"/>
      <c r="V159" s="267"/>
      <c r="W159" s="265"/>
      <c r="X159" s="265"/>
      <c r="Y159" s="265"/>
      <c r="Z159" s="265"/>
      <c r="AA159" s="265"/>
    </row>
    <row r="160" spans="3:27">
      <c r="C160" s="435"/>
      <c r="D160" s="47" t="s">
        <v>16</v>
      </c>
      <c r="E160" s="125"/>
      <c r="F160" s="85">
        <f>+Source!GG6/'Tableau détaillé'!F95</f>
        <v>0.84954890272884631</v>
      </c>
      <c r="G160" s="85">
        <f>+Source!GH6/'Tableau détaillé'!G95</f>
        <v>0.8316769144773617</v>
      </c>
      <c r="H160" s="40">
        <f t="shared" si="40"/>
        <v>-1.7871988251484616</v>
      </c>
      <c r="I160" s="91"/>
      <c r="J160" s="63">
        <f t="shared" si="41"/>
        <v>8.7540411243462675</v>
      </c>
      <c r="K160" s="91"/>
      <c r="L160" s="63"/>
      <c r="M160" s="63"/>
      <c r="N160" s="267"/>
      <c r="O160" s="267"/>
      <c r="P160" s="267"/>
      <c r="Q160" s="267"/>
      <c r="R160" s="267"/>
      <c r="S160" s="267"/>
      <c r="T160" s="267"/>
      <c r="U160" s="267"/>
      <c r="V160" s="267"/>
      <c r="W160" s="265"/>
      <c r="X160" s="265"/>
      <c r="Y160" s="265"/>
      <c r="Z160" s="265"/>
      <c r="AA160" s="265"/>
    </row>
    <row r="161" spans="2:27">
      <c r="C161" s="435"/>
      <c r="D161" s="47" t="s">
        <v>20</v>
      </c>
      <c r="E161" s="125"/>
      <c r="F161" s="85">
        <f>+Source!GG13/'Tableau détaillé'!F96</f>
        <v>0.5689669071707848</v>
      </c>
      <c r="G161" s="85">
        <f>+Source!GH13/'Tableau détaillé'!G96</f>
        <v>0.58803749154507678</v>
      </c>
      <c r="H161" s="40">
        <f t="shared" si="40"/>
        <v>1.9070584374291988</v>
      </c>
      <c r="I161" s="91"/>
      <c r="J161" s="63">
        <f t="shared" si="41"/>
        <v>8.7540411243462675</v>
      </c>
      <c r="K161" s="91"/>
      <c r="L161" s="63"/>
      <c r="M161" s="63"/>
      <c r="N161" s="267"/>
      <c r="O161" s="267"/>
      <c r="P161" s="267"/>
      <c r="Q161" s="267"/>
      <c r="R161" s="267"/>
      <c r="S161" s="267"/>
      <c r="T161" s="267"/>
      <c r="U161" s="267"/>
      <c r="V161" s="267"/>
      <c r="W161" s="265"/>
      <c r="X161" s="265"/>
      <c r="Y161" s="265"/>
      <c r="Z161" s="265"/>
      <c r="AA161" s="265"/>
    </row>
    <row r="162" spans="2:27">
      <c r="C162" s="435"/>
      <c r="D162" s="47" t="s">
        <v>23</v>
      </c>
      <c r="E162" s="125"/>
      <c r="F162" s="85">
        <f>+Source!GG7/'Tableau détaillé'!F97</f>
        <v>0.72037192898080238</v>
      </c>
      <c r="G162" s="85">
        <f>+Source!GH7/'Tableau détaillé'!G97</f>
        <v>0.74423247559893524</v>
      </c>
      <c r="H162" s="40">
        <f t="shared" si="40"/>
        <v>2.3860546618132861</v>
      </c>
      <c r="I162" s="91"/>
      <c r="J162" s="63">
        <f t="shared" si="41"/>
        <v>8.7540411243462675</v>
      </c>
      <c r="K162" s="91"/>
      <c r="L162" s="63"/>
      <c r="M162" s="63"/>
      <c r="N162" s="267"/>
      <c r="O162" s="267"/>
      <c r="P162" s="267"/>
      <c r="Q162" s="267"/>
      <c r="R162" s="267"/>
      <c r="S162" s="267"/>
      <c r="T162" s="267"/>
      <c r="U162" s="267"/>
      <c r="V162" s="267"/>
      <c r="W162" s="265"/>
      <c r="X162" s="265"/>
      <c r="Y162" s="265"/>
      <c r="Z162" s="265"/>
      <c r="AA162" s="265"/>
    </row>
    <row r="163" spans="2:27" ht="14.4" thickBot="1">
      <c r="C163" s="436"/>
      <c r="D163" s="49" t="s">
        <v>63</v>
      </c>
      <c r="E163" s="128"/>
      <c r="F163" s="86">
        <f>SUM(Source!GG6:GG7,Source!GG10,Source!GG13)/'Tableau détaillé'!F98</f>
        <v>0.66278684983840697</v>
      </c>
      <c r="G163" s="86">
        <f>SUM(Source!GH6:GH7,Source!GH10,Source!GH13)/'Tableau détaillé'!G98</f>
        <v>0.82290032850388317</v>
      </c>
      <c r="H163" s="44">
        <f t="shared" si="40"/>
        <v>16.01134786654762</v>
      </c>
      <c r="I163" s="93"/>
      <c r="J163" s="87">
        <f t="shared" si="41"/>
        <v>8.7540411243462675</v>
      </c>
      <c r="K163" s="93"/>
      <c r="L163" s="102"/>
      <c r="M163" s="102"/>
      <c r="N163" s="268"/>
      <c r="O163" s="268"/>
      <c r="P163" s="268"/>
      <c r="Q163" s="268"/>
      <c r="R163" s="268"/>
      <c r="S163" s="268"/>
      <c r="T163" s="268"/>
      <c r="U163" s="268"/>
      <c r="V163" s="268"/>
      <c r="W163" s="265"/>
      <c r="X163" s="265"/>
      <c r="Y163" s="265"/>
      <c r="Z163" s="265"/>
      <c r="AA163" s="265"/>
    </row>
    <row r="164" spans="2:27" ht="14.4" thickTop="1">
      <c r="C164" s="252"/>
      <c r="E164" s="132"/>
      <c r="F164" s="132"/>
      <c r="G164" s="132"/>
      <c r="H164" s="98"/>
      <c r="L164" s="98"/>
      <c r="M164" s="98"/>
      <c r="N164" s="170"/>
      <c r="O164" s="170"/>
      <c r="P164" s="170"/>
      <c r="Q164" s="170"/>
      <c r="R164" s="170"/>
      <c r="S164" s="170"/>
      <c r="T164" s="170"/>
      <c r="U164" s="170"/>
      <c r="V164" s="170"/>
      <c r="W164" s="265"/>
      <c r="X164" s="265"/>
      <c r="Y164" s="265"/>
      <c r="Z164" s="265"/>
      <c r="AA164" s="265"/>
    </row>
    <row r="165" spans="2:27" hidden="1">
      <c r="C165" s="252" t="s">
        <v>72</v>
      </c>
      <c r="E165" s="132"/>
      <c r="F165" s="132"/>
      <c r="G165" s="132"/>
      <c r="H165" s="98"/>
      <c r="L165" s="98"/>
      <c r="M165" s="98"/>
      <c r="N165" s="170"/>
      <c r="O165" s="170"/>
      <c r="P165" s="170"/>
      <c r="Q165" s="170"/>
      <c r="R165" s="170"/>
      <c r="S165" s="170"/>
      <c r="T165" s="170"/>
      <c r="U165" s="170"/>
      <c r="V165" s="170"/>
      <c r="W165" s="265"/>
      <c r="X165" s="265"/>
      <c r="Y165" s="265"/>
      <c r="Z165" s="265"/>
      <c r="AA165" s="265"/>
    </row>
    <row r="166" spans="2:27" ht="14.4" thickBot="1">
      <c r="C166" s="252"/>
      <c r="E166" s="132"/>
      <c r="F166" s="132"/>
      <c r="G166" s="132"/>
      <c r="H166" s="98"/>
      <c r="L166" s="98"/>
      <c r="M166" s="98"/>
      <c r="N166" s="170"/>
      <c r="O166" s="170"/>
      <c r="P166" s="170"/>
      <c r="Q166" s="170"/>
      <c r="R166" s="170"/>
      <c r="S166" s="170"/>
      <c r="T166" s="170"/>
      <c r="U166" s="170"/>
      <c r="V166" s="170"/>
      <c r="W166" s="265"/>
      <c r="X166" s="265"/>
      <c r="Y166" s="265"/>
      <c r="Z166" s="265"/>
      <c r="AA166" s="265"/>
    </row>
    <row r="167" spans="2:27" ht="14.4" thickTop="1">
      <c r="C167" s="464" t="s">
        <v>356</v>
      </c>
      <c r="D167" s="45" t="s">
        <v>64</v>
      </c>
      <c r="E167" s="45"/>
      <c r="F167" s="255">
        <f>+SUMIFS(Equipement_Efficité!$BL$50:$BL$70,Equipement_Efficité!$BJ$50:$BJ$70,'Tableau détaillé'!F$2)/SUMIFS(Equipement_Efficité!$BM$50:$BM$70,Equipement_Efficité!$BJ$50:$BJ$70,'Tableau détaillé'!F$2)</f>
        <v>5.2385397025334202</v>
      </c>
      <c r="G167" s="255">
        <f>+SUMIFS(Equipement_Efficité!$BL$50:$BL$70,Equipement_Efficité!$BJ$50:$BJ$70,'Tableau détaillé'!G$2)/SUMIFS(Equipement_Efficité!$BM$50:$BM$70,Equipement_Efficité!$BJ$50:$BJ$70,'Tableau détaillé'!G$2)</f>
        <v>6.0660765495325197</v>
      </c>
      <c r="H167" s="38">
        <f t="shared" ref="H167" si="42">+(G167-F167)</f>
        <v>0.82753684699909957</v>
      </c>
      <c r="I167" s="50"/>
      <c r="J167" s="69"/>
      <c r="K167" s="50"/>
      <c r="L167" s="97"/>
      <c r="M167" s="97"/>
      <c r="N167" s="169"/>
      <c r="O167" s="169"/>
      <c r="P167" s="169"/>
      <c r="Q167" s="169"/>
      <c r="R167" s="169"/>
      <c r="S167" s="169"/>
      <c r="T167" s="169"/>
      <c r="U167" s="169"/>
      <c r="V167" s="169"/>
      <c r="W167" s="265"/>
      <c r="X167" s="265"/>
      <c r="Y167" s="265"/>
      <c r="Z167" s="265"/>
      <c r="AA167" s="265"/>
    </row>
    <row r="168" spans="2:27">
      <c r="B168" s="28" t="s">
        <v>131</v>
      </c>
      <c r="C168" s="435"/>
      <c r="D168" s="47" t="s">
        <v>13</v>
      </c>
      <c r="E168" s="125"/>
      <c r="F168" s="256">
        <f>+SUMIFS(Equipement_Efficité!$M:$M,Equipement_Efficité!$A:$A,'Tableau détaillé'!F$2,Equipement_Efficité!$B:$B,'Tableau détaillé'!$B168)/100</f>
        <v>6.3252800876917199</v>
      </c>
      <c r="G168" s="256">
        <f>+SUMIFS(Equipement_Efficité!$M:$M,Equipement_Efficité!$A:$A,'Tableau détaillé'!G$2,Equipement_Efficité!$B:$B,'Tableau détaillé'!$B168)/100</f>
        <v>6.3544296431103309</v>
      </c>
      <c r="H168" s="40">
        <f>+(G168-F168)</f>
        <v>2.9149555418610973E-2</v>
      </c>
      <c r="I168" s="91"/>
      <c r="J168" s="63">
        <f>+$H$167</f>
        <v>0.82753684699909957</v>
      </c>
      <c r="K168" s="91"/>
      <c r="L168" s="63"/>
      <c r="M168" s="63"/>
      <c r="N168" s="267"/>
      <c r="O168" s="267"/>
      <c r="P168" s="267"/>
      <c r="Q168" s="267"/>
      <c r="R168" s="267"/>
      <c r="S168" s="267"/>
      <c r="T168" s="267"/>
      <c r="U168" s="267"/>
      <c r="V168" s="267"/>
      <c r="W168" s="265"/>
      <c r="X168" s="265"/>
      <c r="Y168" s="265"/>
      <c r="Z168" s="265"/>
      <c r="AA168" s="265"/>
    </row>
    <row r="169" spans="2:27">
      <c r="B169" s="28" t="s">
        <v>136</v>
      </c>
      <c r="C169" s="435"/>
      <c r="D169" s="47" t="s">
        <v>14</v>
      </c>
      <c r="E169" s="125"/>
      <c r="F169" s="256">
        <f>+SUMIFS(Equipement_Efficité!$M:$M,Equipement_Efficité!$A:$A,'Tableau détaillé'!F$2,Equipement_Efficité!$B:$B,'Tableau détaillé'!$B169)/100</f>
        <v>4.2222455040064695</v>
      </c>
      <c r="G169" s="256">
        <f>+SUMIFS(Equipement_Efficité!$M:$M,Equipement_Efficité!$A:$A,'Tableau détaillé'!G$2,Equipement_Efficité!$B:$B,'Tableau détaillé'!$B169)/100</f>
        <v>6.6969057665260197</v>
      </c>
      <c r="H169" s="40">
        <f t="shared" ref="H169:H180" si="43">+(G169-F169)</f>
        <v>2.4746602625195502</v>
      </c>
      <c r="I169" s="91"/>
      <c r="J169" s="63">
        <f t="shared" ref="J169:J180" si="44">+$H$167</f>
        <v>0.82753684699909957</v>
      </c>
      <c r="K169" s="91"/>
      <c r="L169" s="63"/>
      <c r="M169" s="63"/>
      <c r="N169" s="267"/>
      <c r="O169" s="267"/>
      <c r="P169" s="267"/>
      <c r="Q169" s="267"/>
      <c r="R169" s="267"/>
      <c r="S169" s="267"/>
      <c r="T169" s="267"/>
      <c r="U169" s="267"/>
      <c r="V169" s="267"/>
      <c r="W169" s="265"/>
      <c r="X169" s="265"/>
      <c r="Y169" s="265"/>
      <c r="Z169" s="265"/>
      <c r="AA169" s="265"/>
    </row>
    <row r="170" spans="2:27">
      <c r="B170" s="28" t="s">
        <v>141</v>
      </c>
      <c r="C170" s="435"/>
      <c r="D170" s="47" t="s">
        <v>17</v>
      </c>
      <c r="E170" s="125"/>
      <c r="F170" s="256">
        <f>+SUMIFS(Equipement_Efficité!$M:$M,Equipement_Efficité!$A:$A,'Tableau détaillé'!F$2,Equipement_Efficité!$B:$B,'Tableau détaillé'!$B170)/100</f>
        <v>4.0722978869288804</v>
      </c>
      <c r="G170" s="256">
        <f>+SUMIFS(Equipement_Efficité!$M:$M,Equipement_Efficité!$A:$A,'Tableau détaillé'!G$2,Equipement_Efficité!$B:$B,'Tableau détaillé'!$B170)/100</f>
        <v>5.0796210917216094</v>
      </c>
      <c r="H170" s="40">
        <f t="shared" si="43"/>
        <v>1.007323204792729</v>
      </c>
      <c r="I170" s="91"/>
      <c r="J170" s="63">
        <f t="shared" si="44"/>
        <v>0.82753684699909957</v>
      </c>
      <c r="K170" s="91"/>
      <c r="L170" s="63"/>
      <c r="M170" s="63"/>
      <c r="N170" s="267"/>
      <c r="O170" s="267"/>
      <c r="P170" s="267"/>
      <c r="Q170" s="267"/>
      <c r="R170" s="267"/>
      <c r="S170" s="267"/>
      <c r="T170" s="267"/>
      <c r="U170" s="267"/>
      <c r="V170" s="267"/>
      <c r="W170" s="265"/>
      <c r="X170" s="265"/>
      <c r="Y170" s="265"/>
      <c r="Z170" s="265"/>
      <c r="AA170" s="265"/>
    </row>
    <row r="171" spans="2:27">
      <c r="B171" s="28" t="s">
        <v>124</v>
      </c>
      <c r="C171" s="435"/>
      <c r="D171" s="47" t="s">
        <v>18</v>
      </c>
      <c r="E171" s="125"/>
      <c r="F171" s="256">
        <f>+SUMIFS(Equipement_Efficité!$M:$M,Equipement_Efficité!$A:$A,'Tableau détaillé'!F$2,Equipement_Efficité!$B:$B,'Tableau détaillé'!$B171)/100</f>
        <v>5.4195244493778105</v>
      </c>
      <c r="G171" s="256">
        <f>+SUMIFS(Equipement_Efficité!$M:$M,Equipement_Efficité!$A:$A,'Tableau détaillé'!G$2,Equipement_Efficité!$B:$B,'Tableau détaillé'!$B171)/100</f>
        <v>6.3771580345285495</v>
      </c>
      <c r="H171" s="40">
        <f t="shared" si="43"/>
        <v>0.95763358515073893</v>
      </c>
      <c r="I171" s="91"/>
      <c r="J171" s="63">
        <f t="shared" si="44"/>
        <v>0.82753684699909957</v>
      </c>
      <c r="K171" s="91"/>
      <c r="L171" s="63"/>
      <c r="M171" s="63"/>
      <c r="N171" s="267"/>
      <c r="O171" s="267"/>
      <c r="P171" s="267"/>
      <c r="Q171" s="267"/>
      <c r="R171" s="267"/>
      <c r="S171" s="267"/>
      <c r="T171" s="267"/>
      <c r="U171" s="267"/>
      <c r="V171" s="267"/>
      <c r="W171" s="265"/>
      <c r="X171" s="265"/>
      <c r="Y171" s="265"/>
      <c r="Z171" s="265"/>
      <c r="AA171" s="265"/>
    </row>
    <row r="172" spans="2:27">
      <c r="B172" s="28" t="s">
        <v>137</v>
      </c>
      <c r="C172" s="435"/>
      <c r="D172" s="47" t="s">
        <v>19</v>
      </c>
      <c r="E172" s="125"/>
      <c r="F172" s="256">
        <f>+SUMIFS(Equipement_Efficité!$M:$M,Equipement_Efficité!$A:$A,'Tableau détaillé'!F$2,Equipement_Efficité!$B:$B,'Tableau détaillé'!$B172)/100</f>
        <v>3.9081095011740503</v>
      </c>
      <c r="G172" s="256">
        <f>+SUMIFS(Equipement_Efficité!$M:$M,Equipement_Efficité!$A:$A,'Tableau détaillé'!G$2,Equipement_Efficité!$B:$B,'Tableau détaillé'!$B172)/100</f>
        <v>4.4597111640611402</v>
      </c>
      <c r="H172" s="40">
        <f t="shared" si="43"/>
        <v>0.55160166288708989</v>
      </c>
      <c r="I172" s="91"/>
      <c r="J172" s="63">
        <f t="shared" si="44"/>
        <v>0.82753684699909957</v>
      </c>
      <c r="K172" s="91"/>
      <c r="L172" s="63"/>
      <c r="M172" s="63"/>
      <c r="N172" s="267"/>
      <c r="O172" s="267"/>
      <c r="P172" s="267"/>
      <c r="Q172" s="267"/>
      <c r="R172" s="267"/>
      <c r="S172" s="267"/>
      <c r="T172" s="267"/>
      <c r="U172" s="267"/>
      <c r="V172" s="267"/>
      <c r="W172" s="265"/>
      <c r="X172" s="265"/>
      <c r="Y172" s="265"/>
      <c r="Z172" s="265"/>
      <c r="AA172" s="265"/>
    </row>
    <row r="173" spans="2:27">
      <c r="B173" s="28" t="s">
        <v>123</v>
      </c>
      <c r="C173" s="435"/>
      <c r="D173" s="47" t="s">
        <v>21</v>
      </c>
      <c r="E173" s="125"/>
      <c r="F173" s="256">
        <f>+SUMIFS(Equipement_Efficité!$M:$M,Equipement_Efficité!$A:$A,'Tableau détaillé'!F$2,Equipement_Efficité!$B:$B,'Tableau détaillé'!$B173)/100</f>
        <v>5.9496733263895498</v>
      </c>
      <c r="G173" s="256">
        <f>+SUMIFS(Equipement_Efficité!$M:$M,Equipement_Efficité!$A:$A,'Tableau détaillé'!G$2,Equipement_Efficité!$B:$B,'Tableau détaillé'!$B173)/100</f>
        <v>6.6961510174062298</v>
      </c>
      <c r="H173" s="40">
        <f t="shared" si="43"/>
        <v>0.74647769101667993</v>
      </c>
      <c r="I173" s="91"/>
      <c r="J173" s="63">
        <f t="shared" si="44"/>
        <v>0.82753684699909957</v>
      </c>
      <c r="K173" s="91"/>
      <c r="L173" s="63"/>
      <c r="M173" s="63"/>
      <c r="N173" s="267"/>
      <c r="O173" s="267"/>
      <c r="P173" s="267"/>
      <c r="Q173" s="267"/>
      <c r="R173" s="267"/>
      <c r="S173" s="267"/>
      <c r="T173" s="267"/>
      <c r="U173" s="267"/>
      <c r="V173" s="267"/>
      <c r="W173" s="265"/>
      <c r="X173" s="265"/>
      <c r="Y173" s="265"/>
      <c r="Z173" s="265"/>
      <c r="AA173" s="265"/>
    </row>
    <row r="174" spans="2:27">
      <c r="B174" s="28" t="s">
        <v>139</v>
      </c>
      <c r="C174" s="435"/>
      <c r="D174" s="47" t="s">
        <v>22</v>
      </c>
      <c r="E174" s="125"/>
      <c r="F174" s="256">
        <f>+SUMIFS(Equipement_Efficité!$M:$M,Equipement_Efficité!$A:$A,'Tableau détaillé'!F$2,Equipement_Efficité!$B:$B,'Tableau détaillé'!$B174)/100</f>
        <v>3.1879819300568601</v>
      </c>
      <c r="G174" s="256">
        <f>+SUMIFS(Equipement_Efficité!$M:$M,Equipement_Efficité!$A:$A,'Tableau détaillé'!G$2,Equipement_Efficité!$B:$B,'Tableau détaillé'!$B174)/100</f>
        <v>4.29526879244849</v>
      </c>
      <c r="H174" s="40">
        <f t="shared" si="43"/>
        <v>1.1072868623916299</v>
      </c>
      <c r="I174" s="91"/>
      <c r="J174" s="63">
        <f t="shared" si="44"/>
        <v>0.82753684699909957</v>
      </c>
      <c r="K174" s="91"/>
      <c r="L174" s="63"/>
      <c r="M174" s="63"/>
      <c r="N174" s="267"/>
      <c r="O174" s="267"/>
      <c r="P174" s="267"/>
      <c r="Q174" s="267"/>
      <c r="R174" s="267"/>
      <c r="S174" s="267"/>
      <c r="T174" s="267"/>
      <c r="U174" s="267"/>
      <c r="V174" s="267"/>
      <c r="W174" s="265"/>
      <c r="X174" s="265"/>
      <c r="Y174" s="265"/>
      <c r="Z174" s="265"/>
      <c r="AA174" s="265"/>
    </row>
    <row r="175" spans="2:27">
      <c r="C175" s="435"/>
      <c r="D175" s="48" t="s">
        <v>62</v>
      </c>
      <c r="E175" s="127"/>
      <c r="F175" s="257">
        <f>+SUMIFS(Equipement_Efficité!$BL$50:$BL$70,Equipement_Efficité!$BO$50:$BO$70,'Tableau détaillé'!$D$175,Equipement_Efficité!$BJ$50:$BJ$70,'Tableau détaillé'!F$2)/SUMIFS(Equipement_Efficité!$BM$50:$BM$70,Equipement_Efficité!$BO$50:$BO$70,'Tableau détaillé'!$D$175,Equipement_Efficité!$BJ$50:$BJ$70,'Tableau détaillé'!F$2)</f>
        <v>5.2164987464532144</v>
      </c>
      <c r="G175" s="257">
        <f>+SUMIFS(Equipement_Efficité!$BL$50:$BL$70,Equipement_Efficité!$BO$50:$BO$70,'Tableau détaillé'!$D$175,Equipement_Efficité!$BJ$50:$BJ$70,'Tableau détaillé'!G$2)/SUMIFS(Equipement_Efficité!$BM$50:$BM$70,Equipement_Efficité!$BO$50:$BO$70,'Tableau détaillé'!$D$175,Equipement_Efficité!$BJ$50:$BJ$70,'Tableau détaillé'!G$2)</f>
        <v>6.0058584089159774</v>
      </c>
      <c r="H175" s="42">
        <f>+(G175-F175)</f>
        <v>0.78935966246276301</v>
      </c>
      <c r="I175" s="92"/>
      <c r="J175" s="63">
        <f t="shared" si="44"/>
        <v>0.82753684699909957</v>
      </c>
      <c r="K175" s="92"/>
      <c r="L175" s="102"/>
      <c r="M175" s="102"/>
      <c r="N175" s="268"/>
      <c r="O175" s="268"/>
      <c r="P175" s="268"/>
      <c r="Q175" s="268"/>
      <c r="R175" s="268"/>
      <c r="S175" s="268"/>
      <c r="T175" s="268"/>
      <c r="U175" s="268"/>
      <c r="V175" s="268"/>
      <c r="W175" s="265"/>
      <c r="X175" s="265"/>
      <c r="Y175" s="265"/>
      <c r="Z175" s="265"/>
      <c r="AA175" s="265"/>
    </row>
    <row r="176" spans="2:27">
      <c r="B176" s="28" t="s">
        <v>138</v>
      </c>
      <c r="C176" s="435"/>
      <c r="D176" s="47" t="s">
        <v>15</v>
      </c>
      <c r="E176" s="125"/>
      <c r="F176" s="256">
        <f>+SUMIFS(Equipement_Efficité!$M:$M,Equipement_Efficité!$A:$A,'Tableau détaillé'!F$2,Equipement_Efficité!$B:$B,'Tableau détaillé'!$B176)/100</f>
        <v>5.2764622190241797</v>
      </c>
      <c r="G176" s="256">
        <f>+SUMIFS(Equipement_Efficité!$M:$M,Equipement_Efficité!$A:$A,'Tableau détaillé'!G$2,Equipement_Efficité!$B:$B,'Tableau détaillé'!$B176)/100</f>
        <v>5.7338692251177701</v>
      </c>
      <c r="H176" s="40">
        <f t="shared" si="43"/>
        <v>0.45740700609359042</v>
      </c>
      <c r="I176" s="91"/>
      <c r="J176" s="63">
        <f t="shared" si="44"/>
        <v>0.82753684699909957</v>
      </c>
      <c r="K176" s="91"/>
      <c r="L176" s="63"/>
      <c r="M176" s="63"/>
      <c r="N176" s="267"/>
      <c r="O176" s="267"/>
      <c r="P176" s="267"/>
      <c r="Q176" s="267"/>
      <c r="R176" s="267"/>
      <c r="S176" s="267"/>
      <c r="T176" s="267"/>
      <c r="U176" s="267"/>
      <c r="V176" s="267"/>
      <c r="W176" s="265"/>
      <c r="X176" s="265"/>
      <c r="Y176" s="265"/>
      <c r="Z176" s="265"/>
      <c r="AA176" s="265"/>
    </row>
    <row r="177" spans="2:27">
      <c r="B177" s="28" t="s">
        <v>132</v>
      </c>
      <c r="C177" s="435"/>
      <c r="D177" s="47" t="s">
        <v>16</v>
      </c>
      <c r="E177" s="125"/>
      <c r="F177" s="256">
        <f>+SUMIFS(Equipement_Efficité!$M:$M,Equipement_Efficité!$A:$A,'Tableau détaillé'!F$2,Equipement_Efficité!$B:$B,'Tableau détaillé'!$B177)/100</f>
        <v>5.58731451847542</v>
      </c>
      <c r="G177" s="256">
        <f>+SUMIFS(Equipement_Efficité!$M:$M,Equipement_Efficité!$A:$A,'Tableau détaillé'!G$2,Equipement_Efficité!$B:$B,'Tableau détaillé'!$B177)/100</f>
        <v>7.1841829689298002</v>
      </c>
      <c r="H177" s="40">
        <f t="shared" si="43"/>
        <v>1.5968684504543802</v>
      </c>
      <c r="I177" s="91"/>
      <c r="J177" s="63">
        <f t="shared" si="44"/>
        <v>0.82753684699909957</v>
      </c>
      <c r="K177" s="91"/>
      <c r="L177" s="63"/>
      <c r="M177" s="63"/>
      <c r="N177" s="267"/>
      <c r="O177" s="267"/>
      <c r="P177" s="267"/>
      <c r="Q177" s="267"/>
      <c r="R177" s="267"/>
      <c r="S177" s="267"/>
      <c r="T177" s="267"/>
      <c r="U177" s="267"/>
      <c r="V177" s="267"/>
      <c r="W177" s="265"/>
      <c r="X177" s="265"/>
      <c r="Y177" s="265"/>
      <c r="Z177" s="265"/>
      <c r="AA177" s="265"/>
    </row>
    <row r="178" spans="2:27">
      <c r="B178" s="28" t="s">
        <v>140</v>
      </c>
      <c r="C178" s="435"/>
      <c r="D178" s="47" t="s">
        <v>20</v>
      </c>
      <c r="E178" s="125"/>
      <c r="F178" s="256">
        <f>+SUMIFS(Equipement_Efficité!$M:$M,Equipement_Efficité!$A:$A,'Tableau détaillé'!F$2,Equipement_Efficité!$B:$B,'Tableau détaillé'!$B178)/100</f>
        <v>4.1533313623780499</v>
      </c>
      <c r="G178" s="256">
        <f>+SUMIFS(Equipement_Efficité!$M:$M,Equipement_Efficité!$A:$A,'Tableau détaillé'!G$2,Equipement_Efficité!$B:$B,'Tableau détaillé'!$B178)/100</f>
        <v>4.3583805711522396</v>
      </c>
      <c r="H178" s="40">
        <f t="shared" si="43"/>
        <v>0.20504920877418975</v>
      </c>
      <c r="I178" s="91"/>
      <c r="J178" s="63">
        <f t="shared" si="44"/>
        <v>0.82753684699909957</v>
      </c>
      <c r="K178" s="91"/>
      <c r="L178" s="63"/>
      <c r="M178" s="63"/>
      <c r="N178" s="267"/>
      <c r="O178" s="267"/>
      <c r="P178" s="267"/>
      <c r="Q178" s="267"/>
      <c r="R178" s="267"/>
      <c r="S178" s="267"/>
      <c r="T178" s="267"/>
      <c r="U178" s="267"/>
      <c r="V178" s="267"/>
      <c r="W178" s="265"/>
      <c r="X178" s="265"/>
      <c r="Y178" s="265"/>
      <c r="Z178" s="265"/>
      <c r="AA178" s="265"/>
    </row>
    <row r="179" spans="2:27">
      <c r="B179" s="28" t="s">
        <v>135</v>
      </c>
      <c r="C179" s="435"/>
      <c r="D179" s="47" t="s">
        <v>23</v>
      </c>
      <c r="E179" s="125"/>
      <c r="F179" s="256">
        <f>+SUMIFS(Equipement_Efficité!$M:$M,Equipement_Efficité!$A:$A,'Tableau détaillé'!F$2,Equipement_Efficité!$B:$B,'Tableau détaillé'!$B179)/100</f>
        <v>5.1595499270279195</v>
      </c>
      <c r="G179" s="256">
        <f>+SUMIFS(Equipement_Efficité!$M:$M,Equipement_Efficité!$A:$A,'Tableau détaillé'!G$2,Equipement_Efficité!$B:$B,'Tableau détaillé'!$B179)/100</f>
        <v>6.2408480565371001</v>
      </c>
      <c r="H179" s="40">
        <f t="shared" si="43"/>
        <v>1.0812981295091806</v>
      </c>
      <c r="I179" s="91"/>
      <c r="J179" s="63">
        <f t="shared" si="44"/>
        <v>0.82753684699909957</v>
      </c>
      <c r="K179" s="91"/>
      <c r="L179" s="63"/>
      <c r="M179" s="63"/>
      <c r="N179" s="267"/>
      <c r="O179" s="267"/>
      <c r="P179" s="267"/>
      <c r="Q179" s="267"/>
      <c r="R179" s="267"/>
      <c r="S179" s="267"/>
      <c r="T179" s="267"/>
      <c r="U179" s="267"/>
      <c r="V179" s="267"/>
      <c r="W179" s="265"/>
      <c r="X179" s="265"/>
      <c r="Y179" s="265"/>
      <c r="Z179" s="265"/>
      <c r="AA179" s="265"/>
    </row>
    <row r="180" spans="2:27" ht="14.4" thickBot="1">
      <c r="C180" s="436"/>
      <c r="D180" s="49" t="s">
        <v>63</v>
      </c>
      <c r="E180" s="128"/>
      <c r="F180" s="258">
        <f>+SUMIFS(Equipement_Efficité!$BL$50:$BL$70,Equipement_Efficité!$BO$50:$BO$70,'Tableau détaillé'!$D$180,Equipement_Efficité!$BJ$50:$BJ$70,'Tableau détaillé'!F$2)/SUMIFS(Equipement_Efficité!$BM$50:$BM$70,Equipement_Efficité!$BO$50:$BO$70,'Tableau détaillé'!$D$180,Equipement_Efficité!$BJ$50:$BJ$70,'Tableau détaillé'!F$2)</f>
        <v>5.316185985114938</v>
      </c>
      <c r="G180" s="258">
        <f>+SUMIFS(Equipement_Efficité!$BL$50:$BL$70,Equipement_Efficité!$BO$50:$BO$70,'Tableau détaillé'!$D$180,Equipement_Efficité!$BJ$50:$BJ$70,'Tableau détaillé'!G$2)/SUMIFS(Equipement_Efficité!$BM$50:$BM$70,Equipement_Efficité!$BO$50:$BO$70,'Tableau détaillé'!$D$180,Equipement_Efficité!$BJ$50:$BJ$70,'Tableau détaillé'!G$2)</f>
        <v>6.1686172518422193</v>
      </c>
      <c r="H180" s="44">
        <f t="shared" si="43"/>
        <v>0.85243126672728131</v>
      </c>
      <c r="I180" s="93"/>
      <c r="J180" s="87">
        <f t="shared" si="44"/>
        <v>0.82753684699909957</v>
      </c>
      <c r="K180" s="93"/>
      <c r="L180" s="102"/>
      <c r="M180" s="102"/>
      <c r="N180" s="268"/>
      <c r="O180" s="268"/>
      <c r="P180" s="268"/>
      <c r="Q180" s="268"/>
      <c r="R180" s="268"/>
      <c r="S180" s="268"/>
      <c r="T180" s="268"/>
      <c r="U180" s="268"/>
      <c r="V180" s="268"/>
      <c r="W180" s="265"/>
      <c r="X180" s="265"/>
      <c r="Y180" s="265"/>
      <c r="Z180" s="265"/>
      <c r="AA180" s="265"/>
    </row>
    <row r="181" spans="2:27" customFormat="1" ht="15" thickTop="1">
      <c r="C181" s="323"/>
      <c r="E181" s="136"/>
      <c r="F181" s="136"/>
      <c r="G181" s="136"/>
      <c r="N181" s="448"/>
      <c r="O181" s="448"/>
      <c r="P181" s="448"/>
      <c r="Q181" s="448"/>
      <c r="R181" s="448"/>
      <c r="S181" s="448"/>
      <c r="T181" s="448"/>
      <c r="U181" s="421"/>
      <c r="V181" s="421"/>
      <c r="W181" s="421"/>
      <c r="X181" s="421"/>
      <c r="Y181" s="263"/>
      <c r="Z181" s="263"/>
      <c r="AA181" s="263"/>
    </row>
    <row r="182" spans="2:27" s="231" customFormat="1" ht="14.4">
      <c r="C182" s="323"/>
      <c r="E182" s="136"/>
      <c r="F182" s="136"/>
      <c r="G182" s="136"/>
      <c r="I182" s="861"/>
      <c r="N182" s="448"/>
      <c r="O182" s="448"/>
      <c r="P182" s="448"/>
      <c r="Q182" s="448"/>
      <c r="R182" s="448"/>
      <c r="S182" s="448"/>
      <c r="T182" s="448"/>
      <c r="U182" s="421"/>
      <c r="V182" s="421"/>
      <c r="W182" s="421"/>
      <c r="X182" s="421"/>
      <c r="Y182" s="263"/>
      <c r="Z182" s="263"/>
      <c r="AA182" s="263"/>
    </row>
    <row r="183" spans="2:27" ht="14.4" thickBot="1">
      <c r="C183" s="252"/>
      <c r="E183" s="132"/>
      <c r="F183" s="132"/>
      <c r="G183" s="868">
        <f>G185-F185</f>
        <v>30256</v>
      </c>
      <c r="H183" s="98"/>
      <c r="L183" s="98"/>
      <c r="M183" s="98"/>
      <c r="N183" s="170"/>
      <c r="O183" s="170"/>
      <c r="P183" s="170"/>
      <c r="Q183" s="170"/>
      <c r="R183" s="170"/>
      <c r="S183" s="170"/>
      <c r="T183" s="170"/>
      <c r="U183" s="170"/>
      <c r="V183" s="170"/>
      <c r="W183" s="265"/>
      <c r="X183" s="265"/>
      <c r="Y183" s="265"/>
      <c r="Z183" s="265"/>
      <c r="AA183" s="265"/>
    </row>
    <row r="184" spans="2:27" ht="15" thickTop="1" thickBot="1">
      <c r="C184" s="459" t="s">
        <v>74</v>
      </c>
      <c r="D184" s="29"/>
      <c r="E184" s="747">
        <v>44926</v>
      </c>
      <c r="F184" s="747">
        <v>44926</v>
      </c>
      <c r="G184" s="747">
        <v>45291</v>
      </c>
      <c r="H184" s="104" t="s">
        <v>60</v>
      </c>
      <c r="I184" s="50"/>
      <c r="J184" s="69"/>
      <c r="K184" s="50"/>
      <c r="L184" s="122"/>
      <c r="M184" s="120"/>
      <c r="N184" s="169"/>
      <c r="O184" s="269">
        <v>44196</v>
      </c>
      <c r="P184" s="169"/>
      <c r="Q184" s="169"/>
      <c r="R184" s="169"/>
      <c r="S184" s="169"/>
      <c r="T184" s="169"/>
      <c r="U184" s="169"/>
      <c r="V184" s="169"/>
      <c r="W184" s="265"/>
      <c r="X184" s="265"/>
      <c r="Y184" s="265"/>
      <c r="Z184" s="265"/>
      <c r="AA184" s="265"/>
    </row>
    <row r="185" spans="2:27" ht="14.4" thickTop="1">
      <c r="C185" s="460" t="s">
        <v>75</v>
      </c>
      <c r="D185" s="30" t="s">
        <v>64</v>
      </c>
      <c r="E185" s="124">
        <f>SUM(E193,E198)</f>
        <v>1972228</v>
      </c>
      <c r="F185" s="124">
        <f>SUM(F193,F198)</f>
        <v>1972228</v>
      </c>
      <c r="G185" s="124">
        <f>SUM(G193,G198)</f>
        <v>2002484</v>
      </c>
      <c r="H185" s="103">
        <f>+G185/F185-1</f>
        <v>1.5341025479812753E-2</v>
      </c>
      <c r="I185" s="88"/>
      <c r="J185" s="61"/>
      <c r="K185" s="88"/>
      <c r="L185" s="124"/>
      <c r="M185" s="31"/>
      <c r="N185" s="169"/>
      <c r="O185" s="270">
        <v>1858103</v>
      </c>
      <c r="P185" s="169">
        <f>(G185-E185)/E185</f>
        <v>1.5341025479812679E-2</v>
      </c>
      <c r="Q185" s="169"/>
      <c r="R185" s="169"/>
      <c r="S185" s="169"/>
      <c r="T185" s="169"/>
      <c r="U185" s="169"/>
      <c r="V185" s="169"/>
      <c r="W185" s="265"/>
      <c r="X185" s="265"/>
      <c r="Y185" s="265"/>
      <c r="Z185" s="265"/>
      <c r="AA185" s="265"/>
    </row>
    <row r="186" spans="2:27">
      <c r="C186" s="435"/>
      <c r="D186" s="47" t="s">
        <v>13</v>
      </c>
      <c r="E186" s="126">
        <f>+SUMIF('Mois Y-1'!$A$8:$A$18,'Tableau détaillé'!$D186,'Mois Y-1'!$B$8:$B$18)</f>
        <v>583742</v>
      </c>
      <c r="F186" s="126">
        <f>+SUMIF('Dec A-1'!$A$8:$A$18,'Tableau détaillé'!$D186,'Dec A-1'!$B$8:$B$18)</f>
        <v>583742</v>
      </c>
      <c r="G186" s="126">
        <f>+SUMIF('Mois courant'!$A$9:$A$20,'Tableau détaillé'!$D186,'Mois courant'!$B$9:$B$20)</f>
        <v>594816</v>
      </c>
      <c r="H186" s="163">
        <f>+G186/F186-1</f>
        <v>1.8970709662830432E-2</v>
      </c>
      <c r="I186" s="89"/>
      <c r="J186" s="62">
        <f>+$H$185</f>
        <v>1.5341025479812753E-2</v>
      </c>
      <c r="K186" s="89"/>
      <c r="L186" s="126"/>
      <c r="M186" s="32"/>
      <c r="N186" s="254"/>
      <c r="O186" s="271">
        <v>483906</v>
      </c>
      <c r="P186" s="254"/>
      <c r="Q186" s="254"/>
      <c r="R186" s="254"/>
      <c r="S186" s="254"/>
      <c r="T186" s="254"/>
      <c r="U186" s="254"/>
      <c r="V186" s="254"/>
      <c r="W186" s="265"/>
      <c r="X186" s="265"/>
      <c r="Y186" s="265"/>
      <c r="Z186" s="265"/>
      <c r="AA186" s="265"/>
    </row>
    <row r="187" spans="2:27">
      <c r="C187" s="435"/>
      <c r="D187" s="47" t="s">
        <v>14</v>
      </c>
      <c r="E187" s="126">
        <f>+SUMIF('Mois Y-1'!$A$8:$A$18,'Tableau détaillé'!$D187,'Mois Y-1'!$B$8:$B$18)</f>
        <v>245791</v>
      </c>
      <c r="F187" s="126">
        <f>+SUMIF('Dec A-1'!$A$8:$A$18,'Tableau détaillé'!$D187,'Dec A-1'!$B$8:$B$18)</f>
        <v>245791</v>
      </c>
      <c r="G187" s="126">
        <f>+SUMIF('Mois courant'!$A$9:$A$20,'Tableau détaillé'!$D187,'Mois courant'!$B$9:$B$20)</f>
        <v>237395</v>
      </c>
      <c r="H187" s="163">
        <f t="shared" ref="H187:H198" si="45">+G187/F187-1</f>
        <v>-3.4159102652253304E-2</v>
      </c>
      <c r="I187" s="89"/>
      <c r="J187" s="62">
        <f t="shared" ref="J187:J198" si="46">+$H$185</f>
        <v>1.5341025479812753E-2</v>
      </c>
      <c r="K187" s="89"/>
      <c r="L187" s="126"/>
      <c r="M187" s="32"/>
      <c r="N187" s="254"/>
      <c r="O187" s="271">
        <v>316825</v>
      </c>
      <c r="P187" s="254"/>
      <c r="Q187" s="254"/>
      <c r="R187" s="254"/>
      <c r="S187" s="254"/>
      <c r="T187" s="254"/>
      <c r="U187" s="254"/>
      <c r="V187" s="254"/>
      <c r="W187" s="265"/>
      <c r="X187" s="265"/>
      <c r="Y187" s="265"/>
      <c r="Z187" s="265"/>
      <c r="AA187" s="265"/>
    </row>
    <row r="188" spans="2:27">
      <c r="C188" s="435"/>
      <c r="D188" s="47" t="s">
        <v>17</v>
      </c>
      <c r="E188" s="126">
        <f>+SUMIF('Mois Y-1'!$A$8:$A$18,'Tableau détaillé'!$D188,'Mois Y-1'!$B$8:$B$18)</f>
        <v>248436</v>
      </c>
      <c r="F188" s="126">
        <f>+SUMIF('Dec A-1'!$A$8:$A$18,'Tableau détaillé'!$D188,'Dec A-1'!$B$8:$B$18)</f>
        <v>248436</v>
      </c>
      <c r="G188" s="126">
        <f>+SUMIF('Mois courant'!$A$9:$A$20,'Tableau détaillé'!$D188,'Mois courant'!$B$9:$B$20)</f>
        <v>253482</v>
      </c>
      <c r="H188" s="163">
        <f t="shared" si="45"/>
        <v>2.0311066029077951E-2</v>
      </c>
      <c r="I188" s="89"/>
      <c r="J188" s="62">
        <f t="shared" si="46"/>
        <v>1.5341025479812753E-2</v>
      </c>
      <c r="K188" s="89"/>
      <c r="L188" s="126"/>
      <c r="M188" s="32"/>
      <c r="N188" s="254"/>
      <c r="O188" s="271">
        <v>217202</v>
      </c>
      <c r="P188" s="254"/>
      <c r="Q188" s="254"/>
      <c r="R188" s="254"/>
      <c r="S188" s="254"/>
      <c r="T188" s="254"/>
      <c r="U188" s="254"/>
      <c r="V188" s="254"/>
      <c r="W188" s="265"/>
      <c r="X188" s="265"/>
      <c r="Y188" s="265"/>
      <c r="Z188" s="265"/>
      <c r="AA188" s="265"/>
    </row>
    <row r="189" spans="2:27">
      <c r="C189" s="435"/>
      <c r="D189" s="47" t="s">
        <v>18</v>
      </c>
      <c r="E189" s="126">
        <f>+SUMIF('Mois Y-1'!$A$8:$A$18,'Tableau détaillé'!$D189,'Mois Y-1'!$B$8:$B$18)</f>
        <v>112567</v>
      </c>
      <c r="F189" s="126">
        <f>+SUMIF('Dec A-1'!$A$8:$A$18,'Tableau détaillé'!$D189,'Dec A-1'!$B$8:$B$18)</f>
        <v>112567</v>
      </c>
      <c r="G189" s="126">
        <f>+SUMIF('Mois courant'!$A$9:$A$20,'Tableau détaillé'!$D189,'Mois courant'!$B$9:$B$20)</f>
        <v>114127</v>
      </c>
      <c r="H189" s="163">
        <f t="shared" si="45"/>
        <v>1.3858413211687237E-2</v>
      </c>
      <c r="I189" s="89"/>
      <c r="J189" s="62">
        <f t="shared" si="46"/>
        <v>1.5341025479812753E-2</v>
      </c>
      <c r="K189" s="89"/>
      <c r="L189" s="126"/>
      <c r="M189" s="32"/>
      <c r="N189" s="254"/>
      <c r="O189" s="271">
        <v>107486</v>
      </c>
      <c r="P189" s="254"/>
      <c r="Q189" s="254"/>
      <c r="R189" s="254"/>
      <c r="S189" s="254"/>
      <c r="T189" s="254"/>
      <c r="U189" s="254"/>
      <c r="V189" s="254"/>
      <c r="W189" s="265"/>
      <c r="X189" s="265"/>
      <c r="Y189" s="265"/>
      <c r="Z189" s="265"/>
      <c r="AA189" s="265"/>
    </row>
    <row r="190" spans="2:27">
      <c r="C190" s="435"/>
      <c r="D190" s="47" t="s">
        <v>19</v>
      </c>
      <c r="E190" s="126">
        <f>+SUMIF('Mois Y-1'!$A$8:$A$18,'Tableau détaillé'!$D190,'Mois Y-1'!$B$8:$B$18)</f>
        <v>102416</v>
      </c>
      <c r="F190" s="126">
        <f>+SUMIF('Dec A-1'!$A$8:$A$18,'Tableau détaillé'!$D190,'Dec A-1'!$B$8:$B$18)</f>
        <v>102416</v>
      </c>
      <c r="G190" s="126">
        <f>+SUMIF('Mois courant'!$A$9:$A$20,'Tableau détaillé'!$D190,'Mois courant'!$B$9:$B$20)</f>
        <v>100290</v>
      </c>
      <c r="H190" s="163">
        <f t="shared" si="45"/>
        <v>-2.0758475238244034E-2</v>
      </c>
      <c r="I190" s="89"/>
      <c r="J190" s="62">
        <f t="shared" si="46"/>
        <v>1.5341025479812753E-2</v>
      </c>
      <c r="K190" s="89"/>
      <c r="L190" s="126"/>
      <c r="M190" s="32"/>
      <c r="N190" s="254"/>
      <c r="O190" s="271">
        <v>103898</v>
      </c>
      <c r="P190" s="254"/>
      <c r="Q190" s="254"/>
      <c r="R190" s="254"/>
      <c r="S190" s="254"/>
      <c r="T190" s="254"/>
      <c r="U190" s="254"/>
      <c r="V190" s="254"/>
      <c r="W190" s="265"/>
      <c r="X190" s="265"/>
      <c r="Y190" s="265"/>
      <c r="Z190" s="265"/>
      <c r="AA190" s="265"/>
    </row>
    <row r="191" spans="2:27">
      <c r="C191" s="435"/>
      <c r="D191" s="47" t="s">
        <v>21</v>
      </c>
      <c r="E191" s="126">
        <f>+SUMIF('Mois Y-1'!$A$8:$A$18,'Tableau détaillé'!$D191,'Mois Y-1'!$B$8:$B$18)</f>
        <v>33534</v>
      </c>
      <c r="F191" s="126">
        <f>+SUMIF('Dec A-1'!$A$8:$A$18,'Tableau détaillé'!$D191,'Dec A-1'!$B$8:$B$18)</f>
        <v>33534</v>
      </c>
      <c r="G191" s="126">
        <f>+SUMIF('Mois courant'!$A$9:$A$20,'Tableau détaillé'!$D191,'Mois courant'!$B$9:$B$20)</f>
        <v>31510</v>
      </c>
      <c r="H191" s="163">
        <f t="shared" si="45"/>
        <v>-6.0356652949245526E-2</v>
      </c>
      <c r="I191" s="89"/>
      <c r="J191" s="62">
        <f t="shared" si="46"/>
        <v>1.5341025479812753E-2</v>
      </c>
      <c r="K191" s="89"/>
      <c r="L191" s="126"/>
      <c r="M191" s="32"/>
      <c r="N191" s="254"/>
      <c r="O191" s="271">
        <v>37600</v>
      </c>
      <c r="P191" s="254"/>
      <c r="Q191" s="254"/>
      <c r="R191" s="254"/>
      <c r="S191" s="254"/>
      <c r="T191" s="254"/>
      <c r="U191" s="254"/>
      <c r="V191" s="254"/>
      <c r="W191" s="265"/>
      <c r="X191" s="265"/>
      <c r="Y191" s="265"/>
      <c r="Z191" s="265"/>
      <c r="AA191" s="265"/>
    </row>
    <row r="192" spans="2:27">
      <c r="C192" s="435"/>
      <c r="D192" s="47" t="s">
        <v>22</v>
      </c>
      <c r="E192" s="126">
        <f>+SUMIF('Mois Y-1'!$A$8:$A$18,'Tableau détaillé'!$D192,'Mois Y-1'!$B$8:$B$18)</f>
        <v>32837</v>
      </c>
      <c r="F192" s="126">
        <f>+SUMIF('Dec A-1'!$A$8:$A$18,'Tableau détaillé'!$D192,'Dec A-1'!$B$8:$B$18)</f>
        <v>32837</v>
      </c>
      <c r="G192" s="126">
        <f>+SUMIF('Mois courant'!$A$9:$A$20,'Tableau détaillé'!$D192,'Mois courant'!$B$9:$B$20)</f>
        <v>33959</v>
      </c>
      <c r="H192" s="163">
        <f t="shared" si="45"/>
        <v>3.4168773030422983E-2</v>
      </c>
      <c r="I192" s="89"/>
      <c r="J192" s="62">
        <f t="shared" si="46"/>
        <v>1.5341025479812753E-2</v>
      </c>
      <c r="K192" s="89"/>
      <c r="L192" s="126"/>
      <c r="M192" s="32"/>
      <c r="N192" s="254"/>
      <c r="O192" s="271">
        <v>31254</v>
      </c>
      <c r="P192" s="254"/>
      <c r="Q192" s="254"/>
      <c r="R192" s="254"/>
      <c r="S192" s="254"/>
      <c r="T192" s="254"/>
      <c r="U192" s="254"/>
      <c r="V192" s="254"/>
      <c r="W192" s="265"/>
      <c r="X192" s="265"/>
      <c r="Y192" s="265"/>
      <c r="Z192" s="265"/>
      <c r="AA192" s="265"/>
    </row>
    <row r="193" spans="3:27">
      <c r="C193" s="435"/>
      <c r="D193" s="48" t="s">
        <v>62</v>
      </c>
      <c r="E193" s="124">
        <f>SUM(E186:E192)</f>
        <v>1359323</v>
      </c>
      <c r="F193" s="124">
        <f>SUM(F186:F192)</f>
        <v>1359323</v>
      </c>
      <c r="G193" s="124">
        <f>SUM(G186:G192)</f>
        <v>1365579</v>
      </c>
      <c r="H193" s="103">
        <f t="shared" si="45"/>
        <v>4.6022909933842726E-3</v>
      </c>
      <c r="I193" s="88"/>
      <c r="J193" s="62">
        <f t="shared" si="46"/>
        <v>1.5341025479812753E-2</v>
      </c>
      <c r="K193" s="88"/>
      <c r="L193" s="124"/>
      <c r="M193" s="31"/>
      <c r="N193" s="169"/>
      <c r="O193" s="270">
        <v>1298171</v>
      </c>
      <c r="P193" s="169"/>
      <c r="Q193" s="169"/>
      <c r="R193" s="169"/>
      <c r="S193" s="169"/>
      <c r="T193" s="169"/>
      <c r="U193" s="169"/>
      <c r="V193" s="169"/>
      <c r="W193" s="265"/>
      <c r="X193" s="265"/>
      <c r="Y193" s="265"/>
      <c r="Z193" s="265"/>
      <c r="AA193" s="265"/>
    </row>
    <row r="194" spans="3:27">
      <c r="C194" s="435"/>
      <c r="D194" s="47" t="s">
        <v>15</v>
      </c>
      <c r="E194" s="126">
        <f>+SUMIF('Mois Y-1'!$A$8:$A$18,'Tableau détaillé'!$D194,'Mois Y-1'!$B$8:$B$18)</f>
        <v>292739</v>
      </c>
      <c r="F194" s="126">
        <f>+SUMIF('Dec A-1'!$A$8:$A$18,'Tableau détaillé'!$D194,'Dec A-1'!$B$8:$B$18)</f>
        <v>292739</v>
      </c>
      <c r="G194" s="126">
        <f>+SUMIF('Mois courant'!$A$9:$A$20,'Tableau détaillé'!$D194,'Mois courant'!$B$9:$B$20)</f>
        <v>314006</v>
      </c>
      <c r="H194" s="163">
        <f t="shared" si="45"/>
        <v>7.2648331790434506E-2</v>
      </c>
      <c r="I194" s="89"/>
      <c r="J194" s="62">
        <f t="shared" si="46"/>
        <v>1.5341025479812753E-2</v>
      </c>
      <c r="K194" s="89"/>
      <c r="L194" s="126"/>
      <c r="M194" s="32"/>
      <c r="N194" s="254"/>
      <c r="O194" s="271">
        <v>248246</v>
      </c>
      <c r="P194" s="254"/>
      <c r="Q194" s="254"/>
      <c r="R194" s="254"/>
      <c r="S194" s="254"/>
      <c r="T194" s="254"/>
      <c r="U194" s="254"/>
      <c r="V194" s="254"/>
      <c r="W194" s="265"/>
      <c r="X194" s="265"/>
      <c r="Y194" s="265"/>
      <c r="Z194" s="265"/>
      <c r="AA194" s="265"/>
    </row>
    <row r="195" spans="3:27">
      <c r="C195" s="435"/>
      <c r="D195" s="47" t="s">
        <v>16</v>
      </c>
      <c r="E195" s="126">
        <f>+SUMIF('Mois Y-1'!$A$8:$A$18,'Tableau détaillé'!$D195,'Mois Y-1'!$B$8:$B$18)</f>
        <v>239018</v>
      </c>
      <c r="F195" s="126">
        <f>+SUMIF('Dec A-1'!$A$8:$A$18,'Tableau détaillé'!$D195,'Dec A-1'!$B$8:$B$18)</f>
        <v>239018</v>
      </c>
      <c r="G195" s="126">
        <f>+SUMIF('Mois courant'!$A$9:$A$20,'Tableau détaillé'!$D195,'Mois courant'!$B$9:$B$20)</f>
        <v>236552</v>
      </c>
      <c r="H195" s="163">
        <f t="shared" si="45"/>
        <v>-1.0317214603084324E-2</v>
      </c>
      <c r="I195" s="89"/>
      <c r="J195" s="62">
        <f t="shared" si="46"/>
        <v>1.5341025479812753E-2</v>
      </c>
      <c r="K195" s="89"/>
      <c r="L195" s="126"/>
      <c r="M195" s="32"/>
      <c r="N195" s="254"/>
      <c r="O195" s="271">
        <v>236865</v>
      </c>
      <c r="P195" s="254"/>
      <c r="Q195" s="254"/>
      <c r="R195" s="254"/>
      <c r="S195" s="254"/>
      <c r="T195" s="254"/>
      <c r="U195" s="254"/>
      <c r="V195" s="254"/>
      <c r="W195" s="265"/>
      <c r="X195" s="265"/>
      <c r="Y195" s="265"/>
      <c r="Z195" s="265"/>
      <c r="AA195" s="265"/>
    </row>
    <row r="196" spans="3:27">
      <c r="C196" s="435"/>
      <c r="D196" s="47" t="s">
        <v>20</v>
      </c>
      <c r="E196" s="126">
        <f>+SUMIF('Mois Y-1'!$A$8:$A$18,'Tableau détaillé'!$D196,'Mois Y-1'!$B$8:$B$18)</f>
        <v>54157</v>
      </c>
      <c r="F196" s="126">
        <f>+SUMIF('Dec A-1'!$A$8:$A$18,'Tableau détaillé'!$D196,'Dec A-1'!$B$8:$B$18)</f>
        <v>54157</v>
      </c>
      <c r="G196" s="126">
        <f>+SUMIF('Mois courant'!$A$9:$A$20,'Tableau détaillé'!$D196,'Mois courant'!$B$9:$B$20)</f>
        <v>56402</v>
      </c>
      <c r="H196" s="163">
        <f t="shared" si="45"/>
        <v>4.1453551710766812E-2</v>
      </c>
      <c r="I196" s="89"/>
      <c r="J196" s="62">
        <f t="shared" si="46"/>
        <v>1.5341025479812753E-2</v>
      </c>
      <c r="K196" s="89"/>
      <c r="L196" s="126"/>
      <c r="M196" s="32"/>
      <c r="N196" s="254"/>
      <c r="O196" s="271">
        <v>55639</v>
      </c>
      <c r="P196" s="254"/>
      <c r="Q196" s="254"/>
      <c r="R196" s="254"/>
      <c r="S196" s="254"/>
      <c r="T196" s="254"/>
      <c r="U196" s="254"/>
      <c r="V196" s="254"/>
      <c r="W196" s="265"/>
      <c r="X196" s="265"/>
      <c r="Y196" s="265"/>
      <c r="Z196" s="265"/>
      <c r="AA196" s="265"/>
    </row>
    <row r="197" spans="3:27">
      <c r="C197" s="435"/>
      <c r="D197" s="47" t="s">
        <v>23</v>
      </c>
      <c r="E197" s="126">
        <f>+SUMIF('Mois Y-1'!$A$8:$A$18,'Tableau détaillé'!$D197,'Mois Y-1'!$B$8:$B$18)</f>
        <v>26991</v>
      </c>
      <c r="F197" s="126">
        <f>+SUMIF('Dec A-1'!$A$8:$A$18,'Tableau détaillé'!$D197,'Dec A-1'!$B$8:$B$18)</f>
        <v>26991</v>
      </c>
      <c r="G197" s="126">
        <f>+SUMIF('Mois courant'!$A$9:$A$20,'Tableau détaillé'!$D197,'Mois courant'!$B$9:$B$20)</f>
        <v>29945</v>
      </c>
      <c r="H197" s="163">
        <f t="shared" si="45"/>
        <v>0.10944388870364197</v>
      </c>
      <c r="I197" s="89"/>
      <c r="J197" s="62">
        <f t="shared" si="46"/>
        <v>1.5341025479812753E-2</v>
      </c>
      <c r="K197" s="89"/>
      <c r="L197" s="126"/>
      <c r="M197" s="32"/>
      <c r="N197" s="254"/>
      <c r="O197" s="271">
        <v>19182</v>
      </c>
      <c r="P197" s="254"/>
      <c r="Q197" s="254"/>
      <c r="R197" s="254"/>
      <c r="S197" s="254"/>
      <c r="T197" s="254"/>
      <c r="U197" s="254"/>
      <c r="V197" s="254"/>
      <c r="W197" s="265"/>
      <c r="X197" s="265"/>
      <c r="Y197" s="265"/>
      <c r="Z197" s="265"/>
      <c r="AA197" s="265"/>
    </row>
    <row r="198" spans="3:27" ht="14.4" thickBot="1">
      <c r="C198" s="436"/>
      <c r="D198" s="49" t="s">
        <v>63</v>
      </c>
      <c r="E198" s="129">
        <f>SUM(E194:E197)</f>
        <v>612905</v>
      </c>
      <c r="F198" s="129">
        <f>SUM(F194:F197)</f>
        <v>612905</v>
      </c>
      <c r="G198" s="129">
        <f>SUM(G194:G197)</f>
        <v>636905</v>
      </c>
      <c r="H198" s="86">
        <f t="shared" si="45"/>
        <v>3.9157781385369628E-2</v>
      </c>
      <c r="I198" s="90"/>
      <c r="J198" s="68">
        <f t="shared" si="46"/>
        <v>1.5341025479812753E-2</v>
      </c>
      <c r="K198" s="90"/>
      <c r="L198" s="129"/>
      <c r="M198" s="33"/>
      <c r="N198" s="169"/>
      <c r="O198" s="272">
        <v>559932</v>
      </c>
      <c r="P198" s="169"/>
      <c r="Q198" s="169"/>
      <c r="R198" s="169"/>
      <c r="S198" s="169"/>
      <c r="T198" s="169"/>
      <c r="U198" s="169"/>
      <c r="V198" s="169"/>
      <c r="W198" s="265"/>
      <c r="X198" s="265"/>
      <c r="Y198" s="265"/>
      <c r="Z198" s="265"/>
      <c r="AA198" s="265"/>
    </row>
    <row r="199" spans="3:27" s="350" customFormat="1" ht="15" thickTop="1">
      <c r="C199" s="323"/>
      <c r="E199" s="136"/>
      <c r="F199" s="136"/>
      <c r="G199" s="136"/>
      <c r="J199" s="100"/>
      <c r="N199" s="448"/>
      <c r="O199" s="448"/>
      <c r="P199" s="448"/>
      <c r="Q199" s="448"/>
      <c r="R199" s="448"/>
      <c r="S199" s="448"/>
      <c r="T199" s="448"/>
      <c r="U199" s="421"/>
      <c r="V199" s="421"/>
      <c r="W199" s="421"/>
      <c r="X199" s="421"/>
      <c r="Y199" s="349"/>
      <c r="Z199" s="349"/>
      <c r="AA199" s="349"/>
    </row>
    <row r="200" spans="3:27" s="350" customFormat="1" ht="14.4">
      <c r="C200" s="323"/>
      <c r="E200" s="136"/>
      <c r="F200" s="136"/>
      <c r="G200" s="136"/>
      <c r="H200" s="209"/>
      <c r="N200" s="448"/>
      <c r="O200" s="448"/>
      <c r="P200" s="448"/>
      <c r="Q200" s="448"/>
      <c r="R200" s="448"/>
      <c r="S200" s="448"/>
      <c r="T200" s="448"/>
      <c r="U200" s="421"/>
      <c r="V200" s="421"/>
      <c r="W200" s="421"/>
      <c r="X200" s="421"/>
      <c r="Y200" s="349"/>
      <c r="Z200" s="349"/>
      <c r="AA200" s="349"/>
    </row>
    <row r="201" spans="3:27" ht="14.4" thickBot="1">
      <c r="C201" s="252"/>
      <c r="E201" s="132"/>
      <c r="F201" s="132"/>
      <c r="G201" s="132"/>
      <c r="H201" s="98"/>
      <c r="L201" s="98"/>
      <c r="M201" s="98"/>
      <c r="N201" s="170"/>
      <c r="O201" s="170"/>
      <c r="P201" s="170"/>
      <c r="Q201" s="170"/>
      <c r="R201" s="170"/>
      <c r="S201" s="170"/>
      <c r="T201" s="170"/>
      <c r="U201" s="170"/>
      <c r="V201" s="170"/>
      <c r="W201" s="265"/>
      <c r="X201" s="265"/>
      <c r="Y201" s="265"/>
      <c r="Z201" s="265"/>
      <c r="AA201" s="265"/>
    </row>
    <row r="202" spans="3:27" ht="15" thickTop="1" thickBot="1">
      <c r="C202" s="459" t="s">
        <v>74</v>
      </c>
      <c r="D202" s="29"/>
      <c r="E202" s="747">
        <v>44926</v>
      </c>
      <c r="F202" s="747">
        <v>44926</v>
      </c>
      <c r="G202" s="747">
        <v>45291</v>
      </c>
      <c r="H202" s="104" t="s">
        <v>60</v>
      </c>
      <c r="I202" s="50"/>
      <c r="J202" s="69"/>
      <c r="K202" s="50"/>
      <c r="L202" s="122"/>
      <c r="M202" s="120"/>
      <c r="N202" s="169"/>
      <c r="O202" s="169"/>
      <c r="P202" s="169"/>
      <c r="Q202" s="169"/>
      <c r="R202" s="169"/>
      <c r="S202" s="169"/>
      <c r="T202" s="169"/>
      <c r="U202" s="169"/>
      <c r="V202" s="169"/>
      <c r="W202" s="265"/>
      <c r="X202" s="265"/>
      <c r="Y202" s="265"/>
      <c r="Z202" s="265"/>
      <c r="AA202" s="265"/>
    </row>
    <row r="203" spans="3:27" ht="14.4" thickTop="1">
      <c r="C203" s="460" t="s">
        <v>427</v>
      </c>
      <c r="D203" s="30" t="s">
        <v>64</v>
      </c>
      <c r="E203" s="124">
        <f>SUM(E211,E216)</f>
        <v>1287715.9999991572</v>
      </c>
      <c r="F203" s="124">
        <f>SUM(F211,F216)</f>
        <v>1287715.9999991572</v>
      </c>
      <c r="G203" s="124">
        <f>SUM(G211,G216)</f>
        <v>1317175.9999991693</v>
      </c>
      <c r="H203" s="103">
        <f>+G203/F203-1</f>
        <v>2.2877715272646704E-2</v>
      </c>
      <c r="I203" s="88"/>
      <c r="J203" s="61"/>
      <c r="K203" s="88"/>
      <c r="L203" s="124"/>
      <c r="M203" s="31"/>
      <c r="N203" s="169">
        <f>G203/G185</f>
        <v>0.65777104835752453</v>
      </c>
      <c r="O203" s="169"/>
      <c r="P203" s="169"/>
      <c r="Q203" s="169"/>
      <c r="R203" s="169"/>
      <c r="S203" s="169"/>
      <c r="T203" s="169"/>
      <c r="U203" s="169"/>
      <c r="V203" s="169"/>
      <c r="W203" s="265"/>
      <c r="X203" s="265"/>
      <c r="Y203" s="265"/>
      <c r="Z203" s="265"/>
      <c r="AA203" s="265"/>
    </row>
    <row r="204" spans="3:27">
      <c r="C204" s="435"/>
      <c r="D204" s="47" t="s">
        <v>13</v>
      </c>
      <c r="E204" s="126">
        <f>+E186*E286</f>
        <v>359440.99999943387</v>
      </c>
      <c r="F204" s="126">
        <f t="shared" ref="F204:G204" si="47">+F186*F286</f>
        <v>359440.99999943387</v>
      </c>
      <c r="G204" s="126">
        <f t="shared" si="47"/>
        <v>378043.99999978481</v>
      </c>
      <c r="H204" s="163">
        <f>+G204/F204-1</f>
        <v>5.175536458105845E-2</v>
      </c>
      <c r="I204" s="89"/>
      <c r="J204" s="62">
        <f t="shared" ref="J204:J216" si="48">+$H$203</f>
        <v>2.2877715272646704E-2</v>
      </c>
      <c r="K204" s="89"/>
      <c r="L204" s="126"/>
      <c r="M204" s="32"/>
      <c r="N204" s="254"/>
      <c r="O204" s="254"/>
      <c r="P204" s="254"/>
      <c r="Q204" s="254"/>
      <c r="R204" s="254"/>
      <c r="S204" s="254"/>
      <c r="T204" s="254"/>
      <c r="U204" s="254"/>
      <c r="V204" s="254"/>
      <c r="W204" s="265"/>
      <c r="X204" s="265"/>
      <c r="Y204" s="265"/>
      <c r="Z204" s="265"/>
      <c r="AA204" s="265"/>
    </row>
    <row r="205" spans="3:27">
      <c r="C205" s="435"/>
      <c r="D205" s="47" t="s">
        <v>14</v>
      </c>
      <c r="E205" s="126">
        <f t="shared" ref="E205:G205" si="49">+E187*E287</f>
        <v>138400.99999999293</v>
      </c>
      <c r="F205" s="126">
        <f t="shared" si="49"/>
        <v>138400.99999999293</v>
      </c>
      <c r="G205" s="126">
        <f t="shared" si="49"/>
        <v>142199.99999987875</v>
      </c>
      <c r="H205" s="163">
        <f>+G205/F205-1</f>
        <v>2.7449223631953679E-2</v>
      </c>
      <c r="I205" s="89"/>
      <c r="J205" s="62">
        <f t="shared" si="48"/>
        <v>2.2877715272646704E-2</v>
      </c>
      <c r="K205" s="89"/>
      <c r="L205" s="126"/>
      <c r="M205" s="32"/>
      <c r="N205" s="254"/>
      <c r="O205" s="254"/>
      <c r="P205" s="254"/>
      <c r="Q205" s="254"/>
      <c r="R205" s="254"/>
      <c r="S205" s="254"/>
      <c r="T205" s="254"/>
      <c r="U205" s="254"/>
      <c r="V205" s="254"/>
      <c r="W205" s="265"/>
      <c r="X205" s="265"/>
      <c r="Y205" s="265"/>
      <c r="Z205" s="265"/>
      <c r="AA205" s="265"/>
    </row>
    <row r="206" spans="3:27">
      <c r="C206" s="435"/>
      <c r="D206" s="47" t="s">
        <v>17</v>
      </c>
      <c r="E206" s="126">
        <f t="shared" ref="E206:G206" si="50">+E188*E288</f>
        <v>129864.99999999355</v>
      </c>
      <c r="F206" s="126">
        <f>+F188*F288</f>
        <v>129864.99999999355</v>
      </c>
      <c r="G206" s="126">
        <f t="shared" si="50"/>
        <v>128602.99999993369</v>
      </c>
      <c r="H206" s="163">
        <f t="shared" ref="H206:H215" si="51">+G206/F206-1</f>
        <v>-9.717783852923656E-3</v>
      </c>
      <c r="I206" s="89"/>
      <c r="J206" s="62">
        <f t="shared" si="48"/>
        <v>2.2877715272646704E-2</v>
      </c>
      <c r="K206" s="89"/>
      <c r="L206" s="126"/>
      <c r="M206" s="32"/>
      <c r="N206" s="254"/>
      <c r="O206" s="254"/>
      <c r="P206" s="254"/>
      <c r="Q206" s="254"/>
      <c r="R206" s="254"/>
      <c r="S206" s="254"/>
      <c r="T206" s="254"/>
      <c r="U206" s="254"/>
      <c r="V206" s="254"/>
      <c r="W206" s="265"/>
      <c r="X206" s="265"/>
      <c r="Y206" s="265"/>
      <c r="Z206" s="265"/>
      <c r="AA206" s="265"/>
    </row>
    <row r="207" spans="3:27">
      <c r="C207" s="435"/>
      <c r="D207" s="47" t="s">
        <v>18</v>
      </c>
      <c r="E207" s="126">
        <f t="shared" ref="E207:G207" si="52">+E189*E289</f>
        <v>68467.999999924708</v>
      </c>
      <c r="F207" s="126">
        <f t="shared" si="52"/>
        <v>68467.999999924708</v>
      </c>
      <c r="G207" s="126">
        <f t="shared" si="52"/>
        <v>66263.999999933978</v>
      </c>
      <c r="H207" s="163">
        <f t="shared" si="51"/>
        <v>-3.2190220248775381E-2</v>
      </c>
      <c r="I207" s="89"/>
      <c r="J207" s="62">
        <f t="shared" si="48"/>
        <v>2.2877715272646704E-2</v>
      </c>
      <c r="K207" s="89"/>
      <c r="L207" s="126"/>
      <c r="M207" s="32"/>
      <c r="N207" s="254"/>
      <c r="O207" s="254"/>
      <c r="P207" s="254"/>
      <c r="Q207" s="254"/>
      <c r="R207" s="254"/>
      <c r="S207" s="254"/>
      <c r="T207" s="254"/>
      <c r="U207" s="254"/>
      <c r="V207" s="254"/>
      <c r="W207" s="265"/>
      <c r="X207" s="265"/>
      <c r="Y207" s="265"/>
      <c r="Z207" s="265"/>
      <c r="AA207" s="265"/>
    </row>
    <row r="208" spans="3:27">
      <c r="C208" s="435"/>
      <c r="D208" s="47" t="s">
        <v>19</v>
      </c>
      <c r="E208" s="126">
        <f t="shared" ref="E208:G208" si="53">+E190*E290</f>
        <v>69843.99999998181</v>
      </c>
      <c r="F208" s="126">
        <f t="shared" si="53"/>
        <v>69843.99999998181</v>
      </c>
      <c r="G208" s="126">
        <f t="shared" si="53"/>
        <v>68827.999999911844</v>
      </c>
      <c r="H208" s="163">
        <f t="shared" si="51"/>
        <v>-1.4546704084391404E-2</v>
      </c>
      <c r="I208" s="89"/>
      <c r="J208" s="62">
        <f t="shared" si="48"/>
        <v>2.2877715272646704E-2</v>
      </c>
      <c r="K208" s="89"/>
      <c r="L208" s="126"/>
      <c r="M208" s="32"/>
      <c r="N208" s="254"/>
      <c r="O208" s="254"/>
      <c r="P208" s="254"/>
      <c r="Q208" s="254"/>
      <c r="R208" s="254"/>
      <c r="S208" s="254"/>
      <c r="T208" s="254"/>
      <c r="U208" s="254"/>
      <c r="V208" s="254"/>
      <c r="W208" s="265"/>
      <c r="X208" s="265"/>
      <c r="Y208" s="265"/>
      <c r="Z208" s="265"/>
      <c r="AA208" s="265"/>
    </row>
    <row r="209" spans="2:27">
      <c r="C209" s="435"/>
      <c r="D209" s="47" t="s">
        <v>21</v>
      </c>
      <c r="E209" s="126">
        <f t="shared" ref="E209:G209" si="54">+E191*E291</f>
        <v>21121.99999999065</v>
      </c>
      <c r="F209" s="126">
        <f t="shared" si="54"/>
        <v>21121.99999999065</v>
      </c>
      <c r="G209" s="126">
        <f t="shared" si="54"/>
        <v>20394.999999986831</v>
      </c>
      <c r="H209" s="163">
        <f t="shared" si="51"/>
        <v>-3.4419089101606959E-2</v>
      </c>
      <c r="I209" s="89"/>
      <c r="J209" s="62">
        <f t="shared" si="48"/>
        <v>2.2877715272646704E-2</v>
      </c>
      <c r="K209" s="89"/>
      <c r="L209" s="126"/>
      <c r="M209" s="32"/>
      <c r="N209" s="254"/>
      <c r="O209" s="254"/>
      <c r="P209" s="254"/>
      <c r="Q209" s="254"/>
      <c r="R209" s="254"/>
      <c r="S209" s="254"/>
      <c r="T209" s="254"/>
      <c r="U209" s="254"/>
      <c r="V209" s="254"/>
      <c r="W209" s="265"/>
      <c r="X209" s="265"/>
      <c r="Y209" s="265"/>
      <c r="Z209" s="265"/>
      <c r="AA209" s="265"/>
    </row>
    <row r="210" spans="2:27">
      <c r="C210" s="435"/>
      <c r="D210" s="47" t="s">
        <v>22</v>
      </c>
      <c r="E210" s="126">
        <f t="shared" ref="E210:G210" si="55">+E192*E292</f>
        <v>25677.99999997747</v>
      </c>
      <c r="F210" s="126">
        <f t="shared" si="55"/>
        <v>25677.99999997747</v>
      </c>
      <c r="G210" s="126">
        <f t="shared" si="55"/>
        <v>26060.999999968182</v>
      </c>
      <c r="H210" s="163">
        <f t="shared" si="51"/>
        <v>1.4915491860388208E-2</v>
      </c>
      <c r="I210" s="89"/>
      <c r="J210" s="62">
        <f t="shared" si="48"/>
        <v>2.2877715272646704E-2</v>
      </c>
      <c r="K210" s="89"/>
      <c r="L210" s="126"/>
      <c r="M210" s="32"/>
      <c r="N210" s="254"/>
      <c r="O210" s="254"/>
      <c r="P210" s="254"/>
      <c r="Q210" s="254"/>
      <c r="R210" s="254"/>
      <c r="S210" s="254"/>
      <c r="T210" s="254"/>
      <c r="U210" s="254"/>
      <c r="V210" s="254"/>
      <c r="W210" s="265"/>
      <c r="X210" s="265"/>
      <c r="Y210" s="265"/>
      <c r="Z210" s="265"/>
      <c r="AA210" s="265"/>
    </row>
    <row r="211" spans="2:27">
      <c r="C211" s="435"/>
      <c r="D211" s="48" t="s">
        <v>62</v>
      </c>
      <c r="E211" s="124">
        <f>SUM(E204:E210)</f>
        <v>812818.99999929499</v>
      </c>
      <c r="F211" s="124">
        <f>SUM(F204:F210)</f>
        <v>812818.99999929499</v>
      </c>
      <c r="G211" s="124">
        <f>SUM(G204:G210)</f>
        <v>830394.99999939813</v>
      </c>
      <c r="H211" s="103">
        <f>+G211/F211-1</f>
        <v>2.162351027734144E-2</v>
      </c>
      <c r="I211" s="88"/>
      <c r="J211" s="62">
        <f t="shared" si="48"/>
        <v>2.2877715272646704E-2</v>
      </c>
      <c r="K211" s="88"/>
      <c r="L211" s="124"/>
      <c r="M211" s="31"/>
      <c r="N211" s="169"/>
      <c r="O211" s="169"/>
      <c r="P211" s="169"/>
      <c r="Q211" s="169"/>
      <c r="R211" s="169"/>
      <c r="S211" s="169"/>
      <c r="T211" s="169"/>
      <c r="U211" s="169"/>
      <c r="V211" s="169"/>
      <c r="W211" s="265"/>
      <c r="X211" s="265"/>
      <c r="Y211" s="265"/>
      <c r="Z211" s="265"/>
      <c r="AA211" s="265"/>
    </row>
    <row r="212" spans="2:27">
      <c r="C212" s="435"/>
      <c r="D212" s="47" t="s">
        <v>15</v>
      </c>
      <c r="E212" s="126">
        <f t="shared" ref="E212:G212" si="56">+E194*E294</f>
        <v>244593.99999998108</v>
      </c>
      <c r="F212" s="126">
        <f t="shared" si="56"/>
        <v>244593.99999998108</v>
      </c>
      <c r="G212" s="126">
        <f t="shared" si="56"/>
        <v>254528.99999984147</v>
      </c>
      <c r="H212" s="163">
        <f t="shared" si="51"/>
        <v>4.0618330784324863E-2</v>
      </c>
      <c r="I212" s="89"/>
      <c r="J212" s="62">
        <f t="shared" si="48"/>
        <v>2.2877715272646704E-2</v>
      </c>
      <c r="K212" s="89"/>
      <c r="L212" s="126"/>
      <c r="M212" s="32"/>
      <c r="N212" s="254"/>
      <c r="O212" s="254"/>
      <c r="P212" s="254"/>
      <c r="Q212" s="254"/>
      <c r="R212" s="254"/>
      <c r="S212" s="254"/>
      <c r="T212" s="254"/>
      <c r="U212" s="254"/>
      <c r="V212" s="254"/>
      <c r="W212" s="265"/>
      <c r="X212" s="265"/>
      <c r="Y212" s="265"/>
      <c r="Z212" s="265"/>
      <c r="AA212" s="265"/>
    </row>
    <row r="213" spans="2:27">
      <c r="C213" s="435"/>
      <c r="D213" s="47" t="s">
        <v>16</v>
      </c>
      <c r="E213" s="126">
        <f t="shared" ref="E213:G213" si="57">+E195*E295</f>
        <v>171849.99999993731</v>
      </c>
      <c r="F213" s="126">
        <f t="shared" si="57"/>
        <v>171849.99999993731</v>
      </c>
      <c r="G213" s="126">
        <f t="shared" si="57"/>
        <v>173799.99999997456</v>
      </c>
      <c r="H213" s="163">
        <f t="shared" si="51"/>
        <v>1.1347105033680416E-2</v>
      </c>
      <c r="I213" s="89"/>
      <c r="J213" s="62">
        <f t="shared" si="48"/>
        <v>2.2877715272646704E-2</v>
      </c>
      <c r="K213" s="89"/>
      <c r="L213" s="126"/>
      <c r="M213" s="32"/>
      <c r="N213" s="254"/>
      <c r="O213" s="254"/>
      <c r="P213" s="254"/>
      <c r="Q213" s="254"/>
      <c r="R213" s="254"/>
      <c r="S213" s="254"/>
      <c r="T213" s="254"/>
      <c r="U213" s="254"/>
      <c r="V213" s="254"/>
      <c r="W213" s="265"/>
      <c r="X213" s="265"/>
      <c r="Y213" s="265"/>
      <c r="Z213" s="265"/>
      <c r="AA213" s="265"/>
    </row>
    <row r="214" spans="2:27">
      <c r="C214" s="435"/>
      <c r="D214" s="47" t="s">
        <v>20</v>
      </c>
      <c r="E214" s="126">
        <f t="shared" ref="E214:G214" si="58">+E196*E296</f>
        <v>37211.999999951251</v>
      </c>
      <c r="F214" s="126">
        <f t="shared" si="58"/>
        <v>37211.999999951251</v>
      </c>
      <c r="G214" s="126">
        <f t="shared" si="58"/>
        <v>37226.999999955158</v>
      </c>
      <c r="H214" s="163">
        <f t="shared" si="51"/>
        <v>4.0309577566177701E-4</v>
      </c>
      <c r="I214" s="89"/>
      <c r="J214" s="62">
        <f t="shared" si="48"/>
        <v>2.2877715272646704E-2</v>
      </c>
      <c r="K214" s="89"/>
      <c r="L214" s="126"/>
      <c r="M214" s="32"/>
      <c r="N214" s="254"/>
      <c r="O214" s="254"/>
      <c r="P214" s="254"/>
      <c r="Q214" s="254"/>
      <c r="R214" s="254"/>
      <c r="S214" s="254"/>
      <c r="T214" s="254"/>
      <c r="U214" s="254"/>
      <c r="V214" s="254"/>
      <c r="W214" s="265"/>
      <c r="X214" s="265"/>
      <c r="Y214" s="265"/>
      <c r="Z214" s="265"/>
      <c r="AA214" s="265"/>
    </row>
    <row r="215" spans="2:27">
      <c r="C215" s="435"/>
      <c r="D215" s="47" t="s">
        <v>23</v>
      </c>
      <c r="E215" s="126">
        <f t="shared" ref="E215:G215" si="59">+E197*E297</f>
        <v>21240.999999992593</v>
      </c>
      <c r="F215" s="126">
        <f t="shared" si="59"/>
        <v>21240.999999992593</v>
      </c>
      <c r="G215" s="126">
        <f t="shared" si="59"/>
        <v>21225</v>
      </c>
      <c r="H215" s="163">
        <f t="shared" si="51"/>
        <v>-7.5326020397337157E-4</v>
      </c>
      <c r="I215" s="89"/>
      <c r="J215" s="62">
        <f t="shared" si="48"/>
        <v>2.2877715272646704E-2</v>
      </c>
      <c r="K215" s="89"/>
      <c r="L215" s="126"/>
      <c r="M215" s="32"/>
      <c r="N215" s="254"/>
      <c r="O215" s="254"/>
      <c r="P215" s="254"/>
      <c r="Q215" s="254"/>
      <c r="R215" s="254"/>
      <c r="S215" s="254"/>
      <c r="T215" s="254"/>
      <c r="U215" s="254"/>
      <c r="V215" s="254"/>
      <c r="W215" s="265"/>
      <c r="X215" s="265"/>
      <c r="Y215" s="265"/>
      <c r="Z215" s="265"/>
      <c r="AA215" s="265"/>
    </row>
    <row r="216" spans="2:27" ht="14.4" thickBot="1">
      <c r="C216" s="436"/>
      <c r="D216" s="49" t="s">
        <v>63</v>
      </c>
      <c r="E216" s="129">
        <f>SUM(E212:E215)</f>
        <v>474896.99999986222</v>
      </c>
      <c r="F216" s="129">
        <f>SUM(F212:F215)</f>
        <v>474896.99999986222</v>
      </c>
      <c r="G216" s="129">
        <f>SUM(G212:G215)</f>
        <v>486780.99999977124</v>
      </c>
      <c r="H216" s="86">
        <f>+G216/F216-1</f>
        <v>2.5024373706114211E-2</v>
      </c>
      <c r="I216" s="90"/>
      <c r="J216" s="68">
        <f t="shared" si="48"/>
        <v>2.2877715272646704E-2</v>
      </c>
      <c r="K216" s="90"/>
      <c r="L216" s="129"/>
      <c r="M216" s="33"/>
      <c r="N216" s="169"/>
      <c r="O216" s="169"/>
      <c r="P216" s="169"/>
      <c r="Q216" s="169"/>
      <c r="R216" s="169"/>
      <c r="S216" s="169"/>
      <c r="T216" s="169"/>
      <c r="U216" s="169"/>
      <c r="V216" s="169"/>
      <c r="W216" s="265"/>
      <c r="X216" s="265"/>
      <c r="Y216" s="265"/>
      <c r="Z216" s="265"/>
      <c r="AA216" s="265"/>
    </row>
    <row r="217" spans="2:27" ht="14.4" thickTop="1">
      <c r="C217" s="252"/>
      <c r="E217" s="132"/>
      <c r="F217" s="132"/>
      <c r="G217" s="132"/>
      <c r="H217" s="98"/>
      <c r="L217" s="98"/>
      <c r="M217" s="98"/>
      <c r="N217" s="170"/>
      <c r="O217" s="170"/>
      <c r="P217" s="170"/>
      <c r="Q217" s="170"/>
      <c r="R217" s="170"/>
      <c r="S217" s="170"/>
      <c r="T217" s="170"/>
      <c r="U217" s="170"/>
      <c r="V217" s="170"/>
      <c r="W217" s="265"/>
      <c r="X217" s="265"/>
      <c r="Y217" s="265"/>
      <c r="Z217" s="265"/>
      <c r="AA217" s="265"/>
    </row>
    <row r="218" spans="2:27" ht="14.4" thickBot="1">
      <c r="C218" s="252"/>
      <c r="E218" s="132"/>
      <c r="F218" s="132"/>
      <c r="G218" s="132"/>
      <c r="H218" s="98"/>
      <c r="L218" s="98"/>
      <c r="M218" s="98"/>
      <c r="N218" s="170"/>
      <c r="O218" s="170"/>
      <c r="P218" s="170"/>
      <c r="Q218" s="170"/>
      <c r="R218" s="170"/>
      <c r="S218" s="170"/>
      <c r="T218" s="170"/>
      <c r="U218" s="170"/>
      <c r="V218" s="170"/>
      <c r="W218" s="265"/>
      <c r="X218" s="265"/>
      <c r="Y218" s="265"/>
      <c r="Z218" s="265"/>
      <c r="AA218" s="265"/>
    </row>
    <row r="219" spans="2:27" ht="15" thickTop="1" thickBot="1">
      <c r="C219" s="459" t="s">
        <v>301</v>
      </c>
      <c r="D219" s="29"/>
      <c r="E219" s="747">
        <v>44926</v>
      </c>
      <c r="F219" s="747">
        <v>44926</v>
      </c>
      <c r="G219" s="747">
        <v>45291</v>
      </c>
      <c r="H219" s="104" t="s">
        <v>60</v>
      </c>
      <c r="I219" s="50"/>
      <c r="J219" s="69"/>
      <c r="K219" s="50"/>
      <c r="L219" s="122"/>
      <c r="M219" s="120"/>
      <c r="N219" s="169"/>
      <c r="O219" s="169"/>
      <c r="P219" s="169"/>
      <c r="Q219" s="169"/>
      <c r="R219" s="169"/>
      <c r="S219" s="169"/>
      <c r="T219" s="169"/>
      <c r="U219" s="169"/>
      <c r="V219" s="169"/>
      <c r="W219" s="265"/>
      <c r="X219" s="265"/>
      <c r="Y219" s="265"/>
      <c r="Z219" s="265"/>
      <c r="AA219" s="265"/>
    </row>
    <row r="220" spans="2:27" ht="14.4" thickTop="1">
      <c r="C220" s="460" t="s">
        <v>302</v>
      </c>
      <c r="D220" s="30" t="s">
        <v>64</v>
      </c>
      <c r="E220" s="416">
        <f>SUM(E228,E233)</f>
        <v>189442</v>
      </c>
      <c r="F220" s="416">
        <f>SUM(F228,F233)</f>
        <v>189442</v>
      </c>
      <c r="G220" s="416">
        <f>SUM(G228,G233)</f>
        <v>177142</v>
      </c>
      <c r="H220" s="103">
        <f>+G220/E220-1</f>
        <v>-6.4927523991511915E-2</v>
      </c>
      <c r="I220" s="88"/>
      <c r="J220" s="61"/>
      <c r="K220" s="88"/>
      <c r="L220" s="124"/>
      <c r="M220" s="31"/>
      <c r="N220" s="169"/>
      <c r="O220" s="169"/>
      <c r="P220" s="169"/>
      <c r="Q220" s="169"/>
      <c r="R220" s="169"/>
      <c r="S220" s="169"/>
      <c r="T220" s="169"/>
      <c r="U220" s="169"/>
      <c r="V220" s="169"/>
      <c r="W220" s="265"/>
      <c r="X220" s="265"/>
      <c r="Y220" s="265"/>
      <c r="Z220" s="265"/>
      <c r="AA220" s="265"/>
    </row>
    <row r="221" spans="2:27">
      <c r="B221" s="28" t="s">
        <v>131</v>
      </c>
      <c r="C221" s="435"/>
      <c r="D221" s="47" t="s">
        <v>13</v>
      </c>
      <c r="E221" s="126">
        <f>+SUMIFS(Equipement_Efficité!$C:$C,Equipement_Efficité!$A:$A,'Tableau détaillé'!E$219,Equipement_Efficité!$B:$B,'Tableau détaillé'!$B221)</f>
        <v>54277</v>
      </c>
      <c r="F221" s="126">
        <f>+SUMIFS(Equipement_Efficité!$C:$C,Equipement_Efficité!$A:$A,'Tableau détaillé'!F$219,Equipement_Efficité!$B:$B,'Tableau détaillé'!$B221)</f>
        <v>54277</v>
      </c>
      <c r="G221" s="126">
        <f>+SUMIFS(Equipement_Efficité!$C:$C,Equipement_Efficité!$A:$A,'Tableau détaillé'!G$219,Equipement_Efficité!$B:$B,'Tableau détaillé'!$B221)</f>
        <v>56817</v>
      </c>
      <c r="H221" s="163">
        <f t="shared" ref="H221:H233" si="60">+G221/E221-1</f>
        <v>4.6796985831936144E-2</v>
      </c>
      <c r="I221" s="89"/>
      <c r="J221" s="62">
        <f>+$H$220</f>
        <v>-6.4927523991511915E-2</v>
      </c>
      <c r="K221" s="89"/>
      <c r="L221" s="126"/>
      <c r="M221" s="32"/>
      <c r="N221" s="254"/>
      <c r="O221" s="254"/>
      <c r="P221" s="254"/>
      <c r="Q221" s="254"/>
      <c r="R221" s="254"/>
      <c r="S221" s="254"/>
      <c r="T221" s="254"/>
      <c r="U221" s="254"/>
      <c r="V221" s="254"/>
      <c r="W221" s="265"/>
      <c r="X221" s="265"/>
      <c r="Y221" s="265"/>
      <c r="Z221" s="265"/>
      <c r="AA221" s="265"/>
    </row>
    <row r="222" spans="2:27">
      <c r="B222" s="28" t="s">
        <v>136</v>
      </c>
      <c r="C222" s="435"/>
      <c r="D222" s="47" t="s">
        <v>14</v>
      </c>
      <c r="E222" s="126">
        <f>+SUMIFS(Equipement_Efficité!$C:$C,Equipement_Efficité!$A:$A,'Tableau détaillé'!E$219,Equipement_Efficité!$B:$B,'Tableau détaillé'!$B222)</f>
        <v>20940</v>
      </c>
      <c r="F222" s="126">
        <f>+SUMIFS(Equipement_Efficité!$C:$C,Equipement_Efficité!$A:$A,'Tableau détaillé'!F$219,Equipement_Efficité!$B:$B,'Tableau détaillé'!$B222)</f>
        <v>20940</v>
      </c>
      <c r="G222" s="126">
        <f>+SUMIFS(Equipement_Efficité!$C:$C,Equipement_Efficité!$A:$A,'Tableau détaillé'!G$219,Equipement_Efficité!$B:$B,'Tableau détaillé'!$B222)</f>
        <v>16895</v>
      </c>
      <c r="H222" s="163">
        <f t="shared" si="60"/>
        <v>-0.19317096466093597</v>
      </c>
      <c r="I222" s="89"/>
      <c r="J222" s="62">
        <f t="shared" ref="J222:J233" si="61">+$H$220</f>
        <v>-6.4927523991511915E-2</v>
      </c>
      <c r="K222" s="89"/>
      <c r="L222" s="126"/>
      <c r="M222" s="32"/>
      <c r="N222" s="254"/>
      <c r="O222" s="254"/>
      <c r="P222" s="254"/>
      <c r="Q222" s="254"/>
      <c r="R222" s="254"/>
      <c r="S222" s="254"/>
      <c r="T222" s="254"/>
      <c r="U222" s="254"/>
      <c r="V222" s="254"/>
      <c r="W222" s="265"/>
      <c r="X222" s="265"/>
      <c r="Y222" s="265"/>
      <c r="Z222" s="265"/>
      <c r="AA222" s="265"/>
    </row>
    <row r="223" spans="2:27">
      <c r="B223" s="28" t="s">
        <v>141</v>
      </c>
      <c r="C223" s="435"/>
      <c r="D223" s="47" t="s">
        <v>17</v>
      </c>
      <c r="E223" s="126">
        <f>+SUMIFS(Equipement_Efficité!$C:$C,Equipement_Efficité!$A:$A,'Tableau détaillé'!E$219,Equipement_Efficité!$B:$B,'Tableau détaillé'!$B223)</f>
        <v>18833</v>
      </c>
      <c r="F223" s="126">
        <f>+SUMIFS(Equipement_Efficité!$C:$C,Equipement_Efficité!$A:$A,'Tableau détaillé'!F$219,Equipement_Efficité!$B:$B,'Tableau détaillé'!$B223)</f>
        <v>18833</v>
      </c>
      <c r="G223" s="126">
        <f>+SUMIFS(Equipement_Efficité!$C:$C,Equipement_Efficité!$A:$A,'Tableau détaillé'!G$219,Equipement_Efficité!$B:$B,'Tableau détaillé'!$B223)</f>
        <v>13962</v>
      </c>
      <c r="H223" s="163">
        <f t="shared" si="60"/>
        <v>-0.25864174587160838</v>
      </c>
      <c r="I223" s="89"/>
      <c r="J223" s="62">
        <f t="shared" si="61"/>
        <v>-6.4927523991511915E-2</v>
      </c>
      <c r="K223" s="89"/>
      <c r="L223" s="126"/>
      <c r="M223" s="32"/>
      <c r="N223" s="254"/>
      <c r="O223" s="254"/>
      <c r="P223" s="254"/>
      <c r="Q223" s="254"/>
      <c r="R223" s="254"/>
      <c r="S223" s="254"/>
      <c r="T223" s="254"/>
      <c r="U223" s="254"/>
      <c r="V223" s="254"/>
      <c r="W223" s="265"/>
      <c r="X223" s="265"/>
      <c r="Y223" s="265"/>
      <c r="Z223" s="265"/>
      <c r="AA223" s="265"/>
    </row>
    <row r="224" spans="2:27">
      <c r="B224" s="28" t="s">
        <v>124</v>
      </c>
      <c r="C224" s="435"/>
      <c r="D224" s="47" t="s">
        <v>18</v>
      </c>
      <c r="E224" s="126">
        <f>+SUMIFS(Equipement_Efficité!$C:$C,Equipement_Efficité!$A:$A,'Tableau détaillé'!E$219,Equipement_Efficité!$B:$B,'Tableau détaillé'!$B224)</f>
        <v>3501</v>
      </c>
      <c r="F224" s="126">
        <f>+SUMIFS(Equipement_Efficité!$C:$C,Equipement_Efficité!$A:$A,'Tableau détaillé'!F$219,Equipement_Efficité!$B:$B,'Tableau détaillé'!$B224)</f>
        <v>3501</v>
      </c>
      <c r="G224" s="126">
        <f>+SUMIFS(Equipement_Efficité!$C:$C,Equipement_Efficité!$A:$A,'Tableau détaillé'!G$219,Equipement_Efficité!$B:$B,'Tableau détaillé'!$B224)</f>
        <v>2670</v>
      </c>
      <c r="H224" s="163">
        <f t="shared" si="60"/>
        <v>-0.23736075407026569</v>
      </c>
      <c r="I224" s="89"/>
      <c r="J224" s="62">
        <f t="shared" si="61"/>
        <v>-6.4927523991511915E-2</v>
      </c>
      <c r="K224" s="89"/>
      <c r="L224" s="126"/>
      <c r="M224" s="32"/>
      <c r="N224" s="254"/>
      <c r="O224" s="254"/>
      <c r="P224" s="254"/>
      <c r="Q224" s="254"/>
      <c r="R224" s="254"/>
      <c r="S224" s="254"/>
      <c r="T224" s="254"/>
      <c r="U224" s="254"/>
      <c r="V224" s="254"/>
      <c r="W224" s="265"/>
      <c r="X224" s="265"/>
      <c r="Y224" s="265"/>
      <c r="Z224" s="265"/>
      <c r="AA224" s="265"/>
    </row>
    <row r="225" spans="2:27">
      <c r="B225" s="28" t="s">
        <v>137</v>
      </c>
      <c r="C225" s="435"/>
      <c r="D225" s="47" t="s">
        <v>19</v>
      </c>
      <c r="E225" s="126">
        <f>+SUMIFS(Equipement_Efficité!$C:$C,Equipement_Efficité!$A:$A,'Tableau détaillé'!E$219,Equipement_Efficité!$B:$B,'Tableau détaillé'!$B225)</f>
        <v>5559</v>
      </c>
      <c r="F225" s="126">
        <f>+SUMIFS(Equipement_Efficité!$C:$C,Equipement_Efficité!$A:$A,'Tableau détaillé'!F$219,Equipement_Efficité!$B:$B,'Tableau détaillé'!$B225)</f>
        <v>5559</v>
      </c>
      <c r="G225" s="126">
        <f>+SUMIFS(Equipement_Efficité!$C:$C,Equipement_Efficité!$A:$A,'Tableau détaillé'!G$219,Equipement_Efficité!$B:$B,'Tableau détaillé'!$B225)</f>
        <v>7633</v>
      </c>
      <c r="H225" s="163">
        <f t="shared" si="60"/>
        <v>0.37308868501529058</v>
      </c>
      <c r="I225" s="89"/>
      <c r="J225" s="62">
        <f t="shared" si="61"/>
        <v>-6.4927523991511915E-2</v>
      </c>
      <c r="K225" s="89"/>
      <c r="L225" s="126"/>
      <c r="M225" s="32"/>
      <c r="N225" s="254"/>
      <c r="O225" s="254"/>
      <c r="P225" s="254"/>
      <c r="Q225" s="254"/>
      <c r="R225" s="254"/>
      <c r="S225" s="254"/>
      <c r="T225" s="254"/>
      <c r="U225" s="254"/>
      <c r="V225" s="254"/>
      <c r="W225" s="265"/>
      <c r="X225" s="265"/>
      <c r="Y225" s="265"/>
      <c r="Z225" s="265"/>
      <c r="AA225" s="265"/>
    </row>
    <row r="226" spans="2:27">
      <c r="B226" s="28" t="s">
        <v>123</v>
      </c>
      <c r="C226" s="435"/>
      <c r="D226" s="47" t="s">
        <v>21</v>
      </c>
      <c r="E226" s="126">
        <f>+SUMIFS(Equipement_Efficité!$C:$C,Equipement_Efficité!$A:$A,'Tableau détaillé'!E$219,Equipement_Efficité!$B:$B,'Tableau détaillé'!$B226)</f>
        <v>1118</v>
      </c>
      <c r="F226" s="126">
        <f>+SUMIFS(Equipement_Efficité!$C:$C,Equipement_Efficité!$A:$A,'Tableau détaillé'!F$219,Equipement_Efficité!$B:$B,'Tableau détaillé'!$B226)</f>
        <v>1118</v>
      </c>
      <c r="G226" s="126">
        <f>+SUMIFS(Equipement_Efficité!$C:$C,Equipement_Efficité!$A:$A,'Tableau détaillé'!G$219,Equipement_Efficité!$B:$B,'Tableau détaillé'!$B226)</f>
        <v>2237</v>
      </c>
      <c r="H226" s="163">
        <f t="shared" si="60"/>
        <v>1.0008944543828266</v>
      </c>
      <c r="I226" s="89"/>
      <c r="J226" s="62">
        <f t="shared" si="61"/>
        <v>-6.4927523991511915E-2</v>
      </c>
      <c r="K226" s="89"/>
      <c r="L226" s="126"/>
      <c r="M226" s="32"/>
      <c r="N226" s="254"/>
      <c r="O226" s="254"/>
      <c r="P226" s="254"/>
      <c r="Q226" s="254"/>
      <c r="R226" s="254"/>
      <c r="S226" s="254"/>
      <c r="T226" s="254"/>
      <c r="U226" s="254"/>
      <c r="V226" s="254"/>
      <c r="W226" s="265"/>
      <c r="X226" s="265"/>
      <c r="Y226" s="265"/>
      <c r="Z226" s="265"/>
      <c r="AA226" s="265"/>
    </row>
    <row r="227" spans="2:27">
      <c r="B227" s="28" t="s">
        <v>139</v>
      </c>
      <c r="C227" s="435"/>
      <c r="D227" s="47" t="s">
        <v>22</v>
      </c>
      <c r="E227" s="126">
        <f>+SUMIFS(Equipement_Efficité!$C:$C,Equipement_Efficité!$A:$A,'Tableau détaillé'!E$219,Equipement_Efficité!$B:$B,'Tableau détaillé'!$B227)</f>
        <v>2962</v>
      </c>
      <c r="F227" s="126">
        <f>+SUMIFS(Equipement_Efficité!$C:$C,Equipement_Efficité!$A:$A,'Tableau détaillé'!F$219,Equipement_Efficité!$B:$B,'Tableau détaillé'!$B227)</f>
        <v>2962</v>
      </c>
      <c r="G227" s="126">
        <f>+SUMIFS(Equipement_Efficité!$C:$C,Equipement_Efficité!$A:$A,'Tableau détaillé'!G$219,Equipement_Efficité!$B:$B,'Tableau détaillé'!$B227)</f>
        <v>2407</v>
      </c>
      <c r="H227" s="163">
        <f t="shared" si="60"/>
        <v>-0.187373396353815</v>
      </c>
      <c r="I227" s="89"/>
      <c r="J227" s="62">
        <f t="shared" si="61"/>
        <v>-6.4927523991511915E-2</v>
      </c>
      <c r="K227" s="89"/>
      <c r="L227" s="126"/>
      <c r="M227" s="32"/>
      <c r="N227" s="254"/>
      <c r="O227" s="254"/>
      <c r="P227" s="254"/>
      <c r="Q227" s="254"/>
      <c r="R227" s="254"/>
      <c r="S227" s="254"/>
      <c r="T227" s="254"/>
      <c r="U227" s="254"/>
      <c r="V227" s="254"/>
      <c r="W227" s="265"/>
      <c r="X227" s="265"/>
      <c r="Y227" s="265"/>
      <c r="Z227" s="265"/>
      <c r="AA227" s="265"/>
    </row>
    <row r="228" spans="2:27">
      <c r="C228" s="435"/>
      <c r="D228" s="48" t="s">
        <v>62</v>
      </c>
      <c r="E228" s="416">
        <f>SUM(E221:E227)</f>
        <v>107190</v>
      </c>
      <c r="F228" s="416">
        <f>SUM(F221:F227)</f>
        <v>107190</v>
      </c>
      <c r="G228" s="416">
        <f>SUM(G221:G227)</f>
        <v>102621</v>
      </c>
      <c r="H228" s="103">
        <f t="shared" si="60"/>
        <v>-4.2625244892247394E-2</v>
      </c>
      <c r="I228" s="88"/>
      <c r="J228" s="62">
        <f t="shared" si="61"/>
        <v>-6.4927523991511915E-2</v>
      </c>
      <c r="K228" s="88"/>
      <c r="L228" s="124"/>
      <c r="M228" s="31"/>
      <c r="N228" s="169"/>
      <c r="O228" s="169"/>
      <c r="P228" s="169"/>
      <c r="Q228" s="169"/>
      <c r="R228" s="169"/>
      <c r="S228" s="169"/>
      <c r="T228" s="169"/>
      <c r="U228" s="169"/>
      <c r="V228" s="169"/>
      <c r="W228" s="265"/>
      <c r="X228" s="265"/>
      <c r="Y228" s="265"/>
      <c r="Z228" s="265"/>
      <c r="AA228" s="265"/>
    </row>
    <row r="229" spans="2:27">
      <c r="B229" s="28" t="s">
        <v>138</v>
      </c>
      <c r="C229" s="435"/>
      <c r="D229" s="47" t="s">
        <v>15</v>
      </c>
      <c r="E229" s="126">
        <f>+SUMIFS(Equipement_Efficité!$C:$C,Equipement_Efficité!$A:$A,'Tableau détaillé'!E$219,Equipement_Efficité!$B:$B,'Tableau détaillé'!$B229)</f>
        <v>47909</v>
      </c>
      <c r="F229" s="126">
        <f>+SUMIFS(Equipement_Efficité!$C:$C,Equipement_Efficité!$A:$A,'Tableau détaillé'!F$219,Equipement_Efficité!$B:$B,'Tableau détaillé'!$B229)</f>
        <v>47909</v>
      </c>
      <c r="G229" s="126">
        <f>+SUMIFS(Equipement_Efficité!$C:$C,Equipement_Efficité!$A:$A,'Tableau détaillé'!G$219,Equipement_Efficité!$B:$B,'Tableau détaillé'!$B229)</f>
        <v>44677</v>
      </c>
      <c r="H229" s="163">
        <f t="shared" si="60"/>
        <v>-6.7461228579181354E-2</v>
      </c>
      <c r="I229" s="89"/>
      <c r="J229" s="62">
        <f t="shared" si="61"/>
        <v>-6.4927523991511915E-2</v>
      </c>
      <c r="K229" s="89"/>
      <c r="L229" s="126"/>
      <c r="M229" s="32"/>
      <c r="N229" s="254"/>
      <c r="O229" s="254"/>
      <c r="P229" s="254"/>
      <c r="Q229" s="254"/>
      <c r="R229" s="254"/>
      <c r="S229" s="254"/>
      <c r="T229" s="254"/>
      <c r="U229" s="254"/>
      <c r="V229" s="254"/>
      <c r="W229" s="265"/>
      <c r="X229" s="265"/>
      <c r="Y229" s="265"/>
      <c r="Z229" s="265"/>
      <c r="AA229" s="265"/>
    </row>
    <row r="230" spans="2:27">
      <c r="B230" s="28" t="s">
        <v>132</v>
      </c>
      <c r="C230" s="435"/>
      <c r="D230" s="47" t="s">
        <v>16</v>
      </c>
      <c r="E230" s="126">
        <f>+SUMIFS(Equipement_Efficité!$C:$C,Equipement_Efficité!$A:$A,'Tableau détaillé'!E$219,Equipement_Efficité!$B:$B,'Tableau détaillé'!$B230)</f>
        <v>25466</v>
      </c>
      <c r="F230" s="126">
        <f>+SUMIFS(Equipement_Efficité!$C:$C,Equipement_Efficité!$A:$A,'Tableau détaillé'!F$219,Equipement_Efficité!$B:$B,'Tableau détaillé'!$B230)</f>
        <v>25466</v>
      </c>
      <c r="G230" s="126">
        <f>+SUMIFS(Equipement_Efficité!$C:$C,Equipement_Efficité!$A:$A,'Tableau détaillé'!G$219,Equipement_Efficité!$B:$B,'Tableau détaillé'!$B230)</f>
        <v>23279</v>
      </c>
      <c r="H230" s="163">
        <f t="shared" si="60"/>
        <v>-8.5879211497683183E-2</v>
      </c>
      <c r="I230" s="89"/>
      <c r="J230" s="62">
        <f t="shared" si="61"/>
        <v>-6.4927523991511915E-2</v>
      </c>
      <c r="K230" s="89"/>
      <c r="L230" s="126"/>
      <c r="M230" s="32"/>
      <c r="N230" s="254"/>
      <c r="O230" s="254"/>
      <c r="P230" s="254"/>
      <c r="Q230" s="254"/>
      <c r="R230" s="254"/>
      <c r="S230" s="254"/>
      <c r="T230" s="254"/>
      <c r="U230" s="254"/>
      <c r="V230" s="254"/>
      <c r="W230" s="265"/>
      <c r="X230" s="265"/>
      <c r="Y230" s="265"/>
      <c r="Z230" s="265"/>
      <c r="AA230" s="265"/>
    </row>
    <row r="231" spans="2:27">
      <c r="B231" s="28" t="s">
        <v>140</v>
      </c>
      <c r="C231" s="435"/>
      <c r="D231" s="47" t="s">
        <v>20</v>
      </c>
      <c r="E231" s="126">
        <f>+SUMIFS(Equipement_Efficité!$C:$C,Equipement_Efficité!$A:$A,'Tableau détaillé'!E$219,Equipement_Efficité!$B:$B,'Tableau détaillé'!$B231)</f>
        <v>2759</v>
      </c>
      <c r="F231" s="126">
        <f>+SUMIFS(Equipement_Efficité!$C:$C,Equipement_Efficité!$A:$A,'Tableau détaillé'!F$219,Equipement_Efficité!$B:$B,'Tableau détaillé'!$B231)</f>
        <v>2759</v>
      </c>
      <c r="G231" s="126">
        <f>+SUMIFS(Equipement_Efficité!$C:$C,Equipement_Efficité!$A:$A,'Tableau détaillé'!G$219,Equipement_Efficité!$B:$B,'Tableau détaillé'!$B231)</f>
        <v>2730</v>
      </c>
      <c r="H231" s="163">
        <f t="shared" si="60"/>
        <v>-1.05110547299746E-2</v>
      </c>
      <c r="I231" s="89"/>
      <c r="J231" s="62">
        <f t="shared" si="61"/>
        <v>-6.4927523991511915E-2</v>
      </c>
      <c r="K231" s="89"/>
      <c r="L231" s="126"/>
      <c r="M231" s="32"/>
      <c r="N231" s="254"/>
      <c r="O231" s="254"/>
      <c r="P231" s="254"/>
      <c r="Q231" s="254"/>
      <c r="R231" s="254"/>
      <c r="S231" s="254"/>
      <c r="T231" s="254"/>
      <c r="U231" s="254"/>
      <c r="V231" s="254"/>
      <c r="W231" s="265"/>
      <c r="X231" s="265"/>
      <c r="Y231" s="265"/>
      <c r="Z231" s="265"/>
      <c r="AA231" s="265"/>
    </row>
    <row r="232" spans="2:27">
      <c r="B232" s="28" t="s">
        <v>135</v>
      </c>
      <c r="C232" s="435"/>
      <c r="D232" s="47" t="s">
        <v>23</v>
      </c>
      <c r="E232" s="126">
        <f>+SUMIFS(Equipement_Efficité!$C:$C,Equipement_Efficité!$A:$A,'Tableau détaillé'!E$219,Equipement_Efficité!$B:$B,'Tableau détaillé'!$B232)</f>
        <v>6118</v>
      </c>
      <c r="F232" s="126">
        <f>+SUMIFS(Equipement_Efficité!$C:$C,Equipement_Efficité!$A:$A,'Tableau détaillé'!F$219,Equipement_Efficité!$B:$B,'Tableau détaillé'!$B232)</f>
        <v>6118</v>
      </c>
      <c r="G232" s="126">
        <f>+SUMIFS(Equipement_Efficité!$C:$C,Equipement_Efficité!$A:$A,'Tableau détaillé'!G$219,Equipement_Efficité!$B:$B,'Tableau détaillé'!$B232)</f>
        <v>3835</v>
      </c>
      <c r="H232" s="163">
        <f t="shared" si="60"/>
        <v>-0.37316116377901276</v>
      </c>
      <c r="I232" s="89"/>
      <c r="J232" s="62">
        <f t="shared" si="61"/>
        <v>-6.4927523991511915E-2</v>
      </c>
      <c r="K232" s="89"/>
      <c r="L232" s="126"/>
      <c r="M232" s="32"/>
      <c r="N232" s="254"/>
      <c r="O232" s="254"/>
      <c r="P232" s="254"/>
      <c r="Q232" s="254"/>
      <c r="R232" s="254"/>
      <c r="S232" s="254"/>
      <c r="T232" s="254"/>
      <c r="U232" s="254"/>
      <c r="V232" s="254"/>
      <c r="W232" s="265"/>
      <c r="X232" s="265"/>
      <c r="Y232" s="265"/>
      <c r="Z232" s="265"/>
      <c r="AA232" s="265"/>
    </row>
    <row r="233" spans="2:27" ht="14.4" thickBot="1">
      <c r="C233" s="436"/>
      <c r="D233" s="49" t="s">
        <v>63</v>
      </c>
      <c r="E233" s="417">
        <f>SUM(E229:E232)</f>
        <v>82252</v>
      </c>
      <c r="F233" s="417">
        <f>SUM(F229:F232)</f>
        <v>82252</v>
      </c>
      <c r="G233" s="417">
        <f>SUM(G229:G232)</f>
        <v>74521</v>
      </c>
      <c r="H233" s="86">
        <f t="shared" si="60"/>
        <v>-9.399163546175171E-2</v>
      </c>
      <c r="I233" s="90"/>
      <c r="J233" s="68">
        <f t="shared" si="61"/>
        <v>-6.4927523991511915E-2</v>
      </c>
      <c r="K233" s="90"/>
      <c r="L233" s="129"/>
      <c r="M233" s="33"/>
      <c r="N233" s="169"/>
      <c r="O233" s="169"/>
      <c r="P233" s="169"/>
      <c r="Q233" s="169"/>
      <c r="R233" s="169"/>
      <c r="S233" s="169"/>
      <c r="T233" s="169"/>
      <c r="U233" s="169"/>
      <c r="V233" s="169"/>
      <c r="W233" s="265"/>
      <c r="X233" s="265"/>
      <c r="Y233" s="265"/>
      <c r="Z233" s="265"/>
      <c r="AA233" s="265"/>
    </row>
    <row r="234" spans="2:27" ht="14.4" thickTop="1">
      <c r="C234" s="252"/>
      <c r="E234" s="132"/>
      <c r="F234" s="132"/>
      <c r="G234" s="132"/>
      <c r="H234" s="98"/>
      <c r="L234" s="98"/>
      <c r="M234" s="98"/>
      <c r="N234" s="170"/>
      <c r="O234" s="170"/>
      <c r="P234" s="170"/>
      <c r="Q234" s="170"/>
      <c r="R234" s="170"/>
      <c r="S234" s="170"/>
      <c r="T234" s="170"/>
      <c r="U234" s="170"/>
      <c r="V234" s="170"/>
      <c r="W234" s="265"/>
      <c r="X234" s="265"/>
      <c r="Y234" s="265"/>
      <c r="Z234" s="265"/>
      <c r="AA234" s="265"/>
    </row>
    <row r="235" spans="2:27" ht="14.4" thickBot="1">
      <c r="C235" s="252"/>
      <c r="E235" s="132"/>
      <c r="F235" s="132"/>
      <c r="G235" s="132"/>
      <c r="H235" s="98"/>
      <c r="L235" s="98"/>
      <c r="M235" s="98"/>
      <c r="N235" s="170"/>
      <c r="O235" s="170"/>
      <c r="P235" s="170"/>
      <c r="Q235" s="170"/>
      <c r="R235" s="170"/>
      <c r="S235" s="170"/>
      <c r="T235" s="170"/>
      <c r="U235" s="170"/>
      <c r="V235" s="170"/>
      <c r="W235" s="265"/>
      <c r="X235" s="265"/>
      <c r="Y235" s="265"/>
      <c r="Z235" s="265"/>
      <c r="AA235" s="265"/>
    </row>
    <row r="236" spans="2:27" ht="15" thickTop="1" thickBot="1">
      <c r="C236" s="459" t="s">
        <v>301</v>
      </c>
      <c r="D236" s="29"/>
      <c r="E236" s="747">
        <v>44926</v>
      </c>
      <c r="F236" s="747">
        <v>44926</v>
      </c>
      <c r="G236" s="747">
        <v>45291</v>
      </c>
      <c r="H236" s="104" t="s">
        <v>60</v>
      </c>
      <c r="I236" s="50"/>
      <c r="J236" s="69"/>
      <c r="K236" s="50"/>
      <c r="L236" s="122"/>
      <c r="M236" s="120"/>
      <c r="N236" s="169"/>
      <c r="O236" s="169"/>
      <c r="P236" s="169"/>
      <c r="Q236" s="169"/>
      <c r="R236" s="169"/>
      <c r="S236" s="169"/>
      <c r="T236" s="169"/>
      <c r="U236" s="169"/>
      <c r="V236" s="169"/>
      <c r="W236" s="265"/>
      <c r="X236" s="265"/>
      <c r="Y236" s="265"/>
      <c r="Z236" s="265"/>
      <c r="AA236" s="265"/>
    </row>
    <row r="237" spans="2:27" ht="14.4" thickTop="1">
      <c r="C237" s="460" t="s">
        <v>355</v>
      </c>
      <c r="D237" s="30" t="s">
        <v>64</v>
      </c>
      <c r="E237" s="103">
        <f t="shared" ref="E237:E250" si="62">+E220/O185</f>
        <v>0.10195452028224485</v>
      </c>
      <c r="F237" s="103">
        <f t="shared" ref="F237" si="63">+F220/O185</f>
        <v>0.10195452028224485</v>
      </c>
      <c r="G237" s="103">
        <f t="shared" ref="G237:G250" si="64">+G220/F185</f>
        <v>8.9818215743818666E-2</v>
      </c>
      <c r="H237" s="38">
        <f>+(G237-E237)*100</f>
        <v>-1.2136304538426179</v>
      </c>
      <c r="I237" s="88"/>
      <c r="J237" s="61"/>
      <c r="K237" s="88"/>
      <c r="L237" s="124"/>
      <c r="M237" s="31"/>
      <c r="N237" s="169"/>
      <c r="O237" s="169"/>
      <c r="P237" s="169"/>
      <c r="Q237" s="169"/>
      <c r="R237" s="169"/>
      <c r="S237" s="169"/>
      <c r="T237" s="169"/>
      <c r="U237" s="169"/>
      <c r="V237" s="169"/>
      <c r="W237" s="265"/>
      <c r="X237" s="265"/>
      <c r="Y237" s="265"/>
      <c r="Z237" s="265"/>
      <c r="AA237" s="265"/>
    </row>
    <row r="238" spans="2:27">
      <c r="B238" s="28" t="s">
        <v>131</v>
      </c>
      <c r="C238" s="435"/>
      <c r="D238" s="47" t="s">
        <v>13</v>
      </c>
      <c r="E238" s="163">
        <f t="shared" si="62"/>
        <v>0.11216434596801858</v>
      </c>
      <c r="F238" s="163">
        <f t="shared" ref="F238:F250" si="65">+F221/O186</f>
        <v>0.11216434596801858</v>
      </c>
      <c r="G238" s="163">
        <f t="shared" si="64"/>
        <v>9.7332383141867471E-2</v>
      </c>
      <c r="H238" s="40">
        <f t="shared" ref="H238:H250" si="66">+(G238-E238)*100</f>
        <v>-1.4831962826151111</v>
      </c>
      <c r="I238" s="89"/>
      <c r="J238" s="63">
        <f>+$H$237</f>
        <v>-1.2136304538426179</v>
      </c>
      <c r="K238" s="89"/>
      <c r="L238" s="126"/>
      <c r="M238" s="32"/>
      <c r="N238" s="254"/>
      <c r="O238" s="254"/>
      <c r="P238" s="254"/>
      <c r="Q238" s="254"/>
      <c r="R238" s="254"/>
      <c r="S238" s="254"/>
      <c r="T238" s="254"/>
      <c r="U238" s="254"/>
      <c r="V238" s="254"/>
      <c r="W238" s="265"/>
      <c r="X238" s="265"/>
      <c r="Y238" s="265"/>
      <c r="Z238" s="265"/>
      <c r="AA238" s="265"/>
    </row>
    <row r="239" spans="2:27">
      <c r="B239" s="28" t="s">
        <v>136</v>
      </c>
      <c r="C239" s="435"/>
      <c r="D239" s="47" t="s">
        <v>14</v>
      </c>
      <c r="E239" s="163">
        <f t="shared" si="62"/>
        <v>6.6093269154896231E-2</v>
      </c>
      <c r="F239" s="163">
        <f t="shared" si="65"/>
        <v>6.6093269154896231E-2</v>
      </c>
      <c r="G239" s="163">
        <f t="shared" si="64"/>
        <v>6.8737260518082433E-2</v>
      </c>
      <c r="H239" s="40">
        <f t="shared" si="66"/>
        <v>0.26439913631862016</v>
      </c>
      <c r="I239" s="89"/>
      <c r="J239" s="63">
        <f t="shared" ref="J239:J250" si="67">+$H$237</f>
        <v>-1.2136304538426179</v>
      </c>
      <c r="K239" s="89"/>
      <c r="L239" s="126"/>
      <c r="M239" s="32"/>
      <c r="N239" s="254"/>
      <c r="O239" s="254"/>
      <c r="P239" s="254"/>
      <c r="Q239" s="254"/>
      <c r="R239" s="254"/>
      <c r="S239" s="254"/>
      <c r="T239" s="254"/>
      <c r="U239" s="254"/>
      <c r="V239" s="254"/>
      <c r="W239" s="265"/>
      <c r="X239" s="265"/>
      <c r="Y239" s="265"/>
      <c r="Z239" s="265"/>
      <c r="AA239" s="265"/>
    </row>
    <row r="240" spans="2:27">
      <c r="B240" s="28" t="s">
        <v>141</v>
      </c>
      <c r="C240" s="435"/>
      <c r="D240" s="47" t="s">
        <v>17</v>
      </c>
      <c r="E240" s="163">
        <f t="shared" si="62"/>
        <v>8.6707304720951006E-2</v>
      </c>
      <c r="F240" s="163">
        <f t="shared" si="65"/>
        <v>8.6707304720951006E-2</v>
      </c>
      <c r="G240" s="163">
        <f t="shared" si="64"/>
        <v>5.619958460126552E-2</v>
      </c>
      <c r="H240" s="40">
        <f t="shared" si="66"/>
        <v>-3.0507720119685486</v>
      </c>
      <c r="I240" s="89"/>
      <c r="J240" s="63">
        <f t="shared" si="67"/>
        <v>-1.2136304538426179</v>
      </c>
      <c r="K240" s="89"/>
      <c r="L240" s="126"/>
      <c r="M240" s="32"/>
      <c r="N240" s="254"/>
      <c r="O240" s="254"/>
      <c r="P240" s="254"/>
      <c r="Q240" s="254"/>
      <c r="R240" s="254"/>
      <c r="S240" s="254"/>
      <c r="T240" s="254"/>
      <c r="U240" s="254"/>
      <c r="V240" s="254"/>
      <c r="W240" s="265"/>
      <c r="X240" s="265"/>
      <c r="Y240" s="265"/>
      <c r="Z240" s="265"/>
      <c r="AA240" s="265"/>
    </row>
    <row r="241" spans="2:27">
      <c r="B241" s="28" t="s">
        <v>124</v>
      </c>
      <c r="C241" s="435"/>
      <c r="D241" s="47" t="s">
        <v>18</v>
      </c>
      <c r="E241" s="163">
        <f t="shared" si="62"/>
        <v>3.2571683754163333E-2</v>
      </c>
      <c r="F241" s="163">
        <f t="shared" si="65"/>
        <v>3.2571683754163333E-2</v>
      </c>
      <c r="G241" s="163">
        <f t="shared" si="64"/>
        <v>2.3719207227695507E-2</v>
      </c>
      <c r="H241" s="40">
        <f t="shared" si="66"/>
        <v>-0.88524765264678251</v>
      </c>
      <c r="I241" s="89"/>
      <c r="J241" s="63">
        <f t="shared" si="67"/>
        <v>-1.2136304538426179</v>
      </c>
      <c r="K241" s="89"/>
      <c r="L241" s="126"/>
      <c r="M241" s="32"/>
      <c r="N241" s="254"/>
      <c r="O241" s="254"/>
      <c r="P241" s="254"/>
      <c r="Q241" s="254"/>
      <c r="R241" s="254"/>
      <c r="S241" s="254"/>
      <c r="T241" s="254"/>
      <c r="U241" s="254"/>
      <c r="V241" s="254"/>
      <c r="W241" s="265"/>
      <c r="X241" s="265"/>
      <c r="Y241" s="265"/>
      <c r="Z241" s="265"/>
      <c r="AA241" s="265"/>
    </row>
    <row r="242" spans="2:27">
      <c r="B242" s="28" t="s">
        <v>137</v>
      </c>
      <c r="C242" s="435"/>
      <c r="D242" s="47" t="s">
        <v>19</v>
      </c>
      <c r="E242" s="163">
        <f t="shared" si="62"/>
        <v>5.3504398544726557E-2</v>
      </c>
      <c r="F242" s="163">
        <f t="shared" si="65"/>
        <v>5.3504398544726557E-2</v>
      </c>
      <c r="G242" s="163">
        <f t="shared" si="64"/>
        <v>7.4529370410873305E-2</v>
      </c>
      <c r="H242" s="40">
        <f t="shared" si="66"/>
        <v>2.1024971866146749</v>
      </c>
      <c r="I242" s="89"/>
      <c r="J242" s="63">
        <f t="shared" si="67"/>
        <v>-1.2136304538426179</v>
      </c>
      <c r="K242" s="89"/>
      <c r="L242" s="126"/>
      <c r="M242" s="32"/>
      <c r="N242" s="254"/>
      <c r="O242" s="254"/>
      <c r="P242" s="254"/>
      <c r="Q242" s="254"/>
      <c r="R242" s="254"/>
      <c r="S242" s="254"/>
      <c r="T242" s="254"/>
      <c r="U242" s="254"/>
      <c r="V242" s="254"/>
      <c r="W242" s="265"/>
      <c r="X242" s="265"/>
      <c r="Y242" s="265"/>
      <c r="Z242" s="265"/>
      <c r="AA242" s="265"/>
    </row>
    <row r="243" spans="2:27">
      <c r="B243" s="28" t="s">
        <v>123</v>
      </c>
      <c r="C243" s="435"/>
      <c r="D243" s="47" t="s">
        <v>21</v>
      </c>
      <c r="E243" s="163">
        <f t="shared" si="62"/>
        <v>2.9734042553191488E-2</v>
      </c>
      <c r="F243" s="163">
        <f t="shared" si="65"/>
        <v>2.9734042553191488E-2</v>
      </c>
      <c r="G243" s="163">
        <f t="shared" si="64"/>
        <v>6.6708415339655269E-2</v>
      </c>
      <c r="H243" s="40">
        <f t="shared" si="66"/>
        <v>3.6974372786463783</v>
      </c>
      <c r="I243" s="89"/>
      <c r="J243" s="63">
        <f t="shared" si="67"/>
        <v>-1.2136304538426179</v>
      </c>
      <c r="K243" s="89"/>
      <c r="L243" s="126"/>
      <c r="M243" s="32"/>
      <c r="N243" s="254"/>
      <c r="O243" s="254"/>
      <c r="P243" s="254"/>
      <c r="Q243" s="254"/>
      <c r="R243" s="254"/>
      <c r="S243" s="254"/>
      <c r="T243" s="254"/>
      <c r="U243" s="254"/>
      <c r="V243" s="254"/>
      <c r="W243" s="265"/>
      <c r="X243" s="265"/>
      <c r="Y243" s="265"/>
      <c r="Z243" s="265"/>
      <c r="AA243" s="265"/>
    </row>
    <row r="244" spans="2:27">
      <c r="B244" s="28" t="s">
        <v>139</v>
      </c>
      <c r="C244" s="435"/>
      <c r="D244" s="47" t="s">
        <v>22</v>
      </c>
      <c r="E244" s="163">
        <f t="shared" si="62"/>
        <v>9.4771869200742306E-2</v>
      </c>
      <c r="F244" s="163">
        <f t="shared" si="65"/>
        <v>9.4771869200742306E-2</v>
      </c>
      <c r="G244" s="163">
        <f t="shared" si="64"/>
        <v>7.3301458720345949E-2</v>
      </c>
      <c r="H244" s="40">
        <f t="shared" si="66"/>
        <v>-2.1470410480396356</v>
      </c>
      <c r="I244" s="89"/>
      <c r="J244" s="63">
        <f t="shared" si="67"/>
        <v>-1.2136304538426179</v>
      </c>
      <c r="K244" s="89"/>
      <c r="L244" s="126"/>
      <c r="M244" s="32"/>
      <c r="N244" s="254"/>
      <c r="O244" s="254"/>
      <c r="P244" s="254"/>
      <c r="Q244" s="254"/>
      <c r="R244" s="254"/>
      <c r="S244" s="254"/>
      <c r="T244" s="254"/>
      <c r="U244" s="254"/>
      <c r="V244" s="254"/>
      <c r="W244" s="265"/>
      <c r="X244" s="265"/>
      <c r="Y244" s="265"/>
      <c r="Z244" s="265"/>
      <c r="AA244" s="265"/>
    </row>
    <row r="245" spans="2:27">
      <c r="C245" s="435"/>
      <c r="D245" s="48" t="s">
        <v>62</v>
      </c>
      <c r="E245" s="103">
        <f t="shared" si="62"/>
        <v>8.2570015814557557E-2</v>
      </c>
      <c r="F245" s="103">
        <f t="shared" si="65"/>
        <v>8.2570015814557557E-2</v>
      </c>
      <c r="G245" s="103">
        <f t="shared" si="64"/>
        <v>7.5494198214846653E-2</v>
      </c>
      <c r="H245" s="42">
        <f t="shared" si="66"/>
        <v>-0.70758175997109041</v>
      </c>
      <c r="I245" s="88"/>
      <c r="J245" s="63">
        <f t="shared" si="67"/>
        <v>-1.2136304538426179</v>
      </c>
      <c r="K245" s="88"/>
      <c r="L245" s="124"/>
      <c r="M245" s="31"/>
      <c r="N245" s="169"/>
      <c r="O245" s="169"/>
      <c r="P245" s="169"/>
      <c r="Q245" s="169"/>
      <c r="R245" s="169"/>
      <c r="S245" s="169"/>
      <c r="T245" s="169"/>
      <c r="U245" s="169"/>
      <c r="V245" s="169"/>
      <c r="W245" s="265"/>
      <c r="X245" s="265"/>
      <c r="Y245" s="265"/>
      <c r="Z245" s="265"/>
      <c r="AA245" s="265"/>
    </row>
    <row r="246" spans="2:27">
      <c r="B246" s="28" t="s">
        <v>138</v>
      </c>
      <c r="C246" s="435"/>
      <c r="D246" s="47" t="s">
        <v>15</v>
      </c>
      <c r="E246" s="163">
        <f t="shared" si="62"/>
        <v>0.19299001796604981</v>
      </c>
      <c r="F246" s="163">
        <f t="shared" si="65"/>
        <v>0.19299001796604981</v>
      </c>
      <c r="G246" s="163">
        <f t="shared" si="64"/>
        <v>0.15261717775902767</v>
      </c>
      <c r="H246" s="40">
        <f t="shared" si="66"/>
        <v>-4.0372840207022147</v>
      </c>
      <c r="I246" s="89"/>
      <c r="J246" s="63">
        <f t="shared" si="67"/>
        <v>-1.2136304538426179</v>
      </c>
      <c r="K246" s="89"/>
      <c r="L246" s="126"/>
      <c r="M246" s="32"/>
      <c r="N246" s="254"/>
      <c r="O246" s="254"/>
      <c r="P246" s="254"/>
      <c r="Q246" s="254"/>
      <c r="R246" s="254"/>
      <c r="S246" s="254"/>
      <c r="T246" s="254"/>
      <c r="U246" s="254"/>
      <c r="V246" s="254"/>
      <c r="W246" s="265"/>
      <c r="X246" s="265"/>
      <c r="Y246" s="265"/>
      <c r="Z246" s="265"/>
      <c r="AA246" s="265"/>
    </row>
    <row r="247" spans="2:27">
      <c r="B247" s="28" t="s">
        <v>132</v>
      </c>
      <c r="C247" s="435"/>
      <c r="D247" s="47" t="s">
        <v>16</v>
      </c>
      <c r="E247" s="163">
        <f t="shared" si="62"/>
        <v>0.107512718215017</v>
      </c>
      <c r="F247" s="163">
        <f t="shared" si="65"/>
        <v>0.107512718215017</v>
      </c>
      <c r="G247" s="163">
        <f t="shared" si="64"/>
        <v>9.7394338501702801E-2</v>
      </c>
      <c r="H247" s="40">
        <f t="shared" si="66"/>
        <v>-1.0118379713314196</v>
      </c>
      <c r="I247" s="89"/>
      <c r="J247" s="63">
        <f t="shared" si="67"/>
        <v>-1.2136304538426179</v>
      </c>
      <c r="K247" s="89"/>
      <c r="L247" s="126"/>
      <c r="M247" s="32"/>
      <c r="N247" s="254"/>
      <c r="O247" s="254"/>
      <c r="P247" s="254"/>
      <c r="Q247" s="254"/>
      <c r="R247" s="254"/>
      <c r="S247" s="254"/>
      <c r="T247" s="254"/>
      <c r="U247" s="254"/>
      <c r="V247" s="254"/>
      <c r="W247" s="265"/>
      <c r="X247" s="265"/>
      <c r="Y247" s="265"/>
      <c r="Z247" s="265"/>
      <c r="AA247" s="265"/>
    </row>
    <row r="248" spans="2:27">
      <c r="B248" s="28" t="s">
        <v>140</v>
      </c>
      <c r="C248" s="435"/>
      <c r="D248" s="47" t="s">
        <v>20</v>
      </c>
      <c r="E248" s="163">
        <f t="shared" si="62"/>
        <v>4.9587519545642444E-2</v>
      </c>
      <c r="F248" s="163">
        <f t="shared" si="65"/>
        <v>4.9587519545642444E-2</v>
      </c>
      <c r="G248" s="163">
        <f t="shared" si="64"/>
        <v>5.0408996066990418E-2</v>
      </c>
      <c r="H248" s="40">
        <f t="shared" si="66"/>
        <v>8.2147652134797328E-2</v>
      </c>
      <c r="I248" s="89"/>
      <c r="J248" s="63">
        <f t="shared" si="67"/>
        <v>-1.2136304538426179</v>
      </c>
      <c r="K248" s="89"/>
      <c r="L248" s="126"/>
      <c r="M248" s="32"/>
      <c r="N248" s="254"/>
      <c r="O248" s="254"/>
      <c r="P248" s="254"/>
      <c r="Q248" s="254"/>
      <c r="R248" s="254"/>
      <c r="S248" s="254"/>
      <c r="T248" s="254"/>
      <c r="U248" s="254"/>
      <c r="V248" s="254"/>
      <c r="W248" s="265"/>
      <c r="X248" s="265"/>
      <c r="Y248" s="265"/>
      <c r="Z248" s="265"/>
      <c r="AA248" s="265"/>
    </row>
    <row r="249" spans="2:27">
      <c r="B249" s="28" t="s">
        <v>135</v>
      </c>
      <c r="C249" s="435"/>
      <c r="D249" s="47" t="s">
        <v>23</v>
      </c>
      <c r="E249" s="163">
        <f t="shared" si="62"/>
        <v>0.31894484412470026</v>
      </c>
      <c r="F249" s="163">
        <f t="shared" si="65"/>
        <v>0.31894484412470026</v>
      </c>
      <c r="G249" s="163">
        <f t="shared" si="64"/>
        <v>0.14208439850320478</v>
      </c>
      <c r="H249" s="40">
        <f>+(G249-E249)*100</f>
        <v>-17.686044562149547</v>
      </c>
      <c r="I249" s="89"/>
      <c r="J249" s="63">
        <f t="shared" si="67"/>
        <v>-1.2136304538426179</v>
      </c>
      <c r="K249" s="89"/>
      <c r="L249" s="126"/>
      <c r="M249" s="32"/>
      <c r="N249" s="254"/>
      <c r="O249" s="254"/>
      <c r="P249" s="254"/>
      <c r="Q249" s="254"/>
      <c r="R249" s="254"/>
      <c r="S249" s="254"/>
      <c r="T249" s="254"/>
      <c r="U249" s="254"/>
      <c r="V249" s="254"/>
      <c r="W249" s="265"/>
      <c r="X249" s="265"/>
      <c r="Y249" s="265"/>
      <c r="Z249" s="265"/>
      <c r="AA249" s="265"/>
    </row>
    <row r="250" spans="2:27" ht="14.4" thickBot="1">
      <c r="C250" s="436"/>
      <c r="D250" s="49" t="s">
        <v>63</v>
      </c>
      <c r="E250" s="86">
        <f t="shared" si="62"/>
        <v>0.14689640884964603</v>
      </c>
      <c r="F250" s="86">
        <f t="shared" si="65"/>
        <v>0.14689640884964603</v>
      </c>
      <c r="G250" s="86">
        <f t="shared" si="64"/>
        <v>0.12158654277579722</v>
      </c>
      <c r="H250" s="44">
        <f t="shared" si="66"/>
        <v>-2.5309866073848801</v>
      </c>
      <c r="I250" s="90"/>
      <c r="J250" s="238">
        <f t="shared" si="67"/>
        <v>-1.2136304538426179</v>
      </c>
      <c r="K250" s="90"/>
      <c r="L250" s="129"/>
      <c r="M250" s="33"/>
      <c r="N250" s="169"/>
      <c r="O250" s="169"/>
      <c r="P250" s="169"/>
      <c r="Q250" s="169"/>
      <c r="R250" s="169"/>
      <c r="S250" s="169"/>
      <c r="T250" s="169"/>
      <c r="U250" s="169"/>
      <c r="V250" s="169"/>
      <c r="W250" s="265"/>
      <c r="X250" s="265"/>
      <c r="Y250" s="265"/>
      <c r="Z250" s="265"/>
      <c r="AA250" s="265"/>
    </row>
    <row r="251" spans="2:27" ht="14.4" thickTop="1">
      <c r="C251" s="252"/>
      <c r="E251" s="132"/>
      <c r="F251" s="132"/>
      <c r="G251" s="132"/>
      <c r="H251" s="98"/>
      <c r="L251" s="98"/>
      <c r="M251" s="98"/>
      <c r="N251" s="170"/>
      <c r="O251" s="170"/>
      <c r="P251" s="170"/>
      <c r="Q251" s="170"/>
      <c r="R251" s="170"/>
      <c r="S251" s="170"/>
      <c r="T251" s="170"/>
      <c r="U251" s="170"/>
      <c r="V251" s="170"/>
      <c r="W251" s="265"/>
      <c r="X251" s="265"/>
      <c r="Y251" s="265"/>
      <c r="Z251" s="265"/>
      <c r="AA251" s="265"/>
    </row>
    <row r="252" spans="2:27" ht="14.4" thickBot="1">
      <c r="C252" s="252"/>
      <c r="E252" s="132"/>
      <c r="F252" s="132"/>
      <c r="G252" s="132"/>
      <c r="H252" s="98"/>
      <c r="L252" s="98"/>
      <c r="M252" s="98"/>
      <c r="N252" s="170"/>
      <c r="O252" s="170"/>
      <c r="P252" s="170"/>
      <c r="Q252" s="170"/>
      <c r="R252" s="170"/>
      <c r="S252" s="170"/>
      <c r="T252" s="170"/>
      <c r="U252" s="170"/>
      <c r="V252" s="170"/>
      <c r="W252" s="265"/>
      <c r="X252" s="265"/>
      <c r="Y252" s="265"/>
      <c r="Z252" s="265"/>
      <c r="AA252" s="265"/>
    </row>
    <row r="253" spans="2:27" ht="15" thickTop="1" thickBot="1">
      <c r="C253" s="459" t="s">
        <v>301</v>
      </c>
      <c r="D253" s="29"/>
      <c r="E253" s="747">
        <v>44926</v>
      </c>
      <c r="F253" s="747">
        <v>44926</v>
      </c>
      <c r="G253" s="747">
        <v>45291</v>
      </c>
      <c r="H253" s="104" t="s">
        <v>60</v>
      </c>
      <c r="I253" s="50"/>
      <c r="J253" s="69"/>
      <c r="K253" s="50"/>
      <c r="L253" s="122"/>
      <c r="M253" s="120"/>
      <c r="N253" s="169"/>
      <c r="O253" s="169"/>
      <c r="P253" s="169"/>
      <c r="Q253" s="169"/>
      <c r="R253" s="169"/>
      <c r="S253" s="169"/>
      <c r="T253" s="169"/>
      <c r="U253" s="169"/>
      <c r="V253" s="169"/>
      <c r="W253" s="265"/>
      <c r="X253" s="265"/>
      <c r="Y253" s="265"/>
      <c r="Z253" s="265"/>
      <c r="AA253" s="265"/>
    </row>
    <row r="254" spans="2:27" ht="14.4" thickTop="1">
      <c r="C254" s="460" t="s">
        <v>357</v>
      </c>
      <c r="D254" s="30" t="s">
        <v>64</v>
      </c>
      <c r="E254" s="255">
        <f>+SUMIFS(Equipement_Efficité!$G:$G,Equipement_Efficité!$A:$A,'Tableau détaillé'!E$253)/SUMIFS(Equipement_Efficité!$E:$E,Equipement_Efficité!$A:$A,'Tableau détaillé'!E$253)</f>
        <v>2.8467900067521943</v>
      </c>
      <c r="F254" s="97"/>
      <c r="G254" s="255">
        <f>+SUMIFS(Equipement_Efficité!$G:$G,Equipement_Efficité!$A:$A,'Tableau détaillé'!G$253)/SUMIFS(Equipement_Efficité!$E:$E,Equipement_Efficité!$A:$A,'Tableau détaillé'!G$253)</f>
        <v>3.3515081985561586</v>
      </c>
      <c r="H254" s="38">
        <f t="shared" ref="H254" si="68">+(G254-E254)</f>
        <v>0.50471819180396427</v>
      </c>
      <c r="I254" s="88"/>
      <c r="J254" s="61"/>
      <c r="K254" s="88"/>
      <c r="L254" s="124"/>
      <c r="M254" s="31"/>
      <c r="N254" s="169"/>
      <c r="O254" s="169"/>
      <c r="P254" s="169"/>
      <c r="Q254" s="169"/>
      <c r="R254" s="169"/>
      <c r="S254" s="169"/>
      <c r="T254" s="169"/>
      <c r="U254" s="169"/>
      <c r="V254" s="169"/>
      <c r="W254" s="265"/>
      <c r="X254" s="265"/>
      <c r="Y254" s="265"/>
      <c r="Z254" s="265"/>
      <c r="AA254" s="265"/>
    </row>
    <row r="255" spans="2:27">
      <c r="B255" s="28" t="s">
        <v>131</v>
      </c>
      <c r="C255" s="435"/>
      <c r="D255" s="47" t="s">
        <v>13</v>
      </c>
      <c r="E255" s="256">
        <f>+SUMIFS(Equipement_Efficité!$G:$G,Equipement_Efficité!$A:$A,'Tableau détaillé'!E$253,Equipement_Efficité!$B:$B,'Tableau détaillé'!$B255)/SUMIFS(Equipement_Efficité!$E:$E,Equipement_Efficité!$A:$A,'Tableau détaillé'!E$253,Equipement_Efficité!$B:$B,'Tableau détaillé'!$B255)</f>
        <v>3.303268698060942</v>
      </c>
      <c r="F255" s="100"/>
      <c r="G255" s="256">
        <f>+SUMIFS(Equipement_Efficité!$G:$G,Equipement_Efficité!$A:$A,'Tableau détaillé'!G$253,Equipement_Efficité!$B:$B,'Tableau détaillé'!$B255)/SUMIFS(Equipement_Efficité!$E:$E,Equipement_Efficité!$A:$A,'Tableau détaillé'!G$253,Equipement_Efficité!$B:$B,'Tableau détaillé'!$B255)</f>
        <v>3.573339467072437</v>
      </c>
      <c r="H255" s="40">
        <f>+(G255-E255)</f>
        <v>0.27007076901149496</v>
      </c>
      <c r="I255" s="89"/>
      <c r="J255" s="63">
        <f>+$H$254</f>
        <v>0.50471819180396427</v>
      </c>
      <c r="K255" s="89"/>
      <c r="L255" s="126"/>
      <c r="M255" s="32"/>
      <c r="N255" s="254"/>
      <c r="O255" s="254"/>
      <c r="P255" s="254"/>
      <c r="Q255" s="254"/>
      <c r="R255" s="254"/>
      <c r="S255" s="254"/>
      <c r="T255" s="254"/>
      <c r="U255" s="254"/>
      <c r="V255" s="254"/>
      <c r="W255" s="265"/>
      <c r="X255" s="265"/>
      <c r="Y255" s="265"/>
      <c r="Z255" s="265"/>
      <c r="AA255" s="265"/>
    </row>
    <row r="256" spans="2:27">
      <c r="B256" s="28" t="s">
        <v>136</v>
      </c>
      <c r="C256" s="435"/>
      <c r="D256" s="47" t="s">
        <v>14</v>
      </c>
      <c r="E256" s="256">
        <f>+SUMIFS(Equipement_Efficité!$G:$G,Equipement_Efficité!$A:$A,'Tableau détaillé'!E$253,Equipement_Efficité!$B:$B,'Tableau détaillé'!$B256)/SUMIFS(Equipement_Efficité!$E:$E,Equipement_Efficité!$A:$A,'Tableau détaillé'!E$253,Equipement_Efficité!$B:$B,'Tableau détaillé'!$B256)</f>
        <v>2.1208378672470074</v>
      </c>
      <c r="F256" s="100"/>
      <c r="G256" s="256">
        <f>+SUMIFS(Equipement_Efficité!$G:$G,Equipement_Efficité!$A:$A,'Tableau détaillé'!G$253,Equipement_Efficité!$B:$B,'Tableau détaillé'!$B256)/SUMIFS(Equipement_Efficité!$E:$E,Equipement_Efficité!$A:$A,'Tableau détaillé'!G$253,Equipement_Efficité!$B:$B,'Tableau détaillé'!$B256)</f>
        <v>2.3808812133289052</v>
      </c>
      <c r="H256" s="40">
        <f t="shared" ref="H256:H267" si="69">+(G256-E256)</f>
        <v>0.26004334608189783</v>
      </c>
      <c r="I256" s="89"/>
      <c r="J256" s="63">
        <f t="shared" ref="J256:J267" si="70">+$H$254</f>
        <v>0.50471819180396427</v>
      </c>
      <c r="K256" s="89"/>
      <c r="L256" s="126"/>
      <c r="M256" s="32"/>
      <c r="N256" s="254"/>
      <c r="O256" s="254"/>
      <c r="P256" s="254"/>
      <c r="Q256" s="254"/>
      <c r="R256" s="254"/>
      <c r="S256" s="254"/>
      <c r="T256" s="254"/>
      <c r="U256" s="254"/>
      <c r="V256" s="254"/>
      <c r="W256" s="265"/>
      <c r="X256" s="265"/>
      <c r="Y256" s="265"/>
      <c r="Z256" s="265"/>
      <c r="AA256" s="265"/>
    </row>
    <row r="257" spans="2:27">
      <c r="B257" s="28" t="s">
        <v>141</v>
      </c>
      <c r="C257" s="435"/>
      <c r="D257" s="47" t="s">
        <v>17</v>
      </c>
      <c r="E257" s="256">
        <f>+SUMIFS(Equipement_Efficité!$G:$G,Equipement_Efficité!$A:$A,'Tableau détaillé'!E$253,Equipement_Efficité!$B:$B,'Tableau détaillé'!$B257)/SUMIFS(Equipement_Efficité!$E:$E,Equipement_Efficité!$A:$A,'Tableau détaillé'!E$253,Equipement_Efficité!$B:$B,'Tableau détaillé'!$B257)</f>
        <v>2.5682558325770115</v>
      </c>
      <c r="F257" s="100"/>
      <c r="G257" s="256">
        <f>+SUMIFS(Equipement_Efficité!$G:$G,Equipement_Efficité!$A:$A,'Tableau détaillé'!G$253,Equipement_Efficité!$B:$B,'Tableau détaillé'!$B257)/SUMIFS(Equipement_Efficité!$E:$E,Equipement_Efficité!$A:$A,'Tableau détaillé'!G$253,Equipement_Efficité!$B:$B,'Tableau détaillé'!$B257)</f>
        <v>3.1809530473724723</v>
      </c>
      <c r="H257" s="40">
        <f t="shared" si="69"/>
        <v>0.6126972147954608</v>
      </c>
      <c r="I257" s="89"/>
      <c r="J257" s="63">
        <f t="shared" si="70"/>
        <v>0.50471819180396427</v>
      </c>
      <c r="K257" s="89"/>
      <c r="L257" s="126"/>
      <c r="M257" s="32"/>
      <c r="N257" s="254"/>
      <c r="O257" s="254"/>
      <c r="P257" s="254"/>
      <c r="Q257" s="254"/>
      <c r="R257" s="254"/>
      <c r="S257" s="254"/>
      <c r="T257" s="254"/>
      <c r="U257" s="254"/>
      <c r="V257" s="254"/>
      <c r="W257" s="265"/>
      <c r="X257" s="265"/>
      <c r="Y257" s="265"/>
      <c r="Z257" s="265"/>
      <c r="AA257" s="265"/>
    </row>
    <row r="258" spans="2:27">
      <c r="B258" s="28" t="s">
        <v>124</v>
      </c>
      <c r="C258" s="435"/>
      <c r="D258" s="47" t="s">
        <v>18</v>
      </c>
      <c r="E258" s="256">
        <f>+SUMIFS(Equipement_Efficité!$G:$G,Equipement_Efficité!$A:$A,'Tableau détaillé'!E$253,Equipement_Efficité!$B:$B,'Tableau détaillé'!$B258)/SUMIFS(Equipement_Efficité!$E:$E,Equipement_Efficité!$A:$A,'Tableau détaillé'!E$253,Equipement_Efficité!$B:$B,'Tableau détaillé'!$B258)</f>
        <v>2.5797797232420221</v>
      </c>
      <c r="F258" s="100"/>
      <c r="G258" s="256">
        <f>+SUMIFS(Equipement_Efficité!$G:$G,Equipement_Efficité!$A:$A,'Tableau détaillé'!G$253,Equipement_Efficité!$B:$B,'Tableau détaillé'!$B258)/SUMIFS(Equipement_Efficité!$E:$E,Equipement_Efficité!$A:$A,'Tableau détaillé'!G$253,Equipement_Efficité!$B:$B,'Tableau détaillé'!$B258)</f>
        <v>2.6410351201478743</v>
      </c>
      <c r="H258" s="40">
        <f t="shared" si="69"/>
        <v>6.1255396905852244E-2</v>
      </c>
      <c r="I258" s="89"/>
      <c r="J258" s="63">
        <f t="shared" si="70"/>
        <v>0.50471819180396427</v>
      </c>
      <c r="K258" s="89"/>
      <c r="L258" s="126"/>
      <c r="M258" s="32"/>
      <c r="N258" s="254"/>
      <c r="O258" s="254"/>
      <c r="P258" s="254"/>
      <c r="Q258" s="254"/>
      <c r="R258" s="254"/>
      <c r="S258" s="254"/>
      <c r="T258" s="254"/>
      <c r="U258" s="254"/>
      <c r="V258" s="254"/>
      <c r="W258" s="265"/>
      <c r="X258" s="265"/>
      <c r="Y258" s="265"/>
      <c r="Z258" s="265"/>
      <c r="AA258" s="265"/>
    </row>
    <row r="259" spans="2:27">
      <c r="B259" s="28" t="s">
        <v>137</v>
      </c>
      <c r="C259" s="435"/>
      <c r="D259" s="47" t="s">
        <v>19</v>
      </c>
      <c r="E259" s="256">
        <f>+SUMIFS(Equipement_Efficité!$G:$G,Equipement_Efficité!$A:$A,'Tableau détaillé'!E$253,Equipement_Efficité!$B:$B,'Tableau détaillé'!$B259)/SUMIFS(Equipement_Efficité!$E:$E,Equipement_Efficité!$A:$A,'Tableau détaillé'!E$253,Equipement_Efficité!$B:$B,'Tableau détaillé'!$B259)</f>
        <v>1.7723286200107393</v>
      </c>
      <c r="F259" s="100"/>
      <c r="G259" s="256">
        <f>+SUMIFS(Equipement_Efficité!$G:$G,Equipement_Efficité!$A:$A,'Tableau détaillé'!G$253,Equipement_Efficité!$B:$B,'Tableau détaillé'!$B259)/SUMIFS(Equipement_Efficité!$E:$E,Equipement_Efficité!$A:$A,'Tableau détaillé'!G$253,Equipement_Efficité!$B:$B,'Tableau détaillé'!$B259)</f>
        <v>2.2423873325213153</v>
      </c>
      <c r="H259" s="40">
        <f t="shared" si="69"/>
        <v>0.47005871251057596</v>
      </c>
      <c r="I259" s="89"/>
      <c r="J259" s="63">
        <f t="shared" si="70"/>
        <v>0.50471819180396427</v>
      </c>
      <c r="K259" s="89"/>
      <c r="L259" s="126"/>
      <c r="M259" s="32"/>
      <c r="N259" s="254"/>
      <c r="O259" s="254"/>
      <c r="P259" s="254"/>
      <c r="Q259" s="254"/>
      <c r="R259" s="254"/>
      <c r="S259" s="254"/>
      <c r="T259" s="254"/>
      <c r="U259" s="254"/>
      <c r="V259" s="254"/>
      <c r="W259" s="265"/>
      <c r="X259" s="265"/>
      <c r="Y259" s="265"/>
      <c r="Z259" s="265"/>
      <c r="AA259" s="265"/>
    </row>
    <row r="260" spans="2:27">
      <c r="B260" s="28" t="s">
        <v>123</v>
      </c>
      <c r="C260" s="435"/>
      <c r="D260" s="47" t="s">
        <v>21</v>
      </c>
      <c r="E260" s="256">
        <f>+SUMIFS(Equipement_Efficité!$G:$G,Equipement_Efficité!$A:$A,'Tableau détaillé'!E$253,Equipement_Efficité!$B:$B,'Tableau détaillé'!$B260)/SUMIFS(Equipement_Efficité!$E:$E,Equipement_Efficité!$A:$A,'Tableau détaillé'!E$253,Equipement_Efficité!$B:$B,'Tableau détaillé'!$B260)</f>
        <v>3.4275802254986991</v>
      </c>
      <c r="F260" s="100"/>
      <c r="G260" s="256">
        <f>+SUMIFS(Equipement_Efficité!$G:$G,Equipement_Efficité!$A:$A,'Tableau détaillé'!G$253,Equipement_Efficité!$B:$B,'Tableau détaillé'!$B260)/SUMIFS(Equipement_Efficité!$E:$E,Equipement_Efficité!$A:$A,'Tableau détaillé'!G$253,Equipement_Efficité!$B:$B,'Tableau détaillé'!$B260)</f>
        <v>5.0447627573858549</v>
      </c>
      <c r="H260" s="40">
        <f t="shared" si="69"/>
        <v>1.6171825318871558</v>
      </c>
      <c r="I260" s="89"/>
      <c r="J260" s="63">
        <f t="shared" si="70"/>
        <v>0.50471819180396427</v>
      </c>
      <c r="K260" s="89"/>
      <c r="L260" s="126"/>
      <c r="M260" s="32"/>
      <c r="N260" s="254"/>
      <c r="O260" s="254"/>
      <c r="P260" s="254"/>
      <c r="Q260" s="254"/>
      <c r="R260" s="254"/>
      <c r="S260" s="254"/>
      <c r="T260" s="254"/>
      <c r="U260" s="254"/>
      <c r="V260" s="254"/>
      <c r="W260" s="265"/>
      <c r="X260" s="265"/>
      <c r="Y260" s="265"/>
      <c r="Z260" s="265"/>
      <c r="AA260" s="265"/>
    </row>
    <row r="261" spans="2:27">
      <c r="B261" s="28" t="s">
        <v>139</v>
      </c>
      <c r="C261" s="435"/>
      <c r="D261" s="47" t="s">
        <v>22</v>
      </c>
      <c r="E261" s="256">
        <f>+SUMIFS(Equipement_Efficité!$G:$G,Equipement_Efficité!$A:$A,'Tableau détaillé'!E$253,Equipement_Efficité!$B:$B,'Tableau détaillé'!$B261)/SUMIFS(Equipement_Efficité!$E:$E,Equipement_Efficité!$A:$A,'Tableau détaillé'!E$253,Equipement_Efficité!$B:$B,'Tableau détaillé'!$B261)</f>
        <v>1.9003001000333444</v>
      </c>
      <c r="F261" s="100"/>
      <c r="G261" s="256">
        <f>+SUMIFS(Equipement_Efficité!$G:$G,Equipement_Efficité!$A:$A,'Tableau détaillé'!G$253,Equipement_Efficité!$B:$B,'Tableau détaillé'!$B261)/SUMIFS(Equipement_Efficité!$E:$E,Equipement_Efficité!$A:$A,'Tableau détaillé'!G$253,Equipement_Efficité!$B:$B,'Tableau détaillé'!$B261)</f>
        <v>1.9092402464065708</v>
      </c>
      <c r="H261" s="40">
        <f t="shared" si="69"/>
        <v>8.9401463732263764E-3</v>
      </c>
      <c r="I261" s="89"/>
      <c r="J261" s="63">
        <f t="shared" si="70"/>
        <v>0.50471819180396427</v>
      </c>
      <c r="K261" s="89"/>
      <c r="L261" s="126"/>
      <c r="M261" s="32"/>
      <c r="N261" s="254"/>
      <c r="O261" s="254"/>
      <c r="P261" s="254"/>
      <c r="Q261" s="254"/>
      <c r="R261" s="254"/>
      <c r="S261" s="254"/>
      <c r="T261" s="254"/>
      <c r="U261" s="254"/>
      <c r="V261" s="254"/>
      <c r="W261" s="265"/>
      <c r="X261" s="265"/>
      <c r="Y261" s="265"/>
      <c r="Z261" s="265"/>
      <c r="AA261" s="265"/>
    </row>
    <row r="262" spans="2:27">
      <c r="C262" s="435"/>
      <c r="D262" s="48" t="s">
        <v>62</v>
      </c>
      <c r="E262" s="259">
        <f>+(SUMIFS(Equipement_Efficité!$G:$G,Equipement_Efficité!$A:$A,'Tableau détaillé'!E$253,Equipement_Efficité!$B:$B,'Tableau détaillé'!$B256)+SUMIFS(Equipement_Efficité!$G:$G,Equipement_Efficité!$A:$A,'Tableau détaillé'!E$253,Equipement_Efficité!$B:$B,'Tableau détaillé'!$B257)+SUMIFS(Equipement_Efficité!$G:$G,Equipement_Efficité!$A:$A,'Tableau détaillé'!E$253,Equipement_Efficité!$B:$B,'Tableau détaillé'!$B258)+SUMIFS(Equipement_Efficité!$G:$G,Equipement_Efficité!$A:$A,'Tableau détaillé'!E$253,Equipement_Efficité!$B:$B,'Tableau détaillé'!$B259)+SUMIFS(Equipement_Efficité!$G:$G,Equipement_Efficité!$A:$A,'Tableau détaillé'!E$253,Equipement_Efficité!$B:$B,'Tableau détaillé'!$B260)+SUMIFS(Equipement_Efficité!$G:$G,Equipement_Efficité!$A:$A,'Tableau détaillé'!E$253,Equipement_Efficité!$B:$B,'Tableau détaillé'!$B261)+SUMIFS(Equipement_Efficité!$G:$G,Equipement_Efficité!$A:$A,'Tableau détaillé'!E$253,Equipement_Efficité!$B:$B,'Tableau détaillé'!$B255))/(SUMIFS(Equipement_Efficité!$E:$E,Equipement_Efficité!$A:$A,'Tableau détaillé'!E$253,Equipement_Efficité!$B:$B,'Tableau détaillé'!$B255)+(SUMIFS(Equipement_Efficité!$E:$E,Equipement_Efficité!$A:$A,'Tableau détaillé'!E$253,Equipement_Efficité!$B:$B,'Tableau détaillé'!$B256)+(SUMIFS(Equipement_Efficité!$E:$E,Equipement_Efficité!$A:$A,'Tableau détaillé'!E$253,Equipement_Efficité!$B:$B,'Tableau détaillé'!$B257)+(SUMIFS(Equipement_Efficité!$E:$E,Equipement_Efficité!$A:$A,'Tableau détaillé'!E$253,Equipement_Efficité!$B:$B,'Tableau détaillé'!$B258)+(SUMIFS(Equipement_Efficité!$E:$E,Equipement_Efficité!$A:$A,'Tableau détaillé'!E$253,Equipement_Efficité!$B:$B,'Tableau détaillé'!$B259)+(SUMIFS(Equipement_Efficité!$E:$E,Equipement_Efficité!$A:$A,'Tableau détaillé'!E$253,Equipement_Efficité!$B:$B,'Tableau détaillé'!$B260)+(SUMIFS(Equipement_Efficité!$E:$E,Equipement_Efficité!$A:$A,'Tableau détaillé'!E$253,Equipement_Efficité!$B:$B,'Tableau détaillé'!$B261))))))))</f>
        <v>2.8184827005672415</v>
      </c>
      <c r="F262" s="97"/>
      <c r="G262" s="259">
        <f>+(SUMIFS(Equipement_Efficité!$G:$G,Equipement_Efficité!$A:$A,'Tableau détaillé'!G$253,Equipement_Efficité!$B:$B,'Tableau détaillé'!$B256)+SUMIFS(Equipement_Efficité!$G:$G,Equipement_Efficité!$A:$A,'Tableau détaillé'!G$253,Equipement_Efficité!$B:$B,'Tableau détaillé'!$B257)+SUMIFS(Equipement_Efficité!$G:$G,Equipement_Efficité!$A:$A,'Tableau détaillé'!G$253,Equipement_Efficité!$B:$B,'Tableau détaillé'!$B258)+SUMIFS(Equipement_Efficité!$G:$G,Equipement_Efficité!$A:$A,'Tableau détaillé'!G$253,Equipement_Efficité!$B:$B,'Tableau détaillé'!$B259)+SUMIFS(Equipement_Efficité!$G:$G,Equipement_Efficité!$A:$A,'Tableau détaillé'!G$253,Equipement_Efficité!$B:$B,'Tableau détaillé'!$B260)+SUMIFS(Equipement_Efficité!$G:$G,Equipement_Efficité!$A:$A,'Tableau détaillé'!G$253,Equipement_Efficité!$B:$B,'Tableau détaillé'!$B261)+SUMIFS(Equipement_Efficité!$G:$G,Equipement_Efficité!$A:$A,'Tableau détaillé'!G$253,Equipement_Efficité!$B:$B,'Tableau détaillé'!$B255))/(SUMIFS(Equipement_Efficité!$E:$E,Equipement_Efficité!$A:$A,'Tableau détaillé'!G$253,Equipement_Efficité!$B:$B,'Tableau détaillé'!$B255)+(SUMIFS(Equipement_Efficité!$E:$E,Equipement_Efficité!$A:$A,'Tableau détaillé'!G$253,Equipement_Efficité!$B:$B,'Tableau détaillé'!$B256)+(SUMIFS(Equipement_Efficité!$E:$E,Equipement_Efficité!$A:$A,'Tableau détaillé'!G$253,Equipement_Efficité!$B:$B,'Tableau détaillé'!$B257)+(SUMIFS(Equipement_Efficité!$E:$E,Equipement_Efficité!$A:$A,'Tableau détaillé'!G$253,Equipement_Efficité!$B:$B,'Tableau détaillé'!$B258)+(SUMIFS(Equipement_Efficité!$E:$E,Equipement_Efficité!$A:$A,'Tableau détaillé'!G$253,Equipement_Efficité!$B:$B,'Tableau détaillé'!$B259)+(SUMIFS(Equipement_Efficité!$E:$E,Equipement_Efficité!$A:$A,'Tableau détaillé'!G$253,Equipement_Efficité!$B:$B,'Tableau détaillé'!$B260)+(SUMIFS(Equipement_Efficité!$E:$E,Equipement_Efficité!$A:$A,'Tableau détaillé'!G$253,Equipement_Efficité!$B:$B,'Tableau détaillé'!$B261))))))))</f>
        <v>3.1847584862695149</v>
      </c>
      <c r="H262" s="42">
        <f t="shared" si="69"/>
        <v>0.36627578570227337</v>
      </c>
      <c r="I262" s="88"/>
      <c r="J262" s="63">
        <f t="shared" si="70"/>
        <v>0.50471819180396427</v>
      </c>
      <c r="K262" s="88"/>
      <c r="L262" s="124"/>
      <c r="M262" s="31"/>
      <c r="N262" s="169"/>
      <c r="O262" s="273"/>
      <c r="P262" s="169"/>
      <c r="Q262" s="169"/>
      <c r="R262" s="169"/>
      <c r="S262" s="169"/>
      <c r="T262" s="169"/>
      <c r="U262" s="169"/>
      <c r="V262" s="169"/>
      <c r="W262" s="265"/>
      <c r="X262" s="265"/>
      <c r="Y262" s="265"/>
      <c r="Z262" s="265"/>
      <c r="AA262" s="265"/>
    </row>
    <row r="263" spans="2:27">
      <c r="B263" s="28" t="s">
        <v>138</v>
      </c>
      <c r="C263" s="435"/>
      <c r="D263" s="47" t="s">
        <v>15</v>
      </c>
      <c r="E263" s="256">
        <f>+SUMIFS(Equipement_Efficité!$G:$G,Equipement_Efficité!$A:$A,'Tableau détaillé'!E$253,Equipement_Efficité!$B:$B,'Tableau détaillé'!$B263)/SUMIFS(Equipement_Efficité!$E:$E,Equipement_Efficité!$A:$A,'Tableau détaillé'!E$253,Equipement_Efficité!$B:$B,'Tableau détaillé'!$B263)</f>
        <v>2.5879211971148672</v>
      </c>
      <c r="F263" s="100"/>
      <c r="G263" s="256">
        <f>+SUMIFS(Equipement_Efficité!$G:$G,Equipement_Efficité!$A:$A,'Tableau détaillé'!G$253,Equipement_Efficité!$B:$B,'Tableau détaillé'!$B263)/SUMIFS(Equipement_Efficité!$E:$E,Equipement_Efficité!$A:$A,'Tableau détaillé'!G$253,Equipement_Efficité!$B:$B,'Tableau détaillé'!$B263)</f>
        <v>3.514300766073271</v>
      </c>
      <c r="H263" s="40">
        <f t="shared" si="69"/>
        <v>0.92637956895840379</v>
      </c>
      <c r="I263" s="89"/>
      <c r="J263" s="63">
        <f t="shared" si="70"/>
        <v>0.50471819180396427</v>
      </c>
      <c r="K263" s="89"/>
      <c r="L263" s="126"/>
      <c r="M263" s="32"/>
      <c r="N263" s="254"/>
      <c r="O263" s="251"/>
      <c r="P263" s="254"/>
      <c r="Q263" s="254"/>
      <c r="R263" s="254"/>
      <c r="S263" s="254"/>
      <c r="T263" s="254"/>
      <c r="U263" s="254"/>
      <c r="V263" s="254"/>
      <c r="W263" s="265"/>
      <c r="X263" s="265"/>
      <c r="Y263" s="265"/>
      <c r="Z263" s="265"/>
      <c r="AA263" s="265"/>
    </row>
    <row r="264" spans="2:27">
      <c r="B264" s="28" t="s">
        <v>132</v>
      </c>
      <c r="C264" s="435"/>
      <c r="D264" s="47" t="s">
        <v>16</v>
      </c>
      <c r="E264" s="256">
        <f>+SUMIFS(Equipement_Efficité!$G:$G,Equipement_Efficité!$A:$A,'Tableau détaillé'!E$253,Equipement_Efficité!$B:$B,'Tableau détaillé'!$B264)/SUMIFS(Equipement_Efficité!$E:$E,Equipement_Efficité!$A:$A,'Tableau détaillé'!E$253,Equipement_Efficité!$B:$B,'Tableau détaillé'!$B264)</f>
        <v>3.1185006524059942</v>
      </c>
      <c r="F264" s="100"/>
      <c r="G264" s="256">
        <f>+SUMIFS(Equipement_Efficité!$G:$G,Equipement_Efficité!$A:$A,'Tableau détaillé'!G$253,Equipement_Efficité!$B:$B,'Tableau détaillé'!$B264)/SUMIFS(Equipement_Efficité!$E:$E,Equipement_Efficité!$A:$A,'Tableau détaillé'!G$253,Equipement_Efficité!$B:$B,'Tableau détaillé'!$B264)</f>
        <v>3.6126480466678452</v>
      </c>
      <c r="H264" s="40">
        <f t="shared" si="69"/>
        <v>0.49414739426185106</v>
      </c>
      <c r="I264" s="89"/>
      <c r="J264" s="63">
        <f t="shared" si="70"/>
        <v>0.50471819180396427</v>
      </c>
      <c r="K264" s="89"/>
      <c r="L264" s="126"/>
      <c r="M264" s="32"/>
      <c r="N264" s="254"/>
      <c r="O264" s="254"/>
      <c r="P264" s="254"/>
      <c r="Q264" s="254"/>
      <c r="R264" s="254"/>
      <c r="S264" s="254"/>
      <c r="T264" s="254"/>
      <c r="U264" s="254"/>
      <c r="V264" s="254"/>
      <c r="W264" s="265"/>
      <c r="X264" s="265"/>
      <c r="Y264" s="265"/>
      <c r="Z264" s="265"/>
      <c r="AA264" s="265"/>
    </row>
    <row r="265" spans="2:27">
      <c r="B265" s="28" t="s">
        <v>140</v>
      </c>
      <c r="C265" s="435"/>
      <c r="D265" s="47" t="s">
        <v>20</v>
      </c>
      <c r="E265" s="256">
        <f>+SUMIFS(Equipement_Efficité!$G:$G,Equipement_Efficité!$A:$A,'Tableau détaillé'!E$253,Equipement_Efficité!$B:$B,'Tableau détaillé'!$B265)/SUMIFS(Equipement_Efficité!$E:$E,Equipement_Efficité!$A:$A,'Tableau détaillé'!E$253,Equipement_Efficité!$B:$B,'Tableau détaillé'!$B265)</f>
        <v>1.6205109218807849</v>
      </c>
      <c r="F265" s="100"/>
      <c r="G265" s="256">
        <f>+SUMIFS(Equipement_Efficité!$G:$G,Equipement_Efficité!$A:$A,'Tableau détaillé'!G$253,Equipement_Efficité!$B:$B,'Tableau détaillé'!$B265)/SUMIFS(Equipement_Efficité!$E:$E,Equipement_Efficité!$A:$A,'Tableau détaillé'!G$253,Equipement_Efficité!$B:$B,'Tableau détaillé'!$B265)</f>
        <v>2.3681318681318682</v>
      </c>
      <c r="H265" s="40">
        <f t="shared" si="69"/>
        <v>0.74762094625108322</v>
      </c>
      <c r="I265" s="89"/>
      <c r="J265" s="63">
        <f t="shared" si="70"/>
        <v>0.50471819180396427</v>
      </c>
      <c r="K265" s="89"/>
      <c r="L265" s="126"/>
      <c r="M265" s="32"/>
      <c r="N265" s="254"/>
      <c r="O265" s="254"/>
      <c r="P265" s="254"/>
      <c r="Q265" s="254"/>
      <c r="R265" s="254"/>
      <c r="S265" s="254"/>
      <c r="T265" s="254"/>
      <c r="U265" s="254"/>
      <c r="V265" s="254"/>
      <c r="W265" s="265"/>
      <c r="X265" s="265"/>
      <c r="Y265" s="265"/>
      <c r="Z265" s="265"/>
      <c r="AA265" s="265"/>
    </row>
    <row r="266" spans="2:27">
      <c r="B266" s="28" t="s">
        <v>135</v>
      </c>
      <c r="C266" s="435"/>
      <c r="D266" s="47" t="s">
        <v>23</v>
      </c>
      <c r="E266" s="256">
        <f>+SUMIFS(Equipement_Efficité!$G:$G,Equipement_Efficité!$A:$A,'Tableau détaillé'!E$253,Equipement_Efficité!$B:$B,'Tableau détaillé'!$B266)/SUMIFS(Equipement_Efficité!$E:$E,Equipement_Efficité!$A:$A,'Tableau détaillé'!E$253,Equipement_Efficité!$B:$B,'Tableau détaillé'!$B266)</f>
        <v>4.7050593785586461</v>
      </c>
      <c r="F266" s="100"/>
      <c r="G266" s="256">
        <f>+SUMIFS(Equipement_Efficité!$G:$G,Equipement_Efficité!$A:$A,'Tableau détaillé'!G$253,Equipement_Efficité!$B:$B,'Tableau détaillé'!$B266)/SUMIFS(Equipement_Efficité!$E:$E,Equipement_Efficité!$A:$A,'Tableau détaillé'!G$253,Equipement_Efficité!$B:$B,'Tableau détaillé'!$B266)</f>
        <v>4.9567319313512206</v>
      </c>
      <c r="H266" s="40">
        <f t="shared" si="69"/>
        <v>0.2516725527925745</v>
      </c>
      <c r="I266" s="89"/>
      <c r="J266" s="63">
        <f t="shared" si="70"/>
        <v>0.50471819180396427</v>
      </c>
      <c r="K266" s="89"/>
      <c r="L266" s="126"/>
      <c r="M266" s="32"/>
      <c r="N266" s="254"/>
      <c r="O266" s="254"/>
      <c r="P266" s="254"/>
      <c r="Q266" s="254"/>
      <c r="R266" s="254"/>
      <c r="S266" s="254"/>
      <c r="T266" s="254"/>
      <c r="U266" s="254"/>
      <c r="V266" s="254"/>
      <c r="W266" s="265"/>
      <c r="X266" s="265"/>
      <c r="Y266" s="265"/>
      <c r="Z266" s="265"/>
      <c r="AA266" s="265"/>
    </row>
    <row r="267" spans="2:27" ht="14.4" thickBot="1">
      <c r="C267" s="436"/>
      <c r="D267" s="49" t="s">
        <v>63</v>
      </c>
      <c r="E267" s="258">
        <f>(SUMIFS(Equipement_Efficité!$G:$G,Equipement_Efficité!$A:$A,'Tableau détaillé'!E$253,Equipement_Efficité!$B:$B,'Tableau détaillé'!$B263)+SUMIFS(Equipement_Efficité!$G:$G,Equipement_Efficité!$A:$A,'Tableau détaillé'!E$253,Equipement_Efficité!$B:$B,'Tableau détaillé'!$B264)+SUMIFS(Equipement_Efficité!$G:$G,Equipement_Efficité!$A:$A,'Tableau détaillé'!E$253,Equipement_Efficité!$B:$B,'Tableau détaillé'!$B265)+SUMIFS(Equipement_Efficité!$G:$G,Equipement_Efficité!$A:$A,'Tableau détaillé'!E$253,Equipement_Efficité!$B:$B,'Tableau détaillé'!$B266))/(SUMIFS(Equipement_Efficité!$E:$E,Equipement_Efficité!$A:$A,'Tableau détaillé'!E$253,Equipement_Efficité!$B:$B,'Tableau détaillé'!$B263)+SUMIFS(Equipement_Efficité!$E:$E,Equipement_Efficité!$A:$A,'Tableau détaillé'!E$253,Equipement_Efficité!$B:$B,'Tableau détaillé'!$B264)+SUMIFS(Equipement_Efficité!$E:$E,Equipement_Efficité!$A:$A,'Tableau détaillé'!E$253,Equipement_Efficité!$B:$B,'Tableau détaillé'!$B265)+SUMIFS(Equipement_Efficité!$E:$E,Equipement_Efficité!$A:$A,'Tableau détaillé'!E$253,Equipement_Efficité!$B:$B,'Tableau détaillé'!$B266))</f>
        <v>2.8835128561501042</v>
      </c>
      <c r="F267" s="260"/>
      <c r="G267" s="258">
        <f>(SUMIFS(Equipement_Efficité!$G:$G,Equipement_Efficité!$A:$A,'Tableau détaillé'!G$253,Equipement_Efficité!$B:$B,'Tableau détaillé'!$B263)+SUMIFS(Equipement_Efficité!$G:$G,Equipement_Efficité!$A:$A,'Tableau détaillé'!G$253,Equipement_Efficité!$B:$B,'Tableau détaillé'!$B264)+SUMIFS(Equipement_Efficité!$G:$G,Equipement_Efficité!$A:$A,'Tableau détaillé'!G$253,Equipement_Efficité!$B:$B,'Tableau détaillé'!$B265)+SUMIFS(Equipement_Efficité!$G:$G,Equipement_Efficité!$A:$A,'Tableau détaillé'!G$253,Equipement_Efficité!$B:$B,'Tableau détaillé'!$B266))/(SUMIFS(Equipement_Efficité!$E:$E,Equipement_Efficité!$A:$A,'Tableau détaillé'!G$253,Equipement_Efficité!$B:$B,'Tableau détaillé'!$B263)+SUMIFS(Equipement_Efficité!$E:$E,Equipement_Efficité!$A:$A,'Tableau détaillé'!G$253,Equipement_Efficité!$B:$B,'Tableau détaillé'!$B264)+SUMIFS(Equipement_Efficité!$E:$E,Equipement_Efficité!$A:$A,'Tableau détaillé'!G$253,Equipement_Efficité!$B:$B,'Tableau détaillé'!$B265)+SUMIFS(Equipement_Efficité!$E:$E,Equipement_Efficité!$A:$A,'Tableau détaillé'!G$253,Equipement_Efficité!$B:$B,'Tableau détaillé'!$B266))</f>
        <v>3.5817699728188455</v>
      </c>
      <c r="H267" s="44">
        <f t="shared" si="69"/>
        <v>0.69825711666874124</v>
      </c>
      <c r="I267" s="90"/>
      <c r="J267" s="238">
        <f t="shared" si="70"/>
        <v>0.50471819180396427</v>
      </c>
      <c r="K267" s="90"/>
      <c r="L267" s="129"/>
      <c r="M267" s="33"/>
      <c r="N267" s="169"/>
      <c r="O267" s="169"/>
      <c r="P267" s="169"/>
      <c r="Q267" s="169"/>
      <c r="R267" s="169"/>
      <c r="S267" s="169"/>
      <c r="T267" s="169"/>
      <c r="U267" s="169"/>
      <c r="V267" s="169"/>
      <c r="W267" s="265"/>
      <c r="X267" s="265"/>
      <c r="Y267" s="265"/>
      <c r="Z267" s="265"/>
      <c r="AA267" s="265"/>
    </row>
    <row r="268" spans="2:27" customFormat="1" ht="15" thickTop="1">
      <c r="C268" s="323"/>
      <c r="E268" s="136"/>
      <c r="F268" s="136"/>
      <c r="G268" s="136"/>
      <c r="N268" s="448"/>
      <c r="O268" s="448"/>
      <c r="P268" s="448"/>
      <c r="Q268" s="448"/>
      <c r="R268" s="448"/>
      <c r="S268" s="448"/>
      <c r="T268" s="448"/>
      <c r="U268" s="421"/>
      <c r="V268" s="421"/>
      <c r="W268" s="421"/>
      <c r="X268" s="421"/>
      <c r="Y268" s="263"/>
      <c r="Z268" s="263"/>
      <c r="AA268" s="263"/>
    </row>
    <row r="269" spans="2:27" ht="14.4" thickBot="1">
      <c r="C269" s="252"/>
      <c r="E269" s="132"/>
      <c r="F269" s="132"/>
      <c r="G269" s="132"/>
      <c r="H269" s="98"/>
      <c r="L269" s="98"/>
      <c r="M269" s="98"/>
      <c r="N269" s="170"/>
      <c r="O269" s="170"/>
      <c r="P269" s="170"/>
      <c r="Q269" s="170"/>
      <c r="R269" s="170"/>
      <c r="S269" s="170"/>
      <c r="T269" s="170"/>
      <c r="U269" s="170"/>
      <c r="V269" s="170"/>
      <c r="W269" s="265"/>
      <c r="X269" s="265"/>
      <c r="Y269" s="265"/>
      <c r="Z269" s="265"/>
      <c r="AA269" s="265"/>
    </row>
    <row r="270" spans="2:27" s="46" customFormat="1" ht="14.4" thickTop="1">
      <c r="C270" s="463" t="s">
        <v>73</v>
      </c>
      <c r="D270" s="45" t="s">
        <v>64</v>
      </c>
      <c r="E270" s="45"/>
      <c r="F270" s="395">
        <v>0.15533452017239036</v>
      </c>
      <c r="G270" s="104">
        <f>+F270+(H270/100)</f>
        <v>0.16338333657039036</v>
      </c>
      <c r="H270" s="38">
        <f>+SUMIF('Mois courant'!$A$8:$A$21,'Tableau détaillé'!$D270,'Mois courant'!$M$8:$M$21)*100</f>
        <v>0.80488163979999994</v>
      </c>
      <c r="I270" s="50"/>
      <c r="J270" s="69"/>
      <c r="K270" s="50"/>
      <c r="L270" s="97"/>
      <c r="M270" s="97"/>
      <c r="N270" s="169"/>
      <c r="O270" s="169"/>
      <c r="P270" s="169"/>
      <c r="Q270" s="169"/>
      <c r="R270" s="169"/>
      <c r="S270" s="169"/>
      <c r="T270" s="169"/>
      <c r="U270" s="169"/>
      <c r="V270" s="169"/>
      <c r="W270" s="274"/>
      <c r="X270" s="274"/>
      <c r="Y270" s="274"/>
      <c r="Z270" s="274"/>
      <c r="AA270" s="274"/>
    </row>
    <row r="271" spans="2:27">
      <c r="C271" s="435"/>
      <c r="D271" s="47" t="s">
        <v>13</v>
      </c>
      <c r="E271" s="39"/>
      <c r="F271" s="396">
        <v>0.1651179505063427</v>
      </c>
      <c r="G271" s="85">
        <f>+F271+(H271/100)</f>
        <v>0.16145438479934271</v>
      </c>
      <c r="H271" s="40">
        <f>+SUMIF('Mois courant'!$A$8:$A$21,'Tableau détaillé'!$D271,'Mois courant'!$M$8:$M$21)*100</f>
        <v>-0.36635657069999999</v>
      </c>
      <c r="I271" s="91"/>
      <c r="J271" s="63">
        <f>+$H$270</f>
        <v>0.80488163979999994</v>
      </c>
      <c r="K271" s="91"/>
      <c r="L271" s="63"/>
      <c r="M271" s="63"/>
      <c r="N271" s="267"/>
      <c r="O271" s="267"/>
      <c r="P271" s="267"/>
      <c r="Q271" s="267"/>
      <c r="R271" s="267"/>
      <c r="S271" s="267"/>
      <c r="T271" s="267"/>
      <c r="U271" s="267"/>
      <c r="V271" s="267"/>
      <c r="W271" s="265"/>
      <c r="X271" s="265"/>
      <c r="Y271" s="265"/>
      <c r="Z271" s="265"/>
      <c r="AA271" s="265"/>
    </row>
    <row r="272" spans="2:27">
      <c r="C272" s="435"/>
      <c r="D272" s="47" t="s">
        <v>14</v>
      </c>
      <c r="E272" s="39"/>
      <c r="F272" s="396">
        <v>0.11436884341823128</v>
      </c>
      <c r="G272" s="85">
        <f t="shared" ref="G272:G283" si="71">+F272+(H272/100)</f>
        <v>0.15499998486423128</v>
      </c>
      <c r="H272" s="40">
        <f>+SUMIF('Mois courant'!$A$8:$A$21,'Tableau détaillé'!$D272,'Mois courant'!$M$8:$M$21)*100</f>
        <v>4.0631141446000001</v>
      </c>
      <c r="I272" s="91"/>
      <c r="J272" s="63">
        <f t="shared" ref="J272:J283" si="72">+$H$270</f>
        <v>0.80488163979999994</v>
      </c>
      <c r="K272" s="91"/>
      <c r="L272" s="63"/>
      <c r="M272" s="63"/>
      <c r="N272" s="267"/>
      <c r="O272" s="267"/>
      <c r="P272" s="267"/>
      <c r="Q272" s="267"/>
      <c r="R272" s="267"/>
      <c r="S272" s="267"/>
      <c r="T272" s="267"/>
      <c r="U272" s="267"/>
      <c r="V272" s="267"/>
      <c r="W272" s="265"/>
      <c r="X272" s="265"/>
      <c r="Y272" s="265"/>
      <c r="Z272" s="265"/>
      <c r="AA272" s="265"/>
    </row>
    <row r="273" spans="3:27">
      <c r="C273" s="435"/>
      <c r="D273" s="47" t="s">
        <v>17</v>
      </c>
      <c r="E273" s="39"/>
      <c r="F273" s="396">
        <v>0.12798084151930428</v>
      </c>
      <c r="G273" s="85">
        <f t="shared" si="71"/>
        <v>0.16269726852130428</v>
      </c>
      <c r="H273" s="40">
        <f>+SUMIF('Mois courant'!$A$8:$A$21,'Tableau détaillé'!$D273,'Mois courant'!$M$8:$M$21)*100</f>
        <v>3.4716427001999999</v>
      </c>
      <c r="I273" s="91"/>
      <c r="J273" s="63">
        <f t="shared" si="72"/>
        <v>0.80488163979999994</v>
      </c>
      <c r="K273" s="91"/>
      <c r="L273" s="63"/>
      <c r="M273" s="63"/>
      <c r="N273" s="267"/>
      <c r="O273" s="267"/>
      <c r="P273" s="267"/>
      <c r="Q273" s="267"/>
      <c r="R273" s="267"/>
      <c r="S273" s="267"/>
      <c r="T273" s="267"/>
      <c r="U273" s="267"/>
      <c r="V273" s="267"/>
      <c r="W273" s="265"/>
      <c r="X273" s="265"/>
      <c r="Y273" s="265"/>
      <c r="Z273" s="265"/>
      <c r="AA273" s="265"/>
    </row>
    <row r="274" spans="3:27">
      <c r="C274" s="435"/>
      <c r="D274" s="47" t="s">
        <v>18</v>
      </c>
      <c r="E274" s="39"/>
      <c r="F274" s="396">
        <v>9.6712044929565325E-2</v>
      </c>
      <c r="G274" s="85">
        <f t="shared" si="71"/>
        <v>0.12611315057256534</v>
      </c>
      <c r="H274" s="40">
        <f>+SUMIF('Mois courant'!$A$8:$A$21,'Tableau détaillé'!$D274,'Mois courant'!$M$8:$M$21)*100</f>
        <v>2.9401105643000003</v>
      </c>
      <c r="I274" s="91"/>
      <c r="J274" s="63">
        <f t="shared" si="72"/>
        <v>0.80488163979999994</v>
      </c>
      <c r="K274" s="91"/>
      <c r="L274" s="63"/>
      <c r="M274" s="63"/>
      <c r="N274" s="267"/>
      <c r="O274" s="267"/>
      <c r="P274" s="267"/>
      <c r="Q274" s="267"/>
      <c r="R274" s="267"/>
      <c r="S274" s="267"/>
      <c r="T274" s="267"/>
      <c r="U274" s="267"/>
      <c r="V274" s="267"/>
      <c r="W274" s="265"/>
      <c r="X274" s="265"/>
      <c r="Y274" s="265"/>
      <c r="Z274" s="265"/>
      <c r="AA274" s="265"/>
    </row>
    <row r="275" spans="3:27">
      <c r="C275" s="435"/>
      <c r="D275" s="47" t="s">
        <v>19</v>
      </c>
      <c r="E275" s="39"/>
      <c r="F275" s="396">
        <v>0.1439976730890789</v>
      </c>
      <c r="G275" s="85">
        <f t="shared" si="71"/>
        <v>0.16354071744407891</v>
      </c>
      <c r="H275" s="40">
        <f>+SUMIF('Mois courant'!$A$8:$A$21,'Tableau détaillé'!$D275,'Mois courant'!$M$8:$M$21)*100</f>
        <v>1.9543044355000001</v>
      </c>
      <c r="I275" s="91"/>
      <c r="J275" s="63">
        <f t="shared" si="72"/>
        <v>0.80488163979999994</v>
      </c>
      <c r="K275" s="91"/>
      <c r="L275" s="63"/>
      <c r="M275" s="63"/>
      <c r="N275" s="267"/>
      <c r="O275" s="267"/>
      <c r="P275" s="267"/>
      <c r="Q275" s="267"/>
      <c r="R275" s="267"/>
      <c r="S275" s="267"/>
      <c r="T275" s="267"/>
      <c r="U275" s="267"/>
      <c r="V275" s="267"/>
      <c r="W275" s="265"/>
      <c r="X275" s="265"/>
      <c r="Y275" s="265"/>
      <c r="Z275" s="265"/>
      <c r="AA275" s="265"/>
    </row>
    <row r="276" spans="3:27">
      <c r="C276" s="435"/>
      <c r="D276" s="47" t="s">
        <v>21</v>
      </c>
      <c r="E276" s="39"/>
      <c r="F276" s="396">
        <v>0.20700758130065958</v>
      </c>
      <c r="G276" s="85">
        <f t="shared" si="71"/>
        <v>0.20416383931365958</v>
      </c>
      <c r="H276" s="40">
        <f>+SUMIF('Mois courant'!$A$8:$A$21,'Tableau détaillé'!$D276,'Mois courant'!$M$8:$M$21)*100</f>
        <v>-0.28437419869999997</v>
      </c>
      <c r="I276" s="91"/>
      <c r="J276" s="63">
        <f t="shared" si="72"/>
        <v>0.80488163979999994</v>
      </c>
      <c r="K276" s="91"/>
      <c r="L276" s="63"/>
      <c r="M276" s="63"/>
      <c r="N276" s="267"/>
      <c r="O276" s="267"/>
      <c r="P276" s="267"/>
      <c r="Q276" s="267"/>
      <c r="R276" s="267"/>
      <c r="S276" s="267"/>
      <c r="T276" s="267"/>
      <c r="U276" s="267"/>
      <c r="V276" s="267"/>
      <c r="W276" s="265"/>
      <c r="X276" s="265"/>
      <c r="Y276" s="265"/>
      <c r="Z276" s="265"/>
      <c r="AA276" s="265"/>
    </row>
    <row r="277" spans="3:27">
      <c r="C277" s="435"/>
      <c r="D277" s="47" t="s">
        <v>22</v>
      </c>
      <c r="E277" s="121"/>
      <c r="F277" s="396">
        <v>0.18034949956488294</v>
      </c>
      <c r="G277" s="85">
        <f t="shared" si="71"/>
        <v>0.19487501772288293</v>
      </c>
      <c r="H277" s="40">
        <f>+SUMIF('Mois courant'!$A$8:$A$21,'Tableau détaillé'!$D277,'Mois courant'!$M$8:$M$21)*100</f>
        <v>1.4525518157999999</v>
      </c>
      <c r="I277" s="91"/>
      <c r="J277" s="63">
        <f t="shared" si="72"/>
        <v>0.80488163979999994</v>
      </c>
      <c r="K277" s="91"/>
      <c r="L277" s="63"/>
      <c r="M277" s="63"/>
      <c r="N277" s="267"/>
      <c r="O277" s="267"/>
      <c r="P277" s="267"/>
      <c r="Q277" s="267"/>
      <c r="R277" s="267"/>
      <c r="S277" s="267"/>
      <c r="T277" s="267"/>
      <c r="U277" s="267"/>
      <c r="V277" s="267"/>
      <c r="W277" s="265"/>
      <c r="X277" s="265"/>
      <c r="Y277" s="265"/>
      <c r="Z277" s="265"/>
      <c r="AA277" s="265"/>
    </row>
    <row r="278" spans="3:27">
      <c r="C278" s="435"/>
      <c r="D278" s="48" t="s">
        <v>62</v>
      </c>
      <c r="E278" s="41"/>
      <c r="F278" s="397">
        <v>0.14225766292715872</v>
      </c>
      <c r="G278" s="103">
        <f t="shared" si="71"/>
        <v>0.15847542792815872</v>
      </c>
      <c r="H278" s="42">
        <f>+SUMIF('Mois courant'!$A$8:$A$21,'Tableau détaillé'!$D278,'Mois courant'!$M$8:$M$21)*100</f>
        <v>1.6217765001000002</v>
      </c>
      <c r="I278" s="92"/>
      <c r="J278" s="63">
        <f t="shared" si="72"/>
        <v>0.80488163979999994</v>
      </c>
      <c r="K278" s="92"/>
      <c r="L278" s="102"/>
      <c r="M278" s="102"/>
      <c r="N278" s="268"/>
      <c r="O278" s="268"/>
      <c r="P278" s="268"/>
      <c r="Q278" s="268"/>
      <c r="R278" s="268"/>
      <c r="S278" s="268"/>
      <c r="T278" s="268"/>
      <c r="U278" s="268"/>
      <c r="V278" s="268"/>
      <c r="W278" s="265"/>
      <c r="X278" s="265"/>
      <c r="Y278" s="265"/>
      <c r="Z278" s="265"/>
      <c r="AA278" s="265"/>
    </row>
    <row r="279" spans="3:27">
      <c r="C279" s="435"/>
      <c r="D279" s="47" t="s">
        <v>15</v>
      </c>
      <c r="E279" s="39"/>
      <c r="F279" s="396">
        <v>0.14754742542417942</v>
      </c>
      <c r="G279" s="85">
        <f t="shared" si="71"/>
        <v>0.14411673111017942</v>
      </c>
      <c r="H279" s="40">
        <f>+SUMIF('Mois courant'!$A$8:$A$21,'Tableau détaillé'!$D279,'Mois courant'!$M$8:$M$21)*100</f>
        <v>-0.34306943139999996</v>
      </c>
      <c r="I279" s="91"/>
      <c r="J279" s="63">
        <f t="shared" si="72"/>
        <v>0.80488163979999994</v>
      </c>
      <c r="K279" s="91"/>
      <c r="L279" s="63"/>
      <c r="M279" s="63"/>
      <c r="N279" s="267"/>
      <c r="O279" s="267"/>
      <c r="P279" s="267"/>
      <c r="Q279" s="267"/>
      <c r="R279" s="267"/>
      <c r="S279" s="267"/>
      <c r="T279" s="267"/>
      <c r="U279" s="267"/>
      <c r="V279" s="267"/>
      <c r="W279" s="265"/>
      <c r="X279" s="265"/>
      <c r="Y279" s="265"/>
      <c r="Z279" s="265"/>
      <c r="AA279" s="265"/>
    </row>
    <row r="280" spans="3:27">
      <c r="C280" s="435"/>
      <c r="D280" s="47" t="s">
        <v>16</v>
      </c>
      <c r="E280" s="39"/>
      <c r="F280" s="396">
        <v>0.17687123061408444</v>
      </c>
      <c r="G280" s="85">
        <f t="shared" si="71"/>
        <v>0.19498922239308444</v>
      </c>
      <c r="H280" s="40">
        <f>+SUMIF('Mois courant'!$A$8:$A$21,'Tableau détaillé'!$D280,'Mois courant'!$M$8:$M$21)*100</f>
        <v>1.8117991779</v>
      </c>
      <c r="I280" s="91"/>
      <c r="J280" s="63">
        <f t="shared" si="72"/>
        <v>0.80488163979999994</v>
      </c>
      <c r="K280" s="91"/>
      <c r="L280" s="63"/>
      <c r="M280" s="63"/>
      <c r="N280" s="267"/>
      <c r="O280" s="267"/>
      <c r="P280" s="267"/>
      <c r="Q280" s="267"/>
      <c r="R280" s="267"/>
      <c r="S280" s="267"/>
      <c r="T280" s="267"/>
      <c r="U280" s="267"/>
      <c r="V280" s="267"/>
      <c r="W280" s="265"/>
      <c r="X280" s="265"/>
      <c r="Y280" s="265"/>
      <c r="Z280" s="265"/>
      <c r="AA280" s="265"/>
    </row>
    <row r="281" spans="3:27">
      <c r="C281" s="435"/>
      <c r="D281" s="47" t="s">
        <v>20</v>
      </c>
      <c r="E281" s="39"/>
      <c r="F281" s="396">
        <v>0.21488622777130534</v>
      </c>
      <c r="G281" s="85">
        <f t="shared" si="71"/>
        <v>0.25463824646130534</v>
      </c>
      <c r="H281" s="40">
        <f>+SUMIF('Mois courant'!$A$8:$A$21,'Tableau détaillé'!$D281,'Mois courant'!$M$8:$M$21)*100</f>
        <v>3.9752018690000002</v>
      </c>
      <c r="I281" s="91"/>
      <c r="J281" s="63">
        <f t="shared" si="72"/>
        <v>0.80488163979999994</v>
      </c>
      <c r="K281" s="91"/>
      <c r="L281" s="63"/>
      <c r="M281" s="63"/>
      <c r="N281" s="267"/>
      <c r="O281" s="267"/>
      <c r="P281" s="267"/>
      <c r="Q281" s="267"/>
      <c r="R281" s="267"/>
      <c r="S281" s="267"/>
      <c r="T281" s="267"/>
      <c r="U281" s="267"/>
      <c r="V281" s="267"/>
      <c r="W281" s="265"/>
      <c r="X281" s="265"/>
      <c r="Y281" s="265"/>
      <c r="Z281" s="265"/>
      <c r="AA281" s="265"/>
    </row>
    <row r="282" spans="3:27">
      <c r="C282" s="435"/>
      <c r="D282" s="47" t="s">
        <v>23</v>
      </c>
      <c r="E282" s="39"/>
      <c r="F282" s="396">
        <v>0.64453125000017875</v>
      </c>
      <c r="G282" s="85">
        <f t="shared" si="71"/>
        <v>0.64453125000017875</v>
      </c>
      <c r="H282" s="40">
        <f>+SUMIF('Mois courant'!$A$8:$A$21,'Tableau détaillé'!$D282,'Mois courant'!$M$8:$M$21)*100</f>
        <v>0</v>
      </c>
      <c r="I282" s="91"/>
      <c r="J282" s="63">
        <f t="shared" si="72"/>
        <v>0.80488163979999994</v>
      </c>
      <c r="K282" s="91"/>
      <c r="L282" s="63"/>
      <c r="M282" s="63"/>
      <c r="N282" s="267"/>
      <c r="O282" s="267"/>
      <c r="P282" s="267"/>
      <c r="Q282" s="267"/>
      <c r="R282" s="267"/>
      <c r="S282" s="267"/>
      <c r="T282" s="267"/>
      <c r="U282" s="267"/>
      <c r="V282" s="267"/>
      <c r="W282" s="265"/>
      <c r="X282" s="265"/>
      <c r="Y282" s="265"/>
      <c r="Z282" s="265"/>
      <c r="AA282" s="265"/>
    </row>
    <row r="283" spans="3:27" ht="14.4" thickBot="1">
      <c r="C283" s="436"/>
      <c r="D283" s="49" t="s">
        <v>63</v>
      </c>
      <c r="E283" s="43"/>
      <c r="F283" s="398">
        <v>0.1847668867183152</v>
      </c>
      <c r="G283" s="86">
        <f t="shared" si="71"/>
        <v>0.17479585367431522</v>
      </c>
      <c r="H283" s="44">
        <f>+SUMIF('Mois courant'!$A$8:$A$21,'Tableau détaillé'!$D283,'Mois courant'!$M$8:$M$21)*100</f>
        <v>-0.99710330440000006</v>
      </c>
      <c r="I283" s="93"/>
      <c r="J283" s="87">
        <f t="shared" si="72"/>
        <v>0.80488163979999994</v>
      </c>
      <c r="K283" s="93"/>
      <c r="L283" s="102"/>
      <c r="M283" s="102"/>
      <c r="N283" s="268"/>
      <c r="O283" s="268"/>
      <c r="P283" s="268"/>
      <c r="Q283" s="268"/>
      <c r="R283" s="268"/>
      <c r="S283" s="268"/>
      <c r="T283" s="268"/>
      <c r="U283" s="268"/>
      <c r="V283" s="268"/>
      <c r="W283" s="265"/>
      <c r="X283" s="265"/>
      <c r="Y283" s="265"/>
      <c r="Z283" s="265"/>
      <c r="AA283" s="265"/>
    </row>
    <row r="284" spans="3:27" ht="15" thickTop="1" thickBot="1">
      <c r="C284" s="437"/>
      <c r="E284" s="132"/>
      <c r="F284" s="132"/>
      <c r="G284" s="132"/>
      <c r="H284" s="98"/>
      <c r="L284" s="98"/>
      <c r="M284" s="98"/>
      <c r="N284" s="170"/>
      <c r="O284" s="170"/>
      <c r="P284" s="170"/>
      <c r="Q284" s="170"/>
      <c r="R284" s="170"/>
      <c r="S284" s="170"/>
      <c r="T284" s="170"/>
      <c r="U284" s="170"/>
      <c r="V284" s="170"/>
      <c r="W284" s="265"/>
      <c r="X284" s="265"/>
      <c r="Y284" s="265"/>
      <c r="Z284" s="265"/>
      <c r="AA284" s="265"/>
    </row>
    <row r="285" spans="3:27" ht="14.4" thickTop="1">
      <c r="C285" s="463" t="s">
        <v>146</v>
      </c>
      <c r="D285" s="45" t="s">
        <v>64</v>
      </c>
      <c r="E285" s="104">
        <f>+((E293*E193)+(E198*E298))/SUM(E193,E198)</f>
        <v>0.65292450974185401</v>
      </c>
      <c r="F285" s="104">
        <f>+((F293*F193)+(F198*F298))/SUM(F193,F198)</f>
        <v>0.65292450974185401</v>
      </c>
      <c r="G285" s="104">
        <f>+((G293*G193)+(G198*G298))/SUM(G193,G198)</f>
        <v>0.65777104835752453</v>
      </c>
      <c r="H285" s="38">
        <f>+(G285-F285)*100</f>
        <v>0.48465386156705259</v>
      </c>
      <c r="I285" s="50"/>
      <c r="J285" s="69"/>
      <c r="K285" s="50"/>
      <c r="L285" s="97"/>
      <c r="M285" s="97"/>
      <c r="N285" s="253"/>
      <c r="O285" s="169"/>
      <c r="P285" s="169"/>
      <c r="Q285" s="169"/>
      <c r="R285" s="169"/>
      <c r="S285" s="169"/>
      <c r="T285" s="169"/>
      <c r="U285" s="169"/>
      <c r="V285" s="169"/>
      <c r="W285" s="265"/>
      <c r="X285" s="265"/>
      <c r="Y285" s="265"/>
      <c r="Z285" s="265"/>
      <c r="AA285" s="265"/>
    </row>
    <row r="286" spans="3:27">
      <c r="C286" s="435"/>
      <c r="D286" s="47" t="s">
        <v>13</v>
      </c>
      <c r="E286" s="39">
        <f>+SUMIF('Mois Y-1'!$A$8:$A$18,'Tableau détaillé'!$D286,'Mois Y-1'!$D$8:$D$18)</f>
        <v>0.61575319233400005</v>
      </c>
      <c r="F286" s="85">
        <f>+SUMIF('Dec A-1'!$A$8:$A$18,'Tableau détaillé'!$D286,'Dec A-1'!$D$8:$D$18)</f>
        <v>0.61575319233400005</v>
      </c>
      <c r="G286" s="85">
        <f>+SUMIF('Mois courant'!$A$9:$A$20,'Tableau détaillé'!$D286,'Mois courant'!$D$9:$D$20)</f>
        <v>0.63556461157699995</v>
      </c>
      <c r="H286" s="40">
        <f>+(G286-F286)*100</f>
        <v>1.9811419242999895</v>
      </c>
      <c r="I286" s="91"/>
      <c r="J286" s="63">
        <f>+$H$285</f>
        <v>0.48465386156705259</v>
      </c>
      <c r="K286" s="91"/>
      <c r="L286" s="63"/>
      <c r="M286" s="63"/>
      <c r="N286" s="267"/>
      <c r="O286" s="267"/>
      <c r="P286" s="267"/>
      <c r="Q286" s="267"/>
      <c r="R286" s="267"/>
      <c r="S286" s="267"/>
      <c r="T286" s="267"/>
      <c r="U286" s="267"/>
      <c r="V286" s="267"/>
      <c r="W286" s="265"/>
      <c r="X286" s="265"/>
      <c r="Y286" s="265"/>
      <c r="Z286" s="265"/>
      <c r="AA286" s="265"/>
    </row>
    <row r="287" spans="3:27">
      <c r="C287" s="435"/>
      <c r="D287" s="47" t="s">
        <v>14</v>
      </c>
      <c r="E287" s="39">
        <f>+SUMIF('Mois Y-1'!$A$8:$A$18,'Tableau détaillé'!$D287,'Mois Y-1'!$D$8:$D$18)</f>
        <v>0.56308408363200002</v>
      </c>
      <c r="F287" s="85">
        <f>+SUMIF('Dec A-1'!$A$8:$A$18,'Tableau détaillé'!$D287,'Dec A-1'!$D$8:$D$18)</f>
        <v>0.56308408363200002</v>
      </c>
      <c r="G287" s="85">
        <f>+SUMIF('Mois courant'!$A$9:$A$20,'Tableau détaillé'!$D287,'Mois courant'!$D$9:$D$20)</f>
        <v>0.59900166389300002</v>
      </c>
      <c r="H287" s="40">
        <f t="shared" ref="H287:H292" si="73">+(G287-F287)*100</f>
        <v>3.5917580261000004</v>
      </c>
      <c r="I287" s="91"/>
      <c r="J287" s="63">
        <f t="shared" ref="J287:J298" si="74">+$H$285</f>
        <v>0.48465386156705259</v>
      </c>
      <c r="K287" s="91"/>
      <c r="L287" s="63"/>
      <c r="M287" s="63"/>
      <c r="N287" s="267"/>
      <c r="O287" s="267"/>
      <c r="P287" s="267"/>
      <c r="Q287" s="267"/>
      <c r="R287" s="267"/>
      <c r="S287" s="267"/>
      <c r="T287" s="267"/>
      <c r="U287" s="267"/>
      <c r="V287" s="267"/>
      <c r="W287" s="265"/>
      <c r="X287" s="265"/>
      <c r="Y287" s="265"/>
      <c r="Z287" s="265"/>
      <c r="AA287" s="265"/>
    </row>
    <row r="288" spans="3:27">
      <c r="C288" s="435"/>
      <c r="D288" s="47" t="s">
        <v>17</v>
      </c>
      <c r="E288" s="39">
        <f>+SUMIF('Mois Y-1'!$A$8:$A$18,'Tableau détaillé'!$D288,'Mois Y-1'!$D$8:$D$18)</f>
        <v>0.522730200132</v>
      </c>
      <c r="F288" s="85">
        <f>+SUMIF('Dec A-1'!$A$8:$A$18,'Tableau détaillé'!$D288,'Dec A-1'!$D$8:$D$18)</f>
        <v>0.522730200132</v>
      </c>
      <c r="G288" s="85">
        <f>+SUMIF('Mois courant'!$A$9:$A$20,'Tableau détaillé'!$D288,'Mois courant'!$D$9:$D$20)</f>
        <v>0.50734568924000001</v>
      </c>
      <c r="H288" s="40">
        <f t="shared" si="73"/>
        <v>-1.5384510891999992</v>
      </c>
      <c r="I288" s="91"/>
      <c r="J288" s="63">
        <f t="shared" si="74"/>
        <v>0.48465386156705259</v>
      </c>
      <c r="K288" s="91"/>
      <c r="L288" s="63"/>
      <c r="M288" s="63"/>
      <c r="N288" s="267"/>
      <c r="O288" s="267"/>
      <c r="P288" s="267"/>
      <c r="Q288" s="267"/>
      <c r="R288" s="267"/>
      <c r="S288" s="267"/>
      <c r="T288" s="267"/>
      <c r="U288" s="267"/>
      <c r="V288" s="267"/>
      <c r="W288" s="265"/>
      <c r="X288" s="265"/>
      <c r="Y288" s="265"/>
      <c r="Z288" s="265"/>
      <c r="AA288" s="265"/>
    </row>
    <row r="289" spans="3:27">
      <c r="C289" s="435"/>
      <c r="D289" s="47" t="s">
        <v>18</v>
      </c>
      <c r="E289" s="39">
        <f>+SUMIF('Mois Y-1'!$A$8:$A$18,'Tableau détaillé'!$D289,'Mois Y-1'!$D$8:$D$18)</f>
        <v>0.60824220242100002</v>
      </c>
      <c r="F289" s="85">
        <f>+SUMIF('Dec A-1'!$A$8:$A$18,'Tableau détaillé'!$D289,'Dec A-1'!$D$8:$D$18)</f>
        <v>0.60824220242100002</v>
      </c>
      <c r="G289" s="85">
        <f>+SUMIF('Mois courant'!$A$9:$A$20,'Tableau détaillé'!$D289,'Mois courant'!$D$9:$D$20)</f>
        <v>0.580616330929</v>
      </c>
      <c r="H289" s="40">
        <f t="shared" si="73"/>
        <v>-2.762587149200002</v>
      </c>
      <c r="I289" s="91"/>
      <c r="J289" s="63">
        <f t="shared" si="74"/>
        <v>0.48465386156705259</v>
      </c>
      <c r="K289" s="91"/>
      <c r="L289" s="63"/>
      <c r="M289" s="63"/>
      <c r="N289" s="267"/>
      <c r="O289" s="267"/>
      <c r="P289" s="267"/>
      <c r="Q289" s="267"/>
      <c r="R289" s="267"/>
      <c r="S289" s="267"/>
      <c r="T289" s="267"/>
      <c r="U289" s="267"/>
      <c r="V289" s="267"/>
      <c r="W289" s="265"/>
      <c r="X289" s="265"/>
      <c r="Y289" s="265"/>
      <c r="Z289" s="265"/>
      <c r="AA289" s="265"/>
    </row>
    <row r="290" spans="3:27">
      <c r="C290" s="435"/>
      <c r="D290" s="47" t="s">
        <v>19</v>
      </c>
      <c r="E290" s="39">
        <f>+SUMIF('Mois Y-1'!$A$8:$A$18,'Tableau détaillé'!$D290,'Mois Y-1'!$D$8:$D$18)</f>
        <v>0.68196375566300005</v>
      </c>
      <c r="F290" s="85">
        <f>+SUMIF('Dec A-1'!$A$8:$A$18,'Tableau détaillé'!$D290,'Dec A-1'!$D$8:$D$18)</f>
        <v>0.68196375566300005</v>
      </c>
      <c r="G290" s="85">
        <f>+SUMIF('Mois courant'!$A$9:$A$20,'Tableau détaillé'!$D290,'Mois courant'!$D$9:$D$20)</f>
        <v>0.68628975969600003</v>
      </c>
      <c r="H290" s="40">
        <f t="shared" si="73"/>
        <v>0.4326004032999986</v>
      </c>
      <c r="I290" s="91"/>
      <c r="J290" s="63">
        <f t="shared" si="74"/>
        <v>0.48465386156705259</v>
      </c>
      <c r="K290" s="91"/>
      <c r="L290" s="63"/>
      <c r="M290" s="63"/>
      <c r="N290" s="267"/>
      <c r="O290" s="267"/>
      <c r="P290" s="267"/>
      <c r="Q290" s="267"/>
      <c r="R290" s="267"/>
      <c r="S290" s="267"/>
      <c r="T290" s="267"/>
      <c r="U290" s="267"/>
      <c r="V290" s="267"/>
      <c r="W290" s="265"/>
      <c r="X290" s="265"/>
      <c r="Y290" s="265"/>
      <c r="Z290" s="265"/>
      <c r="AA290" s="265"/>
    </row>
    <row r="291" spans="3:27">
      <c r="C291" s="435"/>
      <c r="D291" s="47" t="s">
        <v>21</v>
      </c>
      <c r="E291" s="39">
        <f>+SUMIF('Mois Y-1'!$A$8:$A$18,'Tableau détaillé'!$D291,'Mois Y-1'!$D$8:$D$18)</f>
        <v>0.629868193475</v>
      </c>
      <c r="F291" s="85">
        <f>+SUMIF('Dec A-1'!$A$8:$A$18,'Tableau détaillé'!$D291,'Dec A-1'!$D$8:$D$18)</f>
        <v>0.629868193475</v>
      </c>
      <c r="G291" s="85">
        <f>+SUMIF('Mois courant'!$A$9:$A$20,'Tableau détaillé'!$D291,'Mois courant'!$D$9:$D$20)</f>
        <v>0.64725483973300002</v>
      </c>
      <c r="H291" s="40">
        <f t="shared" si="73"/>
        <v>1.7386646258000016</v>
      </c>
      <c r="I291" s="91"/>
      <c r="J291" s="63">
        <f t="shared" si="74"/>
        <v>0.48465386156705259</v>
      </c>
      <c r="K291" s="91"/>
      <c r="L291" s="63"/>
      <c r="M291" s="63"/>
      <c r="N291" s="267"/>
      <c r="O291" s="267"/>
      <c r="P291" s="267"/>
      <c r="Q291" s="267"/>
      <c r="R291" s="267"/>
      <c r="S291" s="267"/>
      <c r="T291" s="267"/>
      <c r="U291" s="267"/>
      <c r="V291" s="267"/>
      <c r="W291" s="265"/>
      <c r="X291" s="265"/>
      <c r="Y291" s="265"/>
      <c r="Z291" s="265"/>
      <c r="AA291" s="265"/>
    </row>
    <row r="292" spans="3:27">
      <c r="C292" s="435"/>
      <c r="D292" s="47" t="s">
        <v>22</v>
      </c>
      <c r="E292" s="39">
        <f>+SUMIF('Mois Y-1'!$A$8:$A$18,'Tableau détaillé'!$D292,'Mois Y-1'!$D$8:$D$18)</f>
        <v>0.78198373785599995</v>
      </c>
      <c r="F292" s="85">
        <f>+SUMIF('Dec A-1'!$A$8:$A$18,'Tableau détaillé'!$D292,'Dec A-1'!$D$8:$D$18)</f>
        <v>0.78198373785599995</v>
      </c>
      <c r="G292" s="85">
        <f>+SUMIF('Mois courant'!$A$9:$A$20,'Tableau détaillé'!$D292,'Mois courant'!$D$9:$D$20)</f>
        <v>0.76742542477599995</v>
      </c>
      <c r="H292" s="40">
        <f t="shared" si="73"/>
        <v>-1.4558313079999996</v>
      </c>
      <c r="I292" s="91"/>
      <c r="J292" s="63">
        <f t="shared" si="74"/>
        <v>0.48465386156705259</v>
      </c>
      <c r="K292" s="91"/>
      <c r="L292" s="63"/>
      <c r="M292" s="63"/>
      <c r="N292" s="267"/>
      <c r="O292" s="267"/>
      <c r="P292" s="267"/>
      <c r="Q292" s="267"/>
      <c r="R292" s="267"/>
      <c r="S292" s="267"/>
      <c r="T292" s="267"/>
      <c r="U292" s="267"/>
      <c r="V292" s="267"/>
      <c r="W292" s="265"/>
      <c r="X292" s="265"/>
      <c r="Y292" s="265"/>
      <c r="Z292" s="265"/>
      <c r="AA292" s="265"/>
    </row>
    <row r="293" spans="3:27">
      <c r="C293" s="435"/>
      <c r="D293" s="48" t="s">
        <v>62</v>
      </c>
      <c r="E293" s="860">
        <f>+SUMPRODUCT(E286:E292,E186:E192)/SUM(E186:E192)</f>
        <v>0.59795868972958965</v>
      </c>
      <c r="F293" s="103">
        <f>+SUMPRODUCT(F286:F292,F186:F192)/SUM(F186:F192)</f>
        <v>0.59795868972958965</v>
      </c>
      <c r="G293" s="860">
        <f>+SUMPRODUCT(G286:G292,G186:G192)/SUM(G186:G192)</f>
        <v>0.60809004825015478</v>
      </c>
      <c r="H293" s="42">
        <f t="shared" ref="H293:H298" si="75">+(G293-F293)*100</f>
        <v>1.0131358520565126</v>
      </c>
      <c r="I293" s="92"/>
      <c r="J293" s="63">
        <f t="shared" si="74"/>
        <v>0.48465386156705259</v>
      </c>
      <c r="K293" s="92"/>
      <c r="L293" s="102"/>
      <c r="M293" s="102"/>
      <c r="N293" s="268"/>
      <c r="O293" s="268"/>
      <c r="P293" s="268"/>
      <c r="Q293" s="268"/>
      <c r="R293" s="268"/>
      <c r="S293" s="268"/>
      <c r="T293" s="268"/>
      <c r="U293" s="268"/>
      <c r="V293" s="268"/>
      <c r="W293" s="265"/>
      <c r="X293" s="265"/>
      <c r="Y293" s="265"/>
      <c r="Z293" s="265"/>
      <c r="AA293" s="265"/>
    </row>
    <row r="294" spans="3:27">
      <c r="C294" s="435"/>
      <c r="D294" s="47" t="s">
        <v>15</v>
      </c>
      <c r="E294" s="39">
        <f>+SUMIF('Mois Y-1'!$A$8:$A$18,'Tableau détaillé'!$D294,'Mois Y-1'!$D$8:$D$18)</f>
        <v>0.83553609187699995</v>
      </c>
      <c r="F294" s="85">
        <f>+SUMIF('Dec A-1'!$A$8:$A$18,'Tableau détaillé'!$D294,'Dec A-1'!$D$8:$D$18)</f>
        <v>0.83553609187699995</v>
      </c>
      <c r="G294" s="85">
        <f>+SUMIF('Mois courant'!$A$9:$A$20,'Tableau détaillé'!$D294,'Mois courant'!$D$9:$D$20)</f>
        <v>0.81058642191499997</v>
      </c>
      <c r="H294" s="40">
        <f t="shared" si="75"/>
        <v>-2.4949669961999987</v>
      </c>
      <c r="I294" s="91"/>
      <c r="J294" s="63">
        <f t="shared" si="74"/>
        <v>0.48465386156705259</v>
      </c>
      <c r="K294" s="91"/>
      <c r="L294" s="63"/>
      <c r="M294" s="63"/>
      <c r="N294" s="267"/>
      <c r="O294" s="267"/>
      <c r="P294" s="267"/>
      <c r="Q294" s="267"/>
      <c r="R294" s="267"/>
      <c r="S294" s="267"/>
      <c r="T294" s="267"/>
      <c r="U294" s="267"/>
      <c r="V294" s="267"/>
      <c r="W294" s="265"/>
      <c r="X294" s="265"/>
      <c r="Y294" s="265"/>
      <c r="Z294" s="265"/>
      <c r="AA294" s="265"/>
    </row>
    <row r="295" spans="3:27">
      <c r="C295" s="435"/>
      <c r="D295" s="47" t="s">
        <v>16</v>
      </c>
      <c r="E295" s="39">
        <f>+SUMIF('Mois Y-1'!$A$8:$A$18,'Tableau détaillé'!$D295,'Mois Y-1'!$D$8:$D$18)</f>
        <v>0.718983507518</v>
      </c>
      <c r="F295" s="85">
        <f>+SUMIF('Dec A-1'!$A$8:$A$18,'Tableau détaillé'!$D295,'Dec A-1'!$D$8:$D$18)</f>
        <v>0.718983507518</v>
      </c>
      <c r="G295" s="85">
        <f>+SUMIF('Mois courant'!$A$9:$A$20,'Tableau détaillé'!$D295,'Mois courant'!$D$9:$D$20)</f>
        <v>0.73472217525100003</v>
      </c>
      <c r="H295" s="40">
        <f t="shared" si="75"/>
        <v>1.5738667733000034</v>
      </c>
      <c r="I295" s="91"/>
      <c r="J295" s="63">
        <f t="shared" si="74"/>
        <v>0.48465386156705259</v>
      </c>
      <c r="K295" s="91"/>
      <c r="L295" s="63"/>
      <c r="M295" s="63"/>
      <c r="N295" s="267"/>
      <c r="O295" s="267"/>
      <c r="P295" s="267"/>
      <c r="Q295" s="267"/>
      <c r="R295" s="267"/>
      <c r="S295" s="267"/>
      <c r="T295" s="267"/>
      <c r="U295" s="267"/>
      <c r="V295" s="267"/>
      <c r="W295" s="265"/>
      <c r="X295" s="265"/>
      <c r="Y295" s="265"/>
      <c r="Z295" s="265"/>
      <c r="AA295" s="265"/>
    </row>
    <row r="296" spans="3:27">
      <c r="C296" s="435"/>
      <c r="D296" s="47" t="s">
        <v>20</v>
      </c>
      <c r="E296" s="39">
        <f>+SUMIF('Mois Y-1'!$A$8:$A$18,'Tableau détaillé'!$D296,'Mois Y-1'!$D$8:$D$18)</f>
        <v>0.68711339254299997</v>
      </c>
      <c r="F296" s="85">
        <f>+SUMIF('Dec A-1'!$A$8:$A$18,'Tableau détaillé'!$D296,'Dec A-1'!$D$8:$D$18)</f>
        <v>0.68711339254299997</v>
      </c>
      <c r="G296" s="85">
        <f>+SUMIF('Mois courant'!$A$9:$A$20,'Tableau détaillé'!$D296,'Mois courant'!$D$9:$D$20)</f>
        <v>0.66002978617700003</v>
      </c>
      <c r="H296" s="40">
        <f t="shared" si="75"/>
        <v>-2.7083606365999935</v>
      </c>
      <c r="I296" s="91"/>
      <c r="J296" s="63">
        <f t="shared" si="74"/>
        <v>0.48465386156705259</v>
      </c>
      <c r="K296" s="91"/>
      <c r="L296" s="63"/>
      <c r="M296" s="63"/>
      <c r="N296" s="267"/>
      <c r="O296" s="267"/>
      <c r="P296" s="267"/>
      <c r="Q296" s="267"/>
      <c r="R296" s="267"/>
      <c r="S296" s="267"/>
      <c r="T296" s="267"/>
      <c r="U296" s="267"/>
      <c r="V296" s="267"/>
      <c r="W296" s="265"/>
      <c r="X296" s="265"/>
      <c r="Y296" s="265"/>
      <c r="Z296" s="265"/>
      <c r="AA296" s="265"/>
    </row>
    <row r="297" spans="3:27">
      <c r="C297" s="435"/>
      <c r="D297" s="47" t="s">
        <v>23</v>
      </c>
      <c r="E297" s="39">
        <f>+SUMIF('Mois Y-1'!$A$8:$A$18,'Tableau détaillé'!$D297,'Mois Y-1'!$D$8:$D$18)</f>
        <v>0.78696602571200003</v>
      </c>
      <c r="F297" s="85">
        <f>+SUMIF('Dec A-1'!$A$8:$A$18,'Tableau détaillé'!$D297,'Dec A-1'!$D$8:$D$18)</f>
        <v>0.78696602571200003</v>
      </c>
      <c r="G297" s="85">
        <f>+SUMIF('Mois courant'!$A$9:$A$20,'Tableau détaillé'!$D297,'Mois courant'!$D$9:$D$20)</f>
        <v>0.70879946568709296</v>
      </c>
      <c r="H297" s="40">
        <f t="shared" si="75"/>
        <v>-7.8166560024907072</v>
      </c>
      <c r="I297" s="91"/>
      <c r="J297" s="63">
        <f t="shared" si="74"/>
        <v>0.48465386156705259</v>
      </c>
      <c r="K297" s="91"/>
      <c r="L297" s="63"/>
      <c r="M297" s="63"/>
      <c r="N297" s="267"/>
      <c r="O297" s="267"/>
      <c r="P297" s="267"/>
      <c r="Q297" s="267"/>
      <c r="R297" s="267"/>
      <c r="S297" s="267"/>
      <c r="T297" s="267"/>
      <c r="U297" s="267"/>
      <c r="V297" s="267"/>
      <c r="W297" s="265"/>
      <c r="X297" s="265"/>
      <c r="Y297" s="265"/>
      <c r="Z297" s="265"/>
      <c r="AA297" s="265"/>
    </row>
    <row r="298" spans="3:27" ht="14.4" thickBot="1">
      <c r="C298" s="436"/>
      <c r="D298" s="49" t="s">
        <v>63</v>
      </c>
      <c r="E298" s="43">
        <f>+SUMPRODUCT(E294:E297,E194:E197)/SUM(E194:E197)</f>
        <v>0.77482970444010446</v>
      </c>
      <c r="F298" s="86">
        <f>+SUMPRODUCT(F294:F297,F194:F197)/SUM(F194:F197)</f>
        <v>0.77482970444010446</v>
      </c>
      <c r="G298" s="86">
        <f>+SUMPRODUCT(G294:G297,G194:G197)/SUM(G194:G197)</f>
        <v>0.76429137783463974</v>
      </c>
      <c r="H298" s="44">
        <f t="shared" si="75"/>
        <v>-1.0538326605464721</v>
      </c>
      <c r="I298" s="93"/>
      <c r="J298" s="87">
        <f t="shared" si="74"/>
        <v>0.48465386156705259</v>
      </c>
      <c r="K298" s="93"/>
      <c r="L298" s="102"/>
      <c r="M298" s="102"/>
      <c r="N298" s="268"/>
      <c r="O298" s="268"/>
      <c r="P298" s="268"/>
      <c r="Q298" s="268"/>
      <c r="R298" s="268"/>
      <c r="S298" s="268"/>
      <c r="T298" s="268"/>
      <c r="U298" s="268"/>
      <c r="V298" s="268"/>
      <c r="W298" s="265"/>
      <c r="X298" s="265"/>
      <c r="Y298" s="265"/>
      <c r="Z298" s="265"/>
      <c r="AA298" s="265"/>
    </row>
    <row r="299" spans="3:27" ht="14.4" thickTop="1">
      <c r="C299" s="437"/>
      <c r="E299" s="132"/>
      <c r="F299" s="132"/>
      <c r="G299" s="132"/>
      <c r="L299" s="98"/>
      <c r="M299" s="98"/>
      <c r="N299" s="170"/>
      <c r="O299" s="170"/>
      <c r="P299" s="170"/>
      <c r="Q299" s="170"/>
      <c r="R299" s="170"/>
      <c r="S299" s="170"/>
      <c r="T299" s="170"/>
      <c r="U299" s="170"/>
      <c r="V299" s="170"/>
      <c r="W299" s="265"/>
      <c r="X299" s="265"/>
      <c r="Y299" s="265"/>
      <c r="Z299" s="265"/>
      <c r="AA299" s="265"/>
    </row>
    <row r="300" spans="3:27" ht="14.4" thickBot="1">
      <c r="C300" s="437"/>
      <c r="E300" s="132"/>
      <c r="F300" s="132"/>
      <c r="G300" s="132"/>
      <c r="L300" s="98"/>
      <c r="M300" s="98"/>
      <c r="N300" s="170"/>
      <c r="O300" s="170"/>
      <c r="P300" s="170"/>
      <c r="Q300" s="170"/>
      <c r="R300" s="170"/>
      <c r="S300" s="170"/>
      <c r="T300" s="170"/>
      <c r="U300" s="170"/>
      <c r="V300" s="170"/>
      <c r="W300" s="265"/>
      <c r="X300" s="265"/>
      <c r="Y300" s="265"/>
      <c r="Z300" s="265"/>
      <c r="AA300" s="265"/>
    </row>
    <row r="301" spans="3:27" ht="14.4" thickTop="1">
      <c r="C301" s="464" t="s">
        <v>290</v>
      </c>
      <c r="D301" s="45" t="s">
        <v>64</v>
      </c>
      <c r="E301" s="104">
        <f>SUM(E309,E314)</f>
        <v>1</v>
      </c>
      <c r="F301" s="210"/>
      <c r="G301" s="104">
        <f>SUM(G309,G314)</f>
        <v>1</v>
      </c>
      <c r="H301" s="210"/>
      <c r="I301" s="38">
        <f>+(G301-E301)*100</f>
        <v>0</v>
      </c>
      <c r="J301" s="69"/>
      <c r="K301" s="50"/>
      <c r="L301" s="97"/>
      <c r="M301" s="97"/>
      <c r="N301" s="169"/>
      <c r="O301" s="169"/>
      <c r="P301" s="169"/>
      <c r="Q301" s="169"/>
      <c r="R301" s="169"/>
      <c r="S301" s="169"/>
      <c r="T301" s="169"/>
      <c r="U301" s="169"/>
      <c r="V301" s="169"/>
      <c r="W301" s="265"/>
      <c r="X301" s="265"/>
      <c r="Y301" s="265"/>
      <c r="Z301" s="265"/>
      <c r="AA301" s="265"/>
    </row>
    <row r="302" spans="3:27">
      <c r="C302" s="435"/>
      <c r="D302" s="47" t="s">
        <v>13</v>
      </c>
      <c r="E302" s="163">
        <f>+E334/$E$333</f>
        <v>0.41651656543997895</v>
      </c>
      <c r="F302" s="211"/>
      <c r="G302" s="163">
        <f>+G334/$G$333</f>
        <v>0.34505501255462934</v>
      </c>
      <c r="H302" s="211"/>
      <c r="I302" s="40">
        <f t="shared" ref="I302:I314" si="76">+(G302-E302)*100</f>
        <v>-7.1461552885349615</v>
      </c>
      <c r="J302" s="100"/>
      <c r="K302" s="91"/>
      <c r="L302" s="63"/>
      <c r="M302" s="63"/>
      <c r="N302" s="267"/>
      <c r="O302" s="267"/>
      <c r="P302" s="267"/>
      <c r="Q302" s="267"/>
      <c r="R302" s="267"/>
      <c r="S302" s="267"/>
      <c r="T302" s="267"/>
      <c r="U302" s="267"/>
      <c r="V302" s="267"/>
      <c r="W302" s="265"/>
      <c r="X302" s="265"/>
      <c r="Y302" s="265"/>
      <c r="Z302" s="265"/>
      <c r="AA302" s="265"/>
    </row>
    <row r="303" spans="3:27">
      <c r="C303" s="435"/>
      <c r="D303" s="47" t="s">
        <v>14</v>
      </c>
      <c r="E303" s="163">
        <v>0</v>
      </c>
      <c r="F303" s="211"/>
      <c r="G303" s="163">
        <v>0</v>
      </c>
      <c r="H303" s="211"/>
      <c r="I303" s="40">
        <f t="shared" si="76"/>
        <v>0</v>
      </c>
      <c r="J303" s="100"/>
      <c r="K303" s="91"/>
      <c r="L303" s="63"/>
      <c r="M303" s="63"/>
      <c r="N303" s="267"/>
      <c r="O303" s="267"/>
      <c r="P303" s="267"/>
      <c r="Q303" s="267"/>
      <c r="R303" s="267"/>
      <c r="S303" s="267"/>
      <c r="T303" s="267"/>
      <c r="U303" s="267"/>
      <c r="V303" s="267"/>
      <c r="W303" s="265"/>
      <c r="X303" s="265"/>
      <c r="Y303" s="265"/>
      <c r="Z303" s="265"/>
      <c r="AA303" s="265"/>
    </row>
    <row r="304" spans="3:27">
      <c r="C304" s="435"/>
      <c r="D304" s="47" t="s">
        <v>17</v>
      </c>
      <c r="E304" s="163">
        <f t="shared" ref="E304:E314" si="77">+E336/$E$333</f>
        <v>0.13345258597256829</v>
      </c>
      <c r="F304" s="211"/>
      <c r="G304" s="163">
        <f t="shared" ref="G304:G308" si="78">+G336/$G$333</f>
        <v>0.10981713495482268</v>
      </c>
      <c r="H304" s="211"/>
      <c r="I304" s="40">
        <f t="shared" si="76"/>
        <v>-2.3635451017745615</v>
      </c>
      <c r="J304" s="100"/>
      <c r="K304" s="91"/>
      <c r="L304" s="63"/>
      <c r="M304" s="63"/>
      <c r="N304" s="267"/>
      <c r="O304" s="267"/>
      <c r="P304" s="267"/>
      <c r="Q304" s="267"/>
      <c r="R304" s="267"/>
      <c r="S304" s="267"/>
      <c r="T304" s="267"/>
      <c r="U304" s="267"/>
      <c r="V304" s="267"/>
      <c r="W304" s="265"/>
      <c r="X304" s="265"/>
      <c r="Y304" s="265"/>
      <c r="Z304" s="265"/>
      <c r="AA304" s="265"/>
    </row>
    <row r="305" spans="3:27">
      <c r="C305" s="435"/>
      <c r="D305" s="47" t="s">
        <v>18</v>
      </c>
      <c r="E305" s="163">
        <f t="shared" si="77"/>
        <v>4.2318271533897119E-2</v>
      </c>
      <c r="F305" s="211"/>
      <c r="G305" s="163">
        <f t="shared" si="78"/>
        <v>6.6134428484546759E-2</v>
      </c>
      <c r="H305" s="211"/>
      <c r="I305" s="40">
        <f t="shared" si="76"/>
        <v>2.3816156950649638</v>
      </c>
      <c r="J305" s="100"/>
      <c r="K305" s="91"/>
      <c r="L305" s="63"/>
      <c r="M305" s="63"/>
      <c r="N305" s="267"/>
      <c r="O305" s="267"/>
      <c r="P305" s="267"/>
      <c r="Q305" s="267"/>
      <c r="R305" s="267"/>
      <c r="S305" s="267"/>
      <c r="T305" s="267"/>
      <c r="U305" s="267"/>
      <c r="V305" s="267"/>
      <c r="W305" s="265"/>
      <c r="X305" s="265"/>
      <c r="Y305" s="265"/>
      <c r="Z305" s="265"/>
      <c r="AA305" s="265"/>
    </row>
    <row r="306" spans="3:27">
      <c r="C306" s="435"/>
      <c r="D306" s="47" t="s">
        <v>19</v>
      </c>
      <c r="E306" s="163">
        <f t="shared" si="77"/>
        <v>7.0249707576871573E-2</v>
      </c>
      <c r="F306" s="211"/>
      <c r="G306" s="163">
        <f t="shared" si="78"/>
        <v>0.11527412270333236</v>
      </c>
      <c r="H306" s="211"/>
      <c r="I306" s="40">
        <f t="shared" si="76"/>
        <v>4.5024415126460786</v>
      </c>
      <c r="J306" s="100"/>
      <c r="K306" s="91"/>
      <c r="L306" s="63"/>
      <c r="M306" s="63"/>
      <c r="N306" s="267"/>
      <c r="O306" s="267"/>
      <c r="P306" s="267"/>
      <c r="Q306" s="267"/>
      <c r="R306" s="267"/>
      <c r="S306" s="267"/>
      <c r="T306" s="267"/>
      <c r="U306" s="267"/>
      <c r="V306" s="267"/>
      <c r="W306" s="265"/>
      <c r="X306" s="265"/>
      <c r="Y306" s="265"/>
      <c r="Z306" s="265"/>
      <c r="AA306" s="265"/>
    </row>
    <row r="307" spans="3:27">
      <c r="C307" s="435"/>
      <c r="D307" s="47" t="s">
        <v>21</v>
      </c>
      <c r="E307" s="163">
        <f t="shared" si="77"/>
        <v>1.8448696507399213E-2</v>
      </c>
      <c r="F307" s="211"/>
      <c r="G307" s="163">
        <f t="shared" si="78"/>
        <v>1.734372575217252E-2</v>
      </c>
      <c r="H307" s="211"/>
      <c r="I307" s="40">
        <f t="shared" si="76"/>
        <v>-0.11049707552266939</v>
      </c>
      <c r="J307" s="100"/>
      <c r="K307" s="91"/>
      <c r="L307" s="63"/>
      <c r="M307" s="63"/>
      <c r="N307" s="267"/>
      <c r="O307" s="267"/>
      <c r="P307" s="267"/>
      <c r="Q307" s="267"/>
      <c r="R307" s="267"/>
      <c r="S307" s="267"/>
      <c r="T307" s="267"/>
      <c r="U307" s="267"/>
      <c r="V307" s="267"/>
      <c r="W307" s="265"/>
      <c r="X307" s="265"/>
      <c r="Y307" s="265"/>
      <c r="Z307" s="265"/>
      <c r="AA307" s="265"/>
    </row>
    <row r="308" spans="3:27">
      <c r="C308" s="435"/>
      <c r="D308" s="47" t="s">
        <v>22</v>
      </c>
      <c r="E308" s="163">
        <f t="shared" si="77"/>
        <v>1.9323631270135283E-2</v>
      </c>
      <c r="F308" s="211"/>
      <c r="G308" s="163">
        <f t="shared" si="78"/>
        <v>6.2584688782512859E-2</v>
      </c>
      <c r="H308" s="211"/>
      <c r="I308" s="40">
        <f t="shared" si="76"/>
        <v>4.3261057512377574</v>
      </c>
      <c r="J308" s="100"/>
      <c r="K308" s="91"/>
      <c r="L308" s="63"/>
      <c r="M308" s="63"/>
      <c r="N308" s="267"/>
      <c r="O308" s="267"/>
      <c r="P308" s="267"/>
      <c r="Q308" s="267"/>
      <c r="R308" s="267"/>
      <c r="S308" s="267"/>
      <c r="T308" s="267"/>
      <c r="U308" s="267"/>
      <c r="V308" s="267"/>
      <c r="W308" s="265"/>
      <c r="X308" s="265"/>
      <c r="Y308" s="265"/>
      <c r="Z308" s="265"/>
      <c r="AA308" s="265"/>
    </row>
    <row r="309" spans="3:27">
      <c r="C309" s="435"/>
      <c r="D309" s="48" t="s">
        <v>62</v>
      </c>
      <c r="E309" s="103">
        <f t="shared" si="77"/>
        <v>0.70030945830085034</v>
      </c>
      <c r="F309" s="212"/>
      <c r="G309" s="103">
        <f>+G341/$G$333</f>
        <v>0.71620911323201664</v>
      </c>
      <c r="H309" s="212"/>
      <c r="I309" s="42">
        <f t="shared" si="76"/>
        <v>1.5899654931166296</v>
      </c>
      <c r="J309" s="100"/>
      <c r="K309" s="92"/>
      <c r="L309" s="102"/>
      <c r="M309" s="102"/>
      <c r="N309" s="268"/>
      <c r="O309" s="268"/>
      <c r="P309" s="268"/>
      <c r="Q309" s="268"/>
      <c r="R309" s="268"/>
      <c r="S309" s="268"/>
      <c r="T309" s="268"/>
      <c r="U309" s="268"/>
      <c r="V309" s="268"/>
      <c r="W309" s="265"/>
      <c r="X309" s="265"/>
      <c r="Y309" s="265"/>
      <c r="Z309" s="265"/>
      <c r="AA309" s="265"/>
    </row>
    <row r="310" spans="3:27">
      <c r="C310" s="435"/>
      <c r="D310" s="47" t="s">
        <v>15</v>
      </c>
      <c r="E310" s="163">
        <f t="shared" si="77"/>
        <v>0.10731952715779458</v>
      </c>
      <c r="F310" s="211"/>
      <c r="G310" s="163">
        <f t="shared" ref="G310:G313" si="79">+G342/$G$333</f>
        <v>0.16206122807880641</v>
      </c>
      <c r="H310" s="211"/>
      <c r="I310" s="40">
        <f t="shared" si="76"/>
        <v>5.4741700921011827</v>
      </c>
      <c r="J310" s="100"/>
      <c r="K310" s="91"/>
      <c r="L310" s="63"/>
      <c r="M310" s="63"/>
      <c r="N310" s="267"/>
      <c r="O310" s="267"/>
      <c r="P310" s="267"/>
      <c r="Q310" s="267"/>
      <c r="R310" s="267"/>
      <c r="S310" s="267"/>
      <c r="T310" s="267"/>
      <c r="U310" s="267"/>
      <c r="V310" s="267"/>
      <c r="W310" s="265"/>
      <c r="X310" s="265"/>
      <c r="Y310" s="265"/>
      <c r="Z310" s="265"/>
      <c r="AA310" s="265"/>
    </row>
    <row r="311" spans="3:27">
      <c r="C311" s="435"/>
      <c r="D311" s="47" t="s">
        <v>16</v>
      </c>
      <c r="E311" s="163">
        <f t="shared" si="77"/>
        <v>0.13105820890121031</v>
      </c>
      <c r="F311" s="211"/>
      <c r="G311" s="163">
        <f t="shared" si="79"/>
        <v>4.1268308361651129E-2</v>
      </c>
      <c r="H311" s="211"/>
      <c r="I311" s="40">
        <f t="shared" si="76"/>
        <v>-8.9789900539559184</v>
      </c>
      <c r="J311" s="100"/>
      <c r="K311" s="91"/>
      <c r="L311" s="63"/>
      <c r="M311" s="63"/>
      <c r="N311" s="267"/>
      <c r="O311" s="267"/>
      <c r="P311" s="267"/>
      <c r="Q311" s="267"/>
      <c r="R311" s="267"/>
      <c r="S311" s="267"/>
      <c r="T311" s="267"/>
      <c r="U311" s="267"/>
      <c r="V311" s="267"/>
      <c r="W311" s="265"/>
      <c r="X311" s="265"/>
      <c r="Y311" s="265"/>
      <c r="Z311" s="265"/>
      <c r="AA311" s="265"/>
    </row>
    <row r="312" spans="3:27">
      <c r="C312" s="435"/>
      <c r="D312" s="47" t="s">
        <v>20</v>
      </c>
      <c r="E312" s="163">
        <f t="shared" si="77"/>
        <v>3.303408642458399E-2</v>
      </c>
      <c r="F312" s="211"/>
      <c r="G312" s="163">
        <f t="shared" si="79"/>
        <v>5.0158746494998081E-2</v>
      </c>
      <c r="H312" s="211"/>
      <c r="I312" s="40">
        <f t="shared" si="76"/>
        <v>1.7124660070414091</v>
      </c>
      <c r="J312" s="100"/>
      <c r="K312" s="91"/>
      <c r="L312" s="63"/>
      <c r="M312" s="63"/>
      <c r="N312" s="267"/>
      <c r="O312" s="267"/>
      <c r="P312" s="267"/>
      <c r="Q312" s="267"/>
      <c r="R312" s="267"/>
      <c r="S312" s="267"/>
      <c r="T312" s="267"/>
      <c r="U312" s="267"/>
      <c r="V312" s="267"/>
      <c r="W312" s="265"/>
      <c r="X312" s="265"/>
      <c r="Y312" s="265"/>
      <c r="Z312" s="265"/>
      <c r="AA312" s="265"/>
    </row>
    <row r="313" spans="3:27">
      <c r="C313" s="435"/>
      <c r="D313" s="47" t="s">
        <v>23</v>
      </c>
      <c r="E313" s="163">
        <f t="shared" si="77"/>
        <v>2.8278719215560924E-2</v>
      </c>
      <c r="F313" s="211"/>
      <c r="G313" s="163">
        <f t="shared" si="79"/>
        <v>3.0302603832527763E-2</v>
      </c>
      <c r="H313" s="211"/>
      <c r="I313" s="40">
        <f t="shared" si="76"/>
        <v>0.2023884616966839</v>
      </c>
      <c r="J313" s="100"/>
      <c r="K313" s="91"/>
      <c r="L313" s="63"/>
      <c r="M313" s="63"/>
      <c r="N313" s="267"/>
      <c r="O313" s="267"/>
      <c r="P313" s="267"/>
      <c r="Q313" s="267"/>
      <c r="R313" s="267"/>
      <c r="S313" s="267"/>
      <c r="T313" s="267"/>
      <c r="U313" s="267"/>
      <c r="V313" s="267"/>
      <c r="W313" s="265"/>
      <c r="X313" s="265"/>
      <c r="Y313" s="265"/>
      <c r="Z313" s="265"/>
      <c r="AA313" s="265"/>
    </row>
    <row r="314" spans="3:27" ht="14.4" thickBot="1">
      <c r="C314" s="436"/>
      <c r="D314" s="49" t="s">
        <v>63</v>
      </c>
      <c r="E314" s="86">
        <f t="shared" si="77"/>
        <v>0.29969054169914977</v>
      </c>
      <c r="F314" s="213"/>
      <c r="G314" s="86">
        <f>+G346/$G$333</f>
        <v>0.28379088676798342</v>
      </c>
      <c r="H314" s="213"/>
      <c r="I314" s="44">
        <f t="shared" si="76"/>
        <v>-1.5899654931166352</v>
      </c>
      <c r="J314" s="218"/>
      <c r="K314" s="93"/>
      <c r="L314" s="102"/>
      <c r="M314" s="102"/>
      <c r="N314" s="268"/>
      <c r="O314" s="268"/>
      <c r="P314" s="268"/>
      <c r="Q314" s="268"/>
      <c r="R314" s="268"/>
      <c r="S314" s="268"/>
      <c r="T314" s="268"/>
      <c r="U314" s="268"/>
      <c r="V314" s="268"/>
      <c r="W314" s="265"/>
      <c r="X314" s="265"/>
      <c r="Y314" s="265"/>
      <c r="Z314" s="265"/>
      <c r="AA314" s="265"/>
    </row>
    <row r="315" spans="3:27" ht="14.4" thickTop="1">
      <c r="C315" s="437"/>
      <c r="E315" s="132"/>
      <c r="F315" s="132"/>
      <c r="G315" s="132"/>
      <c r="L315" s="98"/>
      <c r="M315" s="98"/>
      <c r="N315" s="170"/>
      <c r="O315" s="170"/>
      <c r="P315" s="170"/>
      <c r="Q315" s="170"/>
      <c r="R315" s="170"/>
      <c r="S315" s="170"/>
      <c r="T315" s="170"/>
      <c r="U315" s="170"/>
      <c r="V315" s="170"/>
      <c r="W315" s="265"/>
      <c r="X315" s="265"/>
      <c r="Y315" s="265"/>
      <c r="Z315" s="265"/>
      <c r="AA315" s="265"/>
    </row>
    <row r="316" spans="3:27" ht="14.4" thickBot="1">
      <c r="C316" s="437"/>
      <c r="E316" s="132"/>
      <c r="F316" s="132"/>
      <c r="G316" s="51"/>
      <c r="L316" s="98"/>
      <c r="M316" s="98"/>
      <c r="N316" s="170"/>
      <c r="O316" s="170"/>
      <c r="P316" s="170"/>
      <c r="Q316" s="170"/>
      <c r="R316" s="170"/>
      <c r="S316" s="170"/>
      <c r="T316" s="170"/>
      <c r="U316" s="170"/>
      <c r="V316" s="170"/>
      <c r="W316" s="265"/>
      <c r="X316" s="265"/>
      <c r="Y316" s="265"/>
      <c r="Z316" s="265"/>
      <c r="AA316" s="265"/>
    </row>
    <row r="317" spans="3:27" ht="14.4" thickTop="1">
      <c r="C317" s="464" t="s">
        <v>289</v>
      </c>
      <c r="D317" s="45" t="s">
        <v>64</v>
      </c>
      <c r="E317" s="37">
        <f>(SUM(PNB!Y5:Y9,PNB!Y11:Y14)/1000)/'Tableau détaillé'!E333</f>
        <v>0.53160190097823279</v>
      </c>
      <c r="F317" s="210"/>
      <c r="G317" s="37">
        <f>(SUM(PNB!Z5:Z9,PNB!Z11:Z14)/1000)/'Tableau détaillé'!G333</f>
        <v>0.38091783454517719</v>
      </c>
      <c r="H317" s="210"/>
      <c r="I317" s="38">
        <f>+(G317-E317)*100</f>
        <v>-15.068406643305559</v>
      </c>
      <c r="J317" s="69"/>
      <c r="K317" s="50"/>
      <c r="L317" s="97"/>
      <c r="M317" s="97"/>
      <c r="N317" s="169"/>
      <c r="O317" s="169"/>
      <c r="P317" s="169"/>
      <c r="Q317" s="169"/>
      <c r="R317" s="169"/>
      <c r="S317" s="169"/>
      <c r="T317" s="169"/>
      <c r="U317" s="169"/>
      <c r="V317" s="169"/>
      <c r="W317" s="265"/>
      <c r="X317" s="265"/>
      <c r="Y317" s="265"/>
      <c r="Z317" s="265"/>
      <c r="AA317" s="265"/>
    </row>
    <row r="318" spans="3:27">
      <c r="C318" s="435"/>
      <c r="D318" s="47" t="s">
        <v>13</v>
      </c>
      <c r="E318" s="39">
        <f>+(SUMIF(PNB!$W:$W,'Tableau détaillé'!$D318,PNB!$Y:$Y)/1000)/'Tableau détaillé'!E334</f>
        <v>0.55284899119167674</v>
      </c>
      <c r="F318" s="211"/>
      <c r="G318" s="39">
        <f>+(SUMIF(PNB!$W:$W,'Tableau détaillé'!$D318,PNB!$Z:$Z)/1000)/'Tableau détaillé'!G334</f>
        <v>0.48108289929588022</v>
      </c>
      <c r="H318" s="211"/>
      <c r="I318" s="40">
        <f t="shared" ref="I318:I330" si="80">+(G318-E318)*100</f>
        <v>-7.1766091895796524</v>
      </c>
      <c r="J318" s="100">
        <f>+$G$317</f>
        <v>0.38091783454517719</v>
      </c>
      <c r="K318" s="91"/>
      <c r="L318" s="63"/>
      <c r="M318" s="63"/>
      <c r="N318" s="267"/>
      <c r="O318" s="267"/>
      <c r="P318" s="267"/>
      <c r="Q318" s="267"/>
      <c r="R318" s="267"/>
      <c r="S318" s="267"/>
      <c r="T318" s="267"/>
      <c r="U318" s="267"/>
      <c r="V318" s="267"/>
      <c r="W318" s="265"/>
      <c r="X318" s="265"/>
      <c r="Y318" s="265"/>
      <c r="Z318" s="265"/>
      <c r="AA318" s="265"/>
    </row>
    <row r="319" spans="3:27">
      <c r="C319" s="435"/>
      <c r="D319" s="47" t="s">
        <v>14</v>
      </c>
      <c r="E319" s="224" t="s">
        <v>262</v>
      </c>
      <c r="F319" s="211"/>
      <c r="G319" s="39" t="s">
        <v>262</v>
      </c>
      <c r="H319" s="211"/>
      <c r="I319" s="225" t="s">
        <v>262</v>
      </c>
      <c r="J319" s="100">
        <f t="shared" ref="J319:J330" si="81">+$G$317</f>
        <v>0.38091783454517719</v>
      </c>
      <c r="K319" s="91"/>
      <c r="L319" s="63"/>
      <c r="M319" s="63"/>
      <c r="N319" s="267"/>
      <c r="O319" s="267"/>
      <c r="P319" s="267"/>
      <c r="Q319" s="267"/>
      <c r="R319" s="267"/>
      <c r="S319" s="267"/>
      <c r="T319" s="267"/>
      <c r="U319" s="267"/>
      <c r="V319" s="267"/>
      <c r="W319" s="265"/>
      <c r="X319" s="265"/>
      <c r="Y319" s="265"/>
      <c r="Z319" s="265"/>
      <c r="AA319" s="265"/>
    </row>
    <row r="320" spans="3:27">
      <c r="C320" s="435"/>
      <c r="D320" s="47" t="s">
        <v>17</v>
      </c>
      <c r="E320" s="224">
        <f>+(SUMIF(PNB!$W:$W,'Tableau détaillé'!$D320,PNB!$Y:$Y)/1000)/'Tableau détaillé'!E336</f>
        <v>0.70139768355917209</v>
      </c>
      <c r="F320" s="211"/>
      <c r="G320" s="39">
        <f>+(SUMIF(PNB!$W:$W,'Tableau détaillé'!$D320,PNB!$Z:$Z)/1000)/'Tableau détaillé'!G336</f>
        <v>0.37286907052412194</v>
      </c>
      <c r="H320" s="211"/>
      <c r="I320" s="40">
        <f t="shared" si="80"/>
        <v>-32.852861303505016</v>
      </c>
      <c r="J320" s="100">
        <f t="shared" si="81"/>
        <v>0.38091783454517719</v>
      </c>
      <c r="K320" s="91"/>
      <c r="L320" s="63"/>
      <c r="M320" s="63"/>
      <c r="N320" s="267"/>
      <c r="O320" s="267"/>
      <c r="P320" s="267"/>
      <c r="Q320" s="267"/>
      <c r="R320" s="267"/>
      <c r="S320" s="267"/>
      <c r="T320" s="267"/>
      <c r="U320" s="267"/>
      <c r="V320" s="267"/>
      <c r="W320" s="265"/>
      <c r="X320" s="265"/>
      <c r="Y320" s="265"/>
      <c r="Z320" s="265"/>
      <c r="AA320" s="265"/>
    </row>
    <row r="321" spans="3:27">
      <c r="C321" s="435"/>
      <c r="D321" s="47" t="s">
        <v>18</v>
      </c>
      <c r="E321" s="224">
        <f>+(SUMIF(PNB!$W:$W,'Tableau détaillé'!$D321,PNB!$Y:$Y)/1000)/'Tableau détaillé'!E337</f>
        <v>0.39518813255722179</v>
      </c>
      <c r="F321" s="211"/>
      <c r="G321" s="39">
        <f>+(SUMIF(PNB!$W:$W,'Tableau détaillé'!$D321,PNB!$Z:$Z)/1000)/'Tableau détaillé'!G337</f>
        <v>3.5177432741336667E-2</v>
      </c>
      <c r="H321" s="211"/>
      <c r="I321" s="40">
        <f t="shared" si="80"/>
        <v>-36.001069981588515</v>
      </c>
      <c r="J321" s="100">
        <f t="shared" si="81"/>
        <v>0.38091783454517719</v>
      </c>
      <c r="K321" s="91"/>
      <c r="L321" s="63"/>
      <c r="M321" s="63"/>
      <c r="N321" s="267"/>
      <c r="O321" s="267"/>
      <c r="P321" s="267"/>
      <c r="Q321" s="267"/>
      <c r="R321" s="267"/>
      <c r="S321" s="267"/>
      <c r="T321" s="267"/>
      <c r="U321" s="267"/>
      <c r="V321" s="267"/>
      <c r="W321" s="265"/>
      <c r="X321" s="265"/>
      <c r="Y321" s="265"/>
      <c r="Z321" s="265"/>
      <c r="AA321" s="265"/>
    </row>
    <row r="322" spans="3:27">
      <c r="C322" s="435"/>
      <c r="D322" s="47" t="s">
        <v>19</v>
      </c>
      <c r="E322" s="224">
        <f>+(SUMIF(PNB!$W:$W,'Tableau détaillé'!$D322,PNB!$Y:$Y)/1000)/'Tableau détaillé'!E338</f>
        <v>0.6194649522832657</v>
      </c>
      <c r="F322" s="211"/>
      <c r="G322" s="39">
        <f>+(SUMIF(PNB!$W:$W,'Tableau détaillé'!$D322,PNB!$Z:$Z)/1000)/'Tableau détaillé'!G338</f>
        <v>0.26600485368744087</v>
      </c>
      <c r="H322" s="211"/>
      <c r="I322" s="40">
        <f t="shared" si="80"/>
        <v>-35.34600985958248</v>
      </c>
      <c r="J322" s="100">
        <f t="shared" si="81"/>
        <v>0.38091783454517719</v>
      </c>
      <c r="K322" s="91"/>
      <c r="L322" s="63"/>
      <c r="M322" s="63"/>
      <c r="N322" s="267"/>
      <c r="O322" s="267"/>
      <c r="P322" s="267"/>
      <c r="Q322" s="267"/>
      <c r="R322" s="267"/>
      <c r="S322" s="267"/>
      <c r="T322" s="267"/>
      <c r="U322" s="267"/>
      <c r="V322" s="267"/>
      <c r="W322" s="265"/>
      <c r="X322" s="265"/>
      <c r="Y322" s="265"/>
      <c r="Z322" s="265"/>
      <c r="AA322" s="265"/>
    </row>
    <row r="323" spans="3:27">
      <c r="C323" s="435"/>
      <c r="D323" s="47" t="s">
        <v>21</v>
      </c>
      <c r="E323" s="224">
        <f>+(SUMIF(PNB!$W:$W,'Tableau détaillé'!$D323,PNB!$Y:$Y)/1000)/'Tableau détaillé'!E339</f>
        <v>0.60456496831978224</v>
      </c>
      <c r="F323" s="211"/>
      <c r="G323" s="39">
        <f>+(SUMIF(PNB!$W:$W,'Tableau détaillé'!$D323,PNB!$Z:$Z)/1000)/'Tableau détaillé'!G339</f>
        <v>0.29671292009865946</v>
      </c>
      <c r="H323" s="211"/>
      <c r="I323" s="40">
        <f t="shared" si="80"/>
        <v>-30.785204822112277</v>
      </c>
      <c r="J323" s="100">
        <f t="shared" si="81"/>
        <v>0.38091783454517719</v>
      </c>
      <c r="K323" s="91"/>
      <c r="L323" s="63"/>
      <c r="M323" s="63"/>
      <c r="N323" s="267"/>
      <c r="O323" s="267"/>
      <c r="P323" s="267"/>
      <c r="Q323" s="267"/>
      <c r="R323" s="267"/>
      <c r="S323" s="267"/>
      <c r="T323" s="267"/>
      <c r="U323" s="267"/>
      <c r="V323" s="267"/>
      <c r="W323" s="265"/>
      <c r="X323" s="265"/>
      <c r="Y323" s="265"/>
      <c r="Z323" s="265"/>
      <c r="AA323" s="265"/>
    </row>
    <row r="324" spans="3:27">
      <c r="C324" s="435"/>
      <c r="D324" s="47" t="s">
        <v>22</v>
      </c>
      <c r="E324" s="224">
        <f>+(SUMIF(PNB!$W:$W,'Tableau détaillé'!$D324,PNB!$Y:$Y)/1000)/'Tableau détaillé'!E340</f>
        <v>0.30058684445991085</v>
      </c>
      <c r="F324" s="211"/>
      <c r="G324" s="39">
        <f>+(SUMIF(PNB!$W:$W,'Tableau détaillé'!$D324,PNB!$Z:$Z)/1000)/'Tableau détaillé'!G340</f>
        <v>0.11247538182964727</v>
      </c>
      <c r="H324" s="211"/>
      <c r="I324" s="225">
        <f t="shared" si="80"/>
        <v>-18.811146263026359</v>
      </c>
      <c r="J324" s="100">
        <f t="shared" si="81"/>
        <v>0.38091783454517719</v>
      </c>
      <c r="K324" s="91"/>
      <c r="L324" s="63"/>
      <c r="M324" s="63"/>
      <c r="N324" s="267"/>
      <c r="O324" s="267"/>
      <c r="P324" s="267"/>
      <c r="Q324" s="267"/>
      <c r="R324" s="267"/>
      <c r="S324" s="267"/>
      <c r="T324" s="267"/>
      <c r="U324" s="267"/>
      <c r="V324" s="267"/>
      <c r="W324" s="265"/>
      <c r="X324" s="265"/>
      <c r="Y324" s="265"/>
      <c r="Z324" s="265"/>
      <c r="AA324" s="265"/>
    </row>
    <row r="325" spans="3:27">
      <c r="C325" s="435"/>
      <c r="D325" s="48" t="s">
        <v>62</v>
      </c>
      <c r="E325" s="41">
        <f>+(SUMIF(PNB!$V:$V,'Tableau détaillé'!$D325,PNB!$Y:$Y)/1000)/'Tableau détaillé'!E341</f>
        <v>0.57271377438834792</v>
      </c>
      <c r="F325" s="212"/>
      <c r="G325" s="41">
        <f>+(SUMIF(PNB!$V:$V,'Tableau détaillé'!$D325,PNB!$Z:$Z)/1000)/'Tableau détaillé'!G341</f>
        <v>0.35202391881221279</v>
      </c>
      <c r="H325" s="212"/>
      <c r="I325" s="42">
        <f t="shared" si="80"/>
        <v>-22.068985557613512</v>
      </c>
      <c r="J325" s="100">
        <f t="shared" si="81"/>
        <v>0.38091783454517719</v>
      </c>
      <c r="K325" s="92"/>
      <c r="L325" s="102"/>
      <c r="M325" s="102"/>
      <c r="N325" s="268"/>
      <c r="O325" s="268"/>
      <c r="P325" s="268"/>
      <c r="Q325" s="268"/>
      <c r="R325" s="268"/>
      <c r="S325" s="268"/>
      <c r="T325" s="268"/>
      <c r="U325" s="268"/>
      <c r="V325" s="268"/>
      <c r="W325" s="265"/>
      <c r="X325" s="265"/>
      <c r="Y325" s="265"/>
      <c r="Z325" s="265"/>
      <c r="AA325" s="265"/>
    </row>
    <row r="326" spans="3:27">
      <c r="C326" s="435"/>
      <c r="D326" s="47" t="s">
        <v>15</v>
      </c>
      <c r="E326" s="224">
        <f>+(SUMIF(PNB!$W:$W,'Tableau détaillé'!$D326,PNB!$Y:$Y)/1000)/'Tableau détaillé'!E342</f>
        <v>0.3683689860413431</v>
      </c>
      <c r="F326" s="211"/>
      <c r="G326" s="39">
        <f>+(SUMIF(PNB!$W:$W,'Tableau détaillé'!$D326,PNB!$Z:$Z)/1000)/'Tableau détaillé'!G342</f>
        <v>0.21827020236320727</v>
      </c>
      <c r="H326" s="211"/>
      <c r="I326" s="40">
        <f t="shared" si="80"/>
        <v>-15.009878367813585</v>
      </c>
      <c r="J326" s="100">
        <f t="shared" si="81"/>
        <v>0.38091783454517719</v>
      </c>
      <c r="K326" s="91"/>
      <c r="L326" s="63"/>
      <c r="M326" s="63"/>
      <c r="N326" s="267"/>
      <c r="O326" s="267"/>
      <c r="P326" s="267"/>
      <c r="Q326" s="267"/>
      <c r="R326" s="267"/>
      <c r="S326" s="267"/>
      <c r="T326" s="267"/>
      <c r="U326" s="267"/>
      <c r="V326" s="267"/>
      <c r="W326" s="265"/>
      <c r="X326" s="265"/>
      <c r="Y326" s="265"/>
      <c r="Z326" s="265"/>
      <c r="AA326" s="265"/>
    </row>
    <row r="327" spans="3:27">
      <c r="C327" s="435"/>
      <c r="D327" s="47" t="s">
        <v>16</v>
      </c>
      <c r="E327" s="224">
        <f>+(SUMIF(PNB!$W:$W,'Tableau détaillé'!$D327,PNB!$Y:$Y)/1000)/'Tableau détaillé'!E343</f>
        <v>0.50663388161604761</v>
      </c>
      <c r="F327" s="211"/>
      <c r="G327" s="39">
        <f>+(SUMIF(PNB!$W:$W,'Tableau détaillé'!$D327,PNB!$Z:$Z)/1000)/'Tableau détaillé'!G343</f>
        <v>1.7399730959820898</v>
      </c>
      <c r="H327" s="211"/>
      <c r="I327" s="40">
        <f t="shared" si="80"/>
        <v>123.33392143660421</v>
      </c>
      <c r="J327" s="100">
        <f t="shared" si="81"/>
        <v>0.38091783454517719</v>
      </c>
      <c r="K327" s="91"/>
      <c r="L327" s="63"/>
      <c r="M327" s="63"/>
      <c r="N327" s="267"/>
      <c r="O327" s="267"/>
      <c r="P327" s="267"/>
      <c r="Q327" s="267"/>
      <c r="R327" s="267"/>
      <c r="S327" s="267"/>
      <c r="T327" s="267"/>
      <c r="U327" s="267"/>
      <c r="V327" s="267"/>
      <c r="W327" s="265"/>
      <c r="X327" s="265"/>
      <c r="Y327" s="265"/>
      <c r="Z327" s="265"/>
      <c r="AA327" s="265"/>
    </row>
    <row r="328" spans="3:27">
      <c r="C328" s="435"/>
      <c r="D328" s="47" t="s">
        <v>20</v>
      </c>
      <c r="E328" s="224">
        <f>+(SUMIF(PNB!$W:$W,'Tableau détaillé'!$D328,PNB!$Y:$Y)/1000)/'Tableau détaillé'!E344</f>
        <v>0.53854421132085883</v>
      </c>
      <c r="F328" s="211"/>
      <c r="G328" s="39">
        <f>+(SUMIF(PNB!$W:$W,'Tableau détaillé'!$D328,PNB!$Z:$Z)/1000)/'Tableau détaillé'!G344</f>
        <v>0.37407396011798766</v>
      </c>
      <c r="H328" s="211"/>
      <c r="I328" s="40">
        <f>+(G328-E328)*100</f>
        <v>-16.447025120287119</v>
      </c>
      <c r="J328" s="100">
        <f t="shared" si="81"/>
        <v>0.38091783454517719</v>
      </c>
      <c r="K328" s="91"/>
      <c r="L328" s="63"/>
      <c r="M328" s="63"/>
      <c r="N328" s="267"/>
      <c r="O328" s="267"/>
      <c r="P328" s="267"/>
      <c r="Q328" s="267"/>
      <c r="R328" s="267"/>
      <c r="S328" s="267"/>
      <c r="T328" s="267"/>
      <c r="U328" s="267"/>
      <c r="V328" s="267"/>
      <c r="W328" s="265"/>
      <c r="X328" s="265"/>
      <c r="Y328" s="265"/>
      <c r="Z328" s="265"/>
      <c r="AA328" s="265"/>
    </row>
    <row r="329" spans="3:27">
      <c r="C329" s="435"/>
      <c r="D329" s="47" t="s">
        <v>23</v>
      </c>
      <c r="E329" s="224">
        <f>+(SUMIF(PNB!$W:$W,'Tableau détaillé'!$D329,PNB!$Y:$Y)/1000)/'Tableau détaillé'!E345</f>
        <v>0.86967564523008278</v>
      </c>
      <c r="F329" s="211"/>
      <c r="G329" s="39">
        <f>+(SUMIF(PNB!$W:$W,'Tableau détaillé'!$D329,PNB!$Z:$Z)/1000)/'Tableau détaillé'!G345</f>
        <v>0.71334505185533381</v>
      </c>
      <c r="H329" s="211"/>
      <c r="I329" s="40">
        <f>+(G329-E329)*100</f>
        <v>-15.633059337474897</v>
      </c>
      <c r="J329" s="100">
        <f t="shared" si="81"/>
        <v>0.38091783454517719</v>
      </c>
      <c r="K329" s="91"/>
      <c r="L329" s="63"/>
      <c r="M329" s="63"/>
      <c r="N329" s="267"/>
      <c r="O329" s="267"/>
      <c r="P329" s="267"/>
      <c r="Q329" s="267"/>
      <c r="R329" s="267"/>
      <c r="S329" s="267"/>
      <c r="T329" s="267"/>
      <c r="U329" s="267"/>
      <c r="V329" s="267"/>
      <c r="W329" s="265"/>
      <c r="X329" s="265"/>
      <c r="Y329" s="265"/>
      <c r="Z329" s="265"/>
      <c r="AA329" s="265"/>
    </row>
    <row r="330" spans="3:27" ht="14.4" thickBot="1">
      <c r="C330" s="436"/>
      <c r="D330" s="49" t="s">
        <v>63</v>
      </c>
      <c r="E330" s="86">
        <f>+(SUMIF(PNB!$V:$V,'Tableau détaillé'!$D330,PNB!$Y:$Y)/1000)/'Tableau détaillé'!E346</f>
        <v>0.43553269027063118</v>
      </c>
      <c r="F330" s="213"/>
      <c r="G330" s="86">
        <f>+(SUMIF(PNB!$V:$V,'Tableau détaillé'!$D330,PNB!$Z:$Z)/1000)/'Tableau détaillé'!G346</f>
        <v>0.45383802588953731</v>
      </c>
      <c r="H330" s="213"/>
      <c r="I330" s="44">
        <f t="shared" si="80"/>
        <v>1.8305335618906127</v>
      </c>
      <c r="J330" s="218">
        <f t="shared" si="81"/>
        <v>0.38091783454517719</v>
      </c>
      <c r="K330" s="93"/>
      <c r="L330" s="102"/>
      <c r="M330" s="102"/>
      <c r="N330" s="268"/>
      <c r="O330" s="268"/>
      <c r="P330" s="268"/>
      <c r="Q330" s="268"/>
      <c r="R330" s="170"/>
      <c r="S330" s="268"/>
      <c r="T330" s="268"/>
      <c r="U330" s="268"/>
      <c r="V330" s="268"/>
      <c r="W330" s="265"/>
      <c r="X330" s="265"/>
      <c r="Y330" s="265"/>
      <c r="Z330" s="265"/>
      <c r="AA330" s="265"/>
    </row>
    <row r="331" spans="3:27" ht="15" thickTop="1" thickBot="1">
      <c r="C331" s="437"/>
      <c r="E331" s="132"/>
      <c r="F331" s="132"/>
      <c r="G331" s="132"/>
      <c r="L331" s="98"/>
      <c r="M331" s="98"/>
      <c r="N331" s="170"/>
      <c r="O331" s="170"/>
      <c r="P331" s="170"/>
      <c r="Q331" s="170"/>
      <c r="R331" s="170"/>
      <c r="S331" s="170"/>
      <c r="T331" s="170"/>
      <c r="U331" s="765"/>
      <c r="V331" s="170"/>
      <c r="W331" s="265"/>
      <c r="X331" s="265"/>
      <c r="Y331" s="265"/>
      <c r="Z331" s="265"/>
      <c r="AA331" s="265"/>
    </row>
    <row r="332" spans="3:27" ht="28.8" thickTop="1" thickBot="1">
      <c r="C332" s="437"/>
      <c r="E332" s="132"/>
      <c r="F332" s="132"/>
      <c r="G332" s="132"/>
      <c r="H332" s="174" t="s">
        <v>195</v>
      </c>
      <c r="I332" s="175" t="s">
        <v>196</v>
      </c>
      <c r="L332" s="98"/>
      <c r="M332" s="98"/>
      <c r="N332" s="438" t="s">
        <v>483</v>
      </c>
      <c r="O332" s="438" t="s">
        <v>418</v>
      </c>
      <c r="P332" s="438" t="s">
        <v>484</v>
      </c>
      <c r="Q332" s="280"/>
      <c r="R332" s="280"/>
      <c r="S332" s="280"/>
      <c r="T332" s="281"/>
      <c r="V332" s="170"/>
      <c r="W332" s="265"/>
      <c r="X332" s="265"/>
      <c r="Y332" s="265"/>
      <c r="Z332" s="265"/>
      <c r="AA332" s="265"/>
    </row>
    <row r="333" spans="3:27" ht="14.4" thickTop="1">
      <c r="C333" s="464" t="s">
        <v>283</v>
      </c>
      <c r="D333" s="45" t="s">
        <v>64</v>
      </c>
      <c r="E333" s="217">
        <f>SUM(E341,E346)</f>
        <v>301150.24247240042</v>
      </c>
      <c r="F333" s="210"/>
      <c r="G333" s="217">
        <f>SUM(G341,G346)</f>
        <v>249808.37824145635</v>
      </c>
      <c r="H333" s="210"/>
      <c r="I333" s="165">
        <f>+R333/E333-1</f>
        <v>-0.21797236460219027</v>
      </c>
      <c r="J333" s="69"/>
      <c r="K333" s="50"/>
      <c r="L333" s="97"/>
      <c r="M333" s="337"/>
      <c r="N333" s="439"/>
      <c r="O333" s="439"/>
      <c r="P333" s="439"/>
      <c r="Q333" s="282"/>
      <c r="R333" s="283">
        <f>SUM(R341,R346)</f>
        <v>235507.81202016835</v>
      </c>
      <c r="S333" s="283"/>
      <c r="T333" s="284"/>
      <c r="U333" s="169"/>
      <c r="V333" s="169"/>
      <c r="W333" s="265"/>
      <c r="X333" s="265"/>
      <c r="Y333" s="265"/>
      <c r="Z333" s="265"/>
      <c r="AA333" s="265"/>
    </row>
    <row r="334" spans="3:27">
      <c r="C334" s="435"/>
      <c r="D334" s="47" t="s">
        <v>13</v>
      </c>
      <c r="E334" s="214">
        <f>+SUMIF(PNB!$P:$P,'Tableau détaillé'!$D334,PNB!$R:$R)/1000</f>
        <v>125434.06467602109</v>
      </c>
      <c r="F334" s="211"/>
      <c r="G334" s="214">
        <f>+SUMIF(PNB!$P:$P,'Tableau détaillé'!$D334,PNB!$S:$S)/1000</f>
        <v>86197.633090357311</v>
      </c>
      <c r="H334" s="211"/>
      <c r="I334" s="164">
        <f t="shared" ref="I334:I346" si="82">+R334/E334-1</f>
        <v>-0.31280523107503599</v>
      </c>
      <c r="J334" s="100">
        <f>+$I$333</f>
        <v>-0.21797236460219027</v>
      </c>
      <c r="K334" s="91"/>
      <c r="L334" s="63"/>
      <c r="M334" s="117"/>
      <c r="N334" s="277">
        <v>655.95699999999999</v>
      </c>
      <c r="O334" s="277">
        <v>655.95699999999999</v>
      </c>
      <c r="P334" s="277">
        <v>655.95699999999999</v>
      </c>
      <c r="Q334" s="286"/>
      <c r="R334" s="285">
        <f>+G334*P334/N334</f>
        <v>86197.633090357311</v>
      </c>
      <c r="S334" s="285"/>
      <c r="T334" s="287"/>
      <c r="U334" s="267"/>
      <c r="V334" s="267"/>
      <c r="W334" s="265"/>
      <c r="X334" s="265"/>
      <c r="Y334" s="265"/>
      <c r="Z334" s="265"/>
      <c r="AA334" s="265"/>
    </row>
    <row r="335" spans="3:27" s="793" customFormat="1">
      <c r="C335" s="779"/>
      <c r="D335" s="780" t="s">
        <v>14</v>
      </c>
      <c r="E335" s="781">
        <f>+SUMIF(PNB!$P:$P,'Tableau détaillé'!$D335,PNB!$R:$R)/1000</f>
        <v>2294.8842028524996</v>
      </c>
      <c r="F335" s="782"/>
      <c r="G335" s="781">
        <f>+SUMIF(PNB!$P:$P,'Tableau détaillé'!$D335,PNB!$S:$S)/1000</f>
        <v>14983.527778629899</v>
      </c>
      <c r="H335" s="782"/>
      <c r="I335" s="783" t="s">
        <v>262</v>
      </c>
      <c r="J335" s="784">
        <f t="shared" ref="J335:J346" si="83">+$I$333</f>
        <v>-0.21797236460219027</v>
      </c>
      <c r="K335" s="785"/>
      <c r="L335" s="786"/>
      <c r="M335" s="786"/>
      <c r="N335" s="787">
        <v>6.7952000000000004</v>
      </c>
      <c r="O335" s="787">
        <v>6.8281000000000001</v>
      </c>
      <c r="P335" s="787">
        <v>9.4146999999999998</v>
      </c>
      <c r="Q335" s="788"/>
      <c r="R335" s="789">
        <f t="shared" ref="R335:R340" si="84">+G335*P335/N335</f>
        <v>20759.568368475822</v>
      </c>
      <c r="S335" s="789"/>
      <c r="T335" s="790"/>
      <c r="U335" s="791"/>
      <c r="V335" s="791"/>
      <c r="W335" s="792"/>
      <c r="X335" s="792"/>
      <c r="Y335" s="792"/>
      <c r="Z335" s="792"/>
      <c r="AA335" s="792"/>
    </row>
    <row r="336" spans="3:27">
      <c r="C336" s="435"/>
      <c r="D336" s="47" t="s">
        <v>17</v>
      </c>
      <c r="E336" s="214">
        <f>+SUMIF(PNB!$P:$P,'Tableau détaillé'!$D336,PNB!$R:$R)/1000</f>
        <v>40189.2786242078</v>
      </c>
      <c r="F336" s="211"/>
      <c r="G336" s="214">
        <f>+SUMIF(PNB!$P:$P,'Tableau détaillé'!$D336,PNB!$S:$S)/1000</f>
        <v>27433.240386187401</v>
      </c>
      <c r="H336" s="211"/>
      <c r="I336" s="164">
        <f t="shared" si="82"/>
        <v>-0.31739903463549268</v>
      </c>
      <c r="J336" s="100">
        <f t="shared" si="83"/>
        <v>-0.21797236460219027</v>
      </c>
      <c r="K336" s="91"/>
      <c r="L336" s="63"/>
      <c r="M336" s="63"/>
      <c r="N336" s="277">
        <v>655.95699999999999</v>
      </c>
      <c r="O336" s="277">
        <v>655.95699999999999</v>
      </c>
      <c r="P336" s="277">
        <v>655.95699999999999</v>
      </c>
      <c r="Q336" s="286"/>
      <c r="R336" s="285">
        <f t="shared" si="84"/>
        <v>27433.240386187401</v>
      </c>
      <c r="S336" s="285"/>
      <c r="T336" s="287"/>
      <c r="U336" s="267"/>
      <c r="V336" s="267"/>
      <c r="W336" s="265"/>
      <c r="X336" s="265"/>
      <c r="Y336" s="265"/>
      <c r="Z336" s="265"/>
      <c r="AA336" s="265"/>
    </row>
    <row r="337" spans="2:27">
      <c r="C337" s="435"/>
      <c r="D337" s="47" t="s">
        <v>18</v>
      </c>
      <c r="E337" s="214">
        <f>+SUMIF(PNB!$P:$P,'Tableau détaillé'!$D337,PNB!$R:$R)/1000</f>
        <v>12744.157733445998</v>
      </c>
      <c r="F337" s="211"/>
      <c r="G337" s="214">
        <f>+SUMIF(PNB!$P:$P,'Tableau détaillé'!$D337,PNB!$S:$S)/1000</f>
        <v>16520.9343256502</v>
      </c>
      <c r="H337" s="211"/>
      <c r="I337" s="164">
        <f t="shared" si="82"/>
        <v>0.29635356617506092</v>
      </c>
      <c r="J337" s="100">
        <f t="shared" si="83"/>
        <v>-0.21797236460219027</v>
      </c>
      <c r="K337" s="91"/>
      <c r="L337" s="63"/>
      <c r="M337" s="63"/>
      <c r="N337" s="277">
        <v>655.95699999999999</v>
      </c>
      <c r="O337" s="277">
        <v>655.95699999999999</v>
      </c>
      <c r="P337" s="277">
        <v>655.95699999999999</v>
      </c>
      <c r="Q337" s="286"/>
      <c r="R337" s="285">
        <f t="shared" si="84"/>
        <v>16520.9343256502</v>
      </c>
      <c r="S337" s="285"/>
      <c r="T337" s="287"/>
      <c r="U337" s="267"/>
      <c r="V337" s="267"/>
      <c r="W337" s="265"/>
      <c r="X337" s="265"/>
      <c r="Y337" s="265"/>
      <c r="Z337" s="265"/>
      <c r="AA337" s="265"/>
    </row>
    <row r="338" spans="2:27" s="793" customFormat="1">
      <c r="C338" s="779"/>
      <c r="D338" s="780" t="s">
        <v>19</v>
      </c>
      <c r="E338" s="781">
        <f>+SUMIF(PNB!$P:$P,'Tableau détaillé'!$D338,PNB!$R:$R)/1000</f>
        <v>21155.7164703901</v>
      </c>
      <c r="F338" s="782"/>
      <c r="G338" s="781">
        <f>+SUMIF(PNB!$P:$P,'Tableau détaillé'!$D338,PNB!$S:$S)/1000</f>
        <v>28796.4416457261</v>
      </c>
      <c r="H338" s="782"/>
      <c r="I338" s="794">
        <f t="shared" si="82"/>
        <v>4.9605438039117544E-3</v>
      </c>
      <c r="J338" s="784">
        <f t="shared" si="83"/>
        <v>-0.21797236460219027</v>
      </c>
      <c r="K338" s="785"/>
      <c r="L338" s="786"/>
      <c r="M338" s="786"/>
      <c r="N338" s="795">
        <v>11309.9694</v>
      </c>
      <c r="O338" s="795">
        <v>10308.0867</v>
      </c>
      <c r="P338" s="795">
        <v>8350.2476000000006</v>
      </c>
      <c r="Q338" s="788"/>
      <c r="R338" s="789">
        <f t="shared" si="84"/>
        <v>21260.660328644608</v>
      </c>
      <c r="S338" s="789"/>
      <c r="T338" s="790"/>
      <c r="U338" s="791"/>
      <c r="V338" s="791"/>
      <c r="W338" s="792"/>
      <c r="X338" s="792"/>
      <c r="Y338" s="792"/>
      <c r="Z338" s="792"/>
      <c r="AA338" s="792"/>
    </row>
    <row r="339" spans="2:27">
      <c r="C339" s="435"/>
      <c r="D339" s="47" t="s">
        <v>21</v>
      </c>
      <c r="E339" s="214">
        <f>+SUMIF(PNB!$P:$P,'Tableau détaillé'!$D339,PNB!$R:$R)/1000</f>
        <v>5555.8294265029999</v>
      </c>
      <c r="F339" s="211"/>
      <c r="G339" s="214">
        <f>+SUMIF(PNB!$P:$P,'Tableau détaillé'!$D339,PNB!$S:$S)/1000</f>
        <v>4332.6080028147999</v>
      </c>
      <c r="H339" s="211"/>
      <c r="I339" s="164">
        <f t="shared" si="82"/>
        <v>-0.22016900264307271</v>
      </c>
      <c r="J339" s="100">
        <f t="shared" si="83"/>
        <v>-0.21797236460219027</v>
      </c>
      <c r="K339" s="91"/>
      <c r="L339" s="63"/>
      <c r="M339" s="63"/>
      <c r="N339" s="277">
        <v>655.95699999999999</v>
      </c>
      <c r="O339" s="277">
        <v>655.95699999999999</v>
      </c>
      <c r="P339" s="277">
        <v>655.95699999999999</v>
      </c>
      <c r="Q339" s="286"/>
      <c r="R339" s="285">
        <f t="shared" si="84"/>
        <v>4332.6080028147999</v>
      </c>
      <c r="S339" s="285"/>
      <c r="T339" s="287"/>
      <c r="U339" s="267"/>
      <c r="V339" s="267"/>
      <c r="W339" s="265"/>
      <c r="X339" s="265"/>
      <c r="Y339" s="265"/>
      <c r="Z339" s="265"/>
      <c r="AA339" s="265"/>
    </row>
    <row r="340" spans="2:27" s="793" customFormat="1">
      <c r="C340" s="779"/>
      <c r="D340" s="780" t="s">
        <v>22</v>
      </c>
      <c r="E340" s="781">
        <f>+SUMIF(PNB!$P:$P,'Tableau détaillé'!$D340,PNB!$R:$R)/1000</f>
        <v>5819.3162424484999</v>
      </c>
      <c r="F340" s="782"/>
      <c r="G340" s="781">
        <f>+SUMIF(PNB!$P:$P,'Tableau détaillé'!$D340,PNB!$S:$S)/1000</f>
        <v>15634.179607505801</v>
      </c>
      <c r="H340" s="782"/>
      <c r="I340" s="794">
        <f t="shared" si="82"/>
        <v>1.3408070041024804</v>
      </c>
      <c r="J340" s="784">
        <f t="shared" si="83"/>
        <v>-0.21797236460219027</v>
      </c>
      <c r="K340" s="785"/>
      <c r="L340" s="786"/>
      <c r="M340" s="786"/>
      <c r="N340" s="795">
        <v>42.11</v>
      </c>
      <c r="O340" s="795">
        <v>40.99</v>
      </c>
      <c r="P340" s="795">
        <v>36.69</v>
      </c>
      <c r="Q340" s="788"/>
      <c r="R340" s="789">
        <f t="shared" si="84"/>
        <v>13621.896219410777</v>
      </c>
      <c r="S340" s="789"/>
      <c r="T340" s="790"/>
      <c r="U340" s="791"/>
      <c r="V340" s="791"/>
      <c r="W340" s="792"/>
      <c r="X340" s="792"/>
      <c r="Y340" s="792"/>
      <c r="Z340" s="792"/>
      <c r="AA340" s="792"/>
    </row>
    <row r="341" spans="2:27">
      <c r="C341" s="435"/>
      <c r="D341" s="48" t="s">
        <v>62</v>
      </c>
      <c r="E341" s="216">
        <f>SUM(E334,E336:E340)</f>
        <v>210898.36317301646</v>
      </c>
      <c r="F341" s="212"/>
      <c r="G341" s="216">
        <f>SUM(G334,G336:G340)</f>
        <v>178915.03705824164</v>
      </c>
      <c r="H341" s="212"/>
      <c r="I341" s="165">
        <f t="shared" si="82"/>
        <v>-0.19692609366474734</v>
      </c>
      <c r="J341" s="100">
        <f t="shared" si="83"/>
        <v>-0.21797236460219027</v>
      </c>
      <c r="K341" s="92"/>
      <c r="L341" s="102"/>
      <c r="M341" s="102"/>
      <c r="N341" s="277"/>
      <c r="O341" s="277"/>
      <c r="P341" s="277"/>
      <c r="Q341" s="286"/>
      <c r="R341" s="285">
        <f>SUM(R334,R336:R340)</f>
        <v>169366.97235306512</v>
      </c>
      <c r="S341" s="285"/>
      <c r="T341" s="287"/>
      <c r="U341" s="268"/>
      <c r="V341" s="268"/>
      <c r="W341" s="265"/>
      <c r="X341" s="265"/>
      <c r="Y341" s="265"/>
      <c r="Z341" s="265"/>
      <c r="AA341" s="265"/>
    </row>
    <row r="342" spans="2:27" s="793" customFormat="1">
      <c r="C342" s="779"/>
      <c r="D342" s="780" t="s">
        <v>15</v>
      </c>
      <c r="E342" s="781">
        <f>+SUMIF(PNB!$P:$P,'Tableau détaillé'!$D342,PNB!$R:$R)/1000</f>
        <v>32319.301625593202</v>
      </c>
      <c r="F342" s="782"/>
      <c r="G342" s="781">
        <f>+SUMIF(PNB!$P:$P,'Tableau détaillé'!$D342,PNB!$S:$S)/1000</f>
        <v>40484.2525621854</v>
      </c>
      <c r="H342" s="782"/>
      <c r="I342" s="794">
        <f t="shared" si="82"/>
        <v>0.10558549377126591</v>
      </c>
      <c r="J342" s="784">
        <f t="shared" si="83"/>
        <v>-0.21797236460219027</v>
      </c>
      <c r="K342" s="785"/>
      <c r="L342" s="786"/>
      <c r="M342" s="786"/>
      <c r="N342" s="795">
        <v>4587.22</v>
      </c>
      <c r="O342" s="795">
        <v>4470.1000000000004</v>
      </c>
      <c r="P342" s="795">
        <v>4048.72</v>
      </c>
      <c r="Q342" s="788"/>
      <c r="R342" s="789">
        <f t="shared" ref="R342:R345" si="85">+G342*P342/N342</f>
        <v>35731.751046073936</v>
      </c>
      <c r="S342" s="789"/>
      <c r="T342" s="790"/>
      <c r="U342" s="791"/>
      <c r="V342" s="791"/>
      <c r="W342" s="792"/>
      <c r="X342" s="792"/>
      <c r="Y342" s="792"/>
      <c r="Z342" s="792"/>
      <c r="AA342" s="792"/>
    </row>
    <row r="343" spans="2:27">
      <c r="C343" s="435"/>
      <c r="D343" s="47" t="s">
        <v>16</v>
      </c>
      <c r="E343" s="214">
        <f>+SUMIF(PNB!$P:$P,'Tableau détaillé'!$D343,PNB!$R:$R)/1000</f>
        <v>39468.211388597992</v>
      </c>
      <c r="F343" s="211"/>
      <c r="G343" s="214">
        <f>+SUMIF(PNB!$P:$P,'Tableau détaillé'!$D343,PNB!$S:$S)/1000</f>
        <v>10309.169184592402</v>
      </c>
      <c r="H343" s="211"/>
      <c r="I343" s="164">
        <f t="shared" si="82"/>
        <v>-0.73879816637521545</v>
      </c>
      <c r="J343" s="100">
        <f t="shared" si="83"/>
        <v>-0.21797236460219027</v>
      </c>
      <c r="K343" s="91"/>
      <c r="L343" s="63"/>
      <c r="M343" s="63"/>
      <c r="N343" s="277">
        <v>655.95699999999999</v>
      </c>
      <c r="O343" s="277">
        <v>655.95699999999999</v>
      </c>
      <c r="P343" s="277">
        <v>655.95699999999999</v>
      </c>
      <c r="Q343" s="286"/>
      <c r="R343" s="285">
        <f t="shared" si="85"/>
        <v>10309.169184592402</v>
      </c>
      <c r="S343" s="285"/>
      <c r="T343" s="287"/>
      <c r="U343" s="267"/>
      <c r="V343" s="267"/>
      <c r="W343" s="265"/>
      <c r="X343" s="265"/>
      <c r="Y343" s="265"/>
      <c r="Z343" s="265"/>
      <c r="AA343" s="265"/>
    </row>
    <row r="344" spans="2:27">
      <c r="C344" s="435"/>
      <c r="D344" s="47" t="s">
        <v>20</v>
      </c>
      <c r="E344" s="214">
        <f>+SUMIF(PNB!$P:$P,'Tableau détaillé'!$D344,PNB!$R:$R)/1000</f>
        <v>9948.2231366177002</v>
      </c>
      <c r="F344" s="211"/>
      <c r="G344" s="214">
        <f>+SUMIF(PNB!$P:$P,'Tableau détaillé'!$D344,PNB!$S:$S)/1000</f>
        <v>12530.075116539803</v>
      </c>
      <c r="H344" s="211"/>
      <c r="I344" s="164">
        <f t="shared" si="82"/>
        <v>0.25952895752998839</v>
      </c>
      <c r="J344" s="100">
        <f t="shared" si="83"/>
        <v>-0.21797236460219027</v>
      </c>
      <c r="K344" s="91"/>
      <c r="L344" s="63"/>
      <c r="M344" s="63"/>
      <c r="N344" s="277">
        <v>655.95699999999999</v>
      </c>
      <c r="O344" s="277">
        <v>655.95699999999999</v>
      </c>
      <c r="P344" s="277">
        <v>655.95699999999999</v>
      </c>
      <c r="Q344" s="286"/>
      <c r="R344" s="285">
        <f t="shared" si="85"/>
        <v>12530.075116539803</v>
      </c>
      <c r="S344" s="285"/>
      <c r="T344" s="287"/>
      <c r="U344" s="267"/>
      <c r="V344" s="267"/>
      <c r="W344" s="265"/>
      <c r="X344" s="265"/>
      <c r="Y344" s="265"/>
      <c r="Z344" s="265"/>
      <c r="AA344" s="265"/>
    </row>
    <row r="345" spans="2:27">
      <c r="C345" s="435"/>
      <c r="D345" s="47" t="s">
        <v>23</v>
      </c>
      <c r="E345" s="214">
        <f>+SUMIF(PNB!$P:$P,'Tableau détaillé'!$D345,PNB!$R:$R)/1000</f>
        <v>8516.1431485751018</v>
      </c>
      <c r="F345" s="211"/>
      <c r="G345" s="214">
        <f>+SUMIF(PNB!$P:$P,'Tableau détaillé'!$D345,PNB!$S:$S)/1000</f>
        <v>7569.8443198970999</v>
      </c>
      <c r="H345" s="211"/>
      <c r="I345" s="164">
        <f t="shared" si="82"/>
        <v>-0.11111823887511019</v>
      </c>
      <c r="J345" s="100">
        <f t="shared" si="83"/>
        <v>-0.21797236460219027</v>
      </c>
      <c r="K345" s="91"/>
      <c r="L345" s="63"/>
      <c r="M345" s="63"/>
      <c r="N345" s="277">
        <v>655.95699999999999</v>
      </c>
      <c r="O345" s="277">
        <v>655.95699999999999</v>
      </c>
      <c r="P345" s="277">
        <v>655.95699999999999</v>
      </c>
      <c r="Q345" s="286"/>
      <c r="R345" s="285">
        <f t="shared" si="85"/>
        <v>7569.8443198971008</v>
      </c>
      <c r="S345" s="285"/>
      <c r="T345" s="287"/>
      <c r="U345" s="267"/>
      <c r="V345" s="267"/>
      <c r="W345" s="265"/>
      <c r="X345" s="265"/>
      <c r="Y345" s="265"/>
      <c r="Z345" s="265"/>
      <c r="AA345" s="265"/>
    </row>
    <row r="346" spans="2:27" ht="14.4" thickBot="1">
      <c r="C346" s="436"/>
      <c r="D346" s="49" t="s">
        <v>63</v>
      </c>
      <c r="E346" s="215">
        <f>SUM(E342:E345)</f>
        <v>90251.879299383989</v>
      </c>
      <c r="F346" s="213"/>
      <c r="G346" s="215">
        <f>SUM(G342:G345)</f>
        <v>70893.34118321471</v>
      </c>
      <c r="H346" s="213"/>
      <c r="I346" s="166">
        <f t="shared" si="82"/>
        <v>-0.26715277088357892</v>
      </c>
      <c r="J346" s="218">
        <f t="shared" si="83"/>
        <v>-0.21797236460219027</v>
      </c>
      <c r="K346" s="93"/>
      <c r="L346" s="102"/>
      <c r="M346" s="102"/>
      <c r="N346" s="286"/>
      <c r="O346" s="286"/>
      <c r="P346" s="286"/>
      <c r="Q346" s="294"/>
      <c r="R346" s="295">
        <f>SUM(R342:R345)</f>
        <v>66140.839667103239</v>
      </c>
      <c r="S346" s="295"/>
      <c r="T346" s="296"/>
      <c r="U346" s="268"/>
      <c r="V346" s="268"/>
      <c r="W346" s="265"/>
      <c r="X346" s="265"/>
      <c r="Y346" s="265"/>
      <c r="Z346" s="265"/>
      <c r="AA346" s="265"/>
    </row>
    <row r="347" spans="2:27" customFormat="1" ht="15.6" thickTop="1" thickBot="1">
      <c r="B347" s="231"/>
      <c r="C347" s="323"/>
      <c r="N347" s="448"/>
      <c r="O347" s="448"/>
      <c r="P347" s="448"/>
      <c r="Q347" s="448"/>
      <c r="R347" s="448"/>
      <c r="S347" s="448"/>
      <c r="T347" s="448"/>
      <c r="U347" s="421"/>
      <c r="V347" s="421"/>
      <c r="W347" s="421"/>
      <c r="X347" s="421"/>
      <c r="Y347" s="263"/>
      <c r="Z347" s="263"/>
      <c r="AA347" s="263"/>
    </row>
    <row r="348" spans="2:27" ht="28.8" thickTop="1" thickBot="1">
      <c r="C348" s="437"/>
      <c r="E348" s="132"/>
      <c r="F348" s="132"/>
      <c r="G348" s="132"/>
      <c r="H348" s="174" t="s">
        <v>195</v>
      </c>
      <c r="I348" s="175" t="s">
        <v>196</v>
      </c>
      <c r="L348" s="98"/>
      <c r="M348" s="98"/>
      <c r="N348" s="438" t="s">
        <v>483</v>
      </c>
      <c r="O348" s="438" t="s">
        <v>418</v>
      </c>
      <c r="P348" s="438" t="s">
        <v>484</v>
      </c>
      <c r="Q348" s="280"/>
      <c r="R348" s="280"/>
      <c r="S348" s="280"/>
      <c r="T348" s="281"/>
      <c r="U348" s="170"/>
      <c r="V348" s="170"/>
      <c r="W348" s="473" t="s">
        <v>482</v>
      </c>
      <c r="X348" s="474" t="s">
        <v>479</v>
      </c>
      <c r="Y348" s="265"/>
      <c r="Z348" s="265"/>
      <c r="AA348" s="265"/>
    </row>
    <row r="349" spans="2:27" ht="14.4" thickTop="1">
      <c r="C349" s="463" t="s">
        <v>268</v>
      </c>
      <c r="D349" s="45" t="s">
        <v>64</v>
      </c>
      <c r="E349" s="217">
        <f>+E333*1000/(W349-W351)</f>
        <v>274.61426595333012</v>
      </c>
      <c r="F349" s="210"/>
      <c r="G349" s="217">
        <f>+G333*1000/(X349-X351)</f>
        <v>219.73017392357934</v>
      </c>
      <c r="H349" s="210"/>
      <c r="I349" s="165">
        <f>+R349/E349-1</f>
        <v>-0.24566384714901301</v>
      </c>
      <c r="J349" s="69"/>
      <c r="K349" s="50"/>
      <c r="L349" s="97"/>
      <c r="M349" s="97"/>
      <c r="N349" s="439"/>
      <c r="O349" s="439"/>
      <c r="P349" s="439"/>
      <c r="Q349" s="282"/>
      <c r="R349" s="285">
        <f>+R333*1000/(X349-X351)</f>
        <v>207.15146889723283</v>
      </c>
      <c r="S349" s="283"/>
      <c r="T349" s="284"/>
      <c r="U349" s="169"/>
      <c r="V349" s="169"/>
      <c r="W349" s="475">
        <v>1243228</v>
      </c>
      <c r="X349" s="476">
        <v>1276865</v>
      </c>
      <c r="Y349" s="265"/>
      <c r="Z349" s="265"/>
      <c r="AA349" s="265"/>
    </row>
    <row r="350" spans="2:27">
      <c r="C350" s="435"/>
      <c r="D350" s="47" t="s">
        <v>13</v>
      </c>
      <c r="E350" s="214">
        <f>+E334*1000/W350</f>
        <v>386.21002603599061</v>
      </c>
      <c r="F350" s="211"/>
      <c r="G350" s="214">
        <f t="shared" ref="G350:G356" si="86">+G334*1000/(G286*G186)</f>
        <v>228.00952558539845</v>
      </c>
      <c r="H350" s="211"/>
      <c r="I350" s="164">
        <f t="shared" ref="I350:I362" si="87">+R350/E350-1</f>
        <v>-0.40962297658178759</v>
      </c>
      <c r="J350" s="100">
        <f>+$I$349</f>
        <v>-0.24566384714901301</v>
      </c>
      <c r="K350" s="91"/>
      <c r="L350" s="63"/>
      <c r="M350" s="63"/>
      <c r="N350" s="277">
        <v>655.95699999999999</v>
      </c>
      <c r="O350" s="277">
        <v>655.95699999999999</v>
      </c>
      <c r="P350" s="277">
        <v>655.95699999999999</v>
      </c>
      <c r="Q350" s="286"/>
      <c r="R350" s="285">
        <f>+G350*P350/N350</f>
        <v>228.00952558539845</v>
      </c>
      <c r="S350" s="285"/>
      <c r="T350" s="287"/>
      <c r="U350" s="267"/>
      <c r="V350" s="267"/>
      <c r="W350" s="475">
        <v>324782</v>
      </c>
      <c r="X350" s="476">
        <v>351935</v>
      </c>
      <c r="Y350" s="265"/>
      <c r="Z350" s="265"/>
      <c r="AA350" s="265"/>
    </row>
    <row r="351" spans="2:27">
      <c r="C351" s="435"/>
      <c r="D351" s="47" t="s">
        <v>14</v>
      </c>
      <c r="E351" s="214">
        <f t="shared" ref="E351:E356" si="88">+E335*1000/W351</f>
        <v>15.654266789809546</v>
      </c>
      <c r="F351" s="211"/>
      <c r="G351" s="214">
        <f t="shared" si="86"/>
        <v>105.36939366134089</v>
      </c>
      <c r="H351" s="211"/>
      <c r="I351" s="219" t="s">
        <v>262</v>
      </c>
      <c r="J351" s="100">
        <f t="shared" ref="J351:J362" si="89">+$I$349</f>
        <v>-0.24566384714901301</v>
      </c>
      <c r="K351" s="91"/>
      <c r="L351" s="63"/>
      <c r="M351" s="63"/>
      <c r="N351" s="278">
        <v>6.7952000000000004</v>
      </c>
      <c r="O351" s="278">
        <v>6.8281000000000001</v>
      </c>
      <c r="P351" s="278">
        <v>9.4146999999999998</v>
      </c>
      <c r="Q351" s="286"/>
      <c r="R351" s="285">
        <f t="shared" ref="R351:R356" si="90">+G351*P351/N351</f>
        <v>145.98852579812603</v>
      </c>
      <c r="S351" s="285"/>
      <c r="T351" s="287"/>
      <c r="U351" s="267"/>
      <c r="V351" s="267"/>
      <c r="W351" s="475">
        <v>146598</v>
      </c>
      <c r="X351" s="476">
        <v>139978</v>
      </c>
      <c r="Y351" s="265"/>
      <c r="Z351" s="265"/>
      <c r="AA351" s="265"/>
    </row>
    <row r="352" spans="2:27">
      <c r="C352" s="435"/>
      <c r="D352" s="47" t="s">
        <v>17</v>
      </c>
      <c r="E352" s="214">
        <f t="shared" si="88"/>
        <v>310.14553428877315</v>
      </c>
      <c r="F352" s="211"/>
      <c r="G352" s="214">
        <f t="shared" si="86"/>
        <v>213.31726620842085</v>
      </c>
      <c r="H352" s="211"/>
      <c r="I352" s="164">
        <f t="shared" si="87"/>
        <v>-0.31220268349953595</v>
      </c>
      <c r="J352" s="100">
        <f t="shared" si="89"/>
        <v>-0.24566384714901301</v>
      </c>
      <c r="K352" s="91"/>
      <c r="L352" s="63"/>
      <c r="M352" s="63"/>
      <c r="N352" s="277">
        <v>655.95699999999999</v>
      </c>
      <c r="O352" s="277">
        <v>655.95699999999999</v>
      </c>
      <c r="P352" s="277">
        <v>655.95699999999999</v>
      </c>
      <c r="Q352" s="286"/>
      <c r="R352" s="285">
        <f t="shared" si="90"/>
        <v>213.31726620842085</v>
      </c>
      <c r="S352" s="285"/>
      <c r="T352" s="287"/>
      <c r="U352" s="267"/>
      <c r="V352" s="267"/>
      <c r="W352" s="475">
        <v>129582</v>
      </c>
      <c r="X352" s="476">
        <v>128261</v>
      </c>
      <c r="Y352" s="265"/>
      <c r="Z352" s="265"/>
      <c r="AA352" s="265"/>
    </row>
    <row r="353" spans="2:48">
      <c r="C353" s="435"/>
      <c r="D353" s="47" t="s">
        <v>18</v>
      </c>
      <c r="E353" s="214">
        <f t="shared" si="88"/>
        <v>183.52761712911865</v>
      </c>
      <c r="F353" s="211"/>
      <c r="G353" s="214">
        <f t="shared" si="86"/>
        <v>249.31990712402904</v>
      </c>
      <c r="H353" s="211"/>
      <c r="I353" s="164">
        <f t="shared" si="87"/>
        <v>0.35848713683577693</v>
      </c>
      <c r="J353" s="100">
        <f t="shared" si="89"/>
        <v>-0.24566384714901301</v>
      </c>
      <c r="K353" s="91"/>
      <c r="L353" s="63"/>
      <c r="M353" s="63"/>
      <c r="N353" s="277">
        <v>655.95699999999999</v>
      </c>
      <c r="O353" s="277">
        <v>655.95699999999999</v>
      </c>
      <c r="P353" s="277">
        <v>655.95699999999999</v>
      </c>
      <c r="Q353" s="286"/>
      <c r="R353" s="285">
        <f t="shared" si="90"/>
        <v>249.31990712402907</v>
      </c>
      <c r="S353" s="285"/>
      <c r="T353" s="287"/>
      <c r="U353" s="267"/>
      <c r="V353" s="267"/>
      <c r="W353" s="475">
        <v>69440</v>
      </c>
      <c r="X353" s="476">
        <v>67958</v>
      </c>
      <c r="Y353" s="265"/>
      <c r="Z353" s="265"/>
      <c r="AA353" s="265"/>
    </row>
    <row r="354" spans="2:48">
      <c r="C354" s="435"/>
      <c r="D354" s="47" t="s">
        <v>19</v>
      </c>
      <c r="E354" s="214">
        <f t="shared" si="88"/>
        <v>301.57398284258386</v>
      </c>
      <c r="F354" s="211"/>
      <c r="G354" s="214">
        <f t="shared" si="86"/>
        <v>418.38265888538069</v>
      </c>
      <c r="H354" s="211"/>
      <c r="I354" s="164">
        <f t="shared" si="87"/>
        <v>2.4277722852305672E-2</v>
      </c>
      <c r="J354" s="100">
        <f t="shared" si="89"/>
        <v>-0.24566384714901301</v>
      </c>
      <c r="K354" s="91"/>
      <c r="L354" s="63"/>
      <c r="M354" s="63"/>
      <c r="N354" s="277">
        <v>11309.9694</v>
      </c>
      <c r="O354" s="277">
        <v>10308.0867</v>
      </c>
      <c r="P354" s="277">
        <v>8350.2476000000006</v>
      </c>
      <c r="Q354" s="286"/>
      <c r="R354" s="285">
        <f t="shared" si="90"/>
        <v>308.89551241750212</v>
      </c>
      <c r="S354" s="285"/>
      <c r="T354" s="287"/>
      <c r="U354" s="267"/>
      <c r="V354" s="267"/>
      <c r="W354" s="475">
        <v>70151</v>
      </c>
      <c r="X354" s="476">
        <v>71360</v>
      </c>
      <c r="Y354" s="265"/>
      <c r="Z354" s="265"/>
      <c r="AA354" s="265"/>
    </row>
    <row r="355" spans="2:48">
      <c r="C355" s="435"/>
      <c r="D355" s="47" t="s">
        <v>21</v>
      </c>
      <c r="E355" s="214">
        <f t="shared" si="88"/>
        <v>241.85222995398746</v>
      </c>
      <c r="F355" s="211"/>
      <c r="G355" s="214">
        <f t="shared" si="86"/>
        <v>212.43481259218422</v>
      </c>
      <c r="H355" s="211"/>
      <c r="I355" s="164">
        <f t="shared" si="87"/>
        <v>-0.1216338479384701</v>
      </c>
      <c r="J355" s="100">
        <f t="shared" si="89"/>
        <v>-0.24566384714901301</v>
      </c>
      <c r="K355" s="91"/>
      <c r="L355" s="63"/>
      <c r="M355" s="63"/>
      <c r="N355" s="277">
        <v>655.95699999999999</v>
      </c>
      <c r="O355" s="277">
        <v>655.95699999999999</v>
      </c>
      <c r="P355" s="277">
        <v>655.95699999999999</v>
      </c>
      <c r="Q355" s="286"/>
      <c r="R355" s="285">
        <f t="shared" si="90"/>
        <v>212.43481259218424</v>
      </c>
      <c r="S355" s="285"/>
      <c r="T355" s="287"/>
      <c r="U355" s="267"/>
      <c r="V355" s="267"/>
      <c r="W355" s="475">
        <v>22972</v>
      </c>
      <c r="X355" s="476">
        <v>21435</v>
      </c>
      <c r="Y355" s="265"/>
      <c r="Z355" s="265"/>
      <c r="AA355" s="265"/>
    </row>
    <row r="356" spans="2:48">
      <c r="C356" s="435"/>
      <c r="D356" s="47" t="s">
        <v>22</v>
      </c>
      <c r="E356" s="214">
        <f t="shared" si="88"/>
        <v>232.40080840449284</v>
      </c>
      <c r="F356" s="211"/>
      <c r="G356" s="214">
        <f t="shared" si="86"/>
        <v>599.90712587870337</v>
      </c>
      <c r="H356" s="211"/>
      <c r="I356" s="219">
        <f t="shared" si="87"/>
        <v>1.2491004713095299</v>
      </c>
      <c r="J356" s="100">
        <f t="shared" si="89"/>
        <v>-0.24566384714901301</v>
      </c>
      <c r="K356" s="91"/>
      <c r="L356" s="63"/>
      <c r="M356" s="63"/>
      <c r="N356" s="277">
        <v>42.11</v>
      </c>
      <c r="O356" s="277">
        <v>40.99</v>
      </c>
      <c r="P356" s="277">
        <v>36.69</v>
      </c>
      <c r="Q356" s="286"/>
      <c r="R356" s="285">
        <f t="shared" si="90"/>
        <v>522.69276771526063</v>
      </c>
      <c r="S356" s="285"/>
      <c r="T356" s="287"/>
      <c r="U356" s="267"/>
      <c r="V356" s="267"/>
      <c r="W356" s="475">
        <v>25040</v>
      </c>
      <c r="X356" s="476">
        <v>25432</v>
      </c>
      <c r="Y356" s="265"/>
      <c r="Z356" s="265"/>
      <c r="AA356" s="265"/>
    </row>
    <row r="357" spans="2:48">
      <c r="C357" s="435"/>
      <c r="D357" s="48" t="s">
        <v>62</v>
      </c>
      <c r="E357" s="216">
        <f>+E341*1000/(W357-W351)</f>
        <v>328.51900981361416</v>
      </c>
      <c r="F357" s="212"/>
      <c r="G357" s="216">
        <f>+G341*1000/(X357-X351)</f>
        <v>268.48760252504445</v>
      </c>
      <c r="H357" s="212"/>
      <c r="I357" s="165">
        <f t="shared" si="87"/>
        <v>-0.22634807050572692</v>
      </c>
      <c r="J357" s="100">
        <f t="shared" si="89"/>
        <v>-0.24566384714901301</v>
      </c>
      <c r="K357" s="92"/>
      <c r="L357" s="102"/>
      <c r="M357" s="102"/>
      <c r="N357" s="277"/>
      <c r="O357" s="277"/>
      <c r="P357" s="277"/>
      <c r="Q357" s="286"/>
      <c r="R357" s="285">
        <f>+R341*1000/(X357-X351)</f>
        <v>254.15936581785064</v>
      </c>
      <c r="S357" s="285"/>
      <c r="T357" s="287"/>
      <c r="U357" s="268"/>
      <c r="V357" s="268"/>
      <c r="W357" s="475">
        <v>788565</v>
      </c>
      <c r="X357" s="476">
        <v>806359</v>
      </c>
      <c r="Y357" s="265"/>
      <c r="Z357" s="265"/>
      <c r="AA357" s="265"/>
    </row>
    <row r="358" spans="2:48">
      <c r="C358" s="435"/>
      <c r="D358" s="47" t="s">
        <v>15</v>
      </c>
      <c r="E358" s="214">
        <f t="shared" ref="E358:E361" si="91">+E342*1000/W358</f>
        <v>141.67054585365011</v>
      </c>
      <c r="F358" s="211"/>
      <c r="G358" s="214">
        <f>+G342*1000/(G294*G194)</f>
        <v>159.0555597287956</v>
      </c>
      <c r="H358" s="211"/>
      <c r="I358" s="164">
        <f t="shared" si="87"/>
        <v>-9.082585111339303E-3</v>
      </c>
      <c r="J358" s="100">
        <f t="shared" si="89"/>
        <v>-0.24566384714901301</v>
      </c>
      <c r="K358" s="91"/>
      <c r="L358" s="63"/>
      <c r="M358" s="63"/>
      <c r="N358" s="277">
        <v>4587.22</v>
      </c>
      <c r="O358" s="277">
        <v>4470.1000000000004</v>
      </c>
      <c r="P358" s="277">
        <v>4048.72</v>
      </c>
      <c r="Q358" s="286"/>
      <c r="R358" s="285">
        <f t="shared" ref="R358:R360" si="92">+G358*P358/N358</f>
        <v>140.38381106316444</v>
      </c>
      <c r="S358" s="285"/>
      <c r="T358" s="287"/>
      <c r="U358" s="267"/>
      <c r="V358" s="267"/>
      <c r="W358" s="475">
        <v>228130</v>
      </c>
      <c r="X358" s="476">
        <v>235335</v>
      </c>
      <c r="Y358" s="265"/>
      <c r="Z358" s="265"/>
      <c r="AA358" s="265"/>
    </row>
    <row r="359" spans="2:48">
      <c r="C359" s="435"/>
      <c r="D359" s="47" t="s">
        <v>16</v>
      </c>
      <c r="E359" s="214">
        <f t="shared" si="91"/>
        <v>228.91535135544675</v>
      </c>
      <c r="F359" s="211"/>
      <c r="G359" s="214">
        <f>+G343*1000/(G295*G195)</f>
        <v>59.316278392370023</v>
      </c>
      <c r="H359" s="211"/>
      <c r="I359" s="164">
        <f t="shared" si="87"/>
        <v>-0.74088116833952711</v>
      </c>
      <c r="J359" s="100">
        <f t="shared" si="89"/>
        <v>-0.24566384714901301</v>
      </c>
      <c r="K359" s="91"/>
      <c r="L359" s="63"/>
      <c r="M359" s="63"/>
      <c r="N359" s="277">
        <v>655.95699999999999</v>
      </c>
      <c r="O359" s="277">
        <v>655.95699999999999</v>
      </c>
      <c r="P359" s="277">
        <v>655.95699999999999</v>
      </c>
      <c r="Q359" s="286"/>
      <c r="R359" s="285">
        <f t="shared" si="92"/>
        <v>59.316278392370023</v>
      </c>
      <c r="S359" s="285"/>
      <c r="T359" s="287"/>
      <c r="U359" s="267"/>
      <c r="V359" s="267"/>
      <c r="W359" s="475">
        <v>172414</v>
      </c>
      <c r="X359" s="476">
        <v>178164</v>
      </c>
      <c r="Y359" s="265"/>
      <c r="Z359" s="265"/>
      <c r="AA359" s="265"/>
    </row>
    <row r="360" spans="2:48">
      <c r="C360" s="435"/>
      <c r="D360" s="47" t="s">
        <v>20</v>
      </c>
      <c r="E360" s="214">
        <f t="shared" si="91"/>
        <v>270.67048856227075</v>
      </c>
      <c r="F360" s="211"/>
      <c r="G360" s="214">
        <f>+G344*1000/(G296*G196)</f>
        <v>336.58568019327089</v>
      </c>
      <c r="H360" s="211"/>
      <c r="I360" s="164">
        <f t="shared" si="87"/>
        <v>0.24352559446404376</v>
      </c>
      <c r="J360" s="100">
        <f t="shared" si="89"/>
        <v>-0.24566384714901301</v>
      </c>
      <c r="K360" s="91"/>
      <c r="L360" s="63"/>
      <c r="M360" s="63"/>
      <c r="N360" s="277">
        <v>655.95699999999999</v>
      </c>
      <c r="O360" s="277">
        <v>655.95699999999999</v>
      </c>
      <c r="P360" s="277">
        <v>655.95699999999999</v>
      </c>
      <c r="Q360" s="286"/>
      <c r="R360" s="285">
        <f t="shared" si="92"/>
        <v>336.58568019327089</v>
      </c>
      <c r="S360" s="285"/>
      <c r="T360" s="287"/>
      <c r="U360" s="267"/>
      <c r="V360" s="267"/>
      <c r="W360" s="475">
        <v>36754</v>
      </c>
      <c r="X360" s="476">
        <v>36669</v>
      </c>
      <c r="Y360" s="265"/>
      <c r="Z360" s="265"/>
      <c r="AA360" s="265"/>
    </row>
    <row r="361" spans="2:48">
      <c r="C361" s="435"/>
      <c r="D361" s="47" t="s">
        <v>23</v>
      </c>
      <c r="E361" s="214">
        <f t="shared" si="91"/>
        <v>490.41999127987913</v>
      </c>
      <c r="F361" s="211"/>
      <c r="G361" s="214">
        <f>+G345*1000/(G297*G197)</f>
        <v>356.64755335204239</v>
      </c>
      <c r="H361" s="211"/>
      <c r="I361" s="164">
        <f t="shared" si="87"/>
        <v>-0.27277117635176862</v>
      </c>
      <c r="J361" s="100">
        <f t="shared" si="89"/>
        <v>-0.24566384714901301</v>
      </c>
      <c r="K361" s="91"/>
      <c r="L361" s="63"/>
      <c r="M361" s="63"/>
      <c r="N361" s="277">
        <v>655.95699999999999</v>
      </c>
      <c r="O361" s="277">
        <v>655.95699999999999</v>
      </c>
      <c r="P361" s="277">
        <v>655.95699999999999</v>
      </c>
      <c r="Q361" s="286"/>
      <c r="R361" s="285">
        <f>+G361*P361/N361</f>
        <v>356.64755335204239</v>
      </c>
      <c r="S361" s="285"/>
      <c r="T361" s="287"/>
      <c r="U361" s="267"/>
      <c r="V361" s="267"/>
      <c r="W361" s="475">
        <v>17365</v>
      </c>
      <c r="X361" s="476">
        <v>20338</v>
      </c>
      <c r="Y361" s="265"/>
      <c r="Z361" s="265"/>
      <c r="AA361" s="265"/>
    </row>
    <row r="362" spans="2:48" ht="14.4" thickBot="1">
      <c r="C362" s="436"/>
      <c r="D362" s="49" t="s">
        <v>63</v>
      </c>
      <c r="E362" s="215">
        <f>+E346*1000/(W362)</f>
        <v>198.50280163414217</v>
      </c>
      <c r="F362" s="213"/>
      <c r="G362" s="215">
        <f>+G346*1000/(X362)</f>
        <v>150.67468041473373</v>
      </c>
      <c r="H362" s="213"/>
      <c r="I362" s="166">
        <f t="shared" si="87"/>
        <v>-0.29182939275639552</v>
      </c>
      <c r="J362" s="218">
        <f t="shared" si="89"/>
        <v>-0.24566384714901301</v>
      </c>
      <c r="K362" s="93"/>
      <c r="L362" s="102"/>
      <c r="M362" s="102"/>
      <c r="N362" s="286"/>
      <c r="O362" s="286"/>
      <c r="P362" s="286"/>
      <c r="Q362" s="294"/>
      <c r="R362" s="295">
        <f>+R346*1000/(X362)</f>
        <v>140.57384957280723</v>
      </c>
      <c r="S362" s="295"/>
      <c r="T362" s="296"/>
      <c r="U362" s="268"/>
      <c r="V362" s="268"/>
      <c r="W362" s="477">
        <v>454663</v>
      </c>
      <c r="X362" s="476">
        <v>470506</v>
      </c>
      <c r="Y362" s="265"/>
      <c r="Z362" s="265"/>
      <c r="AA362" s="265"/>
    </row>
    <row r="363" spans="2:48" ht="14.4" thickTop="1">
      <c r="C363" s="252"/>
    </row>
    <row r="364" spans="2:48" ht="14.4" thickBot="1">
      <c r="C364" s="252"/>
      <c r="F364" s="67" t="s">
        <v>151</v>
      </c>
      <c r="G364" s="67" t="s">
        <v>185</v>
      </c>
      <c r="H364" s="67" t="s">
        <v>185</v>
      </c>
      <c r="I364" s="67" t="s">
        <v>185</v>
      </c>
      <c r="J364" s="67" t="s">
        <v>185</v>
      </c>
      <c r="K364" s="67" t="s">
        <v>185</v>
      </c>
      <c r="L364" s="67" t="s">
        <v>184</v>
      </c>
      <c r="M364" s="67" t="s">
        <v>185</v>
      </c>
      <c r="N364" s="454" t="s">
        <v>185</v>
      </c>
      <c r="O364" s="454" t="s">
        <v>186</v>
      </c>
      <c r="P364" s="454" t="s">
        <v>189</v>
      </c>
      <c r="Q364" s="454" t="s">
        <v>190</v>
      </c>
      <c r="R364" s="454" t="s">
        <v>191</v>
      </c>
      <c r="S364" s="454" t="s">
        <v>192</v>
      </c>
      <c r="T364" s="454" t="s">
        <v>213</v>
      </c>
      <c r="U364" s="67" t="s">
        <v>213</v>
      </c>
      <c r="V364" s="67" t="s">
        <v>213</v>
      </c>
      <c r="W364" s="67" t="s">
        <v>213</v>
      </c>
      <c r="X364" s="67" t="s">
        <v>213</v>
      </c>
      <c r="Y364" s="67" t="s">
        <v>213</v>
      </c>
      <c r="Z364" s="67" t="s">
        <v>213</v>
      </c>
      <c r="AA364" s="67" t="s">
        <v>214</v>
      </c>
      <c r="AB364" s="67" t="s">
        <v>242</v>
      </c>
      <c r="AC364" s="67" t="s">
        <v>243</v>
      </c>
      <c r="AD364" s="67" t="s">
        <v>244</v>
      </c>
      <c r="AE364" s="67" t="s">
        <v>419</v>
      </c>
      <c r="AF364" s="67" t="s">
        <v>419</v>
      </c>
      <c r="AG364" s="67" t="s">
        <v>419</v>
      </c>
      <c r="AH364" s="67" t="s">
        <v>419</v>
      </c>
      <c r="AI364" s="67" t="s">
        <v>419</v>
      </c>
      <c r="AJ364" s="67" t="s">
        <v>419</v>
      </c>
      <c r="AK364" s="67" t="s">
        <v>419</v>
      </c>
      <c r="AL364" s="67" t="s">
        <v>419</v>
      </c>
      <c r="AM364" s="67" t="s">
        <v>493</v>
      </c>
      <c r="AN364" s="67" t="s">
        <v>493</v>
      </c>
      <c r="AO364" s="67" t="s">
        <v>493</v>
      </c>
      <c r="AP364" s="67" t="s">
        <v>493</v>
      </c>
      <c r="AQ364" s="67" t="s">
        <v>493</v>
      </c>
      <c r="AR364" s="67" t="s">
        <v>485</v>
      </c>
      <c r="AS364" s="67" t="s">
        <v>493</v>
      </c>
      <c r="AT364" s="67">
        <v>44926</v>
      </c>
      <c r="AU364" s="67" t="s">
        <v>559</v>
      </c>
    </row>
    <row r="365" spans="2:48" ht="14.4" thickTop="1">
      <c r="C365" s="463" t="s">
        <v>153</v>
      </c>
      <c r="D365" s="45" t="s">
        <v>64</v>
      </c>
      <c r="E365" s="45"/>
      <c r="F365" s="37">
        <f>SUM(Source!GN18:GN28)/SUM(Source!GN3:GN13)</f>
        <v>0.24735679343537953</v>
      </c>
      <c r="G365" s="37">
        <f>SUM(Source!GO18:GO28)/SUM(Source!GO3:GO13)</f>
        <v>0.22106305208650626</v>
      </c>
      <c r="H365" s="37">
        <f>SUM(Source!GP18:GP28)/SUM(Source!GP3:GP13)</f>
        <v>0.23314465859425379</v>
      </c>
      <c r="I365" s="37">
        <f>SUM(Source!GQ18:GQ28)/SUM(Source!GQ3:GQ13)</f>
        <v>0.23173904342605564</v>
      </c>
      <c r="J365" s="37">
        <f>SUM(Source!GR18:GR28)/SUM(Source!GR3:GR13)</f>
        <v>0.25669642857142855</v>
      </c>
      <c r="K365" s="37">
        <f>SUM(Source!GS18:GS28)/SUM(Source!GS3:GS13)</f>
        <v>0.26392036257688573</v>
      </c>
      <c r="L365" s="37">
        <f>SUM(Source!GT18:GT28)/SUM(Source!GT3:GT13)</f>
        <v>0.23555773405223723</v>
      </c>
      <c r="M365" s="37">
        <f>SUM(Source!GU18:GU28)/SUM(Source!GU3:GU13)</f>
        <v>0.23654121010004764</v>
      </c>
      <c r="N365" s="455">
        <f>SUM(Source!GV18:GV28)/SUM(Source!GV3:GV13)</f>
        <v>0.29481205343274308</v>
      </c>
      <c r="O365" s="455">
        <f>SUM(Source!GW18:GW28)/SUM(Source!GW3:GW13)</f>
        <v>0.26835061699785645</v>
      </c>
      <c r="P365" s="455">
        <f>SUM(Source!GX18:GX28)/SUM(Source!GX3:GX13)</f>
        <v>0.2868155762008302</v>
      </c>
      <c r="Q365" s="455">
        <f>SUM(Source!GY18:GY28)/SUM(Source!GY3:GY13)</f>
        <v>0.27942697970553126</v>
      </c>
      <c r="R365" s="455">
        <f>SUM(Source!GZ18:GZ28)/SUM(Source!GZ3:GZ13)</f>
        <v>0.21637304250559283</v>
      </c>
      <c r="S365" s="455">
        <f>SUM(Source!HA18:HA28)/SUM(Source!HA3:HA13)</f>
        <v>0.24229074889867841</v>
      </c>
      <c r="T365" s="455">
        <f>SUM(Source!HB18:HB28)/SUM(Source!HB3:HB13)</f>
        <v>0.25157939070616314</v>
      </c>
      <c r="U365" s="37">
        <f>SUM(Source!HC18:HC28)/SUM(Source!HC3:HC13)</f>
        <v>0.20641194554238032</v>
      </c>
      <c r="V365" s="37">
        <f>SUM(Source!HD18:HD28)/SUM(Source!HD3:HD13)</f>
        <v>0.19634703196347031</v>
      </c>
      <c r="W365" s="37">
        <f>SUM(Source!HE18:HE28)/SUM(Source!HE3:HE13)</f>
        <v>0.2227607599844901</v>
      </c>
      <c r="X365" s="37">
        <f>SUM(Source!HF18:HF28)/SUM(Source!HF3:HF13)</f>
        <v>0.21351692039173858</v>
      </c>
      <c r="Y365" s="37">
        <f>SUM(Source!HG18:HG28)/SUM(Source!HG3:HG13)</f>
        <v>0.1983695652173913</v>
      </c>
      <c r="Z365" s="37">
        <f>SUM(Source!HH18:HH28)/SUM(Source!HH3:HH13)</f>
        <v>0.20775527789745799</v>
      </c>
      <c r="AA365" s="37">
        <f>SUM(Source!HI18:HI28)/SUM(Source!HI3:HI13)</f>
        <v>0.18862161130202368</v>
      </c>
      <c r="AB365" s="37">
        <f>SUM(Source!HJ18:HJ28)/SUM(Source!HJ3:HJ13)</f>
        <v>0.20868003025718609</v>
      </c>
      <c r="AC365" s="37">
        <f>SUM(Source!HK18:HK28)/SUM(Source!HK3:HK13)</f>
        <v>0.20408163265306123</v>
      </c>
      <c r="AD365" s="37">
        <f>SUM(Source!HL18:HL28)/SUM(Source!HL3:HL13)</f>
        <v>0.1860726319730438</v>
      </c>
      <c r="AE365" s="37">
        <f>SUM(Source!HM18:HM28)/SUM(Source!HM3:HM13)</f>
        <v>0.2329711320142718</v>
      </c>
      <c r="AF365" s="37">
        <f>SUM(Source!HN18:HN28)/SUM(Source!HN3:HN13)</f>
        <v>0.21311223706433288</v>
      </c>
      <c r="AG365" s="37">
        <f>SUM(Source!HO18:HO28)/SUM(Source!HO3:HO13)</f>
        <v>0.30535206412134791</v>
      </c>
      <c r="AH365" s="37">
        <f>SUM(Source!HP18:HP28)/SUM(Source!HP3:HP13)</f>
        <v>0.21863502575423105</v>
      </c>
      <c r="AI365" s="37">
        <f>SUM(Source!HQ18:HQ28)/SUM(Source!HQ3:HQ13)</f>
        <v>0.22648058427941284</v>
      </c>
      <c r="AJ365" s="37">
        <f>SUM(Source!HR18:HR28)/SUM(Source!HR3:HR13)</f>
        <v>0.2446980589503954</v>
      </c>
      <c r="AK365" s="37">
        <f>SUM(Source!HS18:HS28)/SUM(Source!HS3:HS13)</f>
        <v>0.22548760038831525</v>
      </c>
      <c r="AL365" s="37">
        <f>SUM(Source!HT18:HT28)/SUM(Source!HT3:HT13)</f>
        <v>0.32273855977296911</v>
      </c>
      <c r="AM365" s="37">
        <f>SUM(Source!HU18:HU28)/SUM(Source!HU3:HU13)</f>
        <v>0.26389614265462957</v>
      </c>
      <c r="AN365" s="37">
        <f>SUM(Source!HV18:HV28)/SUM(Source!HV3:HV13)</f>
        <v>0.2856920442160984</v>
      </c>
      <c r="AO365" s="37">
        <f>SUM(Source!HW18:HW28)/SUM(Source!HW3:HW13)</f>
        <v>0.22152297042164884</v>
      </c>
      <c r="AP365" s="37">
        <f>SUM(Source!HX18:HX28)/SUM(Source!HX3:HX13)</f>
        <v>0.22595901208617972</v>
      </c>
      <c r="AQ365" s="37">
        <f>SUM(Source!HY18:HY28)/SUM(Source!HY3:HY13)</f>
        <v>0.24287207045827736</v>
      </c>
      <c r="AR365" s="37">
        <f>SUM(Source!HZ18:HZ28)/SUM(Source!HZ3:HZ13)</f>
        <v>0.25450689289501588</v>
      </c>
      <c r="AS365" s="37">
        <f>SUM(Source!IA18:IA28)/SUM(Source!IA3:IA13)</f>
        <v>0.22909552926228857</v>
      </c>
      <c r="AT365" s="37">
        <f>SUM(Source!IB18:IB28)/SUM(Source!IB3:IB13)</f>
        <v>0.21693667157584684</v>
      </c>
      <c r="AU365" s="37">
        <f>SUM(Source!IC18:IC28)/SUM(Source!IC3:IC13)</f>
        <v>0.21554350248904078</v>
      </c>
    </row>
    <row r="366" spans="2:48">
      <c r="B366" s="28" t="s">
        <v>131</v>
      </c>
      <c r="C366" s="435"/>
      <c r="D366" s="47" t="s">
        <v>13</v>
      </c>
      <c r="E366" s="47"/>
      <c r="F366" s="39">
        <f>+Source!GN66</f>
        <v>0.26733333333333331</v>
      </c>
      <c r="G366" s="39">
        <f>+Source!GO66</f>
        <v>0.27594936708860762</v>
      </c>
      <c r="H366" s="39">
        <f>+Source!GP66</f>
        <v>0.29968203497615264</v>
      </c>
      <c r="I366" s="39">
        <f>+Source!GQ66</f>
        <v>0.28062234794908064</v>
      </c>
      <c r="J366" s="39">
        <f>+Source!GR66</f>
        <v>0.34582059123343528</v>
      </c>
      <c r="K366" s="39">
        <f>+Source!GS66</f>
        <v>0.37701679288771817</v>
      </c>
      <c r="L366" s="39">
        <f>+Source!GT66</f>
        <v>0.33598585322723251</v>
      </c>
      <c r="M366" s="39">
        <f>+Source!GU66</f>
        <v>0.37153996101364523</v>
      </c>
      <c r="N366" s="456">
        <f>+Source!GV66</f>
        <v>0.57668585526315785</v>
      </c>
      <c r="O366" s="456">
        <f>+Source!GW66</f>
        <v>0.41882770870337477</v>
      </c>
      <c r="P366" s="456">
        <f>+Source!GX66</f>
        <v>0.37040462427745663</v>
      </c>
      <c r="Q366" s="456">
        <f>+Source!GY66</f>
        <v>0.31886024423337855</v>
      </c>
      <c r="R366" s="456">
        <f>+Source!GZ66</f>
        <v>0.23749999999999999</v>
      </c>
      <c r="S366" s="456">
        <f>+Source!HA66</f>
        <v>0.26289180990899896</v>
      </c>
      <c r="T366" s="456">
        <f>+Source!HB66</f>
        <v>0.2761098280728766</v>
      </c>
      <c r="U366" s="39">
        <f>+Source!HC66</f>
        <v>0.28582995951417006</v>
      </c>
      <c r="V366" s="39">
        <f>+Source!HD66</f>
        <v>0.27179276315789475</v>
      </c>
      <c r="W366" s="39">
        <f>+Source!HE66</f>
        <v>0.31349497918197405</v>
      </c>
      <c r="X366" s="39">
        <f>+Source!HF66</f>
        <v>0.26836906769453145</v>
      </c>
      <c r="Y366" s="39">
        <f>+Source!HG66</f>
        <v>0.21657194137002692</v>
      </c>
      <c r="Z366" s="39">
        <f>+Source!HH66</f>
        <v>0.18974358974358974</v>
      </c>
      <c r="AA366" s="39">
        <f>+Source!HI66</f>
        <v>0.18055982774530913</v>
      </c>
      <c r="AB366" s="39">
        <f>+Source!HJ66</f>
        <v>0.21681247622670216</v>
      </c>
      <c r="AC366" s="39">
        <f>+Source!HK66</f>
        <v>0.17992503123698458</v>
      </c>
      <c r="AD366" s="39">
        <f>+Source!HL66</f>
        <v>0.22276516240298935</v>
      </c>
      <c r="AE366" s="39">
        <f>+Source!HM66</f>
        <v>0.24116260801256872</v>
      </c>
      <c r="AF366" s="39">
        <f>+Source!HN66</f>
        <v>0.22325311684546245</v>
      </c>
      <c r="AG366" s="39">
        <f>+Source!HO66</f>
        <v>0.38947706127686876</v>
      </c>
      <c r="AH366" s="39">
        <f>+Source!HP66</f>
        <v>0.26206037970743851</v>
      </c>
      <c r="AI366" s="39">
        <f>+Source!HQ66</f>
        <v>0.24050326639245101</v>
      </c>
      <c r="AJ366" s="39">
        <f>+Source!HR66</f>
        <v>0.27308192457737324</v>
      </c>
      <c r="AK366" s="39">
        <f>+Source!HS66</f>
        <v>0.2243822075782537</v>
      </c>
      <c r="AL366" s="39">
        <f>+Source!HT66</f>
        <v>0.25987986089155862</v>
      </c>
      <c r="AM366" s="39">
        <f>+Source!HU66</f>
        <v>0.26189397371998185</v>
      </c>
      <c r="AN366" s="39">
        <f>+Source!HV66</f>
        <v>0.24206349206349206</v>
      </c>
      <c r="AO366" s="39">
        <f>+Source!HW66</f>
        <v>0.24296577946768061</v>
      </c>
      <c r="AP366" s="39">
        <f>+Source!HX66</f>
        <v>0.19078311311633903</v>
      </c>
      <c r="AQ366" s="39">
        <f>+Source!HY66</f>
        <v>0.31854379977246872</v>
      </c>
      <c r="AR366" s="39">
        <f>+Source!HZ66</f>
        <v>0.3138984509466437</v>
      </c>
      <c r="AS366" s="39">
        <f>+Source!IA66</f>
        <v>0.22567760342368046</v>
      </c>
      <c r="AT366" s="39">
        <f>VLOOKUP($B366,Source!$GM$65:IB$77,COLUMNS($GM:IB),FALSE)</f>
        <v>0.37266643184219794</v>
      </c>
      <c r="AU366" s="39">
        <f>VLOOKUP($B366,Source!$GM$65:IC$77,COLUMNS($GM:IC),FALSE)</f>
        <v>0.23653352876511544</v>
      </c>
      <c r="AV366" s="39"/>
    </row>
    <row r="367" spans="2:48">
      <c r="B367" s="28" t="s">
        <v>136</v>
      </c>
      <c r="C367" s="435"/>
      <c r="D367" s="47" t="s">
        <v>14</v>
      </c>
      <c r="E367" s="47"/>
      <c r="F367" s="39">
        <f>+Source!GN67</f>
        <v>0.18878773358888357</v>
      </c>
      <c r="G367" s="39">
        <f>+Source!GO67</f>
        <v>0.19605568445475638</v>
      </c>
      <c r="H367" s="39">
        <f>+Source!GP67</f>
        <v>0.21777072590241967</v>
      </c>
      <c r="I367" s="39">
        <f>+Source!GQ67</f>
        <v>0.23878139151914368</v>
      </c>
      <c r="J367" s="39">
        <f>+Source!GR67</f>
        <v>0.17987152034261242</v>
      </c>
      <c r="K367" s="39">
        <f>+Source!GS67</f>
        <v>0.2080712788259958</v>
      </c>
      <c r="L367" s="39">
        <f>+Source!GT67</f>
        <v>0.21601830663615559</v>
      </c>
      <c r="M367" s="39">
        <f>+Source!GU67</f>
        <v>0.19387266634753469</v>
      </c>
      <c r="N367" s="456">
        <f>+Source!GV67</f>
        <v>0.20147954743255003</v>
      </c>
      <c r="O367" s="456">
        <f>+Source!GW67</f>
        <v>0.17767106842737096</v>
      </c>
      <c r="P367" s="456">
        <f>+Source!GX67</f>
        <v>0.33361994840928633</v>
      </c>
      <c r="Q367" s="456">
        <f>+Source!GY67</f>
        <v>0.21551724137931033</v>
      </c>
      <c r="R367" s="456">
        <f>+Source!GZ67</f>
        <v>0.18885448916408668</v>
      </c>
      <c r="S367" s="456">
        <f>+Source!HA67</f>
        <v>0.24313267095265925</v>
      </c>
      <c r="T367" s="456">
        <f>+Source!HB67</f>
        <v>0.23943661971830985</v>
      </c>
      <c r="U367" s="39">
        <f>+Source!HC67</f>
        <v>0.19337016574585636</v>
      </c>
      <c r="V367" s="39">
        <f>+Source!HD67</f>
        <v>0.20063357972544879</v>
      </c>
      <c r="W367" s="39">
        <f>+Source!HE67</f>
        <v>0.19189511323003575</v>
      </c>
      <c r="X367" s="39">
        <f>+Source!HF67</f>
        <v>0.17154811715481172</v>
      </c>
      <c r="Y367" s="39">
        <f>+Source!HG67</f>
        <v>0.19086651053864168</v>
      </c>
      <c r="Z367" s="39">
        <f>+Source!HH67</f>
        <v>0.20412168792934249</v>
      </c>
      <c r="AA367" s="39">
        <f>+Source!HI67</f>
        <v>0.20357142857142857</v>
      </c>
      <c r="AB367" s="39">
        <f>+Source!HJ67</f>
        <v>0.27580893682588598</v>
      </c>
      <c r="AC367" s="39">
        <f>+Source!HK67</f>
        <v>0.1673228346456693</v>
      </c>
      <c r="AD367" s="39">
        <f>+Source!HL67</f>
        <v>0.18630751964085299</v>
      </c>
      <c r="AE367" s="39">
        <f>+Source!HM67</f>
        <v>0.22238586156111928</v>
      </c>
      <c r="AF367" s="39">
        <f>+Source!HN67</f>
        <v>0.29638554216867469</v>
      </c>
      <c r="AG367" s="39">
        <f>+Source!HO67</f>
        <v>0.15901060070671377</v>
      </c>
      <c r="AH367" s="39">
        <f>+Source!HP67</f>
        <v>0.21832358674463936</v>
      </c>
      <c r="AI367" s="39">
        <f>+Source!HQ67</f>
        <v>0.23316912972085385</v>
      </c>
      <c r="AJ367" s="39">
        <f>+Source!HR67</f>
        <v>0.32705649157581762</v>
      </c>
      <c r="AK367" s="39">
        <f>+Source!HS67</f>
        <v>0.26195028680688337</v>
      </c>
      <c r="AL367" s="39">
        <f>+Source!HT67</f>
        <v>0.34936708860759491</v>
      </c>
      <c r="AM367" s="39">
        <f>+Source!HU67</f>
        <v>0.31812080536912751</v>
      </c>
      <c r="AN367" s="39">
        <f>+Source!HV67</f>
        <v>0.3354564755838641</v>
      </c>
      <c r="AO367" s="39">
        <f>+Source!HW67</f>
        <v>0.27950310559006208</v>
      </c>
      <c r="AP367" s="39">
        <f>+Source!HX67</f>
        <v>0.40732087227414332</v>
      </c>
      <c r="AQ367" s="39">
        <f>+Source!HY67</f>
        <v>0.25084745762711863</v>
      </c>
      <c r="AR367" s="39">
        <f>+Source!HZ67</f>
        <v>0.2282314764737696</v>
      </c>
      <c r="AS367" s="39">
        <f>+Source!IA67</f>
        <v>0.27220299884659749</v>
      </c>
      <c r="AT367" s="39">
        <f>VLOOKUP($B367,Source!$GM$65:IB$77,COLUMNS($GM:IB),FALSE)</f>
        <v>0.45783132530120479</v>
      </c>
      <c r="AU367" s="39">
        <f>VLOOKUP($B367,Source!$GM$65:IC$77,COLUMNS($GM:IC),FALSE)</f>
        <v>0.15897435897435896</v>
      </c>
    </row>
    <row r="368" spans="2:48">
      <c r="B368" s="28" t="s">
        <v>141</v>
      </c>
      <c r="C368" s="435"/>
      <c r="D368" s="47" t="s">
        <v>17</v>
      </c>
      <c r="E368" s="47"/>
      <c r="F368" s="39">
        <f>+Source!GN68</f>
        <v>0.3669796557120501</v>
      </c>
      <c r="G368" s="39">
        <f>+Source!GO68</f>
        <v>0.28077314343845372</v>
      </c>
      <c r="H368" s="39">
        <f>+Source!GP68</f>
        <v>0.24611161939615736</v>
      </c>
      <c r="I368" s="39">
        <f>+Source!GQ68</f>
        <v>0.27412082957619477</v>
      </c>
      <c r="J368" s="39">
        <f>+Source!GR68</f>
        <v>0.31519138755980863</v>
      </c>
      <c r="K368" s="39">
        <f>+Source!GS68</f>
        <v>0.23636363636363636</v>
      </c>
      <c r="L368" s="39">
        <f>+Source!GT68</f>
        <v>0.24713242961418144</v>
      </c>
      <c r="M368" s="39">
        <f>+Source!GU68</f>
        <v>0.1871584699453552</v>
      </c>
      <c r="N368" s="456">
        <f>+Source!GV68</f>
        <v>0.19230769230769232</v>
      </c>
      <c r="O368" s="456">
        <f>+Source!GW68</f>
        <v>0.32865907099035935</v>
      </c>
      <c r="P368" s="456">
        <f>+Source!GX68</f>
        <v>0.28962655601659754</v>
      </c>
      <c r="Q368" s="456">
        <f>+Source!GY68</f>
        <v>0.43841642228739003</v>
      </c>
      <c r="R368" s="456">
        <f>+Source!GZ68</f>
        <v>0.27219321148825065</v>
      </c>
      <c r="S368" s="456">
        <f>+Source!HA68</f>
        <v>0.40685714285714286</v>
      </c>
      <c r="T368" s="456">
        <f>+Source!HB68</f>
        <v>0.39453551912568308</v>
      </c>
      <c r="U368" s="39">
        <f>+Source!HC68</f>
        <v>0.34257748776508973</v>
      </c>
      <c r="V368" s="39">
        <f>+Source!HD68</f>
        <v>0.27306967984934089</v>
      </c>
      <c r="W368" s="39">
        <f>+Source!HE68</f>
        <v>0.25</v>
      </c>
      <c r="X368" s="39">
        <f>+Source!HF68</f>
        <v>0.23321123321123322</v>
      </c>
      <c r="Y368" s="39">
        <f>+Source!HG68</f>
        <v>0.25027322404371583</v>
      </c>
      <c r="Z368" s="39">
        <f>+Source!HH68</f>
        <v>0.22439893143365983</v>
      </c>
      <c r="AA368" s="39">
        <f>+Source!HI68</f>
        <v>0.24868282402528977</v>
      </c>
      <c r="AB368" s="39">
        <f>+Source!HJ68</f>
        <v>0.21729237770193402</v>
      </c>
      <c r="AC368" s="39">
        <f>+Source!HK68</f>
        <v>0.23018458197611291</v>
      </c>
      <c r="AD368" s="39">
        <f>+Source!HL68</f>
        <v>0.20784729586426298</v>
      </c>
      <c r="AE368" s="39">
        <f>+Source!HM68</f>
        <v>0.33242134062927498</v>
      </c>
      <c r="AF368" s="39">
        <f>+Source!HN68</f>
        <v>0.34244604316546762</v>
      </c>
      <c r="AG368" s="39">
        <f>+Source!HO68</f>
        <v>0.38661710037174724</v>
      </c>
      <c r="AH368" s="39">
        <f>+Source!HP68</f>
        <v>0.28399699474079637</v>
      </c>
      <c r="AI368" s="39">
        <f>+Source!HQ68</f>
        <v>0.33885714285714286</v>
      </c>
      <c r="AJ368" s="39">
        <f>+Source!HR68</f>
        <v>0.3408284023668639</v>
      </c>
      <c r="AK368" s="39">
        <f>+Source!HS68</f>
        <v>0.29158110882956878</v>
      </c>
      <c r="AL368" s="39">
        <f>+Source!HT68</f>
        <v>0.28049951969260328</v>
      </c>
      <c r="AM368" s="39">
        <f>+Source!HU68</f>
        <v>0.35959765297569152</v>
      </c>
      <c r="AN368" s="39">
        <f>+Source!HV68</f>
        <v>0.30026809651474529</v>
      </c>
      <c r="AO368" s="39">
        <f>+Source!HW68</f>
        <v>0.29251700680272108</v>
      </c>
      <c r="AP368" s="39">
        <f>+Source!HX68</f>
        <v>0.2870182555780933</v>
      </c>
      <c r="AQ368" s="39">
        <f>+Source!HY68</f>
        <v>0.12268518518518519</v>
      </c>
      <c r="AR368" s="39">
        <f>+Source!HZ68</f>
        <v>0.16518650088809947</v>
      </c>
      <c r="AS368" s="39">
        <f>+Source!IA68</f>
        <v>0.13400335008375208</v>
      </c>
      <c r="AT368" s="39">
        <f>VLOOKUP($B368,Source!$GM$65:IB$77,COLUMNS($GM:IB),FALSE)</f>
        <v>0.32735042735042735</v>
      </c>
      <c r="AU368" s="39">
        <f>VLOOKUP($B368,Source!$GM$65:IC$77,COLUMNS($GM:IC),FALSE)</f>
        <v>0.26768488745980706</v>
      </c>
    </row>
    <row r="369" spans="2:47">
      <c r="B369" s="28" t="s">
        <v>124</v>
      </c>
      <c r="C369" s="435"/>
      <c r="D369" s="47" t="s">
        <v>18</v>
      </c>
      <c r="E369" s="47"/>
      <c r="F369" s="39">
        <f>+Source!GN69</f>
        <v>0.37662337662337664</v>
      </c>
      <c r="G369" s="39">
        <f>+Source!GO69</f>
        <v>0.24078624078624078</v>
      </c>
      <c r="H369" s="39">
        <f>+Source!GP69</f>
        <v>0.30443159922928709</v>
      </c>
      <c r="I369" s="39">
        <f>+Source!GQ69</f>
        <v>0.37351190476190477</v>
      </c>
      <c r="J369" s="39">
        <f>+Source!GR69</f>
        <v>0.29872881355932202</v>
      </c>
      <c r="K369" s="39">
        <f>+Source!GS69</f>
        <v>0.16300940438871472</v>
      </c>
      <c r="L369" s="39">
        <f>+Source!GT69</f>
        <v>0.15431164901664146</v>
      </c>
      <c r="M369" s="39">
        <f>+Source!GU69</f>
        <v>0.20535714285714285</v>
      </c>
      <c r="N369" s="456">
        <f>+Source!GV69</f>
        <v>0.14576271186440679</v>
      </c>
      <c r="O369" s="456">
        <f>+Source!GW69</f>
        <v>0.1709090909090909</v>
      </c>
      <c r="P369" s="456">
        <f>+Source!GX69</f>
        <v>0.14285714285714285</v>
      </c>
      <c r="Q369" s="456">
        <f>+Source!GY69</f>
        <v>0.26890756302521007</v>
      </c>
      <c r="R369" s="456">
        <f>+Source!GZ69</f>
        <v>0.18532818532818532</v>
      </c>
      <c r="S369" s="456">
        <f>+Source!HA69</f>
        <v>0.1901639344262295</v>
      </c>
      <c r="T369" s="456">
        <f>+Source!HB69</f>
        <v>0.21036585365853658</v>
      </c>
      <c r="U369" s="39">
        <f>+Source!HC69</f>
        <v>0.15018315018315018</v>
      </c>
      <c r="V369" s="39">
        <f>+Source!HD69</f>
        <v>0.1391304347826087</v>
      </c>
      <c r="W369" s="39">
        <f>+Source!HE69</f>
        <v>0.3146067415730337</v>
      </c>
      <c r="X369" s="39">
        <f>+Source!HF69</f>
        <v>0.36619718309859156</v>
      </c>
      <c r="Y369" s="39">
        <f>+Source!HG69</f>
        <v>0.14201183431952663</v>
      </c>
      <c r="Z369" s="39">
        <f>+Source!HH69</f>
        <v>0.13076923076923078</v>
      </c>
      <c r="AA369" s="39">
        <f>+Source!HI69</f>
        <v>0.12790697674418605</v>
      </c>
      <c r="AB369" s="39">
        <f>+Source!HJ69</f>
        <v>0.13636363636363635</v>
      </c>
      <c r="AC369" s="39">
        <f>+Source!HK69</f>
        <v>0.17757009345794392</v>
      </c>
      <c r="AD369" s="39">
        <f>+Source!HL69</f>
        <v>9.5652173913043481E-2</v>
      </c>
      <c r="AE369" s="39">
        <f>+Source!HM69</f>
        <v>0.45320197044334976</v>
      </c>
      <c r="AF369" s="39">
        <f>+Source!HN69</f>
        <v>0.16580310880829016</v>
      </c>
      <c r="AG369" s="39">
        <f>+Source!HO69</f>
        <v>0.87012987012987009</v>
      </c>
      <c r="AH369" s="39">
        <f>+Source!HP69</f>
        <v>0.49411764705882355</v>
      </c>
      <c r="AI369" s="39">
        <f>+Source!HQ69</f>
        <v>0.48561151079136688</v>
      </c>
      <c r="AJ369" s="39">
        <f>+Source!HR69</f>
        <v>0.25</v>
      </c>
      <c r="AK369" s="39">
        <f>+Source!HS69</f>
        <v>0.16814159292035399</v>
      </c>
      <c r="AL369" s="39">
        <f>+Source!HT69</f>
        <v>0.2620689655172414</v>
      </c>
      <c r="AM369" s="39">
        <f>+Source!HU69</f>
        <v>0.16107382550335569</v>
      </c>
      <c r="AN369" s="39">
        <f>+Source!HV69</f>
        <v>0.41747572815533979</v>
      </c>
      <c r="AO369" s="39">
        <f>+Source!HW69</f>
        <v>0.42016806722689076</v>
      </c>
      <c r="AP369" s="39">
        <f>+Source!HX69</f>
        <v>0.40799999999999997</v>
      </c>
      <c r="AQ369" s="39">
        <f>+Source!HY69</f>
        <v>0.23429179978700745</v>
      </c>
      <c r="AR369" s="39">
        <f>+Source!HZ69</f>
        <v>0.26895854398382202</v>
      </c>
      <c r="AS369" s="39">
        <f>+Source!IA69</f>
        <v>0.21921921921921922</v>
      </c>
      <c r="AT369" s="39">
        <f>VLOOKUP($B369,Source!$GM$65:IB$77,COLUMNS($GM:IB),FALSE)</f>
        <v>0.54545454545454541</v>
      </c>
      <c r="AU369" s="39">
        <f>VLOOKUP($B369,Source!$GM$65:IC$77,COLUMNS($GM:IC),FALSE)</f>
        <v>0.11931818181818182</v>
      </c>
    </row>
    <row r="370" spans="2:47">
      <c r="B370" s="28" t="s">
        <v>137</v>
      </c>
      <c r="C370" s="435"/>
      <c r="D370" s="47" t="s">
        <v>19</v>
      </c>
      <c r="E370" s="47"/>
      <c r="F370" s="39">
        <f>+Source!GN70</f>
        <v>0.23207301173402869</v>
      </c>
      <c r="G370" s="39">
        <f>+Source!GO70</f>
        <v>0.27453027139874742</v>
      </c>
      <c r="H370" s="39">
        <f>+Source!GP70</f>
        <v>0.3201219512195122</v>
      </c>
      <c r="I370" s="39">
        <f>+Source!GQ70</f>
        <v>0.19227674979887369</v>
      </c>
      <c r="J370" s="39">
        <f>+Source!GR70</f>
        <v>0.3111467522052927</v>
      </c>
      <c r="K370" s="39">
        <f>+Source!GS70</f>
        <v>0.24492979719188768</v>
      </c>
      <c r="L370" s="39">
        <f>+Source!GT70</f>
        <v>0.31291611185086549</v>
      </c>
      <c r="M370" s="39">
        <f>+Source!GU70</f>
        <v>0.30458715596330277</v>
      </c>
      <c r="N370" s="456">
        <f>+Source!GV70</f>
        <v>0.2470059880239521</v>
      </c>
      <c r="O370" s="456">
        <f>+Source!GW70</f>
        <v>0.36873156342182889</v>
      </c>
      <c r="P370" s="456">
        <f>+Source!GX70</f>
        <v>0.32124352331606215</v>
      </c>
      <c r="Q370" s="456">
        <f>+Source!GY70</f>
        <v>0.40471512770137524</v>
      </c>
      <c r="R370" s="456">
        <f>+Source!GZ70</f>
        <v>0.43036211699164345</v>
      </c>
      <c r="S370" s="456">
        <f>+Source!HA70</f>
        <v>0.45318352059925093</v>
      </c>
      <c r="T370" s="456">
        <f>+Source!HB70</f>
        <v>0.36902485659655831</v>
      </c>
      <c r="U370" s="39">
        <f>+Source!HC70</f>
        <v>0.31390134529147984</v>
      </c>
      <c r="V370" s="39">
        <f>+Source!HD70</f>
        <v>0.25093632958801498</v>
      </c>
      <c r="W370" s="39">
        <f>+Source!HE70</f>
        <v>0.14182692307692307</v>
      </c>
      <c r="X370" s="39">
        <f>+Source!HF70</f>
        <v>9.2675635276532137E-2</v>
      </c>
      <c r="Y370" s="39">
        <f>+Source!HG70</f>
        <v>0.17107093184979139</v>
      </c>
      <c r="Z370" s="39">
        <f>+Source!HH70</f>
        <v>0.18860244233378562</v>
      </c>
      <c r="AA370" s="39">
        <f>+Source!HI70</f>
        <v>4.8309178743961352E-2</v>
      </c>
      <c r="AB370" s="39">
        <f>+Source!HJ70</f>
        <v>0.20851688693098386</v>
      </c>
      <c r="AC370" s="39">
        <f>+Source!HK70</f>
        <v>0.23820754716981132</v>
      </c>
      <c r="AD370" s="39">
        <f>+Source!HL70</f>
        <v>0.13680154142581888</v>
      </c>
      <c r="AE370" s="39">
        <f>+Source!HM70</f>
        <v>0.1709090909090909</v>
      </c>
      <c r="AF370" s="39">
        <f>+Source!HN70</f>
        <v>0.34097421203438394</v>
      </c>
      <c r="AG370" s="39">
        <f>+Source!HO70</f>
        <v>0.57370517928286857</v>
      </c>
      <c r="AH370" s="39">
        <f>+Source!HP70</f>
        <v>0.30848329048843187</v>
      </c>
      <c r="AI370" s="39">
        <f>+Source!HQ70</f>
        <v>0.33333333333333331</v>
      </c>
      <c r="AJ370" s="39">
        <f>+Source!HR70</f>
        <v>0.22906403940886699</v>
      </c>
      <c r="AK370" s="39">
        <f>+Source!HS70</f>
        <v>0.1989100817438692</v>
      </c>
      <c r="AL370" s="39">
        <f>+Source!HT70</f>
        <v>0.37537537537537535</v>
      </c>
      <c r="AM370" s="39">
        <f>+Source!HU70</f>
        <v>0.23248407643312102</v>
      </c>
      <c r="AN370" s="39">
        <f>+Source!HV70</f>
        <v>0.30617283950617286</v>
      </c>
      <c r="AO370" s="39">
        <f>+Source!HW70</f>
        <v>0.30794701986754969</v>
      </c>
      <c r="AP370" s="39">
        <f>+Source!HX70</f>
        <v>0.18382352941176472</v>
      </c>
      <c r="AQ370" s="39">
        <f>+Source!HY70</f>
        <v>0.19137931034482758</v>
      </c>
      <c r="AR370" s="39">
        <f>+Source!HZ70</f>
        <v>0.31578947368421051</v>
      </c>
      <c r="AS370" s="39">
        <f>+Source!IA70</f>
        <v>0.2709677419354839</v>
      </c>
      <c r="AT370" s="39">
        <f>VLOOKUP($B370,Source!$GM$65:IB$77,COLUMNS($GM:IB),FALSE)</f>
        <v>0.29491525423728815</v>
      </c>
      <c r="AU370" s="39">
        <f>VLOOKUP($B370,Source!$GM$65:IC$77,COLUMNS($GM:IC),FALSE)</f>
        <v>0.20106761565836298</v>
      </c>
    </row>
    <row r="371" spans="2:47">
      <c r="B371" s="28" t="s">
        <v>123</v>
      </c>
      <c r="C371" s="435"/>
      <c r="D371" s="47" t="s">
        <v>21</v>
      </c>
      <c r="E371" s="47"/>
      <c r="F371" s="39">
        <f>+Source!GN71</f>
        <v>0.60359116022099446</v>
      </c>
      <c r="G371" s="39">
        <f>+Source!GO71</f>
        <v>0.44128113879003561</v>
      </c>
      <c r="H371" s="39">
        <f>+Source!GP71</f>
        <v>0.37083333333333335</v>
      </c>
      <c r="I371" s="39">
        <f>+Source!GQ71</f>
        <v>0.38657407407407407</v>
      </c>
      <c r="J371" s="39">
        <f>+Source!GR71</f>
        <v>0.33196721311475408</v>
      </c>
      <c r="K371" s="39">
        <f>+Source!GS71</f>
        <v>0.30701754385964913</v>
      </c>
      <c r="L371" s="39">
        <f>+Source!GT71</f>
        <v>0.36326530612244901</v>
      </c>
      <c r="M371" s="39">
        <f>+Source!GU71</f>
        <v>0.5625</v>
      </c>
      <c r="N371" s="456">
        <f>+Source!GV71</f>
        <v>0.34756097560975607</v>
      </c>
      <c r="O371" s="456">
        <f>+Source!GW71</f>
        <v>0.31751824817518248</v>
      </c>
      <c r="P371" s="456">
        <f>+Source!GX71</f>
        <v>0.19572953736654805</v>
      </c>
      <c r="Q371" s="456">
        <f>+Source!GY71</f>
        <v>0.34567901234567899</v>
      </c>
      <c r="R371" s="456">
        <f>+Source!GZ71</f>
        <v>0.33333333333333331</v>
      </c>
      <c r="S371" s="456">
        <f>+Source!HA71</f>
        <v>0.31868131868131866</v>
      </c>
      <c r="T371" s="456">
        <f>+Source!HB71</f>
        <v>0.4</v>
      </c>
      <c r="U371" s="39">
        <f>+Source!HC71</f>
        <v>0.28409090909090912</v>
      </c>
      <c r="V371" s="39">
        <f>+Source!HD71</f>
        <v>0.27058823529411763</v>
      </c>
      <c r="W371" s="39">
        <f>+Source!HE71</f>
        <v>0.26666666666666666</v>
      </c>
      <c r="X371" s="39">
        <f>+Source!HF71</f>
        <v>0.32592592592592595</v>
      </c>
      <c r="Y371" s="39">
        <f>+Source!HG71</f>
        <v>0.23853211009174313</v>
      </c>
      <c r="Z371" s="39">
        <f>+Source!HH71</f>
        <v>0.23275862068965517</v>
      </c>
      <c r="AA371" s="39">
        <f>+Source!HI71</f>
        <v>0.36363636363636365</v>
      </c>
      <c r="AB371" s="39">
        <f>+Source!HJ71</f>
        <v>0.25225225225225223</v>
      </c>
      <c r="AC371" s="39">
        <f>+Source!HK71</f>
        <v>0.36486486486486486</v>
      </c>
      <c r="AD371" s="39">
        <f>+Source!HL71</f>
        <v>0.16901408450704225</v>
      </c>
      <c r="AE371" s="39">
        <f>+Source!HM71</f>
        <v>0.16</v>
      </c>
      <c r="AF371" s="39">
        <f>+Source!HN71</f>
        <v>0.2578125</v>
      </c>
      <c r="AG371" s="39">
        <f>+Source!HO71</f>
        <v>0.32098765432098764</v>
      </c>
      <c r="AH371" s="39">
        <f>+Source!HP71</f>
        <v>0.24096385542168675</v>
      </c>
      <c r="AI371" s="39">
        <f>+Source!HQ71</f>
        <v>0.29591836734693877</v>
      </c>
      <c r="AJ371" s="39">
        <f>+Source!HR71</f>
        <v>0.21621621621621623</v>
      </c>
      <c r="AK371" s="39">
        <f>+Source!HS71</f>
        <v>0.14444444444444443</v>
      </c>
      <c r="AL371" s="39">
        <f>+Source!HT71</f>
        <v>0.19753086419753085</v>
      </c>
      <c r="AM371" s="39">
        <f>+Source!HU71</f>
        <v>0.19587628865979381</v>
      </c>
      <c r="AN371" s="39">
        <f>+Source!HV71</f>
        <v>0.28378378378378377</v>
      </c>
      <c r="AO371" s="39">
        <f>+Source!HW71</f>
        <v>0.14814814814814814</v>
      </c>
      <c r="AP371" s="39">
        <f>+Source!HX71</f>
        <v>0.17499999999999999</v>
      </c>
      <c r="AQ371" s="39">
        <f>+Source!HY71</f>
        <v>0.16821310984735111</v>
      </c>
      <c r="AR371" s="39">
        <f>+Source!HZ71</f>
        <v>0.17156374501992031</v>
      </c>
      <c r="AS371" s="39">
        <f>+Source!IA71</f>
        <v>0.18493701420530689</v>
      </c>
      <c r="AT371" s="39">
        <f>VLOOKUP($B371,Source!$GM$65:IB$77,COLUMNS($GM:IB),FALSE)</f>
        <v>0.19688542825361513</v>
      </c>
      <c r="AU371" s="39">
        <f>VLOOKUP($B371,Source!$GM$65:IC$77,COLUMNS($GM:IC),FALSE)</f>
        <v>0.19071055059981545</v>
      </c>
    </row>
    <row r="372" spans="2:47">
      <c r="B372" s="28" t="s">
        <v>139</v>
      </c>
      <c r="C372" s="435"/>
      <c r="D372" s="47" t="s">
        <v>22</v>
      </c>
      <c r="E372" s="47"/>
      <c r="F372" s="39">
        <f>+Source!GN72</f>
        <v>0.27741935483870966</v>
      </c>
      <c r="G372" s="39">
        <f>+Source!GO72</f>
        <v>0.18235294117647058</v>
      </c>
      <c r="H372" s="39">
        <f>+Source!GP72</f>
        <v>0.24861878453038674</v>
      </c>
      <c r="I372" s="39">
        <f>+Source!GQ72</f>
        <v>0.12352941176470589</v>
      </c>
      <c r="J372" s="39">
        <f>+Source!GR72</f>
        <v>0.15686274509803921</v>
      </c>
      <c r="K372" s="39">
        <f>+Source!GS72</f>
        <v>0.15748031496062992</v>
      </c>
      <c r="L372" s="39">
        <f>+Source!GT72</f>
        <v>0.13084112149532709</v>
      </c>
      <c r="M372" s="39">
        <f>+Source!GU72</f>
        <v>8.9171974522292988E-2</v>
      </c>
      <c r="N372" s="456">
        <f>+Source!GV72</f>
        <v>0.12021857923497267</v>
      </c>
      <c r="O372" s="456">
        <f>+Source!GW72</f>
        <v>0.25968992248062017</v>
      </c>
      <c r="P372" s="456">
        <f>+Source!GX72</f>
        <v>0.17735849056603772</v>
      </c>
      <c r="Q372" s="456">
        <f>+Source!GY72</f>
        <v>0.31636363636363635</v>
      </c>
      <c r="R372" s="456">
        <f>+Source!GZ72</f>
        <v>0.17328519855595667</v>
      </c>
      <c r="S372" s="456">
        <f>+Source!HA72</f>
        <v>5.7268722466960353E-2</v>
      </c>
      <c r="T372" s="456">
        <f>+Source!HB72</f>
        <v>0.13229571984435798</v>
      </c>
      <c r="U372" s="39">
        <f>+Source!HC72</f>
        <v>0.17733990147783252</v>
      </c>
      <c r="V372" s="39">
        <f>+Source!HD72</f>
        <v>0.13461538461538461</v>
      </c>
      <c r="W372" s="39">
        <f>+Source!HE72</f>
        <v>0.24242424242424243</v>
      </c>
      <c r="X372" s="39">
        <f>+Source!HF72</f>
        <v>0.23134328358208955</v>
      </c>
      <c r="Y372" s="39">
        <f>+Source!HG72</f>
        <v>0.18435754189944134</v>
      </c>
      <c r="Z372" s="39">
        <f>+Source!HH72</f>
        <v>0.22264150943396227</v>
      </c>
      <c r="AA372" s="39">
        <f>+Source!HI72</f>
        <v>0.15238095238095239</v>
      </c>
      <c r="AB372" s="39">
        <f>+Source!HJ72</f>
        <v>4.3076923076923075E-2</v>
      </c>
      <c r="AC372" s="39">
        <f>+Source!HK72</f>
        <v>5.829596412556054E-2</v>
      </c>
      <c r="AD372" s="39">
        <f>+Source!HL72</f>
        <v>9.7165991902834009E-2</v>
      </c>
      <c r="AE372" s="39">
        <f>+Source!HM72</f>
        <v>0.17277486910994763</v>
      </c>
      <c r="AF372" s="39">
        <f>+Source!HN72</f>
        <v>0.21886792452830189</v>
      </c>
      <c r="AG372" s="39">
        <f>+Source!HO72</f>
        <v>0.22222222222222221</v>
      </c>
      <c r="AH372" s="39">
        <f>+Source!HP72</f>
        <v>0.29341317365269459</v>
      </c>
      <c r="AI372" s="39">
        <f>+Source!HQ72</f>
        <v>0.19313304721030042</v>
      </c>
      <c r="AJ372" s="39">
        <f>+Source!HR72</f>
        <v>0.17204301075268819</v>
      </c>
      <c r="AK372" s="39">
        <f>+Source!HS72</f>
        <v>0.29411764705882354</v>
      </c>
      <c r="AL372" s="39">
        <f>+Source!HT72</f>
        <v>0.32367149758454106</v>
      </c>
      <c r="AM372" s="39">
        <f>+Source!HU72</f>
        <v>0.14093959731543623</v>
      </c>
      <c r="AN372" s="39">
        <f>+Source!HV72</f>
        <v>0.19753086419753085</v>
      </c>
      <c r="AO372" s="39">
        <f>+Source!HW72</f>
        <v>0.16161616161616163</v>
      </c>
      <c r="AP372" s="39">
        <f>+Source!HX72</f>
        <v>0.16666666666666666</v>
      </c>
      <c r="AQ372" s="39">
        <f>+Source!HY72</f>
        <v>0.11682242990654206</v>
      </c>
      <c r="AR372" s="39">
        <f>+Source!HZ72</f>
        <v>0.18974358974358974</v>
      </c>
      <c r="AS372" s="39">
        <f>+Source!IA72</f>
        <v>0.13043478260869565</v>
      </c>
      <c r="AT372" s="39">
        <f>VLOOKUP($B372,Source!$GM$65:IB$77,COLUMNS($GM:IB),FALSE)</f>
        <v>0.25</v>
      </c>
      <c r="AU372" s="39">
        <f>VLOOKUP($B372,Source!$GM$65:IC$77,COLUMNS($GM:IC),FALSE)</f>
        <v>0.19827586206896552</v>
      </c>
    </row>
    <row r="373" spans="2:47">
      <c r="C373" s="435"/>
      <c r="D373" s="48" t="s">
        <v>62</v>
      </c>
      <c r="E373" s="48"/>
      <c r="F373" s="41">
        <f>SUM(Source!GN18:GN20,Source!GN23:GN24,Source!GN26:GN27)/SUM(Source!GN3:GN5,Source!GN8:GN9,Source!GN11:GN12)</f>
        <v>0.296875</v>
      </c>
      <c r="G373" s="41">
        <f>SUM(Source!GO18:GO20,Source!GO23:GO24,Source!GO26:GO27)/SUM(Source!GO3:GO5,Source!GO8:GO9,Source!GO11:GO12)</f>
        <v>0.26002719238613187</v>
      </c>
      <c r="H373" s="41">
        <f>SUM(Source!GP18:GP20,Source!GP23:GP24,Source!GP26:GP27)/SUM(Source!GP3:GP5,Source!GP8:GP9,Source!GP11:GP12)</f>
        <v>0.27281834372217273</v>
      </c>
      <c r="I373" s="41">
        <f>SUM(Source!GQ18:GQ20,Source!GQ23:GQ24,Source!GQ26:GQ27)/SUM(Source!GQ3:GQ5,Source!GQ8:GQ9,Source!GQ11:GQ12)</f>
        <v>0.26631908237747653</v>
      </c>
      <c r="J373" s="41">
        <f>SUM(Source!GR18:GR20,Source!GR23:GR24,Source!GR26:GR27)/SUM(Source!GR3:GR5,Source!GR8:GR9,Source!GR11:GR12)</f>
        <v>0.29242559968149695</v>
      </c>
      <c r="K373" s="41">
        <f>SUM(Source!GS18:GS20,Source!GS23:GS24,Source!GS26:GS27)/SUM(Source!GS3:GS5,Source!GS8:GS9,Source!GS11:GS12)</f>
        <v>0.28583162217659136</v>
      </c>
      <c r="L373" s="41">
        <f>SUM(Source!GT18:GT20,Source!GT23:GT24,Source!GT26:GT27)/SUM(Source!GT3:GT5,Source!GT8:GT9,Source!GT11:GT12)</f>
        <v>0.27390580399619407</v>
      </c>
      <c r="M373" s="41">
        <f>SUM(Source!GU18:GU20,Source!GU23:GU24,Source!GU26:GU27)/SUM(Source!GU3:GU5,Source!GU8:GU9,Source!GU11:GU12)</f>
        <v>0.28395249695493302</v>
      </c>
      <c r="N373" s="457">
        <f>SUM(Source!GV18:GV20,Source!GV23:GV24,Source!GV26:GV27)/SUM(Source!GV3:GV5,Source!GV8:GV9,Source!GV11:GV12)</f>
        <v>0.40104053761109909</v>
      </c>
      <c r="O373" s="457">
        <f>SUM(Source!GW18:GW20,Source!GW23:GW24,Source!GW26:GW27)/SUM(Source!GW3:GW5,Source!GW8:GW9,Source!GW11:GW12)</f>
        <v>0.35073573876234632</v>
      </c>
      <c r="P373" s="457">
        <f>SUM(Source!GX18:GX20,Source!GX23:GX24,Source!GX26:GX27)/SUM(Source!GX3:GX5,Source!GX8:GX9,Source!GX11:GX12)</f>
        <v>0.33107792813812414</v>
      </c>
      <c r="Q373" s="457">
        <f>SUM(Source!GY18:GY20,Source!GY23:GY24,Source!GY26:GY27)/SUM(Source!GY3:GY5,Source!GY8:GY9,Source!GY11:GY12)</f>
        <v>0.33067908653846156</v>
      </c>
      <c r="R373" s="457">
        <f>SUM(Source!GZ18:GZ20,Source!GZ23:GZ24,Source!GZ26:GZ27)/SUM(Source!GZ3:GZ5,Source!GZ8:GZ9,Source!GZ11:GZ12)</f>
        <v>0.24895006999533364</v>
      </c>
      <c r="S373" s="457">
        <f>SUM(Source!HA18:HA20,Source!HA23:HA24,Source!HA26:HA27)/SUM(Source!HA3:HA5,Source!HA8:HA9,Source!HA11:HA12)</f>
        <v>0.29301788805539525</v>
      </c>
      <c r="T373" s="457">
        <f>SUM(Source!HB18:HB20,Source!HB23:HB24,Source!HB26:HB27)/SUM(Source!HB3:HB5,Source!HB8:HB9,Source!HB11:HB12)</f>
        <v>0.28462566844919784</v>
      </c>
      <c r="U373" s="41">
        <f>SUM(Source!HC18:HC20,Source!HC23:HC24,Source!HC26:HC27)/SUM(Source!HC3:HC5,Source!HC8:HC9,Source!HC11:HC12)</f>
        <v>0.26730518067043968</v>
      </c>
      <c r="V373" s="41">
        <f>SUM(Source!HD18:HD20,Source!HD23:HD24,Source!HD26:HD27)/SUM(Source!HD3:HD5,Source!HD8:HD9,Source!HD11:HD12)</f>
        <v>0.2490515509930819</v>
      </c>
      <c r="W373" s="41">
        <f>SUM(Source!HE18:HE20,Source!HE23:HE24,Source!HE26:HE27)/SUM(Source!HE3:HE5,Source!HE8:HE9,Source!HE11:HE12)</f>
        <v>0.26925312409183377</v>
      </c>
      <c r="X373" s="41">
        <f>SUM(Source!HF18:HF20,Source!HF23:HF24,Source!HF26:HF27)/SUM(Source!HF3:HF5,Source!HF8:HF9,Source!HF11:HF12)</f>
        <v>0.23922775601566873</v>
      </c>
      <c r="Y373" s="41">
        <f>SUM(Source!HG18:HG20,Source!HG23:HG24,Source!HG26:HG27)/SUM(Source!HG3:HG5,Source!HG8:HG9,Source!HG11:HG12)</f>
        <v>0.21024173027989823</v>
      </c>
      <c r="Z373" s="41">
        <f>SUM(Source!HH18:HH20,Source!HH23:HH24,Source!HH26:HH27)/SUM(Source!HH3:HH5,Source!HH8:HH9,Source!HH11:HH12)</f>
        <v>0.19701280227596016</v>
      </c>
      <c r="AA373" s="41">
        <f>SUM(Source!HI18:HI20,Source!HI23:HI24,Source!HI26:HI27)/SUM(Source!HI3:HI5,Source!HI8:HI9,Source!HI11:HI12)</f>
        <v>0.1809993201903467</v>
      </c>
      <c r="AB373" s="41">
        <f>SUM(Source!HJ18:HJ20,Source!HJ23:HJ24,Source!HJ26:HJ27)/SUM(Source!HJ3:HJ5,Source!HJ8:HJ9,Source!HJ11:HJ12)</f>
        <v>0.21064220183486237</v>
      </c>
      <c r="AC373" s="41">
        <f>SUM(Source!HK18:HK20,Source!HK23:HK24,Source!HK26:HK27)/SUM(Source!HK3:HK5,Source!HK8:HK9,Source!HK11:HK12)</f>
        <v>0.19085444396736798</v>
      </c>
      <c r="AD373" s="41">
        <f>SUM(Source!HL18:HL20,Source!HL23:HL24,Source!HL26:HL27)/SUM(Source!HL3:HL5,Source!HL8:HL9,Source!HL11:HL12)</f>
        <v>0.20031923383878691</v>
      </c>
      <c r="AE373" s="41">
        <f>SUM(Source!HM18:HM20,Source!HM23:HM24,Source!HM26:HM27)/SUM(Source!HM3:HM5,Source!HM8:HM9,Source!HM11:HM12)</f>
        <v>0.26226072376694143</v>
      </c>
      <c r="AF373" s="41">
        <f>SUM(Source!HN18:HN20,Source!HN23:HN24,Source!HN26:HN27)/SUM(Source!HN3:HN5,Source!HN8:HN9,Source!HN11:HN12)</f>
        <v>0.27017399643786821</v>
      </c>
      <c r="AG373" s="41">
        <f>SUM(Source!HO18:HO20,Source!HO23:HO24,Source!HO26:HO27)/SUM(Source!HO3:HO5,Source!HO8:HO9,Source!HO11:HO12)</f>
        <v>0.37031723258409055</v>
      </c>
      <c r="AH373" s="41">
        <f>SUM(Source!HP18:HP20,Source!HP23:HP24,Source!HP26:HP27)/SUM(Source!HP3:HP5,Source!HP8:HP9,Source!HP11:HP12)</f>
        <v>0.27676020836834148</v>
      </c>
      <c r="AI373" s="41">
        <f>SUM(Source!HQ18:HQ20,Source!HQ23:HQ24,Source!HQ26:HQ27)/SUM(Source!HQ3:HQ5,Source!HQ8:HQ9,Source!HQ11:HQ12)</f>
        <v>0.27638391079251295</v>
      </c>
      <c r="AJ373" s="41">
        <f>SUM(Source!HR18:HR20,Source!HR23:HR24,Source!HR26:HR27)/SUM(Source!HR3:HR5,Source!HR8:HR9,Source!HR11:HR12)</f>
        <v>0.28448275862068967</v>
      </c>
      <c r="AK373" s="41">
        <f>SUM(Source!HS18:HS20,Source!HS23:HS24,Source!HS26:HS27)/SUM(Source!HS3:HS5,Source!HS8:HS9,Source!HS11:HS12)</f>
        <v>0.23913857677902622</v>
      </c>
      <c r="AL373" s="41">
        <f>SUM(Source!HT18:HT20,Source!HT23:HT24,Source!HT26:HT27)/SUM(Source!HT3:HT5,Source!HT8:HT9,Source!HT11:HT12)</f>
        <v>0.28402777777777777</v>
      </c>
      <c r="AM373" s="41">
        <f>SUM(Source!HU18:HU20,Source!HU23:HU24,Source!HU26:HU27)/SUM(Source!HU3:HU5,Source!HU8:HU9,Source!HU11:HU12)</f>
        <v>0.27743945616768162</v>
      </c>
      <c r="AN373" s="41">
        <f>SUM(Source!HV18:HV20,Source!HV23:HV24,Source!HV26:HV27)/SUM(Source!HV3:HV5,Source!HV8:HV9,Source!HV11:HV12)</f>
        <v>0.27027959958577841</v>
      </c>
      <c r="AO373" s="41">
        <f>SUM(Source!HW18:HW20,Source!HW23:HW24,Source!HW26:HW27)/SUM(Source!HW3:HW5,Source!HW8:HW9,Source!HW11:HW12)</f>
        <v>0.26097763048881523</v>
      </c>
      <c r="AP373" s="41">
        <f>SUM(Source!HX18:HX20,Source!HX23:HX24,Source!HX26:HX27)/SUM(Source!HX3:HX5,Source!HX8:HX9,Source!HX11:HX12)</f>
        <v>0.25327162464091924</v>
      </c>
      <c r="AQ373" s="41">
        <f>SUM(Source!HY18:HY20,Source!HY23:HY24,Source!HY26:HY27)/SUM(Source!HY3:HY5,Source!HY8:HY9,Source!HY11:HY12)</f>
        <v>0.2793233082706767</v>
      </c>
      <c r="AR373" s="41">
        <f>SUM(Source!HZ18:HZ20,Source!HZ23:HZ24,Source!HZ26:HZ27)/SUM(Source!HZ3:HZ5,Source!HZ8:HZ9,Source!HZ11:HZ12)</f>
        <v>0.30742884138419746</v>
      </c>
      <c r="AS373" s="41">
        <f>SUM(Source!IA18:IA20,Source!IA23:IA24,Source!IA26:IA27)/SUM(Source!IA3:IA5,Source!IA8:IA9,Source!IA11:IA12)</f>
        <v>0.25594762893182182</v>
      </c>
      <c r="AT373" s="41">
        <f>SUM(Source!IB18:IB20,Source!IB23:IB24,Source!IB26:IB27)/SUM(Source!IB3:IB5,Source!IB8:IB9,Source!IB11:IB12)</f>
        <v>0.25970588235294118</v>
      </c>
      <c r="AU373" s="41">
        <f>SUM(Source!IC18:IC20,Source!IC23:IC24,Source!IC26:IC27)/SUM(Source!IC3:IC5,Source!IC8:IC9,Source!IC11:IC12)</f>
        <v>0.28834173835657073</v>
      </c>
    </row>
    <row r="374" spans="2:47">
      <c r="B374" s="28" t="s">
        <v>138</v>
      </c>
      <c r="C374" s="435"/>
      <c r="D374" s="47" t="s">
        <v>15</v>
      </c>
      <c r="E374" s="47"/>
      <c r="F374" s="39">
        <f>+Source!GN74</f>
        <v>0.12081274025260846</v>
      </c>
      <c r="G374" s="39">
        <f>+Source!GO74</f>
        <v>0.12126461671719359</v>
      </c>
      <c r="H374" s="39">
        <f>+Source!GP74</f>
        <v>0.14058144165671047</v>
      </c>
      <c r="I374" s="39">
        <f>+Source!GQ74</f>
        <v>0.15104895104895105</v>
      </c>
      <c r="J374" s="39">
        <f>+Source!GR74</f>
        <v>0.1126885536823425</v>
      </c>
      <c r="K374" s="39">
        <f>+Source!GS74</f>
        <v>0.12434963579604578</v>
      </c>
      <c r="L374" s="39">
        <f>+Source!GT74</f>
        <v>0.15020511202272011</v>
      </c>
      <c r="M374" s="39">
        <f>+Source!GU74</f>
        <v>0.14925373134328357</v>
      </c>
      <c r="N374" s="456">
        <f>+Source!GV74</f>
        <v>0.12570821529745044</v>
      </c>
      <c r="O374" s="456">
        <f>+Source!GW74</f>
        <v>0.12525910571513177</v>
      </c>
      <c r="P374" s="456">
        <f>+Source!GX74</f>
        <v>0.20185614849187936</v>
      </c>
      <c r="Q374" s="456">
        <f>+Source!GY74</f>
        <v>0.1654312668463612</v>
      </c>
      <c r="R374" s="456">
        <f>+Source!GZ74</f>
        <v>8.4627329192546577E-2</v>
      </c>
      <c r="S374" s="456">
        <f>+Source!HA74</f>
        <v>9.1777550324121465E-2</v>
      </c>
      <c r="T374" s="456">
        <f>+Source!HB74</f>
        <v>0.11018518518518519</v>
      </c>
      <c r="U374" s="39">
        <f>+Source!HC74</f>
        <v>6.4413938753959871E-2</v>
      </c>
      <c r="V374" s="39">
        <f>+Source!HD74</f>
        <v>5.4858205485820551E-2</v>
      </c>
      <c r="W374" s="39">
        <f>+Source!HE74</f>
        <v>6.3806380638063806E-2</v>
      </c>
      <c r="X374" s="39">
        <f>+Source!HF74</f>
        <v>0.12330623306233063</v>
      </c>
      <c r="Y374" s="39">
        <f>+Source!HG74</f>
        <v>0.18029115341545351</v>
      </c>
      <c r="Z374" s="39">
        <f>+Source!HH74</f>
        <v>0.20214735283228433</v>
      </c>
      <c r="AA374" s="39">
        <f>+Source!HI74</f>
        <v>0.16690595836324479</v>
      </c>
      <c r="AB374" s="39">
        <f>+Source!HJ74</f>
        <v>0.18764637002341919</v>
      </c>
      <c r="AC374" s="39">
        <f>+Source!HK74</f>
        <v>0.22137681159420289</v>
      </c>
      <c r="AD374" s="39">
        <f>+Source!HL74</f>
        <v>0.16836301950805768</v>
      </c>
      <c r="AE374" s="39">
        <f>+Source!HM74</f>
        <v>0.18260869565217391</v>
      </c>
      <c r="AF374" s="39">
        <f>+Source!HN74</f>
        <v>0.13419674841554147</v>
      </c>
      <c r="AG374" s="39">
        <f>+Source!HO74</f>
        <v>0.22249388753056235</v>
      </c>
      <c r="AH374" s="39">
        <f>+Source!HP74</f>
        <v>0.17828685258964144</v>
      </c>
      <c r="AI374" s="39">
        <f>+Source!HQ74</f>
        <v>0.16108247422680413</v>
      </c>
      <c r="AJ374" s="39">
        <f>+Source!HR74</f>
        <v>0.15522875816993464</v>
      </c>
      <c r="AK374" s="39">
        <f>+Source!HS74</f>
        <v>0.17241379310344829</v>
      </c>
      <c r="AL374" s="39">
        <f>+Source!HT74</f>
        <v>0.3782322122697313</v>
      </c>
      <c r="AM374" s="39">
        <f>+Source!HU74</f>
        <v>0.29257200606366851</v>
      </c>
      <c r="AN374" s="39">
        <f>+Source!HV74</f>
        <v>0.27474842031359703</v>
      </c>
      <c r="AO374" s="39">
        <f>+Source!HW74</f>
        <v>0.19179133103183735</v>
      </c>
      <c r="AP374" s="39">
        <f>+Source!HX74</f>
        <v>0.18868613138686133</v>
      </c>
      <c r="AQ374" s="39">
        <f>+Source!HY74</f>
        <v>0.16821310984735111</v>
      </c>
      <c r="AR374" s="39">
        <f>+Source!HZ74</f>
        <v>0.17156374501992031</v>
      </c>
      <c r="AS374" s="39">
        <f>+Source!IA74</f>
        <v>0.18493701420530689</v>
      </c>
      <c r="AT374" s="39">
        <f>VLOOKUP($B374,Source!$GM$65:IB$77,COLUMNS($GM:IB),FALSE)</f>
        <v>0.19688542825361513</v>
      </c>
      <c r="AU374" s="39">
        <f>VLOOKUP($B374,Source!$GM$65:IC$77,COLUMNS($GM:IC),FALSE)</f>
        <v>0.19071055059981545</v>
      </c>
    </row>
    <row r="375" spans="2:47">
      <c r="B375" s="28" t="s">
        <v>132</v>
      </c>
      <c r="C375" s="435"/>
      <c r="D375" s="47" t="s">
        <v>16</v>
      </c>
      <c r="E375" s="47"/>
      <c r="F375" s="39">
        <f>+Source!GN75</f>
        <v>0.14828209764918626</v>
      </c>
      <c r="G375" s="39">
        <f>+Source!GO75</f>
        <v>0.15374592833876222</v>
      </c>
      <c r="H375" s="39">
        <f>+Source!GP75</f>
        <v>0.18106312292358803</v>
      </c>
      <c r="I375" s="39">
        <f>+Source!GQ75</f>
        <v>0.21268850754030161</v>
      </c>
      <c r="J375" s="39">
        <f>+Source!GR75</f>
        <v>0.27461415646620541</v>
      </c>
      <c r="K375" s="39">
        <f>+Source!GS75</f>
        <v>0.32512700273544354</v>
      </c>
      <c r="L375" s="39">
        <f>+Source!GT75</f>
        <v>0.21995926680244399</v>
      </c>
      <c r="M375" s="39">
        <f>+Source!GU75</f>
        <v>0.22152974504249293</v>
      </c>
      <c r="N375" s="456">
        <f>+Source!GV75</f>
        <v>0.23736372646184342</v>
      </c>
      <c r="O375" s="456">
        <f>+Source!GW75</f>
        <v>0.26156141223272006</v>
      </c>
      <c r="P375" s="456">
        <f>+Source!GX75</f>
        <v>0.33974025974025973</v>
      </c>
      <c r="Q375" s="456">
        <f>+Source!GY75</f>
        <v>0.41924157303370785</v>
      </c>
      <c r="R375" s="456">
        <f>+Source!GZ75</f>
        <v>0.28896103896103897</v>
      </c>
      <c r="S375" s="456">
        <f>+Source!HA75</f>
        <v>0.31100478468899523</v>
      </c>
      <c r="T375" s="456">
        <f>+Source!HB75</f>
        <v>0.3883248730964467</v>
      </c>
      <c r="U375" s="39">
        <f>+Source!HC75</f>
        <v>0.32212160413971541</v>
      </c>
      <c r="V375" s="39">
        <f>+Source!HD75</f>
        <v>0.34177215189873417</v>
      </c>
      <c r="W375" s="39">
        <f>+Source!HE75</f>
        <v>0.20124481327800831</v>
      </c>
      <c r="X375" s="39">
        <f>+Source!HF75</f>
        <v>0.15673693858845097</v>
      </c>
      <c r="Y375" s="39">
        <f>+Source!HG75</f>
        <v>0.14524555903866249</v>
      </c>
      <c r="Z375" s="39">
        <f>+Source!HH75</f>
        <v>0.28885135135135137</v>
      </c>
      <c r="AA375" s="39">
        <f>+Source!HI75</f>
        <v>0.232355273592387</v>
      </c>
      <c r="AB375" s="39">
        <f>+Source!HJ75</f>
        <v>0.20717488789237667</v>
      </c>
      <c r="AC375" s="39">
        <f>+Source!HK75</f>
        <v>0.21147356580427445</v>
      </c>
      <c r="AD375" s="39">
        <f>+Source!HL75</f>
        <v>0.1705685618729097</v>
      </c>
      <c r="AE375" s="39">
        <f>+Source!HM75</f>
        <v>0.19533762057877813</v>
      </c>
      <c r="AF375" s="39">
        <f>+Source!HN75</f>
        <v>0.11175337186897881</v>
      </c>
      <c r="AG375" s="39">
        <f>+Source!HO75</f>
        <v>0.23800623052959502</v>
      </c>
      <c r="AH375" s="39">
        <f>+Source!HP75</f>
        <v>6.6761363636363633E-2</v>
      </c>
      <c r="AI375" s="39">
        <f>+Source!HQ75</f>
        <v>0.1598248494800219</v>
      </c>
      <c r="AJ375" s="39">
        <f>+Source!HR75</f>
        <v>0.27974683544303797</v>
      </c>
      <c r="AK375" s="39">
        <f>+Source!HS75</f>
        <v>0.30705622932745313</v>
      </c>
      <c r="AL375" s="39">
        <f>+Source!HT75</f>
        <v>0.30816554809843399</v>
      </c>
      <c r="AM375" s="39">
        <f>+Source!HU75</f>
        <v>0.18048268625393493</v>
      </c>
      <c r="AN375" s="39">
        <f>+Source!HV75</f>
        <v>0.37658802177858441</v>
      </c>
      <c r="AO375" s="39">
        <f>+Source!HW75</f>
        <v>0.17118226600985223</v>
      </c>
      <c r="AP375" s="39">
        <f>+Source!HX75</f>
        <v>0.25395778364116095</v>
      </c>
      <c r="AQ375" s="39">
        <f>+Source!HY75</f>
        <v>0.11682242990654206</v>
      </c>
      <c r="AR375" s="39">
        <f>+Source!HZ75</f>
        <v>0.18974358974358974</v>
      </c>
      <c r="AS375" s="39">
        <f>+Source!IA75</f>
        <v>0.13043478260869565</v>
      </c>
      <c r="AT375" s="39">
        <f>VLOOKUP($B375,Source!$GM$65:IB$77,COLUMNS($GM:IB),FALSE)</f>
        <v>0.33423423423423421</v>
      </c>
      <c r="AU375" s="39">
        <f>VLOOKUP($B375,Source!$GM$65:IC$77,COLUMNS($GM:IC),FALSE)</f>
        <v>0.15724815724815724</v>
      </c>
    </row>
    <row r="376" spans="2:47">
      <c r="B376" s="28" t="s">
        <v>140</v>
      </c>
      <c r="C376" s="435"/>
      <c r="D376" s="47" t="s">
        <v>20</v>
      </c>
      <c r="E376" s="47"/>
      <c r="F376" s="39">
        <f>+Source!GN76</f>
        <v>0.19396551724137931</v>
      </c>
      <c r="G376" s="39">
        <f>+Source!GO76</f>
        <v>0.18695652173913044</v>
      </c>
      <c r="H376" s="39">
        <f>+Source!GP76</f>
        <v>0.23796033994334279</v>
      </c>
      <c r="I376" s="39">
        <f>+Source!GQ76</f>
        <v>0.16560509554140126</v>
      </c>
      <c r="J376" s="39">
        <f>+Source!GR76</f>
        <v>0.15104166666666666</v>
      </c>
      <c r="K376" s="39">
        <f>+Source!GS76</f>
        <v>0.15686274509803921</v>
      </c>
      <c r="L376" s="39">
        <f>+Source!GT76</f>
        <v>0.19047619047619047</v>
      </c>
      <c r="M376" s="39">
        <f>+Source!GU76</f>
        <v>0.19634703196347031</v>
      </c>
      <c r="N376" s="456">
        <f>+Source!GV76</f>
        <v>2.3323615160349854E-2</v>
      </c>
      <c r="O376" s="456">
        <f>+Source!GW76</f>
        <v>2.404207362885049E-2</v>
      </c>
      <c r="P376" s="456">
        <f>+Source!GX76</f>
        <v>4.9113233287858118E-2</v>
      </c>
      <c r="Q376" s="456">
        <f>+Source!GY76</f>
        <v>3.7924151696606789E-2</v>
      </c>
      <c r="R376" s="456">
        <f>+Source!GZ76</f>
        <v>7.6716016150740238E-2</v>
      </c>
      <c r="S376" s="456">
        <f>+Source!HA76</f>
        <v>8.5679314565483472E-2</v>
      </c>
      <c r="T376" s="456">
        <f>+Source!HB76</f>
        <v>7.4666666666666673E-2</v>
      </c>
      <c r="U376" s="39">
        <f>+Source!HC76</f>
        <v>1.556420233463035E-2</v>
      </c>
      <c r="V376" s="39">
        <f>+Source!HD76</f>
        <v>5.2391799544419138E-2</v>
      </c>
      <c r="W376" s="39">
        <f>+Source!HE76</f>
        <v>0.19858156028368795</v>
      </c>
      <c r="X376" s="39">
        <f>+Source!HF76</f>
        <v>0.2289156626506024</v>
      </c>
      <c r="Y376" s="39">
        <f>+Source!HG76</f>
        <v>0.18823529411764706</v>
      </c>
      <c r="Z376" s="39">
        <f>+Source!HH76</f>
        <v>0.16494845360824742</v>
      </c>
      <c r="AA376" s="39">
        <f>+Source!HI76</f>
        <v>0.34065934065934067</v>
      </c>
      <c r="AB376" s="39">
        <f>+Source!HJ76</f>
        <v>0.375</v>
      </c>
      <c r="AC376" s="39">
        <f>+Source!HK76</f>
        <v>0.18560606060606061</v>
      </c>
      <c r="AD376" s="39">
        <f>+Source!HL76</f>
        <v>0.1007905138339921</v>
      </c>
      <c r="AE376" s="39">
        <f>+Source!HM76</f>
        <v>0.14432989690721648</v>
      </c>
      <c r="AF376" s="39">
        <f>+Source!HN76</f>
        <v>0.21100917431192662</v>
      </c>
      <c r="AG376" s="39">
        <f>+Source!HO76</f>
        <v>0.4375</v>
      </c>
      <c r="AH376" s="39">
        <f>+Source!HP76</f>
        <v>0.20967741935483872</v>
      </c>
      <c r="AI376" s="39">
        <f>+Source!HQ76</f>
        <v>0.27659574468085107</v>
      </c>
      <c r="AJ376" s="39">
        <f>+Source!HR76</f>
        <v>0.20809248554913296</v>
      </c>
      <c r="AK376" s="39">
        <f>+Source!HS76</f>
        <v>0.14529914529914531</v>
      </c>
      <c r="AL376" s="39">
        <f>+Source!HT76</f>
        <v>0.23076923076923078</v>
      </c>
      <c r="AM376" s="39">
        <f>+Source!HU76</f>
        <v>0.1357142857142857</v>
      </c>
      <c r="AN376" s="39">
        <f>+Source!HV76</f>
        <v>0.21794871794871795</v>
      </c>
      <c r="AO376" s="39">
        <f>+Source!HW76</f>
        <v>0.23469387755102042</v>
      </c>
      <c r="AP376" s="39">
        <f>+Source!HX76</f>
        <v>0.1047008547008547</v>
      </c>
      <c r="AQ376" s="39">
        <f>+Source!HY76</f>
        <v>0.33734939759036142</v>
      </c>
      <c r="AR376" s="39">
        <f>+Source!HZ76</f>
        <v>0.33350383631713554</v>
      </c>
      <c r="AS376" s="39">
        <f>+Source!IA76</f>
        <v>0.37408906882591092</v>
      </c>
      <c r="AT376" s="39">
        <f>VLOOKUP($B376,Source!$GM$65:IB$77,COLUMNS($GM:IB),FALSE)</f>
        <v>0.33566433566433568</v>
      </c>
      <c r="AU376" s="39">
        <f>VLOOKUP($B376,Source!$GM$65:IC$77,COLUMNS($GM:IC),FALSE)</f>
        <v>6.258692628650904E-2</v>
      </c>
    </row>
    <row r="377" spans="2:47">
      <c r="B377" s="28" t="s">
        <v>135</v>
      </c>
      <c r="C377" s="435"/>
      <c r="D377" s="47" t="s">
        <v>23</v>
      </c>
      <c r="E377" s="47"/>
      <c r="F377" s="39">
        <f>+Source!GN77</f>
        <v>0.15503875968992248</v>
      </c>
      <c r="G377" s="39">
        <f>+Source!GO77</f>
        <v>0.21120689655172414</v>
      </c>
      <c r="H377" s="39">
        <f>+Source!GP77</f>
        <v>0.12871287128712872</v>
      </c>
      <c r="I377" s="39">
        <f>+Source!GQ77</f>
        <v>8.8815789473684209E-2</v>
      </c>
      <c r="J377" s="39">
        <f>+Source!GR77</f>
        <v>0.14077669902912621</v>
      </c>
      <c r="K377" s="39">
        <f>+Source!GS77</f>
        <v>0.18705035971223022</v>
      </c>
      <c r="L377" s="39">
        <f>+Source!GT77</f>
        <v>0.21234119782214156</v>
      </c>
      <c r="M377" s="39">
        <f>+Source!GU77</f>
        <v>0.26011560693641617</v>
      </c>
      <c r="N377" s="456">
        <f>+Source!GV77</f>
        <v>0.2732824427480916</v>
      </c>
      <c r="O377" s="456">
        <f>+Source!GW77</f>
        <v>0.27580645161290324</v>
      </c>
      <c r="P377" s="456">
        <f>+Source!GX77</f>
        <v>0.25851703406813625</v>
      </c>
      <c r="Q377" s="456">
        <f>+Source!GY77</f>
        <v>0.35728155339805823</v>
      </c>
      <c r="R377" s="456">
        <f>+Source!GZ77</f>
        <v>0.26902654867256637</v>
      </c>
      <c r="S377" s="456">
        <f>+Source!HA77</f>
        <v>0.27539503386004516</v>
      </c>
      <c r="T377" s="456">
        <f>+Source!HB77</f>
        <v>0.30097087378640774</v>
      </c>
      <c r="U377" s="39">
        <f>+Source!HC77</f>
        <v>0.34782608695652173</v>
      </c>
      <c r="V377" s="39">
        <f>+Source!HD77</f>
        <v>0.11904761904761904</v>
      </c>
      <c r="W377" s="39">
        <f>+Source!HE77</f>
        <v>0.22270742358078602</v>
      </c>
      <c r="X377" s="39">
        <f>+Source!HF77</f>
        <v>0.23495702005730659</v>
      </c>
      <c r="Y377" s="39">
        <f>+Source!HG77</f>
        <v>0.22615803814713897</v>
      </c>
      <c r="Z377" s="39">
        <f>+Source!HH77</f>
        <v>0.21370967741935484</v>
      </c>
      <c r="AA377" s="39">
        <f>+Source!HI77</f>
        <v>0.25068870523415976</v>
      </c>
      <c r="AB377" s="39">
        <f>+Source!HJ77</f>
        <v>0.28165374677002586</v>
      </c>
      <c r="AC377" s="39">
        <f>+Source!HK77</f>
        <v>0.25301204819277107</v>
      </c>
      <c r="AD377" s="39">
        <f>+Source!HL77</f>
        <v>0.22562674094707522</v>
      </c>
      <c r="AE377" s="39">
        <f>+Source!HM77</f>
        <v>0.28855721393034828</v>
      </c>
      <c r="AF377" s="39">
        <f>+Source!HN77</f>
        <v>0.27777777777777779</v>
      </c>
      <c r="AG377" s="39">
        <f>+Source!HO77</f>
        <v>0.20107238605898123</v>
      </c>
      <c r="AH377" s="39">
        <f>+Source!HP77</f>
        <v>0.19363395225464192</v>
      </c>
      <c r="AI377" s="39">
        <f>+Source!HQ77</f>
        <v>0.20982142857142858</v>
      </c>
      <c r="AJ377" s="39">
        <f>+Source!HR77</f>
        <v>0.23300970873786409</v>
      </c>
      <c r="AK377" s="39">
        <f>+Source!HS77</f>
        <v>0.18103448275862069</v>
      </c>
      <c r="AL377" s="39">
        <f>+Source!HT77</f>
        <v>0.18438177874186551</v>
      </c>
      <c r="AM377" s="39">
        <f>+Source!HU77</f>
        <v>0.16863905325443787</v>
      </c>
      <c r="AN377" s="39">
        <f>+Source!HV77</f>
        <v>0.15751789976133651</v>
      </c>
      <c r="AO377" s="39">
        <f>+Source!HW77</f>
        <v>0.13527851458885942</v>
      </c>
      <c r="AP377" s="39">
        <f>+Source!HX77</f>
        <v>9.8130841121495324E-2</v>
      </c>
      <c r="AQ377" s="39">
        <f>+Source!HY77</f>
        <v>0.23529411764705882</v>
      </c>
      <c r="AR377" s="39">
        <f>+Source!HZ77</f>
        <v>0.17098445595854922</v>
      </c>
      <c r="AS377" s="39">
        <f>+Source!IA77</f>
        <v>0.14925373134328357</v>
      </c>
      <c r="AT377" s="39">
        <f>VLOOKUP($B377,Source!$GM$65:IB$77,COLUMNS($GM:IB),FALSE)</f>
        <v>0.13874345549738221</v>
      </c>
      <c r="AU377" s="39">
        <f>VLOOKUP($B377,Source!$GM$65:IC$77,COLUMNS($GM:IC),FALSE)</f>
        <v>7.6433121019108277E-2</v>
      </c>
    </row>
    <row r="378" spans="2:47" ht="14.4" thickBot="1">
      <c r="C378" s="436"/>
      <c r="D378" s="49" t="s">
        <v>63</v>
      </c>
      <c r="E378" s="49"/>
      <c r="F378" s="43">
        <f>SUM(Source!GN21:GN22,Source!GN25,Source!GN28)/SUM(Source!GN6:GN7,Source!GN10,Source!GN13)</f>
        <v>0.13879093198992443</v>
      </c>
      <c r="G378" s="43">
        <f>SUM(Source!GO21:GO22,Source!GO25,Source!GO28)/SUM(Source!GO6:GO7,Source!GO10,Source!GO13)</f>
        <v>0.14119832791453785</v>
      </c>
      <c r="H378" s="43">
        <f>SUM(Source!GP21:GP22,Source!GP25,Source!GP28)/SUM(Source!GP6:GP7,Source!GP10,Source!GP13)</f>
        <v>0.1614719485220189</v>
      </c>
      <c r="I378" s="43">
        <f>SUM(Source!GQ21:GQ22,Source!GQ25,Source!GQ28)/SUM(Source!GQ6:GQ7,Source!GQ10,Source!GQ13)</f>
        <v>0.17033882614330678</v>
      </c>
      <c r="J378" s="43">
        <f>SUM(Source!GR21:GR22,Source!GR25,Source!GR28)/SUM(Source!GR6:GR7,Source!GR10,Source!GR13)</f>
        <v>0.18091619168249948</v>
      </c>
      <c r="K378" s="43">
        <f>SUM(Source!GS21:GS22,Source!GS25,Source!GS28)/SUM(Source!GS6:GS7,Source!GS10,Source!GS13)</f>
        <v>0.23223124133834885</v>
      </c>
      <c r="L378" s="43">
        <f>SUM(Source!GT21:GT22,Source!GT25,Source!GT28)/SUM(Source!GT6:GT7,Source!GT10,Source!GT13)</f>
        <v>0.18065724501958114</v>
      </c>
      <c r="M378" s="43">
        <f>SUM(Source!GU21:GU22,Source!GU25,Source!GU28)/SUM(Source!GU6:GU7,Source!GU10,Source!GU13)</f>
        <v>0.1848655824759376</v>
      </c>
      <c r="N378" s="458">
        <f>SUM(Source!GV21:GV22,Source!GV25,Source!GV28)/SUM(Source!GV6:GV7,Source!GV10,Source!GV13)</f>
        <v>0.1521327704178192</v>
      </c>
      <c r="O378" s="458">
        <f>SUM(Source!GW21:GW22,Source!GW25,Source!GW28)/SUM(Source!GW6:GW7,Source!GW10,Source!GW13)</f>
        <v>0.15696961438888132</v>
      </c>
      <c r="P378" s="458">
        <f>SUM(Source!GX21:GX22,Source!GX25,Source!GX28)/SUM(Source!GX6:GX7,Source!GX10,Source!GX13)</f>
        <v>0.22937168811506434</v>
      </c>
      <c r="Q378" s="458">
        <f>SUM(Source!GY21:GY22,Source!GY25,Source!GY28)/SUM(Source!GY6:GY7,Source!GY10,Source!GY13)</f>
        <v>0.22169571839566762</v>
      </c>
      <c r="R378" s="458">
        <f>SUM(Source!GZ21:GZ22,Source!GZ25,Source!GZ28)/SUM(Source!GZ6:GZ7,Source!GZ10,Source!GZ13)</f>
        <v>0.1676552686671319</v>
      </c>
      <c r="S378" s="458">
        <f>SUM(Source!HA21:HA22,Source!HA25,Source!HA28)/SUM(Source!HA6:HA7,Source!HA10,Source!HA13)</f>
        <v>0.16732048439365513</v>
      </c>
      <c r="T378" s="458">
        <f>SUM(Source!HB21:HB22,Source!HB25,Source!HB28)/SUM(Source!HB6:HB7,Source!HB10,Source!HB13)</f>
        <v>0.21504581732190364</v>
      </c>
      <c r="U378" s="43">
        <f>SUM(Source!HC21:HC22,Source!HC25,Source!HC28)/SUM(Source!HC6:HC7,Source!HC10,Source!HC13)</f>
        <v>0.14443952148870182</v>
      </c>
      <c r="V378" s="43">
        <f>SUM(Source!HD21:HD22,Source!HD25,Source!HD28)/SUM(Source!HD6:HD7,Source!HD10,Source!HD13)</f>
        <v>0.1311430149088901</v>
      </c>
      <c r="W378" s="43">
        <f>SUM(Source!HE21:HE22,Source!HE25,Source!HE28)/SUM(Source!HE6:HE7,Source!HE10,Source!HE13)</f>
        <v>0.12958648806057077</v>
      </c>
      <c r="X378" s="43">
        <f>SUM(Source!HF21:HF22,Source!HF25,Source!HF28)/SUM(Source!HF6:HF7,Source!HF10,Source!HF13)</f>
        <v>0.15545023696682464</v>
      </c>
      <c r="Y378" s="43">
        <f>SUM(Source!HG21:HG22,Source!HG25,Source!HG28)/SUM(Source!HG6:HG7,Source!HG10,Source!HG13)</f>
        <v>0.17560975609756097</v>
      </c>
      <c r="Z378" s="43">
        <f>SUM(Source!HH21:HH22,Source!HH25,Source!HH28)/SUM(Source!HH6:HH7,Source!HH10,Source!HH13)</f>
        <v>0.22426229508196721</v>
      </c>
      <c r="AA378" s="43">
        <f>SUM(Source!HI21:HI22,Source!HI25,Source!HI28)/SUM(Source!HI6:HI7,Source!HI10,Source!HI13)</f>
        <v>0.19838850174216027</v>
      </c>
      <c r="AB378" s="43">
        <f>SUM(Source!HJ21:HJ22,Source!HJ25,Source!HJ28)/SUM(Source!HJ6:HJ7,Source!HJ10,Source!HJ13)</f>
        <v>0.20659383534920014</v>
      </c>
      <c r="AC378" s="43">
        <f>SUM(Source!HK21:HK22,Source!HK25,Source!HK28)/SUM(Source!HK6:HK7,Source!HK10,Source!HK13)</f>
        <v>0.21888515136953388</v>
      </c>
      <c r="AD378" s="43">
        <f>SUM(Source!HL21:HL22,Source!HL25,Source!HL28)/SUM(Source!HL6:HL7,Source!HL10,Source!HL13)</f>
        <v>0.16587463226974428</v>
      </c>
      <c r="AE378" s="43">
        <f>SUM(Source!HM21:HM22,Source!HM25,Source!HM28)/SUM(Source!HM6:HM7,Source!HM10,Source!HM13)</f>
        <v>0.19246376811594204</v>
      </c>
      <c r="AF378" s="43">
        <f>SUM(Source!HN21:HN22,Source!HN25,Source!HN28)/SUM(Source!HN6:HN7,Source!HN10,Source!HN13)</f>
        <v>0.14038763750654792</v>
      </c>
      <c r="AG378" s="43">
        <f>SUM(Source!HO21:HO22,Source!HO25,Source!HO28)/SUM(Source!HO6:HO7,Source!HO10,Source!HO13)</f>
        <v>0.22889305816135083</v>
      </c>
      <c r="AH378" s="43">
        <f>SUM(Source!HP21:HP22,Source!HP25,Source!HP28)/SUM(Source!HP6:HP7,Source!HP10,Source!HP13)</f>
        <v>0.14834383255435887</v>
      </c>
      <c r="AI378" s="43">
        <f>SUM(Source!HQ21:HQ22,Source!HQ25,Source!HQ28)/SUM(Source!HQ6:HQ7,Source!HQ10,Source!HQ13)</f>
        <v>0.16677255400254129</v>
      </c>
      <c r="AJ378" s="43">
        <f>SUM(Source!HR21:HR22,Source!HR25,Source!HR28)/SUM(Source!HR6:HR7,Source!HR10,Source!HR13)</f>
        <v>0.2013888888888889</v>
      </c>
      <c r="AK378" s="43">
        <f>SUM(Source!HS21:HS22,Source!HS25,Source!HS28)/SUM(Source!HS6:HS7,Source!HS10,Source!HS13)</f>
        <v>0.21331997996995494</v>
      </c>
      <c r="AL378" s="43">
        <f>SUM(Source!HT21:HT22,Source!HT25,Source!HT28)/SUM(Source!HT6:HT7,Source!HT10,Source!HT13)</f>
        <v>0.34949010197960406</v>
      </c>
      <c r="AM378" s="43">
        <f>SUM(Source!HU21:HU22,Source!HU25,Source!HU28)/SUM(Source!HU6:HU7,Source!HU10,Source!HU13)</f>
        <v>0.24881740775780511</v>
      </c>
      <c r="AN378" s="43">
        <f>SUM(Source!HV21:HV22,Source!HV25,Source!HV28)/SUM(Source!HV6:HV7,Source!HV10,Source!HV13)</f>
        <v>0.29835507657402155</v>
      </c>
      <c r="AO378" s="43">
        <f>SUM(Source!HW21:HW22,Source!HW25,Source!HW28)/SUM(Source!HW6:HW7,Source!HW10,Source!HW13)</f>
        <v>0.18104547386315342</v>
      </c>
      <c r="AP378" s="43">
        <f>SUM(Source!HX21:HX22,Source!HX25,Source!HX28)/SUM(Source!HX6:HX7,Source!HX10,Source!HX13)</f>
        <v>0.19274068322981366</v>
      </c>
      <c r="AQ378" s="43">
        <f>SUM(Source!HY21:HY22,Source!HY25,Source!HY28)/SUM(Source!HY6:HY7,Source!HY10,Source!HY13)</f>
        <v>0.18918420081210779</v>
      </c>
      <c r="AR378" s="43">
        <f>SUM(Source!HZ21:HZ22,Source!HZ25,Source!HZ28)/SUM(Source!HZ6:HZ7,Source!HZ10,Source!HZ13)</f>
        <v>0.18682978402054071</v>
      </c>
      <c r="AS378" s="43">
        <f>SUM(Source!IA21:IA22,Source!IA25,Source!IA28)/SUM(Source!IA6:IA7,Source!IA10,Source!IA13)</f>
        <v>0.20252764612954186</v>
      </c>
      <c r="AT378" s="43">
        <f>SUM(Source!IB21:IB22,Source!IB25,Source!IB28)/SUM(Source!IB6:IB7,Source!IB10,Source!IB13)</f>
        <v>0.17404129793510326</v>
      </c>
      <c r="AU378" s="43">
        <f>SUM(Source!IC21:IC22,Source!IC25,Source!IC28)/SUM(Source!IC6:IC7,Source!IC10,Source!IC13)</f>
        <v>0.14247431889236267</v>
      </c>
    </row>
    <row r="379" spans="2:47" ht="14.4" thickTop="1">
      <c r="C379" s="252"/>
      <c r="I379" s="28"/>
      <c r="J379" s="28"/>
      <c r="W379" s="51"/>
      <c r="X379" s="51"/>
      <c r="Y379" s="51"/>
      <c r="AU379" s="67"/>
    </row>
    <row r="380" spans="2:47" ht="16.2" hidden="1" customHeight="1" outlineLevel="1">
      <c r="C380" s="252"/>
      <c r="I380" s="28"/>
      <c r="J380" s="28"/>
      <c r="W380" s="51"/>
      <c r="X380" s="51"/>
      <c r="Y380" s="51"/>
      <c r="AU380" s="67"/>
    </row>
    <row r="381" spans="2:47" hidden="1" outlineLevel="1">
      <c r="C381" s="252"/>
      <c r="I381" s="28"/>
      <c r="J381" s="28"/>
      <c r="W381" s="51"/>
      <c r="X381" s="51"/>
      <c r="Y381" s="51"/>
      <c r="AU381" s="67"/>
    </row>
    <row r="382" spans="2:47" hidden="1" outlineLevel="1">
      <c r="C382" s="252"/>
      <c r="I382" s="28"/>
      <c r="J382" s="28"/>
      <c r="W382" s="51"/>
      <c r="X382" s="51"/>
      <c r="Y382" s="51"/>
      <c r="AU382" s="67"/>
    </row>
    <row r="383" spans="2:47" hidden="1" outlineLevel="1">
      <c r="C383" s="252"/>
      <c r="I383" s="28"/>
      <c r="J383" s="28"/>
      <c r="W383" s="51"/>
      <c r="X383" s="51"/>
      <c r="Y383" s="51"/>
      <c r="AU383" s="67"/>
    </row>
    <row r="384" spans="2:47" hidden="1" outlineLevel="1">
      <c r="C384" s="252"/>
      <c r="I384" s="28"/>
      <c r="J384" s="28"/>
      <c r="W384" s="51"/>
      <c r="X384" s="51"/>
      <c r="Y384" s="51"/>
      <c r="AU384" s="67"/>
    </row>
    <row r="385" spans="3:47" hidden="1" outlineLevel="1">
      <c r="C385" s="252"/>
      <c r="I385" s="28"/>
      <c r="J385" s="28"/>
      <c r="W385" s="51"/>
      <c r="X385" s="51"/>
      <c r="Y385" s="51"/>
      <c r="AU385" s="67"/>
    </row>
    <row r="386" spans="3:47" hidden="1" outlineLevel="1">
      <c r="C386" s="252"/>
      <c r="I386" s="28"/>
      <c r="J386" s="28"/>
      <c r="W386" s="51"/>
      <c r="X386" s="51"/>
      <c r="Y386" s="51"/>
      <c r="AU386" s="67"/>
    </row>
    <row r="387" spans="3:47" hidden="1" outlineLevel="1">
      <c r="C387" s="252"/>
      <c r="I387" s="28"/>
      <c r="J387" s="28"/>
      <c r="W387" s="51"/>
      <c r="X387" s="51"/>
      <c r="Y387" s="51"/>
      <c r="AU387" s="67"/>
    </row>
    <row r="388" spans="3:47" hidden="1" outlineLevel="1">
      <c r="C388" s="252"/>
      <c r="I388" s="28"/>
      <c r="J388" s="28"/>
      <c r="W388" s="51"/>
      <c r="X388" s="51"/>
      <c r="Y388" s="51"/>
      <c r="AU388" s="67"/>
    </row>
    <row r="389" spans="3:47" hidden="1" outlineLevel="1">
      <c r="C389" s="252"/>
      <c r="I389" s="28"/>
      <c r="J389" s="28"/>
      <c r="W389" s="51"/>
      <c r="X389" s="51"/>
      <c r="Y389" s="51"/>
      <c r="AU389" s="67"/>
    </row>
    <row r="390" spans="3:47" hidden="1" outlineLevel="1">
      <c r="C390" s="252"/>
      <c r="I390" s="28"/>
      <c r="J390" s="28"/>
      <c r="W390" s="51"/>
      <c r="X390" s="51"/>
      <c r="Y390" s="51"/>
      <c r="AU390" s="67"/>
    </row>
    <row r="391" spans="3:47" hidden="1" outlineLevel="1">
      <c r="C391" s="252"/>
      <c r="I391" s="28"/>
      <c r="J391" s="28"/>
      <c r="W391" s="51"/>
      <c r="X391" s="51"/>
      <c r="Y391" s="51"/>
      <c r="AU391" s="67"/>
    </row>
    <row r="392" spans="3:47" hidden="1" outlineLevel="1">
      <c r="C392" s="252"/>
      <c r="I392" s="28"/>
      <c r="J392" s="28"/>
      <c r="W392" s="51"/>
      <c r="X392" s="51"/>
      <c r="Y392" s="51"/>
      <c r="AU392" s="67"/>
    </row>
    <row r="393" spans="3:47" hidden="1" outlineLevel="1">
      <c r="C393" s="252"/>
      <c r="I393" s="28"/>
      <c r="J393" s="28"/>
      <c r="W393" s="51"/>
      <c r="X393" s="51"/>
      <c r="Y393" s="51"/>
      <c r="AU393" s="67"/>
    </row>
    <row r="394" spans="3:47" hidden="1" outlineLevel="1">
      <c r="C394" s="252"/>
      <c r="I394" s="28"/>
      <c r="J394" s="28"/>
      <c r="W394" s="51"/>
      <c r="X394" s="51"/>
      <c r="Y394" s="51"/>
      <c r="AU394" s="67"/>
    </row>
    <row r="395" spans="3:47" hidden="1" outlineLevel="1">
      <c r="C395" s="252"/>
      <c r="I395" s="28"/>
      <c r="J395" s="28"/>
      <c r="W395" s="51"/>
      <c r="X395" s="51"/>
      <c r="Y395" s="51"/>
      <c r="AU395" s="67"/>
    </row>
    <row r="396" spans="3:47" hidden="1" outlineLevel="1">
      <c r="C396" s="252"/>
      <c r="I396" s="28"/>
      <c r="J396" s="28"/>
      <c r="W396" s="51"/>
      <c r="X396" s="51"/>
      <c r="Y396" s="51"/>
      <c r="AU396" s="67"/>
    </row>
    <row r="397" spans="3:47" hidden="1" outlineLevel="1">
      <c r="C397" s="252"/>
      <c r="I397" s="28"/>
      <c r="J397" s="28"/>
      <c r="W397" s="51"/>
      <c r="X397" s="51"/>
      <c r="Y397" s="51"/>
      <c r="AU397" s="67"/>
    </row>
    <row r="398" spans="3:47" hidden="1" outlineLevel="1">
      <c r="C398" s="252"/>
      <c r="I398" s="28"/>
      <c r="J398" s="28"/>
      <c r="W398" s="51"/>
      <c r="X398" s="51"/>
      <c r="Y398" s="51"/>
      <c r="AU398" s="67"/>
    </row>
    <row r="399" spans="3:47" hidden="1" outlineLevel="1">
      <c r="C399" s="252"/>
      <c r="I399" s="28"/>
      <c r="J399" s="28"/>
      <c r="W399" s="51"/>
      <c r="X399" s="51"/>
      <c r="Y399" s="51"/>
      <c r="AU399" s="67"/>
    </row>
    <row r="400" spans="3:47" hidden="1">
      <c r="C400" s="252"/>
      <c r="F400" s="67" t="s">
        <v>151</v>
      </c>
      <c r="G400" s="67" t="s">
        <v>185</v>
      </c>
      <c r="H400" s="67" t="s">
        <v>185</v>
      </c>
      <c r="I400" s="67" t="s">
        <v>185</v>
      </c>
      <c r="J400" s="67" t="s">
        <v>185</v>
      </c>
      <c r="K400" s="67" t="s">
        <v>185</v>
      </c>
      <c r="L400" s="67" t="s">
        <v>184</v>
      </c>
      <c r="M400" s="67" t="s">
        <v>185</v>
      </c>
      <c r="N400" s="454" t="s">
        <v>185</v>
      </c>
      <c r="O400" s="454" t="s">
        <v>186</v>
      </c>
      <c r="P400" s="454" t="s">
        <v>189</v>
      </c>
      <c r="Q400" s="454" t="s">
        <v>190</v>
      </c>
      <c r="R400" s="454" t="s">
        <v>191</v>
      </c>
      <c r="S400" s="454" t="s">
        <v>192</v>
      </c>
      <c r="T400" s="454" t="s">
        <v>213</v>
      </c>
      <c r="U400" s="67" t="s">
        <v>213</v>
      </c>
      <c r="V400" s="67" t="s">
        <v>213</v>
      </c>
      <c r="W400" s="67" t="s">
        <v>213</v>
      </c>
      <c r="X400" s="67" t="s">
        <v>213</v>
      </c>
      <c r="Y400" s="67" t="s">
        <v>213</v>
      </c>
      <c r="Z400" s="67" t="s">
        <v>213</v>
      </c>
      <c r="AA400" s="67" t="s">
        <v>214</v>
      </c>
      <c r="AB400" s="67" t="s">
        <v>242</v>
      </c>
      <c r="AC400" s="67" t="s">
        <v>243</v>
      </c>
      <c r="AD400" s="67" t="s">
        <v>244</v>
      </c>
      <c r="AU400" s="67"/>
    </row>
    <row r="401" spans="3:47" ht="14.4" hidden="1" thickTop="1">
      <c r="C401" s="463" t="s">
        <v>154</v>
      </c>
      <c r="D401" s="45" t="s">
        <v>64</v>
      </c>
      <c r="E401" s="45"/>
      <c r="F401" s="37">
        <f>SUM(Source!GN32:GN42)/SUM(Source!GN3:GN13)</f>
        <v>1.0257219504497397E-2</v>
      </c>
      <c r="G401" s="37">
        <f>SUM(Source!GO32:GO42)/SUM(Source!GO3:GO13)</f>
        <v>2.1931160523911059E-2</v>
      </c>
      <c r="H401" s="37">
        <f>SUM(Source!GP32:GP42)/SUM(Source!GP3:GP13)</f>
        <v>9.7442143727161992E-3</v>
      </c>
      <c r="I401" s="37">
        <f>SUM(Source!GQ32:GQ42)/SUM(Source!GQ3:GQ13)</f>
        <v>7.9380961910479626E-3</v>
      </c>
      <c r="J401" s="37">
        <f>SUM(Source!GR32:GR42)/SUM(Source!GR3:GR13)</f>
        <v>8.3874458874458879E-3</v>
      </c>
      <c r="K401" s="37">
        <f>SUM(Source!GS32:GS42)/SUM(Source!GS3:GS13)</f>
        <v>2.1204273227581741E-2</v>
      </c>
      <c r="L401" s="37">
        <f>SUM(Source!GT32:GT42)/SUM(Source!GT3:GT13)</f>
        <v>2.2547440655416286E-2</v>
      </c>
      <c r="M401" s="37">
        <f>SUM(Source!GU32:GU42)/SUM(Source!GU3:GU13)</f>
        <v>1.4768937589328252E-2</v>
      </c>
      <c r="N401" s="455">
        <f>SUM(Source!GV32:GV42)/SUM(Source!GV3:GV13)</f>
        <v>1.4290152221186705E-2</v>
      </c>
      <c r="O401" s="455">
        <f>SUM(Source!GW32:GW42)/SUM(Source!GW3:GW13)</f>
        <v>1.0428132784890794E-2</v>
      </c>
      <c r="P401" s="455">
        <f>SUM(Source!GX32:GX42)/SUM(Source!GX3:GX13)</f>
        <v>1.5220399288396916E-2</v>
      </c>
      <c r="Q401" s="455">
        <f>SUM(Source!GY32:GY42)/SUM(Source!GY3:GY13)</f>
        <v>2.0851571826502189E-2</v>
      </c>
      <c r="R401" s="455">
        <f>SUM(Source!GZ32:GZ42)/SUM(Source!GZ3:GZ13)</f>
        <v>1.0067114093959731E-2</v>
      </c>
      <c r="S401" s="455">
        <f>SUM(Source!HA32:HA42)/SUM(Source!HA3:HA13)</f>
        <v>1.4867841409691629E-2</v>
      </c>
      <c r="T401" s="455">
        <f>SUM(Source!HB32:HB42)/SUM(Source!HB3:HB13)</f>
        <v>2.2602835883756844E-2</v>
      </c>
      <c r="U401" s="37">
        <f>SUM(Source!HC32:HC42)/SUM(Source!HC3:HC13)</f>
        <v>1.2406675450153712E-2</v>
      </c>
      <c r="V401" s="37">
        <f>SUM(Source!HD32:HD42)/SUM(Source!HD3:HD13)</f>
        <v>1.9869184252745895E-2</v>
      </c>
      <c r="W401" s="37">
        <f>SUM(Source!HE32:HE42)/SUM(Source!HE3:HE13)</f>
        <v>1.8417991469561846E-2</v>
      </c>
      <c r="X401" s="37">
        <f>SUM(Source!HF32:HF42)/SUM(Source!HF3:HF13)</f>
        <v>1.493260932803258E-2</v>
      </c>
      <c r="Y401" s="37">
        <f>SUM(Source!HG32:HG42)/SUM(Source!HG3:HG13)</f>
        <v>2.1634615384615384E-2</v>
      </c>
      <c r="Z401" s="37">
        <f>SUM(Source!HH32:HH42)/SUM(Source!HH3:HH13)</f>
        <v>3.3864713485566564E-2</v>
      </c>
      <c r="AA401" s="37">
        <f>SUM(Source!HI32:HI42)/SUM(Source!HI3:HI13)</f>
        <v>1.4222985872470409E-2</v>
      </c>
      <c r="AB401" s="37">
        <f>SUM(Source!HJ32:HJ42)/SUM(Source!HJ3:HJ13)</f>
        <v>2.3922087745839638E-2</v>
      </c>
      <c r="AC401" s="37">
        <f>SUM(Source!HK32:HK42)/SUM(Source!HK3:HK13)</f>
        <v>3.7981859410430842E-2</v>
      </c>
      <c r="AD401" s="37">
        <f>SUM(Source!HL32:HL42)/SUM(Source!HL3:HL13)</f>
        <v>2.1153126169973793E-2</v>
      </c>
      <c r="AU401" s="67"/>
    </row>
    <row r="402" spans="3:47" hidden="1">
      <c r="C402" s="435"/>
      <c r="D402" s="47" t="s">
        <v>13</v>
      </c>
      <c r="E402" s="47"/>
      <c r="F402" s="85">
        <f>+Source!GN82</f>
        <v>3.3333333333333335E-3</v>
      </c>
      <c r="G402" s="85">
        <f>+Source!GO82</f>
        <v>4.4303797468354432E-3</v>
      </c>
      <c r="H402" s="85">
        <f>+Source!GP82</f>
        <v>2.6497085320614732E-3</v>
      </c>
      <c r="I402" s="85">
        <f>+Source!GQ82</f>
        <v>3.3946251768033945E-3</v>
      </c>
      <c r="J402" s="85">
        <f>+Source!GR82</f>
        <v>3.8226299694189602E-3</v>
      </c>
      <c r="K402" s="85">
        <f>+Source!GS82</f>
        <v>3.9512676983865661E-3</v>
      </c>
      <c r="L402" s="85">
        <f>+Source!GT82</f>
        <v>1.4736221632773356E-3</v>
      </c>
      <c r="M402" s="85">
        <f>+Source!GU82</f>
        <v>4.2884990253411305E-3</v>
      </c>
      <c r="N402" s="396">
        <f>+Source!GV82</f>
        <v>1.7475328947368422E-2</v>
      </c>
      <c r="O402" s="396">
        <f>+Source!GW82</f>
        <v>8.8809946714031966E-3</v>
      </c>
      <c r="P402" s="396">
        <f>+Source!GX82</f>
        <v>6.4739884393063586E-3</v>
      </c>
      <c r="Q402" s="396">
        <f>+Source!GY82</f>
        <v>3.0529172320217096E-3</v>
      </c>
      <c r="R402" s="396">
        <f>+Source!GZ82</f>
        <v>3.2499999999999999E-3</v>
      </c>
      <c r="S402" s="396">
        <f>+Source!HA82</f>
        <v>3.2861476238624874E-3</v>
      </c>
      <c r="T402" s="396">
        <f>+Source!HB82</f>
        <v>1.2060559404670259E-2</v>
      </c>
      <c r="U402" s="85">
        <f>+Source!HC82</f>
        <v>2.8340080971659921E-3</v>
      </c>
      <c r="V402" s="85">
        <f>+Source!HD82</f>
        <v>2.8782894736842104E-3</v>
      </c>
      <c r="W402" s="85">
        <f>+Source!HE82</f>
        <v>5.1432770022042619E-3</v>
      </c>
      <c r="X402" s="85">
        <f>+Source!HF82</f>
        <v>3.1317754757889667E-3</v>
      </c>
      <c r="Y402" s="85">
        <f>+Source!HG82</f>
        <v>3.290457672749028E-3</v>
      </c>
      <c r="Z402" s="85">
        <f>+Source!HH82</f>
        <v>3.9886039886039889E-3</v>
      </c>
      <c r="AA402" s="85">
        <f>+Source!HI82</f>
        <v>3.9987696093509691E-3</v>
      </c>
      <c r="AB402" s="85">
        <f>+Source!HJ82</f>
        <v>1.5214910612400153E-3</v>
      </c>
      <c r="AC402" s="85">
        <f>+Source!HK82</f>
        <v>1.0828821324448146E-2</v>
      </c>
      <c r="AD402" s="85">
        <f>+Source!HL82</f>
        <v>3.1618281115263006E-3</v>
      </c>
      <c r="AU402" s="67"/>
    </row>
    <row r="403" spans="3:47" hidden="1">
      <c r="C403" s="435"/>
      <c r="D403" s="47" t="s">
        <v>14</v>
      </c>
      <c r="E403" s="47"/>
      <c r="F403" s="85">
        <f>+Source!GN83</f>
        <v>1.4374700527072352E-3</v>
      </c>
      <c r="G403" s="85">
        <f>+Source!GO83</f>
        <v>2.3201856148491878E-3</v>
      </c>
      <c r="H403" s="85">
        <f>+Source!GP83</f>
        <v>3.9666798889329627E-3</v>
      </c>
      <c r="I403" s="85">
        <f>+Source!GQ83</f>
        <v>2.881844380403458E-3</v>
      </c>
      <c r="J403" s="85">
        <f>+Source!GR83</f>
        <v>3.4261241970021412E-3</v>
      </c>
      <c r="K403" s="85">
        <f>+Source!GS83</f>
        <v>2.0964360587002098E-3</v>
      </c>
      <c r="L403" s="85">
        <f>+Source!GT83</f>
        <v>1.3272311212814645E-2</v>
      </c>
      <c r="M403" s="85">
        <f>+Source!GU83</f>
        <v>1.5797032072762087E-2</v>
      </c>
      <c r="N403" s="396">
        <f>+Source!GV83</f>
        <v>6.9625761531766752E-3</v>
      </c>
      <c r="O403" s="396">
        <f>+Source!GW83</f>
        <v>6.0024009603841539E-3</v>
      </c>
      <c r="P403" s="396">
        <f>+Source!GX83</f>
        <v>5.4170249355116079E-2</v>
      </c>
      <c r="Q403" s="396">
        <f>+Source!GY83</f>
        <v>3.4482758620689655E-3</v>
      </c>
      <c r="R403" s="396">
        <f>+Source!GZ83</f>
        <v>3.7151702786377707E-3</v>
      </c>
      <c r="S403" s="396">
        <f>+Source!HA83</f>
        <v>1.1104617182933957E-2</v>
      </c>
      <c r="T403" s="396">
        <f>+Source!HB83</f>
        <v>5.6338028169014088E-3</v>
      </c>
      <c r="U403" s="85">
        <f>+Source!HC83</f>
        <v>6.9060773480662981E-3</v>
      </c>
      <c r="V403" s="85">
        <f>+Source!HD83</f>
        <v>5.279831045406547E-3</v>
      </c>
      <c r="W403" s="85">
        <f>+Source!HE83</f>
        <v>4.7675804529201428E-3</v>
      </c>
      <c r="X403" s="85">
        <f>+Source!HF83</f>
        <v>5.2301255230125521E-3</v>
      </c>
      <c r="Y403" s="85">
        <f>+Source!HG83</f>
        <v>2.34192037470726E-3</v>
      </c>
      <c r="Z403" s="85">
        <f>+Source!HH83</f>
        <v>7.8508341511285568E-3</v>
      </c>
      <c r="AA403" s="85">
        <f>+Source!HI83</f>
        <v>1.2500000000000001E-2</v>
      </c>
      <c r="AB403" s="85">
        <f>+Source!HJ83</f>
        <v>4.6224961479198771E-3</v>
      </c>
      <c r="AC403" s="85">
        <f>+Source!HK83</f>
        <v>7.874015748031496E-3</v>
      </c>
      <c r="AD403" s="85">
        <f>+Source!HL83</f>
        <v>3.3670033670033669E-3</v>
      </c>
      <c r="AU403" s="67"/>
    </row>
    <row r="404" spans="3:47" hidden="1">
      <c r="C404" s="435"/>
      <c r="D404" s="47" t="s">
        <v>17</v>
      </c>
      <c r="E404" s="47"/>
      <c r="F404" s="85">
        <f>+Source!GN84</f>
        <v>7.0422535211267607E-3</v>
      </c>
      <c r="G404" s="85">
        <f>+Source!GO84</f>
        <v>8.1383519837232958E-3</v>
      </c>
      <c r="H404" s="85">
        <f>+Source!GP84</f>
        <v>8.2342177493138144E-3</v>
      </c>
      <c r="I404" s="85">
        <f>+Source!GQ84</f>
        <v>1.7132551848512173E-2</v>
      </c>
      <c r="J404" s="85">
        <f>+Source!GR84</f>
        <v>4.7846889952153108E-3</v>
      </c>
      <c r="K404" s="85">
        <f>+Source!GS84</f>
        <v>1.2440191387559809E-2</v>
      </c>
      <c r="L404" s="85">
        <f>+Source!GT84</f>
        <v>9.384775808133473E-3</v>
      </c>
      <c r="M404" s="85">
        <f>+Source!GU84</f>
        <v>1.2295081967213115E-2</v>
      </c>
      <c r="N404" s="396">
        <f>+Source!GV84</f>
        <v>1.3262599469496021E-3</v>
      </c>
      <c r="O404" s="396">
        <f>+Source!GW84</f>
        <v>2.5416301489921123E-2</v>
      </c>
      <c r="P404" s="396">
        <f>+Source!GX84</f>
        <v>4.4813278008298756E-2</v>
      </c>
      <c r="Q404" s="396">
        <f>+Source!GY84</f>
        <v>0.13929618768328444</v>
      </c>
      <c r="R404" s="396">
        <f>+Source!GZ84</f>
        <v>2.5456919060052218E-2</v>
      </c>
      <c r="S404" s="396">
        <f>+Source!HA84</f>
        <v>3.2571428571428571E-2</v>
      </c>
      <c r="T404" s="396">
        <f>+Source!HB84</f>
        <v>5.4644808743169399E-3</v>
      </c>
      <c r="U404" s="85">
        <f>+Source!HC84</f>
        <v>6.5252854812398045E-3</v>
      </c>
      <c r="V404" s="85">
        <f>+Source!HD84</f>
        <v>2.2598870056497175E-2</v>
      </c>
      <c r="W404" s="85">
        <f>+Source!HE84</f>
        <v>4.5329670329670328E-2</v>
      </c>
      <c r="X404" s="85">
        <f>+Source!HF84</f>
        <v>2.442002442002442E-2</v>
      </c>
      <c r="Y404" s="85">
        <f>+Source!HG84</f>
        <v>2.0765027322404372E-2</v>
      </c>
      <c r="Z404" s="85">
        <f>+Source!HH84</f>
        <v>1.4247551202137132E-2</v>
      </c>
      <c r="AA404" s="85">
        <f>+Source!HI84</f>
        <v>9.4836670179135937E-3</v>
      </c>
      <c r="AB404" s="85">
        <f>+Source!HJ84</f>
        <v>5.6882821387940841E-3</v>
      </c>
      <c r="AC404" s="85">
        <f>+Source!HK84</f>
        <v>9.7719869706840382E-3</v>
      </c>
      <c r="AD404" s="85">
        <f>+Source!HL84</f>
        <v>5.3022269353128317E-3</v>
      </c>
      <c r="AU404" s="67"/>
    </row>
    <row r="405" spans="3:47" hidden="1">
      <c r="C405" s="435"/>
      <c r="D405" s="47" t="s">
        <v>18</v>
      </c>
      <c r="E405" s="47"/>
      <c r="F405" s="85">
        <f>+Source!GN85</f>
        <v>1.5873015873015872E-2</v>
      </c>
      <c r="G405" s="85">
        <f>+Source!GO85</f>
        <v>3.1941031941031942E-2</v>
      </c>
      <c r="H405" s="85">
        <f>+Source!GP85</f>
        <v>2.6974951830443159E-2</v>
      </c>
      <c r="I405" s="85">
        <f>+Source!GQ85</f>
        <v>3.125E-2</v>
      </c>
      <c r="J405" s="85">
        <f>+Source!GR85</f>
        <v>1.6949152542372881E-2</v>
      </c>
      <c r="K405" s="85">
        <f>+Source!GS85</f>
        <v>2.5078369905956112E-2</v>
      </c>
      <c r="L405" s="85">
        <f>+Source!GT85</f>
        <v>1.059001512859304E-2</v>
      </c>
      <c r="M405" s="85">
        <f>+Source!GU85</f>
        <v>4.0178571428571432E-2</v>
      </c>
      <c r="N405" s="396">
        <f>+Source!GV85</f>
        <v>2.0338983050847456E-2</v>
      </c>
      <c r="O405" s="396">
        <f>+Source!GW85</f>
        <v>3.6363636363636364E-3</v>
      </c>
      <c r="P405" s="396">
        <f>+Source!GX85</f>
        <v>2.2857142857142857E-2</v>
      </c>
      <c r="Q405" s="396">
        <f>+Source!GY85</f>
        <v>4.2016806722689074E-3</v>
      </c>
      <c r="R405" s="396">
        <f>+Source!GZ85</f>
        <v>1.1583011583011582E-2</v>
      </c>
      <c r="S405" s="396">
        <f>+Source!HA85</f>
        <v>1.9672131147540985E-2</v>
      </c>
      <c r="T405" s="396">
        <f>+Source!HB85</f>
        <v>1.8292682926829267E-2</v>
      </c>
      <c r="U405" s="85">
        <f>+Source!HC85</f>
        <v>1.098901098901099E-2</v>
      </c>
      <c r="V405" s="85">
        <f>+Source!HD85</f>
        <v>1.7391304347826087E-2</v>
      </c>
      <c r="W405" s="85">
        <f>+Source!HE85</f>
        <v>4.49438202247191E-2</v>
      </c>
      <c r="X405" s="85">
        <f>+Source!HF85</f>
        <v>3.1690140845070422E-2</v>
      </c>
      <c r="Y405" s="85">
        <f>+Source!HG85</f>
        <v>2.9585798816568046E-2</v>
      </c>
      <c r="Z405" s="85">
        <f>+Source!HH85</f>
        <v>7.6923076923076927E-3</v>
      </c>
      <c r="AA405" s="85">
        <f>+Source!HI85</f>
        <v>1.7441860465116279E-2</v>
      </c>
      <c r="AB405" s="85">
        <f>+Source!HJ85</f>
        <v>2.2727272727272728E-2</v>
      </c>
      <c r="AC405" s="85">
        <f>+Source!HK85</f>
        <v>8.4112149532710276E-2</v>
      </c>
      <c r="AD405" s="85">
        <f>+Source!HL85</f>
        <v>3.4782608695652174E-2</v>
      </c>
      <c r="AU405" s="67"/>
    </row>
    <row r="406" spans="3:47" hidden="1">
      <c r="C406" s="435"/>
      <c r="D406" s="47" t="s">
        <v>19</v>
      </c>
      <c r="E406" s="47"/>
      <c r="F406" s="85">
        <f>+Source!GN86</f>
        <v>6.7796610169491525E-2</v>
      </c>
      <c r="G406" s="85">
        <f>+Source!GO86</f>
        <v>5.9498956158663886E-2</v>
      </c>
      <c r="H406" s="85">
        <f>+Source!GP86</f>
        <v>8.6890243902439018E-2</v>
      </c>
      <c r="I406" s="85">
        <f>+Source!GQ86</f>
        <v>1.6090104585679806E-3</v>
      </c>
      <c r="J406" s="85">
        <f>+Source!GR86</f>
        <v>2.4057738572574178E-2</v>
      </c>
      <c r="K406" s="85">
        <f>+Source!GS86</f>
        <v>0.19188767550702029</v>
      </c>
      <c r="L406" s="85">
        <f>+Source!GT86</f>
        <v>0.25832223701731027</v>
      </c>
      <c r="M406" s="85">
        <f>+Source!GU86</f>
        <v>1.2844036697247707E-2</v>
      </c>
      <c r="N406" s="396">
        <f>+Source!GV86</f>
        <v>7.4850299401197605E-3</v>
      </c>
      <c r="O406" s="396">
        <f>+Source!GW86</f>
        <v>4.4247787610619468E-3</v>
      </c>
      <c r="P406" s="396">
        <f>+Source!GX86</f>
        <v>3.4542314335060447E-3</v>
      </c>
      <c r="Q406" s="396">
        <f>+Source!GY86</f>
        <v>1.1787819253438114E-2</v>
      </c>
      <c r="R406" s="396">
        <f>+Source!GZ86</f>
        <v>4.456824512534819E-2</v>
      </c>
      <c r="S406" s="396">
        <f>+Source!HA86</f>
        <v>0.10299625468164794</v>
      </c>
      <c r="T406" s="396">
        <f>+Source!HB86</f>
        <v>9.1778202676864248E-2</v>
      </c>
      <c r="U406" s="85">
        <f>+Source!HC86</f>
        <v>1.3452914798206279E-2</v>
      </c>
      <c r="V406" s="85">
        <f>+Source!HD86</f>
        <v>2.9962546816479401E-2</v>
      </c>
      <c r="W406" s="85">
        <f>+Source!HE86</f>
        <v>1.3221153846153846E-2</v>
      </c>
      <c r="X406" s="85">
        <f>+Source!HF86</f>
        <v>2.6905829596412557E-2</v>
      </c>
      <c r="Y406" s="85">
        <f>+Source!HG86</f>
        <v>0.10292072322670376</v>
      </c>
      <c r="Z406" s="85">
        <f>+Source!HH86</f>
        <v>1.8995929443690638E-2</v>
      </c>
      <c r="AA406" s="85">
        <f>+Source!HI86</f>
        <v>8.0515297906602248E-3</v>
      </c>
      <c r="AB406" s="85">
        <f>+Source!HJ86</f>
        <v>0.13069016152716592</v>
      </c>
      <c r="AC406" s="85">
        <f>+Source!HK86</f>
        <v>7.0754716981132077E-3</v>
      </c>
      <c r="AD406" s="85">
        <f>+Source!HL86</f>
        <v>0.1001926782273603</v>
      </c>
      <c r="AU406" s="67"/>
    </row>
    <row r="407" spans="3:47" hidden="1">
      <c r="C407" s="435"/>
      <c r="D407" s="47" t="s">
        <v>21</v>
      </c>
      <c r="E407" s="47"/>
      <c r="F407" s="85">
        <f>+Source!GN87</f>
        <v>8.2872928176795577E-3</v>
      </c>
      <c r="G407" s="85">
        <f>+Source!GO87</f>
        <v>0.25266903914590749</v>
      </c>
      <c r="H407" s="85">
        <f>+Source!GP87</f>
        <v>1.6666666666666666E-2</v>
      </c>
      <c r="I407" s="85">
        <f>+Source!GQ87</f>
        <v>9.2592592592592587E-3</v>
      </c>
      <c r="J407" s="85">
        <f>+Source!GR87</f>
        <v>2.8688524590163935E-2</v>
      </c>
      <c r="K407" s="85">
        <f>+Source!GS87</f>
        <v>3.0701754385964911E-2</v>
      </c>
      <c r="L407" s="85">
        <f>+Source!GT87</f>
        <v>5.3061224489795916E-2</v>
      </c>
      <c r="M407" s="85">
        <f>+Source!GU87</f>
        <v>6.640625E-2</v>
      </c>
      <c r="N407" s="396">
        <f>+Source!GV87</f>
        <v>5.4878048780487805E-2</v>
      </c>
      <c r="O407" s="396">
        <f>+Source!GW87</f>
        <v>7.6642335766423361E-2</v>
      </c>
      <c r="P407" s="396">
        <f>+Source!GX87</f>
        <v>3.5587188612099642E-3</v>
      </c>
      <c r="Q407" s="396">
        <f>+Source!GY87</f>
        <v>1.2345679012345678E-2</v>
      </c>
      <c r="R407" s="396">
        <f>+Source!GZ87</f>
        <v>2.9239766081871343E-2</v>
      </c>
      <c r="S407" s="396">
        <f>+Source!HA87</f>
        <v>5.4945054945054949E-3</v>
      </c>
      <c r="T407" s="396">
        <f>+Source!HB87</f>
        <v>6.4285714285714279E-2</v>
      </c>
      <c r="U407" s="85">
        <f>+Source!HC87</f>
        <v>4.5454545454545456E-2</v>
      </c>
      <c r="V407" s="85">
        <f>+Source!HD87</f>
        <v>0.14117647058823529</v>
      </c>
      <c r="W407" s="85">
        <f>+Source!HE87</f>
        <v>7.7777777777777779E-2</v>
      </c>
      <c r="X407" s="85">
        <f>+Source!HF87</f>
        <v>0.14814814814814814</v>
      </c>
      <c r="Y407" s="85">
        <f>+Source!HG87</f>
        <v>0.15596330275229359</v>
      </c>
      <c r="Z407" s="85">
        <f>+Source!HH87</f>
        <v>1.7241379310344827E-2</v>
      </c>
      <c r="AA407" s="85">
        <f>+Source!HI87</f>
        <v>7.43801652892562E-2</v>
      </c>
      <c r="AB407" s="85">
        <f>+Source!HJ87</f>
        <v>9.0090090090090086E-2</v>
      </c>
      <c r="AC407" s="85">
        <f>+Source!HK87</f>
        <v>0.24324324324324326</v>
      </c>
      <c r="AD407" s="85">
        <f>+Source!HL87</f>
        <v>0.11267605633802817</v>
      </c>
      <c r="AU407" s="67"/>
    </row>
    <row r="408" spans="3:47" hidden="1">
      <c r="C408" s="435"/>
      <c r="D408" s="47" t="s">
        <v>22</v>
      </c>
      <c r="E408" s="47"/>
      <c r="F408" s="85">
        <f>+Source!GN88</f>
        <v>3.2258064516129031E-2</v>
      </c>
      <c r="G408" s="85">
        <f>+Source!GO88</f>
        <v>1.1764705882352941E-2</v>
      </c>
      <c r="H408" s="85">
        <f>+Source!GP88</f>
        <v>2.7624309392265192E-2</v>
      </c>
      <c r="I408" s="85">
        <f>+Source!GQ88</f>
        <v>3.5294117647058823E-2</v>
      </c>
      <c r="J408" s="85">
        <f>+Source!GR88</f>
        <v>3.2679738562091505E-2</v>
      </c>
      <c r="K408" s="85">
        <f>+Source!GS88</f>
        <v>2.3622047244094488E-2</v>
      </c>
      <c r="L408" s="85">
        <f>+Source!GT88</f>
        <v>0</v>
      </c>
      <c r="M408" s="85">
        <f>+Source!GU88</f>
        <v>6.369426751592357E-3</v>
      </c>
      <c r="N408" s="396">
        <f>+Source!GV88</f>
        <v>1.092896174863388E-2</v>
      </c>
      <c r="O408" s="396">
        <f>+Source!GW88</f>
        <v>2.3255813953488372E-2</v>
      </c>
      <c r="P408" s="396">
        <f>+Source!GX88</f>
        <v>3.7735849056603774E-3</v>
      </c>
      <c r="Q408" s="396">
        <f>+Source!GY88</f>
        <v>3.6363636363636362E-2</v>
      </c>
      <c r="R408" s="396">
        <f>+Source!GZ88</f>
        <v>3.6101083032490974E-2</v>
      </c>
      <c r="S408" s="396">
        <f>+Source!HA88</f>
        <v>1.3215859030837005E-2</v>
      </c>
      <c r="T408" s="396">
        <f>+Source!HB88</f>
        <v>3.8910505836575876E-3</v>
      </c>
      <c r="U408" s="85">
        <f>+Source!HC88</f>
        <v>0</v>
      </c>
      <c r="V408" s="85">
        <f>+Source!HD88</f>
        <v>4.807692307692308E-2</v>
      </c>
      <c r="W408" s="85">
        <f>+Source!HE88</f>
        <v>9.0909090909090912E-2</v>
      </c>
      <c r="X408" s="85">
        <f>+Source!HF88</f>
        <v>4.4776119402985072E-2</v>
      </c>
      <c r="Y408" s="85">
        <f>+Source!HG88</f>
        <v>2.7932960893854747E-2</v>
      </c>
      <c r="Z408" s="85">
        <f>+Source!HH88</f>
        <v>4.1509433962264149E-2</v>
      </c>
      <c r="AA408" s="85">
        <f>+Source!HI88</f>
        <v>3.8095238095238099E-2</v>
      </c>
      <c r="AB408" s="85">
        <f>+Source!HJ88</f>
        <v>4.3076923076923075E-2</v>
      </c>
      <c r="AC408" s="85">
        <f>+Source!HK88</f>
        <v>5.829596412556054E-2</v>
      </c>
      <c r="AD408" s="85">
        <f>+Source!HL88</f>
        <v>9.3117408906882596E-2</v>
      </c>
      <c r="AU408" s="67"/>
    </row>
    <row r="409" spans="3:47" hidden="1">
      <c r="C409" s="435"/>
      <c r="D409" s="48" t="s">
        <v>62</v>
      </c>
      <c r="E409" s="48"/>
      <c r="F409" s="41">
        <f>SUM(Source!GN32:GN34,Source!GN37:GN38,Source!GN40:GN41)/SUM(Source!GN3:GN5,Source!GN8:GN9,Source!GN11:GN12)</f>
        <v>1.1029411764705883E-2</v>
      </c>
      <c r="G409" s="41">
        <f>SUM(Source!GO32:GO34,Source!GO37:GO38,Source!GO40:GO41)/SUM(Source!GO3:GO5,Source!GO8:GO9,Source!GO11:GO12)</f>
        <v>2.7418989349648766E-2</v>
      </c>
      <c r="H409" s="41">
        <f>SUM(Source!GP32:GP34,Source!GP37:GP38,Source!GP40:GP41)/SUM(Source!GP3:GP5,Source!GP8:GP9,Source!GP11:GP12)</f>
        <v>1.2132680320569902E-2</v>
      </c>
      <c r="I409" s="41">
        <f>SUM(Source!GQ32:GQ34,Source!GQ37:GQ38,Source!GQ40:GQ41)/SUM(Source!GQ3:GQ5,Source!GQ8:GQ9,Source!GQ11:GQ12)</f>
        <v>7.4035453597497396E-3</v>
      </c>
      <c r="J409" s="41">
        <f>SUM(Source!GR32:GR34,Source!GR37:GR38,Source!GR40:GR41)/SUM(Source!GR3:GR5,Source!GR8:GR9,Source!GR11:GR12)</f>
        <v>8.0621080919677512E-3</v>
      </c>
      <c r="K409" s="41">
        <f>SUM(Source!GS32:GS34,Source!GS37:GS38,Source!GS40:GS41)/SUM(Source!GS3:GS5,Source!GS8:GS9,Source!GS11:GS12)</f>
        <v>2.3271731690622861E-2</v>
      </c>
      <c r="L409" s="41">
        <f>SUM(Source!GT32:GT34,Source!GT37:GT38,Source!GT40:GT41)/SUM(Source!GT3:GT5,Source!GT8:GT9,Source!GT11:GT12)</f>
        <v>3.0566127497621314E-2</v>
      </c>
      <c r="M409" s="41">
        <f>SUM(Source!GU32:GU34,Source!GU37:GU38,Source!GU40:GU41)/SUM(Source!GU3:GU5,Source!GU8:GU9,Source!GU11:GU12)</f>
        <v>1.3246041412911084E-2</v>
      </c>
      <c r="N409" s="457">
        <f>SUM(Source!GV32:GV34,Source!GV37:GV38,Source!GV40:GV41)/SUM(Source!GV3:GV5,Source!GV8:GV9,Source!GV11:GV12)</f>
        <v>1.3440277476696292E-2</v>
      </c>
      <c r="O409" s="457">
        <f>SUM(Source!GW32:GW34,Source!GW37:GW38,Source!GW40:GW41)/SUM(Source!GW3:GW5,Source!GW8:GW9,Source!GW11:GW12)</f>
        <v>1.2094335819391252E-2</v>
      </c>
      <c r="P409" s="457">
        <f>SUM(Source!GX32:GX34,Source!GX37:GX38,Source!GX40:GX41)/SUM(Source!GX3:GX5,Source!GX8:GX9,Source!GX11:GX12)</f>
        <v>1.8082127858142789E-2</v>
      </c>
      <c r="Q409" s="457">
        <f>SUM(Source!GY32:GY34,Source!GY37:GY38,Source!GY40:GY41)/SUM(Source!GY3:GY5,Source!GY8:GY9,Source!GY11:GY12)</f>
        <v>3.3353365384615384E-2</v>
      </c>
      <c r="R409" s="457">
        <f>SUM(Source!GZ32:GZ34,Source!GZ37:GZ38,Source!GZ40:GZ41)/SUM(Source!GZ3:GZ5,Source!GZ8:GZ9,Source!GZ11:GZ12)</f>
        <v>1.2599160055996267E-2</v>
      </c>
      <c r="S409" s="457">
        <f>SUM(Source!HA32:HA34,Source!HA37:HA38,Source!HA40:HA41)/SUM(Source!HA3:HA5,Source!HA8:HA9,Source!HA11:HA12)</f>
        <v>1.7772648586266589E-2</v>
      </c>
      <c r="T409" s="457">
        <f>SUM(Source!HB32:HB34,Source!HB37:HB38,Source!HB40:HB41)/SUM(Source!HB3:HB5,Source!HB8:HB9,Source!HB11:HB12)</f>
        <v>1.6577540106951873E-2</v>
      </c>
      <c r="U409" s="41">
        <f>SUM(Source!HC32:HC34,Source!HC37:HC38,Source!HC40:HC41)/SUM(Source!HC3:HC5,Source!HC8:HC9,Source!HC11:HC12)</f>
        <v>5.6595559425337396E-3</v>
      </c>
      <c r="V409" s="41">
        <f>SUM(Source!HD32:HD34,Source!HD37:HD38,Source!HD40:HD41)/SUM(Source!HD3:HD5,Source!HD8:HD9,Source!HD11:HD12)</f>
        <v>1.1381388083017184E-2</v>
      </c>
      <c r="W409" s="41">
        <f>SUM(Source!HE32:HE34,Source!HE37:HE38,Source!HE40:HE41)/SUM(Source!HE3:HE5,Source!HE8:HE9,Source!HE11:HE12)</f>
        <v>1.3949433304272014E-2</v>
      </c>
      <c r="X409" s="41">
        <f>SUM(Source!HF32:HF34,Source!HF37:HF38,Source!HF40:HF41)/SUM(Source!HF3:HF5,Source!HF8:HF9,Source!HF11:HF12)</f>
        <v>1.2730833799664242E-2</v>
      </c>
      <c r="Y409" s="41">
        <f>SUM(Source!HG32:HG34,Source!HG37:HG38,Source!HG40:HG41)/SUM(Source!HG3:HG5,Source!HG8:HG9,Source!HG11:HG12)</f>
        <v>2.1151399491094149E-2</v>
      </c>
      <c r="Z409" s="41">
        <f>SUM(Source!HH32:HH34,Source!HH37:HH38,Source!HH40:HH41)/SUM(Source!HH3:HH5,Source!HH8:HH9,Source!HH11:HH12)</f>
        <v>9.5305832147937405E-3</v>
      </c>
      <c r="AA409" s="41">
        <f>SUM(Source!HI32:HI34,Source!HI37:HI38,Source!HI40:HI41)/SUM(Source!HI3:HI5,Source!HI8:HI9,Source!HI11:HI12)</f>
        <v>9.1774303195105364E-3</v>
      </c>
      <c r="AB409" s="41">
        <f>SUM(Source!HJ32:HJ34,Source!HJ37:HJ38,Source!HJ40:HJ41)/SUM(Source!HJ3:HJ5,Source!HJ8:HJ9,Source!HJ11:HJ12)</f>
        <v>2.3669724770642202E-2</v>
      </c>
      <c r="AC409" s="41">
        <f>SUM(Source!HK32:HK34,Source!HK37:HK38,Source!HK40:HK41)/SUM(Source!HK3:HK5,Source!HK8:HK9,Source!HK11:HK12)</f>
        <v>1.7604121940747102E-2</v>
      </c>
      <c r="AD409" s="41">
        <f>SUM(Source!HL32:HL34,Source!HL37:HL38,Source!HL40:HL41)/SUM(Source!HL3:HL5,Source!HL8:HL9,Source!HL11:HL12)</f>
        <v>1.6919393455706304E-2</v>
      </c>
      <c r="AU409" s="67"/>
    </row>
    <row r="410" spans="3:47" hidden="1">
      <c r="C410" s="435"/>
      <c r="D410" s="47" t="s">
        <v>15</v>
      </c>
      <c r="E410" s="47"/>
      <c r="F410" s="85">
        <f>+Source!GN90</f>
        <v>1.043382756727073E-2</v>
      </c>
      <c r="G410" s="85">
        <f>+Source!GO90</f>
        <v>1.5591165006496318E-2</v>
      </c>
      <c r="H410" s="85">
        <f>+Source!GP90</f>
        <v>5.9737156511350063E-3</v>
      </c>
      <c r="I410" s="85">
        <f>+Source!GQ90</f>
        <v>1.4335664335664336E-2</v>
      </c>
      <c r="J410" s="85">
        <f>+Source!GR90</f>
        <v>9.316770186335404E-3</v>
      </c>
      <c r="K410" s="85">
        <f>+Source!GS90</f>
        <v>1.040582726326743E-2</v>
      </c>
      <c r="L410" s="85">
        <f>+Source!GT90</f>
        <v>1.3253392237298833E-2</v>
      </c>
      <c r="M410" s="85">
        <f>+Source!GU90</f>
        <v>2.4776119402985075E-2</v>
      </c>
      <c r="N410" s="396">
        <f>+Source!GV90</f>
        <v>1.2393767705382436E-2</v>
      </c>
      <c r="O410" s="396">
        <f>+Source!GW90</f>
        <v>1.3325436778205508E-2</v>
      </c>
      <c r="P410" s="396">
        <f>+Source!GX90</f>
        <v>2.0301624129930394E-2</v>
      </c>
      <c r="Q410" s="396">
        <f>+Source!GY90</f>
        <v>1.2466307277628033E-2</v>
      </c>
      <c r="R410" s="396">
        <f>+Source!GZ90</f>
        <v>1.1645962732919254E-2</v>
      </c>
      <c r="S410" s="396">
        <f>+Source!HA90</f>
        <v>1.8423746161719549E-2</v>
      </c>
      <c r="T410" s="396">
        <f>+Source!HB90</f>
        <v>5.339506172839506E-2</v>
      </c>
      <c r="U410" s="85">
        <f>+Source!HC90</f>
        <v>2.1119324181626188E-2</v>
      </c>
      <c r="V410" s="85">
        <f>+Source!HD90</f>
        <v>2.417480241748024E-2</v>
      </c>
      <c r="W410" s="85">
        <f>+Source!HE90</f>
        <v>3.9053905390539052E-2</v>
      </c>
      <c r="X410" s="85">
        <f>+Source!HF90</f>
        <v>3.8617886178861791E-2</v>
      </c>
      <c r="Y410" s="85">
        <f>+Source!HG90</f>
        <v>3.0795072788353865E-2</v>
      </c>
      <c r="Z410" s="85">
        <f>+Source!HH90</f>
        <v>3.1840059237319508E-2</v>
      </c>
      <c r="AA410" s="85">
        <f>+Source!HI90</f>
        <v>2.4407753050969132E-2</v>
      </c>
      <c r="AB410" s="85">
        <f>+Source!HJ90</f>
        <v>2.9566744730679159E-2</v>
      </c>
      <c r="AC410" s="85">
        <f>+Source!HK90</f>
        <v>7.6811594202898556E-2</v>
      </c>
      <c r="AD410" s="85">
        <f>+Source!HL90</f>
        <v>4.4953350296861747E-2</v>
      </c>
      <c r="AU410" s="67"/>
    </row>
    <row r="411" spans="3:47" hidden="1">
      <c r="C411" s="435"/>
      <c r="D411" s="47" t="s">
        <v>16</v>
      </c>
      <c r="E411" s="47"/>
      <c r="F411" s="85">
        <f>+Source!GN91</f>
        <v>7.2332730560578659E-3</v>
      </c>
      <c r="G411" s="85">
        <f>+Source!GO91</f>
        <v>4.560260586319218E-3</v>
      </c>
      <c r="H411" s="85">
        <f>+Source!GP91</f>
        <v>1.6611295681063123E-3</v>
      </c>
      <c r="I411" s="85">
        <f>+Source!GQ91</f>
        <v>2.0800832033281333E-3</v>
      </c>
      <c r="J411" s="85">
        <f>+Source!GR91</f>
        <v>9.0473656200106434E-3</v>
      </c>
      <c r="K411" s="85">
        <f>+Source!GS91</f>
        <v>2.618210238374365E-2</v>
      </c>
      <c r="L411" s="85">
        <f>+Source!GT91</f>
        <v>9.1649694501018328E-3</v>
      </c>
      <c r="M411" s="85">
        <f>+Source!GU91</f>
        <v>3.3994334277620396E-3</v>
      </c>
      <c r="N411" s="396">
        <f>+Source!GV91</f>
        <v>9.9108027750247768E-4</v>
      </c>
      <c r="O411" s="396">
        <f>+Source!GW91</f>
        <v>6.4644455494778713E-3</v>
      </c>
      <c r="P411" s="396">
        <f>+Source!GX91</f>
        <v>2.0779220779220779E-3</v>
      </c>
      <c r="Q411" s="396">
        <f>+Source!GY91</f>
        <v>2.1067415730337078E-3</v>
      </c>
      <c r="R411" s="396">
        <f>+Source!GZ91</f>
        <v>2.7056277056277055E-3</v>
      </c>
      <c r="S411" s="396">
        <f>+Source!HA91</f>
        <v>1.7942583732057417E-3</v>
      </c>
      <c r="T411" s="396">
        <f>+Source!HB91</f>
        <v>4.2301184433164127E-4</v>
      </c>
      <c r="U411" s="85">
        <f>+Source!HC91</f>
        <v>3.0401034928848641E-2</v>
      </c>
      <c r="V411" s="85">
        <f>+Source!HD91</f>
        <v>6.118143459915612E-2</v>
      </c>
      <c r="W411" s="85">
        <f>+Source!HE91</f>
        <v>1.7634854771784232E-2</v>
      </c>
      <c r="X411" s="85">
        <f>+Source!HF91</f>
        <v>3.6663611365719525E-3</v>
      </c>
      <c r="Y411" s="85">
        <f>+Source!HG91</f>
        <v>1.7763845350052248E-2</v>
      </c>
      <c r="Z411" s="85">
        <f>+Source!HH91</f>
        <v>0.17736486486486486</v>
      </c>
      <c r="AA411" s="85">
        <f>+Source!HI91</f>
        <v>1.4274385408406027E-2</v>
      </c>
      <c r="AB411" s="85">
        <f>+Source!HJ91</f>
        <v>1.5246636771300448E-2</v>
      </c>
      <c r="AC411" s="85">
        <f>+Source!HK91</f>
        <v>2.0247469066366704E-2</v>
      </c>
      <c r="AD411" s="85">
        <f>+Source!HL91</f>
        <v>8.3612040133779261E-3</v>
      </c>
      <c r="AU411" s="67"/>
    </row>
    <row r="412" spans="3:47" hidden="1">
      <c r="C412" s="435"/>
      <c r="D412" s="47" t="s">
        <v>20</v>
      </c>
      <c r="E412" s="47"/>
      <c r="F412" s="85">
        <f>+Source!GN92</f>
        <v>8.6206896551724137E-3</v>
      </c>
      <c r="G412" s="85">
        <f>+Source!GO92</f>
        <v>8.6956521739130436E-3</v>
      </c>
      <c r="H412" s="85">
        <f>+Source!GP92</f>
        <v>1.9830028328611898E-2</v>
      </c>
      <c r="I412" s="85">
        <f>+Source!GQ92</f>
        <v>9.5541401273885346E-3</v>
      </c>
      <c r="J412" s="85">
        <f>+Source!GR92</f>
        <v>5.208333333333333E-3</v>
      </c>
      <c r="K412" s="85">
        <f>+Source!GS92</f>
        <v>6.5359477124183009E-3</v>
      </c>
      <c r="L412" s="85">
        <f>+Source!GT92</f>
        <v>1.0582010582010581E-2</v>
      </c>
      <c r="M412" s="85">
        <f>+Source!GU92</f>
        <v>1.3698630136986301E-2</v>
      </c>
      <c r="N412" s="396">
        <f>+Source!GV92</f>
        <v>7.2886297376093293E-4</v>
      </c>
      <c r="O412" s="396">
        <f>+Source!GW92</f>
        <v>0</v>
      </c>
      <c r="P412" s="396">
        <f>+Source!GX92</f>
        <v>1.364256480218281E-3</v>
      </c>
      <c r="Q412" s="396">
        <f>+Source!GY92</f>
        <v>0</v>
      </c>
      <c r="R412" s="396">
        <f>+Source!GZ92</f>
        <v>0</v>
      </c>
      <c r="S412" s="396">
        <f>+Source!HA92</f>
        <v>0</v>
      </c>
      <c r="T412" s="396">
        <f>+Source!HB92</f>
        <v>0</v>
      </c>
      <c r="U412" s="85">
        <f>+Source!HC92</f>
        <v>0</v>
      </c>
      <c r="V412" s="85">
        <f>+Source!HD92</f>
        <v>0</v>
      </c>
      <c r="W412" s="85">
        <f>+Source!HE92</f>
        <v>2.3640661938534278E-3</v>
      </c>
      <c r="X412" s="85">
        <f>+Source!HF92</f>
        <v>0</v>
      </c>
      <c r="Y412" s="85">
        <f>+Source!HG92</f>
        <v>0</v>
      </c>
      <c r="Z412" s="85">
        <f>+Source!HH92</f>
        <v>0</v>
      </c>
      <c r="AA412" s="85">
        <f>+Source!HI92</f>
        <v>0</v>
      </c>
      <c r="AB412" s="85">
        <f>+Source!HJ92</f>
        <v>0</v>
      </c>
      <c r="AC412" s="85">
        <f>+Source!HK92</f>
        <v>7.575757575757576E-3</v>
      </c>
      <c r="AD412" s="85">
        <f>+Source!HL92</f>
        <v>1.976284584980237E-3</v>
      </c>
      <c r="AU412" s="67"/>
    </row>
    <row r="413" spans="3:47" hidden="1">
      <c r="C413" s="435"/>
      <c r="D413" s="47" t="s">
        <v>23</v>
      </c>
      <c r="E413" s="47"/>
      <c r="F413" s="85">
        <f>+Source!GN93</f>
        <v>3.875968992248062E-3</v>
      </c>
      <c r="G413" s="85">
        <f>+Source!GO93</f>
        <v>4.3103448275862068E-3</v>
      </c>
      <c r="H413" s="85">
        <f>+Source!GP93</f>
        <v>6.6006600660066007E-3</v>
      </c>
      <c r="I413" s="85">
        <f>+Source!GQ93</f>
        <v>0</v>
      </c>
      <c r="J413" s="85">
        <f>+Source!GR93</f>
        <v>9.7087378640776691E-3</v>
      </c>
      <c r="K413" s="85">
        <f>+Source!GS93</f>
        <v>9.5923261390887284E-3</v>
      </c>
      <c r="L413" s="85">
        <f>+Source!GT93</f>
        <v>5.4446460980036296E-3</v>
      </c>
      <c r="M413" s="85">
        <f>+Source!GU93</f>
        <v>1.0115606936416185E-2</v>
      </c>
      <c r="N413" s="396">
        <f>+Source!GV93</f>
        <v>0.10381679389312977</v>
      </c>
      <c r="O413" s="396">
        <f>+Source!GW93</f>
        <v>3.2258064516129032E-3</v>
      </c>
      <c r="P413" s="396">
        <f>+Source!GX93</f>
        <v>2.004008016032064E-3</v>
      </c>
      <c r="Q413" s="396">
        <f>+Source!GY93</f>
        <v>0</v>
      </c>
      <c r="R413" s="396">
        <f>+Source!GZ93</f>
        <v>1.7699115044247787E-3</v>
      </c>
      <c r="S413" s="396">
        <f>+Source!HA93</f>
        <v>1.1286681715575621E-2</v>
      </c>
      <c r="T413" s="396">
        <f>+Source!HB93</f>
        <v>5.8252427184466021E-2</v>
      </c>
      <c r="U413" s="85">
        <f>+Source!HC93</f>
        <v>0</v>
      </c>
      <c r="V413" s="85">
        <f>+Source!HD93</f>
        <v>0</v>
      </c>
      <c r="W413" s="85">
        <f>+Source!HE93</f>
        <v>2.1834061135371178E-2</v>
      </c>
      <c r="X413" s="85">
        <f>+Source!HF93</f>
        <v>5.7306590257879654E-3</v>
      </c>
      <c r="Y413" s="85">
        <f>+Source!HG93</f>
        <v>5.4495912806539508E-3</v>
      </c>
      <c r="Z413" s="85">
        <f>+Source!HH93</f>
        <v>6.0483870967741937E-2</v>
      </c>
      <c r="AA413" s="85">
        <f>+Source!HI93</f>
        <v>2.4793388429752067E-2</v>
      </c>
      <c r="AB413" s="85">
        <f>+Source!HJ93</f>
        <v>1.5503875968992248E-2</v>
      </c>
      <c r="AC413" s="85">
        <f>+Source!HK93</f>
        <v>8.4337349397590355E-2</v>
      </c>
      <c r="AD413" s="85">
        <f>+Source!HL93</f>
        <v>8.356545961002786E-3</v>
      </c>
      <c r="AU413" s="67"/>
    </row>
    <row r="414" spans="3:47" ht="14.4" hidden="1" thickBot="1">
      <c r="C414" s="436"/>
      <c r="D414" s="49" t="s">
        <v>63</v>
      </c>
      <c r="E414" s="49"/>
      <c r="F414" s="86">
        <f>SUM(Source!GN35:GN36,Source!GN39,Source!GN42)/SUM(Source!GN6:GN7,Source!GN10,Source!GN13)</f>
        <v>8.5642317380352651E-3</v>
      </c>
      <c r="G414" s="86">
        <f>SUM(Source!GO35:GO36,Source!GO39,Source!GO42)/SUM(Source!GO6:GO7,Source!GO10,Source!GO13)</f>
        <v>1.0682768230376219E-2</v>
      </c>
      <c r="H414" s="86">
        <f>SUM(Source!GP35:GP36,Source!GP39,Source!GP42)/SUM(Source!GP6:GP7,Source!GP10,Source!GP13)</f>
        <v>5.4293183189221801E-3</v>
      </c>
      <c r="I414" s="86">
        <f>SUM(Source!GQ35:GQ36,Source!GQ39,Source!GQ42)/SUM(Source!GQ6:GQ7,Source!GQ10,Source!GQ13)</f>
        <v>8.88724310312905E-3</v>
      </c>
      <c r="J414" s="86">
        <f>SUM(Source!GR35:GR36,Source!GR39,Source!GR42)/SUM(Source!GR6:GR7,Source!GR10,Source!GR13)</f>
        <v>9.0774751952712694E-3</v>
      </c>
      <c r="K414" s="86">
        <f>SUM(Source!GS35:GS36,Source!GS39,Source!GS42)/SUM(Source!GS6:GS7,Source!GS10,Source!GS13)</f>
        <v>1.8214215006929321E-2</v>
      </c>
      <c r="L414" s="86">
        <f>SUM(Source!GT35:GT36,Source!GT39,Source!GT42)/SUM(Source!GT6:GT7,Source!GT10,Source!GT13)</f>
        <v>1.1067597479993189E-2</v>
      </c>
      <c r="M414" s="86">
        <f>SUM(Source!GU35:GU36,Source!GU39,Source!GU42)/SUM(Source!GU6:GU7,Source!GU10,Source!GU13)</f>
        <v>1.6428808496515103E-2</v>
      </c>
      <c r="N414" s="398">
        <f>SUM(Source!GV35:GV36,Source!GV39,Source!GV42)/SUM(Source!GV6:GV7,Source!GV10,Source!GV13)</f>
        <v>1.5431649439510847E-2</v>
      </c>
      <c r="O414" s="398">
        <f>SUM(Source!GW35:GW36,Source!GW39,Source!GW42)/SUM(Source!GW6:GW7,Source!GW10,Source!GW13)</f>
        <v>8.1755007494209025E-3</v>
      </c>
      <c r="P414" s="398">
        <f>SUM(Source!GX35:GX36,Source!GX39,Source!GX42)/SUM(Source!GX6:GX7,Source!GX10,Source!GX13)</f>
        <v>1.1506434519303558E-2</v>
      </c>
      <c r="Q414" s="398">
        <f>SUM(Source!GY35:GY36,Source!GY39,Source!GY42)/SUM(Source!GY6:GY7,Source!GY10,Source!GY13)</f>
        <v>6.7693349128448129E-3</v>
      </c>
      <c r="R414" s="398">
        <f>SUM(Source!GZ35:GZ36,Source!GZ39,Source!GZ42)/SUM(Source!GZ6:GZ7,Source!GZ10,Source!GZ13)</f>
        <v>6.2805303558967204E-3</v>
      </c>
      <c r="S414" s="398">
        <f>SUM(Source!HA35:HA36,Source!HA39,Source!HA42)/SUM(Source!HA6:HA7,Source!HA10,Source!HA13)</f>
        <v>1.0574791062595941E-2</v>
      </c>
      <c r="T414" s="398">
        <f>SUM(Source!HB35:HB36,Source!HB39,Source!HB42)/SUM(Source!HB6:HB7,Source!HB10,Source!HB13)</f>
        <v>2.9263966893289979E-2</v>
      </c>
      <c r="U414" s="86">
        <f>SUM(Source!HC35:HC36,Source!HC39,Source!HC42)/SUM(Source!HC6:HC7,Source!HC10,Source!HC13)</f>
        <v>1.9273371732388127E-2</v>
      </c>
      <c r="V414" s="86">
        <f>SUM(Source!HD35:HD36,Source!HD39,Source!HD42)/SUM(Source!HD6:HD7,Source!HD10,Source!HD13)</f>
        <v>3.0369961347321922E-2</v>
      </c>
      <c r="W414" s="86">
        <f>SUM(Source!HE35:HE36,Source!HE39,Source!HE42)/SUM(Source!HE6:HE7,Source!HE10,Source!HE13)</f>
        <v>2.7373325567850902E-2</v>
      </c>
      <c r="X414" s="86">
        <f>SUM(Source!HF35:HF36,Source!HF39,Source!HF42)/SUM(Source!HF6:HF7,Source!HF10,Source!HF13)</f>
        <v>1.9905213270142181E-2</v>
      </c>
      <c r="Y414" s="86">
        <f>SUM(Source!HG35:HG36,Source!HG39,Source!HG42)/SUM(Source!HG6:HG7,Source!HG10,Source!HG13)</f>
        <v>2.2560975609756097E-2</v>
      </c>
      <c r="Z414" s="86">
        <f>SUM(Source!HH35:HH36,Source!HH39,Source!HH42)/SUM(Source!HH6:HH7,Source!HH10,Source!HH13)</f>
        <v>7.1256830601092891E-2</v>
      </c>
      <c r="AA414" s="86">
        <f>SUM(Source!HI35:HI36,Source!HI39,Source!HI42)/SUM(Source!HI6:HI7,Source!HI10,Source!HI13)</f>
        <v>2.068815331010453E-2</v>
      </c>
      <c r="AB414" s="86">
        <f>SUM(Source!HJ35:HJ36,Source!HJ39,Source!HJ42)/SUM(Source!HJ6:HJ7,Source!HJ10,Source!HJ13)</f>
        <v>2.4190401872805307E-2</v>
      </c>
      <c r="AC414" s="86">
        <f>SUM(Source!HK35:HK36,Source!HK39,Source!HK42)/SUM(Source!HK6:HK7,Source!HK10,Source!HK13)</f>
        <v>6.078808265257088E-2</v>
      </c>
      <c r="AD414" s="86">
        <f>SUM(Source!HL35:HL36,Source!HL39,Source!HL42)/SUM(Source!HL6:HL7,Source!HL10,Source!HL13)</f>
        <v>2.7155465037338764E-2</v>
      </c>
      <c r="AU414" s="67"/>
    </row>
    <row r="415" spans="3:47" hidden="1">
      <c r="C415" s="252"/>
      <c r="I415" s="28"/>
      <c r="J415" s="28"/>
      <c r="W415" s="51"/>
      <c r="X415" s="51"/>
      <c r="Y415" s="51"/>
      <c r="AU415" s="67"/>
    </row>
    <row r="416" spans="3:47" hidden="1" outlineLevel="1">
      <c r="C416" s="252"/>
      <c r="I416" s="28"/>
      <c r="J416" s="28"/>
      <c r="W416" s="51"/>
      <c r="X416" s="51"/>
      <c r="Y416" s="51"/>
      <c r="AU416" s="67"/>
    </row>
    <row r="417" spans="3:47" hidden="1" outlineLevel="1">
      <c r="C417" s="252"/>
      <c r="I417" s="28"/>
      <c r="J417" s="28"/>
      <c r="W417" s="51"/>
      <c r="X417" s="51"/>
      <c r="Y417" s="51"/>
      <c r="AU417" s="67"/>
    </row>
    <row r="418" spans="3:47" hidden="1" outlineLevel="1">
      <c r="C418" s="252"/>
      <c r="I418" s="28"/>
      <c r="J418" s="28"/>
      <c r="W418" s="51"/>
      <c r="X418" s="51"/>
      <c r="Y418" s="51"/>
      <c r="AU418" s="67"/>
    </row>
    <row r="419" spans="3:47" hidden="1" outlineLevel="1">
      <c r="C419" s="252"/>
      <c r="I419" s="28"/>
      <c r="J419" s="28"/>
      <c r="W419" s="51"/>
      <c r="X419" s="51"/>
      <c r="Y419" s="51"/>
      <c r="AU419" s="67"/>
    </row>
    <row r="420" spans="3:47" hidden="1" outlineLevel="1">
      <c r="C420" s="252"/>
      <c r="I420" s="28"/>
      <c r="J420" s="28"/>
      <c r="W420" s="51"/>
      <c r="X420" s="51"/>
      <c r="Y420" s="51"/>
      <c r="AU420" s="67"/>
    </row>
    <row r="421" spans="3:47" hidden="1" outlineLevel="1">
      <c r="C421" s="252"/>
      <c r="I421" s="28"/>
      <c r="J421" s="28"/>
      <c r="W421" s="51"/>
      <c r="X421" s="51"/>
      <c r="Y421" s="51"/>
      <c r="AU421" s="67"/>
    </row>
    <row r="422" spans="3:47" hidden="1" outlineLevel="1">
      <c r="C422" s="252"/>
      <c r="I422" s="28"/>
      <c r="J422" s="28"/>
      <c r="W422" s="51"/>
      <c r="X422" s="51"/>
      <c r="Y422" s="51"/>
      <c r="AU422" s="67"/>
    </row>
    <row r="423" spans="3:47" hidden="1" outlineLevel="1">
      <c r="C423" s="252"/>
      <c r="I423" s="28"/>
      <c r="J423" s="28"/>
      <c r="W423" s="51"/>
      <c r="X423" s="51"/>
      <c r="Y423" s="51"/>
      <c r="AU423" s="67"/>
    </row>
    <row r="424" spans="3:47" hidden="1" outlineLevel="1">
      <c r="C424" s="252"/>
      <c r="I424" s="28"/>
      <c r="J424" s="28"/>
      <c r="W424" s="51"/>
      <c r="X424" s="51"/>
      <c r="Y424" s="51"/>
      <c r="AU424" s="67"/>
    </row>
    <row r="425" spans="3:47" hidden="1" outlineLevel="1">
      <c r="C425" s="252"/>
      <c r="I425" s="28"/>
      <c r="J425" s="28"/>
      <c r="W425" s="51"/>
      <c r="X425" s="51"/>
      <c r="Y425" s="51"/>
      <c r="AU425" s="67"/>
    </row>
    <row r="426" spans="3:47" hidden="1" outlineLevel="1">
      <c r="C426" s="252"/>
      <c r="I426" s="28"/>
      <c r="J426" s="28"/>
      <c r="W426" s="51"/>
      <c r="X426" s="51"/>
      <c r="Y426" s="51"/>
      <c r="AU426" s="67"/>
    </row>
    <row r="427" spans="3:47" hidden="1" outlineLevel="1">
      <c r="C427" s="252"/>
      <c r="I427" s="28"/>
      <c r="J427" s="28"/>
      <c r="W427" s="51"/>
      <c r="X427" s="51"/>
      <c r="Y427" s="51"/>
      <c r="AU427" s="67"/>
    </row>
    <row r="428" spans="3:47" hidden="1" outlineLevel="1">
      <c r="C428" s="252"/>
      <c r="I428" s="28"/>
      <c r="J428" s="28"/>
      <c r="W428" s="51"/>
      <c r="X428" s="51"/>
      <c r="Y428" s="51"/>
      <c r="AU428" s="67"/>
    </row>
    <row r="429" spans="3:47" hidden="1" outlineLevel="1">
      <c r="C429" s="252"/>
      <c r="I429" s="28"/>
      <c r="J429" s="28"/>
      <c r="W429" s="51"/>
      <c r="X429" s="51"/>
      <c r="Y429" s="51"/>
      <c r="AU429" s="67"/>
    </row>
    <row r="430" spans="3:47" hidden="1" outlineLevel="1">
      <c r="C430" s="252"/>
      <c r="I430" s="28"/>
      <c r="J430" s="28"/>
      <c r="W430" s="51"/>
      <c r="X430" s="51"/>
      <c r="Y430" s="51"/>
      <c r="AU430" s="67"/>
    </row>
    <row r="431" spans="3:47" hidden="1" outlineLevel="1">
      <c r="C431" s="252"/>
      <c r="I431" s="28"/>
      <c r="J431" s="28"/>
      <c r="W431" s="51"/>
      <c r="X431" s="51"/>
      <c r="Y431" s="51"/>
      <c r="AU431" s="67"/>
    </row>
    <row r="432" spans="3:47" hidden="1" outlineLevel="1">
      <c r="C432" s="252"/>
      <c r="I432" s="28"/>
      <c r="J432" s="28"/>
      <c r="W432" s="51"/>
      <c r="X432" s="51"/>
      <c r="Y432" s="51"/>
      <c r="AU432" s="67"/>
    </row>
    <row r="433" spans="3:47" hidden="1" outlineLevel="1">
      <c r="C433" s="252"/>
      <c r="I433" s="28"/>
      <c r="J433" s="28"/>
      <c r="W433" s="51"/>
      <c r="X433" s="51"/>
      <c r="Y433" s="51"/>
      <c r="AU433" s="67"/>
    </row>
    <row r="434" spans="3:47" hidden="1" outlineLevel="1">
      <c r="C434" s="252"/>
      <c r="I434" s="28"/>
      <c r="J434" s="28"/>
      <c r="W434" s="51"/>
      <c r="X434" s="51"/>
      <c r="Y434" s="51"/>
      <c r="AU434" s="67"/>
    </row>
    <row r="435" spans="3:47" hidden="1" outlineLevel="1">
      <c r="C435" s="252"/>
      <c r="I435" s="28"/>
      <c r="J435" s="28"/>
      <c r="W435" s="51"/>
      <c r="X435" s="51"/>
      <c r="Y435" s="51"/>
      <c r="AU435" s="67"/>
    </row>
    <row r="436" spans="3:47" hidden="1">
      <c r="C436" s="252"/>
      <c r="I436" s="28"/>
      <c r="J436" s="28"/>
      <c r="W436" s="51"/>
      <c r="X436" s="51"/>
      <c r="Y436" s="51"/>
      <c r="AU436" s="67"/>
    </row>
    <row r="437" spans="3:47" hidden="1">
      <c r="C437" s="252"/>
      <c r="F437" s="67" t="s">
        <v>151</v>
      </c>
      <c r="G437" s="67" t="s">
        <v>185</v>
      </c>
      <c r="H437" s="67" t="s">
        <v>185</v>
      </c>
      <c r="I437" s="67" t="s">
        <v>185</v>
      </c>
      <c r="J437" s="67" t="s">
        <v>185</v>
      </c>
      <c r="K437" s="67" t="s">
        <v>185</v>
      </c>
      <c r="L437" s="67" t="s">
        <v>184</v>
      </c>
      <c r="M437" s="67" t="s">
        <v>185</v>
      </c>
      <c r="N437" s="454" t="s">
        <v>185</v>
      </c>
      <c r="O437" s="454" t="s">
        <v>186</v>
      </c>
      <c r="P437" s="454" t="s">
        <v>189</v>
      </c>
      <c r="Q437" s="454" t="s">
        <v>190</v>
      </c>
      <c r="R437" s="454" t="s">
        <v>191</v>
      </c>
      <c r="S437" s="454" t="s">
        <v>192</v>
      </c>
      <c r="T437" s="454" t="s">
        <v>213</v>
      </c>
      <c r="U437" s="67" t="s">
        <v>213</v>
      </c>
      <c r="V437" s="67" t="s">
        <v>213</v>
      </c>
      <c r="W437" s="67" t="s">
        <v>213</v>
      </c>
      <c r="X437" s="67" t="s">
        <v>213</v>
      </c>
      <c r="Y437" s="67" t="s">
        <v>213</v>
      </c>
      <c r="Z437" s="67" t="s">
        <v>213</v>
      </c>
      <c r="AA437" s="67" t="s">
        <v>214</v>
      </c>
      <c r="AB437" s="67" t="s">
        <v>242</v>
      </c>
      <c r="AC437" s="67" t="s">
        <v>243</v>
      </c>
      <c r="AD437" s="67" t="s">
        <v>244</v>
      </c>
      <c r="AU437" s="67"/>
    </row>
    <row r="438" spans="3:47" ht="14.4" hidden="1" thickTop="1">
      <c r="C438" s="463" t="s">
        <v>155</v>
      </c>
      <c r="D438" s="45" t="s">
        <v>64</v>
      </c>
      <c r="E438" s="45"/>
      <c r="F438" s="37">
        <f>SUM(Source!GN46:GN56)/SUM(Source!GN3:GN13)</f>
        <v>0.23709957393088213</v>
      </c>
      <c r="G438" s="37">
        <f>SUM(Source!GO46:GO56)/SUM(Source!GO3:GO13)</f>
        <v>0.1991318915625952</v>
      </c>
      <c r="H438" s="37">
        <f>SUM(Source!GP46:GP56)/SUM(Source!GP3:GP13)</f>
        <v>0.22340044422153757</v>
      </c>
      <c r="I438" s="37">
        <f>SUM(Source!GQ46:GQ56)/SUM(Source!GQ3:GQ13)</f>
        <v>0.22380094723500768</v>
      </c>
      <c r="J438" s="37">
        <f>SUM(Source!GR46:GR56)/SUM(Source!GR3:GR13)</f>
        <v>0.24830898268398269</v>
      </c>
      <c r="K438" s="37">
        <f>SUM(Source!GS46:GS56)/SUM(Source!GS3:GS13)</f>
        <v>0.24271608934930397</v>
      </c>
      <c r="L438" s="37">
        <f>SUM(Source!GT46:GT56)/SUM(Source!GT3:GT13)</f>
        <v>0.21301029339682095</v>
      </c>
      <c r="M438" s="37">
        <f>SUM(Source!GU46:GU56)/SUM(Source!GU3:GU13)</f>
        <v>0.2217722725107194</v>
      </c>
      <c r="N438" s="455">
        <f>SUM(Source!GV46:GV56)/SUM(Source!GV3:GV13)</f>
        <v>0.2805219012115564</v>
      </c>
      <c r="O438" s="455">
        <f>SUM(Source!GW46:GW56)/SUM(Source!GW3:GW13)</f>
        <v>0.25792248421296565</v>
      </c>
      <c r="P438" s="455">
        <f>SUM(Source!GX46:GX56)/SUM(Source!GX3:GX13)</f>
        <v>0.27159517691243329</v>
      </c>
      <c r="Q438" s="455">
        <f>SUM(Source!GY46:GY56)/SUM(Source!GY3:GY13)</f>
        <v>0.25857540787902905</v>
      </c>
      <c r="R438" s="455">
        <f>SUM(Source!GZ46:GZ56)/SUM(Source!GZ3:GZ13)</f>
        <v>0.20630592841163312</v>
      </c>
      <c r="S438" s="455">
        <f>SUM(Source!HA46:HA56)/SUM(Source!HA3:HA13)</f>
        <v>0.22742290748898678</v>
      </c>
      <c r="T438" s="455">
        <f>SUM(Source!HB46:HB56)/SUM(Source!HB3:HB13)</f>
        <v>0.22897655482240628</v>
      </c>
      <c r="U438" s="37">
        <f>SUM(Source!HC46:HC56)/SUM(Source!HC3:HC13)</f>
        <v>0.19400527009222662</v>
      </c>
      <c r="V438" s="37">
        <f>SUM(Source!HD46:HD56)/SUM(Source!HD3:HD13)</f>
        <v>0.17647784771072442</v>
      </c>
      <c r="W438" s="37">
        <f>SUM(Source!HE46:HE56)/SUM(Source!HE3:HE13)</f>
        <v>0.20434276851492827</v>
      </c>
      <c r="X438" s="37">
        <f>SUM(Source!HF46:HF56)/SUM(Source!HF3:HF13)</f>
        <v>0.198584311063706</v>
      </c>
      <c r="Y438" s="37">
        <f>SUM(Source!HG46:HG56)/SUM(Source!HG3:HG13)</f>
        <v>0.17673494983277591</v>
      </c>
      <c r="Z438" s="37">
        <f>SUM(Source!HH46:HH56)/SUM(Source!HH3:HH13)</f>
        <v>0.17389056441189144</v>
      </c>
      <c r="AA438" s="37">
        <f>SUM(Source!HI46:HI56)/SUM(Source!HI3:HI13)</f>
        <v>0.17439862542955326</v>
      </c>
      <c r="AB438" s="37">
        <f>SUM(Source!HJ46:HJ56)/SUM(Source!HJ3:HJ13)</f>
        <v>0.18475794251134645</v>
      </c>
      <c r="AC438" s="37">
        <f>SUM(Source!HK46:HK56)/SUM(Source!HK3:HK13)</f>
        <v>0.16609977324263039</v>
      </c>
      <c r="AD438" s="37">
        <f>SUM(Source!HL46:HL56)/SUM(Source!HL3:HL13)</f>
        <v>0.16491950580307002</v>
      </c>
      <c r="AU438" s="67"/>
    </row>
    <row r="439" spans="3:47" hidden="1">
      <c r="C439" s="435"/>
      <c r="D439" s="47" t="s">
        <v>13</v>
      </c>
      <c r="E439" s="47"/>
      <c r="F439" s="39">
        <f>+Source!GN97</f>
        <v>0.26400000000000001</v>
      </c>
      <c r="G439" s="39">
        <f>+Source!GO97</f>
        <v>0.27151898734177216</v>
      </c>
      <c r="H439" s="39">
        <f>+Source!GP97</f>
        <v>0.29703232644409117</v>
      </c>
      <c r="I439" s="39">
        <f>+Source!GQ97</f>
        <v>0.27722772277227725</v>
      </c>
      <c r="J439" s="39">
        <f>+Source!GR97</f>
        <v>0.34199796126401633</v>
      </c>
      <c r="K439" s="39">
        <f>+Source!GS97</f>
        <v>0.37306552518933156</v>
      </c>
      <c r="L439" s="39">
        <f>+Source!GT97</f>
        <v>0.33451223106395522</v>
      </c>
      <c r="M439" s="39">
        <f>+Source!GU97</f>
        <v>0.36725146198830411</v>
      </c>
      <c r="N439" s="456">
        <f>+Source!GV97</f>
        <v>0.55921052631578949</v>
      </c>
      <c r="O439" s="456">
        <f>+Source!GW97</f>
        <v>0.40994671403197158</v>
      </c>
      <c r="P439" s="456">
        <f>+Source!GX97</f>
        <v>0.36393063583815027</v>
      </c>
      <c r="Q439" s="456">
        <f>+Source!GY97</f>
        <v>0.31580732700135683</v>
      </c>
      <c r="R439" s="456">
        <f>+Source!GZ97</f>
        <v>0.23425000000000001</v>
      </c>
      <c r="S439" s="456">
        <f>+Source!HA97</f>
        <v>0.25960566228513648</v>
      </c>
      <c r="T439" s="456">
        <f>+Source!HB97</f>
        <v>0.26404926866820633</v>
      </c>
      <c r="U439" s="39">
        <f>+Source!HC97</f>
        <v>0.28299595141700407</v>
      </c>
      <c r="V439" s="39">
        <f>+Source!HD97</f>
        <v>0.26891447368421051</v>
      </c>
      <c r="W439" s="39">
        <f>+Source!HE97</f>
        <v>0.30835170217976976</v>
      </c>
      <c r="X439" s="39">
        <f>+Source!HF97</f>
        <v>0.26523729221874248</v>
      </c>
      <c r="Y439" s="39">
        <f>+Source!HG97</f>
        <v>0.2132814836972779</v>
      </c>
      <c r="Z439" s="39">
        <f>+Source!HH97</f>
        <v>0.18575498575498575</v>
      </c>
      <c r="AA439" s="39">
        <f>+Source!HI97</f>
        <v>0.17656105813595815</v>
      </c>
      <c r="AB439" s="39">
        <f>+Source!HJ97</f>
        <v>0.21529098516546216</v>
      </c>
      <c r="AC439" s="39">
        <f>+Source!HK97</f>
        <v>0.16909620991253643</v>
      </c>
      <c r="AD439" s="39">
        <f>+Source!HL97</f>
        <v>0.21960333429146306</v>
      </c>
      <c r="AU439" s="67"/>
    </row>
    <row r="440" spans="3:47" hidden="1">
      <c r="C440" s="435"/>
      <c r="D440" s="47" t="s">
        <v>14</v>
      </c>
      <c r="E440" s="47"/>
      <c r="F440" s="39">
        <f>+Source!GN98</f>
        <v>0.18735026353617634</v>
      </c>
      <c r="G440" s="39">
        <f>+Source!GO98</f>
        <v>0.19373549883990721</v>
      </c>
      <c r="H440" s="39">
        <f>+Source!GP98</f>
        <v>0.21380404601348671</v>
      </c>
      <c r="I440" s="39">
        <f>+Source!GQ98</f>
        <v>0.23589954713874023</v>
      </c>
      <c r="J440" s="39">
        <f>+Source!GR98</f>
        <v>0.17644539614561028</v>
      </c>
      <c r="K440" s="39">
        <f>+Source!GS98</f>
        <v>0.20597484276729561</v>
      </c>
      <c r="L440" s="39">
        <f>+Source!GT98</f>
        <v>0.20274599542334096</v>
      </c>
      <c r="M440" s="39">
        <f>+Source!GU98</f>
        <v>0.17807563427477263</v>
      </c>
      <c r="N440" s="456">
        <f>+Source!GV98</f>
        <v>0.19451697127937337</v>
      </c>
      <c r="O440" s="456">
        <f>+Source!GW98</f>
        <v>0.17166866746698681</v>
      </c>
      <c r="P440" s="456">
        <f>+Source!GX98</f>
        <v>0.27944969905417028</v>
      </c>
      <c r="Q440" s="456">
        <f>+Source!GY98</f>
        <v>0.21206896551724139</v>
      </c>
      <c r="R440" s="456">
        <f>+Source!GZ98</f>
        <v>0.18513931888544891</v>
      </c>
      <c r="S440" s="456">
        <f>+Source!HA98</f>
        <v>0.2320280537697253</v>
      </c>
      <c r="T440" s="456">
        <f>+Source!HB98</f>
        <v>0.23380281690140844</v>
      </c>
      <c r="U440" s="39">
        <f>+Source!HC98</f>
        <v>0.18646408839779005</v>
      </c>
      <c r="V440" s="39">
        <f>+Source!HD98</f>
        <v>0.19535374868004224</v>
      </c>
      <c r="W440" s="39">
        <f>+Source!HE98</f>
        <v>0.18712753277711561</v>
      </c>
      <c r="X440" s="39">
        <f>+Source!HF98</f>
        <v>0.16631799163179917</v>
      </c>
      <c r="Y440" s="39">
        <f>+Source!HG98</f>
        <v>0.18852459016393441</v>
      </c>
      <c r="Z440" s="39">
        <f>+Source!HH98</f>
        <v>0.19627085377821393</v>
      </c>
      <c r="AA440" s="39">
        <f>+Source!HI98</f>
        <v>0.19107142857142856</v>
      </c>
      <c r="AB440" s="39">
        <f>+Source!HJ98</f>
        <v>0.2711864406779661</v>
      </c>
      <c r="AC440" s="39">
        <f>+Source!HK98</f>
        <v>0.15944881889763779</v>
      </c>
      <c r="AD440" s="39">
        <f>+Source!HL98</f>
        <v>0.18294051627384961</v>
      </c>
      <c r="AU440" s="67"/>
    </row>
    <row r="441" spans="3:47" hidden="1">
      <c r="C441" s="435"/>
      <c r="D441" s="47" t="s">
        <v>17</v>
      </c>
      <c r="E441" s="47"/>
      <c r="F441" s="39">
        <f>+Source!GN99</f>
        <v>0.35993740219092329</v>
      </c>
      <c r="G441" s="39">
        <f>+Source!GO99</f>
        <v>0.27263479145473041</v>
      </c>
      <c r="H441" s="39">
        <f>+Source!GP99</f>
        <v>0.23787740164684354</v>
      </c>
      <c r="I441" s="39">
        <f>+Source!GQ99</f>
        <v>0.25698827772768262</v>
      </c>
      <c r="J441" s="39">
        <f>+Source!GR99</f>
        <v>0.3104066985645933</v>
      </c>
      <c r="K441" s="39">
        <f>+Source!GS99</f>
        <v>0.22392344497607655</v>
      </c>
      <c r="L441" s="39">
        <f>+Source!GT99</f>
        <v>0.23774765380604795</v>
      </c>
      <c r="M441" s="39">
        <f>+Source!GU99</f>
        <v>0.17486338797814208</v>
      </c>
      <c r="N441" s="456">
        <f>+Source!GV99</f>
        <v>0.19098143236074269</v>
      </c>
      <c r="O441" s="456">
        <f>+Source!GW99</f>
        <v>0.30324276950043821</v>
      </c>
      <c r="P441" s="456">
        <f>+Source!GX99</f>
        <v>0.24481327800829875</v>
      </c>
      <c r="Q441" s="456">
        <f>+Source!GY99</f>
        <v>0.29912023460410558</v>
      </c>
      <c r="R441" s="456">
        <f>+Source!GZ99</f>
        <v>0.24673629242819844</v>
      </c>
      <c r="S441" s="456">
        <f>+Source!HA99</f>
        <v>0.37428571428571428</v>
      </c>
      <c r="T441" s="456">
        <f>+Source!HB99</f>
        <v>0.38907103825136613</v>
      </c>
      <c r="U441" s="39">
        <f>+Source!HC99</f>
        <v>0.33605220228384991</v>
      </c>
      <c r="V441" s="39">
        <f>+Source!HD99</f>
        <v>0.2504708097928437</v>
      </c>
      <c r="W441" s="39">
        <f>+Source!HE99</f>
        <v>0.20467032967032966</v>
      </c>
      <c r="X441" s="39">
        <f>+Source!HF99</f>
        <v>0.2087912087912088</v>
      </c>
      <c r="Y441" s="39">
        <f>+Source!HG99</f>
        <v>0.22950819672131148</v>
      </c>
      <c r="Z441" s="39">
        <f>+Source!HH99</f>
        <v>0.21015138023152272</v>
      </c>
      <c r="AA441" s="39">
        <f>+Source!HI99</f>
        <v>0.23919915700737618</v>
      </c>
      <c r="AB441" s="39">
        <f>+Source!HJ99</f>
        <v>0.21160409556313994</v>
      </c>
      <c r="AC441" s="39">
        <f>+Source!HK99</f>
        <v>0.22041259500542887</v>
      </c>
      <c r="AD441" s="39">
        <f>+Source!HL99</f>
        <v>0.20254506892895016</v>
      </c>
      <c r="AU441" s="67"/>
    </row>
    <row r="442" spans="3:47" hidden="1">
      <c r="C442" s="435"/>
      <c r="D442" s="47" t="s">
        <v>18</v>
      </c>
      <c r="E442" s="47"/>
      <c r="F442" s="39">
        <f>+Source!GN100</f>
        <v>0.36075036075036077</v>
      </c>
      <c r="G442" s="39">
        <f>+Source!GO100</f>
        <v>0.20884520884520885</v>
      </c>
      <c r="H442" s="39">
        <f>+Source!GP100</f>
        <v>0.2774566473988439</v>
      </c>
      <c r="I442" s="39">
        <f>+Source!GQ100</f>
        <v>0.34226190476190477</v>
      </c>
      <c r="J442" s="39">
        <f>+Source!GR100</f>
        <v>0.28177966101694918</v>
      </c>
      <c r="K442" s="39">
        <f>+Source!GS100</f>
        <v>0.13793103448275862</v>
      </c>
      <c r="L442" s="39">
        <f>+Source!GT100</f>
        <v>0.1437216338880484</v>
      </c>
      <c r="M442" s="39">
        <f>+Source!GU100</f>
        <v>0.16517857142857142</v>
      </c>
      <c r="N442" s="456">
        <f>+Source!GV100</f>
        <v>0.12542372881355932</v>
      </c>
      <c r="O442" s="456">
        <f>+Source!GW100</f>
        <v>0.16727272727272727</v>
      </c>
      <c r="P442" s="456">
        <f>+Source!GX100</f>
        <v>0.12</v>
      </c>
      <c r="Q442" s="456">
        <f>+Source!GY100</f>
        <v>0.26470588235294118</v>
      </c>
      <c r="R442" s="456">
        <f>+Source!GZ100</f>
        <v>0.17374517374517376</v>
      </c>
      <c r="S442" s="456">
        <f>+Source!HA100</f>
        <v>0.17049180327868851</v>
      </c>
      <c r="T442" s="456">
        <f>+Source!HB100</f>
        <v>0.19207317073170732</v>
      </c>
      <c r="U442" s="39">
        <f>+Source!HC100</f>
        <v>0.1391941391941392</v>
      </c>
      <c r="V442" s="39">
        <f>+Source!HD100</f>
        <v>0.12173913043478261</v>
      </c>
      <c r="W442" s="39">
        <f>+Source!HE100</f>
        <v>0.2696629213483146</v>
      </c>
      <c r="X442" s="39">
        <f>+Source!HF100</f>
        <v>0.33450704225352113</v>
      </c>
      <c r="Y442" s="39">
        <f>+Source!HG100</f>
        <v>0.11242603550295859</v>
      </c>
      <c r="Z442" s="39">
        <f>+Source!HH100</f>
        <v>0.12307692307692308</v>
      </c>
      <c r="AA442" s="39">
        <f>+Source!HI100</f>
        <v>0.11046511627906977</v>
      </c>
      <c r="AB442" s="39">
        <f>+Source!HJ100</f>
        <v>0.11363636363636363</v>
      </c>
      <c r="AC442" s="39">
        <f>+Source!HK100</f>
        <v>9.3457943925233641E-2</v>
      </c>
      <c r="AD442" s="39">
        <f>+Source!HL100</f>
        <v>6.0869565217391307E-2</v>
      </c>
      <c r="AU442" s="67"/>
    </row>
    <row r="443" spans="3:47" hidden="1">
      <c r="C443" s="435"/>
      <c r="D443" s="47" t="s">
        <v>19</v>
      </c>
      <c r="E443" s="47"/>
      <c r="F443" s="39">
        <f>+Source!GN101</f>
        <v>0.16427640156453716</v>
      </c>
      <c r="G443" s="39">
        <f>+Source!GO101</f>
        <v>0.21503131524008351</v>
      </c>
      <c r="H443" s="39">
        <f>+Source!GP101</f>
        <v>0.23323170731707318</v>
      </c>
      <c r="I443" s="39">
        <f>+Source!GQ101</f>
        <v>0.1906677393403057</v>
      </c>
      <c r="J443" s="39">
        <f>+Source!GR101</f>
        <v>0.28708901363271855</v>
      </c>
      <c r="K443" s="39">
        <f>+Source!GS101</f>
        <v>5.3042121684867397E-2</v>
      </c>
      <c r="L443" s="39">
        <f>+Source!GT101</f>
        <v>5.459387483355526E-2</v>
      </c>
      <c r="M443" s="39">
        <f>+Source!GU101</f>
        <v>0.29174311926605506</v>
      </c>
      <c r="N443" s="456">
        <f>+Source!GV101</f>
        <v>0.23952095808383234</v>
      </c>
      <c r="O443" s="456">
        <f>+Source!GW101</f>
        <v>0.36430678466076694</v>
      </c>
      <c r="P443" s="456">
        <f>+Source!GX101</f>
        <v>0.31778929188255611</v>
      </c>
      <c r="Q443" s="456">
        <f>+Source!GY101</f>
        <v>0.39292730844793711</v>
      </c>
      <c r="R443" s="456">
        <f>+Source!GZ101</f>
        <v>0.38579387186629527</v>
      </c>
      <c r="S443" s="456">
        <f>+Source!HA101</f>
        <v>0.35018726591760302</v>
      </c>
      <c r="T443" s="456">
        <f>+Source!HB101</f>
        <v>0.27724665391969405</v>
      </c>
      <c r="U443" s="39">
        <f>+Source!HC101</f>
        <v>0.30044843049327352</v>
      </c>
      <c r="V443" s="39">
        <f>+Source!HD101</f>
        <v>0.22097378277153559</v>
      </c>
      <c r="W443" s="39">
        <f>+Source!HE101</f>
        <v>0.12860576923076922</v>
      </c>
      <c r="X443" s="39">
        <f>+Source!HF101</f>
        <v>6.5769805680119586E-2</v>
      </c>
      <c r="Y443" s="39">
        <f>+Source!HG101</f>
        <v>6.8150208623087627E-2</v>
      </c>
      <c r="Z443" s="39">
        <f>+Source!HH101</f>
        <v>0.16960651289009498</v>
      </c>
      <c r="AA443" s="39">
        <f>+Source!HI101</f>
        <v>4.0257648953301126E-2</v>
      </c>
      <c r="AB443" s="39">
        <f>+Source!HJ101</f>
        <v>7.7826725403817909E-2</v>
      </c>
      <c r="AC443" s="39">
        <f>+Source!HK101</f>
        <v>0.23113207547169812</v>
      </c>
      <c r="AD443" s="39">
        <f>+Source!HL101</f>
        <v>3.6608863198458574E-2</v>
      </c>
      <c r="AU443" s="67"/>
    </row>
    <row r="444" spans="3:47" hidden="1">
      <c r="C444" s="435"/>
      <c r="D444" s="47" t="s">
        <v>21</v>
      </c>
      <c r="E444" s="47"/>
      <c r="F444" s="39">
        <f>+Source!GN102</f>
        <v>0.59530386740331487</v>
      </c>
      <c r="G444" s="39">
        <f>+Source!GO102</f>
        <v>0.18861209964412812</v>
      </c>
      <c r="H444" s="39">
        <f>+Source!GP102</f>
        <v>0.35416666666666669</v>
      </c>
      <c r="I444" s="39">
        <f>+Source!GQ102</f>
        <v>0.37731481481481483</v>
      </c>
      <c r="J444" s="39">
        <f>+Source!GR102</f>
        <v>0.30327868852459017</v>
      </c>
      <c r="K444" s="39">
        <f>+Source!GS102</f>
        <v>0.27631578947368424</v>
      </c>
      <c r="L444" s="39">
        <f>+Source!GT102</f>
        <v>0.31020408163265306</v>
      </c>
      <c r="M444" s="39">
        <f>+Source!GU102</f>
        <v>0.49609375</v>
      </c>
      <c r="N444" s="456">
        <f>+Source!GV102</f>
        <v>0.29268292682926828</v>
      </c>
      <c r="O444" s="456">
        <f>+Source!GW102</f>
        <v>0.24087591240875914</v>
      </c>
      <c r="P444" s="456">
        <f>+Source!GX102</f>
        <v>0.19217081850533807</v>
      </c>
      <c r="Q444" s="456">
        <f>+Source!GY102</f>
        <v>0.33333333333333331</v>
      </c>
      <c r="R444" s="456">
        <f>+Source!GZ102</f>
        <v>0.30409356725146197</v>
      </c>
      <c r="S444" s="456">
        <f>+Source!HA102</f>
        <v>0.31318681318681318</v>
      </c>
      <c r="T444" s="456">
        <f>+Source!HB102</f>
        <v>0.33571428571428569</v>
      </c>
      <c r="U444" s="39">
        <f>+Source!HC102</f>
        <v>0.23863636363636365</v>
      </c>
      <c r="V444" s="39">
        <f>+Source!HD102</f>
        <v>0.12941176470588237</v>
      </c>
      <c r="W444" s="39">
        <f>+Source!HE102</f>
        <v>0.18888888888888888</v>
      </c>
      <c r="X444" s="39">
        <f>+Source!HF102</f>
        <v>0.17777777777777778</v>
      </c>
      <c r="Y444" s="39">
        <f>+Source!HG102</f>
        <v>8.2568807339449546E-2</v>
      </c>
      <c r="Z444" s="39">
        <f>+Source!HH102</f>
        <v>0.21551724137931033</v>
      </c>
      <c r="AA444" s="39">
        <f>+Source!HI102</f>
        <v>0.28925619834710742</v>
      </c>
      <c r="AB444" s="39">
        <f>+Source!HJ102</f>
        <v>0.16216216216216217</v>
      </c>
      <c r="AC444" s="39">
        <f>+Source!HK102</f>
        <v>0.12162162162162163</v>
      </c>
      <c r="AD444" s="39">
        <f>+Source!HL102</f>
        <v>5.6338028169014086E-2</v>
      </c>
      <c r="AU444" s="67"/>
    </row>
    <row r="445" spans="3:47" hidden="1">
      <c r="C445" s="435"/>
      <c r="D445" s="47" t="s">
        <v>22</v>
      </c>
      <c r="E445" s="47"/>
      <c r="F445" s="39">
        <f>+Source!GN103</f>
        <v>0.24516129032258063</v>
      </c>
      <c r="G445" s="39">
        <f>+Source!GO103</f>
        <v>0.17058823529411765</v>
      </c>
      <c r="H445" s="39">
        <f>+Source!GP103</f>
        <v>0.22099447513812154</v>
      </c>
      <c r="I445" s="39">
        <f>+Source!GQ103</f>
        <v>8.8235294117647065E-2</v>
      </c>
      <c r="J445" s="39">
        <f>+Source!GR103</f>
        <v>0.12418300653594772</v>
      </c>
      <c r="K445" s="39">
        <f>+Source!GS103</f>
        <v>0.13385826771653545</v>
      </c>
      <c r="L445" s="39">
        <f>+Source!GT103</f>
        <v>0.13084112149532709</v>
      </c>
      <c r="M445" s="39">
        <f>+Source!GU103</f>
        <v>8.2802547770700632E-2</v>
      </c>
      <c r="N445" s="456">
        <f>+Source!GV103</f>
        <v>0.10928961748633879</v>
      </c>
      <c r="O445" s="456">
        <f>+Source!GW103</f>
        <v>0.23643410852713179</v>
      </c>
      <c r="P445" s="456">
        <f>+Source!GX103</f>
        <v>0.17358490566037735</v>
      </c>
      <c r="Q445" s="456">
        <f>+Source!GY103</f>
        <v>0.28000000000000003</v>
      </c>
      <c r="R445" s="456">
        <f>+Source!GZ103</f>
        <v>0.13718411552346571</v>
      </c>
      <c r="S445" s="456">
        <f>+Source!HA103</f>
        <v>4.405286343612335E-2</v>
      </c>
      <c r="T445" s="456">
        <f>+Source!HB103</f>
        <v>0.12840466926070038</v>
      </c>
      <c r="U445" s="39">
        <f>+Source!HC103</f>
        <v>0.17733990147783252</v>
      </c>
      <c r="V445" s="39">
        <f>+Source!HD103</f>
        <v>8.6538461538461536E-2</v>
      </c>
      <c r="W445" s="39">
        <f>+Source!HE103</f>
        <v>0.15151515151515152</v>
      </c>
      <c r="X445" s="39">
        <f>+Source!HF103</f>
        <v>0.18656716417910449</v>
      </c>
      <c r="Y445" s="39">
        <f>+Source!HG103</f>
        <v>0.15642458100558659</v>
      </c>
      <c r="Z445" s="39">
        <f>+Source!HH103</f>
        <v>0.1811320754716981</v>
      </c>
      <c r="AA445" s="39">
        <f>+Source!HI103</f>
        <v>0.11428571428571428</v>
      </c>
      <c r="AB445" s="39">
        <f>+Source!HJ103</f>
        <v>0</v>
      </c>
      <c r="AC445" s="39">
        <f>+Source!HK103</f>
        <v>0</v>
      </c>
      <c r="AD445" s="39">
        <f>+Source!HL103</f>
        <v>4.048582995951417E-3</v>
      </c>
      <c r="AU445" s="67"/>
    </row>
    <row r="446" spans="3:47" hidden="1">
      <c r="C446" s="435"/>
      <c r="D446" s="48" t="s">
        <v>62</v>
      </c>
      <c r="E446" s="48"/>
      <c r="F446" s="41">
        <f>SUM(Source!GN46:GN48,Source!GN51:GN52,Source!GN54:GN55)/SUM(Source!GN3:GN5,Source!GN8:GN9,Source!GN11:GN12)</f>
        <v>0.2858455882352941</v>
      </c>
      <c r="G446" s="41">
        <f>SUM(Source!GO46:GO48,Source!GO51:GO52,Source!GO54:GO55)/SUM(Source!GO3:GO5,Source!GO8:GO9,Source!GO11:GO12)</f>
        <v>0.23260820303648311</v>
      </c>
      <c r="H446" s="41">
        <f>SUM(Source!GP46:GP48,Source!GP51:GP52,Source!GP54:GP55)/SUM(Source!GP3:GP5,Source!GP8:GP9,Source!GP11:GP12)</f>
        <v>0.26068566340160287</v>
      </c>
      <c r="I446" s="41">
        <f>SUM(Source!GQ46:GQ48,Source!GQ51:GQ52,Source!GQ54:GQ55)/SUM(Source!GQ3:GQ5,Source!GQ8:GQ9,Source!GQ11:GQ12)</f>
        <v>0.25891553701772679</v>
      </c>
      <c r="J446" s="41">
        <f>SUM(Source!GR46:GR48,Source!GR51:GR52,Source!GR54:GR55)/SUM(Source!GR3:GR5,Source!GR8:GR9,Source!GR11:GR12)</f>
        <v>0.28436349158952923</v>
      </c>
      <c r="K446" s="41">
        <f>SUM(Source!GS46:GS48,Source!GS51:GS52,Source!GS54:GS55)/SUM(Source!GS3:GS5,Source!GS8:GS9,Source!GS11:GS12)</f>
        <v>0.26255989048596851</v>
      </c>
      <c r="L446" s="41">
        <f>SUM(Source!GT46:GT48,Source!GT51:GT52,Source!GT54:GT55)/SUM(Source!GT3:GT5,Source!GT8:GT9,Source!GT11:GT12)</f>
        <v>0.2433396764985728</v>
      </c>
      <c r="M446" s="41">
        <f>SUM(Source!GU46:GU48,Source!GU51:GU52,Source!GU54:GU55)/SUM(Source!GU3:GU5,Source!GU8:GU9,Source!GU11:GU12)</f>
        <v>0.27070645554202194</v>
      </c>
      <c r="N446" s="457">
        <f>SUM(Source!GV46:GV48,Source!GV51:GV52,Source!GV54:GV55)/SUM(Source!GV3:GV5,Source!GV8:GV9,Source!GV11:GV12)</f>
        <v>0.3876002601344028</v>
      </c>
      <c r="O446" s="457">
        <f>SUM(Source!GW46:GW48,Source!GW51:GW52,Source!GW54:GW55)/SUM(Source!GW3:GW5,Source!GW8:GW9,Source!GW11:GW12)</f>
        <v>0.33864140294295503</v>
      </c>
      <c r="P446" s="457">
        <f>SUM(Source!GX46:GX48,Source!GX51:GX52,Source!GX54:GX55)/SUM(Source!GX3:GX5,Source!GX8:GX9,Source!GX11:GX12)</f>
        <v>0.31299580027998136</v>
      </c>
      <c r="Q446" s="457">
        <f>SUM(Source!GY46:GY48,Source!GY51:GY52,Source!GY54:GY55)/SUM(Source!GY3:GY5,Source!GY8:GY9,Source!GY11:GY12)</f>
        <v>0.29732572115384615</v>
      </c>
      <c r="R446" s="457">
        <f>SUM(Source!GZ46:GZ48,Source!GZ51:GZ52,Source!GZ54:GZ55)/SUM(Source!GZ3:GZ5,Source!GZ8:GZ9,Source!GZ11:GZ12)</f>
        <v>0.23635090993933738</v>
      </c>
      <c r="S446" s="457">
        <f>SUM(Source!HA46:HA48,Source!HA51:HA52,Source!HA54:HA55)/SUM(Source!HA3:HA5,Source!HA8:HA9,Source!HA11:HA12)</f>
        <v>0.27524523946912866</v>
      </c>
      <c r="T446" s="457">
        <f>SUM(Source!HB46:HB48,Source!HB51:HB52,Source!HB54:HB55)/SUM(Source!HB3:HB5,Source!HB8:HB9,Source!HB11:HB12)</f>
        <v>0.26804812834224601</v>
      </c>
      <c r="U446" s="41">
        <f>SUM(Source!HC46:HC48,Source!HC51:HC52,Source!HC54:HC55)/SUM(Source!HC3:HC5,Source!HC8:HC9,Source!HC11:HC12)</f>
        <v>0.26164562472790598</v>
      </c>
      <c r="V446" s="41">
        <f>SUM(Source!HD46:HD48,Source!HD51:HD52,Source!HD54:HD55)/SUM(Source!HD3:HD5,Source!HD8:HD9,Source!HD11:HD12)</f>
        <v>0.23767016291006471</v>
      </c>
      <c r="W446" s="41">
        <f>SUM(Source!HE46:HE48,Source!HE51:HE52,Source!HE54:HE55)/SUM(Source!HE3:HE5,Source!HE8:HE9,Source!HE11:HE12)</f>
        <v>0.25530369078756177</v>
      </c>
      <c r="X446" s="41">
        <f>SUM(Source!HF46:HF48,Source!HF51:HF52,Source!HF54:HF55)/SUM(Source!HF3:HF5,Source!HF8:HF9,Source!HF11:HF12)</f>
        <v>0.22649692221600448</v>
      </c>
      <c r="Y446" s="41">
        <f>SUM(Source!HG46:HG48,Source!HG51:HG52,Source!HG54:HG55)/SUM(Source!HG3:HG5,Source!HG8:HG9,Source!HG11:HG12)</f>
        <v>0.18909033078880408</v>
      </c>
      <c r="Z446" s="41">
        <f>SUM(Source!HH46:HH48,Source!HH51:HH52,Source!HH54:HH55)/SUM(Source!HH3:HH5,Source!HH8:HH9,Source!HH11:HH12)</f>
        <v>0.18748221906116644</v>
      </c>
      <c r="AA446" s="41">
        <f>SUM(Source!HI46:HI48,Source!HI51:HI52,Source!HI54:HI55)/SUM(Source!HI3:HI5,Source!HI8:HI9,Source!HI11:HI12)</f>
        <v>0.17182188987083616</v>
      </c>
      <c r="AB446" s="41">
        <f>SUM(Source!HJ46:HJ48,Source!HJ51:HJ52,Source!HJ54:HJ55)/SUM(Source!HJ3:HJ5,Source!HJ8:HJ9,Source!HJ11:HJ12)</f>
        <v>0.18697247706422018</v>
      </c>
      <c r="AC446" s="41">
        <f>SUM(Source!HK46:HK48,Source!HK51:HK52,Source!HK54:HK55)/SUM(Source!HK3:HK5,Source!HK8:HK9,Source!HK11:HK12)</f>
        <v>0.17325032202662086</v>
      </c>
      <c r="AD446" s="41">
        <f>SUM(Source!HL46:HL48,Source!HL51:HL52,Source!HL54:HL55)/SUM(Source!HL3:HL5,Source!HL8:HL9,Source!HL11:HL12)</f>
        <v>0.1833998403830806</v>
      </c>
      <c r="AU446" s="67"/>
    </row>
    <row r="447" spans="3:47" hidden="1">
      <c r="C447" s="435"/>
      <c r="D447" s="47" t="s">
        <v>15</v>
      </c>
      <c r="E447" s="47"/>
      <c r="F447" s="39">
        <f>+Source!GN105</f>
        <v>0.11037891268533773</v>
      </c>
      <c r="G447" s="39">
        <f>+Source!GO105</f>
        <v>0.10567345171069727</v>
      </c>
      <c r="H447" s="39">
        <f>+Source!GP105</f>
        <v>0.13460772600557547</v>
      </c>
      <c r="I447" s="39">
        <f>+Source!GQ105</f>
        <v>0.13671328671328672</v>
      </c>
      <c r="J447" s="39">
        <f>+Source!GR105</f>
        <v>0.10337178349600711</v>
      </c>
      <c r="K447" s="39">
        <f>+Source!GS105</f>
        <v>0.11394380853277836</v>
      </c>
      <c r="L447" s="39">
        <f>+Source!GT105</f>
        <v>0.13695171978542126</v>
      </c>
      <c r="M447" s="39">
        <f>+Source!GU105</f>
        <v>0.12447761194029851</v>
      </c>
      <c r="N447" s="456">
        <f>+Source!GV105</f>
        <v>0.11331444759206799</v>
      </c>
      <c r="O447" s="456">
        <f>+Source!GW105</f>
        <v>0.11193366893692627</v>
      </c>
      <c r="P447" s="456">
        <f>+Source!GX105</f>
        <v>0.18155452436194897</v>
      </c>
      <c r="Q447" s="456">
        <f>+Source!GY105</f>
        <v>0.15296495956873316</v>
      </c>
      <c r="R447" s="456">
        <f>+Source!GZ105</f>
        <v>7.2981366459627328E-2</v>
      </c>
      <c r="S447" s="456">
        <f>+Source!HA105</f>
        <v>7.3353804162401906E-2</v>
      </c>
      <c r="T447" s="456">
        <f>+Source!HB105</f>
        <v>5.6790123456790124E-2</v>
      </c>
      <c r="U447" s="39">
        <f>+Source!HC105</f>
        <v>4.3294614572333683E-2</v>
      </c>
      <c r="V447" s="39">
        <f>+Source!HD105</f>
        <v>3.0683403068340307E-2</v>
      </c>
      <c r="W447" s="39">
        <f>+Source!HE105</f>
        <v>2.4752475247524754E-2</v>
      </c>
      <c r="X447" s="39">
        <f>+Source!HF105</f>
        <v>8.4688346883468837E-2</v>
      </c>
      <c r="Y447" s="39">
        <f>+Source!HG105</f>
        <v>0.14949608062709965</v>
      </c>
      <c r="Z447" s="39">
        <f>+Source!HH105</f>
        <v>0.17030729359496483</v>
      </c>
      <c r="AA447" s="39">
        <f>+Source!HI105</f>
        <v>0.14249820531227567</v>
      </c>
      <c r="AB447" s="39">
        <f>+Source!HJ105</f>
        <v>0.15807962529274006</v>
      </c>
      <c r="AC447" s="39">
        <f>+Source!HK105</f>
        <v>0.14456521739130435</v>
      </c>
      <c r="AD447" s="39">
        <f>+Source!HL105</f>
        <v>0.12340966921119594</v>
      </c>
      <c r="AU447" s="67"/>
    </row>
    <row r="448" spans="3:47" hidden="1">
      <c r="C448" s="435"/>
      <c r="D448" s="47" t="s">
        <v>16</v>
      </c>
      <c r="E448" s="47"/>
      <c r="F448" s="39">
        <f>+Source!GN106</f>
        <v>0.1410488245931284</v>
      </c>
      <c r="G448" s="39">
        <f>+Source!GO106</f>
        <v>0.14918566775244299</v>
      </c>
      <c r="H448" s="39">
        <f>+Source!GP106</f>
        <v>0.17940199335548174</v>
      </c>
      <c r="I448" s="39">
        <f>+Source!GQ106</f>
        <v>0.21060842433697347</v>
      </c>
      <c r="J448" s="39">
        <f>+Source!GR106</f>
        <v>0.26556679084619478</v>
      </c>
      <c r="K448" s="39">
        <f>+Source!GS106</f>
        <v>0.2989449003516999</v>
      </c>
      <c r="L448" s="39">
        <f>+Source!GT106</f>
        <v>0.21079429735234215</v>
      </c>
      <c r="M448" s="39">
        <f>+Source!GU106</f>
        <v>0.21813031161473087</v>
      </c>
      <c r="N448" s="456">
        <f>+Source!GV106</f>
        <v>0.23637264618434092</v>
      </c>
      <c r="O448" s="456">
        <f>+Source!GW106</f>
        <v>0.25509696668324217</v>
      </c>
      <c r="P448" s="456">
        <f>+Source!GX106</f>
        <v>0.33766233766233766</v>
      </c>
      <c r="Q448" s="456">
        <f>+Source!GY106</f>
        <v>0.41713483146067415</v>
      </c>
      <c r="R448" s="456">
        <f>+Source!GZ106</f>
        <v>0.28625541125541126</v>
      </c>
      <c r="S448" s="456">
        <f>+Source!HA106</f>
        <v>0.30921052631578949</v>
      </c>
      <c r="T448" s="456">
        <f>+Source!HB106</f>
        <v>0.38790186125211507</v>
      </c>
      <c r="U448" s="39">
        <f>+Source!HC106</f>
        <v>0.29172056921086675</v>
      </c>
      <c r="V448" s="39">
        <f>+Source!HD106</f>
        <v>0.28059071729957807</v>
      </c>
      <c r="W448" s="39">
        <f>+Source!HE106</f>
        <v>0.18360995850622408</v>
      </c>
      <c r="X448" s="39">
        <f>+Source!HF106</f>
        <v>0.15307057745187902</v>
      </c>
      <c r="Y448" s="39">
        <f>+Source!HG106</f>
        <v>0.12748171368861025</v>
      </c>
      <c r="Z448" s="39">
        <f>+Source!HH106</f>
        <v>0.11148648648648649</v>
      </c>
      <c r="AA448" s="39">
        <f>+Source!HI106</f>
        <v>0.21808088818398097</v>
      </c>
      <c r="AB448" s="39">
        <f>+Source!HJ106</f>
        <v>0.19192825112107623</v>
      </c>
      <c r="AC448" s="39">
        <f>+Source!HK106</f>
        <v>0.19122609673790777</v>
      </c>
      <c r="AD448" s="39">
        <f>+Source!HL106</f>
        <v>0.16220735785953178</v>
      </c>
      <c r="AU448" s="67"/>
    </row>
    <row r="449" spans="2:49" hidden="1">
      <c r="C449" s="435"/>
      <c r="D449" s="47" t="s">
        <v>20</v>
      </c>
      <c r="E449" s="47"/>
      <c r="F449" s="39">
        <f>+Source!GN107</f>
        <v>0.18534482758620691</v>
      </c>
      <c r="G449" s="39">
        <f>+Source!GO107</f>
        <v>0.17826086956521739</v>
      </c>
      <c r="H449" s="39">
        <f>+Source!GP107</f>
        <v>0.21813031161473087</v>
      </c>
      <c r="I449" s="39">
        <f>+Source!GQ107</f>
        <v>0.15605095541401273</v>
      </c>
      <c r="J449" s="39">
        <f>+Source!GR107</f>
        <v>0.14583333333333334</v>
      </c>
      <c r="K449" s="39">
        <f>+Source!GS107</f>
        <v>0.15032679738562091</v>
      </c>
      <c r="L449" s="39">
        <f>+Source!GT107</f>
        <v>0.17989417989417988</v>
      </c>
      <c r="M449" s="39">
        <f>+Source!GU107</f>
        <v>0.18264840182648401</v>
      </c>
      <c r="N449" s="456">
        <f>+Source!GV107</f>
        <v>2.2594752186588921E-2</v>
      </c>
      <c r="O449" s="456">
        <f>+Source!GW107</f>
        <v>2.404207362885049E-2</v>
      </c>
      <c r="P449" s="456">
        <f>+Source!GX107</f>
        <v>4.7748976807639835E-2</v>
      </c>
      <c r="Q449" s="456">
        <f>+Source!GY107</f>
        <v>3.7924151696606789E-2</v>
      </c>
      <c r="R449" s="456">
        <f>+Source!GZ107</f>
        <v>7.6716016150740238E-2</v>
      </c>
      <c r="S449" s="456">
        <f>+Source!HA107</f>
        <v>8.5679314565483472E-2</v>
      </c>
      <c r="T449" s="456">
        <f>+Source!HB107</f>
        <v>7.4666666666666673E-2</v>
      </c>
      <c r="U449" s="39">
        <f>+Source!HC107</f>
        <v>1.556420233463035E-2</v>
      </c>
      <c r="V449" s="39">
        <f>+Source!HD107</f>
        <v>5.2391799544419138E-2</v>
      </c>
      <c r="W449" s="39">
        <f>+Source!HE107</f>
        <v>0.19621749408983452</v>
      </c>
      <c r="X449" s="39">
        <f>+Source!HF107</f>
        <v>0.2289156626506024</v>
      </c>
      <c r="Y449" s="39">
        <f>+Source!HG107</f>
        <v>0.18823529411764706</v>
      </c>
      <c r="Z449" s="39">
        <f>+Source!HH107</f>
        <v>0.16494845360824742</v>
      </c>
      <c r="AA449" s="39">
        <f>+Source!HI107</f>
        <v>0.34065934065934067</v>
      </c>
      <c r="AB449" s="39">
        <f>+Source!HJ107</f>
        <v>0.375</v>
      </c>
      <c r="AC449" s="39">
        <f>+Source!HK107</f>
        <v>0.17803030303030304</v>
      </c>
      <c r="AD449" s="39">
        <f>+Source!HL107</f>
        <v>9.8814229249011856E-2</v>
      </c>
      <c r="AU449" s="67"/>
    </row>
    <row r="450" spans="2:49" hidden="1">
      <c r="C450" s="435"/>
      <c r="D450" s="47" t="s">
        <v>23</v>
      </c>
      <c r="E450" s="47"/>
      <c r="F450" s="39">
        <f>+Source!GN108</f>
        <v>0.15116279069767441</v>
      </c>
      <c r="G450" s="39">
        <f>+Source!GO108</f>
        <v>0.20689655172413793</v>
      </c>
      <c r="H450" s="39">
        <f>+Source!GP108</f>
        <v>0.12211221122112212</v>
      </c>
      <c r="I450" s="39">
        <f>+Source!GQ108</f>
        <v>8.8815789473684209E-2</v>
      </c>
      <c r="J450" s="39">
        <f>+Source!GR108</f>
        <v>0.13106796116504854</v>
      </c>
      <c r="K450" s="39">
        <f>+Source!GS108</f>
        <v>0.17745803357314149</v>
      </c>
      <c r="L450" s="39">
        <f>+Source!GT108</f>
        <v>0.20689655172413793</v>
      </c>
      <c r="M450" s="39">
        <f>+Source!GU108</f>
        <v>0.25</v>
      </c>
      <c r="N450" s="456">
        <f>+Source!GV108</f>
        <v>0.16946564885496182</v>
      </c>
      <c r="O450" s="456">
        <f>+Source!GW108</f>
        <v>0.27258064516129032</v>
      </c>
      <c r="P450" s="456">
        <f>+Source!GX108</f>
        <v>0.25651302605210419</v>
      </c>
      <c r="Q450" s="456">
        <f>+Source!GY108</f>
        <v>0.35728155339805823</v>
      </c>
      <c r="R450" s="456">
        <f>+Source!GZ108</f>
        <v>0.26725663716814158</v>
      </c>
      <c r="S450" s="456">
        <f>+Source!HA108</f>
        <v>0.26410835214446954</v>
      </c>
      <c r="T450" s="456">
        <f>+Source!HB108</f>
        <v>0.24271844660194175</v>
      </c>
      <c r="U450" s="39">
        <f>+Source!HC108</f>
        <v>0.34782608695652173</v>
      </c>
      <c r="V450" s="39">
        <f>+Source!HD108</f>
        <v>0.11904761904761904</v>
      </c>
      <c r="W450" s="39">
        <f>+Source!HE108</f>
        <v>0.20087336244541484</v>
      </c>
      <c r="X450" s="39">
        <f>+Source!HF108</f>
        <v>0.22922636103151864</v>
      </c>
      <c r="Y450" s="39">
        <f>+Source!HG108</f>
        <v>0.22070844686648503</v>
      </c>
      <c r="Z450" s="39">
        <f>+Source!HH108</f>
        <v>0.15322580645161291</v>
      </c>
      <c r="AA450" s="39">
        <f>+Source!HI108</f>
        <v>0.22589531680440772</v>
      </c>
      <c r="AB450" s="39">
        <f>+Source!HJ108</f>
        <v>0.26614987080103358</v>
      </c>
      <c r="AC450" s="39">
        <f>+Source!HK108</f>
        <v>0.16867469879518071</v>
      </c>
      <c r="AD450" s="39">
        <f>+Source!HL108</f>
        <v>0.21727019498607242</v>
      </c>
      <c r="AU450" s="67"/>
    </row>
    <row r="451" spans="2:49" ht="14.4" hidden="1" thickBot="1">
      <c r="C451" s="436"/>
      <c r="D451" s="49" t="s">
        <v>63</v>
      </c>
      <c r="E451" s="49"/>
      <c r="F451" s="43">
        <f>SUM(Source!GN49:GN50,Source!GN53,Source!GN56)/SUM(Source!GN6:GN7,Source!GN10,Source!GN13)</f>
        <v>0.13022670025188918</v>
      </c>
      <c r="G451" s="43">
        <f>SUM(Source!GO49:GO50,Source!GO53,Source!GO56)/SUM(Source!GO6:GO7,Source!GO10,Source!GO13)</f>
        <v>0.13051555968416165</v>
      </c>
      <c r="H451" s="43">
        <f>SUM(Source!GP49:GP50,Source!GP53,Source!GP56)/SUM(Source!GP6:GP7,Source!GP10,Source!GP13)</f>
        <v>0.15604263020309672</v>
      </c>
      <c r="I451" s="43">
        <f>SUM(Source!GQ49:GQ50,Source!GQ53,Source!GQ56)/SUM(Source!GQ6:GQ7,Source!GQ10,Source!GQ13)</f>
        <v>0.16145158304017773</v>
      </c>
      <c r="J451" s="43">
        <f>SUM(Source!GR49:GR50,Source!GR53,Source!GR56)/SUM(Source!GR6:GR7,Source!GR10,Source!GR13)</f>
        <v>0.1718387164872282</v>
      </c>
      <c r="K451" s="43">
        <f>SUM(Source!GS49:GS50,Source!GS53,Source!GS56)/SUM(Source!GS6:GS7,Source!GS10,Source!GS13)</f>
        <v>0.21401702633141953</v>
      </c>
      <c r="L451" s="43">
        <f>SUM(Source!GT49:GT50,Source!GT53,Source!GT56)/SUM(Source!GT6:GT7,Source!GT10,Source!GT13)</f>
        <v>0.16958964753958794</v>
      </c>
      <c r="M451" s="43">
        <f>SUM(Source!GU49:GU50,Source!GU53,Source!GU56)/SUM(Source!GU6:GU7,Source!GU10,Source!GU13)</f>
        <v>0.1684367739794225</v>
      </c>
      <c r="N451" s="458">
        <f>SUM(Source!GV49:GV50,Source!GV53,Source!GV56)/SUM(Source!GV6:GV7,Source!GV10,Source!GV13)</f>
        <v>0.13670112097830833</v>
      </c>
      <c r="O451" s="458">
        <f>SUM(Source!GW49:GW50,Source!GW53,Source!GW56)/SUM(Source!GW6:GW7,Source!GW10,Source!GW13)</f>
        <v>0.14879411363946041</v>
      </c>
      <c r="P451" s="458">
        <f>SUM(Source!GX49:GX50,Source!GX53,Source!GX56)/SUM(Source!GX6:GX7,Source!GX10,Source!GX13)</f>
        <v>0.21786525359576078</v>
      </c>
      <c r="Q451" s="458">
        <f>SUM(Source!GY49:GY50,Source!GY53,Source!GY56)/SUM(Source!GY6:GY7,Source!GY10,Source!GY13)</f>
        <v>0.21492638348282281</v>
      </c>
      <c r="R451" s="458">
        <f>SUM(Source!GZ49:GZ50,Source!GZ53,Source!GZ56)/SUM(Source!GZ6:GZ7,Source!GZ10,Source!GZ13)</f>
        <v>0.16137473831123517</v>
      </c>
      <c r="S451" s="458">
        <f>SUM(Source!HA49:HA50,Source!HA53,Source!HA56)/SUM(Source!HA6:HA7,Source!HA10,Source!HA13)</f>
        <v>0.15674569333105917</v>
      </c>
      <c r="T451" s="458">
        <f>SUM(Source!HB49:HB50,Source!HB53,Source!HB56)/SUM(Source!HB6:HB7,Source!HB10,Source!HB13)</f>
        <v>0.18578185042861364</v>
      </c>
      <c r="U451" s="43">
        <f>SUM(Source!HC49:HC50,Source!HC53,Source!HC56)/SUM(Source!HC6:HC7,Source!HC10,Source!HC13)</f>
        <v>0.12516614975631368</v>
      </c>
      <c r="V451" s="43">
        <f>SUM(Source!HD49:HD50,Source!HD53,Source!HD56)/SUM(Source!HD6:HD7,Source!HD10,Source!HD13)</f>
        <v>0.1007730535615682</v>
      </c>
      <c r="W451" s="43">
        <f>SUM(Source!HE49:HE50,Source!HE53,Source!HE56)/SUM(Source!HE6:HE7,Source!HE10,Source!HE13)</f>
        <v>0.10221316249271986</v>
      </c>
      <c r="X451" s="43">
        <f>SUM(Source!HF49:HF50,Source!HF53,Source!HF56)/SUM(Source!HF6:HF7,Source!HF10,Source!HF13)</f>
        <v>0.13554502369668248</v>
      </c>
      <c r="Y451" s="43">
        <f>SUM(Source!HG49:HG50,Source!HG53,Source!HG56)/SUM(Source!HG6:HG7,Source!HG10,Source!HG13)</f>
        <v>0.15304878048780488</v>
      </c>
      <c r="Z451" s="43">
        <f>SUM(Source!HH49:HH50,Source!HH53,Source!HH56)/SUM(Source!HH6:HH7,Source!HH10,Source!HH13)</f>
        <v>0.15300546448087432</v>
      </c>
      <c r="AA451" s="43">
        <f>SUM(Source!HI49:HI50,Source!HI53,Source!HI56)/SUM(Source!HI6:HI7,Source!HI10,Source!HI13)</f>
        <v>0.17770034843205576</v>
      </c>
      <c r="AB451" s="43">
        <f>SUM(Source!HJ49:HJ50,Source!HJ53,Source!HJ56)/SUM(Source!HJ6:HJ7,Source!HJ10,Source!HJ13)</f>
        <v>0.18240343347639484</v>
      </c>
      <c r="AC451" s="43">
        <f>SUM(Source!HK49:HK50,Source!HK53,Source!HK56)/SUM(Source!HK6:HK7,Source!HK10,Source!HK13)</f>
        <v>0.158097068716963</v>
      </c>
      <c r="AD451" s="43">
        <f>SUM(Source!HL49:HL50,Source!HL53,Source!HL56)/SUM(Source!HL6:HL7,Source!HL10,Source!HL13)</f>
        <v>0.13871916723240552</v>
      </c>
      <c r="AU451" s="67"/>
    </row>
    <row r="452" spans="2:49" hidden="1">
      <c r="C452" s="252"/>
      <c r="AU452" s="67"/>
    </row>
    <row r="453" spans="2:49" hidden="1">
      <c r="C453" s="252"/>
      <c r="AU453" s="67"/>
    </row>
    <row r="454" spans="2:49" ht="14.4" thickBot="1">
      <c r="C454" s="252"/>
      <c r="F454" s="67" t="s">
        <v>151</v>
      </c>
      <c r="G454" s="67" t="s">
        <v>185</v>
      </c>
      <c r="H454" s="67" t="s">
        <v>185</v>
      </c>
      <c r="I454" s="67" t="s">
        <v>185</v>
      </c>
      <c r="J454" s="67" t="s">
        <v>185</v>
      </c>
      <c r="K454" s="67" t="s">
        <v>185</v>
      </c>
      <c r="L454" s="67" t="s">
        <v>185</v>
      </c>
      <c r="M454" s="67" t="s">
        <v>185</v>
      </c>
      <c r="N454" s="454" t="s">
        <v>185</v>
      </c>
      <c r="O454" s="454" t="s">
        <v>186</v>
      </c>
      <c r="P454" s="454" t="s">
        <v>189</v>
      </c>
      <c r="Q454" s="454" t="s">
        <v>190</v>
      </c>
      <c r="R454" s="454" t="s">
        <v>191</v>
      </c>
      <c r="S454" s="454" t="s">
        <v>192</v>
      </c>
      <c r="T454" s="454" t="s">
        <v>213</v>
      </c>
      <c r="U454" s="67" t="s">
        <v>213</v>
      </c>
      <c r="V454" s="67" t="s">
        <v>213</v>
      </c>
      <c r="W454" s="67" t="s">
        <v>213</v>
      </c>
      <c r="X454" s="67" t="s">
        <v>213</v>
      </c>
      <c r="Y454" s="67" t="s">
        <v>213</v>
      </c>
      <c r="Z454" s="67" t="s">
        <v>213</v>
      </c>
      <c r="AA454" s="67" t="s">
        <v>214</v>
      </c>
      <c r="AB454" s="67" t="s">
        <v>242</v>
      </c>
      <c r="AC454" s="67" t="s">
        <v>243</v>
      </c>
      <c r="AD454" s="67" t="s">
        <v>244</v>
      </c>
      <c r="AE454" s="67" t="s">
        <v>419</v>
      </c>
      <c r="AF454" s="67" t="s">
        <v>419</v>
      </c>
      <c r="AG454" s="67" t="s">
        <v>419</v>
      </c>
      <c r="AH454" s="67" t="s">
        <v>419</v>
      </c>
      <c r="AI454" s="67" t="s">
        <v>419</v>
      </c>
      <c r="AJ454" s="67" t="s">
        <v>419</v>
      </c>
      <c r="AK454" s="67" t="s">
        <v>419</v>
      </c>
      <c r="AL454" s="67" t="s">
        <v>419</v>
      </c>
      <c r="AM454" s="67" t="s">
        <v>493</v>
      </c>
      <c r="AN454" s="67" t="s">
        <v>493</v>
      </c>
      <c r="AO454" s="67" t="s">
        <v>493</v>
      </c>
      <c r="AP454" s="67" t="s">
        <v>493</v>
      </c>
      <c r="AQ454" s="67" t="s">
        <v>493</v>
      </c>
      <c r="AR454" s="67" t="s">
        <v>493</v>
      </c>
      <c r="AS454" s="67" t="s">
        <v>493</v>
      </c>
      <c r="AT454" s="67" t="s">
        <v>493</v>
      </c>
      <c r="AU454" s="67" t="s">
        <v>493</v>
      </c>
      <c r="AV454" s="67">
        <v>44926</v>
      </c>
      <c r="AW454" s="67" t="s">
        <v>559</v>
      </c>
    </row>
    <row r="455" spans="2:49" ht="14.4" thickTop="1">
      <c r="C455" s="463" t="s">
        <v>178</v>
      </c>
      <c r="D455" s="45" t="s">
        <v>64</v>
      </c>
      <c r="E455" s="45"/>
      <c r="F455" s="37">
        <f>SUM(Source!IX18:IX28)/SUM(Source!IX3:IX13)</f>
        <v>0.20364525800852137</v>
      </c>
      <c r="G455" s="37">
        <f>SUM(Source!IY18:IY28)/SUM(Source!IY3:IY13)</f>
        <v>0.17956137678952178</v>
      </c>
      <c r="H455" s="37">
        <f>SUM(Source!IZ18:IZ28)/SUM(Source!IZ3:IZ13)</f>
        <v>0.18879415347137637</v>
      </c>
      <c r="I455" s="37">
        <f>SUM(Source!JA18:JA28)/SUM(Source!JA3:JA13)</f>
        <v>0.17990794476686012</v>
      </c>
      <c r="J455" s="37">
        <f>SUM(Source!JB18:JB28)/SUM(Source!JB3:JB13)</f>
        <v>0.16118777056277056</v>
      </c>
      <c r="K455" s="37">
        <f>SUM(Source!JC18:JC28)/SUM(Source!JC3:JC13)</f>
        <v>0.18290708967303335</v>
      </c>
      <c r="L455" s="37">
        <f>SUM(Source!JD18:JD28)/SUM(Source!JD3:JD13)</f>
        <v>0.14557804075344863</v>
      </c>
      <c r="M455" s="37">
        <f>SUM(Source!JE18:JE28)/SUM(Source!JE3:JE13)</f>
        <v>0.17548038748610451</v>
      </c>
      <c r="N455" s="455">
        <f>SUM(Source!JF18:JF28)/SUM(Source!JF3:JF13)</f>
        <v>0.24224914569742156</v>
      </c>
      <c r="O455" s="455">
        <f>SUM(Source!JG18:JG28)/SUM(Source!JG3:JG13)</f>
        <v>0.16858814668906785</v>
      </c>
      <c r="P455" s="455">
        <f>SUM(Source!JH18:JH28)/SUM(Source!JH3:JH13)</f>
        <v>0.1999077551558279</v>
      </c>
      <c r="Q455" s="455">
        <f>SUM(Source!JI18:JI28)/SUM(Source!JI3:JI13)</f>
        <v>0.198408276959809</v>
      </c>
      <c r="R455" s="455">
        <f>SUM(Source!JJ18:JJ28)/SUM(Source!JJ3:JJ13)</f>
        <v>0.22818791946308725</v>
      </c>
      <c r="S455" s="455">
        <f>SUM(Source!JK18:JK28)/SUM(Source!JK3:JK13)</f>
        <v>0.26541850220264318</v>
      </c>
      <c r="T455" s="455">
        <f>SUM(Source!JL18:JL28)/SUM(Source!JL3:JL13)</f>
        <v>0.25719500210585428</v>
      </c>
      <c r="U455" s="37">
        <f>SUM(Source!JM18:JM28)/SUM(Source!JM3:JM13)</f>
        <v>0.20180061484409312</v>
      </c>
      <c r="V455" s="37">
        <f>SUM(Source!JN18:JN28)/SUM(Source!JN3:JN13)</f>
        <v>0.18264840182648401</v>
      </c>
      <c r="W455" s="37">
        <f>SUM(Source!JO18:JO28)/SUM(Source!JO3:JO13)</f>
        <v>0.2227607599844901</v>
      </c>
      <c r="X455" s="37">
        <f>SUM(Source!JP18:JP28)/SUM(Source!JP3:JP13)</f>
        <v>0.20120236594589352</v>
      </c>
      <c r="Y455" s="37">
        <f>SUM(Source!JQ18:JQ28)/SUM(Source!JQ3:JQ13)</f>
        <v>0.18143812709030099</v>
      </c>
      <c r="Z455" s="37">
        <f>SUM(Source!JR18:JR28)/SUM(Source!JR3:JR13)</f>
        <v>0.20603188280913398</v>
      </c>
      <c r="AA455" s="37">
        <f>SUM(Source!JS18:JS28)/SUM(Source!JS3:JS13)</f>
        <v>0.1817487590683467</v>
      </c>
      <c r="AB455" s="37">
        <f>SUM(Source!JT18:JT28)/SUM(Source!JT3:JT13)</f>
        <v>0.18787821482602118</v>
      </c>
      <c r="AC455" s="37">
        <f>SUM(Source!JU18:JU28)/SUM(Source!JU3:JU13)</f>
        <v>0.18038548752834468</v>
      </c>
      <c r="AD455" s="37">
        <f>SUM(Source!JV18:JV28)/SUM(Source!JV3:JV13)</f>
        <v>0.15050542867839761</v>
      </c>
      <c r="AE455" s="37">
        <f>SUM(Source!JW18:JW28)/SUM(Source!JW3:JW13)</f>
        <v>0.23548491728835549</v>
      </c>
      <c r="AF455" s="37">
        <f>SUM(Source!JX18:JX28)/SUM(Source!JX3:JX13)</f>
        <v>0.20497466605251036</v>
      </c>
      <c r="AG455" s="37">
        <f>SUM(Source!JY18:JY28)/SUM(Source!JY3:JY13)</f>
        <v>0.21037662673446522</v>
      </c>
      <c r="AH455" s="37">
        <f>SUM(Source!JZ18:JZ28)/SUM(Source!JZ3:JZ13)</f>
        <v>0.21182855040470935</v>
      </c>
      <c r="AI455" s="37">
        <f>SUM(Source!KA18:KA28)/SUM(Source!KA3:KA13)</f>
        <v>0.17419914672065948</v>
      </c>
      <c r="AJ455" s="37">
        <f>SUM(Source!KB18:KB28)/SUM(Source!KB3:KB13)</f>
        <v>0.20372034507548525</v>
      </c>
      <c r="AK455" s="37">
        <f>SUM(Source!KC18:KC28)/SUM(Source!KC3:KC13)</f>
        <v>0.2079251610625717</v>
      </c>
      <c r="AL455" s="37">
        <f>SUM(Source!KD18:KD28)/SUM(Source!KD3:KD13)</f>
        <v>0.24852784675416814</v>
      </c>
      <c r="AM455" s="37">
        <f>SUM(Source!KE18:KE28)/SUM(Source!KE3:KE13)</f>
        <v>0.31045288368275759</v>
      </c>
      <c r="AN455" s="37">
        <f>SUM(Source!KF18:KF28)/SUM(Source!KF3:KF13)</f>
        <v>0.2821111630079402</v>
      </c>
      <c r="AO455" s="37">
        <f>SUM(Source!KG18:KG28)/SUM(Source!KG3:KG13)</f>
        <v>0.22057898049087477</v>
      </c>
      <c r="AP455" s="37">
        <f>SUM(Source!KH18:KH28)/SUM(Source!KH3:KH13)</f>
        <v>0.19434226659660186</v>
      </c>
      <c r="AQ455" s="37">
        <f>SUM(Source!KI18:KI28)/SUM(Source!KI3:KI13)</f>
        <v>0.19779071503209433</v>
      </c>
      <c r="AR455" s="37">
        <f>SUM(Source!KJ18:KJ28)/SUM(Source!KJ3:KJ13)</f>
        <v>0.22203075291622482</v>
      </c>
      <c r="AS455" s="37">
        <f>SUM(Source!KK18:KK28)/SUM(Source!KK3:KK13)</f>
        <v>0.19915826252680061</v>
      </c>
      <c r="AT455" s="37">
        <f>SUM(Source!KL18:KL28)/SUM(Source!KL3:KL13)</f>
        <v>0.21804123711340206</v>
      </c>
      <c r="AU455" s="37">
        <f>SUM(Source!KM18:KM28)/SUM(Source!KM3:KM13)</f>
        <v>0.20937662530648637</v>
      </c>
      <c r="AV455" s="37" t="e">
        <f>SUM(Source!ID108:ID118)/SUM(Source!ID93:ID103)</f>
        <v>#DIV/0!</v>
      </c>
      <c r="AW455" s="37" t="e">
        <f>SUM(Source!IE108:IE118)/SUM(Source!IE93:IE103)</f>
        <v>#DIV/0!</v>
      </c>
    </row>
    <row r="456" spans="2:49">
      <c r="B456" s="28" t="s">
        <v>131</v>
      </c>
      <c r="C456" s="435"/>
      <c r="D456" s="47" t="s">
        <v>13</v>
      </c>
      <c r="E456" s="47"/>
      <c r="F456" s="39">
        <f>+Source!IX66</f>
        <v>0.24333333333333335</v>
      </c>
      <c r="G456" s="39">
        <f>+Source!IY66</f>
        <v>0.2518987341772152</v>
      </c>
      <c r="H456" s="39">
        <f>+Source!IZ66</f>
        <v>0.27662957074721778</v>
      </c>
      <c r="I456" s="39">
        <f>+Source!JA66</f>
        <v>0.2050919377652051</v>
      </c>
      <c r="J456" s="39">
        <f>+Source!JB66</f>
        <v>0.19164118246687054</v>
      </c>
      <c r="K456" s="39">
        <f>+Source!JC66</f>
        <v>0.15475798485347383</v>
      </c>
      <c r="L456" s="39">
        <f>+Source!JD66</f>
        <v>0.2458001768346596</v>
      </c>
      <c r="M456" s="39">
        <f>+Source!JE66</f>
        <v>0.28499025341130602</v>
      </c>
      <c r="N456" s="456">
        <f>+Source!JF66</f>
        <v>0.50123355263157898</v>
      </c>
      <c r="O456" s="456">
        <f>+Source!JG66</f>
        <v>0.29040852575488457</v>
      </c>
      <c r="P456" s="456">
        <f>+Source!JH66</f>
        <v>0.30080924855491331</v>
      </c>
      <c r="Q456" s="456">
        <f>+Source!JI66</f>
        <v>0.23134328358208955</v>
      </c>
      <c r="R456" s="456">
        <f>+Source!JJ66</f>
        <v>0.27174999999999999</v>
      </c>
      <c r="S456" s="456">
        <f>+Source!JK66</f>
        <v>0.30207280080889787</v>
      </c>
      <c r="T456" s="456">
        <f>+Source!JL66</f>
        <v>0.268924813959456</v>
      </c>
      <c r="U456" s="39">
        <f>+Source!JM66</f>
        <v>0.23805668016194331</v>
      </c>
      <c r="V456" s="39">
        <f>+Source!JN66</f>
        <v>0.26274671052631576</v>
      </c>
      <c r="W456" s="39">
        <f>+Source!JO66</f>
        <v>0.32084251775655154</v>
      </c>
      <c r="X456" s="39">
        <f>+Source!JP66</f>
        <v>0.26138279932546377</v>
      </c>
      <c r="Y456" s="39">
        <f>+Source!JQ66</f>
        <v>0.20281184564762189</v>
      </c>
      <c r="Z456" s="39">
        <f>+Source!JR66</f>
        <v>0.19515669515669515</v>
      </c>
      <c r="AA456" s="39">
        <f>+Source!JS66</f>
        <v>0.18425099969240233</v>
      </c>
      <c r="AB456" s="39">
        <f>+Source!JT66</f>
        <v>0.20616203879802206</v>
      </c>
      <c r="AC456" s="39">
        <f>+Source!JU66</f>
        <v>0.17700957934194086</v>
      </c>
      <c r="AD456" s="39">
        <f>+Source!JV66</f>
        <v>0.13423397528025294</v>
      </c>
      <c r="AE456" s="39">
        <f>+Source!JW66</f>
        <v>0.29065200314218381</v>
      </c>
      <c r="AF456" s="39">
        <f>+Source!JX66</f>
        <v>0.22296317773267613</v>
      </c>
      <c r="AG456" s="39">
        <f>+Source!JY66</f>
        <v>0.24318254732114211</v>
      </c>
      <c r="AH456" s="39">
        <f>+Source!JZ66</f>
        <v>0.27980080921257394</v>
      </c>
      <c r="AI456" s="39">
        <f>+Source!KA66</f>
        <v>0.17323977740140334</v>
      </c>
      <c r="AJ456" s="39">
        <f>+Source!KB66</f>
        <v>0.21879063719115735</v>
      </c>
      <c r="AK456" s="39">
        <f>+Source!KC66</f>
        <v>0.23953871499176277</v>
      </c>
      <c r="AL456" s="39">
        <f>+Source!KD66</f>
        <v>0.19380335124881443</v>
      </c>
      <c r="AM456" s="39">
        <f>+Source!KE66</f>
        <v>0.41504304485727234</v>
      </c>
      <c r="AN456" s="39">
        <f>+Source!KF66</f>
        <v>0.26678876678876678</v>
      </c>
      <c r="AO456" s="39">
        <f>+Source!KG66</f>
        <v>0.21482889733840305</v>
      </c>
      <c r="AP456" s="39">
        <f>+Source!KH66</f>
        <v>0.17853689977441187</v>
      </c>
      <c r="AQ456" s="39">
        <f>+Source!KI66</f>
        <v>0.23833902161547213</v>
      </c>
      <c r="AR456" s="39">
        <f>+Source!KJ66</f>
        <v>0.29259896729776247</v>
      </c>
      <c r="AS456" s="39">
        <f>+Source!KK66</f>
        <v>0.21112696148359486</v>
      </c>
      <c r="AT456" s="39">
        <f>+Source!KL66</f>
        <v>0.26588415412094923</v>
      </c>
      <c r="AU456" s="39">
        <f>+Source!KM66</f>
        <v>0.28187579214195185</v>
      </c>
      <c r="AV456" s="39">
        <f>VLOOKUP($B456,Source!$IW$65:KN$77,COLUMNS($IL:KC),FALSE)</f>
        <v>0.44839732300105672</v>
      </c>
      <c r="AW456" s="39">
        <f>VLOOKUP($B456,Source!$IW$65:KO$77,COLUMNS($IL:KD),FALSE)</f>
        <v>0.25742030047636499</v>
      </c>
    </row>
    <row r="457" spans="2:49">
      <c r="B457" s="28" t="s">
        <v>136</v>
      </c>
      <c r="C457" s="435"/>
      <c r="D457" s="47" t="s">
        <v>14</v>
      </c>
      <c r="E457" s="47"/>
      <c r="F457" s="39">
        <f>+Source!IX67</f>
        <v>0.16578821274556779</v>
      </c>
      <c r="G457" s="39">
        <f>+Source!IY67</f>
        <v>0.17092034029389017</v>
      </c>
      <c r="H457" s="39">
        <f>+Source!IZ67</f>
        <v>0.1729472431574772</v>
      </c>
      <c r="I457" s="39">
        <f>+Source!JA67</f>
        <v>0.1955537258130918</v>
      </c>
      <c r="J457" s="39">
        <f>+Source!JB67</f>
        <v>4.411134903640257E-2</v>
      </c>
      <c r="K457" s="39">
        <f>+Source!JC67</f>
        <v>0.17295597484276728</v>
      </c>
      <c r="L457" s="39">
        <f>+Source!JD67</f>
        <v>5.6292906178489706E-2</v>
      </c>
      <c r="M457" s="39">
        <f>+Source!JE67</f>
        <v>0.16706558161799903</v>
      </c>
      <c r="N457" s="456">
        <f>+Source!JF67</f>
        <v>0.1649260226283725</v>
      </c>
      <c r="O457" s="456">
        <f>+Source!JG67</f>
        <v>5.7623049219687875E-2</v>
      </c>
      <c r="P457" s="456">
        <f>+Source!JH67</f>
        <v>0.24247635425623387</v>
      </c>
      <c r="Q457" s="456">
        <f>+Source!JI67</f>
        <v>6.3793103448275865E-2</v>
      </c>
      <c r="R457" s="456">
        <f>+Source!JJ67</f>
        <v>0.19009287925696594</v>
      </c>
      <c r="S457" s="456">
        <f>+Source!JK67</f>
        <v>0.24780829924021042</v>
      </c>
      <c r="T457" s="456">
        <f>+Source!JL67</f>
        <v>0.23873239436619717</v>
      </c>
      <c r="U457" s="39">
        <f>+Source!JM67</f>
        <v>0.20994475138121546</v>
      </c>
      <c r="V457" s="39">
        <f>+Source!JN67</f>
        <v>0.17212249208025343</v>
      </c>
      <c r="W457" s="39">
        <f>+Source!JO67</f>
        <v>0.16567342073897498</v>
      </c>
      <c r="X457" s="39">
        <f>+Source!JP67</f>
        <v>0.1799163179916318</v>
      </c>
      <c r="Y457" s="39">
        <f>+Source!JQ67</f>
        <v>0.21311475409836064</v>
      </c>
      <c r="Z457" s="39">
        <f>+Source!JR67</f>
        <v>0.31795878312070658</v>
      </c>
      <c r="AA457" s="39">
        <f>+Source!JS67</f>
        <v>0.18928571428571428</v>
      </c>
      <c r="AB457" s="39">
        <f>+Source!JT67</f>
        <v>0.28659476117103233</v>
      </c>
      <c r="AC457" s="39">
        <f>+Source!JU67</f>
        <v>0.17519685039370078</v>
      </c>
      <c r="AD457" s="39">
        <f>+Source!JV67</f>
        <v>0.23905723905723905</v>
      </c>
      <c r="AE457" s="39">
        <f>+Source!JW67</f>
        <v>0.22533136966126657</v>
      </c>
      <c r="AF457" s="39">
        <f>+Source!JX67</f>
        <v>0.3216867469879518</v>
      </c>
      <c r="AG457" s="39">
        <f>+Source!JY67</f>
        <v>0.45111896348645464</v>
      </c>
      <c r="AH457" s="39">
        <f>+Source!JZ67</f>
        <v>0.17738791423001948</v>
      </c>
      <c r="AI457" s="39">
        <f>+Source!KA67</f>
        <v>0.55336617405582922</v>
      </c>
      <c r="AJ457" s="39">
        <f>+Source!KB67</f>
        <v>0.29137760158572845</v>
      </c>
      <c r="AK457" s="39">
        <f>+Source!KC67</f>
        <v>0.27533460803059273</v>
      </c>
      <c r="AL457" s="39">
        <f>+Source!KD67</f>
        <v>0.38354430379746834</v>
      </c>
      <c r="AM457" s="39">
        <f>+Source!KE67</f>
        <v>0.36375838926174497</v>
      </c>
      <c r="AN457" s="39">
        <f>+Source!KF67</f>
        <v>0.35456475583864117</v>
      </c>
      <c r="AO457" s="39">
        <f>+Source!KG67</f>
        <v>0.40683229813664595</v>
      </c>
      <c r="AP457" s="39">
        <f>+Source!KH67</f>
        <v>0.411993769470405</v>
      </c>
      <c r="AQ457" s="39">
        <f>+Source!KI67</f>
        <v>0.18956336528221512</v>
      </c>
      <c r="AR457" s="39">
        <f>+Source!KJ67</f>
        <v>0.2780586450960566</v>
      </c>
      <c r="AS457" s="39">
        <f>+Source!KK67</f>
        <v>0.20530565167243367</v>
      </c>
      <c r="AT457" s="39">
        <f>+Source!KL67</f>
        <v>0.26734926052332197</v>
      </c>
      <c r="AU457" s="39">
        <f>+Source!KM67</f>
        <v>0.17499999999999999</v>
      </c>
      <c r="AV457" s="39">
        <f>VLOOKUP($B457,Source!$IW$65:KN$77,COLUMNS($IL:KC),FALSE)</f>
        <v>0.49397590361445781</v>
      </c>
      <c r="AW457" s="39">
        <f>VLOOKUP($B457,Source!$IW$65:KO$77,COLUMNS($IL:KD),FALSE)</f>
        <v>0.32692307692307693</v>
      </c>
    </row>
    <row r="458" spans="2:49">
      <c r="B458" s="28" t="s">
        <v>141</v>
      </c>
      <c r="C458" s="435"/>
      <c r="D458" s="47" t="s">
        <v>17</v>
      </c>
      <c r="E458" s="47"/>
      <c r="F458" s="39">
        <f>+Source!IX68</f>
        <v>0.34115805946791861</v>
      </c>
      <c r="G458" s="39">
        <f>+Source!IY68</f>
        <v>0.23296032553407936</v>
      </c>
      <c r="H458" s="39">
        <f>+Source!IZ68</f>
        <v>0.21591948764867339</v>
      </c>
      <c r="I458" s="39">
        <f>+Source!JA68</f>
        <v>0.25608656447249772</v>
      </c>
      <c r="J458" s="39">
        <f>+Source!JB68</f>
        <v>0.25299043062200954</v>
      </c>
      <c r="K458" s="39">
        <f>+Source!JC68</f>
        <v>0.20382775119617225</v>
      </c>
      <c r="L458" s="39">
        <f>+Source!JD68</f>
        <v>0.16475495307612095</v>
      </c>
      <c r="M458" s="39">
        <f>+Source!JE68</f>
        <v>0.16393442622950818</v>
      </c>
      <c r="N458" s="456">
        <f>+Source!JF68</f>
        <v>0.15251989389920426</v>
      </c>
      <c r="O458" s="456">
        <f>+Source!JG68</f>
        <v>0.28045574057843997</v>
      </c>
      <c r="P458" s="456">
        <f>+Source!JH68</f>
        <v>0.2091286307053942</v>
      </c>
      <c r="Q458" s="456">
        <f>+Source!JI68</f>
        <v>0.38049853372434017</v>
      </c>
      <c r="R458" s="456">
        <f>+Source!JJ68</f>
        <v>0.26240208877284593</v>
      </c>
      <c r="S458" s="456">
        <f>+Source!JK68</f>
        <v>0.41142857142857142</v>
      </c>
      <c r="T458" s="456">
        <f>+Source!JL68</f>
        <v>0.40218579234972679</v>
      </c>
      <c r="U458" s="39">
        <f>+Source!JM68</f>
        <v>0.34910277324632955</v>
      </c>
      <c r="V458" s="39">
        <f>+Source!JN68</f>
        <v>0.23540489642184556</v>
      </c>
      <c r="W458" s="39">
        <f>+Source!JO68</f>
        <v>0.26236263736263737</v>
      </c>
      <c r="X458" s="39">
        <f>+Source!JP68</f>
        <v>0.231990231990232</v>
      </c>
      <c r="Y458" s="39">
        <f>+Source!JQ68</f>
        <v>0.24480874316939891</v>
      </c>
      <c r="Z458" s="39">
        <f>+Source!JR68</f>
        <v>0.20480854853072128</v>
      </c>
      <c r="AA458" s="39">
        <f>+Source!JS68</f>
        <v>0.23709167544783982</v>
      </c>
      <c r="AB458" s="39">
        <f>+Source!JT68</f>
        <v>0.19681456200227532</v>
      </c>
      <c r="AC458" s="39">
        <f>+Source!JU68</f>
        <v>0.22258414766558088</v>
      </c>
      <c r="AD458" s="39">
        <f>+Source!JV68</f>
        <v>0.19724284199363734</v>
      </c>
      <c r="AE458" s="39">
        <f>+Source!JW68</f>
        <v>0.32147742818057456</v>
      </c>
      <c r="AF458" s="39">
        <f>+Source!JX68</f>
        <v>0.32709832134292566</v>
      </c>
      <c r="AG458" s="39">
        <f>+Source!JY68</f>
        <v>0.20260223048327136</v>
      </c>
      <c r="AH458" s="39">
        <f>+Source!JZ68</f>
        <v>0.25319308790383172</v>
      </c>
      <c r="AI458" s="39">
        <f>+Source!KA68</f>
        <v>0.23371428571428571</v>
      </c>
      <c r="AJ458" s="39">
        <f>+Source!KB68</f>
        <v>0.32426035502958578</v>
      </c>
      <c r="AK458" s="39">
        <f>+Source!KC68</f>
        <v>0.2597535934291581</v>
      </c>
      <c r="AL458" s="39">
        <f>+Source!KD68</f>
        <v>0.26032660902977905</v>
      </c>
      <c r="AM458" s="39">
        <f>+Source!KE68</f>
        <v>0.36378876781223807</v>
      </c>
      <c r="AN458" s="39">
        <f>+Source!KF68</f>
        <v>0.28239499553172476</v>
      </c>
      <c r="AO458" s="39">
        <f>+Source!KG68</f>
        <v>0.2687074829931973</v>
      </c>
      <c r="AP458" s="39">
        <f>+Source!KH68</f>
        <v>0.25760649087221094</v>
      </c>
      <c r="AQ458" s="39">
        <f>+Source!KI68</f>
        <v>0.33868808567603748</v>
      </c>
      <c r="AR458" s="39">
        <f>+Source!KJ68</f>
        <v>0.3104859335038363</v>
      </c>
      <c r="AS458" s="39">
        <f>+Source!KK68</f>
        <v>0.135678391959799</v>
      </c>
      <c r="AT458" s="39">
        <f>+Source!KL68</f>
        <v>0.1348148148148148</v>
      </c>
      <c r="AU458" s="39">
        <f>+Source!KM68</f>
        <v>0.10700389105058365</v>
      </c>
      <c r="AV458" s="39">
        <f>VLOOKUP($B458,Source!$IW$65:KN$77,COLUMNS($IL:KC),FALSE)</f>
        <v>0.26666666666666666</v>
      </c>
      <c r="AW458" s="39">
        <f>VLOOKUP($B458,Source!$IW$65:KO$77,COLUMNS($IL:KD),FALSE)</f>
        <v>0.6036977491961415</v>
      </c>
    </row>
    <row r="459" spans="2:49">
      <c r="B459" s="28" t="s">
        <v>124</v>
      </c>
      <c r="C459" s="435"/>
      <c r="D459" s="47" t="s">
        <v>18</v>
      </c>
      <c r="E459" s="47"/>
      <c r="F459" s="39">
        <f>+Source!IX69</f>
        <v>0.11976911976911978</v>
      </c>
      <c r="G459" s="39">
        <f>+Source!IY69</f>
        <v>0.13267813267813267</v>
      </c>
      <c r="H459" s="39">
        <f>+Source!IZ69</f>
        <v>9.8265895953757232E-2</v>
      </c>
      <c r="I459" s="39">
        <f>+Source!JA69</f>
        <v>0.16369047619047619</v>
      </c>
      <c r="J459" s="39">
        <f>+Source!JB69</f>
        <v>0.19703389830508475</v>
      </c>
      <c r="K459" s="39">
        <f>+Source!JC69</f>
        <v>9.0909090909090912E-2</v>
      </c>
      <c r="L459" s="39">
        <f>+Source!JD69</f>
        <v>8.0181543116490173E-2</v>
      </c>
      <c r="M459" s="39">
        <f>+Source!JE69</f>
        <v>0.11160714285714286</v>
      </c>
      <c r="N459" s="456">
        <f>+Source!JF69</f>
        <v>0.10169491525423729</v>
      </c>
      <c r="O459" s="456">
        <f>+Source!JG69</f>
        <v>7.2727272727272724E-2</v>
      </c>
      <c r="P459" s="456">
        <f>+Source!JH69</f>
        <v>0.11428571428571428</v>
      </c>
      <c r="Q459" s="456">
        <f>+Source!JI69</f>
        <v>0.14705882352941177</v>
      </c>
      <c r="R459" s="456">
        <f>+Source!JJ69</f>
        <v>0.19691119691119691</v>
      </c>
      <c r="S459" s="456">
        <f>+Source!JK69</f>
        <v>0.23278688524590163</v>
      </c>
      <c r="T459" s="456">
        <f>+Source!JL69</f>
        <v>0.18902439024390244</v>
      </c>
      <c r="U459" s="39">
        <f>+Source!JM69</f>
        <v>0.1391941391941392</v>
      </c>
      <c r="V459" s="39">
        <f>+Source!JN69</f>
        <v>0.11304347826086956</v>
      </c>
      <c r="W459" s="39">
        <f>+Source!JO69</f>
        <v>0.29775280898876405</v>
      </c>
      <c r="X459" s="39">
        <f>+Source!JP69</f>
        <v>0.37323943661971831</v>
      </c>
      <c r="Y459" s="39">
        <f>+Source!JQ69</f>
        <v>0.1242603550295858</v>
      </c>
      <c r="Z459" s="39">
        <f>+Source!JR69</f>
        <v>0.15</v>
      </c>
      <c r="AA459" s="39">
        <f>+Source!JS69</f>
        <v>0.11046511627906977</v>
      </c>
      <c r="AB459" s="39">
        <f>+Source!JT69</f>
        <v>0.10795454545454546</v>
      </c>
      <c r="AC459" s="39">
        <f>+Source!JU69</f>
        <v>0.15887850467289719</v>
      </c>
      <c r="AD459" s="39">
        <f>+Source!JV69</f>
        <v>6.0869565217391307E-2</v>
      </c>
      <c r="AE459" s="39">
        <f>+Source!JW69</f>
        <v>0.44334975369458129</v>
      </c>
      <c r="AF459" s="39">
        <f>+Source!JX69</f>
        <v>0.12953367875647667</v>
      </c>
      <c r="AG459" s="39">
        <f>+Source!JY69</f>
        <v>7.792207792207792E-2</v>
      </c>
      <c r="AH459" s="39">
        <f>+Source!JZ69</f>
        <v>0.47058823529411764</v>
      </c>
      <c r="AI459" s="39">
        <f>+Source!KA69</f>
        <v>6.4748201438848921E-2</v>
      </c>
      <c r="AJ459" s="39">
        <f>+Source!KB69</f>
        <v>0.25</v>
      </c>
      <c r="AK459" s="39">
        <f>+Source!KC69</f>
        <v>8.8495575221238937E-2</v>
      </c>
      <c r="AL459" s="39">
        <f>+Source!KD69</f>
        <v>8.2758620689655171E-2</v>
      </c>
      <c r="AM459" s="39">
        <f>+Source!KE69</f>
        <v>0.17449664429530201</v>
      </c>
      <c r="AN459" s="39">
        <f>+Source!KF69</f>
        <v>0.39805825242718446</v>
      </c>
      <c r="AO459" s="39">
        <f>+Source!KG69</f>
        <v>0.34453781512605042</v>
      </c>
      <c r="AP459" s="39">
        <f>+Source!KH69</f>
        <v>0.33600000000000002</v>
      </c>
      <c r="AQ459" s="39">
        <f>+Source!KI69</f>
        <v>7.6555023923444973E-2</v>
      </c>
      <c r="AR459" s="39">
        <f>+Source!KJ69</f>
        <v>0.20408163265306123</v>
      </c>
      <c r="AS459" s="39">
        <f>+Source!KK69</f>
        <v>0.1996996996996997</v>
      </c>
      <c r="AT459" s="39">
        <f>+Source!KL69</f>
        <v>0.24254473161033796</v>
      </c>
      <c r="AU459" s="39">
        <f>+Source!KM69</f>
        <v>0.19444444444444445</v>
      </c>
      <c r="AV459" s="39">
        <f>VLOOKUP($B459,Source!$IW$65:KN$77,COLUMNS($IL:KC),FALSE)</f>
        <v>0.12878787878787878</v>
      </c>
      <c r="AW459" s="39">
        <f>VLOOKUP($B459,Source!$IW$65:KO$77,COLUMNS($IL:KD),FALSE)</f>
        <v>0.25568181818181818</v>
      </c>
    </row>
    <row r="460" spans="2:49">
      <c r="B460" s="28" t="s">
        <v>137</v>
      </c>
      <c r="C460" s="435"/>
      <c r="D460" s="47" t="s">
        <v>19</v>
      </c>
      <c r="E460" s="47"/>
      <c r="F460" s="39">
        <f>+Source!IX70</f>
        <v>0.18252933507170796</v>
      </c>
      <c r="G460" s="39">
        <f>+Source!IY70</f>
        <v>0.25156576200417535</v>
      </c>
      <c r="H460" s="39">
        <f>+Source!IZ70</f>
        <v>0.30335365853658536</v>
      </c>
      <c r="I460" s="39">
        <f>+Source!JA70</f>
        <v>0.19710378117457764</v>
      </c>
      <c r="J460" s="39">
        <f>+Source!JB70</f>
        <v>0.27906976744186046</v>
      </c>
      <c r="K460" s="39">
        <f>+Source!JC70</f>
        <v>0.25429017160686429</v>
      </c>
      <c r="L460" s="39">
        <f>+Source!JD70</f>
        <v>0.2796271637816245</v>
      </c>
      <c r="M460" s="39">
        <f>+Source!JE70</f>
        <v>0.26605504587155965</v>
      </c>
      <c r="N460" s="456">
        <f>+Source!JF70</f>
        <v>0.23502994011976047</v>
      </c>
      <c r="O460" s="456">
        <f>+Source!JG70</f>
        <v>0.31710914454277284</v>
      </c>
      <c r="P460" s="456">
        <f>+Source!JH70</f>
        <v>0.28065630397236613</v>
      </c>
      <c r="Q460" s="456">
        <f>+Source!JI70</f>
        <v>0.37131630648330061</v>
      </c>
      <c r="R460" s="456">
        <f>+Source!JJ70</f>
        <v>0.4832869080779944</v>
      </c>
      <c r="S460" s="456">
        <f>+Source!JK70</f>
        <v>0.50936329588014984</v>
      </c>
      <c r="T460" s="456">
        <f>+Source!JL70</f>
        <v>0.43021032504780116</v>
      </c>
      <c r="U460" s="39">
        <f>+Source!JM70</f>
        <v>0.32286995515695066</v>
      </c>
      <c r="V460" s="39">
        <f>+Source!JN70</f>
        <v>0.25468164794007492</v>
      </c>
      <c r="W460" s="39">
        <f>+Source!JO70</f>
        <v>0.15384615384615385</v>
      </c>
      <c r="X460" s="39">
        <f>+Source!JP70</f>
        <v>8.8191330343796712E-2</v>
      </c>
      <c r="Y460" s="39">
        <f>+Source!JQ70</f>
        <v>0.14881780250347706</v>
      </c>
      <c r="Z460" s="39">
        <f>+Source!JR70</f>
        <v>0.18860244233378562</v>
      </c>
      <c r="AA460" s="39">
        <f>+Source!JS70</f>
        <v>0.16908212560386474</v>
      </c>
      <c r="AB460" s="39">
        <f>+Source!JT70</f>
        <v>0.22026431718061673</v>
      </c>
      <c r="AC460" s="39">
        <f>+Source!JU70</f>
        <v>0.24764150943396226</v>
      </c>
      <c r="AD460" s="39">
        <f>+Source!JV70</f>
        <v>0.27552986512524086</v>
      </c>
      <c r="AE460" s="39">
        <f>+Source!JW70</f>
        <v>0.28545454545454546</v>
      </c>
      <c r="AF460" s="39">
        <f>+Source!JX70</f>
        <v>0.3008595988538682</v>
      </c>
      <c r="AG460" s="39">
        <f>+Source!JY70</f>
        <v>0.24302788844621515</v>
      </c>
      <c r="AH460" s="39">
        <f>+Source!JZ70</f>
        <v>0.30334190231362468</v>
      </c>
      <c r="AI460" s="39">
        <f>+Source!KA70</f>
        <v>0.15740740740740741</v>
      </c>
      <c r="AJ460" s="39">
        <f>+Source!KB70</f>
        <v>0.21921182266009853</v>
      </c>
      <c r="AK460" s="39">
        <f>+Source!KC70</f>
        <v>0.20708446866485014</v>
      </c>
      <c r="AL460" s="39">
        <f>+Source!KD70</f>
        <v>0.38738738738738737</v>
      </c>
      <c r="AM460" s="39">
        <f>+Source!KE70</f>
        <v>0.2070063694267516</v>
      </c>
      <c r="AN460" s="39">
        <f>+Source!KF70</f>
        <v>0.29629629629629628</v>
      </c>
      <c r="AO460" s="39">
        <f>+Source!KG70</f>
        <v>0.22185430463576158</v>
      </c>
      <c r="AP460" s="39">
        <f>+Source!KH70</f>
        <v>0.23161764705882354</v>
      </c>
      <c r="AQ460" s="39">
        <f>+Source!KI70</f>
        <v>0.2</v>
      </c>
      <c r="AR460" s="39">
        <f>+Source!KJ70</f>
        <v>0.31077694235588971</v>
      </c>
      <c r="AS460" s="39">
        <f>+Source!KK70</f>
        <v>0.27526881720430108</v>
      </c>
      <c r="AT460" s="39">
        <f>+Source!KL70</f>
        <v>0.16949152542372881</v>
      </c>
      <c r="AU460" s="39">
        <f>+Source!KM70</f>
        <v>0.22826086956521738</v>
      </c>
      <c r="AV460" s="39">
        <f>VLOOKUP($B460,Source!$IW$65:KN$77,COLUMNS($IL:KC),FALSE)</f>
        <v>0.37966101694915255</v>
      </c>
      <c r="AW460" s="39">
        <f>VLOOKUP($B460,Source!$IW$65:KO$77,COLUMNS($IL:KD),FALSE)</f>
        <v>0.24377224199288255</v>
      </c>
    </row>
    <row r="461" spans="2:49">
      <c r="B461" s="28" t="s">
        <v>123</v>
      </c>
      <c r="C461" s="435"/>
      <c r="D461" s="47" t="s">
        <v>21</v>
      </c>
      <c r="E461" s="47"/>
      <c r="F461" s="39">
        <f>+Source!IX71</f>
        <v>0.65469613259668513</v>
      </c>
      <c r="G461" s="39">
        <f>+Source!IY71</f>
        <v>0.39501779359430605</v>
      </c>
      <c r="H461" s="39">
        <f>+Source!IZ71</f>
        <v>0.34583333333333333</v>
      </c>
      <c r="I461" s="39">
        <f>+Source!JA71</f>
        <v>0.3125</v>
      </c>
      <c r="J461" s="39">
        <f>+Source!JB71</f>
        <v>0.27459016393442626</v>
      </c>
      <c r="K461" s="39">
        <f>+Source!JC71</f>
        <v>0.27631578947368424</v>
      </c>
      <c r="L461" s="39">
        <f>+Source!JD71</f>
        <v>0.31020408163265306</v>
      </c>
      <c r="M461" s="39">
        <f>+Source!JE71</f>
        <v>0.47265625</v>
      </c>
      <c r="N461" s="456">
        <f>+Source!JF71</f>
        <v>0.34756097560975607</v>
      </c>
      <c r="O461" s="456">
        <f>+Source!JG71</f>
        <v>0.26277372262773724</v>
      </c>
      <c r="P461" s="456">
        <f>+Source!JH71</f>
        <v>0.18861209964412812</v>
      </c>
      <c r="Q461" s="456">
        <f>+Source!JI71</f>
        <v>0.26543209876543211</v>
      </c>
      <c r="R461" s="456">
        <f>+Source!JJ71</f>
        <v>0.33333333333333331</v>
      </c>
      <c r="S461" s="456">
        <f>+Source!JK71</f>
        <v>0.32417582417582419</v>
      </c>
      <c r="T461" s="456">
        <f>+Source!JL71</f>
        <v>0.4</v>
      </c>
      <c r="U461" s="39">
        <f>+Source!JM71</f>
        <v>0.27272727272727271</v>
      </c>
      <c r="V461" s="39">
        <f>+Source!JN71</f>
        <v>0.25882352941176473</v>
      </c>
      <c r="W461" s="39">
        <f>+Source!JO71</f>
        <v>0.3</v>
      </c>
      <c r="X461" s="39">
        <f>+Source!JP71</f>
        <v>0.29629629629629628</v>
      </c>
      <c r="Y461" s="39">
        <f>+Source!JQ71</f>
        <v>0.22018348623853212</v>
      </c>
      <c r="Z461" s="39">
        <f>+Source!JR71</f>
        <v>0.2413793103448276</v>
      </c>
      <c r="AA461" s="39">
        <f>+Source!JS71</f>
        <v>0.33057851239669422</v>
      </c>
      <c r="AB461" s="39">
        <f>+Source!JT71</f>
        <v>0.27027027027027029</v>
      </c>
      <c r="AC461" s="39">
        <f>+Source!JU71</f>
        <v>0.3783783783783784</v>
      </c>
      <c r="AD461" s="39">
        <f>+Source!JV71</f>
        <v>0.19718309859154928</v>
      </c>
      <c r="AE461" s="39">
        <f>+Source!JW71</f>
        <v>0.16</v>
      </c>
      <c r="AF461" s="39">
        <f>+Source!JX71</f>
        <v>0.2578125</v>
      </c>
      <c r="AG461" s="39">
        <f>+Source!JY71</f>
        <v>0.1111111111111111</v>
      </c>
      <c r="AH461" s="39">
        <f>+Source!JZ71</f>
        <v>0.2289156626506024</v>
      </c>
      <c r="AI461" s="39">
        <f>+Source!KA71</f>
        <v>0.11224489795918367</v>
      </c>
      <c r="AJ461" s="39">
        <f>+Source!KB71</f>
        <v>0.20270270270270271</v>
      </c>
      <c r="AK461" s="39">
        <f>+Source!KC71</f>
        <v>0.12222222222222222</v>
      </c>
      <c r="AL461" s="39">
        <f>+Source!KD71</f>
        <v>0.14814814814814814</v>
      </c>
      <c r="AM461" s="39">
        <f>+Source!KE71</f>
        <v>0.16494845360824742</v>
      </c>
      <c r="AN461" s="39">
        <f>+Source!KF71</f>
        <v>0.1891891891891892</v>
      </c>
      <c r="AO461" s="39">
        <f>+Source!KG71</f>
        <v>6.1728395061728392E-2</v>
      </c>
      <c r="AP461" s="39">
        <f>+Source!KH71</f>
        <v>0.17499999999999999</v>
      </c>
      <c r="AQ461" s="39">
        <f>+Source!KI71</f>
        <v>0.1348314606741573</v>
      </c>
      <c r="AR461" s="39">
        <f>+Source!KJ71</f>
        <v>0.17647058823529413</v>
      </c>
      <c r="AS461" s="39">
        <f>+Source!KK71</f>
        <v>0.14151701956580007</v>
      </c>
      <c r="AT461" s="39">
        <f>+Source!KL71</f>
        <v>0.14114258281325012</v>
      </c>
      <c r="AU461" s="39">
        <f>+Source!KM71</f>
        <v>0.13728813559322034</v>
      </c>
      <c r="AV461" s="39">
        <f>VLOOKUP($B461,Source!$IW$65:KN$77,COLUMNS($IL:KC),FALSE)</f>
        <v>0.36363636363636365</v>
      </c>
      <c r="AW461" s="39">
        <f>VLOOKUP($B461,Source!$IW$65:KO$77,COLUMNS($IL:KD),FALSE)</f>
        <v>0.29310344827586204</v>
      </c>
    </row>
    <row r="462" spans="2:49">
      <c r="B462" s="28" t="s">
        <v>139</v>
      </c>
      <c r="C462" s="435"/>
      <c r="D462" s="47" t="s">
        <v>22</v>
      </c>
      <c r="E462" s="47"/>
      <c r="F462" s="39">
        <f>+Source!IX72</f>
        <v>0.20645161290322581</v>
      </c>
      <c r="G462" s="39">
        <f>+Source!IY72</f>
        <v>0.11176470588235295</v>
      </c>
      <c r="H462" s="39">
        <f>+Source!IZ72</f>
        <v>0.13259668508287292</v>
      </c>
      <c r="I462" s="39">
        <f>+Source!JA72</f>
        <v>9.4117647058823528E-2</v>
      </c>
      <c r="J462" s="39">
        <f>+Source!JB72</f>
        <v>0.10457516339869281</v>
      </c>
      <c r="K462" s="39">
        <f>+Source!JC72</f>
        <v>0.12598425196850394</v>
      </c>
      <c r="L462" s="39">
        <f>+Source!JD72</f>
        <v>0.10280373831775701</v>
      </c>
      <c r="M462" s="39">
        <f>+Source!JE72</f>
        <v>0.10828025477707007</v>
      </c>
      <c r="N462" s="456">
        <f>+Source!JF72</f>
        <v>9.2896174863387984E-2</v>
      </c>
      <c r="O462" s="456">
        <f>+Source!JG72</f>
        <v>6.9767441860465115E-2</v>
      </c>
      <c r="P462" s="456">
        <f>+Source!JH72</f>
        <v>9.4339622641509441E-2</v>
      </c>
      <c r="Q462" s="456">
        <f>+Source!JI72</f>
        <v>0.28727272727272729</v>
      </c>
      <c r="R462" s="456">
        <f>+Source!JJ72</f>
        <v>0.1407942238267148</v>
      </c>
      <c r="S462" s="456">
        <f>+Source!JK72</f>
        <v>6.6079295154185022E-2</v>
      </c>
      <c r="T462" s="456">
        <f>+Source!JL72</f>
        <v>0.12062256809338522</v>
      </c>
      <c r="U462" s="39">
        <f>+Source!JM72</f>
        <v>0.13793103448275862</v>
      </c>
      <c r="V462" s="39">
        <f>+Source!JN72</f>
        <v>9.6153846153846159E-2</v>
      </c>
      <c r="W462" s="39">
        <f>+Source!JO72</f>
        <v>0.17424242424242425</v>
      </c>
      <c r="X462" s="39">
        <f>+Source!JP72</f>
        <v>0.18656716417910449</v>
      </c>
      <c r="Y462" s="39">
        <f>+Source!JQ72</f>
        <v>0.21229050279329609</v>
      </c>
      <c r="Z462" s="39">
        <f>+Source!JR72</f>
        <v>0.1811320754716981</v>
      </c>
      <c r="AA462" s="39">
        <f>+Source!JS72</f>
        <v>0.18571428571428572</v>
      </c>
      <c r="AB462" s="39">
        <f>+Source!JT72</f>
        <v>9.2307692307692313E-2</v>
      </c>
      <c r="AC462" s="39">
        <f>+Source!JU72</f>
        <v>0.13452914798206278</v>
      </c>
      <c r="AD462" s="39">
        <f>+Source!JV72</f>
        <v>4.8582995951417005E-2</v>
      </c>
      <c r="AE462" s="39">
        <f>+Source!JW72</f>
        <v>5.2356020942408377E-2</v>
      </c>
      <c r="AF462" s="39">
        <f>+Source!JX72</f>
        <v>4.5283018867924525E-2</v>
      </c>
      <c r="AG462" s="39">
        <f>+Source!JY72</f>
        <v>0.24154589371980675</v>
      </c>
      <c r="AH462" s="39">
        <f>+Source!JZ72</f>
        <v>0.25748502994011974</v>
      </c>
      <c r="AI462" s="39">
        <f>+Source!KA72</f>
        <v>0.22746781115879827</v>
      </c>
      <c r="AJ462" s="39">
        <f>+Source!KB72</f>
        <v>0.17741935483870969</v>
      </c>
      <c r="AK462" s="39">
        <f>+Source!KC72</f>
        <v>0.28991596638655465</v>
      </c>
      <c r="AL462" s="39">
        <f>+Source!KD72</f>
        <v>0.26570048309178745</v>
      </c>
      <c r="AM462" s="39">
        <f>+Source!KE72</f>
        <v>0.12751677852348994</v>
      </c>
      <c r="AN462" s="39">
        <f>+Source!KF72</f>
        <v>0.16460905349794239</v>
      </c>
      <c r="AO462" s="39">
        <f>+Source!KG72</f>
        <v>0.39393939393939392</v>
      </c>
      <c r="AP462" s="39">
        <f>+Source!KH72</f>
        <v>0.1736111111111111</v>
      </c>
      <c r="AQ462" s="39">
        <f>+Source!KI72</f>
        <v>0.12616822429906541</v>
      </c>
      <c r="AR462" s="39">
        <f>+Source!KJ72</f>
        <v>0.1641025641025641</v>
      </c>
      <c r="AS462" s="39">
        <f>+Source!KK72</f>
        <v>0.11801242236024845</v>
      </c>
      <c r="AT462" s="39">
        <f>+Source!KL72</f>
        <v>0.14204545454545456</v>
      </c>
      <c r="AU462" s="39">
        <f>+Source!KM72</f>
        <v>8.9449541284403675E-2</v>
      </c>
      <c r="AV462" s="39">
        <f>VLOOKUP($B462,Source!$IW$65:KN$77,COLUMNS($IL:KC),FALSE)</f>
        <v>0.31428571428571428</v>
      </c>
      <c r="AW462" s="39">
        <f>VLOOKUP($B462,Source!$IW$65:KO$77,COLUMNS($IL:KD),FALSE)</f>
        <v>0.16379310344827586</v>
      </c>
    </row>
    <row r="463" spans="2:49">
      <c r="C463" s="435"/>
      <c r="D463" s="48" t="s">
        <v>62</v>
      </c>
      <c r="E463" s="48"/>
      <c r="F463" s="41">
        <f>SUM(Source!IX18:IX20,Source!IX23:IX24,Source!IX26:IX27)/SUM(Source!IX3:IX5,Source!IX8:IX9,Source!IX11:IX12)</f>
        <v>0.25746783088235292</v>
      </c>
      <c r="G463" s="41">
        <f>SUM(Source!IY18:IY20,Source!IY23:IY24,Source!IY26:IY27)/SUM(Source!IY3:IY5,Source!IY8:IY9,Source!IY11:IY12)</f>
        <v>0.22694312259234081</v>
      </c>
      <c r="H463" s="41">
        <f>SUM(Source!IZ18:IZ20,Source!IZ23:IZ24,Source!IZ26:IZ27)/SUM(Source!IZ3:IZ5,Source!IZ8:IZ9,Source!IZ11:IZ12)</f>
        <v>0.23074354407836153</v>
      </c>
      <c r="I463" s="41">
        <f>SUM(Source!JA18:JA20,Source!JA23:JA24,Source!JA26:JA27)/SUM(Source!JA3:JA5,Source!JA8:JA9,Source!JA11:JA12)</f>
        <v>0.20750782064650677</v>
      </c>
      <c r="J463" s="41">
        <f>SUM(Source!JB18:JB20,Source!JB23:JB24,Source!JB26:JB27)/SUM(Source!JB3:JB5,Source!JB8:JB9,Source!JB11:JB12)</f>
        <v>0.17935702199661591</v>
      </c>
      <c r="K463" s="41">
        <f>SUM(Source!JC18:JC20,Source!JC23:JC24,Source!JC26:JC27)/SUM(Source!JC3:JC5,Source!JC8:JC9,Source!JC11:JC12)</f>
        <v>0.17577002053388091</v>
      </c>
      <c r="L463" s="41">
        <f>SUM(Source!JD18:JD20,Source!JD23:JD24,Source!JD26:JD27)/SUM(Source!JD3:JD5,Source!JD8:JD9,Source!JD11:JD12)</f>
        <v>0.17554709800190296</v>
      </c>
      <c r="M463" s="41">
        <f>SUM(Source!JE18:JE20,Source!JE23:JE24,Source!JE26:JE27)/SUM(Source!JE3:JE5,Source!JE8:JE9,Source!JE11:JE12)</f>
        <v>0.22959805115712545</v>
      </c>
      <c r="N463" s="457">
        <f>SUM(Source!JF18:JF20,Source!JF23:JF24,Source!JF26:JF27)/SUM(Source!JF3:JF5,Source!JF8:JF9,Source!JF11:JF12)</f>
        <v>0.34608714502492954</v>
      </c>
      <c r="O463" s="457">
        <f>SUM(Source!JG18:JG20,Source!JG23:JG24,Source!JG26:JG27)/SUM(Source!JG3:JG5,Source!JG8:JG9,Source!JG11:JG12)</f>
        <v>0.23946784922394679</v>
      </c>
      <c r="P463" s="457">
        <f>SUM(Source!JH18:JH20,Source!JH23:JH24,Source!JH26:JH27)/SUM(Source!JH3:JH5,Source!JH8:JH9,Source!JH11:JH12)</f>
        <v>0.26341577228184787</v>
      </c>
      <c r="Q463" s="457">
        <f>SUM(Source!JI18:JI20,Source!JI23:JI24,Source!JI26:JI27)/SUM(Source!JI3:JI5,Source!JI8:JI9,Source!JI11:JI12)</f>
        <v>0.24353966346153846</v>
      </c>
      <c r="R463" s="457">
        <f>SUM(Source!JJ18:JJ20,Source!JJ23:JJ24,Source!JJ26:JJ27)/SUM(Source!JJ3:JJ5,Source!JJ8:JJ9,Source!JJ11:JJ12)</f>
        <v>0.2671488567428838</v>
      </c>
      <c r="S463" s="457">
        <f>SUM(Source!JK18:JK20,Source!JK23:JK24,Source!JK26:JK27)/SUM(Source!JK3:JK5,Source!JK8:JK9,Source!JK11:JK12)</f>
        <v>0.3180611656087709</v>
      </c>
      <c r="T463" s="457">
        <f>SUM(Source!JL18:JL20,Source!JL23:JL24,Source!JL26:JL27)/SUM(Source!JL3:JL5,Source!JL8:JL9,Source!JL11:JL12)</f>
        <v>0.28462566844919784</v>
      </c>
      <c r="U463" s="41">
        <f>SUM(Source!JM18:JM20,Source!JM23:JM24,Source!JM26:JM27)/SUM(Source!JM3:JM5,Source!JM8:JM9,Source!JM11:JM12)</f>
        <v>0.24292555507183283</v>
      </c>
      <c r="V463" s="41">
        <f>SUM(Source!JN18:JN20,Source!JN23:JN24,Source!JN26:JN27)/SUM(Source!JN3:JN5,Source!JN8:JN9,Source!JN11:JN12)</f>
        <v>0.23209105110466413</v>
      </c>
      <c r="W463" s="41">
        <f>SUM(Source!JO18:JO20,Source!JO23:JO24,Source!JO26:JO27)/SUM(Source!JO3:JO5,Source!JO8:JO9,Source!JO11:JO12)</f>
        <v>0.27186864283638479</v>
      </c>
      <c r="X463" s="41">
        <f>SUM(Source!JP18:JP20,Source!JP23:JP24,Source!JP26:JP27)/SUM(Source!JP3:JP5,Source!JP8:JP9,Source!JP11:JP12)</f>
        <v>0.23461108002238387</v>
      </c>
      <c r="Y463" s="41">
        <f>SUM(Source!JQ18:JQ20,Source!JQ23:JQ24,Source!JQ26:JQ27)/SUM(Source!JQ3:JQ5,Source!JQ8:JQ9,Source!JQ11:JQ12)</f>
        <v>0.20260814249363868</v>
      </c>
      <c r="Z463" s="41">
        <f>SUM(Source!JR18:JR20,Source!JR23:JR24,Source!JR26:JR27)/SUM(Source!JR3:JR5,Source!JR8:JR9,Source!JR11:JR12)</f>
        <v>0.21237553342816501</v>
      </c>
      <c r="AA463" s="41">
        <f>SUM(Source!JS18:JS20,Source!JS23:JS24,Source!JS26:JS27)/SUM(Source!JS3:JS5,Source!JS8:JS9,Source!JS11:JS12)</f>
        <v>0.19255608429639701</v>
      </c>
      <c r="AB463" s="41">
        <f>SUM(Source!JT18:JT20,Source!JT23:JT24,Source!JT26:JT27)/SUM(Source!JT3:JT5,Source!JT8:JT9,Source!JT11:JT12)</f>
        <v>0.20733944954128442</v>
      </c>
      <c r="AC463" s="41">
        <f>SUM(Source!JU18:JU20,Source!JU23:JU24,Source!JU26:JU27)/SUM(Source!JU3:JU5,Source!JU8:JU9,Source!JU11:JU12)</f>
        <v>0.19300128810648348</v>
      </c>
      <c r="AD463" s="41">
        <f>SUM(Source!JV18:JV20,Source!JV23:JV24,Source!JV26:JV27)/SUM(Source!JV3:JV5,Source!JV8:JV9,Source!JV11:JV12)</f>
        <v>0.16632083000798084</v>
      </c>
      <c r="AE463" s="41">
        <f>SUM(Source!JW18:JW20,Source!JW23:JW24,Source!JW26:JW27)/SUM(Source!JW3:JW5,Source!JW8:JW9,Source!JW11:JW12)</f>
        <v>0.29174235014670952</v>
      </c>
      <c r="AF463" s="41">
        <f>SUM(Source!JX18:JX20,Source!JX23:JX24,Source!JX26:JX27)/SUM(Source!JX3:JX5,Source!JX8:JX9,Source!JX11:JX12)</f>
        <v>0.25935059597205096</v>
      </c>
      <c r="AG463" s="41">
        <f>SUM(Source!JY18:JY20,Source!JY23:JY24,Source!JY26:JY27)/SUM(Source!JY3:JY5,Source!JY8:JY9,Source!JY11:JY12)</f>
        <v>0.25506137414315322</v>
      </c>
      <c r="AH463" s="41">
        <f>SUM(Source!JZ18:JZ20,Source!JZ23:JZ24,Source!JZ26:JZ27)/SUM(Source!JZ3:JZ5,Source!JZ8:JZ9,Source!JZ11:JZ12)</f>
        <v>0.27339942866745087</v>
      </c>
      <c r="AI463" s="41">
        <f>SUM(Source!KA18:KA20,Source!KA23:KA24,Source!KA26:KA27)/SUM(Source!KA3:KA5,Source!KA8:KA9,Source!KA11:KA12)</f>
        <v>0.2139917695473251</v>
      </c>
      <c r="AJ463" s="41">
        <f>SUM(Source!KB18:KB20,Source!KB23:KB24,Source!KB26:KB27)/SUM(Source!KB3:KB5,Source!KB8:KB9,Source!KB11:KB12)</f>
        <v>0.24637931034482757</v>
      </c>
      <c r="AK463" s="41">
        <f>SUM(Source!KC18:KC20,Source!KC23:KC24,Source!KC26:KC27)/SUM(Source!KC3:KC5,Source!KC8:KC9,Source!KC11:KC12)</f>
        <v>0.24157303370786518</v>
      </c>
      <c r="AL463" s="41">
        <f>SUM(Source!KD18:KD20,Source!KD23:KD24,Source!KD26:KD27)/SUM(Source!KD3:KD5,Source!KD8:KD9,Source!KD11:KD12)</f>
        <v>0.2421875</v>
      </c>
      <c r="AM463" s="41">
        <f>SUM(Source!KE18:KE20,Source!KE23:KE24,Source!KE26:KE27)/SUM(Source!KE3:KE5,Source!KE8:KE9,Source!KE11:KE12)</f>
        <v>0.37714204786857386</v>
      </c>
      <c r="AN463" s="41">
        <f>SUM(Source!KF18:KF20,Source!KF23:KF24,Source!KF26:KF27)/SUM(Source!KF3:KF5,Source!KF8:KF9,Source!KF11:KF12)</f>
        <v>0.27839143942008976</v>
      </c>
      <c r="AO463" s="41">
        <f>SUM(Source!KG18:KG20,Source!KG23:KG24,Source!KG26:KG27)/SUM(Source!KG3:KG5,Source!KG8:KG9,Source!KG11:KG12)</f>
        <v>0.2491714995857498</v>
      </c>
      <c r="AP463" s="41">
        <f>SUM(Source!KH18:KH20,Source!KH23:KH24,Source!KH26:KH27)/SUM(Source!KH3:KH5,Source!KH8:KH9,Source!KH11:KH12)</f>
        <v>0.24640919246728377</v>
      </c>
      <c r="AQ463" s="41">
        <f>SUM(Source!KI18:KI20,Source!KI23:KI24,Source!KI26:KI27)/SUM(Source!KI3:KI5,Source!KI8:KI9,Source!KI11:KI12)</f>
        <v>0.23446115288220551</v>
      </c>
      <c r="AR463" s="41">
        <f>SUM(Source!KJ18:KJ20,Source!KJ23:KJ24,Source!KJ26:KJ27)/SUM(Source!KJ3:KJ5,Source!KJ8:KJ9,Source!KJ11:KJ12)</f>
        <v>0.28971300342506201</v>
      </c>
      <c r="AS463" s="41">
        <f>SUM(Source!KK18:KK20,Source!KK23:KK24,Source!KK26:KK27)/SUM(Source!KK3:KK5,Source!KK8:KK9,Source!KK11:KK12)</f>
        <v>0.2401405077438927</v>
      </c>
      <c r="AT463" s="41">
        <f>SUM(Source!KL18:KL20,Source!KL23:KL24,Source!KL26:KL27)/SUM(Source!KL3:KL5,Source!KL8:KL9,Source!KL11:KL12)</f>
        <v>0.26117647058823529</v>
      </c>
      <c r="AU463" s="41">
        <f>SUM(Source!KM18:KM20,Source!KM23:KM24,Source!KM26:KM27)/SUM(Source!KM3:KM5,Source!KM8:KM9,Source!KM11:KM12)</f>
        <v>0.26876297834470486</v>
      </c>
      <c r="AV463" s="41" t="e">
        <f>SUM(Source!ID108:ID110,Source!ID113:ID114,Source!ID116:ID117)/SUM(Source!ID93:ID95,Source!ID98:ID99,Source!ID101:ID102)</f>
        <v>#DIV/0!</v>
      </c>
      <c r="AW463" s="41" t="e">
        <f>SUM(Source!IE108:IE110,Source!IE113:IE114,Source!IE116:IE117)/SUM(Source!IE93:IE95,Source!IE98:IE99,Source!IE101:IE102)</f>
        <v>#DIV/0!</v>
      </c>
    </row>
    <row r="464" spans="2:49">
      <c r="B464" s="28" t="s">
        <v>138</v>
      </c>
      <c r="C464" s="435"/>
      <c r="D464" s="47" t="s">
        <v>15</v>
      </c>
      <c r="E464" s="47"/>
      <c r="F464" s="39">
        <f>+Source!IX74</f>
        <v>6.3152114222954414E-2</v>
      </c>
      <c r="G464" s="39">
        <f>+Source!IY74</f>
        <v>5.6734517106972714E-2</v>
      </c>
      <c r="H464" s="39">
        <f>+Source!IZ74</f>
        <v>6.5312624452409401E-2</v>
      </c>
      <c r="I464" s="39">
        <f>+Source!JA74</f>
        <v>0.11398601398601399</v>
      </c>
      <c r="J464" s="39">
        <f>+Source!JB74</f>
        <v>5.5456965394853591E-2</v>
      </c>
      <c r="K464" s="39">
        <f>+Source!JC74</f>
        <v>4.0582726326742979E-2</v>
      </c>
      <c r="L464" s="39">
        <f>+Source!JD74</f>
        <v>4.7964657620700533E-2</v>
      </c>
      <c r="M464" s="39">
        <f>+Source!JE74</f>
        <v>7.1044776119402991E-2</v>
      </c>
      <c r="N464" s="456">
        <f>+Source!JF74</f>
        <v>4.3555240793201132E-2</v>
      </c>
      <c r="O464" s="456">
        <f>+Source!JG74</f>
        <v>3.731122297897542E-2</v>
      </c>
      <c r="P464" s="456">
        <f>+Source!JH74</f>
        <v>6.8155452436194891E-2</v>
      </c>
      <c r="Q464" s="456">
        <f>+Source!JI74</f>
        <v>7.4123989218328842E-2</v>
      </c>
      <c r="R464" s="456">
        <f>+Source!JJ74</f>
        <v>0.10675465838509317</v>
      </c>
      <c r="S464" s="456">
        <f>+Source!JK74</f>
        <v>9.3142272262026607E-2</v>
      </c>
      <c r="T464" s="456">
        <f>+Source!JL74</f>
        <v>0.11141975308641976</v>
      </c>
      <c r="U464" s="39">
        <f>+Source!JM74</f>
        <v>4.5934530095036959E-2</v>
      </c>
      <c r="V464" s="39">
        <f>+Source!JN74</f>
        <v>3.7656903765690378E-2</v>
      </c>
      <c r="W464" s="39">
        <f>+Source!JO74</f>
        <v>3.4103410341034104E-2</v>
      </c>
      <c r="X464" s="39">
        <f>+Source!JP74</f>
        <v>7.7913279132791322E-2</v>
      </c>
      <c r="Y464" s="39">
        <f>+Source!JQ74</f>
        <v>0.13829787234042554</v>
      </c>
      <c r="Z464" s="39">
        <f>+Source!JR74</f>
        <v>0.16993706034801925</v>
      </c>
      <c r="AA464" s="39">
        <f>+Source!JS74</f>
        <v>0.135678391959799</v>
      </c>
      <c r="AB464" s="39">
        <f>+Source!JT74</f>
        <v>0.14168618266978922</v>
      </c>
      <c r="AC464" s="39">
        <f>+Source!JU74</f>
        <v>0.13115942028985508</v>
      </c>
      <c r="AD464" s="39">
        <f>+Source!JV74</f>
        <v>0.11195928753180662</v>
      </c>
      <c r="AE464" s="39">
        <f>+Source!JW74</f>
        <v>0.14302848575712143</v>
      </c>
      <c r="AF464" s="39">
        <f>+Source!JX74</f>
        <v>0.10664094791953706</v>
      </c>
      <c r="AG464" s="39">
        <f>+Source!JY74</f>
        <v>0.16381418092909536</v>
      </c>
      <c r="AH464" s="39">
        <f>+Source!JZ74</f>
        <v>0.15405046480743692</v>
      </c>
      <c r="AI464" s="39">
        <f>+Source!KA74</f>
        <v>0.15360824742268042</v>
      </c>
      <c r="AJ464" s="39">
        <f>+Source!KB74</f>
        <v>0.1130718954248366</v>
      </c>
      <c r="AK464" s="39">
        <f>+Source!KC74</f>
        <v>0.13904338153503892</v>
      </c>
      <c r="AL464" s="39">
        <f>+Source!KD74</f>
        <v>0.25232381274294408</v>
      </c>
      <c r="AM464" s="39">
        <f>+Source!KE74</f>
        <v>0.23799898938858008</v>
      </c>
      <c r="AN464" s="39">
        <f>+Source!KF74</f>
        <v>0.27006786800842497</v>
      </c>
      <c r="AO464" s="39">
        <f>+Source!KG74</f>
        <v>0.1775987725354814</v>
      </c>
      <c r="AP464" s="39">
        <f>+Source!KH74</f>
        <v>0.10547445255474452</v>
      </c>
      <c r="AQ464" s="39">
        <f>+Source!KI74</f>
        <v>0.10924872792577073</v>
      </c>
      <c r="AR464" s="39">
        <f>+Source!KJ74</f>
        <v>0.11279880478087649</v>
      </c>
      <c r="AS464" s="39">
        <f>+Source!KK74</f>
        <v>0.14151701956580007</v>
      </c>
      <c r="AT464" s="39">
        <f>+Source!KL74</f>
        <v>0.14114258281325012</v>
      </c>
      <c r="AU464" s="39">
        <f>+Source!KM74</f>
        <v>0.13728813559322034</v>
      </c>
      <c r="AV464" s="39">
        <f>VLOOKUP($B464,Source!$IW$65:KN$77,COLUMNS($IL:KC),FALSE)</f>
        <v>0.13125695216907676</v>
      </c>
      <c r="AW464" s="39">
        <f>VLOOKUP($B464,Source!$IW$65:KO$77,COLUMNS($IL:KD),FALSE)</f>
        <v>0.30698246693325132</v>
      </c>
    </row>
    <row r="465" spans="2:49">
      <c r="B465" s="28" t="s">
        <v>132</v>
      </c>
      <c r="C465" s="435"/>
      <c r="D465" s="47" t="s">
        <v>16</v>
      </c>
      <c r="E465" s="47"/>
      <c r="F465" s="39">
        <f>+Source!IX75</f>
        <v>8.3785412899336956E-2</v>
      </c>
      <c r="G465" s="39">
        <f>+Source!IY75</f>
        <v>0.1022801302931596</v>
      </c>
      <c r="H465" s="39">
        <f>+Source!IZ75</f>
        <v>0.13621262458471761</v>
      </c>
      <c r="I465" s="39">
        <f>+Source!JA75</f>
        <v>0.16484659386375455</v>
      </c>
      <c r="J465" s="39">
        <f>+Source!JB75</f>
        <v>0.21075039914848323</v>
      </c>
      <c r="K465" s="39">
        <f>+Source!JC75</f>
        <v>0.31848378272762801</v>
      </c>
      <c r="L465" s="39">
        <f>+Source!JD75</f>
        <v>0.17515274949083504</v>
      </c>
      <c r="M465" s="39">
        <f>+Source!JE75</f>
        <v>0.15070821529745043</v>
      </c>
      <c r="N465" s="456">
        <f>+Source!JF75</f>
        <v>0.20465807730426164</v>
      </c>
      <c r="O465" s="456">
        <f>+Source!JG75</f>
        <v>0.1253107906514172</v>
      </c>
      <c r="P465" s="456">
        <f>+Source!JH75</f>
        <v>0.20623376623376624</v>
      </c>
      <c r="Q465" s="456">
        <f>+Source!JI75</f>
        <v>0.3433988764044944</v>
      </c>
      <c r="R465" s="456">
        <f>+Source!JJ75</f>
        <v>0.27326839826839827</v>
      </c>
      <c r="S465" s="456">
        <f>+Source!JK75</f>
        <v>0.32416267942583732</v>
      </c>
      <c r="T465" s="456">
        <f>+Source!JL75</f>
        <v>0.40355329949238578</v>
      </c>
      <c r="U465" s="39">
        <f>+Source!JM75</f>
        <v>0.38745148771021992</v>
      </c>
      <c r="V465" s="39">
        <f>+Source!JN75</f>
        <v>0.33544303797468356</v>
      </c>
      <c r="W465" s="39">
        <f>+Source!JO75</f>
        <v>0.21784232365145229</v>
      </c>
      <c r="X465" s="39">
        <f>+Source!JP75</f>
        <v>0.15307057745187902</v>
      </c>
      <c r="Y465" s="39">
        <f>+Source!JQ75</f>
        <v>0.13166144200626959</v>
      </c>
      <c r="Z465" s="39">
        <f>+Source!JR75</f>
        <v>0.23648648648648649</v>
      </c>
      <c r="AA465" s="39">
        <f>+Source!JS75</f>
        <v>0.1950832672482157</v>
      </c>
      <c r="AB465" s="39">
        <f>+Source!JT75</f>
        <v>0.16950672645739912</v>
      </c>
      <c r="AC465" s="39">
        <f>+Source!JU75</f>
        <v>0.14285714285714285</v>
      </c>
      <c r="AD465" s="39">
        <f>+Source!JV75</f>
        <v>0.12290969899665552</v>
      </c>
      <c r="AE465" s="39">
        <f>+Source!JW75</f>
        <v>0.15836012861736334</v>
      </c>
      <c r="AF465" s="39">
        <f>+Source!JX75</f>
        <v>0.15671162491971741</v>
      </c>
      <c r="AG465" s="39">
        <f>+Source!JY75</f>
        <v>0.12461059190031153</v>
      </c>
      <c r="AH465" s="39">
        <f>+Source!JZ75</f>
        <v>8.1676136363636367E-2</v>
      </c>
      <c r="AI465" s="39">
        <f>+Source!KA75</f>
        <v>4.707170224411604E-2</v>
      </c>
      <c r="AJ465" s="39">
        <f>+Source!KB75</f>
        <v>0.22531645569620254</v>
      </c>
      <c r="AK465" s="39">
        <f>+Source!KC75</f>
        <v>0.26019845644983464</v>
      </c>
      <c r="AL465" s="39">
        <f>+Source!KD75</f>
        <v>0.28020134228187921</v>
      </c>
      <c r="AM465" s="39">
        <f>+Source!KE75</f>
        <v>0.25078698845750264</v>
      </c>
      <c r="AN465" s="39">
        <f>+Source!KF75</f>
        <v>0.3352994555353902</v>
      </c>
      <c r="AO465" s="39">
        <f>+Source!KG75</f>
        <v>0.21859605911330049</v>
      </c>
      <c r="AP465" s="39">
        <f>+Source!KH75</f>
        <v>0.19393139841688653</v>
      </c>
      <c r="AQ465" s="39">
        <f>+Source!KI75</f>
        <v>0.22372881355932203</v>
      </c>
      <c r="AR465" s="39">
        <f>+Source!KJ75</f>
        <v>0.18117901568415359</v>
      </c>
      <c r="AS465" s="39">
        <f>+Source!KK75</f>
        <v>0.11801242236024845</v>
      </c>
      <c r="AT465" s="39">
        <f>+Source!KL75</f>
        <v>0.14204545454545456</v>
      </c>
      <c r="AU465" s="39">
        <f>+Source!KM75</f>
        <v>8.9449541284403675E-2</v>
      </c>
      <c r="AV465" s="39">
        <f>VLOOKUP($B465,Source!$IW$65:KN$77,COLUMNS($IL:KC),FALSE)</f>
        <v>0.21621621621621623</v>
      </c>
      <c r="AW465" s="39">
        <f>VLOOKUP($B465,Source!$IW$65:KO$77,COLUMNS($IL:KD),FALSE)</f>
        <v>0.31695331695331697</v>
      </c>
    </row>
    <row r="466" spans="2:49">
      <c r="B466" s="28" t="s">
        <v>140</v>
      </c>
      <c r="C466" s="435"/>
      <c r="D466" s="47" t="s">
        <v>20</v>
      </c>
      <c r="E466" s="47"/>
      <c r="F466" s="39">
        <f>+Source!IX76</f>
        <v>0.26293103448275862</v>
      </c>
      <c r="G466" s="39">
        <f>+Source!IY76</f>
        <v>0.13043478260869565</v>
      </c>
      <c r="H466" s="39">
        <f>+Source!IZ76</f>
        <v>0.33427762039660058</v>
      </c>
      <c r="I466" s="39">
        <f>+Source!JA76</f>
        <v>0.15605095541401273</v>
      </c>
      <c r="J466" s="39">
        <f>+Source!JB76</f>
        <v>0.11458333333333333</v>
      </c>
      <c r="K466" s="39">
        <f>+Source!JC76</f>
        <v>0.15032679738562091</v>
      </c>
      <c r="L466" s="39">
        <f>+Source!JD76</f>
        <v>0.12698412698412698</v>
      </c>
      <c r="M466" s="39">
        <f>+Source!JE76</f>
        <v>0.16894977168949771</v>
      </c>
      <c r="N466" s="456">
        <f>+Source!JF76</f>
        <v>2.5510204081632654E-2</v>
      </c>
      <c r="O466" s="456">
        <f>+Source!JG76</f>
        <v>2.5544703230653644E-2</v>
      </c>
      <c r="P466" s="456">
        <f>+Source!JH76</f>
        <v>6.2755798090040935E-2</v>
      </c>
      <c r="Q466" s="456">
        <f>+Source!JI76</f>
        <v>2.7944111776447105E-2</v>
      </c>
      <c r="R466" s="456">
        <f>+Source!JJ76</f>
        <v>7.1332436069986543E-2</v>
      </c>
      <c r="S466" s="456">
        <f>+Source!JK76</f>
        <v>0.20318237454100369</v>
      </c>
      <c r="T466" s="456">
        <f>+Source!JL76</f>
        <v>0.13466666666666666</v>
      </c>
      <c r="U466" s="39">
        <f>+Source!JM76</f>
        <v>1.8482490272373541E-2</v>
      </c>
      <c r="V466" s="39">
        <f>+Source!JN76</f>
        <v>7.289293849658314E-2</v>
      </c>
      <c r="W466" s="39">
        <f>+Source!JO76</f>
        <v>0.27895981087470451</v>
      </c>
      <c r="X466" s="39">
        <f>+Source!JP76</f>
        <v>0.2289156626506024</v>
      </c>
      <c r="Y466" s="39">
        <f>+Source!JQ76</f>
        <v>0.18823529411764706</v>
      </c>
      <c r="Z466" s="39">
        <f>+Source!JR76</f>
        <v>0.17525773195876287</v>
      </c>
      <c r="AA466" s="39">
        <f>+Source!JS76</f>
        <v>0.37362637362637363</v>
      </c>
      <c r="AB466" s="39">
        <f>+Source!JT76</f>
        <v>0.44230769230769229</v>
      </c>
      <c r="AC466" s="39">
        <f>+Source!JU76</f>
        <v>0.57196969696969702</v>
      </c>
      <c r="AD466" s="39">
        <f>+Source!JV76</f>
        <v>0.15612648221343872</v>
      </c>
      <c r="AE466" s="39">
        <f>+Source!JW76</f>
        <v>0.21649484536082475</v>
      </c>
      <c r="AF466" s="39">
        <f>+Source!JX76</f>
        <v>0.22935779816513763</v>
      </c>
      <c r="AG466" s="39">
        <f>+Source!JY76</f>
        <v>0.13750000000000001</v>
      </c>
      <c r="AH466" s="39">
        <f>+Source!JZ76</f>
        <v>0.24193548387096775</v>
      </c>
      <c r="AI466" s="39">
        <f>+Source!KA76</f>
        <v>9.9290780141843976E-2</v>
      </c>
      <c r="AJ466" s="39">
        <f>+Source!KB76</f>
        <v>0.19653179190751446</v>
      </c>
      <c r="AK466" s="39">
        <f>+Source!KC76</f>
        <v>0.17948717948717949</v>
      </c>
      <c r="AL466" s="39">
        <f>+Source!KD76</f>
        <v>0.23076923076923078</v>
      </c>
      <c r="AM466" s="39">
        <f>+Source!KE76</f>
        <v>0.15714285714285714</v>
      </c>
      <c r="AN466" s="39">
        <f>+Source!KF76</f>
        <v>0.22435897435897437</v>
      </c>
      <c r="AO466" s="39">
        <f>+Source!KG76</f>
        <v>0.2857142857142857</v>
      </c>
      <c r="AP466" s="39">
        <f>+Source!KH76</f>
        <v>0.11324786324786325</v>
      </c>
      <c r="AQ466" s="39">
        <f>+Source!KI76</f>
        <v>0.20588235294117646</v>
      </c>
      <c r="AR466" s="39">
        <f>+Source!KJ76</f>
        <v>0.14507772020725387</v>
      </c>
      <c r="AS466" s="39">
        <f>+Source!KK76</f>
        <v>0.35060728744939273</v>
      </c>
      <c r="AT466" s="39">
        <f>+Source!KL76</f>
        <v>0.31140350877192985</v>
      </c>
      <c r="AU466" s="39">
        <f>+Source!KM76</f>
        <v>0.33958891867739055</v>
      </c>
      <c r="AV466" s="39">
        <f>VLOOKUP($B466,Source!$IW$65:KN$77,COLUMNS($IL:KC),FALSE)</f>
        <v>3.4188034188034191E-2</v>
      </c>
      <c r="AW466" s="39">
        <f>VLOOKUP($B466,Source!$IW$65:KO$77,COLUMNS($IL:KD),FALSE)</f>
        <v>2.4919614147909969E-2</v>
      </c>
    </row>
    <row r="467" spans="2:49">
      <c r="B467" s="28" t="s">
        <v>135</v>
      </c>
      <c r="C467" s="435"/>
      <c r="D467" s="47" t="s">
        <v>23</v>
      </c>
      <c r="E467" s="47"/>
      <c r="F467" s="39">
        <f>+Source!IX77</f>
        <v>9.6899224806201556E-2</v>
      </c>
      <c r="G467" s="39">
        <f>+Source!IY77</f>
        <v>0.15948275862068967</v>
      </c>
      <c r="H467" s="39">
        <f>+Source!IZ77</f>
        <v>0.11221122112211221</v>
      </c>
      <c r="I467" s="39">
        <f>+Source!JA77</f>
        <v>4.9342105263157895E-2</v>
      </c>
      <c r="J467" s="39">
        <f>+Source!JB77</f>
        <v>9.2233009708737865E-2</v>
      </c>
      <c r="K467" s="39">
        <f>+Source!JC77</f>
        <v>0.14388489208633093</v>
      </c>
      <c r="L467" s="39">
        <f>+Source!JD77</f>
        <v>0.15063520871143377</v>
      </c>
      <c r="M467" s="39">
        <f>+Source!JE77</f>
        <v>0.23265895953757226</v>
      </c>
      <c r="N467" s="456">
        <f>+Source!JF77</f>
        <v>0.20610687022900764</v>
      </c>
      <c r="O467" s="456">
        <f>+Source!JG77</f>
        <v>0.1967741935483871</v>
      </c>
      <c r="P467" s="456">
        <f>+Source!JH77</f>
        <v>0.19639278557114229</v>
      </c>
      <c r="Q467" s="456">
        <f>+Source!JI77</f>
        <v>0.26213592233009708</v>
      </c>
      <c r="R467" s="456">
        <f>+Source!JJ77</f>
        <v>0.24955752212389382</v>
      </c>
      <c r="S467" s="456">
        <f>+Source!JK77</f>
        <v>0.26862302483069977</v>
      </c>
      <c r="T467" s="456">
        <f>+Source!JL77</f>
        <v>0.28883495145631066</v>
      </c>
      <c r="U467" s="39">
        <f>+Source!JM77</f>
        <v>0.36956521739130432</v>
      </c>
      <c r="V467" s="39">
        <f>+Source!JN77</f>
        <v>0.10714285714285714</v>
      </c>
      <c r="W467" s="39">
        <f>+Source!JO77</f>
        <v>0.16157205240174671</v>
      </c>
      <c r="X467" s="39">
        <f>+Source!JP77</f>
        <v>0.16905444126074498</v>
      </c>
      <c r="Y467" s="39">
        <f>+Source!JQ77</f>
        <v>0.15531335149863759</v>
      </c>
      <c r="Z467" s="39">
        <f>+Source!JR77</f>
        <v>0.25201612903225806</v>
      </c>
      <c r="AA467" s="39">
        <f>+Source!JS77</f>
        <v>0.21763085399449036</v>
      </c>
      <c r="AB467" s="39">
        <f>+Source!JT77</f>
        <v>0.23772609819121446</v>
      </c>
      <c r="AC467" s="39">
        <f>+Source!JU77</f>
        <v>0.20883534136546184</v>
      </c>
      <c r="AD467" s="39">
        <f>+Source!JV77</f>
        <v>0.2116991643454039</v>
      </c>
      <c r="AE467" s="39">
        <f>+Source!JW77</f>
        <v>0.24875621890547264</v>
      </c>
      <c r="AF467" s="39">
        <f>+Source!JX77</f>
        <v>0.28009259259259262</v>
      </c>
      <c r="AG467" s="39">
        <f>+Source!JY77</f>
        <v>0.25201072386058981</v>
      </c>
      <c r="AH467" s="39">
        <f>+Source!JZ77</f>
        <v>0.17771883289124668</v>
      </c>
      <c r="AI467" s="39">
        <f>+Source!KA77</f>
        <v>0.22544642857142858</v>
      </c>
      <c r="AJ467" s="39">
        <f>+Source!KB77</f>
        <v>0.19805825242718447</v>
      </c>
      <c r="AK467" s="39">
        <f>+Source!KC77</f>
        <v>0.15732758620689655</v>
      </c>
      <c r="AL467" s="39">
        <f>+Source!KD77</f>
        <v>0.16268980477223427</v>
      </c>
      <c r="AM467" s="39">
        <f>+Source!KE77</f>
        <v>0.16568047337278108</v>
      </c>
      <c r="AN467" s="39">
        <f>+Source!KF77</f>
        <v>0.19809069212410502</v>
      </c>
      <c r="AO467" s="39">
        <f>+Source!KG77</f>
        <v>0.14323607427055704</v>
      </c>
      <c r="AP467" s="39">
        <f>+Source!KH77</f>
        <v>9.11214953271028E-2</v>
      </c>
      <c r="AQ467" s="39">
        <f>+Source!KI77</f>
        <v>0.11342592592592593</v>
      </c>
      <c r="AR467" s="39">
        <f>+Source!KJ77</f>
        <v>0.14387211367673181</v>
      </c>
      <c r="AS467" s="39">
        <f>+Source!KK77</f>
        <v>0.1455223880597015</v>
      </c>
      <c r="AT467" s="39">
        <f>+Source!KL77</f>
        <v>0.19889502762430938</v>
      </c>
      <c r="AU467" s="39">
        <f>+Source!KM77</f>
        <v>0.28497409326424872</v>
      </c>
      <c r="AV467" s="39">
        <f>VLOOKUP($B467,Source!$IW$65:KN$77,COLUMNS($IL:KC),FALSE)</f>
        <v>9.947643979057591E-2</v>
      </c>
      <c r="AW467" s="39">
        <f>VLOOKUP($B467,Source!$IW$65:KO$77,COLUMNS($IL:KD),FALSE)</f>
        <v>0.19745222929936307</v>
      </c>
    </row>
    <row r="468" spans="2:49" ht="14.4" thickBot="1">
      <c r="C468" s="436"/>
      <c r="D468" s="49" t="s">
        <v>63</v>
      </c>
      <c r="E468" s="49"/>
      <c r="F468" s="43">
        <f>SUM(Source!IX21:IX22,Source!IX25,Source!IX28)/SUM(Source!IX6:IX7,Source!IX10,Source!IX13)</f>
        <v>8.5642317380352648E-2</v>
      </c>
      <c r="G468" s="43">
        <f>SUM(Source!IY21:IY22,Source!IY25,Source!IY28)/SUM(Source!IY6:IY7,Source!IY10,Source!IY13)</f>
        <v>8.2443102647468652E-2</v>
      </c>
      <c r="H468" s="43">
        <f>SUM(Source!IZ21:IZ22,Source!IZ25,Source!IZ28)/SUM(Source!IZ6:IZ7,Source!IZ10,Source!IZ13)</f>
        <v>0.11301025537904685</v>
      </c>
      <c r="I468" s="43">
        <f>SUM(Source!JA21:JA22,Source!JA25,Source!JA28)/SUM(Source!JA6:JA7,Source!JA10,Source!JA13)</f>
        <v>0.13090168487317164</v>
      </c>
      <c r="J468" s="43">
        <f>SUM(Source!JB21:JB22,Source!JB25,Source!JB28)/SUM(Source!JB6:JB7,Source!JB10,Source!JB13)</f>
        <v>0.12265146717331644</v>
      </c>
      <c r="K468" s="43">
        <f>SUM(Source!JC21:JC22,Source!JC25,Source!JC28)/SUM(Source!JC6:JC7,Source!JC10,Source!JC13)</f>
        <v>0.19322906355177194</v>
      </c>
      <c r="L468" s="43">
        <f>SUM(Source!JD21:JD22,Source!JD25,Source!JD28)/SUM(Source!JD6:JD7,Source!JD10,Source!JD13)</f>
        <v>0.10267325046824451</v>
      </c>
      <c r="M468" s="43">
        <f>SUM(Source!JE21:JE22,Source!JE25,Source!JE28)/SUM(Source!JE6:JE7,Source!JE10,Source!JE13)</f>
        <v>0.11649518752074345</v>
      </c>
      <c r="N468" s="458">
        <f>SUM(Source!JF21:JF22,Source!JF25,Source!JF28)/SUM(Source!JF6:JF7,Source!JF10,Source!JF13)</f>
        <v>0.10278060853108167</v>
      </c>
      <c r="O468" s="458">
        <f>SUM(Source!JG21:JG22,Source!JG25,Source!JG28)/SUM(Source!JG6:JG7,Source!JG10,Source!JG13)</f>
        <v>7.2761956669846029E-2</v>
      </c>
      <c r="P468" s="458">
        <f>SUM(Source!JH21:JH22,Source!JH25,Source!JH28)/SUM(Source!JH6:JH7,Source!JH10,Source!JH13)</f>
        <v>0.11748675246025739</v>
      </c>
      <c r="Q468" s="458">
        <f>SUM(Source!JI21:JI22,Source!JI25,Source!JI28)/SUM(Source!JI6:JI7,Source!JI10,Source!JI13)</f>
        <v>0.14757150110001693</v>
      </c>
      <c r="R468" s="458">
        <f>SUM(Source!JJ21:JJ22,Source!JJ25,Source!JJ28)/SUM(Source!JJ6:JJ7,Source!JJ10,Source!JJ13)</f>
        <v>0.16992323796231681</v>
      </c>
      <c r="S468" s="458">
        <f>SUM(Source!JK21:JK22,Source!JK25,Source!JK28)/SUM(Source!JK6:JK7,Source!JK10,Source!JK13)</f>
        <v>0.18761726078799248</v>
      </c>
      <c r="T468" s="458">
        <f>SUM(Source!JL21:JL22,Source!JL25,Source!JL28)/SUM(Source!JL6:JL7,Source!JL10,Source!JL13)</f>
        <v>0.22686964232929352</v>
      </c>
      <c r="U468" s="43">
        <f>SUM(Source!JM21:JM22,Source!JM25,Source!JM28)/SUM(Source!JM6:JM7,Source!JM10,Source!JM13)</f>
        <v>0.15994683207797961</v>
      </c>
      <c r="V468" s="43">
        <f>SUM(Source!JN21:JN22,Source!JN25,Source!JN28)/SUM(Source!JN6:JN7,Source!JN10,Source!JN13)</f>
        <v>0.12147984538928769</v>
      </c>
      <c r="W468" s="43">
        <f>SUM(Source!JO21:JO22,Source!JO25,Source!JO28)/SUM(Source!JO6:JO7,Source!JO10,Source!JO13)</f>
        <v>0.12434478741991846</v>
      </c>
      <c r="X468" s="43">
        <f>SUM(Source!JP21:JP22,Source!JP25,Source!JP28)/SUM(Source!JP6:JP7,Source!JP10,Source!JP13)</f>
        <v>0.12575039494470774</v>
      </c>
      <c r="Y468" s="43">
        <f>SUM(Source!JQ21:JQ22,Source!JQ25,Source!JQ28)/SUM(Source!JQ6:JQ7,Source!JQ10,Source!JQ13)</f>
        <v>0.14085365853658535</v>
      </c>
      <c r="Z468" s="43">
        <f>SUM(Source!JR21:JR22,Source!JR25,Source!JR28)/SUM(Source!JR6:JR7,Source!JR10,Source!JR13)</f>
        <v>0.19628415300546448</v>
      </c>
      <c r="AA468" s="43">
        <f>SUM(Source!JS21:JS22,Source!JS25,Source!JS28)/SUM(Source!JS6:JS7,Source!JS10,Source!JS13)</f>
        <v>0.16790069686411149</v>
      </c>
      <c r="AB468" s="43">
        <f>SUM(Source!JT21:JT22,Source!JT25,Source!JT28)/SUM(Source!JT6:JT7,Source!JT10,Source!JT13)</f>
        <v>0.16718689036285603</v>
      </c>
      <c r="AC468" s="43">
        <f>SUM(Source!JU21:JU22,Source!JU25,Source!JU28)/SUM(Source!JU6:JU7,Source!JU10,Source!JU13)</f>
        <v>0.16626621816434406</v>
      </c>
      <c r="AD468" s="43">
        <f>SUM(Source!JV21:JV22,Source!JV25,Source!JV28)/SUM(Source!JV6:JV7,Source!JV10,Source!JV13)</f>
        <v>0.12808327675944783</v>
      </c>
      <c r="AE468" s="43">
        <f>SUM(Source!JW21:JW22,Source!JW25,Source!JW28)/SUM(Source!JW6:JW7,Source!JW10,Source!JW13)</f>
        <v>0.15768115942028985</v>
      </c>
      <c r="AF468" s="43">
        <f>SUM(Source!JX21:JX22,Source!JX25,Source!JX28)/SUM(Source!JX6:JX7,Source!JX10,Source!JX13)</f>
        <v>0.1356731272917758</v>
      </c>
      <c r="AG468" s="43">
        <f>SUM(Source!JY21:JY22,Source!JY25,Source!JY28)/SUM(Source!JY6:JY7,Source!JY10,Source!JY13)</f>
        <v>0.15778611632270167</v>
      </c>
      <c r="AH468" s="43">
        <f>SUM(Source!JZ21:JZ22,Source!JZ25,Source!JZ28)/SUM(Source!JZ6:JZ7,Source!JZ10,Source!JZ13)</f>
        <v>0.13737045315992685</v>
      </c>
      <c r="AI468" s="43">
        <f>SUM(Source!KA21:KA22,Source!KA25,Source!KA28)/SUM(Source!KA6:KA7,Source!KA10,Source!KA13)</f>
        <v>0.12658831003811943</v>
      </c>
      <c r="AJ468" s="43">
        <f>SUM(Source!KB21:KB22,Source!KB25,Source!KB28)/SUM(Source!KB6:KB7,Source!KB10,Source!KB13)</f>
        <v>0.15728228228228228</v>
      </c>
      <c r="AK468" s="43">
        <f>SUM(Source!KC21:KC22,Source!KC25,Source!KC28)/SUM(Source!KC6:KC7,Source!KC10,Source!KC13)</f>
        <v>0.17793356701719246</v>
      </c>
      <c r="AL468" s="43">
        <f>SUM(Source!KD21:KD22,Source!KD25,Source!KD28)/SUM(Source!KD6:KD7,Source!KD10,Source!KD13)</f>
        <v>0.25290941811637674</v>
      </c>
      <c r="AM468" s="43">
        <f>SUM(Source!KE21:KE22,Source!KE25,Source!KE28)/SUM(Source!KE6:KE7,Source!KE10,Source!KE13)</f>
        <v>0.23620309050772628</v>
      </c>
      <c r="AN468" s="43">
        <f>SUM(Source!KF21:KF22,Source!KF25,Source!KF28)/SUM(Source!KF6:KF7,Source!KF10,Source!KF13)</f>
        <v>0.28516732841747022</v>
      </c>
      <c r="AO468" s="43">
        <f>SUM(Source!KG21:KG22,Source!KG25,Source!KG28)/SUM(Source!KG6:KG7,Source!KG10,Source!KG13)</f>
        <v>0.19124521886952825</v>
      </c>
      <c r="AP468" s="43">
        <f>SUM(Source!KH21:KH22,Source!KH25,Source!KH28)/SUM(Source!KH6:KH7,Source!KH10,Source!KH13)</f>
        <v>0.1310170807453416</v>
      </c>
      <c r="AQ468" s="43">
        <f>SUM(Source!KI21:KI22,Source!KI25,Source!KI28)/SUM(Source!KI6:KI7,Source!KI10,Source!KI13)</f>
        <v>0.14377999261720192</v>
      </c>
      <c r="AR468" s="43">
        <f>SUM(Source!KJ21:KJ22,Source!KJ25,Source!KJ28)/SUM(Source!KJ6:KJ7,Source!KJ10,Source!KJ13)</f>
        <v>0.13547802446760307</v>
      </c>
      <c r="AS468" s="43">
        <f>SUM(Source!KK21:KK22,Source!KK25,Source!KK28)/SUM(Source!KK6:KK7,Source!KK10,Source!KK13)</f>
        <v>0.15860979462875197</v>
      </c>
      <c r="AT468" s="43">
        <f>SUM(Source!KL21:KL22,Source!KL25,Source!KL28)/SUM(Source!KL6:KL7,Source!KL10,Source!KL13)</f>
        <v>0.1747787610619469</v>
      </c>
      <c r="AU468" s="43">
        <f>SUM(Source!KM21:KM22,Source!KM25,Source!KM28)/SUM(Source!KM6:KM7,Source!KM10,Source!KM13)</f>
        <v>0.14976924222122973</v>
      </c>
      <c r="AV468" s="43" t="e">
        <f>SUM(Source!ID111:ID112,Source!ID115,Source!ID118)/SUM(Source!ID96:ID97,Source!ID100,Source!ID103)</f>
        <v>#DIV/0!</v>
      </c>
      <c r="AW468" s="43" t="e">
        <f>SUM(Source!IE111:IE112,Source!IE115,Source!IE118)/SUM(Source!IE96:IE97,Source!IE100,Source!IE103)</f>
        <v>#DIV/0!</v>
      </c>
    </row>
    <row r="469" spans="2:49" ht="14.4" thickTop="1">
      <c r="C469" s="252"/>
      <c r="I469" s="28"/>
      <c r="J469" s="28"/>
      <c r="L469" s="28"/>
      <c r="M469" s="28"/>
    </row>
    <row r="470" spans="2:49" ht="16.2" hidden="1" customHeight="1" outlineLevel="1">
      <c r="C470" s="252"/>
      <c r="I470" s="28"/>
      <c r="J470" s="28"/>
      <c r="L470" s="28"/>
      <c r="M470" s="28"/>
    </row>
    <row r="471" spans="2:49" hidden="1" outlineLevel="1">
      <c r="C471" s="252"/>
      <c r="I471" s="28"/>
      <c r="J471" s="28"/>
      <c r="L471" s="28"/>
      <c r="M471" s="28"/>
    </row>
    <row r="472" spans="2:49" hidden="1" outlineLevel="1">
      <c r="C472" s="252"/>
      <c r="I472" s="28"/>
      <c r="J472" s="28"/>
      <c r="L472" s="28"/>
      <c r="M472" s="28"/>
    </row>
    <row r="473" spans="2:49" hidden="1" outlineLevel="1">
      <c r="C473" s="252"/>
      <c r="I473" s="28"/>
      <c r="J473" s="28"/>
      <c r="L473" s="28"/>
      <c r="M473" s="28"/>
    </row>
    <row r="474" spans="2:49" hidden="1" outlineLevel="1">
      <c r="C474" s="252"/>
      <c r="I474" s="28"/>
      <c r="J474" s="28"/>
      <c r="L474" s="28"/>
      <c r="M474" s="28"/>
    </row>
    <row r="475" spans="2:49" hidden="1" outlineLevel="1">
      <c r="C475" s="252"/>
      <c r="I475" s="28"/>
      <c r="J475" s="28"/>
      <c r="L475" s="28"/>
      <c r="M475" s="28"/>
    </row>
    <row r="476" spans="2:49" hidden="1" outlineLevel="1">
      <c r="C476" s="252"/>
      <c r="I476" s="28"/>
      <c r="J476" s="28"/>
      <c r="L476" s="28"/>
      <c r="M476" s="28"/>
    </row>
    <row r="477" spans="2:49" hidden="1" outlineLevel="1">
      <c r="C477" s="252"/>
      <c r="I477" s="28"/>
      <c r="J477" s="28"/>
      <c r="L477" s="28"/>
      <c r="M477" s="28"/>
    </row>
    <row r="478" spans="2:49" hidden="1" outlineLevel="1">
      <c r="C478" s="252"/>
      <c r="I478" s="28"/>
      <c r="J478" s="28"/>
      <c r="L478" s="28"/>
      <c r="M478" s="28"/>
    </row>
    <row r="479" spans="2:49" hidden="1" outlineLevel="1">
      <c r="C479" s="252"/>
      <c r="I479" s="28"/>
      <c r="J479" s="28"/>
      <c r="L479" s="28"/>
      <c r="M479" s="28"/>
    </row>
    <row r="480" spans="2:49" hidden="1" outlineLevel="1">
      <c r="C480" s="252"/>
      <c r="I480" s="28"/>
      <c r="J480" s="28"/>
      <c r="L480" s="28"/>
      <c r="M480" s="28"/>
    </row>
    <row r="481" spans="2:49" hidden="1" outlineLevel="1">
      <c r="C481" s="252"/>
      <c r="I481" s="28"/>
      <c r="J481" s="28"/>
      <c r="L481" s="28"/>
      <c r="M481" s="28"/>
    </row>
    <row r="482" spans="2:49" hidden="1" outlineLevel="1">
      <c r="C482" s="252"/>
      <c r="I482" s="28"/>
      <c r="J482" s="28"/>
      <c r="L482" s="28"/>
      <c r="M482" s="28"/>
    </row>
    <row r="483" spans="2:49" hidden="1" outlineLevel="1">
      <c r="C483" s="252"/>
      <c r="I483" s="28"/>
      <c r="J483" s="28"/>
      <c r="L483" s="28"/>
      <c r="M483" s="28"/>
    </row>
    <row r="484" spans="2:49" hidden="1" outlineLevel="1">
      <c r="C484" s="252"/>
      <c r="I484" s="28"/>
      <c r="J484" s="28"/>
      <c r="L484" s="28"/>
      <c r="M484" s="28"/>
    </row>
    <row r="485" spans="2:49" hidden="1" outlineLevel="1">
      <c r="C485" s="252"/>
      <c r="I485" s="28"/>
      <c r="J485" s="28"/>
      <c r="L485" s="28"/>
      <c r="M485" s="28"/>
    </row>
    <row r="486" spans="2:49" hidden="1" outlineLevel="1">
      <c r="C486" s="252"/>
      <c r="I486" s="28"/>
      <c r="J486" s="28"/>
      <c r="L486" s="28"/>
      <c r="M486" s="28"/>
    </row>
    <row r="487" spans="2:49" hidden="1" outlineLevel="1">
      <c r="C487" s="252"/>
      <c r="I487" s="28"/>
      <c r="J487" s="28"/>
      <c r="L487" s="28"/>
      <c r="M487" s="28"/>
    </row>
    <row r="488" spans="2:49" hidden="1" outlineLevel="1">
      <c r="C488" s="252"/>
      <c r="I488" s="28"/>
      <c r="J488" s="28"/>
      <c r="L488" s="28"/>
      <c r="M488" s="28"/>
    </row>
    <row r="489" spans="2:49" hidden="1" outlineLevel="1">
      <c r="C489" s="252"/>
      <c r="I489" s="28"/>
      <c r="J489" s="28"/>
      <c r="L489" s="28"/>
      <c r="M489" s="28"/>
    </row>
    <row r="490" spans="2:49" ht="14.4" collapsed="1" thickBot="1">
      <c r="C490" s="252"/>
      <c r="F490" s="67" t="s">
        <v>151</v>
      </c>
      <c r="G490" s="67" t="s">
        <v>185</v>
      </c>
      <c r="H490" s="67" t="s">
        <v>185</v>
      </c>
      <c r="I490" s="67" t="s">
        <v>185</v>
      </c>
      <c r="J490" s="67" t="s">
        <v>185</v>
      </c>
      <c r="K490" s="67" t="s">
        <v>185</v>
      </c>
      <c r="L490" s="67" t="s">
        <v>185</v>
      </c>
      <c r="M490" s="67" t="s">
        <v>185</v>
      </c>
      <c r="N490" s="454" t="s">
        <v>185</v>
      </c>
      <c r="O490" s="454" t="s">
        <v>186</v>
      </c>
      <c r="P490" s="454" t="s">
        <v>189</v>
      </c>
      <c r="Q490" s="454" t="s">
        <v>190</v>
      </c>
      <c r="R490" s="454" t="s">
        <v>191</v>
      </c>
      <c r="S490" s="454" t="s">
        <v>192</v>
      </c>
      <c r="T490" s="454" t="s">
        <v>213</v>
      </c>
      <c r="U490" s="67" t="s">
        <v>213</v>
      </c>
      <c r="V490" s="67" t="s">
        <v>213</v>
      </c>
      <c r="W490" s="67" t="s">
        <v>213</v>
      </c>
      <c r="X490" s="67" t="s">
        <v>213</v>
      </c>
      <c r="Y490" s="67" t="s">
        <v>213</v>
      </c>
      <c r="Z490" s="67" t="s">
        <v>213</v>
      </c>
      <c r="AA490" s="67" t="s">
        <v>214</v>
      </c>
      <c r="AB490" s="67" t="s">
        <v>242</v>
      </c>
      <c r="AC490" s="67" t="s">
        <v>243</v>
      </c>
      <c r="AD490" s="67" t="s">
        <v>244</v>
      </c>
      <c r="AE490" s="67" t="s">
        <v>419</v>
      </c>
      <c r="AF490" s="67" t="s">
        <v>419</v>
      </c>
      <c r="AG490" s="67" t="s">
        <v>419</v>
      </c>
      <c r="AH490" s="67" t="s">
        <v>419</v>
      </c>
      <c r="AI490" s="67" t="s">
        <v>419</v>
      </c>
      <c r="AJ490" s="67" t="s">
        <v>419</v>
      </c>
      <c r="AK490" s="67" t="s">
        <v>419</v>
      </c>
      <c r="AL490" s="67" t="s">
        <v>419</v>
      </c>
      <c r="AM490" s="67" t="s">
        <v>493</v>
      </c>
      <c r="AN490" s="67" t="s">
        <v>493</v>
      </c>
      <c r="AO490" s="67" t="s">
        <v>493</v>
      </c>
      <c r="AP490" s="67" t="s">
        <v>493</v>
      </c>
      <c r="AQ490" s="67" t="s">
        <v>493</v>
      </c>
      <c r="AR490" s="67" t="s">
        <v>493</v>
      </c>
      <c r="AS490" s="67" t="s">
        <v>493</v>
      </c>
      <c r="AT490" s="67" t="s">
        <v>493</v>
      </c>
      <c r="AU490" s="67" t="s">
        <v>493</v>
      </c>
      <c r="AV490" s="67"/>
      <c r="AW490" s="67"/>
    </row>
    <row r="491" spans="2:49" ht="14.4" thickTop="1">
      <c r="C491" s="463" t="s">
        <v>179</v>
      </c>
      <c r="D491" s="45" t="s">
        <v>64</v>
      </c>
      <c r="E491" s="45"/>
      <c r="F491" s="104">
        <f>SUM(Source!IX32:IX42)/SUM(Source!IX3:IX13)</f>
        <v>5.6020198832255012E-3</v>
      </c>
      <c r="G491" s="104">
        <f>SUM(Source!IY32:IY42)/SUM(Source!IY3:IY13)</f>
        <v>5.5589399939080112E-3</v>
      </c>
      <c r="H491" s="104">
        <f>SUM(Source!IZ32:IZ42)/SUM(Source!IZ3:IZ13)</f>
        <v>3.7257290248620765E-3</v>
      </c>
      <c r="I491" s="104">
        <f>SUM(Source!JA32:JA42)/SUM(Source!JA3:JA13)</f>
        <v>4.9362951103995734E-3</v>
      </c>
      <c r="J491" s="104">
        <f>SUM(Source!JB32:JB42)/SUM(Source!JB3:JB13)</f>
        <v>4.937770562770563E-3</v>
      </c>
      <c r="K491" s="104">
        <f>SUM(Source!JC32:JC42)/SUM(Source!JC3:JC13)</f>
        <v>9.145354483651667E-3</v>
      </c>
      <c r="L491" s="104">
        <f>SUM(Source!JD32:JD42)/SUM(Source!JD3:JD13)</f>
        <v>3.8512709194034032E-3</v>
      </c>
      <c r="M491" s="104">
        <f>SUM(Source!JE32:JE42)/SUM(Source!JE3:JE13)</f>
        <v>6.3522312212164521E-3</v>
      </c>
      <c r="N491" s="395">
        <f>SUM(Source!JF32:JF42)/SUM(Source!JF3:JF13)</f>
        <v>3.9763901832867354E-3</v>
      </c>
      <c r="O491" s="395">
        <f>SUM(Source!JG32:JG42)/SUM(Source!JG3:JG13)</f>
        <v>4.5767916111465155E-3</v>
      </c>
      <c r="P491" s="395">
        <f>SUM(Source!JH32:JH42)/SUM(Source!JH3:JH13)</f>
        <v>6.8524741384990446E-3</v>
      </c>
      <c r="Q491" s="395">
        <f>SUM(Source!JI32:JI42)/SUM(Source!JI3:JI13)</f>
        <v>1.8861918026263431E-2</v>
      </c>
      <c r="R491" s="395">
        <f>SUM(Source!JJ32:JJ42)/SUM(Source!JJ3:JJ13)</f>
        <v>4.1247203579418343E-3</v>
      </c>
      <c r="S491" s="395">
        <f>SUM(Source!JK32:JK42)/SUM(Source!JK3:JK13)</f>
        <v>6.2637665198237887E-3</v>
      </c>
      <c r="T491" s="395">
        <f>SUM(Source!JL32:JL42)/SUM(Source!JL3:JL13)</f>
        <v>7.2300996771023449E-3</v>
      </c>
      <c r="U491" s="104">
        <f>SUM(Source!JM32:JM42)/SUM(Source!JM3:JM13)</f>
        <v>5.489679402722881E-3</v>
      </c>
      <c r="V491" s="104">
        <f>SUM(Source!JN32:JN42)/SUM(Source!JN3:JN13)</f>
        <v>3.4555103048253735E-3</v>
      </c>
      <c r="W491" s="104">
        <f>SUM(Source!JO32:JO42)/SUM(Source!JO3:JO13)</f>
        <v>6.2039550213260951E-3</v>
      </c>
      <c r="X491" s="104">
        <f>SUM(Source!JP32:JP42)/SUM(Source!JP3:JP13)</f>
        <v>5.5270047512847864E-3</v>
      </c>
      <c r="Y491" s="104">
        <f>SUM(Source!JQ32:JQ42)/SUM(Source!JQ3:JQ13)</f>
        <v>8.6747491638795981E-3</v>
      </c>
      <c r="Z491" s="104">
        <f>SUM(Source!JR32:JR42)/SUM(Source!JR3:JR13)</f>
        <v>8.1861266695389921E-3</v>
      </c>
      <c r="AA491" s="104">
        <f>SUM(Source!JS32:JS42)/SUM(Source!JS3:JS13)</f>
        <v>6.6819396716303932E-3</v>
      </c>
      <c r="AB491" s="104">
        <f>SUM(Source!JT32:JT42)/SUM(Source!JT3:JT13)</f>
        <v>4.7276853252647506E-3</v>
      </c>
      <c r="AC491" s="104">
        <f>SUM(Source!JU32:JU42)/SUM(Source!JU3:JU13)</f>
        <v>6.575963718820862E-3</v>
      </c>
      <c r="AD491" s="104">
        <f>SUM(Source!JV32:JV42)/SUM(Source!JV3:JV13)</f>
        <v>5.4286783976038935E-3</v>
      </c>
      <c r="AE491" s="104">
        <f>SUM(Source!JW32:JW42)/SUM(Source!JW3:JW13)</f>
        <v>1.5650340577359714E-2</v>
      </c>
      <c r="AF491" s="104">
        <f>SUM(Source!JX32:JX42)/SUM(Source!JX3:JX13)</f>
        <v>1.0363887609396591E-2</v>
      </c>
      <c r="AG491" s="104">
        <f>SUM(Source!JY32:JY42)/SUM(Source!JY3:JY13)</f>
        <v>4.8263380160303371E-3</v>
      </c>
      <c r="AH491" s="104">
        <f>SUM(Source!JZ32:JZ42)/SUM(Source!JZ3:JZ13)</f>
        <v>8.2781456953642391E-3</v>
      </c>
      <c r="AI491" s="104">
        <f>SUM(Source!KA32:KA42)/SUM(Source!KA3:KA13)</f>
        <v>1.4534673512184539E-2</v>
      </c>
      <c r="AJ491" s="104">
        <f>SUM(Source!KB32:KB42)/SUM(Source!KB3:KB13)</f>
        <v>5.3918044572250183E-3</v>
      </c>
      <c r="AK491" s="104">
        <f>SUM(Source!KC32:KC42)/SUM(Source!KC3:KC13)</f>
        <v>5.6482216927014389E-3</v>
      </c>
      <c r="AL491" s="104">
        <f>SUM(Source!KD32:KD42)/SUM(Source!KD3:KD13)</f>
        <v>4.0865555161404755E-2</v>
      </c>
      <c r="AM491" s="104">
        <f>SUM(Source!KE32:KE42)/SUM(Source!KE3:KE13)</f>
        <v>3.1187047675893458E-2</v>
      </c>
      <c r="AN491" s="104">
        <f>SUM(Source!KF32:KF42)/SUM(Source!KF3:KF13)</f>
        <v>4.3204110228865014E-2</v>
      </c>
      <c r="AO491" s="104">
        <f>SUM(Source!KG32:KG42)/SUM(Source!KG3:KG13)</f>
        <v>1.8565135305223412E-2</v>
      </c>
      <c r="AP491" s="104">
        <f>SUM(Source!KH32:KH42)/SUM(Source!KH3:KH13)</f>
        <v>9.5463303555789105E-3</v>
      </c>
      <c r="AQ491" s="104">
        <f>SUM(Source!KI32:KI42)/SUM(Source!KI3:KI13)</f>
        <v>8.434094640991192E-3</v>
      </c>
      <c r="AR491" s="104">
        <f>SUM(Source!KJ32:KJ42)/SUM(Source!KJ3:KJ13)</f>
        <v>1.3719512195121951E-2</v>
      </c>
      <c r="AS491" s="104">
        <f>SUM(Source!KK32:KK42)/SUM(Source!KK3:KK13)</f>
        <v>1.492892876995156E-2</v>
      </c>
      <c r="AT491" s="104">
        <f>SUM(Source!KL32:KL42)/SUM(Source!KL3:KL13)</f>
        <v>1.5832106038291605E-2</v>
      </c>
      <c r="AU491" s="104">
        <f>SUM(Source!KM32:KM42)/SUM(Source!KM3:KM13)</f>
        <v>1.4562746117839365E-2</v>
      </c>
      <c r="AV491" s="37"/>
      <c r="AW491" s="37"/>
    </row>
    <row r="492" spans="2:49">
      <c r="B492" s="28" t="s">
        <v>131</v>
      </c>
      <c r="C492" s="435"/>
      <c r="D492" s="47" t="s">
        <v>13</v>
      </c>
      <c r="E492" s="47"/>
      <c r="F492" s="85">
        <f>+Source!IX82</f>
        <v>1.6666666666666668E-3</v>
      </c>
      <c r="G492" s="85">
        <f>+Source!IY82</f>
        <v>3.1645569620253164E-3</v>
      </c>
      <c r="H492" s="85">
        <f>+Source!IZ82</f>
        <v>1.8547959724430313E-3</v>
      </c>
      <c r="I492" s="85">
        <f>+Source!JA82</f>
        <v>2.828854314002829E-3</v>
      </c>
      <c r="J492" s="85">
        <f>+Source!JB82</f>
        <v>3.3129459734964322E-3</v>
      </c>
      <c r="K492" s="85">
        <f>+Source!JC82</f>
        <v>3.6219953901876854E-3</v>
      </c>
      <c r="L492" s="85">
        <f>+Source!JD82</f>
        <v>1.1788977306218685E-3</v>
      </c>
      <c r="M492" s="85">
        <f>+Source!JE82</f>
        <v>2.7290448343079924E-3</v>
      </c>
      <c r="N492" s="396">
        <f>+Source!JF82</f>
        <v>3.4950657894736842E-3</v>
      </c>
      <c r="O492" s="396">
        <f>+Source!JG82</f>
        <v>1.4209591474245115E-3</v>
      </c>
      <c r="P492" s="396">
        <f>+Source!JH82</f>
        <v>1.8497109826589595E-3</v>
      </c>
      <c r="Q492" s="396">
        <f>+Source!JI82</f>
        <v>2.0352781546811396E-3</v>
      </c>
      <c r="R492" s="396">
        <f>+Source!JJ82</f>
        <v>2.2499999999999998E-3</v>
      </c>
      <c r="S492" s="396">
        <f>+Source!JK82</f>
        <v>1.2639029322548028E-3</v>
      </c>
      <c r="T492" s="396">
        <f>+Source!JL82</f>
        <v>1.1547344110854504E-2</v>
      </c>
      <c r="U492" s="85">
        <f>+Source!JM82</f>
        <v>2.8340080971659921E-3</v>
      </c>
      <c r="V492" s="85">
        <f>+Source!JN82</f>
        <v>2.0559210526315788E-3</v>
      </c>
      <c r="W492" s="85">
        <f>+Source!JO82</f>
        <v>4.1636051922605928E-3</v>
      </c>
      <c r="X492" s="85">
        <f>+Source!JP82</f>
        <v>1.927246446639364E-3</v>
      </c>
      <c r="Y492" s="85">
        <f>+Source!JQ82</f>
        <v>1.4956625785222854E-3</v>
      </c>
      <c r="Z492" s="85">
        <f>+Source!JR82</f>
        <v>2.5641025641025641E-3</v>
      </c>
      <c r="AA492" s="85">
        <f>+Source!JS82</f>
        <v>2.7683789603199014E-3</v>
      </c>
      <c r="AB492" s="85">
        <f>+Source!JT82</f>
        <v>1.1411182959300114E-3</v>
      </c>
      <c r="AC492" s="85">
        <f>+Source!JU82</f>
        <v>1.2494793835901709E-3</v>
      </c>
      <c r="AD492" s="85">
        <f>+Source!JV82</f>
        <v>2.2995113538373095E-3</v>
      </c>
      <c r="AE492" s="85">
        <f>+Source!JW82</f>
        <v>2.618486514794449E-3</v>
      </c>
      <c r="AF492" s="85">
        <f>+Source!JX82</f>
        <v>2.6094520150768338E-3</v>
      </c>
      <c r="AG492" s="85">
        <f>+Source!JY82</f>
        <v>2.2457491177414182E-3</v>
      </c>
      <c r="AH492" s="85">
        <f>+Source!JZ82</f>
        <v>4.0460628695922814E-3</v>
      </c>
      <c r="AI492" s="85">
        <f>+Source!KA82</f>
        <v>3.1454149528187757E-3</v>
      </c>
      <c r="AJ492" s="85">
        <f>+Source!KB82</f>
        <v>3.5760728218465539E-3</v>
      </c>
      <c r="AK492" s="85">
        <f>+Source!KC82</f>
        <v>3.2948929159802307E-3</v>
      </c>
      <c r="AL492" s="85">
        <f>+Source!KD82</f>
        <v>6.3231109705975345E-4</v>
      </c>
      <c r="AM492" s="85">
        <f>+Source!KE82</f>
        <v>2.0389669234254643E-3</v>
      </c>
      <c r="AN492" s="85">
        <f>+Source!KF82</f>
        <v>1.8315018315018315E-3</v>
      </c>
      <c r="AO492" s="85">
        <f>+Source!KG82</f>
        <v>2.6615969581749049E-3</v>
      </c>
      <c r="AP492" s="85">
        <f>+Source!KH82</f>
        <v>1.2890750886239124E-3</v>
      </c>
      <c r="AQ492" s="85">
        <f>+Source!KI82</f>
        <v>4.8350398179749718E-3</v>
      </c>
      <c r="AR492" s="85">
        <f>+Source!KJ82</f>
        <v>6.024096385542169E-3</v>
      </c>
      <c r="AS492" s="85">
        <f>+Source!KK82</f>
        <v>1.4265335235378032E-3</v>
      </c>
      <c r="AT492" s="85">
        <f>+Source!KL82</f>
        <v>7.6550140341923956E-4</v>
      </c>
      <c r="AU492" s="85">
        <f>+Source!KM82</f>
        <v>2.5348542458808617E-4</v>
      </c>
      <c r="AV492" s="39"/>
      <c r="AW492" s="39"/>
    </row>
    <row r="493" spans="2:49">
      <c r="B493" s="28" t="s">
        <v>136</v>
      </c>
      <c r="C493" s="435"/>
      <c r="D493" s="47" t="s">
        <v>14</v>
      </c>
      <c r="E493" s="47"/>
      <c r="F493" s="85">
        <f>+Source!IX83</f>
        <v>1.4374700527072352E-3</v>
      </c>
      <c r="G493" s="85">
        <f>+Source!IY83</f>
        <v>1.1600928074245939E-3</v>
      </c>
      <c r="H493" s="85">
        <f>+Source!IZ83</f>
        <v>3.5700119000396666E-3</v>
      </c>
      <c r="I493" s="85">
        <f>+Source!JA83</f>
        <v>2.881844380403458E-3</v>
      </c>
      <c r="J493" s="85">
        <f>+Source!JB83</f>
        <v>2.9978586723768737E-3</v>
      </c>
      <c r="K493" s="85">
        <f>+Source!JC83</f>
        <v>1.5723270440251573E-3</v>
      </c>
      <c r="L493" s="85">
        <f>+Source!JD83</f>
        <v>5.0343249427917619E-3</v>
      </c>
      <c r="M493" s="85">
        <f>+Source!JE83</f>
        <v>9.0952608903781713E-3</v>
      </c>
      <c r="N493" s="396">
        <f>+Source!JF83</f>
        <v>5.657093124456049E-3</v>
      </c>
      <c r="O493" s="396">
        <f>+Source!JG83</f>
        <v>6.0024009603841539E-3</v>
      </c>
      <c r="P493" s="396">
        <f>+Source!JH83</f>
        <v>5.4170249355116079E-2</v>
      </c>
      <c r="Q493" s="396">
        <f>+Source!JI83</f>
        <v>3.4482758620689655E-3</v>
      </c>
      <c r="R493" s="396">
        <f>+Source!JJ83</f>
        <v>1.8575851393188853E-3</v>
      </c>
      <c r="S493" s="396">
        <f>+Source!JK83</f>
        <v>5.8445353594389245E-3</v>
      </c>
      <c r="T493" s="396">
        <f>+Source!JL83</f>
        <v>2.112676056338028E-3</v>
      </c>
      <c r="U493" s="85">
        <f>+Source!JM83</f>
        <v>5.5248618784530384E-3</v>
      </c>
      <c r="V493" s="85">
        <f>+Source!JN83</f>
        <v>5.279831045406547E-3</v>
      </c>
      <c r="W493" s="85">
        <f>+Source!JO83</f>
        <v>3.5756853396901071E-3</v>
      </c>
      <c r="X493" s="85">
        <f>+Source!JP83</f>
        <v>5.2301255230125521E-3</v>
      </c>
      <c r="Y493" s="85">
        <f>+Source!JQ83</f>
        <v>2.34192037470726E-3</v>
      </c>
      <c r="Z493" s="85">
        <f>+Source!JR83</f>
        <v>4.9067713444553487E-3</v>
      </c>
      <c r="AA493" s="85">
        <f>+Source!JS83</f>
        <v>1.0714285714285714E-2</v>
      </c>
      <c r="AB493" s="85">
        <f>+Source!JT83</f>
        <v>1.5408320493066256E-3</v>
      </c>
      <c r="AC493" s="85">
        <f>+Source!JU83</f>
        <v>7.874015748031496E-3</v>
      </c>
      <c r="AD493" s="85">
        <f>+Source!JV83</f>
        <v>2.2446689113355782E-3</v>
      </c>
      <c r="AE493" s="85">
        <f>+Source!JW83</f>
        <v>8.836524300441826E-3</v>
      </c>
      <c r="AF493" s="85">
        <f>+Source!JX83</f>
        <v>4.8192771084337354E-3</v>
      </c>
      <c r="AG493" s="85">
        <f>+Source!JY83</f>
        <v>2.3557126030624262E-3</v>
      </c>
      <c r="AH493" s="85">
        <f>+Source!JZ83</f>
        <v>3.8986354775828458E-3</v>
      </c>
      <c r="AI493" s="85">
        <f>+Source!KA83</f>
        <v>4.9261083743842365E-3</v>
      </c>
      <c r="AJ493" s="85">
        <f>+Source!KB83</f>
        <v>9.9108027750247768E-4</v>
      </c>
      <c r="AK493" s="85">
        <f>+Source!KC83</f>
        <v>0</v>
      </c>
      <c r="AL493" s="85">
        <f>+Source!KD83</f>
        <v>6.3291139240506328E-3</v>
      </c>
      <c r="AM493" s="85">
        <f>+Source!KE83</f>
        <v>8.0536912751677861E-3</v>
      </c>
      <c r="AN493" s="85">
        <f>+Source!KF83</f>
        <v>2.1231422505307855E-3</v>
      </c>
      <c r="AO493" s="85">
        <f>+Source!KG83</f>
        <v>1.2422360248447204E-2</v>
      </c>
      <c r="AP493" s="85">
        <f>+Source!KH83</f>
        <v>1.557632398753894E-3</v>
      </c>
      <c r="AQ493" s="85">
        <f>+Source!KI83</f>
        <v>1.5974440894568689E-3</v>
      </c>
      <c r="AR493" s="85">
        <f>+Source!KJ83</f>
        <v>1.0111223458038423E-3</v>
      </c>
      <c r="AS493" s="85">
        <f>+Source!KK83</f>
        <v>5.2479815455593999E-2</v>
      </c>
      <c r="AT493" s="85">
        <f>+Source!KL83</f>
        <v>5.9158134243458477E-2</v>
      </c>
      <c r="AU493" s="85">
        <f>+Source!KM83</f>
        <v>3.0319148936170211E-2</v>
      </c>
      <c r="AV493" s="39"/>
      <c r="AW493" s="39"/>
    </row>
    <row r="494" spans="2:49">
      <c r="B494" s="28" t="s">
        <v>141</v>
      </c>
      <c r="C494" s="435"/>
      <c r="D494" s="47" t="s">
        <v>17</v>
      </c>
      <c r="E494" s="47"/>
      <c r="F494" s="85">
        <f>+Source!IX84</f>
        <v>3.1298904538341159E-3</v>
      </c>
      <c r="G494" s="85">
        <f>+Source!IY84</f>
        <v>5.0864699898270603E-3</v>
      </c>
      <c r="H494" s="85">
        <f>+Source!IZ84</f>
        <v>2.7447392497712718E-3</v>
      </c>
      <c r="I494" s="85">
        <f>+Source!JA84</f>
        <v>9.9188458070333628E-3</v>
      </c>
      <c r="J494" s="85">
        <f>+Source!JB84</f>
        <v>3.5885167464114833E-3</v>
      </c>
      <c r="K494" s="85">
        <f>+Source!JC84</f>
        <v>7.6555023923444978E-3</v>
      </c>
      <c r="L494" s="85">
        <f>+Source!JD84</f>
        <v>4.1710114702815434E-3</v>
      </c>
      <c r="M494" s="85">
        <f>+Source!JE84</f>
        <v>5.4644808743169399E-3</v>
      </c>
      <c r="N494" s="396">
        <f>+Source!JF84</f>
        <v>1.3262599469496021E-3</v>
      </c>
      <c r="O494" s="396">
        <f>+Source!JG84</f>
        <v>8.7642418930762491E-4</v>
      </c>
      <c r="P494" s="396">
        <f>+Source!JH84</f>
        <v>2.4896265560165973E-3</v>
      </c>
      <c r="Q494" s="396">
        <f>+Source!JI84</f>
        <v>0.14002932551319647</v>
      </c>
      <c r="R494" s="396">
        <f>+Source!JJ84</f>
        <v>7.1801566579634468E-3</v>
      </c>
      <c r="S494" s="396">
        <f>+Source!JK84</f>
        <v>1.8285714285714287E-2</v>
      </c>
      <c r="T494" s="396">
        <f>+Source!JL84</f>
        <v>4.3715846994535519E-3</v>
      </c>
      <c r="U494" s="85">
        <f>+Source!JM84</f>
        <v>1.6313213703099511E-3</v>
      </c>
      <c r="V494" s="85">
        <f>+Source!JN84</f>
        <v>7.5329566854990581E-3</v>
      </c>
      <c r="W494" s="85">
        <f>+Source!JO84</f>
        <v>1.3736263736263736E-2</v>
      </c>
      <c r="X494" s="85">
        <f>+Source!JP84</f>
        <v>1.9536019536019536E-2</v>
      </c>
      <c r="Y494" s="85">
        <f>+Source!JQ84</f>
        <v>1.9672131147540985E-2</v>
      </c>
      <c r="Z494" s="85">
        <f>+Source!JR84</f>
        <v>1.5138023152270703E-2</v>
      </c>
      <c r="AA494" s="85">
        <f>+Source!JS84</f>
        <v>9.4836670179135937E-3</v>
      </c>
      <c r="AB494" s="85">
        <f>+Source!JT84</f>
        <v>6.8259385665529011E-3</v>
      </c>
      <c r="AC494" s="85">
        <f>+Source!JU84</f>
        <v>8.6862106406080351E-3</v>
      </c>
      <c r="AD494" s="85">
        <f>+Source!JV84</f>
        <v>4.2417815482502655E-3</v>
      </c>
      <c r="AE494" s="85">
        <f>+Source!JW84</f>
        <v>3.4199726402188782E-3</v>
      </c>
      <c r="AF494" s="85">
        <f>+Source!JX84</f>
        <v>4.7961630695443642E-3</v>
      </c>
      <c r="AG494" s="85">
        <f>+Source!JY84</f>
        <v>6.8153655514250309E-3</v>
      </c>
      <c r="AH494" s="85">
        <f>+Source!JZ84</f>
        <v>7.513148009015778E-4</v>
      </c>
      <c r="AI494" s="85">
        <f>+Source!KA84</f>
        <v>8.0000000000000002E-3</v>
      </c>
      <c r="AJ494" s="85">
        <f>+Source!KB84</f>
        <v>3.5502958579881655E-3</v>
      </c>
      <c r="AK494" s="85">
        <f>+Source!KC84</f>
        <v>3.0800821355236141E-3</v>
      </c>
      <c r="AL494" s="85">
        <f>+Source!KD84</f>
        <v>7.684918347742555E-3</v>
      </c>
      <c r="AM494" s="85">
        <f>+Source!KE84</f>
        <v>2.5146689019279128E-3</v>
      </c>
      <c r="AN494" s="85">
        <f>+Source!KF84</f>
        <v>3.5746201966041107E-3</v>
      </c>
      <c r="AO494" s="85">
        <f>+Source!KG84</f>
        <v>5.1020408163265302E-3</v>
      </c>
      <c r="AP494" s="85">
        <f>+Source!KH84</f>
        <v>4.0567951318458417E-3</v>
      </c>
      <c r="AQ494" s="85">
        <f>+Source!KI84</f>
        <v>1.2717536813922356E-2</v>
      </c>
      <c r="AR494" s="85">
        <f>+Source!KJ84</f>
        <v>1.1253196930946292E-2</v>
      </c>
      <c r="AS494" s="85">
        <f>+Source!KK84</f>
        <v>8.3752093802345051E-3</v>
      </c>
      <c r="AT494" s="85">
        <f>+Source!KL84</f>
        <v>2.3703703703703703E-2</v>
      </c>
      <c r="AU494" s="85">
        <f>+Source!KM84</f>
        <v>1.556420233463035E-2</v>
      </c>
      <c r="AV494" s="39"/>
      <c r="AW494" s="39"/>
    </row>
    <row r="495" spans="2:49">
      <c r="B495" s="28" t="s">
        <v>124</v>
      </c>
      <c r="C495" s="435"/>
      <c r="D495" s="47" t="s">
        <v>18</v>
      </c>
      <c r="E495" s="47"/>
      <c r="F495" s="85">
        <f>+Source!IX85</f>
        <v>1.1544011544011544E-2</v>
      </c>
      <c r="G495" s="85">
        <f>+Source!IY85</f>
        <v>2.7027027027027029E-2</v>
      </c>
      <c r="H495" s="85">
        <f>+Source!IZ85</f>
        <v>2.119460500963391E-2</v>
      </c>
      <c r="I495" s="85">
        <f>+Source!JA85</f>
        <v>1.1904761904761904E-2</v>
      </c>
      <c r="J495" s="85">
        <f>+Source!JB85</f>
        <v>6.3559322033898309E-3</v>
      </c>
      <c r="K495" s="85">
        <f>+Source!JC85</f>
        <v>9.4043887147335428E-3</v>
      </c>
      <c r="L495" s="85">
        <f>+Source!JD85</f>
        <v>6.0514372163388806E-3</v>
      </c>
      <c r="M495" s="85">
        <f>+Source!JE85</f>
        <v>1.7857142857142856E-2</v>
      </c>
      <c r="N495" s="396">
        <f>+Source!JF85</f>
        <v>3.3898305084745762E-3</v>
      </c>
      <c r="O495" s="396">
        <f>+Source!JG85</f>
        <v>3.6363636363636364E-3</v>
      </c>
      <c r="P495" s="396">
        <f>+Source!JH85</f>
        <v>2.2857142857142857E-2</v>
      </c>
      <c r="Q495" s="396">
        <f>+Source!JI85</f>
        <v>4.2016806722689074E-3</v>
      </c>
      <c r="R495" s="396">
        <f>+Source!JJ85</f>
        <v>0</v>
      </c>
      <c r="S495" s="396">
        <f>+Source!JK85</f>
        <v>1.6393442622950821E-2</v>
      </c>
      <c r="T495" s="396">
        <f>+Source!JL85</f>
        <v>6.0975609756097563E-3</v>
      </c>
      <c r="U495" s="85">
        <f>+Source!JM85</f>
        <v>7.326007326007326E-3</v>
      </c>
      <c r="V495" s="85">
        <f>+Source!JN85</f>
        <v>1.7391304347826087E-2</v>
      </c>
      <c r="W495" s="85">
        <f>+Source!JO85</f>
        <v>1.1235955056179775E-2</v>
      </c>
      <c r="X495" s="85">
        <f>+Source!JP85</f>
        <v>0</v>
      </c>
      <c r="Y495" s="85">
        <f>+Source!JQ85</f>
        <v>3.5502958579881658E-2</v>
      </c>
      <c r="Z495" s="85">
        <f>+Source!JR85</f>
        <v>3.8461538461538464E-3</v>
      </c>
      <c r="AA495" s="85">
        <f>+Source!JS85</f>
        <v>5.8139534883720929E-3</v>
      </c>
      <c r="AB495" s="85">
        <f>+Source!JT85</f>
        <v>5.681818181818182E-3</v>
      </c>
      <c r="AC495" s="85">
        <f>+Source!JU85</f>
        <v>1.8691588785046728E-2</v>
      </c>
      <c r="AD495" s="85">
        <f>+Source!JV85</f>
        <v>0</v>
      </c>
      <c r="AE495" s="85">
        <f>+Source!JW85</f>
        <v>1.9704433497536946E-2</v>
      </c>
      <c r="AF495" s="85">
        <f>+Source!JX85</f>
        <v>1.5544041450777202E-2</v>
      </c>
      <c r="AG495" s="85">
        <f>+Source!JY85</f>
        <v>0</v>
      </c>
      <c r="AH495" s="85">
        <f>+Source!JZ85</f>
        <v>0</v>
      </c>
      <c r="AI495" s="85">
        <f>+Source!KA85</f>
        <v>7.1942446043165471E-3</v>
      </c>
      <c r="AJ495" s="85">
        <f>+Source!KB85</f>
        <v>0</v>
      </c>
      <c r="AK495" s="85">
        <f>+Source!KC85</f>
        <v>8.8495575221238937E-3</v>
      </c>
      <c r="AL495" s="85">
        <f>+Source!KD85</f>
        <v>6.8965517241379309E-3</v>
      </c>
      <c r="AM495" s="85">
        <f>+Source!KE85</f>
        <v>0</v>
      </c>
      <c r="AN495" s="85">
        <f>+Source!KF85</f>
        <v>1.9417475728155338E-2</v>
      </c>
      <c r="AO495" s="85">
        <f>+Source!KG85</f>
        <v>3.3613445378151259E-2</v>
      </c>
      <c r="AP495" s="85">
        <f>+Source!KH85</f>
        <v>4.8000000000000001E-2</v>
      </c>
      <c r="AQ495" s="85">
        <f>+Source!KI85</f>
        <v>4.7846889952153108E-3</v>
      </c>
      <c r="AR495" s="85">
        <f>+Source!KJ85</f>
        <v>2.0408163265306121E-2</v>
      </c>
      <c r="AS495" s="85">
        <f>+Source!KK85</f>
        <v>1.5015015015015015E-3</v>
      </c>
      <c r="AT495" s="85">
        <f>+Source!KL85</f>
        <v>3.9761431411530811E-3</v>
      </c>
      <c r="AU495" s="85">
        <f>+Source!KM85</f>
        <v>3.7037037037037038E-3</v>
      </c>
      <c r="AV495" s="39"/>
      <c r="AW495" s="39"/>
    </row>
    <row r="496" spans="2:49">
      <c r="B496" s="28" t="s">
        <v>137</v>
      </c>
      <c r="C496" s="435"/>
      <c r="D496" s="47" t="s">
        <v>19</v>
      </c>
      <c r="E496" s="47"/>
      <c r="F496" s="85">
        <f>+Source!IX86</f>
        <v>2.7379400260756193E-2</v>
      </c>
      <c r="G496" s="85">
        <f>+Source!IY86</f>
        <v>1.8789144050104383E-2</v>
      </c>
      <c r="H496" s="85">
        <f>+Source!IZ86</f>
        <v>6.0975609756097563E-3</v>
      </c>
      <c r="I496" s="85">
        <f>+Source!JA86</f>
        <v>8.045052292839903E-4</v>
      </c>
      <c r="J496" s="85">
        <f>+Source!JB86</f>
        <v>3.2076984763432237E-3</v>
      </c>
      <c r="K496" s="85">
        <f>+Source!JC86</f>
        <v>4.6801872074882997E-3</v>
      </c>
      <c r="L496" s="85">
        <f>+Source!JD86</f>
        <v>2.6631158455392811E-3</v>
      </c>
      <c r="M496" s="85">
        <f>+Source!JE86</f>
        <v>9.1743119266055051E-3</v>
      </c>
      <c r="N496" s="396">
        <f>+Source!JF86</f>
        <v>7.4850299401197605E-3</v>
      </c>
      <c r="O496" s="396">
        <f>+Source!JG86</f>
        <v>2.9498525073746312E-3</v>
      </c>
      <c r="P496" s="396">
        <f>+Source!JH86</f>
        <v>3.4542314335060447E-3</v>
      </c>
      <c r="Q496" s="396">
        <f>+Source!JI86</f>
        <v>1.1787819253438114E-2</v>
      </c>
      <c r="R496" s="396">
        <f>+Source!JJ86</f>
        <v>6.9637883008356544E-3</v>
      </c>
      <c r="S496" s="396">
        <f>+Source!JK86</f>
        <v>3.7453183520599251E-3</v>
      </c>
      <c r="T496" s="396">
        <f>+Source!JL86</f>
        <v>5.5449330783938815E-2</v>
      </c>
      <c r="U496" s="85">
        <f>+Source!JM86</f>
        <v>8.9686098654708519E-3</v>
      </c>
      <c r="V496" s="85">
        <f>+Source!JN86</f>
        <v>3.7453183520599251E-3</v>
      </c>
      <c r="W496" s="85">
        <f>+Source!JO86</f>
        <v>3.605769230769231E-3</v>
      </c>
      <c r="X496" s="85">
        <f>+Source!JP86</f>
        <v>1.6442451420029897E-2</v>
      </c>
      <c r="Y496" s="85">
        <f>+Source!JQ86</f>
        <v>2.3643949930458971E-2</v>
      </c>
      <c r="Z496" s="85">
        <f>+Source!JR86</f>
        <v>8.1411126187245584E-3</v>
      </c>
      <c r="AA496" s="85">
        <f>+Source!JS86</f>
        <v>8.0515297906602248E-3</v>
      </c>
      <c r="AB496" s="85">
        <f>+Source!JT86</f>
        <v>5.8737151248164461E-3</v>
      </c>
      <c r="AC496" s="85">
        <f>+Source!JU86</f>
        <v>2.3584905660377358E-3</v>
      </c>
      <c r="AD496" s="85">
        <f>+Source!JV86</f>
        <v>1.9267822736030828E-3</v>
      </c>
      <c r="AE496" s="85">
        <f>+Source!JW86</f>
        <v>0</v>
      </c>
      <c r="AF496" s="85">
        <f>+Source!JX86</f>
        <v>1.1461318051575931E-2</v>
      </c>
      <c r="AG496" s="85">
        <f>+Source!JY86</f>
        <v>0</v>
      </c>
      <c r="AH496" s="85">
        <f>+Source!JZ86</f>
        <v>0</v>
      </c>
      <c r="AI496" s="85">
        <f>+Source!KA86</f>
        <v>0.11342592592592593</v>
      </c>
      <c r="AJ496" s="85">
        <f>+Source!KB86</f>
        <v>2.4630541871921183E-3</v>
      </c>
      <c r="AK496" s="85">
        <f>+Source!KC86</f>
        <v>5.4495912806539508E-3</v>
      </c>
      <c r="AL496" s="85">
        <f>+Source!KD86</f>
        <v>1.2012012012012012E-2</v>
      </c>
      <c r="AM496" s="85">
        <f>+Source!KE86</f>
        <v>3.1847133757961785E-3</v>
      </c>
      <c r="AN496" s="85">
        <f>+Source!KF86</f>
        <v>4.9382716049382715E-3</v>
      </c>
      <c r="AO496" s="85">
        <f>+Source!KG86</f>
        <v>3.3112582781456954E-3</v>
      </c>
      <c r="AP496" s="85">
        <f>+Source!KH86</f>
        <v>7.3529411764705881E-3</v>
      </c>
      <c r="AQ496" s="85">
        <f>+Source!KI86</f>
        <v>6.8965517241379309E-3</v>
      </c>
      <c r="AR496" s="85">
        <f>+Source!KJ86</f>
        <v>2.5062656641604009E-3</v>
      </c>
      <c r="AS496" s="85">
        <f>+Source!KK86</f>
        <v>2.1505376344086021E-3</v>
      </c>
      <c r="AT496" s="85">
        <f>+Source!KL86</f>
        <v>0</v>
      </c>
      <c r="AU496" s="85">
        <f>+Source!KM86</f>
        <v>5.434782608695652E-3</v>
      </c>
      <c r="AV496" s="39"/>
      <c r="AW496" s="39"/>
    </row>
    <row r="497" spans="2:49">
      <c r="B497" s="28" t="s">
        <v>123</v>
      </c>
      <c r="C497" s="435"/>
      <c r="D497" s="47" t="s">
        <v>21</v>
      </c>
      <c r="E497" s="47"/>
      <c r="F497" s="85">
        <f>+Source!IX87</f>
        <v>5.5248618784530384E-3</v>
      </c>
      <c r="G497" s="85">
        <f>+Source!IY87</f>
        <v>1.7793594306049821E-3</v>
      </c>
      <c r="H497" s="85">
        <f>+Source!IZ87</f>
        <v>1.2500000000000001E-2</v>
      </c>
      <c r="I497" s="85">
        <f>+Source!JA87</f>
        <v>9.2592592592592587E-3</v>
      </c>
      <c r="J497" s="85">
        <f>+Source!JB87</f>
        <v>8.1967213114754103E-3</v>
      </c>
      <c r="K497" s="85">
        <f>+Source!JC87</f>
        <v>2.1929824561403508E-2</v>
      </c>
      <c r="L497" s="85">
        <f>+Source!JD87</f>
        <v>1.6326530612244899E-2</v>
      </c>
      <c r="M497" s="85">
        <f>+Source!JE87</f>
        <v>4.296875E-2</v>
      </c>
      <c r="N497" s="396">
        <f>+Source!JF87</f>
        <v>4.878048780487805E-2</v>
      </c>
      <c r="O497" s="396">
        <f>+Source!JG87</f>
        <v>5.1094890510948905E-2</v>
      </c>
      <c r="P497" s="396">
        <f>+Source!JH87</f>
        <v>0</v>
      </c>
      <c r="Q497" s="396">
        <f>+Source!JI87</f>
        <v>1.2345679012345678E-2</v>
      </c>
      <c r="R497" s="396">
        <f>+Source!JJ87</f>
        <v>1.7543859649122806E-2</v>
      </c>
      <c r="S497" s="396">
        <f>+Source!JK87</f>
        <v>0</v>
      </c>
      <c r="T497" s="396">
        <f>+Source!JL87</f>
        <v>0</v>
      </c>
      <c r="U497" s="85">
        <f>+Source!JM87</f>
        <v>2.2727272727272728E-2</v>
      </c>
      <c r="V497" s="85">
        <f>+Source!JN87</f>
        <v>0</v>
      </c>
      <c r="W497" s="85">
        <f>+Source!JO87</f>
        <v>1.1111111111111112E-2</v>
      </c>
      <c r="X497" s="85">
        <f>+Source!JP87</f>
        <v>7.4074074074074077E-3</v>
      </c>
      <c r="Y497" s="85">
        <f>+Source!JQ87</f>
        <v>7.3394495412844041E-2</v>
      </c>
      <c r="Z497" s="85">
        <f>+Source!JR87</f>
        <v>8.6206896551724137E-3</v>
      </c>
      <c r="AA497" s="85">
        <f>+Source!JS87</f>
        <v>4.1322314049586778E-2</v>
      </c>
      <c r="AB497" s="85">
        <f>+Source!JT87</f>
        <v>1.8018018018018018E-2</v>
      </c>
      <c r="AC497" s="85">
        <f>+Source!JU87</f>
        <v>2.7027027027027029E-2</v>
      </c>
      <c r="AD497" s="85">
        <f>+Source!JV87</f>
        <v>1.4084507042253521E-2</v>
      </c>
      <c r="AE497" s="85">
        <f>+Source!JW87</f>
        <v>0.1</v>
      </c>
      <c r="AF497" s="85">
        <f>+Source!JX87</f>
        <v>0.21875</v>
      </c>
      <c r="AG497" s="85">
        <f>+Source!JY87</f>
        <v>7.407407407407407E-2</v>
      </c>
      <c r="AH497" s="85">
        <f>+Source!JZ87</f>
        <v>4.8192771084337352E-2</v>
      </c>
      <c r="AI497" s="85">
        <f>+Source!KA87</f>
        <v>8.1632653061224483E-2</v>
      </c>
      <c r="AJ497" s="85">
        <f>+Source!KB87</f>
        <v>0.17567567567567569</v>
      </c>
      <c r="AK497" s="85">
        <f>+Source!KC87</f>
        <v>6.6666666666666666E-2</v>
      </c>
      <c r="AL497" s="85">
        <f>+Source!KD87</f>
        <v>3.7037037037037035E-2</v>
      </c>
      <c r="AM497" s="85">
        <f>+Source!KE87</f>
        <v>2.0618556701030927E-2</v>
      </c>
      <c r="AN497" s="85">
        <f>+Source!KF87</f>
        <v>5.4054054054054057E-2</v>
      </c>
      <c r="AO497" s="85">
        <f>+Source!KG87</f>
        <v>3.7037037037037035E-2</v>
      </c>
      <c r="AP497" s="85">
        <f>+Source!KH87</f>
        <v>1.2500000000000001E-2</v>
      </c>
      <c r="AQ497" s="85">
        <f>+Source!KI87</f>
        <v>2.247191011235955E-2</v>
      </c>
      <c r="AR497" s="85">
        <f>+Source!KJ87</f>
        <v>2.3529411764705882E-2</v>
      </c>
      <c r="AS497" s="85">
        <f>+Source!KK87</f>
        <v>2.1709997319753416E-2</v>
      </c>
      <c r="AT497" s="85">
        <f>+Source!KL87</f>
        <v>1.9443110897743639E-2</v>
      </c>
      <c r="AU497" s="85">
        <f>+Source!KM87</f>
        <v>2.0096852300242132E-2</v>
      </c>
      <c r="AV497" s="39"/>
      <c r="AW497" s="39"/>
    </row>
    <row r="498" spans="2:49">
      <c r="B498" s="28" t="s">
        <v>139</v>
      </c>
      <c r="C498" s="435"/>
      <c r="D498" s="47" t="s">
        <v>22</v>
      </c>
      <c r="E498" s="47"/>
      <c r="F498" s="85">
        <f>+Source!IX88</f>
        <v>2.5806451612903226E-2</v>
      </c>
      <c r="G498" s="85">
        <f>+Source!IY88</f>
        <v>5.8823529411764705E-3</v>
      </c>
      <c r="H498" s="85">
        <f>+Source!IZ88</f>
        <v>1.6574585635359115E-2</v>
      </c>
      <c r="I498" s="85">
        <f>+Source!JA88</f>
        <v>2.9411764705882353E-2</v>
      </c>
      <c r="J498" s="85">
        <f>+Source!JB88</f>
        <v>2.6143790849673203E-2</v>
      </c>
      <c r="K498" s="85">
        <f>+Source!JC88</f>
        <v>2.3622047244094488E-2</v>
      </c>
      <c r="L498" s="85">
        <f>+Source!JD88</f>
        <v>0</v>
      </c>
      <c r="M498" s="85">
        <f>+Source!JE88</f>
        <v>0</v>
      </c>
      <c r="N498" s="396">
        <f>+Source!JF88</f>
        <v>1.092896174863388E-2</v>
      </c>
      <c r="O498" s="396">
        <f>+Source!JG88</f>
        <v>1.937984496124031E-2</v>
      </c>
      <c r="P498" s="396">
        <f>+Source!JH88</f>
        <v>0</v>
      </c>
      <c r="Q498" s="396">
        <f>+Source!JI88</f>
        <v>2.9090909090909091E-2</v>
      </c>
      <c r="R498" s="396">
        <f>+Source!JJ88</f>
        <v>2.1660649819494584E-2</v>
      </c>
      <c r="S498" s="396">
        <f>+Source!JK88</f>
        <v>8.8105726872246704E-3</v>
      </c>
      <c r="T498" s="396">
        <f>+Source!JL88</f>
        <v>3.8910505836575876E-3</v>
      </c>
      <c r="U498" s="85">
        <f>+Source!JM88</f>
        <v>4.9261083743842365E-3</v>
      </c>
      <c r="V498" s="85">
        <f>+Source!JN88</f>
        <v>0</v>
      </c>
      <c r="W498" s="85">
        <f>+Source!JO88</f>
        <v>2.2727272727272728E-2</v>
      </c>
      <c r="X498" s="85">
        <f>+Source!JP88</f>
        <v>3.7313432835820892E-2</v>
      </c>
      <c r="Y498" s="85">
        <f>+Source!JQ88</f>
        <v>5.5865921787709499E-3</v>
      </c>
      <c r="Z498" s="85">
        <f>+Source!JR88</f>
        <v>3.7735849056603774E-3</v>
      </c>
      <c r="AA498" s="85">
        <f>+Source!JS88</f>
        <v>0</v>
      </c>
      <c r="AB498" s="85">
        <f>+Source!JT88</f>
        <v>2.4615384615384615E-2</v>
      </c>
      <c r="AC498" s="85">
        <f>+Source!JU88</f>
        <v>1.3452914798206279E-2</v>
      </c>
      <c r="AD498" s="85">
        <f>+Source!JV88</f>
        <v>4.4534412955465584E-2</v>
      </c>
      <c r="AE498" s="85">
        <f>+Source!JW88</f>
        <v>5.2356020942408377E-2</v>
      </c>
      <c r="AF498" s="85">
        <f>+Source!JX88</f>
        <v>3.0188679245283019E-2</v>
      </c>
      <c r="AG498" s="85">
        <f>+Source!JY88</f>
        <v>1.4492753623188406E-2</v>
      </c>
      <c r="AH498" s="85">
        <f>+Source!JZ88</f>
        <v>5.9880239520958084E-2</v>
      </c>
      <c r="AI498" s="85">
        <f>+Source!KA88</f>
        <v>3.8626609442060089E-2</v>
      </c>
      <c r="AJ498" s="85">
        <f>+Source!KB88</f>
        <v>1.6129032258064516E-2</v>
      </c>
      <c r="AK498" s="85">
        <f>+Source!KC88</f>
        <v>1.680672268907563E-2</v>
      </c>
      <c r="AL498" s="85">
        <f>+Source!KD88</f>
        <v>2.8985507246376812E-2</v>
      </c>
      <c r="AM498" s="85">
        <f>+Source!KE88</f>
        <v>6.7114093959731542E-3</v>
      </c>
      <c r="AN498" s="85">
        <f>+Source!KF88</f>
        <v>6.1728395061728392E-2</v>
      </c>
      <c r="AO498" s="85">
        <f>+Source!KG88</f>
        <v>1.5151515151515152E-2</v>
      </c>
      <c r="AP498" s="85">
        <f>+Source!KH88</f>
        <v>2.0833333333333332E-2</v>
      </c>
      <c r="AQ498" s="85">
        <f>+Source!KI88</f>
        <v>1.8691588785046728E-2</v>
      </c>
      <c r="AR498" s="85">
        <f>+Source!KJ88</f>
        <v>2.0512820512820513E-2</v>
      </c>
      <c r="AS498" s="85">
        <f>+Source!KK88</f>
        <v>0</v>
      </c>
      <c r="AT498" s="85">
        <f>+Source!KL88</f>
        <v>5.681818181818182E-3</v>
      </c>
      <c r="AU498" s="85">
        <f>+Source!KM88</f>
        <v>9.1743119266055051E-3</v>
      </c>
      <c r="AV498" s="39"/>
      <c r="AW498" s="39"/>
    </row>
    <row r="499" spans="2:49">
      <c r="C499" s="435"/>
      <c r="D499" s="48" t="s">
        <v>62</v>
      </c>
      <c r="E499" s="48"/>
      <c r="F499" s="103">
        <f>SUM(Source!IX32:IX34,Source!IX37:IX38,Source!IX40:IX41)/SUM(Source!IX3:IX5,Source!IX8:IX9,Source!IX11:IX12)</f>
        <v>5.6295955882352941E-3</v>
      </c>
      <c r="G499" s="103">
        <f>SUM(Source!IY32:IY34,Source!IY37:IY38,Source!IY40:IY41)/SUM(Source!IY3:IY5,Source!IY8:IY9,Source!IY11:IY12)</f>
        <v>5.5517788352594608E-3</v>
      </c>
      <c r="H499" s="103">
        <f>SUM(Source!IZ32:IZ34,Source!IZ37:IZ38,Source!IZ40:IZ41)/SUM(Source!IZ3:IZ5,Source!IZ8:IZ9,Source!IZ11:IZ12)</f>
        <v>4.4523597506678537E-3</v>
      </c>
      <c r="I499" s="103">
        <f>SUM(Source!JA32:JA34,Source!JA37:JA38,Source!JA40:JA41)/SUM(Source!JA3:JA5,Source!JA8:JA9,Source!JA11:JA12)</f>
        <v>4.7966631908237748E-3</v>
      </c>
      <c r="J499" s="103">
        <f>SUM(Source!JB32:JB34,Source!JB37:JB38,Source!JB40:JB41)/SUM(Source!JB3:JB5,Source!JB8:JB9,Source!JB11:JB12)</f>
        <v>3.8817557479844732E-3</v>
      </c>
      <c r="K499" s="103">
        <f>SUM(Source!JC32:JC34,Source!JC37:JC38,Source!JC40:JC41)/SUM(Source!JC3:JC5,Source!JC8:JC9,Source!JC11:JC12)</f>
        <v>4.9281314168377827E-3</v>
      </c>
      <c r="L499" s="103">
        <f>SUM(Source!JD32:JD34,Source!JD37:JD38,Source!JD40:JD41)/SUM(Source!JD3:JD5,Source!JD8:JD9,Source!JD11:JD12)</f>
        <v>3.4490960989533776E-3</v>
      </c>
      <c r="M499" s="103">
        <f>SUM(Source!JE32:JE34,Source!JE37:JE38,Source!JE40:JE41)/SUM(Source!JE3:JE5,Source!JE8:JE9,Source!JE11:JE12)</f>
        <v>7.6126674786845313E-3</v>
      </c>
      <c r="N499" s="397">
        <f>SUM(Source!JF32:JF34,Source!JF37:JF38,Source!JF40:JF41)/SUM(Source!JF3:JF5,Source!JF8:JF9,Source!JF11:JF12)</f>
        <v>5.0942987210058528E-3</v>
      </c>
      <c r="O499" s="397">
        <f>SUM(Source!JG32:JG34,Source!JG37:JG38,Source!JG40:JG41)/SUM(Source!JG3:JG5,Source!JG8:JG9,Source!JG11:JG12)</f>
        <v>4.1322314049586778E-3</v>
      </c>
      <c r="P499" s="397">
        <f>SUM(Source!JH32:JH34,Source!JH37:JH38,Source!JH40:JH41)/SUM(Source!JH3:JH5,Source!JH8:JH9,Source!JH11:JH12)</f>
        <v>9.5660289314045722E-3</v>
      </c>
      <c r="Q499" s="397">
        <f>SUM(Source!JI32:JI34,Source!JI37:JI38,Source!JI40:JI41)/SUM(Source!JI3:JI5,Source!JI8:JI9,Source!JI11:JI12)</f>
        <v>3.2752403846153848E-2</v>
      </c>
      <c r="R499" s="397">
        <f>SUM(Source!JJ32:JJ34,Source!JJ37:JJ38,Source!JJ40:JJ41)/SUM(Source!JJ3:JJ5,Source!JJ8:JJ9,Source!JJ11:JJ12)</f>
        <v>4.316378908072795E-3</v>
      </c>
      <c r="S499" s="397">
        <f>SUM(Source!JK32:JK34,Source!JK37:JK38,Source!JK40:JK41)/SUM(Source!JK3:JK5,Source!JK8:JK9,Source!JK11:JK12)</f>
        <v>6.462781304096942E-3</v>
      </c>
      <c r="T499" s="397">
        <f>SUM(Source!JL32:JL34,Source!JL37:JL38,Source!JL40:JL41)/SUM(Source!JL3:JL5,Source!JL8:JL9,Source!JL11:JL12)</f>
        <v>1.1229946524064172E-2</v>
      </c>
      <c r="U499" s="103">
        <f>SUM(Source!JM32:JM34,Source!JM37:JM38,Source!JM40:JM41)/SUM(Source!JM3:JM5,Source!JM8:JM9,Source!JM11:JM12)</f>
        <v>4.1358293426208099E-3</v>
      </c>
      <c r="V499" s="103">
        <f>SUM(Source!JN32:JN34,Source!JN37:JN38,Source!JN40:JN41)/SUM(Source!JN3:JN5,Source!JN8:JN9,Source!JN11:JN12)</f>
        <v>3.7937960276723946E-3</v>
      </c>
      <c r="W499" s="103">
        <f>SUM(Source!JO32:JO34,Source!JO37:JO38,Source!JO40:JO41)/SUM(Source!JO3:JO5,Source!JO8:JO9,Source!JO11:JO12)</f>
        <v>5.6669572798605057E-3</v>
      </c>
      <c r="X499" s="103">
        <f>SUM(Source!JP32:JP34,Source!JP37:JP38,Source!JP40:JP41)/SUM(Source!JP3:JP5,Source!JP8:JP9,Source!JP11:JP12)</f>
        <v>6.4353665360940126E-3</v>
      </c>
      <c r="Y499" s="103">
        <f>SUM(Source!JQ32:JQ34,Source!JQ37:JQ38,Source!JQ40:JQ41)/SUM(Source!JQ3:JQ5,Source!JQ8:JQ9,Source!JQ11:JQ12)</f>
        <v>9.0648854961832056E-3</v>
      </c>
      <c r="Z499" s="103">
        <f>SUM(Source!JR32:JR34,Source!JR37:JR38,Source!JR40:JR41)/SUM(Source!JR3:JR5,Source!JR8:JR9,Source!JR11:JR12)</f>
        <v>5.6899004267425323E-3</v>
      </c>
      <c r="AA499" s="103">
        <f>SUM(Source!JS32:JS34,Source!JS37:JS38,Source!JS40:JS41)/SUM(Source!JS3:JS5,Source!JS8:JS9,Source!JS11:JS12)</f>
        <v>5.9483344663494222E-3</v>
      </c>
      <c r="AB499" s="103">
        <f>SUM(Source!JT32:JT34,Source!JT37:JT38,Source!JT40:JT41)/SUM(Source!JT3:JT5,Source!JT8:JT9,Source!JT11:JT12)</f>
        <v>4.5871559633027525E-3</v>
      </c>
      <c r="AC499" s="103">
        <f>SUM(Source!JU32:JU34,Source!JU37:JU38,Source!JU40:JU41)/SUM(Source!JU3:JU5,Source!JU8:JU9,Source!JU11:JU12)</f>
        <v>4.9377415199656502E-3</v>
      </c>
      <c r="AD499" s="103">
        <f>SUM(Source!JV32:JV34,Source!JV37:JV38,Source!JV40:JV41)/SUM(Source!JV3:JV5,Source!JV8:JV9,Source!JV11:JV12)</f>
        <v>4.3096568236233044E-3</v>
      </c>
      <c r="AE499" s="103">
        <f>SUM(Source!JW32:JW34,Source!JW37:JW38,Source!JW40:JW41)/SUM(Source!JW3:JW5,Source!JW8:JW9,Source!JW11:JW12)</f>
        <v>6.1478273019421542E-3</v>
      </c>
      <c r="AF499" s="103">
        <f>SUM(Source!JX32:JX34,Source!JX37:JX38,Source!JX40:JX41)/SUM(Source!JX3:JX5,Source!JX8:JX9,Source!JX11:JX12)</f>
        <v>9.0423345663789567E-3</v>
      </c>
      <c r="AG499" s="103">
        <f>SUM(Source!JY32:JY34,Source!JY37:JY38,Source!JY40:JY41)/SUM(Source!JY3:JY5,Source!JY8:JY9,Source!JY11:JY12)</f>
        <v>4.6229874063446518E-3</v>
      </c>
      <c r="AH499" s="103">
        <f>SUM(Source!JZ32:JZ34,Source!JZ37:JZ38,Source!JZ40:JZ41)/SUM(Source!JZ3:JZ5,Source!JZ8:JZ9,Source!JZ11:JZ12)</f>
        <v>5.0411695513359099E-3</v>
      </c>
      <c r="AI499" s="103">
        <f>SUM(Source!KA32:KA34,Source!KA37:KA38,Source!KA40:KA41)/SUM(Source!KA3:KA5,Source!KA8:KA9,Source!KA11:KA12)</f>
        <v>1.3009425195805124E-2</v>
      </c>
      <c r="AJ499" s="103">
        <f>SUM(Source!KB32:KB34,Source!KB37:KB38,Source!KB40:KB41)/SUM(Source!KB3:KB5,Source!KB8:KB9,Source!KB11:KB12)</f>
        <v>5.5172413793103444E-3</v>
      </c>
      <c r="AK499" s="103">
        <f>SUM(Source!KC32:KC34,Source!KC37:KC38,Source!KC40:KC41)/SUM(Source!KC3:KC5,Source!KC8:KC9,Source!KC11:KC12)</f>
        <v>4.8689138576779025E-3</v>
      </c>
      <c r="AL499" s="103">
        <f>SUM(Source!KD32:KD34,Source!KD37:KD38,Source!KD40:KD41)/SUM(Source!KD3:KD5,Source!KD8:KD9,Source!KD11:KD12)</f>
        <v>5.0347222222222225E-3</v>
      </c>
      <c r="AM499" s="103">
        <f>SUM(Source!KE32:KE34,Source!KE37:KE38,Source!KE40:KE41)/SUM(Source!KE3:KE5,Source!KE8:KE9,Source!KE11:KE12)</f>
        <v>3.1157059906528821E-3</v>
      </c>
      <c r="AN499" s="103">
        <f>SUM(Source!KF32:KF34,Source!KF37:KF38,Source!KF40:KF41)/SUM(Source!KF3:KF5,Source!KF8:KF9,Source!KF11:KF12)</f>
        <v>6.2133241284086987E-3</v>
      </c>
      <c r="AO499" s="103">
        <f>SUM(Source!KG32:KG34,Source!KG37:KG38,Source!KG40:KG41)/SUM(Source!KG3:KG5,Source!KG8:KG9,Source!KG11:KG12)</f>
        <v>5.7995028997514502E-3</v>
      </c>
      <c r="AP499" s="103">
        <f>SUM(Source!KH32:KH34,Source!KH37:KH38,Source!KH40:KH41)/SUM(Source!KH3:KH5,Source!KH8:KH9,Source!KH11:KH12)</f>
        <v>3.830194701563996E-3</v>
      </c>
      <c r="AQ499" s="103">
        <f>SUM(Source!KI32:KI34,Source!KI37:KI38,Source!KI40:KI41)/SUM(Source!KI3:KI5,Source!KI8:KI9,Source!KI11:KI12)</f>
        <v>6.2656641604010022E-3</v>
      </c>
      <c r="AR499" s="103">
        <f>SUM(Source!KJ32:KJ34,Source!KJ37:KJ38,Source!KJ40:KJ41)/SUM(Source!KJ3:KJ5,Source!KJ8:KJ9,Source!KJ11:KJ12)</f>
        <v>7.3225463564426593E-3</v>
      </c>
      <c r="AS499" s="103">
        <f>SUM(Source!KK32:KK34,Source!KK37:KK38,Source!KK40:KK41)/SUM(Source!KK3:KK5,Source!KK8:KK9,Source!KK11:KK12)</f>
        <v>1.7563467986587897E-3</v>
      </c>
      <c r="AT499" s="103">
        <f>SUM(Source!KL32:KL34,Source!KL37:KL38,Source!KL40:KL41)/SUM(Source!KL3:KL5,Source!KL8:KL9,Source!KL11:KL12)</f>
        <v>2.0588235294117649E-3</v>
      </c>
      <c r="AU499" s="103">
        <f>SUM(Source!KM32:KM34,Source!KM37:KM38,Source!KM40:KM41)/SUM(Source!KM3:KM5,Source!KM8:KM9,Source!KM11:KM12)</f>
        <v>7.1195490952239695E-3</v>
      </c>
      <c r="AV499" s="41"/>
      <c r="AW499" s="41"/>
    </row>
    <row r="500" spans="2:49">
      <c r="B500" s="28" t="s">
        <v>138</v>
      </c>
      <c r="C500" s="435"/>
      <c r="D500" s="47" t="s">
        <v>15</v>
      </c>
      <c r="E500" s="47"/>
      <c r="F500" s="85">
        <f>+Source!IX90</f>
        <v>4.9423393739703456E-3</v>
      </c>
      <c r="G500" s="85">
        <f>+Source!IY90</f>
        <v>6.4963187527067997E-3</v>
      </c>
      <c r="H500" s="85">
        <f>+Source!IZ90</f>
        <v>2.3894862604540022E-3</v>
      </c>
      <c r="I500" s="85">
        <f>+Source!JA90</f>
        <v>8.3916083916083916E-3</v>
      </c>
      <c r="J500" s="85">
        <f>+Source!JB90</f>
        <v>5.7675244010647738E-3</v>
      </c>
      <c r="K500" s="85">
        <f>+Source!JC90</f>
        <v>5.7232049947970867E-3</v>
      </c>
      <c r="L500" s="85">
        <f>+Source!JD90</f>
        <v>5.6800252445566423E-3</v>
      </c>
      <c r="M500" s="85">
        <f>+Source!JE90</f>
        <v>6.5671641791044772E-3</v>
      </c>
      <c r="N500" s="396">
        <f>+Source!JF90</f>
        <v>5.3116147308781871E-3</v>
      </c>
      <c r="O500" s="396">
        <f>+Source!JG90</f>
        <v>7.403020432336393E-3</v>
      </c>
      <c r="P500" s="396">
        <f>+Source!JH90</f>
        <v>4.9303944315545242E-3</v>
      </c>
      <c r="Q500" s="396">
        <f>+Source!JI90</f>
        <v>5.3908355795148251E-3</v>
      </c>
      <c r="R500" s="396">
        <f>+Source!JJ90</f>
        <v>6.2111801242236021E-3</v>
      </c>
      <c r="S500" s="396">
        <f>+Source!JK90</f>
        <v>1.0917775503241215E-2</v>
      </c>
      <c r="T500" s="396">
        <f>+Source!JL90</f>
        <v>4.6296296296296294E-3</v>
      </c>
      <c r="U500" s="85">
        <f>+Source!JM90</f>
        <v>5.279831045406547E-3</v>
      </c>
      <c r="V500" s="85">
        <f>+Source!JN90</f>
        <v>5.1139005113900512E-3</v>
      </c>
      <c r="W500" s="85">
        <f>+Source!JO90</f>
        <v>1.0451045104510451E-2</v>
      </c>
      <c r="X500" s="85">
        <f>+Source!JP90</f>
        <v>5.4200542005420054E-3</v>
      </c>
      <c r="Y500" s="85">
        <f>+Source!JQ90</f>
        <v>1.2318029115341545E-2</v>
      </c>
      <c r="Z500" s="85">
        <f>+Source!JR90</f>
        <v>1.1847463902258423E-2</v>
      </c>
      <c r="AA500" s="85">
        <f>+Source!JS90</f>
        <v>8.6145010768126345E-3</v>
      </c>
      <c r="AB500" s="85">
        <f>+Source!JT90</f>
        <v>3.8056206088992973E-3</v>
      </c>
      <c r="AC500" s="85">
        <f>+Source!JU90</f>
        <v>9.057971014492754E-3</v>
      </c>
      <c r="AD500" s="85">
        <f>+Source!JV90</f>
        <v>1.0178117048346057E-2</v>
      </c>
      <c r="AE500" s="85">
        <f>+Source!JW90</f>
        <v>4.1379310344827586E-2</v>
      </c>
      <c r="AF500" s="85">
        <f>+Source!JX90</f>
        <v>1.6809038302562689E-2</v>
      </c>
      <c r="AG500" s="85">
        <f>+Source!JY90</f>
        <v>6.1124694376528121E-3</v>
      </c>
      <c r="AH500" s="85">
        <f>+Source!JZ90</f>
        <v>1.8260292164674636E-2</v>
      </c>
      <c r="AI500" s="85">
        <f>+Source!KA90</f>
        <v>2.4226804123711341E-2</v>
      </c>
      <c r="AJ500" s="85">
        <f>+Source!KB90</f>
        <v>2.6143790849673201E-3</v>
      </c>
      <c r="AK500" s="85">
        <f>+Source!KC90</f>
        <v>5.0055617352614016E-3</v>
      </c>
      <c r="AL500" s="85">
        <f>+Source!KD90</f>
        <v>8.8389386513435864E-2</v>
      </c>
      <c r="AM500" s="85">
        <f>+Source!KE90</f>
        <v>7.9080343607882769E-2</v>
      </c>
      <c r="AN500" s="85">
        <f>+Source!KF90</f>
        <v>8.565410718464779E-2</v>
      </c>
      <c r="AO500" s="85">
        <f>+Source!KG90</f>
        <v>2.4549290372075181E-2</v>
      </c>
      <c r="AP500" s="85">
        <f>+Source!KH90</f>
        <v>1.3868613138686132E-2</v>
      </c>
      <c r="AQ500" s="85">
        <f>+Source!KI90</f>
        <v>7.1834780005986228E-3</v>
      </c>
      <c r="AR500" s="85">
        <f>+Source!KJ90</f>
        <v>1.7181274900398405E-2</v>
      </c>
      <c r="AS500" s="85">
        <f>+Source!KK90</f>
        <v>2.1709997319753416E-2</v>
      </c>
      <c r="AT500" s="85">
        <f>+Source!KL90</f>
        <v>1.9443110897743639E-2</v>
      </c>
      <c r="AU500" s="85">
        <f>+Source!KM90</f>
        <v>2.0096852300242132E-2</v>
      </c>
      <c r="AV500" s="39"/>
      <c r="AW500" s="39"/>
    </row>
    <row r="501" spans="2:49">
      <c r="B501" s="28" t="s">
        <v>132</v>
      </c>
      <c r="C501" s="435"/>
      <c r="D501" s="47" t="s">
        <v>16</v>
      </c>
      <c r="E501" s="47"/>
      <c r="F501" s="85">
        <f>+Source!IX91</f>
        <v>7.836045810729355E-3</v>
      </c>
      <c r="G501" s="85">
        <f>+Source!IY91</f>
        <v>3.9087947882736158E-3</v>
      </c>
      <c r="H501" s="85">
        <f>+Source!IZ91</f>
        <v>1.6611295681063123E-3</v>
      </c>
      <c r="I501" s="85">
        <f>+Source!JA91</f>
        <v>1.5600624024960999E-3</v>
      </c>
      <c r="J501" s="85">
        <f>+Source!JB91</f>
        <v>9.0473656200106434E-3</v>
      </c>
      <c r="K501" s="85">
        <f>+Source!JC91</f>
        <v>2.5400547088706527E-2</v>
      </c>
      <c r="L501" s="85">
        <f>+Source!JD91</f>
        <v>3.0549898167006109E-3</v>
      </c>
      <c r="M501" s="85">
        <f>+Source!JE91</f>
        <v>2.2662889518413596E-3</v>
      </c>
      <c r="N501" s="396">
        <f>+Source!JF91</f>
        <v>0</v>
      </c>
      <c r="O501" s="396">
        <f>+Source!JG91</f>
        <v>5.9671805072103431E-3</v>
      </c>
      <c r="P501" s="396">
        <f>+Source!JH91</f>
        <v>2.0779220779220779E-3</v>
      </c>
      <c r="Q501" s="396">
        <f>+Source!JI91</f>
        <v>2.1067415730337078E-3</v>
      </c>
      <c r="R501" s="396">
        <f>+Source!JJ91</f>
        <v>2.7056277056277055E-3</v>
      </c>
      <c r="S501" s="396">
        <f>+Source!JK91</f>
        <v>1.7942583732057417E-3</v>
      </c>
      <c r="T501" s="396">
        <f>+Source!JL91</f>
        <v>1.6920473773265651E-3</v>
      </c>
      <c r="U501" s="85">
        <f>+Source!JM91</f>
        <v>1.3583441138421734E-2</v>
      </c>
      <c r="V501" s="85">
        <f>+Source!JN91</f>
        <v>0</v>
      </c>
      <c r="W501" s="85">
        <f>+Source!JO91</f>
        <v>6.2240663900414933E-3</v>
      </c>
      <c r="X501" s="85">
        <f>+Source!JP91</f>
        <v>9.1659028414298811E-4</v>
      </c>
      <c r="Y501" s="85">
        <f>+Source!JQ91</f>
        <v>2.0898641588296763E-3</v>
      </c>
      <c r="Z501" s="85">
        <f>+Source!JR91</f>
        <v>2.5337837837837839E-3</v>
      </c>
      <c r="AA501" s="85">
        <f>+Source!JS91</f>
        <v>5.5511498810467885E-3</v>
      </c>
      <c r="AB501" s="85">
        <f>+Source!JT91</f>
        <v>1.0762331838565023E-2</v>
      </c>
      <c r="AC501" s="85">
        <f>+Source!JU91</f>
        <v>1.1248593925759279E-2</v>
      </c>
      <c r="AD501" s="85">
        <f>+Source!JV91</f>
        <v>5.016722408026756E-3</v>
      </c>
      <c r="AE501" s="85">
        <f>+Source!JW91</f>
        <v>7.2347266881028936E-3</v>
      </c>
      <c r="AF501" s="85">
        <f>+Source!JX91</f>
        <v>4.4958253050738596E-3</v>
      </c>
      <c r="AG501" s="85">
        <f>+Source!JY91</f>
        <v>3.7383177570093459E-3</v>
      </c>
      <c r="AH501" s="85">
        <f>+Source!JZ91</f>
        <v>1.4204545454545455E-3</v>
      </c>
      <c r="AI501" s="85">
        <f>+Source!KA91</f>
        <v>4.3787629994526548E-3</v>
      </c>
      <c r="AJ501" s="85">
        <f>+Source!KB91</f>
        <v>1.2658227848101266E-2</v>
      </c>
      <c r="AK501" s="85">
        <f>+Source!KC91</f>
        <v>8.2690187431091518E-3</v>
      </c>
      <c r="AL501" s="85">
        <f>+Source!KD91</f>
        <v>1.3422818791946308E-2</v>
      </c>
      <c r="AM501" s="85">
        <f>+Source!KE91</f>
        <v>4.0923399790136414E-2</v>
      </c>
      <c r="AN501" s="85">
        <f>+Source!KF91</f>
        <v>6.7150635208711437E-2</v>
      </c>
      <c r="AO501" s="85">
        <f>+Source!KG91</f>
        <v>5.0492610837438424E-2</v>
      </c>
      <c r="AP501" s="85">
        <f>+Source!KH91</f>
        <v>2.9023746701846966E-2</v>
      </c>
      <c r="AQ501" s="85">
        <f>+Source!KI91</f>
        <v>2.3728813559322035E-2</v>
      </c>
      <c r="AR501" s="85">
        <f>+Source!KJ91</f>
        <v>3.9480800432666309E-2</v>
      </c>
      <c r="AS501" s="85">
        <f>+Source!KK91</f>
        <v>0</v>
      </c>
      <c r="AT501" s="85">
        <f>+Source!KL91</f>
        <v>5.681818181818182E-3</v>
      </c>
      <c r="AU501" s="85">
        <f>+Source!KM91</f>
        <v>9.1743119266055051E-3</v>
      </c>
      <c r="AV501" s="39"/>
      <c r="AW501" s="39"/>
    </row>
    <row r="502" spans="2:49">
      <c r="B502" s="28" t="s">
        <v>140</v>
      </c>
      <c r="C502" s="435"/>
      <c r="D502" s="47" t="s">
        <v>20</v>
      </c>
      <c r="E502" s="47"/>
      <c r="F502" s="85">
        <f>+Source!IX92</f>
        <v>0</v>
      </c>
      <c r="G502" s="85">
        <f>+Source!IY92</f>
        <v>8.6956521739130436E-3</v>
      </c>
      <c r="H502" s="85">
        <f>+Source!IZ92</f>
        <v>2.8328611898016999E-3</v>
      </c>
      <c r="I502" s="85">
        <f>+Source!JA92</f>
        <v>3.1847133757961785E-3</v>
      </c>
      <c r="J502" s="85">
        <f>+Source!JB92</f>
        <v>5.208333333333333E-3</v>
      </c>
      <c r="K502" s="85">
        <f>+Source!JC92</f>
        <v>6.5359477124183009E-3</v>
      </c>
      <c r="L502" s="85">
        <f>+Source!JD92</f>
        <v>5.2910052910052907E-3</v>
      </c>
      <c r="M502" s="85">
        <f>+Source!JE92</f>
        <v>1.3698630136986301E-2</v>
      </c>
      <c r="N502" s="396">
        <f>+Source!JF92</f>
        <v>7.2886297376093293E-4</v>
      </c>
      <c r="O502" s="396">
        <f>+Source!JG92</f>
        <v>0</v>
      </c>
      <c r="P502" s="396">
        <f>+Source!JH92</f>
        <v>1.364256480218281E-3</v>
      </c>
      <c r="Q502" s="396">
        <f>+Source!JI92</f>
        <v>0</v>
      </c>
      <c r="R502" s="396">
        <f>+Source!JJ92</f>
        <v>0</v>
      </c>
      <c r="S502" s="396">
        <f>+Source!JK92</f>
        <v>0</v>
      </c>
      <c r="T502" s="396">
        <f>+Source!JL92</f>
        <v>0</v>
      </c>
      <c r="U502" s="85">
        <f>+Source!JM92</f>
        <v>0</v>
      </c>
      <c r="V502" s="85">
        <f>+Source!JN92</f>
        <v>0</v>
      </c>
      <c r="W502" s="85">
        <f>+Source!JO92</f>
        <v>0</v>
      </c>
      <c r="X502" s="85">
        <f>+Source!JP92</f>
        <v>0</v>
      </c>
      <c r="Y502" s="85">
        <f>+Source!JQ92</f>
        <v>0</v>
      </c>
      <c r="Z502" s="85">
        <f>+Source!JR92</f>
        <v>0</v>
      </c>
      <c r="AA502" s="85">
        <f>+Source!JS92</f>
        <v>0</v>
      </c>
      <c r="AB502" s="85">
        <f>+Source!JT92</f>
        <v>0</v>
      </c>
      <c r="AC502" s="85">
        <f>+Source!JU92</f>
        <v>0</v>
      </c>
      <c r="AD502" s="85">
        <f>+Source!JV92</f>
        <v>0</v>
      </c>
      <c r="AE502" s="85">
        <f>+Source!JW92</f>
        <v>0</v>
      </c>
      <c r="AF502" s="85">
        <f>+Source!JX92</f>
        <v>0</v>
      </c>
      <c r="AG502" s="85">
        <f>+Source!JY92</f>
        <v>0</v>
      </c>
      <c r="AH502" s="85">
        <f>+Source!JZ92</f>
        <v>8.0645161290322578E-3</v>
      </c>
      <c r="AI502" s="85">
        <f>+Source!KA92</f>
        <v>0</v>
      </c>
      <c r="AJ502" s="85">
        <f>+Source!KB92</f>
        <v>0</v>
      </c>
      <c r="AK502" s="85">
        <f>+Source!KC92</f>
        <v>0</v>
      </c>
      <c r="AL502" s="85">
        <f>+Source!KD92</f>
        <v>0</v>
      </c>
      <c r="AM502" s="85">
        <f>+Source!KE92</f>
        <v>0</v>
      </c>
      <c r="AN502" s="85">
        <f>+Source!KF92</f>
        <v>0</v>
      </c>
      <c r="AO502" s="85">
        <f>+Source!KG92</f>
        <v>0</v>
      </c>
      <c r="AP502" s="85">
        <f>+Source!KH92</f>
        <v>0</v>
      </c>
      <c r="AQ502" s="85">
        <f>+Source!KI92</f>
        <v>0</v>
      </c>
      <c r="AR502" s="85">
        <f>+Source!KJ92</f>
        <v>0</v>
      </c>
      <c r="AS502" s="85">
        <f>+Source!KK92</f>
        <v>2.4291497975708503E-3</v>
      </c>
      <c r="AT502" s="85">
        <f>+Source!KL92</f>
        <v>4.3859649122807015E-3</v>
      </c>
      <c r="AU502" s="85">
        <f>+Source!KM92</f>
        <v>3.038427167113494E-2</v>
      </c>
      <c r="AV502" s="39"/>
      <c r="AW502" s="39"/>
    </row>
    <row r="503" spans="2:49">
      <c r="B503" s="28" t="s">
        <v>135</v>
      </c>
      <c r="C503" s="435"/>
      <c r="D503" s="47" t="s">
        <v>23</v>
      </c>
      <c r="E503" s="47"/>
      <c r="F503" s="85">
        <f>+Source!IX93</f>
        <v>0</v>
      </c>
      <c r="G503" s="85">
        <f>+Source!IY93</f>
        <v>4.3103448275862068E-3</v>
      </c>
      <c r="H503" s="85">
        <f>+Source!IZ93</f>
        <v>6.6006600660066007E-3</v>
      </c>
      <c r="I503" s="85">
        <f>+Source!JA93</f>
        <v>0</v>
      </c>
      <c r="J503" s="85">
        <f>+Source!JB93</f>
        <v>7.2815533980582527E-3</v>
      </c>
      <c r="K503" s="85">
        <f>+Source!JC93</f>
        <v>0</v>
      </c>
      <c r="L503" s="85">
        <f>+Source!JD93</f>
        <v>1.8148820326678765E-3</v>
      </c>
      <c r="M503" s="85">
        <f>+Source!JE93</f>
        <v>1.4450867052023121E-3</v>
      </c>
      <c r="N503" s="396">
        <f>+Source!JF93</f>
        <v>1.5267175572519084E-3</v>
      </c>
      <c r="O503" s="396">
        <f>+Source!JG93</f>
        <v>1.6129032258064516E-3</v>
      </c>
      <c r="P503" s="396">
        <f>+Source!JH93</f>
        <v>0</v>
      </c>
      <c r="Q503" s="396">
        <f>+Source!JI93</f>
        <v>0</v>
      </c>
      <c r="R503" s="396">
        <f>+Source!JJ93</f>
        <v>1.7699115044247787E-3</v>
      </c>
      <c r="S503" s="396">
        <f>+Source!JK93</f>
        <v>0</v>
      </c>
      <c r="T503" s="396">
        <f>+Source!JL93</f>
        <v>0</v>
      </c>
      <c r="U503" s="85">
        <f>+Source!JM93</f>
        <v>0</v>
      </c>
      <c r="V503" s="85">
        <f>+Source!JN93</f>
        <v>0</v>
      </c>
      <c r="W503" s="85">
        <f>+Source!JO93</f>
        <v>0</v>
      </c>
      <c r="X503" s="85">
        <f>+Source!JP93</f>
        <v>5.7306590257879654E-3</v>
      </c>
      <c r="Y503" s="85">
        <f>+Source!JQ93</f>
        <v>5.4495912806539508E-3</v>
      </c>
      <c r="Z503" s="85">
        <f>+Source!JR93</f>
        <v>4.0322580645161289E-2</v>
      </c>
      <c r="AA503" s="85">
        <f>+Source!JS93</f>
        <v>1.1019283746556474E-2</v>
      </c>
      <c r="AB503" s="85">
        <f>+Source!JT93</f>
        <v>0</v>
      </c>
      <c r="AC503" s="85">
        <f>+Source!JU93</f>
        <v>0</v>
      </c>
      <c r="AD503" s="85">
        <f>+Source!JV93</f>
        <v>2.7855153203342618E-3</v>
      </c>
      <c r="AE503" s="85">
        <f>+Source!JW93</f>
        <v>4.9751243781094526E-3</v>
      </c>
      <c r="AF503" s="85">
        <f>+Source!JX93</f>
        <v>2.3148148148148147E-3</v>
      </c>
      <c r="AG503" s="85">
        <f>+Source!JY93</f>
        <v>2.6809651474530832E-3</v>
      </c>
      <c r="AH503" s="85">
        <f>+Source!JZ93</f>
        <v>5.3050397877984082E-3</v>
      </c>
      <c r="AI503" s="85">
        <f>+Source!KA93</f>
        <v>2.232142857142857E-3</v>
      </c>
      <c r="AJ503" s="85">
        <f>+Source!KB93</f>
        <v>0</v>
      </c>
      <c r="AK503" s="85">
        <f>+Source!KC93</f>
        <v>1.0775862068965518E-2</v>
      </c>
      <c r="AL503" s="85">
        <f>+Source!KD93</f>
        <v>0</v>
      </c>
      <c r="AM503" s="85">
        <f>+Source!KE93</f>
        <v>1.4792899408284023E-2</v>
      </c>
      <c r="AN503" s="85">
        <f>+Source!KF93</f>
        <v>1.1933174224343675E-2</v>
      </c>
      <c r="AO503" s="85">
        <f>+Source!KG93</f>
        <v>7.9575596816976128E-3</v>
      </c>
      <c r="AP503" s="85">
        <f>+Source!KH93</f>
        <v>7.0093457943925233E-3</v>
      </c>
      <c r="AQ503" s="85">
        <f>+Source!KI93</f>
        <v>9.2592592592592587E-3</v>
      </c>
      <c r="AR503" s="85">
        <f>+Source!KJ93</f>
        <v>5.3285968028419185E-3</v>
      </c>
      <c r="AS503" s="85">
        <f>+Source!KK93</f>
        <v>0</v>
      </c>
      <c r="AT503" s="85">
        <f>+Source!KL93</f>
        <v>0</v>
      </c>
      <c r="AU503" s="85">
        <f>+Source!KM93</f>
        <v>0</v>
      </c>
      <c r="AV503" s="39"/>
      <c r="AW503" s="39"/>
    </row>
    <row r="504" spans="2:49" ht="14.4" thickBot="1">
      <c r="C504" s="436"/>
      <c r="D504" s="49" t="s">
        <v>63</v>
      </c>
      <c r="E504" s="49"/>
      <c r="F504" s="86">
        <f>SUM(Source!IX35:IX36,Source!IX39,Source!IX42)/SUM(Source!IX6:IX7,Source!IX10,Source!IX13)</f>
        <v>5.5415617128463475E-3</v>
      </c>
      <c r="G504" s="86">
        <f>SUM(Source!IY35:IY36,Source!IY39,Source!IY42)/SUM(Source!IY6:IY7,Source!IY10,Source!IY13)</f>
        <v>5.5736182071528103E-3</v>
      </c>
      <c r="H504" s="86">
        <f>SUM(Source!IZ35:IZ36,Source!IZ39,Source!IZ42)/SUM(Source!IZ6:IZ7,Source!IZ10,Source!IZ13)</f>
        <v>2.4130303639654134E-3</v>
      </c>
      <c r="I504" s="86">
        <f>SUM(Source!JA35:JA36,Source!JA39,Source!JA42)/SUM(Source!JA6:JA7,Source!JA10,Source!JA13)</f>
        <v>5.1842251434919455E-3</v>
      </c>
      <c r="J504" s="86">
        <f>SUM(Source!JB35:JB36,Source!JB39,Source!JB42)/SUM(Source!JB6:JB7,Source!JB10,Source!JB13)</f>
        <v>7.1775385264935612E-3</v>
      </c>
      <c r="K504" s="86">
        <f>SUM(Source!JC35:JC36,Source!JC39,Source!JC42)/SUM(Source!JC6:JC7,Source!JC10,Source!JC13)</f>
        <v>1.5244506038408236E-2</v>
      </c>
      <c r="L504" s="86">
        <f>SUM(Source!JD35:JD36,Source!JD39,Source!JD42)/SUM(Source!JD6:JD7,Source!JD10,Source!JD13)</f>
        <v>4.4270389919972754E-3</v>
      </c>
      <c r="M504" s="86">
        <f>SUM(Source!JE35:JE36,Source!JE39,Source!JE42)/SUM(Source!JE6:JE7,Source!JE10,Source!JE13)</f>
        <v>4.9784268171257882E-3</v>
      </c>
      <c r="N504" s="398">
        <f>SUM(Source!JF35:JF36,Source!JF39,Source!JF42)/SUM(Source!JF6:JF7,Source!JF10,Source!JF13)</f>
        <v>2.4748871742611735E-3</v>
      </c>
      <c r="O504" s="398">
        <f>SUM(Source!JG35:JG36,Source!JG39,Source!JG42)/SUM(Source!JG6:JG7,Source!JG10,Source!JG13)</f>
        <v>5.1778171412999044E-3</v>
      </c>
      <c r="P504" s="398">
        <f>SUM(Source!JH35:JH36,Source!JH39,Source!JH42)/SUM(Source!JH6:JH7,Source!JH10,Source!JH13)</f>
        <v>3.3308099924299773E-3</v>
      </c>
      <c r="Q504" s="398">
        <f>SUM(Source!JI35:JI36,Source!JI39,Source!JI42)/SUM(Source!JI6:JI7,Source!JI10,Source!JI13)</f>
        <v>3.2154340836012861E-3</v>
      </c>
      <c r="R504" s="398">
        <f>SUM(Source!JJ35:JJ36,Source!JJ39,Source!JJ42)/SUM(Source!JJ6:JJ7,Source!JJ10,Source!JJ13)</f>
        <v>3.8381018841591066E-3</v>
      </c>
      <c r="S504" s="398">
        <f>SUM(Source!JK35:JK36,Source!JK39,Source!JK42)/SUM(Source!JK6:JK7,Source!JK10,Source!JK13)</f>
        <v>5.9696401159815794E-3</v>
      </c>
      <c r="T504" s="398">
        <f>SUM(Source!JL35:JL36,Source!JL39,Source!JL42)/SUM(Source!JL6:JL7,Source!JL10,Source!JL13)</f>
        <v>2.8081584392550991E-3</v>
      </c>
      <c r="U504" s="86">
        <f>SUM(Source!JM35:JM36,Source!JM39,Source!JM42)/SUM(Source!JM6:JM7,Source!JM10,Source!JM13)</f>
        <v>6.8675232609658838E-3</v>
      </c>
      <c r="V504" s="86">
        <f>SUM(Source!JN35:JN36,Source!JN39,Source!JN42)/SUM(Source!JN6:JN7,Source!JN10,Source!JN13)</f>
        <v>3.0369961347321921E-3</v>
      </c>
      <c r="W504" s="86">
        <f>SUM(Source!JO35:JO36,Source!JO39,Source!JO42)/SUM(Source!JO6:JO7,Source!JO10,Source!JO13)</f>
        <v>7.2801397786837509E-3</v>
      </c>
      <c r="X504" s="86">
        <f>SUM(Source!JP35:JP36,Source!JP39,Source!JP42)/SUM(Source!JP6:JP7,Source!JP10,Source!JP13)</f>
        <v>3.4755134281200632E-3</v>
      </c>
      <c r="Y504" s="86">
        <f>SUM(Source!JQ35:JQ36,Source!JQ39,Source!JQ42)/SUM(Source!JQ6:JQ7,Source!JQ10,Source!JQ13)</f>
        <v>7.926829268292683E-3</v>
      </c>
      <c r="Z504" s="86">
        <f>SUM(Source!JR35:JR36,Source!JR39,Source!JR42)/SUM(Source!JR6:JR7,Source!JR10,Source!JR13)</f>
        <v>1.2021857923497269E-2</v>
      </c>
      <c r="AA504" s="86">
        <f>SUM(Source!JS35:JS36,Source!JS39,Source!JS42)/SUM(Source!JS6:JS7,Source!JS10,Source!JS13)</f>
        <v>7.621951219512195E-3</v>
      </c>
      <c r="AB504" s="86">
        <f>SUM(Source!JT35:JT36,Source!JT39,Source!JT42)/SUM(Source!JT6:JT7,Source!JT10,Source!JT13)</f>
        <v>4.8770971517752637E-3</v>
      </c>
      <c r="AC504" s="86">
        <f>SUM(Source!JU35:JU36,Source!JU39,Source!JU42)/SUM(Source!JU6:JU7,Source!JU10,Source!JU13)</f>
        <v>8.4094185487746283E-3</v>
      </c>
      <c r="AD504" s="86">
        <f>SUM(Source!JV35:JV36,Source!JV39,Source!JV42)/SUM(Source!JV6:JV7,Source!JV10,Source!JV13)</f>
        <v>7.0151618013125144E-3</v>
      </c>
      <c r="AE504" s="86">
        <f>SUM(Source!JW35:JW36,Source!JW39,Source!JW42)/SUM(Source!JW6:JW7,Source!JW10,Source!JW13)</f>
        <v>2.8792270531400967E-2</v>
      </c>
      <c r="AF504" s="86">
        <f>SUM(Source!JX35:JX36,Source!JX39,Source!JX42)/SUM(Source!JX6:JX7,Source!JX10,Source!JX13)</f>
        <v>1.2048192771084338E-2</v>
      </c>
      <c r="AG504" s="86">
        <f>SUM(Source!JY35:JY36,Source!JY39,Source!JY42)/SUM(Source!JY6:JY7,Source!JY10,Source!JY13)</f>
        <v>5.0656660412757978E-3</v>
      </c>
      <c r="AH504" s="86">
        <f>SUM(Source!JZ35:JZ36,Source!JZ39,Source!JZ42)/SUM(Source!JZ6:JZ7,Source!JZ10,Source!JZ13)</f>
        <v>1.2192643771591139E-2</v>
      </c>
      <c r="AI504" s="86">
        <f>SUM(Source!KA35:KA36,Source!KA39,Source!KA42)/SUM(Source!KA6:KA7,Source!KA10,Source!KA13)</f>
        <v>1.6359593392630243E-2</v>
      </c>
      <c r="AJ504" s="86">
        <f>SUM(Source!KB35:KB36,Source!KB39,Source!KB42)/SUM(Source!KB6:KB7,Source!KB10,Source!KB13)</f>
        <v>5.2552552552552556E-3</v>
      </c>
      <c r="AK504" s="86">
        <f>SUM(Source!KC35:KC36,Source!KC39,Source!KC42)/SUM(Source!KC6:KC7,Source!KC10,Source!KC13)</f>
        <v>6.3428476047404439E-3</v>
      </c>
      <c r="AL504" s="86">
        <f>SUM(Source!KD35:KD36,Source!KD39,Source!KD42)/SUM(Source!KD6:KD7,Source!KD10,Source!KD13)</f>
        <v>6.562687462507498E-2</v>
      </c>
      <c r="AM504" s="86">
        <f>SUM(Source!KE35:KE36,Source!KE39,Source!KE42)/SUM(Source!KE6:KE7,Source!KE10,Source!KE13)</f>
        <v>6.2440870387890257E-2</v>
      </c>
      <c r="AN504" s="86">
        <f>SUM(Source!KF35:KF36,Source!KF39,Source!KF42)/SUM(Source!KF6:KF7,Source!KF10,Source!KF13)</f>
        <v>7.359614293817357E-2</v>
      </c>
      <c r="AO504" s="86">
        <f>SUM(Source!KG35:KG36,Source!KG39,Source!KG42)/SUM(Source!KG6:KG7,Source!KG10,Source!KG13)</f>
        <v>3.1661708457288565E-2</v>
      </c>
      <c r="AP504" s="86">
        <f>SUM(Source!KH35:KH36,Source!KH39,Source!KH42)/SUM(Source!KH6:KH7,Source!KH10,Source!KH13)</f>
        <v>1.6498447204968944E-2</v>
      </c>
      <c r="AQ504" s="86">
        <f>SUM(Source!KI35:KI36,Source!KI39,Source!KI42)/SUM(Source!KI6:KI7,Source!KI10,Source!KI13)</f>
        <v>1.1627906976744186E-2</v>
      </c>
      <c r="AR504" s="86">
        <f>SUM(Source!KJ35:KJ36,Source!KJ39,Source!KJ42)/SUM(Source!KJ6:KJ7,Source!KJ10,Source!KJ13)</f>
        <v>2.1900015103458691E-2</v>
      </c>
      <c r="AS504" s="86">
        <f>SUM(Source!KK35:KK36,Source!KK39,Source!KK42)/SUM(Source!KK6:KK7,Source!KK10,Source!KK13)</f>
        <v>2.7962085308056873E-2</v>
      </c>
      <c r="AT504" s="86">
        <f>SUM(Source!KL35:KL36,Source!KL39,Source!KL42)/SUM(Source!KL6:KL7,Source!KL10,Source!KL13)</f>
        <v>2.9646017699115044E-2</v>
      </c>
      <c r="AU504" s="86">
        <f>SUM(Source!KM35:KM36,Source!KM39,Source!KM42)/SUM(Source!KM6:KM7,Source!KM10,Source!KM13)</f>
        <v>2.203364597290457E-2</v>
      </c>
      <c r="AV504" s="43"/>
      <c r="AW504" s="43"/>
    </row>
    <row r="505" spans="2:49" ht="14.4" thickTop="1">
      <c r="C505" s="252"/>
      <c r="I505" s="28"/>
      <c r="J505" s="28"/>
      <c r="L505" s="28"/>
      <c r="M505" s="28"/>
    </row>
    <row r="506" spans="2:49" hidden="1" outlineLevel="1">
      <c r="C506" s="252"/>
      <c r="I506" s="28"/>
      <c r="J506" s="28"/>
      <c r="L506" s="28"/>
      <c r="M506" s="28"/>
    </row>
    <row r="507" spans="2:49" hidden="1" outlineLevel="1">
      <c r="C507" s="252"/>
      <c r="I507" s="28"/>
      <c r="J507" s="28"/>
      <c r="L507" s="28"/>
      <c r="M507" s="28"/>
    </row>
    <row r="508" spans="2:49" hidden="1" outlineLevel="1">
      <c r="C508" s="252"/>
      <c r="I508" s="28"/>
      <c r="J508" s="28"/>
      <c r="L508" s="28"/>
      <c r="M508" s="28"/>
    </row>
    <row r="509" spans="2:49" hidden="1" outlineLevel="1">
      <c r="C509" s="252"/>
      <c r="I509" s="28"/>
      <c r="J509" s="28"/>
      <c r="L509" s="28"/>
      <c r="M509" s="28"/>
    </row>
    <row r="510" spans="2:49" hidden="1" outlineLevel="1">
      <c r="C510" s="252"/>
      <c r="I510" s="28"/>
      <c r="J510" s="28"/>
      <c r="L510" s="28"/>
      <c r="M510" s="28"/>
    </row>
    <row r="511" spans="2:49" hidden="1" outlineLevel="1">
      <c r="C511" s="252"/>
      <c r="I511" s="28"/>
      <c r="J511" s="28"/>
      <c r="L511" s="28"/>
      <c r="M511" s="28"/>
    </row>
    <row r="512" spans="2:49" hidden="1" outlineLevel="1">
      <c r="C512" s="252"/>
      <c r="I512" s="28"/>
      <c r="J512" s="28"/>
      <c r="L512" s="28"/>
      <c r="M512" s="28"/>
    </row>
    <row r="513" spans="3:49" hidden="1" outlineLevel="1">
      <c r="C513" s="252"/>
      <c r="I513" s="28"/>
      <c r="J513" s="28"/>
      <c r="L513" s="28"/>
      <c r="M513" s="28"/>
    </row>
    <row r="514" spans="3:49" hidden="1" outlineLevel="1">
      <c r="C514" s="252"/>
      <c r="I514" s="28"/>
      <c r="J514" s="28"/>
      <c r="L514" s="28"/>
      <c r="M514" s="28"/>
    </row>
    <row r="515" spans="3:49" hidden="1" outlineLevel="1">
      <c r="C515" s="252"/>
      <c r="I515" s="28"/>
      <c r="J515" s="28"/>
      <c r="L515" s="28"/>
      <c r="M515" s="28"/>
    </row>
    <row r="516" spans="3:49" hidden="1" outlineLevel="1">
      <c r="C516" s="252"/>
      <c r="I516" s="28"/>
      <c r="J516" s="28"/>
      <c r="L516" s="28"/>
      <c r="M516" s="28"/>
    </row>
    <row r="517" spans="3:49" hidden="1" outlineLevel="1">
      <c r="C517" s="252"/>
      <c r="I517" s="28"/>
      <c r="J517" s="28"/>
      <c r="L517" s="28"/>
      <c r="M517" s="28"/>
    </row>
    <row r="518" spans="3:49" hidden="1" outlineLevel="1">
      <c r="C518" s="252"/>
      <c r="I518" s="28"/>
      <c r="J518" s="28"/>
      <c r="L518" s="28"/>
      <c r="M518" s="28"/>
    </row>
    <row r="519" spans="3:49" hidden="1" outlineLevel="1">
      <c r="C519" s="252"/>
      <c r="I519" s="28"/>
      <c r="J519" s="28"/>
      <c r="L519" s="28"/>
      <c r="M519" s="28"/>
    </row>
    <row r="520" spans="3:49" hidden="1" outlineLevel="1">
      <c r="C520" s="252"/>
      <c r="I520" s="28"/>
      <c r="J520" s="28"/>
      <c r="L520" s="28"/>
      <c r="M520" s="28"/>
    </row>
    <row r="521" spans="3:49" hidden="1" outlineLevel="1">
      <c r="C521" s="252"/>
      <c r="I521" s="28"/>
      <c r="J521" s="28"/>
      <c r="L521" s="28"/>
      <c r="M521" s="28"/>
    </row>
    <row r="522" spans="3:49" hidden="1" outlineLevel="1">
      <c r="C522" s="252"/>
      <c r="I522" s="28"/>
      <c r="J522" s="28"/>
      <c r="L522" s="28"/>
      <c r="M522" s="28"/>
    </row>
    <row r="523" spans="3:49" hidden="1" outlineLevel="1">
      <c r="C523" s="252"/>
      <c r="I523" s="28"/>
      <c r="J523" s="28"/>
      <c r="L523" s="28"/>
      <c r="M523" s="28"/>
    </row>
    <row r="524" spans="3:49" hidden="1" outlineLevel="1">
      <c r="C524" s="252"/>
      <c r="I524" s="28"/>
      <c r="J524" s="28"/>
      <c r="L524" s="28"/>
      <c r="M524" s="28"/>
    </row>
    <row r="525" spans="3:49" hidden="1" outlineLevel="1">
      <c r="C525" s="252"/>
      <c r="I525" s="28"/>
      <c r="J525" s="28"/>
      <c r="L525" s="28"/>
      <c r="M525" s="28"/>
    </row>
    <row r="526" spans="3:49" collapsed="1">
      <c r="C526" s="252"/>
      <c r="I526" s="28"/>
      <c r="J526" s="28"/>
      <c r="L526" s="28"/>
      <c r="M526" s="28"/>
    </row>
    <row r="527" spans="3:49" ht="14.4" thickBot="1">
      <c r="C527" s="252"/>
      <c r="F527" s="67" t="s">
        <v>151</v>
      </c>
      <c r="G527" s="67" t="s">
        <v>185</v>
      </c>
      <c r="H527" s="67" t="s">
        <v>185</v>
      </c>
      <c r="I527" s="67" t="s">
        <v>185</v>
      </c>
      <c r="J527" s="67" t="s">
        <v>185</v>
      </c>
      <c r="K527" s="67" t="s">
        <v>185</v>
      </c>
      <c r="L527" s="67" t="s">
        <v>185</v>
      </c>
      <c r="M527" s="67" t="s">
        <v>185</v>
      </c>
      <c r="N527" s="454" t="s">
        <v>185</v>
      </c>
      <c r="O527" s="454" t="s">
        <v>186</v>
      </c>
      <c r="P527" s="454" t="s">
        <v>189</v>
      </c>
      <c r="Q527" s="454" t="s">
        <v>190</v>
      </c>
      <c r="R527" s="454" t="s">
        <v>191</v>
      </c>
      <c r="S527" s="454" t="s">
        <v>192</v>
      </c>
      <c r="T527" s="454" t="s">
        <v>213</v>
      </c>
      <c r="U527" s="67" t="s">
        <v>213</v>
      </c>
      <c r="V527" s="67" t="s">
        <v>213</v>
      </c>
      <c r="W527" s="67" t="s">
        <v>213</v>
      </c>
      <c r="X527" s="67" t="s">
        <v>213</v>
      </c>
      <c r="Y527" s="67" t="s">
        <v>213</v>
      </c>
      <c r="Z527" s="67" t="s">
        <v>213</v>
      </c>
      <c r="AA527" s="67" t="s">
        <v>214</v>
      </c>
      <c r="AB527" s="67" t="s">
        <v>242</v>
      </c>
      <c r="AC527" s="67" t="s">
        <v>243</v>
      </c>
      <c r="AD527" s="67" t="s">
        <v>244</v>
      </c>
      <c r="AE527" s="67" t="s">
        <v>419</v>
      </c>
      <c r="AF527" s="67" t="s">
        <v>419</v>
      </c>
      <c r="AG527" s="67" t="s">
        <v>419</v>
      </c>
      <c r="AH527" s="67" t="s">
        <v>419</v>
      </c>
      <c r="AI527" s="67" t="s">
        <v>419</v>
      </c>
      <c r="AJ527" s="67" t="s">
        <v>419</v>
      </c>
      <c r="AK527" s="67" t="s">
        <v>419</v>
      </c>
      <c r="AL527" s="67" t="s">
        <v>419</v>
      </c>
      <c r="AM527" s="67" t="s">
        <v>493</v>
      </c>
      <c r="AN527" s="67" t="s">
        <v>493</v>
      </c>
      <c r="AO527" s="67" t="s">
        <v>493</v>
      </c>
      <c r="AP527" s="67" t="s">
        <v>493</v>
      </c>
      <c r="AQ527" s="67" t="s">
        <v>493</v>
      </c>
      <c r="AR527" s="67" t="s">
        <v>493</v>
      </c>
      <c r="AS527" s="67" t="s">
        <v>493</v>
      </c>
      <c r="AT527" s="67" t="s">
        <v>493</v>
      </c>
      <c r="AU527" s="67" t="s">
        <v>493</v>
      </c>
      <c r="AV527" s="67"/>
      <c r="AW527" s="67"/>
    </row>
    <row r="528" spans="3:49" ht="14.4" thickTop="1">
      <c r="C528" s="463" t="s">
        <v>180</v>
      </c>
      <c r="D528" s="45" t="s">
        <v>64</v>
      </c>
      <c r="E528" s="45"/>
      <c r="F528" s="37">
        <f>SUM(Source!IX46:IX56)/SUM(Source!IX3:IX13)</f>
        <v>0.1980432381252959</v>
      </c>
      <c r="G528" s="37">
        <f>SUM(Source!IY46:IY56)/SUM(Source!IY3:IY13)</f>
        <v>0.17400243679561378</v>
      </c>
      <c r="H528" s="37">
        <f>SUM(Source!IZ46:IZ56)/SUM(Source!IZ3:IZ13)</f>
        <v>0.18506842444651431</v>
      </c>
      <c r="I528" s="37">
        <f>SUM(Source!JA46:JA56)/SUM(Source!JA3:JA13)</f>
        <v>0.17497164965646053</v>
      </c>
      <c r="J528" s="37">
        <f>SUM(Source!JB46:JB56)/SUM(Source!JB3:JB13)</f>
        <v>0.15625</v>
      </c>
      <c r="K528" s="37">
        <f>SUM(Source!JC46:JC56)/SUM(Source!JC3:JC13)</f>
        <v>0.17376173518938168</v>
      </c>
      <c r="L528" s="37">
        <f>SUM(Source!JD46:JD56)/SUM(Source!JD3:JD13)</f>
        <v>0.14172676983404522</v>
      </c>
      <c r="M528" s="37">
        <f>SUM(Source!JE46:JE56)/SUM(Source!JE3:JE13)</f>
        <v>0.16912815626488803</v>
      </c>
      <c r="N528" s="455">
        <f>SUM(Source!JF46:JF56)/SUM(Source!JF3:JF13)</f>
        <v>0.23827275551413482</v>
      </c>
      <c r="O528" s="455">
        <f>SUM(Source!JG46:JG56)/SUM(Source!JG3:JG13)</f>
        <v>0.16401135507792133</v>
      </c>
      <c r="P528" s="455">
        <f>SUM(Source!JH46:JH56)/SUM(Source!JH3:JH13)</f>
        <v>0.19305528101732886</v>
      </c>
      <c r="Q528" s="455">
        <f>SUM(Source!JI46:JI56)/SUM(Source!JI3:JI13)</f>
        <v>0.17954635893354556</v>
      </c>
      <c r="R528" s="455">
        <f>SUM(Source!JJ46:JJ56)/SUM(Source!JJ3:JJ13)</f>
        <v>0.22406319910514541</v>
      </c>
      <c r="S528" s="455">
        <f>SUM(Source!JK46:JK56)/SUM(Source!JK3:JK13)</f>
        <v>0.25915473568281938</v>
      </c>
      <c r="T528" s="455">
        <f>SUM(Source!JL46:JL56)/SUM(Source!JL3:JL13)</f>
        <v>0.24996490242875194</v>
      </c>
      <c r="U528" s="37">
        <f>SUM(Source!JM46:JM56)/SUM(Source!JM3:JM13)</f>
        <v>0.19631093544137021</v>
      </c>
      <c r="V528" s="37">
        <f>SUM(Source!JN46:JN56)/SUM(Source!JN3:JN13)</f>
        <v>0.17919289152165865</v>
      </c>
      <c r="W528" s="37">
        <f>SUM(Source!JO46:JO56)/SUM(Source!JO3:JO13)</f>
        <v>0.21655680496316401</v>
      </c>
      <c r="X528" s="37">
        <f>SUM(Source!JP46:JP56)/SUM(Source!JP3:JP13)</f>
        <v>0.19567536119460874</v>
      </c>
      <c r="Y528" s="37">
        <f>SUM(Source!JQ46:JQ56)/SUM(Source!JQ3:JQ13)</f>
        <v>0.17276337792642141</v>
      </c>
      <c r="Z528" s="37">
        <f>SUM(Source!JR46:JR56)/SUM(Source!JR3:JR13)</f>
        <v>0.19784575613959501</v>
      </c>
      <c r="AA528" s="37">
        <f>SUM(Source!JS46:JS56)/SUM(Source!JS3:JS13)</f>
        <v>0.17506681939671631</v>
      </c>
      <c r="AB528" s="37">
        <f>SUM(Source!JT46:JT56)/SUM(Source!JT3:JT13)</f>
        <v>0.18315052950075644</v>
      </c>
      <c r="AC528" s="37">
        <f>SUM(Source!JU46:JU56)/SUM(Source!JU3:JU13)</f>
        <v>0.1738095238095238</v>
      </c>
      <c r="AD528" s="37">
        <f>SUM(Source!JV46:JV56)/SUM(Source!JV3:JV13)</f>
        <v>0.1450767502807937</v>
      </c>
      <c r="AE528" s="37">
        <f>SUM(Source!JW46:JW56)/SUM(Source!JW3:JW13)</f>
        <v>0.21983457671099579</v>
      </c>
      <c r="AF528" s="37">
        <f>SUM(Source!JX46:JX56)/SUM(Source!JX3:JX13)</f>
        <v>0.19461077844311378</v>
      </c>
      <c r="AG528" s="37">
        <f>SUM(Source!JY46:JY56)/SUM(Source!JY3:JY13)</f>
        <v>0.20555028871843489</v>
      </c>
      <c r="AH528" s="37">
        <f>SUM(Source!JZ46:JZ56)/SUM(Source!JZ3:JZ13)</f>
        <v>0.2035504047093451</v>
      </c>
      <c r="AI528" s="37">
        <f>SUM(Source!KA46:KA56)/SUM(Source!KA3:KA13)</f>
        <v>0.15966447320847493</v>
      </c>
      <c r="AJ528" s="37">
        <f>SUM(Source!KB46:KB56)/SUM(Source!KB3:KB13)</f>
        <v>0.19832854061826025</v>
      </c>
      <c r="AK528" s="37">
        <f>SUM(Source!KC46:KC56)/SUM(Source!KC3:KC13)</f>
        <v>0.20227693936987026</v>
      </c>
      <c r="AL528" s="37">
        <f>SUM(Source!KD46:KD56)/SUM(Source!KD3:KD13)</f>
        <v>0.20766229159276339</v>
      </c>
      <c r="AM528" s="37">
        <f>SUM(Source!KE46:KE56)/SUM(Source!KE3:KE13)</f>
        <v>0.27926583600686411</v>
      </c>
      <c r="AN528" s="37">
        <f>SUM(Source!KF46:KF56)/SUM(Source!KF3:KF13)</f>
        <v>0.2389070527790752</v>
      </c>
      <c r="AO528" s="37">
        <f>SUM(Source!KG46:KG56)/SUM(Source!KG3:KG13)</f>
        <v>0.20201384518565135</v>
      </c>
      <c r="AP528" s="37">
        <f>SUM(Source!KH46:KH56)/SUM(Source!KH3:KH13)</f>
        <v>0.18479593624102295</v>
      </c>
      <c r="AQ528" s="37">
        <f>SUM(Source!KI46:KI56)/SUM(Source!KI3:KI13)</f>
        <v>0.18935662039110315</v>
      </c>
      <c r="AR528" s="37">
        <f>SUM(Source!KJ46:KJ56)/SUM(Source!KJ3:KJ13)</f>
        <v>0.20831124072110285</v>
      </c>
      <c r="AS528" s="37">
        <f>SUM(Source!KK46:KK56)/SUM(Source!KK3:KK13)</f>
        <v>0.19915826252680061</v>
      </c>
      <c r="AT528" s="37">
        <f>SUM(Source!KL46:KL56)/SUM(Source!KL3:KL13)</f>
        <v>0.21804123711340206</v>
      </c>
      <c r="AU528" s="37">
        <f>SUM(Source!KM46:KM56)/SUM(Source!KM3:KM13)</f>
        <v>0.20937662530648637</v>
      </c>
      <c r="AV528" s="37"/>
      <c r="AW528" s="37"/>
    </row>
    <row r="529" spans="2:49">
      <c r="B529" s="28" t="s">
        <v>131</v>
      </c>
      <c r="C529" s="435"/>
      <c r="D529" s="47" t="s">
        <v>13</v>
      </c>
      <c r="E529" s="47"/>
      <c r="F529" s="39">
        <f>+Source!IX97</f>
        <v>0.24166666666666667</v>
      </c>
      <c r="G529" s="39">
        <f>+Source!IY97</f>
        <v>0.24873417721518987</v>
      </c>
      <c r="H529" s="39">
        <f>+Source!IZ97</f>
        <v>0.2747747747747748</v>
      </c>
      <c r="I529" s="39">
        <f>+Source!JA97</f>
        <v>0.20226308345120225</v>
      </c>
      <c r="J529" s="39">
        <f>+Source!JB97</f>
        <v>0.1883282364933741</v>
      </c>
      <c r="K529" s="39">
        <f>+Source!JC97</f>
        <v>0.15113598946328613</v>
      </c>
      <c r="L529" s="39">
        <f>+Source!JD97</f>
        <v>0.24462127910403772</v>
      </c>
      <c r="M529" s="39">
        <f>+Source!JE97</f>
        <v>0.28226120857699805</v>
      </c>
      <c r="N529" s="456">
        <f>+Source!JF97</f>
        <v>0.49773848684210525</v>
      </c>
      <c r="O529" s="456">
        <f>+Source!JG97</f>
        <v>0.28898756660746006</v>
      </c>
      <c r="P529" s="456">
        <f>+Source!JH97</f>
        <v>0.29895953757225435</v>
      </c>
      <c r="Q529" s="456">
        <f>+Source!JI97</f>
        <v>0.22930800542740842</v>
      </c>
      <c r="R529" s="456">
        <f>+Source!JJ97</f>
        <v>0.26950000000000002</v>
      </c>
      <c r="S529" s="456">
        <f>+Source!JK97</f>
        <v>0.30080889787664306</v>
      </c>
      <c r="T529" s="456">
        <f>+Source!JL97</f>
        <v>0.25737746984860149</v>
      </c>
      <c r="U529" s="39">
        <f>+Source!JM97</f>
        <v>0.23522267206477732</v>
      </c>
      <c r="V529" s="39">
        <f>+Source!JN97</f>
        <v>0.26069078947368424</v>
      </c>
      <c r="W529" s="39">
        <f>+Source!JO97</f>
        <v>0.31667891256429098</v>
      </c>
      <c r="X529" s="39">
        <f>+Source!JP97</f>
        <v>0.25945555287882438</v>
      </c>
      <c r="Y529" s="39">
        <f>+Source!JQ97</f>
        <v>0.20131618306909962</v>
      </c>
      <c r="Z529" s="39">
        <f>+Source!JR97</f>
        <v>0.19259259259259259</v>
      </c>
      <c r="AA529" s="39">
        <f>+Source!JS97</f>
        <v>0.18148262073208243</v>
      </c>
      <c r="AB529" s="39">
        <f>+Source!JT97</f>
        <v>0.20502092050209206</v>
      </c>
      <c r="AC529" s="39">
        <f>+Source!JU97</f>
        <v>0.17576009995835068</v>
      </c>
      <c r="AD529" s="39">
        <f>+Source!JV97</f>
        <v>0.13193446392641564</v>
      </c>
      <c r="AE529" s="39">
        <f>+Source!JW97</f>
        <v>0.28803351662738935</v>
      </c>
      <c r="AF529" s="39">
        <f>+Source!JX97</f>
        <v>0.22035372571759931</v>
      </c>
      <c r="AG529" s="39">
        <f>+Source!JY97</f>
        <v>0.24093679820340069</v>
      </c>
      <c r="AH529" s="39">
        <f>+Source!JZ97</f>
        <v>0.27575474634298164</v>
      </c>
      <c r="AI529" s="39">
        <f>+Source!KA97</f>
        <v>0.17009436244858456</v>
      </c>
      <c r="AJ529" s="39">
        <f>+Source!KB97</f>
        <v>0.2152145643693108</v>
      </c>
      <c r="AK529" s="39">
        <f>+Source!KC97</f>
        <v>0.23624382207578254</v>
      </c>
      <c r="AL529" s="39">
        <f>+Source!KD97</f>
        <v>0.19317104015175465</v>
      </c>
      <c r="AM529" s="39">
        <f>+Source!KE97</f>
        <v>0.41300407793384686</v>
      </c>
      <c r="AN529" s="39">
        <f>+Source!KF97</f>
        <v>0.26495726495726496</v>
      </c>
      <c r="AO529" s="39">
        <f>+Source!KG97</f>
        <v>0.21216730038022813</v>
      </c>
      <c r="AP529" s="39">
        <f>+Source!KH97</f>
        <v>0.17724782468578795</v>
      </c>
      <c r="AQ529" s="39">
        <f>+Source!KI97</f>
        <v>0.23350398179749715</v>
      </c>
      <c r="AR529" s="39">
        <f>+Source!KJ97</f>
        <v>0.28657487091222034</v>
      </c>
      <c r="AS529" s="39">
        <f>+Source!KK97</f>
        <v>0.21112696148359486</v>
      </c>
      <c r="AT529" s="39">
        <f>+Source!KL97</f>
        <v>0.26588415412094923</v>
      </c>
      <c r="AU529" s="39">
        <f>+Source!KM97</f>
        <v>0.28187579214195185</v>
      </c>
      <c r="AV529" s="39"/>
      <c r="AW529" s="39"/>
    </row>
    <row r="530" spans="2:49">
      <c r="B530" s="28" t="s">
        <v>136</v>
      </c>
      <c r="C530" s="435"/>
      <c r="D530" s="47" t="s">
        <v>14</v>
      </c>
      <c r="E530" s="47"/>
      <c r="F530" s="39">
        <f>+Source!IX98</f>
        <v>0.16435074269286057</v>
      </c>
      <c r="G530" s="39">
        <f>+Source!IY98</f>
        <v>0.16976024748646559</v>
      </c>
      <c r="H530" s="39">
        <f>+Source!IZ98</f>
        <v>0.16937723125743753</v>
      </c>
      <c r="I530" s="39">
        <f>+Source!JA98</f>
        <v>0.19267188143268835</v>
      </c>
      <c r="J530" s="39">
        <f>+Source!JB98</f>
        <v>4.1113490364025694E-2</v>
      </c>
      <c r="K530" s="39">
        <f>+Source!JC98</f>
        <v>0.17138364779874213</v>
      </c>
      <c r="L530" s="39">
        <f>+Source!JD98</f>
        <v>5.1258581235697938E-2</v>
      </c>
      <c r="M530" s="39">
        <f>+Source!JE98</f>
        <v>0.15797032072762088</v>
      </c>
      <c r="N530" s="456">
        <f>+Source!JF98</f>
        <v>0.15926892950391644</v>
      </c>
      <c r="O530" s="456">
        <f>+Source!JG98</f>
        <v>5.1620648259303722E-2</v>
      </c>
      <c r="P530" s="456">
        <f>+Source!JH98</f>
        <v>0.18830610490111779</v>
      </c>
      <c r="Q530" s="456">
        <f>+Source!JI98</f>
        <v>6.0344827586206899E-2</v>
      </c>
      <c r="R530" s="456">
        <f>+Source!JJ98</f>
        <v>0.18823529411764706</v>
      </c>
      <c r="S530" s="456">
        <f>+Source!JK98</f>
        <v>0.24196376388077148</v>
      </c>
      <c r="T530" s="456">
        <f>+Source!JL98</f>
        <v>0.23661971830985915</v>
      </c>
      <c r="U530" s="39">
        <f>+Source!JM98</f>
        <v>0.20441988950276244</v>
      </c>
      <c r="V530" s="39">
        <f>+Source!JN98</f>
        <v>0.16684266103484688</v>
      </c>
      <c r="W530" s="39">
        <f>+Source!JO98</f>
        <v>0.16209773539928488</v>
      </c>
      <c r="X530" s="39">
        <f>+Source!JP98</f>
        <v>0.17468619246861924</v>
      </c>
      <c r="Y530" s="39">
        <f>+Source!JQ98</f>
        <v>0.21077283372365341</v>
      </c>
      <c r="Z530" s="39">
        <f>+Source!JR98</f>
        <v>0.31305201177625125</v>
      </c>
      <c r="AA530" s="39">
        <f>+Source!JS98</f>
        <v>0.17857142857142858</v>
      </c>
      <c r="AB530" s="39">
        <f>+Source!JT98</f>
        <v>0.28505392912172572</v>
      </c>
      <c r="AC530" s="39">
        <f>+Source!JU98</f>
        <v>0.1673228346456693</v>
      </c>
      <c r="AD530" s="39">
        <f>+Source!JV98</f>
        <v>0.23681257014590348</v>
      </c>
      <c r="AE530" s="39">
        <f>+Source!JW98</f>
        <v>0.21649484536082475</v>
      </c>
      <c r="AF530" s="39">
        <f>+Source!JX98</f>
        <v>0.31686746987951808</v>
      </c>
      <c r="AG530" s="39">
        <f>+Source!JY98</f>
        <v>0.44876325088339225</v>
      </c>
      <c r="AH530" s="39">
        <f>+Source!JZ98</f>
        <v>0.17348927875243664</v>
      </c>
      <c r="AI530" s="39">
        <f>+Source!KA98</f>
        <v>0.54844006568144499</v>
      </c>
      <c r="AJ530" s="39">
        <f>+Source!KB98</f>
        <v>0.29038652130822595</v>
      </c>
      <c r="AK530" s="39">
        <f>+Source!KC98</f>
        <v>0.27533460803059273</v>
      </c>
      <c r="AL530" s="39">
        <f>+Source!KD98</f>
        <v>0.37721518987341773</v>
      </c>
      <c r="AM530" s="39">
        <f>+Source!KE98</f>
        <v>0.35570469798657717</v>
      </c>
      <c r="AN530" s="39">
        <f>+Source!KF98</f>
        <v>0.35244161358811038</v>
      </c>
      <c r="AO530" s="39">
        <f>+Source!KG98</f>
        <v>0.39440993788819878</v>
      </c>
      <c r="AP530" s="39">
        <f>+Source!KH98</f>
        <v>0.41043613707165111</v>
      </c>
      <c r="AQ530" s="39">
        <f>+Source!KI98</f>
        <v>0.18796592119275826</v>
      </c>
      <c r="AR530" s="39">
        <f>+Source!KJ98</f>
        <v>0.27704752275025279</v>
      </c>
      <c r="AS530" s="39">
        <f>+Source!KK98</f>
        <v>0.20530565167243367</v>
      </c>
      <c r="AT530" s="39">
        <f>+Source!KL98</f>
        <v>0.26734926052332197</v>
      </c>
      <c r="AU530" s="39">
        <f>+Source!KM98</f>
        <v>0.17499999999999999</v>
      </c>
      <c r="AV530" s="39"/>
      <c r="AW530" s="39"/>
    </row>
    <row r="531" spans="2:49">
      <c r="B531" s="28" t="s">
        <v>141</v>
      </c>
      <c r="C531" s="435"/>
      <c r="D531" s="47" t="s">
        <v>17</v>
      </c>
      <c r="E531" s="47"/>
      <c r="F531" s="39">
        <f>+Source!IX99</f>
        <v>0.3380281690140845</v>
      </c>
      <c r="G531" s="39">
        <f>+Source!IY99</f>
        <v>0.2278738555442523</v>
      </c>
      <c r="H531" s="39">
        <f>+Source!IZ99</f>
        <v>0.2131747483989021</v>
      </c>
      <c r="I531" s="39">
        <f>+Source!JA99</f>
        <v>0.24616771866546439</v>
      </c>
      <c r="J531" s="39">
        <f>+Source!JB99</f>
        <v>0.2494019138755981</v>
      </c>
      <c r="K531" s="39">
        <f>+Source!JC99</f>
        <v>0.19617224880382775</v>
      </c>
      <c r="L531" s="39">
        <f>+Source!JD99</f>
        <v>0.16058394160583941</v>
      </c>
      <c r="M531" s="39">
        <f>+Source!JE99</f>
        <v>0.15846994535519127</v>
      </c>
      <c r="N531" s="456">
        <f>+Source!JF99</f>
        <v>0.15119363395225463</v>
      </c>
      <c r="O531" s="456">
        <f>+Source!JG99</f>
        <v>0.27957931638913236</v>
      </c>
      <c r="P531" s="456">
        <f>+Source!JH99</f>
        <v>0.20663900414937758</v>
      </c>
      <c r="Q531" s="456">
        <f>+Source!JI99</f>
        <v>0.2404692082111437</v>
      </c>
      <c r="R531" s="456">
        <f>+Source!JJ99</f>
        <v>0.25522193211488253</v>
      </c>
      <c r="S531" s="456">
        <f>+Source!JK99</f>
        <v>0.39314285714285713</v>
      </c>
      <c r="T531" s="456">
        <f>+Source!JL99</f>
        <v>0.3978142076502732</v>
      </c>
      <c r="U531" s="39">
        <f>+Source!JM99</f>
        <v>0.34747145187601958</v>
      </c>
      <c r="V531" s="39">
        <f>+Source!JN99</f>
        <v>0.22787193973634651</v>
      </c>
      <c r="W531" s="39">
        <f>+Source!JO99</f>
        <v>0.24862637362637363</v>
      </c>
      <c r="X531" s="39">
        <f>+Source!JP99</f>
        <v>0.21245421245421245</v>
      </c>
      <c r="Y531" s="39">
        <f>+Source!JQ99</f>
        <v>0.22513661202185792</v>
      </c>
      <c r="Z531" s="39">
        <f>+Source!JR99</f>
        <v>0.18967052537845058</v>
      </c>
      <c r="AA531" s="39">
        <f>+Source!JS99</f>
        <v>0.22760800842992623</v>
      </c>
      <c r="AB531" s="39">
        <f>+Source!JT99</f>
        <v>0.1899886234357224</v>
      </c>
      <c r="AC531" s="39">
        <f>+Source!JU99</f>
        <v>0.21389793702497287</v>
      </c>
      <c r="AD531" s="39">
        <f>+Source!JV99</f>
        <v>0.19300106044538706</v>
      </c>
      <c r="AE531" s="39">
        <f>+Source!JW99</f>
        <v>0.31805745554035569</v>
      </c>
      <c r="AF531" s="39">
        <f>+Source!JX99</f>
        <v>0.32230215827338127</v>
      </c>
      <c r="AG531" s="39">
        <f>+Source!JY99</f>
        <v>0.19578686493184635</v>
      </c>
      <c r="AH531" s="39">
        <f>+Source!JZ99</f>
        <v>0.25244177310293014</v>
      </c>
      <c r="AI531" s="39">
        <f>+Source!KA99</f>
        <v>0.2257142857142857</v>
      </c>
      <c r="AJ531" s="39">
        <f>+Source!KB99</f>
        <v>0.32071005917159762</v>
      </c>
      <c r="AK531" s="39">
        <f>+Source!KC99</f>
        <v>0.25667351129363447</v>
      </c>
      <c r="AL531" s="39">
        <f>+Source!KD99</f>
        <v>0.25264169068203651</v>
      </c>
      <c r="AM531" s="39">
        <f>+Source!KE99</f>
        <v>0.36127409891031015</v>
      </c>
      <c r="AN531" s="39">
        <f>+Source!KF99</f>
        <v>0.27882037533512066</v>
      </c>
      <c r="AO531" s="39">
        <f>+Source!KG99</f>
        <v>0.26360544217687076</v>
      </c>
      <c r="AP531" s="39">
        <f>+Source!KH99</f>
        <v>0.25354969574036512</v>
      </c>
      <c r="AQ531" s="39">
        <f>+Source!KI99</f>
        <v>0.32597054886211513</v>
      </c>
      <c r="AR531" s="39">
        <f>+Source!KJ99</f>
        <v>0.29923273657289001</v>
      </c>
      <c r="AS531" s="39">
        <f>+Source!KK99</f>
        <v>0.135678391959799</v>
      </c>
      <c r="AT531" s="39">
        <f>+Source!KL99</f>
        <v>0.1348148148148148</v>
      </c>
      <c r="AU531" s="39">
        <f>+Source!KM99</f>
        <v>0.10700389105058365</v>
      </c>
      <c r="AV531" s="39"/>
      <c r="AW531" s="39"/>
    </row>
    <row r="532" spans="2:49">
      <c r="B532" s="28" t="s">
        <v>124</v>
      </c>
      <c r="C532" s="435"/>
      <c r="D532" s="47" t="s">
        <v>18</v>
      </c>
      <c r="E532" s="47"/>
      <c r="F532" s="39">
        <f>+Source!IX100</f>
        <v>0.10822510822510822</v>
      </c>
      <c r="G532" s="39">
        <f>+Source!IY100</f>
        <v>0.10565110565110565</v>
      </c>
      <c r="H532" s="39">
        <f>+Source!IZ100</f>
        <v>7.7071290944123308E-2</v>
      </c>
      <c r="I532" s="39">
        <f>+Source!JA100</f>
        <v>0.15178571428571427</v>
      </c>
      <c r="J532" s="39">
        <f>+Source!JB100</f>
        <v>0.19067796610169491</v>
      </c>
      <c r="K532" s="39">
        <f>+Source!JC100</f>
        <v>8.1504702194357362E-2</v>
      </c>
      <c r="L532" s="39">
        <f>+Source!JD100</f>
        <v>7.4130105900151289E-2</v>
      </c>
      <c r="M532" s="39">
        <f>+Source!JE100</f>
        <v>9.375E-2</v>
      </c>
      <c r="N532" s="456">
        <f>+Source!JF100</f>
        <v>9.8305084745762716E-2</v>
      </c>
      <c r="O532" s="456">
        <f>+Source!JG100</f>
        <v>6.9090909090909092E-2</v>
      </c>
      <c r="P532" s="456">
        <f>+Source!JH100</f>
        <v>9.1428571428571428E-2</v>
      </c>
      <c r="Q532" s="456">
        <f>+Source!JI100</f>
        <v>0.14285714285714285</v>
      </c>
      <c r="R532" s="456">
        <f>+Source!JJ100</f>
        <v>0.19691119691119691</v>
      </c>
      <c r="S532" s="456">
        <f>+Source!JK100</f>
        <v>0.21639344262295082</v>
      </c>
      <c r="T532" s="456">
        <f>+Source!JL100</f>
        <v>0.18292682926829268</v>
      </c>
      <c r="U532" s="39">
        <f>+Source!JM100</f>
        <v>0.13186813186813187</v>
      </c>
      <c r="V532" s="39">
        <f>+Source!JN100</f>
        <v>9.5652173913043481E-2</v>
      </c>
      <c r="W532" s="39">
        <f>+Source!JO100</f>
        <v>0.28651685393258425</v>
      </c>
      <c r="X532" s="39">
        <f>+Source!JP100</f>
        <v>0.37323943661971831</v>
      </c>
      <c r="Y532" s="39">
        <f>+Source!JQ100</f>
        <v>8.8757396449704137E-2</v>
      </c>
      <c r="Z532" s="39">
        <f>+Source!JR100</f>
        <v>0.14615384615384616</v>
      </c>
      <c r="AA532" s="39">
        <f>+Source!JS100</f>
        <v>0.10465116279069768</v>
      </c>
      <c r="AB532" s="39">
        <f>+Source!JT100</f>
        <v>0.10227272727272728</v>
      </c>
      <c r="AC532" s="39">
        <f>+Source!JU100</f>
        <v>0.14018691588785046</v>
      </c>
      <c r="AD532" s="39">
        <f>+Source!JV100</f>
        <v>6.0869565217391307E-2</v>
      </c>
      <c r="AE532" s="39">
        <f>+Source!JW100</f>
        <v>0.42364532019704432</v>
      </c>
      <c r="AF532" s="39">
        <f>+Source!JX100</f>
        <v>0.11398963730569948</v>
      </c>
      <c r="AG532" s="39">
        <f>+Source!JY100</f>
        <v>7.792207792207792E-2</v>
      </c>
      <c r="AH532" s="39">
        <f>+Source!JZ100</f>
        <v>0.47058823529411764</v>
      </c>
      <c r="AI532" s="39">
        <f>+Source!KA100</f>
        <v>5.7553956834532377E-2</v>
      </c>
      <c r="AJ532" s="39">
        <f>+Source!KB100</f>
        <v>0.25</v>
      </c>
      <c r="AK532" s="39">
        <f>+Source!KC100</f>
        <v>7.9646017699115043E-2</v>
      </c>
      <c r="AL532" s="39">
        <f>+Source!KD100</f>
        <v>7.586206896551724E-2</v>
      </c>
      <c r="AM532" s="39">
        <f>+Source!KE100</f>
        <v>0.17449664429530201</v>
      </c>
      <c r="AN532" s="39">
        <f>+Source!KF100</f>
        <v>0.37864077669902912</v>
      </c>
      <c r="AO532" s="39">
        <f>+Source!KG100</f>
        <v>0.31092436974789917</v>
      </c>
      <c r="AP532" s="39">
        <f>+Source!KH100</f>
        <v>0.28799999999999998</v>
      </c>
      <c r="AQ532" s="39">
        <f>+Source!KI100</f>
        <v>7.1770334928229665E-2</v>
      </c>
      <c r="AR532" s="39">
        <f>+Source!KJ100</f>
        <v>0.18367346938775511</v>
      </c>
      <c r="AS532" s="39">
        <f>+Source!KK100</f>
        <v>0.1996996996996997</v>
      </c>
      <c r="AT532" s="39">
        <f>+Source!KL100</f>
        <v>0.24254473161033796</v>
      </c>
      <c r="AU532" s="39">
        <f>+Source!KM100</f>
        <v>0.19444444444444445</v>
      </c>
      <c r="AV532" s="39"/>
      <c r="AW532" s="39"/>
    </row>
    <row r="533" spans="2:49">
      <c r="B533" s="28" t="s">
        <v>137</v>
      </c>
      <c r="C533" s="435"/>
      <c r="D533" s="47" t="s">
        <v>19</v>
      </c>
      <c r="E533" s="47"/>
      <c r="F533" s="39">
        <f>+Source!IX101</f>
        <v>0.15514993481095177</v>
      </c>
      <c r="G533" s="39">
        <f>+Source!IY101</f>
        <v>0.23277661795407098</v>
      </c>
      <c r="H533" s="39">
        <f>+Source!IZ101</f>
        <v>0.2972560975609756</v>
      </c>
      <c r="I533" s="39">
        <f>+Source!JA101</f>
        <v>0.19629927594529364</v>
      </c>
      <c r="J533" s="39">
        <f>+Source!JB101</f>
        <v>0.27586206896551724</v>
      </c>
      <c r="K533" s="39">
        <f>+Source!JC101</f>
        <v>0.24960998439937598</v>
      </c>
      <c r="L533" s="39">
        <f>+Source!JD101</f>
        <v>0.2769640479360852</v>
      </c>
      <c r="M533" s="39">
        <f>+Source!JE101</f>
        <v>0.25688073394495414</v>
      </c>
      <c r="N533" s="456">
        <f>+Source!JF101</f>
        <v>0.22754491017964071</v>
      </c>
      <c r="O533" s="456">
        <f>+Source!JG101</f>
        <v>0.31415929203539822</v>
      </c>
      <c r="P533" s="456">
        <f>+Source!JH101</f>
        <v>0.27720207253886009</v>
      </c>
      <c r="Q533" s="456">
        <f>+Source!JI101</f>
        <v>0.35952848722986247</v>
      </c>
      <c r="R533" s="456">
        <f>+Source!JJ101</f>
        <v>0.4763231197771588</v>
      </c>
      <c r="S533" s="456">
        <f>+Source!JK101</f>
        <v>0.5056179775280899</v>
      </c>
      <c r="T533" s="456">
        <f>+Source!JL101</f>
        <v>0.37476099426386233</v>
      </c>
      <c r="U533" s="39">
        <f>+Source!JM101</f>
        <v>0.31390134529147984</v>
      </c>
      <c r="V533" s="39">
        <f>+Source!JN101</f>
        <v>0.25093632958801498</v>
      </c>
      <c r="W533" s="39">
        <f>+Source!JO101</f>
        <v>0.15024038461538461</v>
      </c>
      <c r="X533" s="39">
        <f>+Source!JP101</f>
        <v>7.1748878923766815E-2</v>
      </c>
      <c r="Y533" s="39">
        <f>+Source!JQ101</f>
        <v>0.12517385257301808</v>
      </c>
      <c r="Z533" s="39">
        <f>+Source!JR101</f>
        <v>0.18046132971506107</v>
      </c>
      <c r="AA533" s="39">
        <f>+Source!JS101</f>
        <v>0.1610305958132045</v>
      </c>
      <c r="AB533" s="39">
        <f>+Source!JT101</f>
        <v>0.21439060205580029</v>
      </c>
      <c r="AC533" s="39">
        <f>+Source!JU101</f>
        <v>0.24528301886792453</v>
      </c>
      <c r="AD533" s="39">
        <f>+Source!JV101</f>
        <v>0.27360308285163776</v>
      </c>
      <c r="AE533" s="39">
        <f>+Source!JW101</f>
        <v>0.28545454545454546</v>
      </c>
      <c r="AF533" s="39">
        <f>+Source!JX101</f>
        <v>0.28939828080229224</v>
      </c>
      <c r="AG533" s="39">
        <f>+Source!JY101</f>
        <v>0.24302788844621515</v>
      </c>
      <c r="AH533" s="39">
        <f>+Source!JZ101</f>
        <v>0.30334190231362468</v>
      </c>
      <c r="AI533" s="39">
        <f>+Source!KA101</f>
        <v>4.3981481481481483E-2</v>
      </c>
      <c r="AJ533" s="39">
        <f>+Source!KB101</f>
        <v>0.21674876847290642</v>
      </c>
      <c r="AK533" s="39">
        <f>+Source!KC101</f>
        <v>0.20163487738419619</v>
      </c>
      <c r="AL533" s="39">
        <f>+Source!KD101</f>
        <v>0.37537537537537535</v>
      </c>
      <c r="AM533" s="39">
        <f>+Source!KE101</f>
        <v>0.20382165605095542</v>
      </c>
      <c r="AN533" s="39">
        <f>+Source!KF101</f>
        <v>0.29135802469135802</v>
      </c>
      <c r="AO533" s="39">
        <f>+Source!KG101</f>
        <v>0.2185430463576159</v>
      </c>
      <c r="AP533" s="39">
        <f>+Source!KH101</f>
        <v>0.22426470588235295</v>
      </c>
      <c r="AQ533" s="39">
        <f>+Source!KI101</f>
        <v>0.19310344827586207</v>
      </c>
      <c r="AR533" s="39">
        <f>+Source!KJ101</f>
        <v>0.30827067669172931</v>
      </c>
      <c r="AS533" s="39">
        <f>+Source!KK101</f>
        <v>0.27526881720430108</v>
      </c>
      <c r="AT533" s="39">
        <f>+Source!KL101</f>
        <v>0.16949152542372881</v>
      </c>
      <c r="AU533" s="39">
        <f>+Source!KM101</f>
        <v>0.22826086956521738</v>
      </c>
      <c r="AV533" s="39"/>
      <c r="AW533" s="39"/>
    </row>
    <row r="534" spans="2:49">
      <c r="B534" s="28" t="s">
        <v>123</v>
      </c>
      <c r="C534" s="435"/>
      <c r="D534" s="47" t="s">
        <v>21</v>
      </c>
      <c r="E534" s="47"/>
      <c r="F534" s="39">
        <f>+Source!IX102</f>
        <v>0.649171270718232</v>
      </c>
      <c r="G534" s="39">
        <f>+Source!IY102</f>
        <v>0.39323843416370108</v>
      </c>
      <c r="H534" s="39">
        <f>+Source!IZ102</f>
        <v>0.33333333333333331</v>
      </c>
      <c r="I534" s="39">
        <f>+Source!JA102</f>
        <v>0.30324074074074076</v>
      </c>
      <c r="J534" s="39">
        <f>+Source!JB102</f>
        <v>0.26639344262295084</v>
      </c>
      <c r="K534" s="39">
        <f>+Source!JC102</f>
        <v>0.25438596491228072</v>
      </c>
      <c r="L534" s="39">
        <f>+Source!JD102</f>
        <v>0.29387755102040819</v>
      </c>
      <c r="M534" s="39">
        <f>+Source!JE102</f>
        <v>0.4296875</v>
      </c>
      <c r="N534" s="456">
        <f>+Source!JF102</f>
        <v>0.29878048780487804</v>
      </c>
      <c r="O534" s="456">
        <f>+Source!JG102</f>
        <v>0.21167883211678831</v>
      </c>
      <c r="P534" s="456">
        <f>+Source!JH102</f>
        <v>0.18861209964412812</v>
      </c>
      <c r="Q534" s="456">
        <f>+Source!JI102</f>
        <v>0.25308641975308643</v>
      </c>
      <c r="R534" s="456">
        <f>+Source!JJ102</f>
        <v>0.31578947368421051</v>
      </c>
      <c r="S534" s="456">
        <f>+Source!JK102</f>
        <v>0.32417582417582419</v>
      </c>
      <c r="T534" s="456">
        <f>+Source!JL102</f>
        <v>0.4</v>
      </c>
      <c r="U534" s="39">
        <f>+Source!JM102</f>
        <v>0.25</v>
      </c>
      <c r="V534" s="39">
        <f>+Source!JN102</f>
        <v>0.25882352941176473</v>
      </c>
      <c r="W534" s="39">
        <f>+Source!JO102</f>
        <v>0.28888888888888886</v>
      </c>
      <c r="X534" s="39">
        <f>+Source!JP102</f>
        <v>0.28888888888888886</v>
      </c>
      <c r="Y534" s="39">
        <f>+Source!JQ102</f>
        <v>0.14678899082568808</v>
      </c>
      <c r="Z534" s="39">
        <f>+Source!JR102</f>
        <v>0.23275862068965517</v>
      </c>
      <c r="AA534" s="39">
        <f>+Source!JS102</f>
        <v>0.28925619834710742</v>
      </c>
      <c r="AB534" s="39">
        <f>+Source!JT102</f>
        <v>0.25225225225225223</v>
      </c>
      <c r="AC534" s="39">
        <f>+Source!JU102</f>
        <v>0.35135135135135137</v>
      </c>
      <c r="AD534" s="39">
        <f>+Source!JV102</f>
        <v>0.18309859154929578</v>
      </c>
      <c r="AE534" s="39">
        <f>+Source!JW102</f>
        <v>0.06</v>
      </c>
      <c r="AF534" s="39">
        <f>+Source!JX102</f>
        <v>3.90625E-2</v>
      </c>
      <c r="AG534" s="39">
        <f>+Source!JY102</f>
        <v>3.7037037037037035E-2</v>
      </c>
      <c r="AH534" s="39">
        <f>+Source!JZ102</f>
        <v>0.18072289156626506</v>
      </c>
      <c r="AI534" s="39">
        <f>+Source!KA102</f>
        <v>3.0612244897959183E-2</v>
      </c>
      <c r="AJ534" s="39">
        <f>+Source!KB102</f>
        <v>2.7027027027027029E-2</v>
      </c>
      <c r="AK534" s="39">
        <f>+Source!KC102</f>
        <v>5.5555555555555552E-2</v>
      </c>
      <c r="AL534" s="39">
        <f>+Source!KD102</f>
        <v>0.1111111111111111</v>
      </c>
      <c r="AM534" s="39">
        <f>+Source!KE102</f>
        <v>0.14432989690721648</v>
      </c>
      <c r="AN534" s="39">
        <f>+Source!KF102</f>
        <v>0.13513513513513514</v>
      </c>
      <c r="AO534" s="39">
        <f>+Source!KG102</f>
        <v>2.4691358024691357E-2</v>
      </c>
      <c r="AP534" s="39">
        <f>+Source!KH102</f>
        <v>0.16250000000000001</v>
      </c>
      <c r="AQ534" s="39">
        <f>+Source!KI102</f>
        <v>0.11235955056179775</v>
      </c>
      <c r="AR534" s="39">
        <f>+Source!KJ102</f>
        <v>0.15294117647058825</v>
      </c>
      <c r="AS534" s="39">
        <f>+Source!KK102</f>
        <v>0.14151701956580007</v>
      </c>
      <c r="AT534" s="39">
        <f>+Source!KL102</f>
        <v>0.14114258281325012</v>
      </c>
      <c r="AU534" s="39">
        <f>+Source!KM102</f>
        <v>0.13728813559322034</v>
      </c>
      <c r="AV534" s="39"/>
      <c r="AW534" s="39"/>
    </row>
    <row r="535" spans="2:49">
      <c r="B535" s="28" t="s">
        <v>139</v>
      </c>
      <c r="C535" s="435"/>
      <c r="D535" s="47" t="s">
        <v>22</v>
      </c>
      <c r="E535" s="47"/>
      <c r="F535" s="39">
        <f>+Source!IX103</f>
        <v>0.18064516129032257</v>
      </c>
      <c r="G535" s="39">
        <f>+Source!IY103</f>
        <v>0.10588235294117647</v>
      </c>
      <c r="H535" s="39">
        <f>+Source!IZ103</f>
        <v>0.11602209944751381</v>
      </c>
      <c r="I535" s="39">
        <f>+Source!JA103</f>
        <v>6.4705882352941183E-2</v>
      </c>
      <c r="J535" s="39">
        <f>+Source!JB103</f>
        <v>7.8431372549019607E-2</v>
      </c>
      <c r="K535" s="39">
        <f>+Source!JC103</f>
        <v>0.10236220472440945</v>
      </c>
      <c r="L535" s="39">
        <f>+Source!JD103</f>
        <v>0.10280373831775701</v>
      </c>
      <c r="M535" s="39">
        <f>+Source!JE103</f>
        <v>0.10828025477707007</v>
      </c>
      <c r="N535" s="456">
        <f>+Source!JF103</f>
        <v>8.1967213114754092E-2</v>
      </c>
      <c r="O535" s="456">
        <f>+Source!JG103</f>
        <v>5.0387596899224806E-2</v>
      </c>
      <c r="P535" s="456">
        <f>+Source!JH103</f>
        <v>9.4339622641509441E-2</v>
      </c>
      <c r="Q535" s="456">
        <f>+Source!JI103</f>
        <v>0.25818181818181818</v>
      </c>
      <c r="R535" s="456">
        <f>+Source!JJ103</f>
        <v>0.11913357400722022</v>
      </c>
      <c r="S535" s="456">
        <f>+Source!JK103</f>
        <v>5.7268722466960353E-2</v>
      </c>
      <c r="T535" s="456">
        <f>+Source!JL103</f>
        <v>0.11673151750972763</v>
      </c>
      <c r="U535" s="39">
        <f>+Source!JM103</f>
        <v>0.13300492610837439</v>
      </c>
      <c r="V535" s="39">
        <f>+Source!JN103</f>
        <v>9.6153846153846159E-2</v>
      </c>
      <c r="W535" s="39">
        <f>+Source!JO103</f>
        <v>0.15151515151515152</v>
      </c>
      <c r="X535" s="39">
        <f>+Source!JP103</f>
        <v>0.14925373134328357</v>
      </c>
      <c r="Y535" s="39">
        <f>+Source!JQ103</f>
        <v>0.20670391061452514</v>
      </c>
      <c r="Z535" s="39">
        <f>+Source!JR103</f>
        <v>0.17735849056603772</v>
      </c>
      <c r="AA535" s="39">
        <f>+Source!JS103</f>
        <v>0.18571428571428572</v>
      </c>
      <c r="AB535" s="39">
        <f>+Source!JT103</f>
        <v>6.7692307692307691E-2</v>
      </c>
      <c r="AC535" s="39">
        <f>+Source!JU103</f>
        <v>0.1210762331838565</v>
      </c>
      <c r="AD535" s="39">
        <f>+Source!JV103</f>
        <v>4.048582995951417E-3</v>
      </c>
      <c r="AE535" s="39">
        <f>+Source!JW103</f>
        <v>0</v>
      </c>
      <c r="AF535" s="39">
        <f>+Source!JX103</f>
        <v>1.509433962264151E-2</v>
      </c>
      <c r="AG535" s="39">
        <f>+Source!JY103</f>
        <v>0.22705314009661837</v>
      </c>
      <c r="AH535" s="39">
        <f>+Source!JZ103</f>
        <v>0.19760479041916168</v>
      </c>
      <c r="AI535" s="39">
        <f>+Source!KA103</f>
        <v>0.18884120171673821</v>
      </c>
      <c r="AJ535" s="39">
        <f>+Source!KB103</f>
        <v>0.16129032258064516</v>
      </c>
      <c r="AK535" s="39">
        <f>+Source!KC103</f>
        <v>0.27310924369747897</v>
      </c>
      <c r="AL535" s="39">
        <f>+Source!KD103</f>
        <v>0.23671497584541062</v>
      </c>
      <c r="AM535" s="39">
        <f>+Source!KE103</f>
        <v>0.12080536912751678</v>
      </c>
      <c r="AN535" s="39">
        <f>+Source!KF103</f>
        <v>0.102880658436214</v>
      </c>
      <c r="AO535" s="39">
        <f>+Source!KG103</f>
        <v>0.37878787878787878</v>
      </c>
      <c r="AP535" s="39">
        <f>+Source!KH103</f>
        <v>0.15277777777777779</v>
      </c>
      <c r="AQ535" s="39">
        <f>+Source!KI103</f>
        <v>0.10747663551401869</v>
      </c>
      <c r="AR535" s="39">
        <f>+Source!KJ103</f>
        <v>0.14358974358974358</v>
      </c>
      <c r="AS535" s="39">
        <f>+Source!KK103</f>
        <v>0.11801242236024845</v>
      </c>
      <c r="AT535" s="39">
        <f>+Source!KL103</f>
        <v>0.14204545454545456</v>
      </c>
      <c r="AU535" s="39">
        <f>+Source!KM103</f>
        <v>8.9449541284403675E-2</v>
      </c>
      <c r="AV535" s="39"/>
      <c r="AW535" s="39"/>
    </row>
    <row r="536" spans="2:49">
      <c r="C536" s="435"/>
      <c r="D536" s="48" t="s">
        <v>62</v>
      </c>
      <c r="E536" s="48"/>
      <c r="F536" s="41">
        <f>SUM(Source!IX46:IX48,Source!IX51:IX52,Source!IX54:IX55)/SUM(Source!IX3:IX5,Source!IX8:IX9,Source!IX11:IX12)</f>
        <v>0.25183823529411764</v>
      </c>
      <c r="G536" s="41">
        <f>SUM(Source!IY46:IY48,Source!IY51:IY52,Source!IY54:IY55)/SUM(Source!IY3:IY5,Source!IY8:IY9,Source!IY11:IY12)</f>
        <v>0.22139134375708136</v>
      </c>
      <c r="H536" s="41">
        <f>SUM(Source!IZ46:IZ48,Source!IZ51:IZ52,Source!IZ54:IZ55)/SUM(Source!IZ3:IZ5,Source!IZ8:IZ9,Source!IZ11:IZ12)</f>
        <v>0.22629118432769368</v>
      </c>
      <c r="I536" s="41">
        <f>SUM(Source!JA46:JA48,Source!JA51:JA52,Source!JA54:JA55)/SUM(Source!JA3:JA5,Source!JA8:JA9,Source!JA11:JA12)</f>
        <v>0.20271115745568299</v>
      </c>
      <c r="J536" s="41">
        <f>SUM(Source!JB46:JB48,Source!JB51:JB52,Source!JB54:JB55)/SUM(Source!JB3:JB5,Source!JB8:JB9,Source!JB11:JB12)</f>
        <v>0.17547526624863144</v>
      </c>
      <c r="K536" s="41">
        <f>SUM(Source!JC46:JC48,Source!JC51:JC52,Source!JC54:JC55)/SUM(Source!JC3:JC5,Source!JC8:JC9,Source!JC11:JC12)</f>
        <v>0.17084188911704312</v>
      </c>
      <c r="L536" s="41">
        <f>SUM(Source!JD46:JD48,Source!JD51:JD52,Source!JD54:JD55)/SUM(Source!JD3:JD5,Source!JD8:JD9,Source!JD11:JD12)</f>
        <v>0.17209800190294958</v>
      </c>
      <c r="M536" s="41">
        <f>SUM(Source!JE46:JE48,Source!JE51:JE52,Source!JE54:JE55)/SUM(Source!JE3:JE5,Source!JE8:JE9,Source!JE11:JE12)</f>
        <v>0.22198538367844092</v>
      </c>
      <c r="N536" s="457">
        <f>SUM(Source!JF46:JF48,Source!JF51:JF52,Source!JF54:JF55)/SUM(Source!JF3:JF5,Source!JF8:JF9,Source!JF11:JF12)</f>
        <v>0.34099284630392368</v>
      </c>
      <c r="O536" s="457">
        <f>SUM(Source!JG46:JG48,Source!JG51:JG52,Source!JG54:JG55)/SUM(Source!JG3:JG5,Source!JG8:JG9,Source!JG11:JG12)</f>
        <v>0.2353356178189881</v>
      </c>
      <c r="P536" s="457">
        <f>SUM(Source!JH46:JH48,Source!JH51:JH52,Source!JH54:JH55)/SUM(Source!JH3:JH5,Source!JH8:JH9,Source!JH11:JH12)</f>
        <v>0.2538497433504433</v>
      </c>
      <c r="Q536" s="457">
        <f>SUM(Source!JI46:JI48,Source!JI51:JI52,Source!JI54:JI55)/SUM(Source!JI3:JI5,Source!JI8:JI9,Source!JI11:JI12)</f>
        <v>0.21078725961538461</v>
      </c>
      <c r="R536" s="457">
        <f>SUM(Source!JJ46:JJ48,Source!JJ51:JJ52,Source!JJ54:JJ55)/SUM(Source!JJ3:JJ5,Source!JJ8:JJ9,Source!JJ11:JJ12)</f>
        <v>0.26283247783481101</v>
      </c>
      <c r="S536" s="457">
        <f>SUM(Source!JK46:JK48,Source!JK51:JK52,Source!JK54:JK55)/SUM(Source!JK3:JK5,Source!JK8:JK9,Source!JK11:JK12)</f>
        <v>0.31159838430467396</v>
      </c>
      <c r="T536" s="457">
        <f>SUM(Source!JL46:JL48,Source!JL51:JL52,Source!JL54:JL55)/SUM(Source!JL3:JL5,Source!JL8:JL9,Source!JL11:JL12)</f>
        <v>0.27339572192513367</v>
      </c>
      <c r="U536" s="41">
        <f>SUM(Source!JM46:JM48,Source!JM51:JM52,Source!JM54:JM55)/SUM(Source!JM3:JM5,Source!JM8:JM9,Source!JM11:JM12)</f>
        <v>0.238789725729212</v>
      </c>
      <c r="V536" s="41">
        <f>SUM(Source!JN46:JN48,Source!JN51:JN52,Source!JN54:JN55)/SUM(Source!JN3:JN5,Source!JN8:JN9,Source!JN11:JN12)</f>
        <v>0.22829725507699175</v>
      </c>
      <c r="W536" s="41">
        <f>SUM(Source!JO46:JO48,Source!JO51:JO52,Source!JO54:JO55)/SUM(Source!JO3:JO5,Source!JO8:JO9,Source!JO11:JO12)</f>
        <v>0.26620168555652429</v>
      </c>
      <c r="X536" s="41">
        <f>SUM(Source!JP46:JP48,Source!JP51:JP52,Source!JP54:JP55)/SUM(Source!JP3:JP5,Source!JP8:JP9,Source!JP11:JP12)</f>
        <v>0.22817571348628987</v>
      </c>
      <c r="Y536" s="41">
        <f>SUM(Source!JQ46:JQ48,Source!JQ51:JQ52,Source!JQ54:JQ55)/SUM(Source!JQ3:JQ5,Source!JQ8:JQ9,Source!JQ11:JQ12)</f>
        <v>0.19354325699745548</v>
      </c>
      <c r="Z536" s="41">
        <f>SUM(Source!JR46:JR48,Source!JR51:JR52,Source!JR54:JR55)/SUM(Source!JR3:JR5,Source!JR8:JR9,Source!JR11:JR12)</f>
        <v>0.20668563300142248</v>
      </c>
      <c r="AA536" s="41">
        <f>SUM(Source!JS46:JS48,Source!JS51:JS52,Source!JS54:JS55)/SUM(Source!JS3:JS5,Source!JS8:JS9,Source!JS11:JS12)</f>
        <v>0.18660774983004758</v>
      </c>
      <c r="AB536" s="41">
        <f>SUM(Source!JT46:JT48,Source!JT51:JT52,Source!JT54:JT55)/SUM(Source!JT3:JT5,Source!JT8:JT9,Source!JT11:JT12)</f>
        <v>0.20275229357798166</v>
      </c>
      <c r="AC536" s="41">
        <f>SUM(Source!JU46:JU48,Source!JU51:JU52,Source!JU54:JU55)/SUM(Source!JU3:JU5,Source!JU8:JU9,Source!JU11:JU12)</f>
        <v>0.18806354658651783</v>
      </c>
      <c r="AD536" s="41">
        <f>SUM(Source!JV46:JV48,Source!JV51:JV52,Source!JV54:JV55)/SUM(Source!JV3:JV5,Source!JV8:JV9,Source!JV11:JV12)</f>
        <v>0.16201117318435754</v>
      </c>
      <c r="AE536" s="41">
        <f>SUM(Source!JW46:JW48,Source!JW51:JW52,Source!JW54:JW55)/SUM(Source!JW3:JW5,Source!JW8:JW9,Source!JW11:JW12)</f>
        <v>0.28559452284476738</v>
      </c>
      <c r="AF536" s="41">
        <f>SUM(Source!JX46:JX48,Source!JX51:JX52,Source!JX54:JX55)/SUM(Source!JX3:JX5,Source!JX8:JX9,Source!JX11:JX12)</f>
        <v>0.25030826140567203</v>
      </c>
      <c r="AG536" s="41">
        <f>SUM(Source!JY46:JY48,Source!JY51:JY52,Source!JY54:JY55)/SUM(Source!JY3:JY5,Source!JY8:JY9,Source!JY11:JY12)</f>
        <v>0.25043838673680857</v>
      </c>
      <c r="AH536" s="41">
        <f>SUM(Source!JZ46:JZ48,Source!JZ51:JZ52,Source!JZ54:JZ55)/SUM(Source!JZ3:JZ5,Source!JZ8:JZ9,Source!JZ11:JZ12)</f>
        <v>0.26835825911611494</v>
      </c>
      <c r="AI536" s="41">
        <f>SUM(Source!KA46:KA48,Source!KA51:KA52,Source!KA54:KA55)/SUM(Source!KA3:KA5,Source!KA8:KA9,Source!KA11:KA12)</f>
        <v>0.20098234435151999</v>
      </c>
      <c r="AJ536" s="41">
        <f>SUM(Source!KB46:KB48,Source!KB51:KB52,Source!KB54:KB55)/SUM(Source!KB3:KB5,Source!KB8:KB9,Source!KB11:KB12)</f>
        <v>0.24086206896551723</v>
      </c>
      <c r="AK536" s="41">
        <f>SUM(Source!KC46:KC48,Source!KC51:KC52,Source!KC54:KC55)/SUM(Source!KC3:KC5,Source!KC8:KC9,Source!KC11:KC12)</f>
        <v>0.23670411985018727</v>
      </c>
      <c r="AL536" s="41">
        <f>SUM(Source!KD46:KD48,Source!KD51:KD52,Source!KD54:KD55)/SUM(Source!KD3:KD5,Source!KD8:KD9,Source!KD11:KD12)</f>
        <v>0.23715277777777777</v>
      </c>
      <c r="AM536" s="41">
        <f>SUM(Source!KE46:KE48,Source!KE51:KE52,Source!KE54:KE55)/SUM(Source!KE3:KE5,Source!KE8:KE9,Source!KE11:KE12)</f>
        <v>0.374026341877921</v>
      </c>
      <c r="AN536" s="41">
        <f>SUM(Source!KF46:KF48,Source!KF51:KF52,Source!KF54:KF55)/SUM(Source!KF3:KF5,Source!KF8:KF9,Source!KF11:KF12)</f>
        <v>0.27217811529168107</v>
      </c>
      <c r="AO536" s="41">
        <f>SUM(Source!KG46:KG48,Source!KG51:KG52,Source!KG54:KG55)/SUM(Source!KG3:KG5,Source!KG8:KG9,Source!KG11:KG12)</f>
        <v>0.24337199668599835</v>
      </c>
      <c r="AP536" s="41">
        <f>SUM(Source!KH46:KH48,Source!KH51:KH52,Source!KH54:KH55)/SUM(Source!KH3:KH5,Source!KH8:KH9,Source!KH11:KH12)</f>
        <v>0.24257899776571976</v>
      </c>
      <c r="AQ536" s="41">
        <f>SUM(Source!KI46:KI48,Source!KI51:KI52,Source!KI54:KI55)/SUM(Source!KI3:KI5,Source!KI8:KI9,Source!KI11:KI12)</f>
        <v>0.22819548872180451</v>
      </c>
      <c r="AR536" s="41">
        <f>SUM(Source!KJ46:KJ48,Source!KJ51:KJ52,Source!KJ54:KJ55)/SUM(Source!KJ3:KJ5,Source!KJ8:KJ9,Source!KJ11:KJ12)</f>
        <v>0.28239045706861937</v>
      </c>
      <c r="AS536" s="41">
        <f>SUM(Source!KK46:KK48,Source!KK51:KK52,Source!KK54:KK55)/SUM(Source!KK3:KK5,Source!KK8:KK9,Source!KK11:KK12)</f>
        <v>0.2401405077438927</v>
      </c>
      <c r="AT536" s="41">
        <f>SUM(Source!KL46:KL48,Source!KL51:KL52,Source!KL54:KL55)/SUM(Source!KL3:KL5,Source!KL8:KL9,Source!KL11:KL12)</f>
        <v>0.26117647058823529</v>
      </c>
      <c r="AU536" s="41">
        <f>SUM(Source!KM46:KM48,Source!KM51:KM52,Source!KM54:KM55)/SUM(Source!KM3:KM5,Source!KM8:KM9,Source!KM11:KM12)</f>
        <v>0.26876297834470486</v>
      </c>
      <c r="AV536" s="41"/>
      <c r="AW536" s="41"/>
    </row>
    <row r="537" spans="2:49">
      <c r="B537" s="28" t="s">
        <v>138</v>
      </c>
      <c r="C537" s="435"/>
      <c r="D537" s="47" t="s">
        <v>15</v>
      </c>
      <c r="E537" s="47"/>
      <c r="F537" s="39">
        <f>+Source!IX105</f>
        <v>5.8209774848984076E-2</v>
      </c>
      <c r="G537" s="39">
        <f>+Source!IY105</f>
        <v>5.0238198354265913E-2</v>
      </c>
      <c r="H537" s="39">
        <f>+Source!IZ105</f>
        <v>6.2923138191955399E-2</v>
      </c>
      <c r="I537" s="39">
        <f>+Source!JA105</f>
        <v>0.1055944055944056</v>
      </c>
      <c r="J537" s="39">
        <f>+Source!JB105</f>
        <v>4.9689440993788817E-2</v>
      </c>
      <c r="K537" s="39">
        <f>+Source!JC105</f>
        <v>3.4859521331945892E-2</v>
      </c>
      <c r="L537" s="39">
        <f>+Source!JD105</f>
        <v>4.2284632376143896E-2</v>
      </c>
      <c r="M537" s="39">
        <f>+Source!JE105</f>
        <v>6.447761194029851E-2</v>
      </c>
      <c r="N537" s="456">
        <f>+Source!JF105</f>
        <v>3.8243626062322948E-2</v>
      </c>
      <c r="O537" s="456">
        <f>+Source!JG105</f>
        <v>2.9908202546639027E-2</v>
      </c>
      <c r="P537" s="456">
        <f>+Source!JH105</f>
        <v>6.3225058004640372E-2</v>
      </c>
      <c r="Q537" s="456">
        <f>+Source!JI105</f>
        <v>6.8733153638814021E-2</v>
      </c>
      <c r="R537" s="456">
        <f>+Source!JJ105</f>
        <v>0.10054347826086957</v>
      </c>
      <c r="S537" s="456">
        <f>+Source!JK105</f>
        <v>8.2224496758785404E-2</v>
      </c>
      <c r="T537" s="456">
        <f>+Source!JL105</f>
        <v>0.10679012345679012</v>
      </c>
      <c r="U537" s="39">
        <f>+Source!JM105</f>
        <v>4.0654699049630413E-2</v>
      </c>
      <c r="V537" s="39">
        <f>+Source!JN105</f>
        <v>3.2543003254300325E-2</v>
      </c>
      <c r="W537" s="39">
        <f>+Source!JO105</f>
        <v>2.3652365236523653E-2</v>
      </c>
      <c r="X537" s="39">
        <f>+Source!JP105</f>
        <v>7.2493224932249328E-2</v>
      </c>
      <c r="Y537" s="39">
        <f>+Source!JQ105</f>
        <v>0.12597984322508399</v>
      </c>
      <c r="Z537" s="39">
        <f>+Source!JR105</f>
        <v>0.15808959644576082</v>
      </c>
      <c r="AA537" s="39">
        <f>+Source!JS105</f>
        <v>0.12706389088298636</v>
      </c>
      <c r="AB537" s="39">
        <f>+Source!JT105</f>
        <v>0.13788056206088992</v>
      </c>
      <c r="AC537" s="39">
        <f>+Source!JU105</f>
        <v>0.12210144927536232</v>
      </c>
      <c r="AD537" s="39">
        <f>+Source!JV105</f>
        <v>0.10178117048346055</v>
      </c>
      <c r="AE537" s="39">
        <f>+Source!JW105</f>
        <v>0.10164917541229385</v>
      </c>
      <c r="AF537" s="39">
        <f>+Source!JX105</f>
        <v>8.9831909616974376E-2</v>
      </c>
      <c r="AG537" s="39">
        <f>+Source!JY105</f>
        <v>0.15770171149144255</v>
      </c>
      <c r="AH537" s="39">
        <f>+Source!JZ105</f>
        <v>0.13579017264276227</v>
      </c>
      <c r="AI537" s="39">
        <f>+Source!KA105</f>
        <v>0.12938144329896908</v>
      </c>
      <c r="AJ537" s="39">
        <f>+Source!KB105</f>
        <v>0.11045751633986928</v>
      </c>
      <c r="AK537" s="39">
        <f>+Source!KC105</f>
        <v>0.13403781979977752</v>
      </c>
      <c r="AL537" s="39">
        <f>+Source!KD105</f>
        <v>0.16393442622950818</v>
      </c>
      <c r="AM537" s="39">
        <f>+Source!KE105</f>
        <v>0.15891864578069731</v>
      </c>
      <c r="AN537" s="39">
        <f>+Source!KF105</f>
        <v>0.1844137608237772</v>
      </c>
      <c r="AO537" s="39">
        <f>+Source!KG105</f>
        <v>0.15304948216340622</v>
      </c>
      <c r="AP537" s="39">
        <f>+Source!KH105</f>
        <v>9.1605839416058391E-2</v>
      </c>
      <c r="AQ537" s="39">
        <f>+Source!KI105</f>
        <v>0.1020652499251721</v>
      </c>
      <c r="AR537" s="39">
        <f>+Source!KJ105</f>
        <v>9.5617529880478086E-2</v>
      </c>
      <c r="AS537" s="39">
        <f>+Source!KK105</f>
        <v>0.14151701956580007</v>
      </c>
      <c r="AT537" s="39">
        <f>+Source!KL105</f>
        <v>0.14114258281325012</v>
      </c>
      <c r="AU537" s="39">
        <f>+Source!KM105</f>
        <v>0.13728813559322034</v>
      </c>
      <c r="AV537" s="39"/>
      <c r="AW537" s="39"/>
    </row>
    <row r="538" spans="2:49">
      <c r="B538" s="28" t="s">
        <v>132</v>
      </c>
      <c r="C538" s="435"/>
      <c r="D538" s="47" t="s">
        <v>16</v>
      </c>
      <c r="E538" s="47"/>
      <c r="F538" s="39">
        <f>+Source!IX106</f>
        <v>7.5949367088607597E-2</v>
      </c>
      <c r="G538" s="39">
        <f>+Source!IY106</f>
        <v>9.8371335504885998E-2</v>
      </c>
      <c r="H538" s="39">
        <f>+Source!IZ106</f>
        <v>0.13455149501661129</v>
      </c>
      <c r="I538" s="39">
        <f>+Source!JA106</f>
        <v>0.16328653146125846</v>
      </c>
      <c r="J538" s="39">
        <f>+Source!JB106</f>
        <v>0.2017030335284726</v>
      </c>
      <c r="K538" s="39">
        <f>+Source!JC106</f>
        <v>0.29308323563892147</v>
      </c>
      <c r="L538" s="39">
        <f>+Source!JD106</f>
        <v>0.17209775967413443</v>
      </c>
      <c r="M538" s="39">
        <f>+Source!JE106</f>
        <v>0.14844192634560907</v>
      </c>
      <c r="N538" s="456">
        <f>+Source!JF106</f>
        <v>0.20465807730426164</v>
      </c>
      <c r="O538" s="456">
        <f>+Source!JG106</f>
        <v>0.11934361014420686</v>
      </c>
      <c r="P538" s="456">
        <f>+Source!JH106</f>
        <v>0.20415584415584415</v>
      </c>
      <c r="Q538" s="456">
        <f>+Source!JI106</f>
        <v>0.34129213483146065</v>
      </c>
      <c r="R538" s="456">
        <f>+Source!JJ106</f>
        <v>0.27056277056277056</v>
      </c>
      <c r="S538" s="456">
        <f>+Source!JK106</f>
        <v>0.32236842105263158</v>
      </c>
      <c r="T538" s="456">
        <f>+Source!JL106</f>
        <v>0.40186125211505924</v>
      </c>
      <c r="U538" s="39">
        <f>+Source!JM106</f>
        <v>0.37386804657179817</v>
      </c>
      <c r="V538" s="39">
        <f>+Source!JN106</f>
        <v>0.33544303797468356</v>
      </c>
      <c r="W538" s="39">
        <f>+Source!JO106</f>
        <v>0.21161825726141079</v>
      </c>
      <c r="X538" s="39">
        <f>+Source!JP106</f>
        <v>0.15215398716773601</v>
      </c>
      <c r="Y538" s="39">
        <f>+Source!JQ106</f>
        <v>0.12957157784743992</v>
      </c>
      <c r="Z538" s="39">
        <f>+Source!JR106</f>
        <v>0.23395270270270271</v>
      </c>
      <c r="AA538" s="39">
        <f>+Source!JS106</f>
        <v>0.18953211736716891</v>
      </c>
      <c r="AB538" s="39">
        <f>+Source!JT106</f>
        <v>0.15874439461883408</v>
      </c>
      <c r="AC538" s="39">
        <f>+Source!JU106</f>
        <v>0.13160854893138357</v>
      </c>
      <c r="AD538" s="39">
        <f>+Source!JV106</f>
        <v>0.11789297658862877</v>
      </c>
      <c r="AE538" s="39">
        <f>+Source!JW106</f>
        <v>0.15112540192926044</v>
      </c>
      <c r="AF538" s="39">
        <f>+Source!JX106</f>
        <v>0.15221579961464354</v>
      </c>
      <c r="AG538" s="39">
        <f>+Source!JY106</f>
        <v>0.12087227414330218</v>
      </c>
      <c r="AH538" s="39">
        <f>+Source!JZ106</f>
        <v>8.0255681818181823E-2</v>
      </c>
      <c r="AI538" s="39">
        <f>+Source!KA106</f>
        <v>4.2692939244663386E-2</v>
      </c>
      <c r="AJ538" s="39">
        <f>+Source!KB106</f>
        <v>0.21265822784810126</v>
      </c>
      <c r="AK538" s="39">
        <f>+Source!KC106</f>
        <v>0.25192943770672549</v>
      </c>
      <c r="AL538" s="39">
        <f>+Source!KD106</f>
        <v>0.26677852348993286</v>
      </c>
      <c r="AM538" s="39">
        <f>+Source!KE106</f>
        <v>0.20986358866736621</v>
      </c>
      <c r="AN538" s="39">
        <f>+Source!KF106</f>
        <v>0.26814882032667875</v>
      </c>
      <c r="AO538" s="39">
        <f>+Source!KG106</f>
        <v>0.16810344827586207</v>
      </c>
      <c r="AP538" s="39">
        <f>+Source!KH106</f>
        <v>0.16490765171503957</v>
      </c>
      <c r="AQ538" s="39">
        <f>+Source!KI106</f>
        <v>0.2</v>
      </c>
      <c r="AR538" s="39">
        <f>+Source!KJ106</f>
        <v>0.14169821525148729</v>
      </c>
      <c r="AS538" s="39">
        <f>+Source!KK106</f>
        <v>0.11801242236024845</v>
      </c>
      <c r="AT538" s="39">
        <f>+Source!KL106</f>
        <v>0.14204545454545456</v>
      </c>
      <c r="AU538" s="39">
        <f>+Source!KM106</f>
        <v>8.9449541284403675E-2</v>
      </c>
      <c r="AV538" s="39"/>
      <c r="AW538" s="39"/>
    </row>
    <row r="539" spans="2:49">
      <c r="B539" s="28" t="s">
        <v>140</v>
      </c>
      <c r="C539" s="435"/>
      <c r="D539" s="47" t="s">
        <v>20</v>
      </c>
      <c r="E539" s="47"/>
      <c r="F539" s="39">
        <f>+Source!IX107</f>
        <v>0.26293103448275862</v>
      </c>
      <c r="G539" s="39">
        <f>+Source!IY107</f>
        <v>0.12173913043478261</v>
      </c>
      <c r="H539" s="39">
        <f>+Source!IZ107</f>
        <v>0.33144475920679889</v>
      </c>
      <c r="I539" s="39">
        <f>+Source!JA107</f>
        <v>0.15286624203821655</v>
      </c>
      <c r="J539" s="39">
        <f>+Source!JB107</f>
        <v>0.109375</v>
      </c>
      <c r="K539" s="39">
        <f>+Source!JC107</f>
        <v>0.1437908496732026</v>
      </c>
      <c r="L539" s="39">
        <f>+Source!JD107</f>
        <v>0.12169312169312169</v>
      </c>
      <c r="M539" s="39">
        <f>+Source!JE107</f>
        <v>0.15525114155251141</v>
      </c>
      <c r="N539" s="456">
        <f>+Source!JF107</f>
        <v>2.478134110787172E-2</v>
      </c>
      <c r="O539" s="456">
        <f>+Source!JG107</f>
        <v>2.5544703230653644E-2</v>
      </c>
      <c r="P539" s="456">
        <f>+Source!JH107</f>
        <v>6.1391541609822645E-2</v>
      </c>
      <c r="Q539" s="456">
        <f>+Source!JI107</f>
        <v>2.7944111776447105E-2</v>
      </c>
      <c r="R539" s="456">
        <f>+Source!JJ107</f>
        <v>7.1332436069986543E-2</v>
      </c>
      <c r="S539" s="456">
        <f>+Source!JK107</f>
        <v>0.20318237454100369</v>
      </c>
      <c r="T539" s="456">
        <f>+Source!JL107</f>
        <v>0.13466666666666666</v>
      </c>
      <c r="U539" s="39">
        <f>+Source!JM107</f>
        <v>1.8482490272373541E-2</v>
      </c>
      <c r="V539" s="39">
        <f>+Source!JN107</f>
        <v>7.289293849658314E-2</v>
      </c>
      <c r="W539" s="39">
        <f>+Source!JO107</f>
        <v>0.27895981087470451</v>
      </c>
      <c r="X539" s="39">
        <f>+Source!JP107</f>
        <v>0.2289156626506024</v>
      </c>
      <c r="Y539" s="39">
        <f>+Source!JQ107</f>
        <v>0.18823529411764706</v>
      </c>
      <c r="Z539" s="39">
        <f>+Source!JR107</f>
        <v>0.17525773195876287</v>
      </c>
      <c r="AA539" s="39">
        <f>+Source!JS107</f>
        <v>0.37362637362637363</v>
      </c>
      <c r="AB539" s="39">
        <f>+Source!JT107</f>
        <v>0.44230769230769229</v>
      </c>
      <c r="AC539" s="39">
        <f>+Source!JU107</f>
        <v>0.57196969696969702</v>
      </c>
      <c r="AD539" s="39">
        <f>+Source!JV107</f>
        <v>0.15612648221343872</v>
      </c>
      <c r="AE539" s="39">
        <f>+Source!JW107</f>
        <v>0.21649484536082475</v>
      </c>
      <c r="AF539" s="39">
        <f>+Source!JX107</f>
        <v>0.22935779816513763</v>
      </c>
      <c r="AG539" s="39">
        <f>+Source!JY107</f>
        <v>0.13750000000000001</v>
      </c>
      <c r="AH539" s="39">
        <f>+Source!JZ107</f>
        <v>0.23387096774193547</v>
      </c>
      <c r="AI539" s="39">
        <f>+Source!KA107</f>
        <v>9.9290780141843976E-2</v>
      </c>
      <c r="AJ539" s="39">
        <f>+Source!KB107</f>
        <v>0.19653179190751446</v>
      </c>
      <c r="AK539" s="39">
        <f>+Source!KC107</f>
        <v>0.17948717948717949</v>
      </c>
      <c r="AL539" s="39">
        <f>+Source!KD107</f>
        <v>0.23076923076923078</v>
      </c>
      <c r="AM539" s="39">
        <f>+Source!KE107</f>
        <v>0.15714285714285714</v>
      </c>
      <c r="AN539" s="39">
        <f>+Source!KF107</f>
        <v>0.22435897435897437</v>
      </c>
      <c r="AO539" s="39">
        <f>+Source!KG107</f>
        <v>0.2857142857142857</v>
      </c>
      <c r="AP539" s="39">
        <f>+Source!KH107</f>
        <v>0.11324786324786325</v>
      </c>
      <c r="AQ539" s="39">
        <f>+Source!KI107</f>
        <v>0.20588235294117646</v>
      </c>
      <c r="AR539" s="39">
        <f>+Source!KJ107</f>
        <v>0.14507772020725387</v>
      </c>
      <c r="AS539" s="39">
        <f>+Source!KK107</f>
        <v>0.35060728744939273</v>
      </c>
      <c r="AT539" s="39">
        <f>+Source!KL107</f>
        <v>0.31140350877192985</v>
      </c>
      <c r="AU539" s="39">
        <f>+Source!KM107</f>
        <v>0.33958891867739055</v>
      </c>
      <c r="AV539" s="39"/>
      <c r="AW539" s="39"/>
    </row>
    <row r="540" spans="2:49">
      <c r="B540" s="28" t="s">
        <v>135</v>
      </c>
      <c r="C540" s="435"/>
      <c r="D540" s="47" t="s">
        <v>23</v>
      </c>
      <c r="E540" s="47"/>
      <c r="F540" s="39">
        <f>+Source!IX108</f>
        <v>9.6899224806201556E-2</v>
      </c>
      <c r="G540" s="39">
        <f>+Source!IY108</f>
        <v>0.15517241379310345</v>
      </c>
      <c r="H540" s="39">
        <f>+Source!IZ108</f>
        <v>0.10561056105610561</v>
      </c>
      <c r="I540" s="39">
        <f>+Source!JA108</f>
        <v>4.9342105263157895E-2</v>
      </c>
      <c r="J540" s="39">
        <f>+Source!JB108</f>
        <v>8.4951456310679616E-2</v>
      </c>
      <c r="K540" s="39">
        <f>+Source!JC108</f>
        <v>0.14388489208633093</v>
      </c>
      <c r="L540" s="39">
        <f>+Source!JD108</f>
        <v>0.14882032667876588</v>
      </c>
      <c r="M540" s="39">
        <f>+Source!JE108</f>
        <v>0.23121387283236994</v>
      </c>
      <c r="N540" s="456">
        <f>+Source!JF108</f>
        <v>0.20458015267175572</v>
      </c>
      <c r="O540" s="456">
        <f>+Source!JG108</f>
        <v>0.19516129032258064</v>
      </c>
      <c r="P540" s="456">
        <f>+Source!JH108</f>
        <v>0.19639278557114229</v>
      </c>
      <c r="Q540" s="456">
        <f>+Source!JI108</f>
        <v>0.26213592233009708</v>
      </c>
      <c r="R540" s="456">
        <f>+Source!JJ108</f>
        <v>0.24778761061946902</v>
      </c>
      <c r="S540" s="456">
        <f>+Source!JK108</f>
        <v>0.26862302483069977</v>
      </c>
      <c r="T540" s="456">
        <f>+Source!JL108</f>
        <v>0.28883495145631066</v>
      </c>
      <c r="U540" s="39">
        <f>+Source!JM108</f>
        <v>0.36956521739130432</v>
      </c>
      <c r="V540" s="39">
        <f>+Source!JN108</f>
        <v>0.10714285714285714</v>
      </c>
      <c r="W540" s="39">
        <f>+Source!JO108</f>
        <v>0.16157205240174671</v>
      </c>
      <c r="X540" s="39">
        <f>+Source!JP108</f>
        <v>0.16332378223495703</v>
      </c>
      <c r="Y540" s="39">
        <f>+Source!JQ108</f>
        <v>0.14986376021798364</v>
      </c>
      <c r="Z540" s="39">
        <f>+Source!JR108</f>
        <v>0.21169354838709678</v>
      </c>
      <c r="AA540" s="39">
        <f>+Source!JS108</f>
        <v>0.20661157024793389</v>
      </c>
      <c r="AB540" s="39">
        <f>+Source!JT108</f>
        <v>0.23772609819121446</v>
      </c>
      <c r="AC540" s="39">
        <f>+Source!JU108</f>
        <v>0.20883534136546184</v>
      </c>
      <c r="AD540" s="39">
        <f>+Source!JV108</f>
        <v>0.20891364902506965</v>
      </c>
      <c r="AE540" s="39">
        <f>+Source!JW108</f>
        <v>0.24378109452736318</v>
      </c>
      <c r="AF540" s="39">
        <f>+Source!JX108</f>
        <v>0.27777777777777779</v>
      </c>
      <c r="AG540" s="39">
        <f>+Source!JY108</f>
        <v>0.24932975871313673</v>
      </c>
      <c r="AH540" s="39">
        <f>+Source!JZ108</f>
        <v>0.17241379310344829</v>
      </c>
      <c r="AI540" s="39">
        <f>+Source!KA108</f>
        <v>0.22321428571428573</v>
      </c>
      <c r="AJ540" s="39">
        <f>+Source!KB108</f>
        <v>0.19805825242718447</v>
      </c>
      <c r="AK540" s="39">
        <f>+Source!KC108</f>
        <v>0.14655172413793102</v>
      </c>
      <c r="AL540" s="39">
        <f>+Source!KD108</f>
        <v>0.16268980477223427</v>
      </c>
      <c r="AM540" s="39">
        <f>+Source!KE108</f>
        <v>0.15088757396449703</v>
      </c>
      <c r="AN540" s="39">
        <f>+Source!KF108</f>
        <v>0.18615751789976134</v>
      </c>
      <c r="AO540" s="39">
        <f>+Source!KG108</f>
        <v>0.13527851458885942</v>
      </c>
      <c r="AP540" s="39">
        <f>+Source!KH108</f>
        <v>8.4112149532710276E-2</v>
      </c>
      <c r="AQ540" s="39">
        <f>+Source!KI108</f>
        <v>0.10416666666666667</v>
      </c>
      <c r="AR540" s="39">
        <f>+Source!KJ108</f>
        <v>0.13854351687388988</v>
      </c>
      <c r="AS540" s="39">
        <f>+Source!KK108</f>
        <v>0.1455223880597015</v>
      </c>
      <c r="AT540" s="39">
        <f>+Source!KL108</f>
        <v>0.19889502762430938</v>
      </c>
      <c r="AU540" s="39">
        <f>+Source!KM108</f>
        <v>0.28497409326424872</v>
      </c>
      <c r="AV540" s="39"/>
      <c r="AW540" s="39"/>
    </row>
    <row r="541" spans="2:49" ht="14.4" thickBot="1">
      <c r="C541" s="436"/>
      <c r="D541" s="49" t="s">
        <v>63</v>
      </c>
      <c r="E541" s="49"/>
      <c r="F541" s="43">
        <f>SUM(Source!IX49:IX50,Source!IX53,Source!IX56)/SUM(Source!IX6:IX7,Source!IX10,Source!IX13)</f>
        <v>8.0100755667506296E-2</v>
      </c>
      <c r="G541" s="43">
        <f>SUM(Source!IY49:IY50,Source!IY53,Source!IY56)/SUM(Source!IY6:IY7,Source!IY10,Source!IY13)</f>
        <v>7.6869484440315841E-2</v>
      </c>
      <c r="H541" s="43">
        <f>SUM(Source!IZ49:IZ50,Source!IZ53,Source!IZ56)/SUM(Source!IZ6:IZ7,Source!IZ10,Source!IZ13)</f>
        <v>0.11059722501508144</v>
      </c>
      <c r="I541" s="43">
        <f>SUM(Source!JA49:JA50,Source!JA53,Source!JA56)/SUM(Source!JA6:JA7,Source!JA10,Source!JA13)</f>
        <v>0.12571745972967968</v>
      </c>
      <c r="J541" s="43">
        <f>SUM(Source!JB49:JB50,Source!JB53,Source!JB56)/SUM(Source!JB6:JB7,Source!JB10,Source!JB13)</f>
        <v>0.11547392864682289</v>
      </c>
      <c r="K541" s="43">
        <f>SUM(Source!JC49:JC50,Source!JC53,Source!JC56)/SUM(Source!JC6:JC7,Source!JC10,Source!JC13)</f>
        <v>0.1779845575133637</v>
      </c>
      <c r="L541" s="43">
        <f>SUM(Source!JD49:JD50,Source!JD53,Source!JD56)/SUM(Source!JD6:JD7,Source!JD10,Source!JD13)</f>
        <v>9.8246211476247236E-2</v>
      </c>
      <c r="M541" s="43">
        <f>SUM(Source!JE49:JE50,Source!JE53,Source!JE56)/SUM(Source!JE6:JE7,Source!JE10,Source!JE13)</f>
        <v>0.11151676070361766</v>
      </c>
      <c r="N541" s="458">
        <f>SUM(Source!JF49:JF50,Source!JF53,Source!JF56)/SUM(Source!JF6:JF7,Source!JF10,Source!JF13)</f>
        <v>0.1003057213568205</v>
      </c>
      <c r="O541" s="458">
        <f>SUM(Source!JG49:JG50,Source!JG53,Source!JG56)/SUM(Source!JG6:JG7,Source!JG10,Source!JG13)</f>
        <v>6.7584139528546125E-2</v>
      </c>
      <c r="P541" s="458">
        <f>SUM(Source!JH49:JH50,Source!JH53,Source!JH56)/SUM(Source!JH6:JH7,Source!JH10,Source!JH13)</f>
        <v>0.1141559424678274</v>
      </c>
      <c r="Q541" s="458">
        <f>SUM(Source!JI49:JI50,Source!JI53,Source!JI56)/SUM(Source!JI6:JI7,Source!JI10,Source!JI13)</f>
        <v>0.14435606701641562</v>
      </c>
      <c r="R541" s="458">
        <f>SUM(Source!JJ49:JJ50,Source!JJ53,Source!JJ56)/SUM(Source!JJ6:JJ7,Source!JJ10,Source!JJ13)</f>
        <v>0.16608513607815772</v>
      </c>
      <c r="S541" s="458">
        <f>SUM(Source!JK49:JK50,Source!JK53,Source!JK56)/SUM(Source!JK6:JK7,Source!JK10,Source!JK13)</f>
        <v>0.18164762067201093</v>
      </c>
      <c r="T541" s="458">
        <f>SUM(Source!JL49:JL50,Source!JL53,Source!JL56)/SUM(Source!JL6:JL7,Source!JL10,Source!JL13)</f>
        <v>0.22406148389003844</v>
      </c>
      <c r="U541" s="43">
        <f>SUM(Source!JM49:JM50,Source!JM53,Source!JM56)/SUM(Source!JM6:JM7,Source!JM10,Source!JM13)</f>
        <v>0.15307930881701373</v>
      </c>
      <c r="V541" s="43">
        <f>SUM(Source!JN49:JN50,Source!JN53,Source!JN56)/SUM(Source!JN6:JN7,Source!JN10,Source!JN13)</f>
        <v>0.11844284925455549</v>
      </c>
      <c r="W541" s="43">
        <f>SUM(Source!JO49:JO50,Source!JO53,Source!JO56)/SUM(Source!JO6:JO7,Source!JO10,Source!JO13)</f>
        <v>0.11706464764123471</v>
      </c>
      <c r="X541" s="43">
        <f>SUM(Source!JP49:JP50,Source!JP53,Source!JP56)/SUM(Source!JP6:JP7,Source!JP10,Source!JP13)</f>
        <v>0.12227488151658768</v>
      </c>
      <c r="Y541" s="43">
        <f>SUM(Source!JQ49:JQ50,Source!JQ53,Source!JQ56)/SUM(Source!JQ6:JQ7,Source!JQ10,Source!JQ13)</f>
        <v>0.13292682926829269</v>
      </c>
      <c r="Z541" s="43">
        <f>SUM(Source!JR49:JR50,Source!JR53,Source!JR56)/SUM(Source!JR6:JR7,Source!JR10,Source!JR13)</f>
        <v>0.1842622950819672</v>
      </c>
      <c r="AA541" s="43">
        <f>SUM(Source!JS49:JS50,Source!JS53,Source!JS56)/SUM(Source!JS6:JS7,Source!JS10,Source!JS13)</f>
        <v>0.16027874564459929</v>
      </c>
      <c r="AB541" s="43">
        <f>SUM(Source!JT49:JT50,Source!JT53,Source!JT56)/SUM(Source!JT6:JT7,Source!JT10,Source!JT13)</f>
        <v>0.16230979321108077</v>
      </c>
      <c r="AC541" s="43">
        <f>SUM(Source!JU49:JU50,Source!JU53,Source!JU56)/SUM(Source!JU6:JU7,Source!JU10,Source!JU13)</f>
        <v>0.15785679961556945</v>
      </c>
      <c r="AD541" s="43">
        <f>SUM(Source!JV49:JV50,Source!JV53,Source!JV56)/SUM(Source!JV6:JV7,Source!JV10,Source!JV13)</f>
        <v>0.12106811495813533</v>
      </c>
      <c r="AE541" s="43">
        <f>SUM(Source!JW49:JW50,Source!JW53,Source!JW56)/SUM(Source!JW6:JW7,Source!JW10,Source!JW13)</f>
        <v>0.12888888888888889</v>
      </c>
      <c r="AF541" s="43">
        <f>SUM(Source!JX49:JX50,Source!JX53,Source!JX56)/SUM(Source!JX6:JX7,Source!JX10,Source!JX13)</f>
        <v>0.12362493452069147</v>
      </c>
      <c r="AG541" s="43">
        <f>SUM(Source!JY49:JY50,Source!JY53,Source!JY56)/SUM(Source!JY6:JY7,Source!JY10,Source!JY13)</f>
        <v>0.15272045028142589</v>
      </c>
      <c r="AH541" s="43">
        <f>SUM(Source!JZ49:JZ50,Source!JZ53,Source!JZ56)/SUM(Source!JZ6:JZ7,Source!JZ10,Source!JZ13)</f>
        <v>0.1251778093883357</v>
      </c>
      <c r="AI541" s="43">
        <f>SUM(Source!KA49:KA50,Source!KA53,Source!KA56)/SUM(Source!KA6:KA7,Source!KA10,Source!KA13)</f>
        <v>0.11022871664548919</v>
      </c>
      <c r="AJ541" s="43">
        <f>SUM(Source!KB49:KB50,Source!KB53,Source!KB56)/SUM(Source!KB6:KB7,Source!KB10,Source!KB13)</f>
        <v>0.15202702702702703</v>
      </c>
      <c r="AK541" s="43">
        <f>SUM(Source!KC49:KC50,Source!KC53,Source!KC56)/SUM(Source!KC6:KC7,Source!KC10,Source!KC13)</f>
        <v>0.17159071941245202</v>
      </c>
      <c r="AL541" s="43">
        <f>SUM(Source!KD49:KD50,Source!KD53,Source!KD56)/SUM(Source!KD6:KD7,Source!KD10,Source!KD13)</f>
        <v>0.18728254349130175</v>
      </c>
      <c r="AM541" s="43">
        <f>SUM(Source!KE49:KE50,Source!KE53,Source!KE56)/SUM(Source!KE6:KE7,Source!KE10,Source!KE13)</f>
        <v>0.17376222011983603</v>
      </c>
      <c r="AN541" s="43">
        <f>SUM(Source!KF49:KF50,Source!KF53,Source!KF56)/SUM(Source!KF6:KF7,Source!KF10,Source!KF13)</f>
        <v>0.21157118547929665</v>
      </c>
      <c r="AO541" s="43">
        <f>SUM(Source!KG49:KG50,Source!KG53,Source!KG56)/SUM(Source!KG6:KG7,Source!KG10,Source!KG13)</f>
        <v>0.1595835104122397</v>
      </c>
      <c r="AP541" s="43">
        <f>SUM(Source!KH49:KH50,Source!KH53,Source!KH56)/SUM(Source!KH6:KH7,Source!KH10,Source!KH13)</f>
        <v>0.11451863354037267</v>
      </c>
      <c r="AQ541" s="43">
        <f>SUM(Source!KI49:KI50,Source!KI53,Source!KI56)/SUM(Source!KI6:KI7,Source!KI10,Source!KI13)</f>
        <v>0.13215208564045774</v>
      </c>
      <c r="AR541" s="43">
        <f>SUM(Source!KJ49:KJ50,Source!KJ53,Source!KJ56)/SUM(Source!KJ6:KJ7,Source!KJ10,Source!KJ13)</f>
        <v>0.11357800936414439</v>
      </c>
      <c r="AS541" s="43">
        <f>SUM(Source!KK49:KK50,Source!KK53,Source!KK56)/SUM(Source!KK6:KK7,Source!KK10,Source!KK13)</f>
        <v>0.15860979462875197</v>
      </c>
      <c r="AT541" s="43">
        <f>SUM(Source!KL49:KL50,Source!KL53,Source!KL56)/SUM(Source!KL6:KL7,Source!KL10,Source!KL13)</f>
        <v>0.1747787610619469</v>
      </c>
      <c r="AU541" s="43">
        <f>SUM(Source!KM49:KM50,Source!KM53,Source!KM56)/SUM(Source!KM6:KM7,Source!KM10,Source!KM13)</f>
        <v>0.14976924222122973</v>
      </c>
      <c r="AV541" s="43"/>
      <c r="AW541" s="43"/>
    </row>
    <row r="542" spans="2:49" ht="14.4" thickTop="1">
      <c r="C542" s="252"/>
    </row>
    <row r="543" spans="2:49">
      <c r="C543" s="252"/>
    </row>
    <row r="544" spans="2:49">
      <c r="C544" s="252"/>
    </row>
    <row r="545" spans="2:10" ht="14.4" thickBot="1">
      <c r="C545" s="252"/>
      <c r="I545" s="28"/>
      <c r="J545" s="28"/>
    </row>
    <row r="546" spans="2:10" ht="15" thickTop="1" thickBot="1">
      <c r="C546" s="252"/>
      <c r="F546" s="747">
        <v>44926</v>
      </c>
      <c r="G546" s="747">
        <v>44926</v>
      </c>
      <c r="H546" s="747">
        <v>45291</v>
      </c>
    </row>
    <row r="547" spans="2:10" ht="14.4" thickTop="1">
      <c r="C547" s="463" t="s">
        <v>358</v>
      </c>
      <c r="D547" s="45" t="s">
        <v>64</v>
      </c>
      <c r="E547" s="45"/>
      <c r="F547" s="198">
        <f>SUM(F555,F560)</f>
        <v>1293</v>
      </c>
      <c r="G547" s="198">
        <f>SUM(G555,G560)</f>
        <v>992</v>
      </c>
      <c r="H547" s="198">
        <f>SUM(H555,H560)</f>
        <v>1038</v>
      </c>
    </row>
    <row r="548" spans="2:10">
      <c r="B548" s="28" t="s">
        <v>131</v>
      </c>
      <c r="C548" s="435" t="s">
        <v>359</v>
      </c>
      <c r="D548" s="47" t="s">
        <v>13</v>
      </c>
      <c r="E548" s="47"/>
      <c r="F548" s="126">
        <f>+SUMIFS(Equipement_Efficité!$D:$D,Equipement_Efficité!$A:$A,F$546,Equipement_Efficité!$B:$B,'Tableau détaillé'!$B548)</f>
        <v>303</v>
      </c>
      <c r="G548" s="126">
        <v>192</v>
      </c>
      <c r="H548" s="126">
        <v>192</v>
      </c>
    </row>
    <row r="549" spans="2:10">
      <c r="B549" s="28" t="s">
        <v>136</v>
      </c>
      <c r="C549" s="435"/>
      <c r="D549" s="47" t="s">
        <v>14</v>
      </c>
      <c r="E549" s="47"/>
      <c r="F549" s="126">
        <f>+SUMIFS(Equipement_Efficité!$D:$D,Equipement_Efficité!$A:$A,F$546,Equipement_Efficité!$B:$B,'Tableau détaillé'!$B549)</f>
        <v>162</v>
      </c>
      <c r="G549" s="126">
        <v>98</v>
      </c>
      <c r="H549" s="126">
        <v>98</v>
      </c>
    </row>
    <row r="550" spans="2:10">
      <c r="B550" s="28" t="s">
        <v>141</v>
      </c>
      <c r="C550" s="435"/>
      <c r="D550" s="47" t="s">
        <v>17</v>
      </c>
      <c r="E550" s="47"/>
      <c r="F550" s="126">
        <f>+SUMIFS(Equipement_Efficité!$D:$D,Equipement_Efficité!$A:$A,F$546,Equipement_Efficité!$B:$B,'Tableau détaillé'!$B550)</f>
        <v>169</v>
      </c>
      <c r="G550" s="126">
        <v>102</v>
      </c>
      <c r="H550" s="126">
        <v>102</v>
      </c>
    </row>
    <row r="551" spans="2:10">
      <c r="B551" s="28" t="s">
        <v>124</v>
      </c>
      <c r="C551" s="435"/>
      <c r="D551" s="47" t="s">
        <v>18</v>
      </c>
      <c r="E551" s="47"/>
      <c r="F551" s="126">
        <f>+SUMIFS(Equipement_Efficité!$D:$D,Equipement_Efficité!$A:$A,F$546,Equipement_Efficité!$B:$B,'Tableau détaillé'!$B551)</f>
        <v>76</v>
      </c>
      <c r="G551" s="126">
        <v>32</v>
      </c>
      <c r="H551" s="126">
        <v>32</v>
      </c>
    </row>
    <row r="552" spans="2:10">
      <c r="B552" s="28" t="s">
        <v>137</v>
      </c>
      <c r="C552" s="435"/>
      <c r="D552" s="47" t="s">
        <v>19</v>
      </c>
      <c r="E552" s="47"/>
      <c r="F552" s="126">
        <f>+SUMIFS(Equipement_Efficité!$D:$D,Equipement_Efficité!$A:$A,F$546,Equipement_Efficité!$B:$B,'Tableau détaillé'!$B552)</f>
        <v>70</v>
      </c>
      <c r="G552" s="126">
        <v>52</v>
      </c>
      <c r="H552" s="126">
        <v>52</v>
      </c>
    </row>
    <row r="553" spans="2:10">
      <c r="B553" s="28" t="s">
        <v>123</v>
      </c>
      <c r="C553" s="435"/>
      <c r="D553" s="47" t="s">
        <v>21</v>
      </c>
      <c r="E553" s="47"/>
      <c r="F553" s="126">
        <f>+SUMIFS(Equipement_Efficité!$D:$D,Equipement_Efficité!$A:$A,F$546,Equipement_Efficité!$B:$B,'Tableau détaillé'!$B553)</f>
        <v>16</v>
      </c>
      <c r="G553" s="126">
        <v>20</v>
      </c>
      <c r="H553" s="126">
        <v>20</v>
      </c>
    </row>
    <row r="554" spans="2:10">
      <c r="B554" s="28" t="s">
        <v>139</v>
      </c>
      <c r="C554" s="435"/>
      <c r="D554" s="47" t="s">
        <v>22</v>
      </c>
      <c r="E554" s="47"/>
      <c r="F554" s="126">
        <f>+SUMIFS(Equipement_Efficité!$D:$D,Equipement_Efficité!$A:$A,F$546,Equipement_Efficité!$B:$B,'Tableau détaillé'!$B554)</f>
        <v>25</v>
      </c>
      <c r="G554" s="126">
        <v>23</v>
      </c>
      <c r="H554" s="126">
        <v>23</v>
      </c>
    </row>
    <row r="555" spans="2:10">
      <c r="C555" s="435"/>
      <c r="D555" s="48" t="s">
        <v>62</v>
      </c>
      <c r="E555" s="48"/>
      <c r="F555" s="124">
        <f>SUM(F548:F554)</f>
        <v>821</v>
      </c>
      <c r="G555" s="124">
        <f>SUM(G548:G554)</f>
        <v>519</v>
      </c>
      <c r="H555" s="124">
        <f>SUM(H548:H554)</f>
        <v>519</v>
      </c>
    </row>
    <row r="556" spans="2:10">
      <c r="B556" s="28" t="s">
        <v>138</v>
      </c>
      <c r="C556" s="435"/>
      <c r="D556" s="47" t="s">
        <v>15</v>
      </c>
      <c r="E556" s="47"/>
      <c r="F556" s="126">
        <f>+SUMIFS(Equipement_Efficité!$D:$D,Equipement_Efficité!$A:$A,F$546,Equipement_Efficité!$B:$B,'Tableau détaillé'!$B556)</f>
        <v>313</v>
      </c>
      <c r="G556" s="126">
        <f>+SUMIFS(Equipement_Efficité!$D:$D,Equipement_Efficité!$A:$A,G$546,Equipement_Efficité!$B:$B,'Tableau détaillé'!$B556)</f>
        <v>313</v>
      </c>
      <c r="H556" s="126">
        <f>+SUMIFS(Equipement_Efficité!$D:$D,Equipement_Efficité!$A:$A,H$546,Equipement_Efficité!$B:$B,'Tableau détaillé'!$B556)</f>
        <v>272</v>
      </c>
    </row>
    <row r="557" spans="2:10">
      <c r="B557" s="28" t="s">
        <v>132</v>
      </c>
      <c r="C557" s="435"/>
      <c r="D557" s="47" t="s">
        <v>16</v>
      </c>
      <c r="E557" s="47"/>
      <c r="F557" s="262">
        <v>116</v>
      </c>
      <c r="G557" s="262">
        <v>116</v>
      </c>
      <c r="H557" s="262">
        <v>117</v>
      </c>
    </row>
    <row r="558" spans="2:10">
      <c r="B558" s="28" t="s">
        <v>140</v>
      </c>
      <c r="C558" s="435"/>
      <c r="D558" s="47" t="s">
        <v>20</v>
      </c>
      <c r="E558" s="47"/>
      <c r="F558" s="262">
        <v>32</v>
      </c>
      <c r="G558" s="262">
        <v>33</v>
      </c>
      <c r="H558" s="262">
        <v>31</v>
      </c>
    </row>
    <row r="559" spans="2:10">
      <c r="B559" s="28" t="s">
        <v>135</v>
      </c>
      <c r="C559" s="435"/>
      <c r="D559" s="47" t="s">
        <v>23</v>
      </c>
      <c r="E559" s="47"/>
      <c r="F559" s="126">
        <f>+SUMIFS(Equipement_Efficité!$D:$D,Equipement_Efficité!$A:$A,F$546,Equipement_Efficité!$B:$B,'Tableau détaillé'!$B559)</f>
        <v>11</v>
      </c>
      <c r="G559" s="126">
        <f>+SUMIFS(Equipement_Efficité!$D:$D,Equipement_Efficité!$A:$A,G$546,Equipement_Efficité!$B:$B,'Tableau détaillé'!$B559)</f>
        <v>11</v>
      </c>
      <c r="H559" s="126">
        <f>+SUMIFS(Equipement_Efficité!$D:$D,Equipement_Efficité!$A:$A,H$546,Equipement_Efficité!$B:$B,'Tableau détaillé'!$B559)</f>
        <v>99</v>
      </c>
    </row>
    <row r="560" spans="2:10" ht="14.4" thickBot="1">
      <c r="C560" s="436"/>
      <c r="D560" s="49" t="s">
        <v>63</v>
      </c>
      <c r="E560" s="49"/>
      <c r="F560" s="129">
        <f>SUM(F556:F559)</f>
        <v>472</v>
      </c>
      <c r="G560" s="129">
        <f>SUM(G556:G559)</f>
        <v>473</v>
      </c>
      <c r="H560" s="129">
        <f>SUM(H556:H559)</f>
        <v>519</v>
      </c>
    </row>
    <row r="561" spans="2:12" ht="15" thickTop="1" thickBot="1">
      <c r="C561" s="252"/>
    </row>
    <row r="562" spans="2:12" ht="28.8" thickTop="1" thickBot="1">
      <c r="C562" s="252"/>
      <c r="J562" s="174" t="s">
        <v>364</v>
      </c>
      <c r="K562" s="175" t="s">
        <v>152</v>
      </c>
      <c r="L562" s="175" t="s">
        <v>365</v>
      </c>
    </row>
    <row r="563" spans="2:12" ht="15" thickTop="1" thickBot="1">
      <c r="C563" s="252"/>
      <c r="F563" s="261">
        <v>44196</v>
      </c>
      <c r="G563" s="747">
        <v>44926</v>
      </c>
      <c r="H563" s="261" t="s">
        <v>497</v>
      </c>
      <c r="I563" s="747">
        <v>45291</v>
      </c>
    </row>
    <row r="564" spans="2:12" ht="14.4" thickTop="1">
      <c r="C564" s="463" t="s">
        <v>25</v>
      </c>
      <c r="D564" s="45" t="s">
        <v>64</v>
      </c>
      <c r="E564" s="45"/>
      <c r="F564" s="124"/>
      <c r="G564" s="124">
        <f t="shared" ref="G564" si="93">SUM(G572,G577)</f>
        <v>2081971</v>
      </c>
      <c r="H564" s="124"/>
      <c r="I564" s="124">
        <f>SUM(I572,I577)</f>
        <v>2361863</v>
      </c>
      <c r="J564" s="103"/>
      <c r="K564" s="165">
        <f t="shared" ref="K564:K577" si="94">+I564/G564-1</f>
        <v>0.13443607043517902</v>
      </c>
      <c r="L564" s="103"/>
    </row>
    <row r="565" spans="2:12">
      <c r="B565" s="28" t="s">
        <v>131</v>
      </c>
      <c r="C565" s="435" t="s">
        <v>360</v>
      </c>
      <c r="D565" s="47" t="s">
        <v>13</v>
      </c>
      <c r="E565" s="47"/>
      <c r="F565" s="126"/>
      <c r="G565" s="126">
        <f>+SUMIFS(Equipement_Efficité!$O:$O,Equipement_Efficité!$B:$B,'Tableau détaillé'!$B565)</f>
        <v>501043</v>
      </c>
      <c r="H565" s="126"/>
      <c r="I565" s="126">
        <f>+SUMIFS(Equipement_Efficité!$N:$N,Equipement_Efficité!$B:$B,'Tableau détaillé'!$B565)</f>
        <v>726144</v>
      </c>
      <c r="J565" s="163"/>
      <c r="K565" s="164">
        <f t="shared" si="94"/>
        <v>0.44926483355719959</v>
      </c>
      <c r="L565" s="163"/>
    </row>
    <row r="566" spans="2:12">
      <c r="B566" s="28" t="s">
        <v>136</v>
      </c>
      <c r="C566" s="435"/>
      <c r="D566" s="47" t="s">
        <v>14</v>
      </c>
      <c r="E566" s="47"/>
      <c r="F566" s="126"/>
      <c r="G566" s="126">
        <f>+SUMIFS(Equipement_Efficité!$O:$O,Equipement_Efficité!$B:$B,'Tableau détaillé'!$B566)</f>
        <v>142820</v>
      </c>
      <c r="H566" s="126"/>
      <c r="I566" s="126">
        <f>+SUMIFS(Equipement_Efficité!$N:$N,Equipement_Efficité!$B:$B,'Tableau détaillé'!$B566)</f>
        <v>141059</v>
      </c>
      <c r="J566" s="163"/>
      <c r="K566" s="164">
        <f t="shared" si="94"/>
        <v>-1.2330205853521958E-2</v>
      </c>
      <c r="L566" s="163"/>
    </row>
    <row r="567" spans="2:12">
      <c r="B567" s="28" t="s">
        <v>141</v>
      </c>
      <c r="C567" s="435"/>
      <c r="D567" s="47" t="s">
        <v>17</v>
      </c>
      <c r="E567" s="47"/>
      <c r="F567" s="126"/>
      <c r="G567" s="126">
        <f>+SUMIFS(Equipement_Efficité!$O:$O,Equipement_Efficité!$B:$B,'Tableau détaillé'!$B567)</f>
        <v>144983</v>
      </c>
      <c r="H567" s="126"/>
      <c r="I567" s="126">
        <f>+SUMIFS(Equipement_Efficité!$N:$N,Equipement_Efficité!$B:$B,'Tableau détaillé'!$B567)</f>
        <v>139263</v>
      </c>
      <c r="J567" s="163"/>
      <c r="K567" s="164">
        <f t="shared" si="94"/>
        <v>-3.9452901374643967E-2</v>
      </c>
      <c r="L567" s="163"/>
    </row>
    <row r="568" spans="2:12">
      <c r="B568" s="28" t="s">
        <v>124</v>
      </c>
      <c r="C568" s="435"/>
      <c r="D568" s="47" t="s">
        <v>18</v>
      </c>
      <c r="E568" s="47"/>
      <c r="F568" s="126"/>
      <c r="G568" s="126">
        <f>+SUMIFS(Equipement_Efficité!$O:$O,Equipement_Efficité!$B:$B,'Tableau détaillé'!$B568)</f>
        <v>141663</v>
      </c>
      <c r="H568" s="126"/>
      <c r="I568" s="126">
        <f>+SUMIFS(Equipement_Efficité!$N:$N,Equipement_Efficité!$B:$B,'Tableau détaillé'!$B568)</f>
        <v>71491</v>
      </c>
      <c r="J568" s="163"/>
      <c r="K568" s="164">
        <f t="shared" si="94"/>
        <v>-0.49534458538926884</v>
      </c>
      <c r="L568" s="163"/>
    </row>
    <row r="569" spans="2:12">
      <c r="B569" s="28" t="s">
        <v>137</v>
      </c>
      <c r="C569" s="435"/>
      <c r="D569" s="47" t="s">
        <v>19</v>
      </c>
      <c r="E569" s="47"/>
      <c r="F569" s="126"/>
      <c r="G569" s="126">
        <f>+SUMIFS(Equipement_Efficité!$O:$O,Equipement_Efficité!$B:$B,'Tableau détaillé'!$B569)</f>
        <v>44192</v>
      </c>
      <c r="H569" s="126"/>
      <c r="I569" s="126">
        <f>+SUMIFS(Equipement_Efficité!$N:$N,Equipement_Efficité!$B:$B,'Tableau détaillé'!$B569)</f>
        <v>29549</v>
      </c>
      <c r="J569" s="163"/>
      <c r="K569" s="164">
        <f t="shared" si="94"/>
        <v>-0.33134956553222306</v>
      </c>
      <c r="L569" s="163"/>
    </row>
    <row r="570" spans="2:12">
      <c r="B570" s="28" t="s">
        <v>123</v>
      </c>
      <c r="C570" s="435"/>
      <c r="D570" s="47" t="s">
        <v>21</v>
      </c>
      <c r="E570" s="47"/>
      <c r="F570" s="126"/>
      <c r="G570" s="126">
        <f>+SUMIFS(Equipement_Efficité!$O:$O,Equipement_Efficité!$B:$B,'Tableau détaillé'!$B570)</f>
        <v>50339</v>
      </c>
      <c r="H570" s="126"/>
      <c r="I570" s="126">
        <f>+SUMIFS(Equipement_Efficité!$N:$N,Equipement_Efficité!$B:$B,'Tableau détaillé'!$B570)</f>
        <v>16634</v>
      </c>
      <c r="J570" s="163"/>
      <c r="K570" s="164">
        <f t="shared" si="94"/>
        <v>-0.66956038061940049</v>
      </c>
      <c r="L570" s="163"/>
    </row>
    <row r="571" spans="2:12">
      <c r="B571" s="28" t="s">
        <v>139</v>
      </c>
      <c r="C571" s="435"/>
      <c r="D571" s="47" t="s">
        <v>22</v>
      </c>
      <c r="E571" s="47"/>
      <c r="F571" s="126"/>
      <c r="G571" s="126">
        <f>+SUMIFS(Equipement_Efficité!$O:$O,Equipement_Efficité!$B:$B,'Tableau détaillé'!$B571)</f>
        <v>36180</v>
      </c>
      <c r="H571" s="126"/>
      <c r="I571" s="126">
        <f>+SUMIFS(Equipement_Efficité!$N:$N,Equipement_Efficité!$B:$B,'Tableau détaillé'!$B571)</f>
        <v>34126</v>
      </c>
      <c r="J571" s="163"/>
      <c r="K571" s="164">
        <f t="shared" si="94"/>
        <v>-5.6771697070204574E-2</v>
      </c>
      <c r="L571" s="163"/>
    </row>
    <row r="572" spans="2:12">
      <c r="C572" s="435"/>
      <c r="D572" s="48" t="s">
        <v>62</v>
      </c>
      <c r="E572" s="48"/>
      <c r="F572" s="124"/>
      <c r="G572" s="124">
        <f t="shared" ref="G572" si="95">SUM(G565:G571)</f>
        <v>1061220</v>
      </c>
      <c r="H572" s="124"/>
      <c r="I572" s="124">
        <f>SUM(I565:I571)</f>
        <v>1158266</v>
      </c>
      <c r="J572" s="103"/>
      <c r="K572" s="165">
        <f t="shared" si="94"/>
        <v>9.1447579201296536E-2</v>
      </c>
      <c r="L572" s="103"/>
    </row>
    <row r="573" spans="2:12">
      <c r="B573" s="28" t="s">
        <v>138</v>
      </c>
      <c r="C573" s="435"/>
      <c r="D573" s="47" t="s">
        <v>15</v>
      </c>
      <c r="E573" s="47"/>
      <c r="F573" s="126"/>
      <c r="G573" s="126">
        <f>+SUMIFS(Equipement_Efficité!$O:$O,Equipement_Efficité!$B:$B,'Tableau détaillé'!$B573)</f>
        <v>517965</v>
      </c>
      <c r="H573" s="126"/>
      <c r="I573" s="126">
        <f>+SUMIFS(Equipement_Efficité!$N:$N,Equipement_Efficité!$B:$B,'Tableau détaillé'!$B573)</f>
        <v>593715</v>
      </c>
      <c r="J573" s="163"/>
      <c r="K573" s="164">
        <f t="shared" si="94"/>
        <v>0.14624540268164843</v>
      </c>
      <c r="L573" s="163"/>
    </row>
    <row r="574" spans="2:12">
      <c r="B574" s="28" t="s">
        <v>132</v>
      </c>
      <c r="C574" s="435"/>
      <c r="D574" s="47" t="s">
        <v>16</v>
      </c>
      <c r="E574" s="47"/>
      <c r="F574" s="126"/>
      <c r="G574" s="126">
        <f>+SUMIFS(Equipement_Efficité!$O:$O,Equipement_Efficité!$B:$B,'Tableau détaillé'!$B574)</f>
        <v>422016</v>
      </c>
      <c r="H574" s="126"/>
      <c r="I574" s="126">
        <f>+SUMIFS(Equipement_Efficité!$N:$N,Equipement_Efficité!$B:$B,'Tableau détaillé'!$B574)</f>
        <v>521313</v>
      </c>
      <c r="J574" s="163"/>
      <c r="K574" s="164">
        <f t="shared" si="94"/>
        <v>0.23529202684258421</v>
      </c>
      <c r="L574" s="163"/>
    </row>
    <row r="575" spans="2:12">
      <c r="B575" s="28" t="s">
        <v>140</v>
      </c>
      <c r="C575" s="435"/>
      <c r="D575" s="47" t="s">
        <v>20</v>
      </c>
      <c r="E575" s="47"/>
      <c r="F575" s="126"/>
      <c r="G575" s="126">
        <f>+SUMIFS(Equipement_Efficité!$O:$O,Equipement_Efficité!$B:$B,'Tableau détaillé'!$B575)</f>
        <v>31417</v>
      </c>
      <c r="H575" s="126"/>
      <c r="I575" s="126">
        <f>+SUMIFS(Equipement_Efficité!$N:$N,Equipement_Efficité!$B:$B,'Tableau détaillé'!$B575)</f>
        <v>35066</v>
      </c>
      <c r="J575" s="163"/>
      <c r="K575" s="164">
        <f t="shared" si="94"/>
        <v>0.11614730878186963</v>
      </c>
      <c r="L575" s="163"/>
    </row>
    <row r="576" spans="2:12">
      <c r="B576" s="28" t="s">
        <v>135</v>
      </c>
      <c r="C576" s="435"/>
      <c r="D576" s="47" t="s">
        <v>23</v>
      </c>
      <c r="E576" s="47"/>
      <c r="F576" s="126"/>
      <c r="G576" s="126">
        <f>+SUMIFS(Equipement_Efficité!$O:$O,Equipement_Efficité!$B:$B,'Tableau détaillé'!$B576)</f>
        <v>49353</v>
      </c>
      <c r="H576" s="126"/>
      <c r="I576" s="126">
        <f>+SUMIFS(Equipement_Efficité!$N:$N,Equipement_Efficité!$B:$B,'Tableau détaillé'!$B576)</f>
        <v>53503</v>
      </c>
      <c r="J576" s="163"/>
      <c r="K576" s="164">
        <f t="shared" si="94"/>
        <v>8.4088100014183542E-2</v>
      </c>
      <c r="L576" s="163"/>
    </row>
    <row r="577" spans="2:13" ht="14.4" thickBot="1">
      <c r="C577" s="436"/>
      <c r="D577" s="49" t="s">
        <v>63</v>
      </c>
      <c r="E577" s="49"/>
      <c r="F577" s="129"/>
      <c r="G577" s="129">
        <f t="shared" ref="G577" si="96">SUM(G573:G576)</f>
        <v>1020751</v>
      </c>
      <c r="H577" s="129"/>
      <c r="I577" s="129">
        <f>SUM(I573:I576)</f>
        <v>1203597</v>
      </c>
      <c r="J577" s="166"/>
      <c r="K577" s="166">
        <f t="shared" si="94"/>
        <v>0.17912889627343009</v>
      </c>
      <c r="L577" s="166"/>
    </row>
    <row r="578" spans="2:13" ht="14.4" thickTop="1">
      <c r="C578" s="252"/>
      <c r="F578" s="132"/>
      <c r="G578" s="132"/>
      <c r="H578" s="98"/>
      <c r="I578" s="98"/>
    </row>
    <row r="579" spans="2:13">
      <c r="C579" s="252"/>
      <c r="F579" s="132"/>
      <c r="G579" s="132"/>
      <c r="H579" s="98"/>
      <c r="I579" s="98"/>
    </row>
    <row r="580" spans="2:13" ht="14.4" thickBot="1">
      <c r="C580" s="252"/>
      <c r="F580" s="261">
        <v>44196</v>
      </c>
      <c r="G580" s="261">
        <v>44926</v>
      </c>
      <c r="H580" s="261" t="s">
        <v>497</v>
      </c>
      <c r="I580" s="261">
        <v>45291</v>
      </c>
    </row>
    <row r="581" spans="2:13" ht="14.4" thickTop="1">
      <c r="C581" s="463" t="s">
        <v>25</v>
      </c>
      <c r="D581" s="45" t="s">
        <v>64</v>
      </c>
      <c r="E581" s="45"/>
      <c r="F581" s="124">
        <f t="shared" ref="F581" si="97">SUM(F589,F594)</f>
        <v>158756</v>
      </c>
      <c r="G581" s="124">
        <f t="shared" ref="G581" si="98">SUM(G589,G594)</f>
        <v>135516</v>
      </c>
      <c r="H581" s="124">
        <f>SUM(H589,H594)</f>
        <v>167710</v>
      </c>
      <c r="I581" s="124">
        <f>SUM(I589,I594)</f>
        <v>142992</v>
      </c>
      <c r="J581" s="103"/>
      <c r="K581" s="165">
        <f t="shared" ref="K581:K594" si="99">+I581/G581-1</f>
        <v>5.5166917559550166E-2</v>
      </c>
      <c r="L581" s="103"/>
    </row>
    <row r="582" spans="2:13">
      <c r="B582" s="28" t="s">
        <v>131</v>
      </c>
      <c r="C582" s="435" t="s">
        <v>361</v>
      </c>
      <c r="D582" s="47" t="s">
        <v>13</v>
      </c>
      <c r="E582" s="47"/>
      <c r="F582" s="126">
        <f>+SUMIFS(Equipement_Efficité!$S:$S,Equipement_Efficité!$B:$B,'Tableau détaillé'!$B582)</f>
        <v>32514</v>
      </c>
      <c r="G582" s="126">
        <f>+SUMIFS(Equipement_Efficité!$Q:$Q,Equipement_Efficité!$B:$B,'Tableau détaillé'!$B582)</f>
        <v>25178</v>
      </c>
      <c r="H582" s="126">
        <f>+SUMIFS(Equipement_Efficité!$R:$R,Equipement_Efficité!$B:$B,'Tableau détaillé'!$B582)</f>
        <v>40446</v>
      </c>
      <c r="I582" s="126">
        <f>+SUMIFS(Equipement_Efficité!$P:$P,Equipement_Efficité!$B:$B,'Tableau détaillé'!$B582)</f>
        <v>32394</v>
      </c>
      <c r="J582" s="163"/>
      <c r="K582" s="164">
        <f t="shared" si="99"/>
        <v>0.2865994121852411</v>
      </c>
      <c r="L582" s="163"/>
    </row>
    <row r="583" spans="2:13">
      <c r="B583" s="28" t="s">
        <v>136</v>
      </c>
      <c r="C583" s="435"/>
      <c r="D583" s="47" t="s">
        <v>14</v>
      </c>
      <c r="E583" s="47"/>
      <c r="F583" s="126">
        <f>+SUMIFS(Equipement_Efficité!$S:$S,Equipement_Efficité!$B:$B,'Tableau détaillé'!$B583)</f>
        <v>9416</v>
      </c>
      <c r="G583" s="126">
        <f>+SUMIFS(Equipement_Efficité!$Q:$Q,Equipement_Efficité!$B:$B,'Tableau détaillé'!$B583)</f>
        <v>8269</v>
      </c>
      <c r="H583" s="126">
        <f>+SUMIFS(Equipement_Efficité!$R:$R,Equipement_Efficité!$B:$B,'Tableau détaillé'!$B583)</f>
        <v>10148</v>
      </c>
      <c r="I583" s="126">
        <f>+SUMIFS(Equipement_Efficité!$P:$P,Equipement_Efficité!$B:$B,'Tableau détaillé'!$B583)</f>
        <v>8441</v>
      </c>
      <c r="J583" s="163"/>
      <c r="K583" s="164">
        <f t="shared" si="99"/>
        <v>2.0800580481315833E-2</v>
      </c>
      <c r="L583" s="163"/>
    </row>
    <row r="584" spans="2:13">
      <c r="B584" s="28" t="s">
        <v>141</v>
      </c>
      <c r="C584" s="435"/>
      <c r="D584" s="47" t="s">
        <v>17</v>
      </c>
      <c r="E584" s="47"/>
      <c r="F584" s="126">
        <f>+SUMIFS(Equipement_Efficité!$S:$S,Equipement_Efficité!$B:$B,'Tableau détaillé'!$B584)</f>
        <v>10087</v>
      </c>
      <c r="G584" s="126">
        <f>+SUMIFS(Equipement_Efficité!$Q:$Q,Equipement_Efficité!$B:$B,'Tableau détaillé'!$B584)</f>
        <v>10912</v>
      </c>
      <c r="H584" s="126">
        <f>+SUMIFS(Equipement_Efficité!$R:$R,Equipement_Efficité!$B:$B,'Tableau détaillé'!$B584)</f>
        <v>9686</v>
      </c>
      <c r="I584" s="126">
        <f>+SUMIFS(Equipement_Efficité!$P:$P,Equipement_Efficité!$B:$B,'Tableau détaillé'!$B584)</f>
        <v>11317</v>
      </c>
      <c r="J584" s="163"/>
      <c r="K584" s="164">
        <f t="shared" si="99"/>
        <v>3.7115102639296182E-2</v>
      </c>
      <c r="L584" s="163"/>
    </row>
    <row r="585" spans="2:13">
      <c r="B585" s="28" t="s">
        <v>124</v>
      </c>
      <c r="C585" s="435"/>
      <c r="D585" s="47" t="s">
        <v>18</v>
      </c>
      <c r="E585" s="47"/>
      <c r="F585" s="126">
        <f>+SUMIFS(Equipement_Efficité!$S:$S,Equipement_Efficité!$B:$B,'Tableau détaillé'!$B585)</f>
        <v>7804</v>
      </c>
      <c r="G585" s="126">
        <f>+SUMIFS(Equipement_Efficité!$Q:$Q,Equipement_Efficité!$B:$B,'Tableau détaillé'!$B585)</f>
        <v>4969</v>
      </c>
      <c r="H585" s="126">
        <f>+SUMIFS(Equipement_Efficité!$R:$R,Equipement_Efficité!$B:$B,'Tableau détaillé'!$B585)</f>
        <v>5189</v>
      </c>
      <c r="I585" s="126">
        <f>+SUMIFS(Equipement_Efficité!$P:$P,Equipement_Efficité!$B:$B,'Tableau détaillé'!$B585)</f>
        <v>4285</v>
      </c>
      <c r="J585" s="163"/>
      <c r="K585" s="164">
        <f t="shared" si="99"/>
        <v>-0.1376534513986718</v>
      </c>
      <c r="L585" s="163"/>
    </row>
    <row r="586" spans="2:13">
      <c r="B586" s="28" t="s">
        <v>137</v>
      </c>
      <c r="C586" s="435"/>
      <c r="D586" s="47" t="s">
        <v>19</v>
      </c>
      <c r="E586" s="47"/>
      <c r="F586" s="126">
        <f>+SUMIFS(Equipement_Efficité!$S:$S,Equipement_Efficité!$B:$B,'Tableau détaillé'!$B586)</f>
        <v>3933</v>
      </c>
      <c r="G586" s="126">
        <f>+SUMIFS(Equipement_Efficité!$Q:$Q,Equipement_Efficité!$B:$B,'Tableau détaillé'!$B586)</f>
        <v>2902</v>
      </c>
      <c r="H586" s="126">
        <f>+SUMIFS(Equipement_Efficité!$R:$R,Equipement_Efficité!$B:$B,'Tableau détaillé'!$B586)</f>
        <v>3061</v>
      </c>
      <c r="I586" s="126">
        <f>+SUMIFS(Equipement_Efficité!$P:$P,Equipement_Efficité!$B:$B,'Tableau détaillé'!$B586)</f>
        <v>2471</v>
      </c>
      <c r="J586" s="163"/>
      <c r="K586" s="164">
        <f t="shared" si="99"/>
        <v>-0.14851826326671258</v>
      </c>
      <c r="L586" s="163"/>
    </row>
    <row r="587" spans="2:13">
      <c r="B587" s="28" t="s">
        <v>123</v>
      </c>
      <c r="C587" s="435"/>
      <c r="D587" s="47" t="s">
        <v>21</v>
      </c>
      <c r="E587" s="47"/>
      <c r="F587" s="126">
        <f>+SUMIFS(Equipement_Efficité!$S:$S,Equipement_Efficité!$B:$B,'Tableau détaillé'!$B587)</f>
        <v>1347</v>
      </c>
      <c r="G587" s="126">
        <f>+SUMIFS(Equipement_Efficité!$Q:$Q,Equipement_Efficité!$B:$B,'Tableau détaillé'!$B587)</f>
        <v>1192</v>
      </c>
      <c r="H587" s="126">
        <f>+SUMIFS(Equipement_Efficité!$R:$R,Equipement_Efficité!$B:$B,'Tableau détaillé'!$B587)</f>
        <v>1059</v>
      </c>
      <c r="I587" s="126">
        <f>+SUMIFS(Equipement_Efficité!$P:$P,Equipement_Efficité!$B:$B,'Tableau détaillé'!$B587)</f>
        <v>1134</v>
      </c>
      <c r="J587" s="163"/>
      <c r="K587" s="164">
        <f t="shared" si="99"/>
        <v>-4.8657718120805327E-2</v>
      </c>
      <c r="L587" s="163"/>
      <c r="M587" s="730"/>
    </row>
    <row r="588" spans="2:13">
      <c r="B588" s="28" t="s">
        <v>139</v>
      </c>
      <c r="C588" s="435"/>
      <c r="D588" s="47" t="s">
        <v>22</v>
      </c>
      <c r="E588" s="47"/>
      <c r="F588" s="126">
        <f>+SUMIFS(Equipement_Efficité!$S:$S,Equipement_Efficité!$B:$B,'Tableau détaillé'!$B588)</f>
        <v>2289</v>
      </c>
      <c r="G588" s="126">
        <f>+SUMIFS(Equipement_Efficité!$Q:$Q,Equipement_Efficité!$B:$B,'Tableau détaillé'!$B588)</f>
        <v>2313</v>
      </c>
      <c r="H588" s="126">
        <f>+SUMIFS(Equipement_Efficité!$R:$R,Equipement_Efficité!$B:$B,'Tableau détaillé'!$B588)</f>
        <v>2094</v>
      </c>
      <c r="I588" s="126">
        <f>+SUMIFS(Equipement_Efficité!$P:$P,Equipement_Efficité!$B:$B,'Tableau détaillé'!$B588)</f>
        <v>2012</v>
      </c>
      <c r="J588" s="163"/>
      <c r="K588" s="164">
        <f t="shared" si="99"/>
        <v>-0.1301340250756593</v>
      </c>
      <c r="L588" s="163"/>
    </row>
    <row r="589" spans="2:13">
      <c r="C589" s="435"/>
      <c r="D589" s="48" t="s">
        <v>62</v>
      </c>
      <c r="E589" s="48"/>
      <c r="F589" s="124">
        <f t="shared" ref="F589:G589" si="100">SUM(F582:F588)</f>
        <v>67390</v>
      </c>
      <c r="G589" s="124">
        <f t="shared" si="100"/>
        <v>55735</v>
      </c>
      <c r="H589" s="124">
        <f>SUM(H582:H588)</f>
        <v>71683</v>
      </c>
      <c r="I589" s="124">
        <f>SUM(I582:I588)</f>
        <v>62054</v>
      </c>
      <c r="J589" s="103"/>
      <c r="K589" s="165">
        <f t="shared" si="99"/>
        <v>0.11337579617834392</v>
      </c>
      <c r="L589" s="103"/>
    </row>
    <row r="590" spans="2:13">
      <c r="B590" s="28" t="s">
        <v>138</v>
      </c>
      <c r="C590" s="435"/>
      <c r="D590" s="47" t="s">
        <v>15</v>
      </c>
      <c r="E590" s="47"/>
      <c r="F590" s="126">
        <f>+SUMIFS(Equipement_Efficité!$S:$S,Equipement_Efficité!$B:$B,'Tableau détaillé'!$B590)</f>
        <v>40903</v>
      </c>
      <c r="G590" s="126">
        <f>+SUMIFS(Equipement_Efficité!$Q:$Q,Equipement_Efficité!$B:$B,'Tableau détaillé'!$B590)</f>
        <v>43233</v>
      </c>
      <c r="H590" s="126">
        <f>+SUMIFS(Equipement_Efficité!$R:$R,Equipement_Efficité!$B:$B,'Tableau détaillé'!$B590)</f>
        <v>53839</v>
      </c>
      <c r="I590" s="126">
        <f>+SUMIFS(Equipement_Efficité!$P:$P,Equipement_Efficité!$B:$B,'Tableau détaillé'!$B590)</f>
        <v>47900</v>
      </c>
      <c r="J590" s="163"/>
      <c r="K590" s="164">
        <f t="shared" si="99"/>
        <v>0.10794994564337435</v>
      </c>
      <c r="L590" s="163"/>
    </row>
    <row r="591" spans="2:13">
      <c r="B591" s="28" t="s">
        <v>132</v>
      </c>
      <c r="C591" s="435"/>
      <c r="D591" s="47" t="s">
        <v>16</v>
      </c>
      <c r="E591" s="47"/>
      <c r="F591" s="126">
        <f>+SUMIFS(Equipement_Efficité!$S:$S,Equipement_Efficité!$B:$B,'Tableau détaillé'!$B591)</f>
        <v>40941</v>
      </c>
      <c r="G591" s="126">
        <f>+SUMIFS(Equipement_Efficité!$Q:$Q,Equipement_Efficité!$B:$B,'Tableau détaillé'!$B591)</f>
        <v>28876</v>
      </c>
      <c r="H591" s="126">
        <f>+SUMIFS(Equipement_Efficité!$R:$R,Equipement_Efficité!$B:$B,'Tableau détaillé'!$B591)</f>
        <v>36116</v>
      </c>
      <c r="I591" s="126">
        <f>+SUMIFS(Equipement_Efficité!$P:$P,Equipement_Efficité!$B:$B,'Tableau détaillé'!$B591)</f>
        <v>27491</v>
      </c>
      <c r="J591" s="163"/>
      <c r="K591" s="164">
        <f t="shared" si="99"/>
        <v>-4.7963706884610047E-2</v>
      </c>
      <c r="L591" s="163"/>
    </row>
    <row r="592" spans="2:13">
      <c r="B592" s="28" t="s">
        <v>140</v>
      </c>
      <c r="C592" s="435"/>
      <c r="D592" s="47" t="s">
        <v>20</v>
      </c>
      <c r="E592" s="47"/>
      <c r="F592" s="126">
        <f>+SUMIFS(Equipement_Efficité!$S:$S,Equipement_Efficité!$B:$B,'Tableau détaillé'!$B592)</f>
        <v>5251</v>
      </c>
      <c r="G592" s="126">
        <f>+SUMIFS(Equipement_Efficité!$Q:$Q,Equipement_Efficité!$B:$B,'Tableau détaillé'!$B592)</f>
        <v>4670</v>
      </c>
      <c r="H592" s="126">
        <f>+SUMIFS(Equipement_Efficité!$R:$R,Equipement_Efficité!$B:$B,'Tableau détaillé'!$B592)</f>
        <v>3459</v>
      </c>
      <c r="I592" s="126">
        <f>+SUMIFS(Equipement_Efficité!$P:$P,Equipement_Efficité!$B:$B,'Tableau détaillé'!$B592)</f>
        <v>3024</v>
      </c>
      <c r="J592" s="163"/>
      <c r="K592" s="164">
        <f t="shared" si="99"/>
        <v>-0.35246252676659529</v>
      </c>
      <c r="L592" s="163"/>
    </row>
    <row r="593" spans="2:12">
      <c r="B593" s="28" t="s">
        <v>135</v>
      </c>
      <c r="C593" s="435"/>
      <c r="D593" s="47" t="s">
        <v>23</v>
      </c>
      <c r="E593" s="47"/>
      <c r="F593" s="126">
        <f>+SUMIFS(Equipement_Efficité!$S:$S,Equipement_Efficité!$B:$B,'Tableau détaillé'!$B593)</f>
        <v>4271</v>
      </c>
      <c r="G593" s="126">
        <f>+SUMIFS(Equipement_Efficité!$Q:$Q,Equipement_Efficité!$B:$B,'Tableau détaillé'!$B593)</f>
        <v>3002</v>
      </c>
      <c r="H593" s="126">
        <f>+SUMIFS(Equipement_Efficité!$R:$R,Equipement_Efficité!$B:$B,'Tableau détaillé'!$B593)</f>
        <v>2613</v>
      </c>
      <c r="I593" s="126">
        <f>+SUMIFS(Equipement_Efficité!$P:$P,Equipement_Efficité!$B:$B,'Tableau détaillé'!$B593)</f>
        <v>2523</v>
      </c>
      <c r="J593" s="163"/>
      <c r="K593" s="164">
        <f t="shared" si="99"/>
        <v>-0.15956029313790809</v>
      </c>
      <c r="L593" s="163"/>
    </row>
    <row r="594" spans="2:12" ht="14.4" thickBot="1">
      <c r="C594" s="436"/>
      <c r="D594" s="49" t="s">
        <v>63</v>
      </c>
      <c r="E594" s="49"/>
      <c r="F594" s="129">
        <f t="shared" ref="F594:G594" si="101">SUM(F590:F593)</f>
        <v>91366</v>
      </c>
      <c r="G594" s="129">
        <f t="shared" si="101"/>
        <v>79781</v>
      </c>
      <c r="H594" s="129">
        <f>SUM(H590:H593)</f>
        <v>96027</v>
      </c>
      <c r="I594" s="129">
        <f>SUM(I590:I593)</f>
        <v>80938</v>
      </c>
      <c r="J594" s="166"/>
      <c r="K594" s="166">
        <f t="shared" si="99"/>
        <v>1.4502199771875501E-2</v>
      </c>
      <c r="L594" s="166"/>
    </row>
    <row r="595" spans="2:12" ht="14.4" thickTop="1">
      <c r="C595" s="252"/>
      <c r="F595" s="132"/>
      <c r="G595" s="132"/>
      <c r="H595" s="98"/>
      <c r="I595" s="98"/>
    </row>
    <row r="596" spans="2:12" ht="14.4" thickBot="1">
      <c r="C596" s="252"/>
      <c r="F596" s="418" t="s">
        <v>419</v>
      </c>
      <c r="G596" s="261">
        <v>44926</v>
      </c>
      <c r="H596" s="261" t="s">
        <v>497</v>
      </c>
      <c r="I596" s="261">
        <v>45291</v>
      </c>
    </row>
    <row r="597" spans="2:12" ht="15" customHeight="1" thickTop="1">
      <c r="C597" s="463" t="s">
        <v>25</v>
      </c>
      <c r="D597" s="45" t="s">
        <v>64</v>
      </c>
      <c r="E597" s="45"/>
      <c r="F597" s="124"/>
      <c r="G597" s="124">
        <f>+(G564/$F$547)/MONTH(F$546)</f>
        <v>134.18219902036608</v>
      </c>
      <c r="H597" s="124"/>
      <c r="I597" s="124">
        <f>+(I564/$H$547)/MONTH(H$546)</f>
        <v>189.61649004495825</v>
      </c>
      <c r="J597" s="103"/>
      <c r="K597" s="165">
        <f t="shared" ref="K597:K610" si="102">+I597/G597-1</f>
        <v>0.41312701259411022</v>
      </c>
      <c r="L597" s="103"/>
    </row>
    <row r="598" spans="2:12">
      <c r="B598" s="28" t="s">
        <v>131</v>
      </c>
      <c r="C598" s="435" t="s">
        <v>363</v>
      </c>
      <c r="D598" s="47" t="s">
        <v>13</v>
      </c>
      <c r="E598" s="47"/>
      <c r="F598" s="126"/>
      <c r="G598" s="126">
        <f>+(G565/$F$548)/MONTH(F$546)</f>
        <v>137.80060506050606</v>
      </c>
      <c r="H598" s="126"/>
      <c r="I598" s="126">
        <f>+(I565/$H$548)/MONTH(H$546)</f>
        <v>315.16666666666669</v>
      </c>
      <c r="J598" s="163"/>
      <c r="K598" s="164">
        <f t="shared" si="102"/>
        <v>1.2871210654574559</v>
      </c>
      <c r="L598" s="163"/>
    </row>
    <row r="599" spans="2:12">
      <c r="B599" s="28" t="s">
        <v>136</v>
      </c>
      <c r="C599" s="435"/>
      <c r="D599" s="47" t="s">
        <v>14</v>
      </c>
      <c r="E599" s="47"/>
      <c r="F599" s="126"/>
      <c r="G599" s="126">
        <f>+(G566/$F$549)/MONTH(F$546)</f>
        <v>73.467078189300409</v>
      </c>
      <c r="H599" s="126"/>
      <c r="I599" s="126">
        <f>+(I566/$H$549)/MONTH(H$546)</f>
        <v>119.94812925170068</v>
      </c>
      <c r="J599" s="163"/>
      <c r="K599" s="164">
        <f t="shared" si="102"/>
        <v>0.63267863930336166</v>
      </c>
      <c r="L599" s="163"/>
    </row>
    <row r="600" spans="2:12">
      <c r="B600" s="28" t="s">
        <v>141</v>
      </c>
      <c r="C600" s="435"/>
      <c r="D600" s="47" t="s">
        <v>17</v>
      </c>
      <c r="E600" s="47"/>
      <c r="F600" s="126"/>
      <c r="G600" s="126">
        <f>+(G567/$F$550)/MONTH(F$546)</f>
        <v>71.490631163708088</v>
      </c>
      <c r="H600" s="126"/>
      <c r="I600" s="126">
        <f>+(I567/$H$550)/MONTH(H$546)</f>
        <v>113.77696078431372</v>
      </c>
      <c r="J600" s="163"/>
      <c r="K600" s="164">
        <f t="shared" si="102"/>
        <v>0.59149470262436421</v>
      </c>
      <c r="L600" s="163"/>
    </row>
    <row r="601" spans="2:12">
      <c r="B601" s="28" t="s">
        <v>124</v>
      </c>
      <c r="C601" s="435"/>
      <c r="D601" s="47" t="s">
        <v>18</v>
      </c>
      <c r="E601" s="47"/>
      <c r="F601" s="126"/>
      <c r="G601" s="126">
        <f>+(G568/$F$551)/MONTH(F$546)</f>
        <v>155.33223684210526</v>
      </c>
      <c r="H601" s="126"/>
      <c r="I601" s="126">
        <f>+(I568/$H$551)/MONTH(H$546)</f>
        <v>186.17447916666666</v>
      </c>
      <c r="J601" s="163"/>
      <c r="K601" s="164">
        <f t="shared" si="102"/>
        <v>0.19855660970048628</v>
      </c>
      <c r="L601" s="163"/>
    </row>
    <row r="602" spans="2:12">
      <c r="B602" s="28" t="s">
        <v>137</v>
      </c>
      <c r="C602" s="435"/>
      <c r="D602" s="47" t="s">
        <v>19</v>
      </c>
      <c r="E602" s="47"/>
      <c r="F602" s="126"/>
      <c r="G602" s="126">
        <f>+(G569/$F$552)/MONTH(F$546)</f>
        <v>52.609523809523807</v>
      </c>
      <c r="H602" s="126"/>
      <c r="I602" s="126">
        <f>+(I569/$H$552)/MONTH(H$546)</f>
        <v>47.354166666666664</v>
      </c>
      <c r="J602" s="163"/>
      <c r="K602" s="164">
        <f t="shared" si="102"/>
        <v>-9.9893645908761819E-2</v>
      </c>
      <c r="L602" s="163"/>
    </row>
    <row r="603" spans="2:12">
      <c r="B603" s="28" t="s">
        <v>123</v>
      </c>
      <c r="C603" s="435"/>
      <c r="D603" s="47" t="s">
        <v>21</v>
      </c>
      <c r="E603" s="47"/>
      <c r="F603" s="126"/>
      <c r="G603" s="126">
        <f>+(G570/$F$553)/MONTH(F$546)</f>
        <v>262.18229166666669</v>
      </c>
      <c r="H603" s="126"/>
      <c r="I603" s="126">
        <f>+(I570/$H$553)/MONTH(H$546)</f>
        <v>69.308333333333337</v>
      </c>
      <c r="J603" s="163"/>
      <c r="K603" s="164">
        <f t="shared" si="102"/>
        <v>-0.73564830449552043</v>
      </c>
      <c r="L603" s="163"/>
    </row>
    <row r="604" spans="2:12">
      <c r="B604" s="28" t="s">
        <v>139</v>
      </c>
      <c r="C604" s="435"/>
      <c r="D604" s="47" t="s">
        <v>22</v>
      </c>
      <c r="E604" s="47"/>
      <c r="F604" s="126"/>
      <c r="G604" s="126">
        <f>+(G571/$F$554)/MONTH(F$546)</f>
        <v>120.60000000000001</v>
      </c>
      <c r="H604" s="126"/>
      <c r="I604" s="126">
        <f>+(I571/$H$554)/MONTH(H$546)</f>
        <v>123.64492753623188</v>
      </c>
      <c r="J604" s="163"/>
      <c r="K604" s="164">
        <f t="shared" si="102"/>
        <v>2.5248155358473134E-2</v>
      </c>
      <c r="L604" s="163"/>
    </row>
    <row r="605" spans="2:12">
      <c r="C605" s="435"/>
      <c r="D605" s="48" t="s">
        <v>62</v>
      </c>
      <c r="E605" s="48"/>
      <c r="F605" s="124"/>
      <c r="G605" s="124">
        <f>+(G572/$F$555)/MONTH(F$546)</f>
        <v>107.71619975639464</v>
      </c>
      <c r="H605" s="124"/>
      <c r="I605" s="124">
        <f>+(I572/$H$555)/MONTH(H$546)</f>
        <v>185.97719974309572</v>
      </c>
      <c r="J605" s="103"/>
      <c r="K605" s="165">
        <f t="shared" si="102"/>
        <v>0.72654809734925752</v>
      </c>
      <c r="L605" s="103"/>
    </row>
    <row r="606" spans="2:12">
      <c r="B606" s="28" t="s">
        <v>138</v>
      </c>
      <c r="C606" s="435"/>
      <c r="D606" s="47" t="s">
        <v>15</v>
      </c>
      <c r="E606" s="47"/>
      <c r="F606" s="126"/>
      <c r="G606" s="126">
        <f>+(G573/$F$556)/MONTH(F$546)</f>
        <v>137.90335463258785</v>
      </c>
      <c r="H606" s="126"/>
      <c r="I606" s="126">
        <f>+(I573/$H$556)/MONTH(H$546)</f>
        <v>181.89797794117646</v>
      </c>
      <c r="J606" s="163"/>
      <c r="K606" s="164">
        <f t="shared" si="102"/>
        <v>0.31902504058586745</v>
      </c>
      <c r="L606" s="163"/>
    </row>
    <row r="607" spans="2:12">
      <c r="B607" s="28" t="s">
        <v>132</v>
      </c>
      <c r="C607" s="435"/>
      <c r="D607" s="47" t="s">
        <v>16</v>
      </c>
      <c r="E607" s="47"/>
      <c r="F607" s="126"/>
      <c r="G607" s="126">
        <f>+(G574/$F$557)/MONTH(F$546)</f>
        <v>303.17241379310343</v>
      </c>
      <c r="H607" s="126"/>
      <c r="I607" s="126">
        <f>+(I574/$H$557)/MONTH(H$546)</f>
        <v>371.3055555555556</v>
      </c>
      <c r="J607" s="163"/>
      <c r="K607" s="164">
        <f t="shared" si="102"/>
        <v>0.22473397533110928</v>
      </c>
      <c r="L607" s="163"/>
    </row>
    <row r="608" spans="2:12">
      <c r="B608" s="28" t="s">
        <v>140</v>
      </c>
      <c r="C608" s="435"/>
      <c r="D608" s="47" t="s">
        <v>20</v>
      </c>
      <c r="E608" s="47"/>
      <c r="F608" s="126"/>
      <c r="G608" s="126">
        <f>+(G575/$F$558)/MONTH(F$546)</f>
        <v>81.815104166666671</v>
      </c>
      <c r="H608" s="126"/>
      <c r="I608" s="126">
        <f>+(I575/$H$558)/MONTH(H$546)</f>
        <v>94.263440860215056</v>
      </c>
      <c r="J608" s="163"/>
      <c r="K608" s="164">
        <f t="shared" si="102"/>
        <v>0.15215206067805909</v>
      </c>
      <c r="L608" s="163"/>
    </row>
    <row r="609" spans="2:13">
      <c r="B609" s="28" t="s">
        <v>135</v>
      </c>
      <c r="C609" s="435"/>
      <c r="D609" s="47" t="s">
        <v>23</v>
      </c>
      <c r="E609" s="47"/>
      <c r="F609" s="126"/>
      <c r="G609" s="126">
        <f>+(G576/$F$559)/MONTH(F$546)</f>
        <v>373.88636363636368</v>
      </c>
      <c r="H609" s="126"/>
      <c r="I609" s="126">
        <f>+(I576/$H$559)/MONTH(H$546)</f>
        <v>45.036195286195287</v>
      </c>
      <c r="J609" s="163"/>
      <c r="K609" s="164">
        <f t="shared" si="102"/>
        <v>-0.87954576666509077</v>
      </c>
      <c r="L609" s="163"/>
    </row>
    <row r="610" spans="2:13" ht="14.4" thickBot="1">
      <c r="C610" s="436"/>
      <c r="D610" s="49" t="s">
        <v>63</v>
      </c>
      <c r="E610" s="49"/>
      <c r="F610" s="129"/>
      <c r="G610" s="129">
        <f>+(G577/$F$560)/MONTH(F$546)</f>
        <v>180.21733757062145</v>
      </c>
      <c r="H610" s="129"/>
      <c r="I610" s="129">
        <f>+(I577/$H$560)/MONTH(H$546)</f>
        <v>193.25578034682079</v>
      </c>
      <c r="J610" s="166"/>
      <c r="K610" s="166">
        <f t="shared" si="102"/>
        <v>7.2348437458687798E-2</v>
      </c>
      <c r="L610" s="166"/>
    </row>
    <row r="611" spans="2:13" ht="14.4" thickTop="1">
      <c r="C611" s="252"/>
      <c r="F611" s="132"/>
      <c r="G611" s="132"/>
      <c r="H611" s="98"/>
      <c r="I611" s="98"/>
    </row>
    <row r="612" spans="2:13" ht="14.4" thickBot="1">
      <c r="C612" s="252"/>
      <c r="F612" s="132"/>
      <c r="G612" s="132"/>
      <c r="H612" s="98"/>
      <c r="I612" s="98"/>
      <c r="M612" s="51" t="s">
        <v>489</v>
      </c>
    </row>
    <row r="613" spans="2:13" ht="28.8" thickTop="1" thickBot="1">
      <c r="C613" s="252"/>
      <c r="F613" s="418" t="s">
        <v>419</v>
      </c>
      <c r="G613" s="261">
        <v>44926</v>
      </c>
      <c r="H613" s="261" t="s">
        <v>497</v>
      </c>
      <c r="I613" s="261">
        <v>45291</v>
      </c>
      <c r="J613" s="174" t="s">
        <v>364</v>
      </c>
      <c r="K613" s="175" t="s">
        <v>152</v>
      </c>
      <c r="L613" s="175" t="s">
        <v>365</v>
      </c>
    </row>
    <row r="614" spans="2:13" ht="14.4" thickTop="1">
      <c r="C614" s="463" t="s">
        <v>25</v>
      </c>
      <c r="D614" s="45" t="s">
        <v>64</v>
      </c>
      <c r="E614" s="45"/>
      <c r="F614" s="157">
        <f>+(F581/$F$547)</f>
        <v>122.78112915699923</v>
      </c>
      <c r="G614" s="157">
        <f>+(G581/$F$547)</f>
        <v>104.80742459396751</v>
      </c>
      <c r="H614" s="157">
        <f>+(H581/$H$547)</f>
        <v>161.57032755298653</v>
      </c>
      <c r="I614" s="157">
        <f>+(I581/$H$547)</f>
        <v>137.757225433526</v>
      </c>
      <c r="J614" s="103">
        <f>+I614/H614-1</f>
        <v>-0.14738536759883147</v>
      </c>
      <c r="K614" s="165">
        <f t="shared" ref="K614:K627" si="103">+I614/G614-1</f>
        <v>0.31438422389643383</v>
      </c>
      <c r="L614" s="103">
        <f>+I614/I597-1</f>
        <v>-0.27349554144334376</v>
      </c>
    </row>
    <row r="615" spans="2:13">
      <c r="B615" s="28" t="s">
        <v>131</v>
      </c>
      <c r="C615" s="435" t="s">
        <v>362</v>
      </c>
      <c r="D615" s="47" t="s">
        <v>13</v>
      </c>
      <c r="E615" s="47"/>
      <c r="F615" s="126">
        <f>+(F582/$F$548)</f>
        <v>107.3069306930693</v>
      </c>
      <c r="G615" s="126">
        <f>+(G582/$F$548)</f>
        <v>83.095709570957098</v>
      </c>
      <c r="H615" s="126">
        <f>+(H582/$H$548)</f>
        <v>210.65625</v>
      </c>
      <c r="I615" s="126">
        <f>+(I582/$H$548)</f>
        <v>168.71875</v>
      </c>
      <c r="J615" s="163">
        <f t="shared" ref="J615:J627" si="104">+I615/H615-1</f>
        <v>-0.19908025515502148</v>
      </c>
      <c r="K615" s="164">
        <f t="shared" si="103"/>
        <v>1.0304146973548334</v>
      </c>
      <c r="L615" s="163">
        <f t="shared" ref="L615:L627" si="105">+I615/I598-1</f>
        <v>-0.46466816499206776</v>
      </c>
    </row>
    <row r="616" spans="2:13">
      <c r="B616" s="28" t="s">
        <v>136</v>
      </c>
      <c r="C616" s="435"/>
      <c r="D616" s="47" t="s">
        <v>14</v>
      </c>
      <c r="E616" s="47"/>
      <c r="F616" s="126">
        <f>+(F583/$F$549)</f>
        <v>58.123456790123456</v>
      </c>
      <c r="G616" s="126">
        <f>+(G583/$F$549)</f>
        <v>51.043209876543209</v>
      </c>
      <c r="H616" s="126">
        <f>+(H583/$H$549)</f>
        <v>103.55102040816327</v>
      </c>
      <c r="I616" s="126">
        <f>+(I583/$H$549)</f>
        <v>86.132653061224488</v>
      </c>
      <c r="J616" s="163">
        <f t="shared" si="104"/>
        <v>-0.168210484824596</v>
      </c>
      <c r="K616" s="164">
        <f t="shared" si="103"/>
        <v>0.68744585753033838</v>
      </c>
      <c r="L616" s="163">
        <f t="shared" si="105"/>
        <v>-0.2819174955160606</v>
      </c>
    </row>
    <row r="617" spans="2:13">
      <c r="B617" s="28" t="s">
        <v>141</v>
      </c>
      <c r="C617" s="435"/>
      <c r="D617" s="47" t="s">
        <v>17</v>
      </c>
      <c r="E617" s="47"/>
      <c r="F617" s="126">
        <f>+(F584/$F$550)</f>
        <v>59.68639053254438</v>
      </c>
      <c r="G617" s="126">
        <f>+(G584/$F$550)</f>
        <v>64.568047337278102</v>
      </c>
      <c r="H617" s="126">
        <f>+(H584/$H$550)</f>
        <v>94.960784313725483</v>
      </c>
      <c r="I617" s="126">
        <f>+(I584/$H$550)</f>
        <v>110.95098039215686</v>
      </c>
      <c r="J617" s="163">
        <f t="shared" si="104"/>
        <v>0.16838736320462533</v>
      </c>
      <c r="K617" s="164">
        <f t="shared" si="103"/>
        <v>0.71835737594157911</v>
      </c>
      <c r="L617" s="163">
        <f t="shared" si="105"/>
        <v>-2.4837896641606072E-2</v>
      </c>
    </row>
    <row r="618" spans="2:13">
      <c r="B618" s="28" t="s">
        <v>124</v>
      </c>
      <c r="C618" s="435"/>
      <c r="D618" s="47" t="s">
        <v>18</v>
      </c>
      <c r="E618" s="47"/>
      <c r="F618" s="126">
        <f>+(F585/$F$551)</f>
        <v>102.68421052631579</v>
      </c>
      <c r="G618" s="126">
        <f>+(G585/$F$551)</f>
        <v>65.381578947368425</v>
      </c>
      <c r="H618" s="126">
        <f>+(H585/$H$551)</f>
        <v>162.15625</v>
      </c>
      <c r="I618" s="126">
        <f>+(I585/$H$551)</f>
        <v>133.90625</v>
      </c>
      <c r="J618" s="163">
        <f t="shared" si="104"/>
        <v>-0.17421468491038739</v>
      </c>
      <c r="K618" s="164">
        <f t="shared" si="103"/>
        <v>1.0480730529281543</v>
      </c>
      <c r="L618" s="163">
        <f t="shared" si="105"/>
        <v>-0.28074862570113712</v>
      </c>
    </row>
    <row r="619" spans="2:13">
      <c r="B619" s="28" t="s">
        <v>137</v>
      </c>
      <c r="C619" s="435"/>
      <c r="D619" s="47" t="s">
        <v>19</v>
      </c>
      <c r="E619" s="47"/>
      <c r="F619" s="126">
        <f>+(F586/$F$552)</f>
        <v>56.185714285714283</v>
      </c>
      <c r="G619" s="126">
        <f>+(G586/$F$552)</f>
        <v>41.457142857142856</v>
      </c>
      <c r="H619" s="126">
        <f>+(H586/$H$552)</f>
        <v>58.865384615384613</v>
      </c>
      <c r="I619" s="126">
        <f>+(I586/$H$552)</f>
        <v>47.519230769230766</v>
      </c>
      <c r="J619" s="163">
        <f t="shared" si="104"/>
        <v>-0.19274746814766419</v>
      </c>
      <c r="K619" s="164">
        <f t="shared" si="103"/>
        <v>0.14622541483327156</v>
      </c>
      <c r="L619" s="163">
        <f t="shared" si="105"/>
        <v>3.4857355578867821E-3</v>
      </c>
    </row>
    <row r="620" spans="2:13">
      <c r="B620" s="28" t="s">
        <v>123</v>
      </c>
      <c r="C620" s="435"/>
      <c r="D620" s="47" t="s">
        <v>21</v>
      </c>
      <c r="E620" s="47"/>
      <c r="F620" s="126">
        <f>+(F587/$F$553)</f>
        <v>84.1875</v>
      </c>
      <c r="G620" s="126">
        <f>+(G587/$F$553)</f>
        <v>74.5</v>
      </c>
      <c r="H620" s="126">
        <f>+(H587/$H$553)</f>
        <v>52.95</v>
      </c>
      <c r="I620" s="126">
        <f>+(I587/$H$553)</f>
        <v>56.7</v>
      </c>
      <c r="J620" s="163">
        <f t="shared" si="104"/>
        <v>7.0821529745042522E-2</v>
      </c>
      <c r="K620" s="164">
        <f t="shared" si="103"/>
        <v>-0.23892617449664422</v>
      </c>
      <c r="L620" s="163">
        <f t="shared" si="105"/>
        <v>-0.18191655645064331</v>
      </c>
    </row>
    <row r="621" spans="2:13">
      <c r="B621" s="28" t="s">
        <v>139</v>
      </c>
      <c r="C621" s="435"/>
      <c r="D621" s="47" t="s">
        <v>22</v>
      </c>
      <c r="E621" s="47"/>
      <c r="F621" s="126">
        <f>+(F588/$F$554)</f>
        <v>91.56</v>
      </c>
      <c r="G621" s="126">
        <f>+(G588/$F$554)</f>
        <v>92.52</v>
      </c>
      <c r="H621" s="126">
        <f>+(H588/$H$554)</f>
        <v>91.043478260869563</v>
      </c>
      <c r="I621" s="126">
        <f>+(I588/$H$554)</f>
        <v>87.478260869565219</v>
      </c>
      <c r="J621" s="163">
        <f t="shared" si="104"/>
        <v>-3.9159503342884427E-2</v>
      </c>
      <c r="K621" s="164">
        <f t="shared" si="103"/>
        <v>-5.4493505517020924E-2</v>
      </c>
      <c r="L621" s="163">
        <f t="shared" si="105"/>
        <v>-0.29250424895973737</v>
      </c>
    </row>
    <row r="622" spans="2:13">
      <c r="C622" s="435"/>
      <c r="D622" s="48" t="s">
        <v>62</v>
      </c>
      <c r="E622" s="48"/>
      <c r="F622" s="124">
        <f>+(F589/$F$555)</f>
        <v>82.08282582216809</v>
      </c>
      <c r="G622" s="124">
        <f>+(G589/$F$555)</f>
        <v>67.886723507917168</v>
      </c>
      <c r="H622" s="124">
        <f>+(H589/$H$555)</f>
        <v>138.1175337186898</v>
      </c>
      <c r="I622" s="124">
        <f>+(I589/$H$555)</f>
        <v>119.5645472061657</v>
      </c>
      <c r="J622" s="103">
        <f t="shared" si="104"/>
        <v>-0.13432752535468673</v>
      </c>
      <c r="K622" s="165">
        <f t="shared" si="103"/>
        <v>0.76123608605476001</v>
      </c>
      <c r="L622" s="103">
        <f t="shared" si="105"/>
        <v>-0.35710104587374591</v>
      </c>
    </row>
    <row r="623" spans="2:13">
      <c r="B623" s="28" t="s">
        <v>138</v>
      </c>
      <c r="C623" s="435"/>
      <c r="D623" s="47" t="s">
        <v>15</v>
      </c>
      <c r="E623" s="47"/>
      <c r="F623" s="126">
        <f>+(F590/$F$556)</f>
        <v>130.68051118210863</v>
      </c>
      <c r="G623" s="126">
        <f>+(G590/$F$556)</f>
        <v>138.12460063897763</v>
      </c>
      <c r="H623" s="126">
        <f>+(H590/$H$556)</f>
        <v>197.9375</v>
      </c>
      <c r="I623" s="126">
        <f>+(I590/$H$556)</f>
        <v>176.10294117647058</v>
      </c>
      <c r="J623" s="163">
        <f t="shared" si="104"/>
        <v>-0.11031036980627429</v>
      </c>
      <c r="K623" s="164">
        <f t="shared" si="103"/>
        <v>0.27495710656755934</v>
      </c>
      <c r="L623" s="163">
        <f t="shared" si="105"/>
        <v>-3.1858720092973858E-2</v>
      </c>
    </row>
    <row r="624" spans="2:13">
      <c r="B624" s="28" t="s">
        <v>132</v>
      </c>
      <c r="C624" s="435"/>
      <c r="D624" s="47" t="s">
        <v>16</v>
      </c>
      <c r="E624" s="47"/>
      <c r="F624" s="126">
        <f>+(F591/$F$557)</f>
        <v>352.93965517241378</v>
      </c>
      <c r="G624" s="126">
        <f>+(G591/$F$557)</f>
        <v>248.93103448275863</v>
      </c>
      <c r="H624" s="126">
        <f>+(H591/$H$557)</f>
        <v>308.68376068376068</v>
      </c>
      <c r="I624" s="126">
        <f>+(I591/$H$557)</f>
        <v>234.96581196581195</v>
      </c>
      <c r="J624" s="163">
        <f t="shared" si="104"/>
        <v>-0.23881382212869651</v>
      </c>
      <c r="K624" s="164">
        <f t="shared" si="103"/>
        <v>-5.6100769218929702E-2</v>
      </c>
      <c r="L624" s="163">
        <f t="shared" si="105"/>
        <v>-0.36719015255710108</v>
      </c>
    </row>
    <row r="625" spans="2:12">
      <c r="B625" s="28" t="s">
        <v>140</v>
      </c>
      <c r="C625" s="435"/>
      <c r="D625" s="47" t="s">
        <v>20</v>
      </c>
      <c r="E625" s="47"/>
      <c r="F625" s="126">
        <f>+(F592/$F$558)</f>
        <v>164.09375</v>
      </c>
      <c r="G625" s="126">
        <f>+(G592/$F$558)</f>
        <v>145.9375</v>
      </c>
      <c r="H625" s="126">
        <f>+(H592/$H$558)</f>
        <v>111.58064516129032</v>
      </c>
      <c r="I625" s="126">
        <f>+(I592/$H$558)</f>
        <v>97.548387096774192</v>
      </c>
      <c r="J625" s="163">
        <f t="shared" si="104"/>
        <v>-0.12575888985255856</v>
      </c>
      <c r="K625" s="164">
        <f t="shared" si="103"/>
        <v>-0.33157422117842095</v>
      </c>
      <c r="L625" s="163">
        <f t="shared" si="105"/>
        <v>3.4848571265613471E-2</v>
      </c>
    </row>
    <row r="626" spans="2:12">
      <c r="B626" s="28" t="s">
        <v>135</v>
      </c>
      <c r="C626" s="435"/>
      <c r="D626" s="47" t="s">
        <v>23</v>
      </c>
      <c r="E626" s="47"/>
      <c r="F626" s="126">
        <f>+(F593/$F$559)</f>
        <v>388.27272727272725</v>
      </c>
      <c r="G626" s="126">
        <f>+(G593/$F$559)</f>
        <v>272.90909090909093</v>
      </c>
      <c r="H626" s="126">
        <f>+(H593/$H$559)</f>
        <v>26.393939393939394</v>
      </c>
      <c r="I626" s="126">
        <f>+(I593/$H$559)</f>
        <v>25.484848484848484</v>
      </c>
      <c r="J626" s="163">
        <f t="shared" si="104"/>
        <v>-3.4443168771526977E-2</v>
      </c>
      <c r="K626" s="164">
        <f t="shared" si="103"/>
        <v>-0.90661781034865641</v>
      </c>
      <c r="L626" s="163">
        <f t="shared" si="105"/>
        <v>-0.43412518924172483</v>
      </c>
    </row>
    <row r="627" spans="2:12" ht="14.4" thickBot="1">
      <c r="C627" s="436"/>
      <c r="D627" s="49" t="s">
        <v>63</v>
      </c>
      <c r="E627" s="49"/>
      <c r="F627" s="129">
        <f>+(F594/$F$560)</f>
        <v>193.57203389830508</v>
      </c>
      <c r="G627" s="129">
        <f>+(G594/$F$560)</f>
        <v>169.02754237288136</v>
      </c>
      <c r="H627" s="129">
        <f>+(H594/$H$560)</f>
        <v>185.02312138728323</v>
      </c>
      <c r="I627" s="129">
        <f>+(I594/$H$560)</f>
        <v>155.94990366088632</v>
      </c>
      <c r="J627" s="166">
        <f t="shared" si="104"/>
        <v>-0.15713288970810291</v>
      </c>
      <c r="K627" s="166">
        <f t="shared" si="103"/>
        <v>-7.7369868415558263E-2</v>
      </c>
      <c r="L627" s="166">
        <f t="shared" si="105"/>
        <v>-0.19303886599916742</v>
      </c>
    </row>
    <row r="628" spans="2:12" ht="14.4" thickTop="1"/>
    <row r="629" spans="2:12" ht="21" thickBot="1">
      <c r="B629" s="966" t="s">
        <v>366</v>
      </c>
      <c r="C629" s="966"/>
      <c r="D629" s="966"/>
      <c r="E629" s="966"/>
      <c r="F629" s="966"/>
      <c r="G629" s="966"/>
      <c r="H629" s="966"/>
      <c r="I629" s="966"/>
    </row>
    <row r="630" spans="2:12" ht="28.8" thickTop="1" thickBot="1">
      <c r="J630" s="174" t="s">
        <v>364</v>
      </c>
      <c r="K630" s="175" t="s">
        <v>152</v>
      </c>
      <c r="L630" s="175" t="s">
        <v>365</v>
      </c>
    </row>
    <row r="631" spans="2:12" ht="15" thickTop="1" thickBot="1">
      <c r="F631" s="418" t="s">
        <v>419</v>
      </c>
      <c r="G631" s="261">
        <v>44926</v>
      </c>
      <c r="H631" s="261" t="s">
        <v>497</v>
      </c>
      <c r="I631" s="261">
        <v>45291</v>
      </c>
    </row>
    <row r="632" spans="2:12" ht="14.4" thickTop="1">
      <c r="C632" s="463" t="s">
        <v>25</v>
      </c>
      <c r="D632" s="45" t="s">
        <v>64</v>
      </c>
      <c r="E632" s="45"/>
      <c r="F632" s="124"/>
      <c r="G632" s="124">
        <f t="shared" ref="G632" si="106">SUM(G640,G645)</f>
        <v>252189</v>
      </c>
      <c r="H632" s="124"/>
      <c r="I632" s="124">
        <f>SUM(I640,I645)</f>
        <v>245485</v>
      </c>
      <c r="J632" s="103"/>
      <c r="K632" s="165">
        <f t="shared" ref="K632:K645" si="107">+I632/G632-1</f>
        <v>-2.6583237175293095E-2</v>
      </c>
      <c r="L632" s="103"/>
    </row>
    <row r="633" spans="2:12">
      <c r="B633" s="28" t="s">
        <v>131</v>
      </c>
      <c r="C633" s="435" t="s">
        <v>367</v>
      </c>
      <c r="D633" s="47" t="s">
        <v>13</v>
      </c>
      <c r="E633" s="47"/>
      <c r="F633" s="126"/>
      <c r="G633" s="126">
        <f>+SUMIFS(Equipement_Efficité!$U:$U,Equipement_Efficité!$B:$B,'Tableau détaillé'!$B633)</f>
        <v>32545</v>
      </c>
      <c r="H633" s="126"/>
      <c r="I633" s="126">
        <f>+SUMIFS(Equipement_Efficité!$T:$T,Equipement_Efficité!$B:$B,'Tableau détaillé'!$B633)</f>
        <v>40771</v>
      </c>
      <c r="J633" s="163"/>
      <c r="K633" s="164">
        <f t="shared" si="107"/>
        <v>0.25275772007988939</v>
      </c>
      <c r="L633" s="163"/>
    </row>
    <row r="634" spans="2:12">
      <c r="B634" s="28" t="s">
        <v>136</v>
      </c>
      <c r="C634" s="435"/>
      <c r="D634" s="47" t="s">
        <v>14</v>
      </c>
      <c r="E634" s="47"/>
      <c r="F634" s="126"/>
      <c r="G634" s="126">
        <f>+SUMIFS(Equipement_Efficité!$U:$U,Equipement_Efficité!$B:$B,'Tableau détaillé'!$B634)</f>
        <v>15949</v>
      </c>
      <c r="H634" s="126"/>
      <c r="I634" s="126">
        <f>+SUMIFS(Equipement_Efficité!$T:$T,Equipement_Efficité!$B:$B,'Tableau détaillé'!$B634)</f>
        <v>18118</v>
      </c>
      <c r="J634" s="163"/>
      <c r="K634" s="164">
        <f t="shared" si="107"/>
        <v>0.13599598720922934</v>
      </c>
      <c r="L634" s="163"/>
    </row>
    <row r="635" spans="2:12">
      <c r="B635" s="28" t="s">
        <v>141</v>
      </c>
      <c r="C635" s="435"/>
      <c r="D635" s="47" t="s">
        <v>17</v>
      </c>
      <c r="E635" s="47"/>
      <c r="F635" s="126"/>
      <c r="G635" s="126">
        <f>+SUMIFS(Equipement_Efficité!$U:$U,Equipement_Efficité!$B:$B,'Tableau détaillé'!$B635)</f>
        <v>14936</v>
      </c>
      <c r="H635" s="126"/>
      <c r="I635" s="126">
        <f>+SUMIFS(Equipement_Efficité!$T:$T,Equipement_Efficité!$B:$B,'Tableau détaillé'!$B635)</f>
        <v>15351</v>
      </c>
      <c r="J635" s="163"/>
      <c r="K635" s="164">
        <f t="shared" si="107"/>
        <v>2.7785216925549028E-2</v>
      </c>
      <c r="L635" s="163"/>
    </row>
    <row r="636" spans="2:12">
      <c r="B636" s="28" t="s">
        <v>124</v>
      </c>
      <c r="C636" s="435"/>
      <c r="D636" s="47" t="s">
        <v>18</v>
      </c>
      <c r="E636" s="47"/>
      <c r="F636" s="126"/>
      <c r="G636" s="126">
        <f>+SUMIFS(Equipement_Efficité!$U:$U,Equipement_Efficité!$B:$B,'Tableau détaillé'!$B636)</f>
        <v>24622</v>
      </c>
      <c r="H636" s="126"/>
      <c r="I636" s="126">
        <f>+SUMIFS(Equipement_Efficité!$T:$T,Equipement_Efficité!$B:$B,'Tableau détaillé'!$B636)</f>
        <v>18248</v>
      </c>
      <c r="J636" s="163"/>
      <c r="K636" s="164">
        <f t="shared" si="107"/>
        <v>-0.25887417756477948</v>
      </c>
      <c r="L636" s="163"/>
    </row>
    <row r="637" spans="2:12">
      <c r="B637" s="28" t="s">
        <v>137</v>
      </c>
      <c r="C637" s="435"/>
      <c r="D637" s="47" t="s">
        <v>19</v>
      </c>
      <c r="E637" s="47"/>
      <c r="F637" s="126"/>
      <c r="G637" s="126">
        <f>+SUMIFS(Equipement_Efficité!$U:$U,Equipement_Efficité!$B:$B,'Tableau détaillé'!$B637)</f>
        <v>16201</v>
      </c>
      <c r="H637" s="126"/>
      <c r="I637" s="126">
        <f>+SUMIFS(Equipement_Efficité!$T:$T,Equipement_Efficité!$B:$B,'Tableau détaillé'!$B637)</f>
        <v>8159</v>
      </c>
      <c r="J637" s="163"/>
      <c r="K637" s="164">
        <f t="shared" si="107"/>
        <v>-0.4963891117832232</v>
      </c>
      <c r="L637" s="163"/>
    </row>
    <row r="638" spans="2:12">
      <c r="B638" s="28" t="s">
        <v>123</v>
      </c>
      <c r="C638" s="435"/>
      <c r="D638" s="47" t="s">
        <v>21</v>
      </c>
      <c r="E638" s="47"/>
      <c r="F638" s="126"/>
      <c r="G638" s="126">
        <f>+SUMIFS(Equipement_Efficité!$U:$U,Equipement_Efficité!$B:$B,'Tableau détaillé'!$B638)</f>
        <v>2213</v>
      </c>
      <c r="H638" s="126"/>
      <c r="I638" s="126">
        <f>+SUMIFS(Equipement_Efficité!$T:$T,Equipement_Efficité!$B:$B,'Tableau détaillé'!$B638)</f>
        <v>1563</v>
      </c>
      <c r="J638" s="163"/>
      <c r="K638" s="164">
        <f t="shared" si="107"/>
        <v>-0.29371893357433343</v>
      </c>
      <c r="L638" s="163"/>
    </row>
    <row r="639" spans="2:12">
      <c r="B639" s="28" t="s">
        <v>139</v>
      </c>
      <c r="C639" s="435"/>
      <c r="D639" s="47" t="s">
        <v>22</v>
      </c>
      <c r="E639" s="47"/>
      <c r="F639" s="126"/>
      <c r="G639" s="126">
        <f>+SUMIFS(Equipement_Efficité!$U:$U,Equipement_Efficité!$B:$B,'Tableau détaillé'!$B639)</f>
        <v>13265</v>
      </c>
      <c r="H639" s="126"/>
      <c r="I639" s="126">
        <f>+SUMIFS(Equipement_Efficité!$T:$T,Equipement_Efficité!$B:$B,'Tableau détaillé'!$B639)</f>
        <v>12289</v>
      </c>
      <c r="J639" s="163"/>
      <c r="K639" s="164">
        <f t="shared" si="107"/>
        <v>-7.3577082548058836E-2</v>
      </c>
      <c r="L639" s="163"/>
    </row>
    <row r="640" spans="2:12">
      <c r="C640" s="435"/>
      <c r="D640" s="48" t="s">
        <v>62</v>
      </c>
      <c r="E640" s="48"/>
      <c r="F640" s="124"/>
      <c r="G640" s="124">
        <f t="shared" ref="G640" si="108">SUM(G633:G639)</f>
        <v>119731</v>
      </c>
      <c r="H640" s="124"/>
      <c r="I640" s="124">
        <f>SUM(I633:I639)</f>
        <v>114499</v>
      </c>
      <c r="J640" s="103"/>
      <c r="K640" s="165">
        <f t="shared" si="107"/>
        <v>-4.3697956251931402E-2</v>
      </c>
      <c r="L640" s="103"/>
    </row>
    <row r="641" spans="2:12">
      <c r="B641" s="28" t="s">
        <v>138</v>
      </c>
      <c r="C641" s="435"/>
      <c r="D641" s="47" t="s">
        <v>15</v>
      </c>
      <c r="E641" s="47"/>
      <c r="F641" s="126"/>
      <c r="G641" s="126">
        <f>+SUMIFS(Equipement_Efficité!$U:$U,Equipement_Efficité!$B:$B,'Tableau détaillé'!$B641)</f>
        <v>86540</v>
      </c>
      <c r="H641" s="126"/>
      <c r="I641" s="126">
        <f>+SUMIFS(Equipement_Efficité!$T:$T,Equipement_Efficité!$B:$B,'Tableau détaillé'!$B641)</f>
        <v>85102</v>
      </c>
      <c r="J641" s="163"/>
      <c r="K641" s="164">
        <f t="shared" si="107"/>
        <v>-1.6616593482782549E-2</v>
      </c>
      <c r="L641" s="163"/>
    </row>
    <row r="642" spans="2:12">
      <c r="B642" s="28" t="s">
        <v>132</v>
      </c>
      <c r="C642" s="435"/>
      <c r="D642" s="47" t="s">
        <v>16</v>
      </c>
      <c r="E642" s="47"/>
      <c r="F642" s="126"/>
      <c r="G642" s="126">
        <f>+SUMIFS(Equipement_Efficité!$U:$U,Equipement_Efficité!$B:$B,'Tableau détaillé'!$B642)</f>
        <v>35710</v>
      </c>
      <c r="H642" s="126"/>
      <c r="I642" s="126">
        <f>+SUMIFS(Equipement_Efficité!$T:$T,Equipement_Efficité!$B:$B,'Tableau détaillé'!$B642)</f>
        <v>37569</v>
      </c>
      <c r="J642" s="163"/>
      <c r="K642" s="164">
        <f t="shared" si="107"/>
        <v>5.2058246989638679E-2</v>
      </c>
      <c r="L642" s="163"/>
    </row>
    <row r="643" spans="2:12">
      <c r="B643" s="28" t="s">
        <v>140</v>
      </c>
      <c r="C643" s="435"/>
      <c r="D643" s="47" t="s">
        <v>20</v>
      </c>
      <c r="E643" s="47"/>
      <c r="F643" s="126"/>
      <c r="G643" s="126">
        <f>+SUMIFS(Equipement_Efficité!$U:$U,Equipement_Efficité!$B:$B,'Tableau détaillé'!$B643)</f>
        <v>8668</v>
      </c>
      <c r="H643" s="126"/>
      <c r="I643" s="126">
        <f>+SUMIFS(Equipement_Efficité!$T:$T,Equipement_Efficité!$B:$B,'Tableau détaillé'!$B643)</f>
        <v>6980</v>
      </c>
      <c r="J643" s="163"/>
      <c r="K643" s="164">
        <f t="shared" si="107"/>
        <v>-0.19473927088140286</v>
      </c>
      <c r="L643" s="163"/>
    </row>
    <row r="644" spans="2:12">
      <c r="B644" s="28" t="s">
        <v>135</v>
      </c>
      <c r="C644" s="435"/>
      <c r="D644" s="47" t="s">
        <v>23</v>
      </c>
      <c r="E644" s="47"/>
      <c r="F644" s="126"/>
      <c r="G644" s="126">
        <f>+SUMIFS(Equipement_Efficité!$U:$U,Equipement_Efficité!$B:$B,'Tableau détaillé'!$B644)</f>
        <v>1540</v>
      </c>
      <c r="H644" s="126"/>
      <c r="I644" s="126">
        <f>+SUMIFS(Equipement_Efficité!$T:$T,Equipement_Efficité!$B:$B,'Tableau détaillé'!$B644)</f>
        <v>1335</v>
      </c>
      <c r="J644" s="163"/>
      <c r="K644" s="164">
        <f t="shared" si="107"/>
        <v>-0.13311688311688308</v>
      </c>
      <c r="L644" s="163"/>
    </row>
    <row r="645" spans="2:12" ht="14.4" thickBot="1">
      <c r="C645" s="436"/>
      <c r="D645" s="49" t="s">
        <v>63</v>
      </c>
      <c r="E645" s="49"/>
      <c r="F645" s="129"/>
      <c r="G645" s="129">
        <f t="shared" ref="G645" si="109">SUM(G641:G644)</f>
        <v>132458</v>
      </c>
      <c r="H645" s="129"/>
      <c r="I645" s="129">
        <f>SUM(I641:I644)</f>
        <v>130986</v>
      </c>
      <c r="J645" s="166"/>
      <c r="K645" s="166">
        <f t="shared" si="107"/>
        <v>-1.1112956559815146E-2</v>
      </c>
      <c r="L645" s="166"/>
    </row>
    <row r="646" spans="2:12" ht="14.4" thickTop="1">
      <c r="C646" s="252"/>
      <c r="F646" s="132"/>
      <c r="G646" s="132"/>
      <c r="H646" s="98"/>
      <c r="I646" s="98"/>
    </row>
    <row r="647" spans="2:12">
      <c r="C647" s="252"/>
      <c r="F647" s="132"/>
      <c r="G647" s="132"/>
      <c r="H647" s="98"/>
      <c r="I647" s="98"/>
    </row>
    <row r="648" spans="2:12" ht="14.4" thickBot="1">
      <c r="C648" s="252"/>
      <c r="F648" s="418" t="s">
        <v>419</v>
      </c>
      <c r="G648" s="261">
        <v>44926</v>
      </c>
      <c r="H648" s="261" t="s">
        <v>497</v>
      </c>
      <c r="I648" s="261">
        <v>45291</v>
      </c>
    </row>
    <row r="649" spans="2:12" ht="14.4" thickTop="1">
      <c r="C649" s="463" t="s">
        <v>25</v>
      </c>
      <c r="D649" s="45" t="s">
        <v>64</v>
      </c>
      <c r="E649" s="45"/>
      <c r="F649" s="124">
        <f t="shared" ref="F649:G649" si="110">SUM(F657,F662)</f>
        <v>20170</v>
      </c>
      <c r="G649" s="124">
        <f t="shared" si="110"/>
        <v>15455</v>
      </c>
      <c r="H649" s="124">
        <f>SUM(H657,H662)</f>
        <v>18178</v>
      </c>
      <c r="I649" s="124">
        <f>SUM(I657,I662)</f>
        <v>14193</v>
      </c>
      <c r="J649" s="103"/>
      <c r="K649" s="165">
        <f t="shared" ref="K649:K662" si="111">+I649/G649-1</f>
        <v>-8.1656421869945039E-2</v>
      </c>
      <c r="L649" s="103"/>
    </row>
    <row r="650" spans="2:12">
      <c r="B650" s="28" t="s">
        <v>131</v>
      </c>
      <c r="C650" s="435" t="s">
        <v>368</v>
      </c>
      <c r="D650" s="47" t="s">
        <v>13</v>
      </c>
      <c r="E650" s="47"/>
      <c r="F650" s="126">
        <f>+SUMIFS(Equipement_Efficité!$Y:$Y,Equipement_Efficité!$B:$B,'Tableau détaillé'!$B650)</f>
        <v>2531</v>
      </c>
      <c r="G650" s="126">
        <f>+SUMIFS(Equipement_Efficité!$W:$W,Equipement_Efficité!$B:$B,'Tableau détaillé'!$B650)</f>
        <v>1889</v>
      </c>
      <c r="H650" s="126">
        <f>+SUMIFS(Equipement_Efficité!$X:$X,Equipement_Efficité!$B:$B,'Tableau détaillé'!$B650)</f>
        <v>2378</v>
      </c>
      <c r="I650" s="126">
        <f>+SUMIFS(Equipement_Efficité!$V:$V,Equipement_Efficité!$B:$B,'Tableau détaillé'!$B650)</f>
        <v>1863</v>
      </c>
      <c r="J650" s="163"/>
      <c r="K650" s="164">
        <f t="shared" si="111"/>
        <v>-1.3763896241397511E-2</v>
      </c>
      <c r="L650" s="163"/>
    </row>
    <row r="651" spans="2:12">
      <c r="B651" s="28" t="s">
        <v>136</v>
      </c>
      <c r="C651" s="435"/>
      <c r="D651" s="47" t="s">
        <v>14</v>
      </c>
      <c r="E651" s="47"/>
      <c r="F651" s="126">
        <f>+SUMIFS(Equipement_Efficité!$Y:$Y,Equipement_Efficité!$B:$B,'Tableau détaillé'!$B651)</f>
        <v>920</v>
      </c>
      <c r="G651" s="126">
        <f>+SUMIFS(Equipement_Efficité!$W:$W,Equipement_Efficité!$B:$B,'Tableau détaillé'!$B651)</f>
        <v>564</v>
      </c>
      <c r="H651" s="126">
        <f>+SUMIFS(Equipement_Efficité!$X:$X,Equipement_Efficité!$B:$B,'Tableau détaillé'!$B651)</f>
        <v>1303</v>
      </c>
      <c r="I651" s="126">
        <f>+SUMIFS(Equipement_Efficité!$V:$V,Equipement_Efficité!$B:$B,'Tableau détaillé'!$B651)</f>
        <v>752</v>
      </c>
      <c r="J651" s="163"/>
      <c r="K651" s="164">
        <f t="shared" si="111"/>
        <v>0.33333333333333326</v>
      </c>
      <c r="L651" s="163"/>
    </row>
    <row r="652" spans="2:12">
      <c r="B652" s="28" t="s">
        <v>141</v>
      </c>
      <c r="C652" s="435"/>
      <c r="D652" s="47" t="s">
        <v>17</v>
      </c>
      <c r="E652" s="47"/>
      <c r="F652" s="126">
        <f>+SUMIFS(Equipement_Efficité!$Y:$Y,Equipement_Efficité!$B:$B,'Tableau détaillé'!$B652)</f>
        <v>1261</v>
      </c>
      <c r="G652" s="126">
        <f>+SUMIFS(Equipement_Efficité!$W:$W,Equipement_Efficité!$B:$B,'Tableau détaillé'!$B652)</f>
        <v>1077</v>
      </c>
      <c r="H652" s="126">
        <f>+SUMIFS(Equipement_Efficité!$X:$X,Equipement_Efficité!$B:$B,'Tableau détaillé'!$B652)</f>
        <v>1357</v>
      </c>
      <c r="I652" s="126">
        <f>+SUMIFS(Equipement_Efficité!$V:$V,Equipement_Efficité!$B:$B,'Tableau détaillé'!$B652)</f>
        <v>1341</v>
      </c>
      <c r="J652" s="163"/>
      <c r="K652" s="164">
        <f t="shared" si="111"/>
        <v>0.24512534818941512</v>
      </c>
      <c r="L652" s="163"/>
    </row>
    <row r="653" spans="2:12">
      <c r="B653" s="28" t="s">
        <v>124</v>
      </c>
      <c r="C653" s="435"/>
      <c r="D653" s="47" t="s">
        <v>18</v>
      </c>
      <c r="E653" s="47"/>
      <c r="F653" s="126">
        <f>+SUMIFS(Equipement_Efficité!$Y:$Y,Equipement_Efficité!$B:$B,'Tableau détaillé'!$B653)</f>
        <v>1744</v>
      </c>
      <c r="G653" s="126">
        <f>+SUMIFS(Equipement_Efficité!$W:$W,Equipement_Efficité!$B:$B,'Tableau détaillé'!$B653)</f>
        <v>1019</v>
      </c>
      <c r="H653" s="126">
        <f>+SUMIFS(Equipement_Efficité!$X:$X,Equipement_Efficité!$B:$B,'Tableau détaillé'!$B653)</f>
        <v>1542</v>
      </c>
      <c r="I653" s="126">
        <f>+SUMIFS(Equipement_Efficité!$V:$V,Equipement_Efficité!$B:$B,'Tableau détaillé'!$B653)</f>
        <v>1034</v>
      </c>
      <c r="J653" s="163"/>
      <c r="K653" s="164">
        <f t="shared" si="111"/>
        <v>1.4720314033366044E-2</v>
      </c>
      <c r="L653" s="163"/>
    </row>
    <row r="654" spans="2:12">
      <c r="B654" s="28" t="s">
        <v>137</v>
      </c>
      <c r="C654" s="435"/>
      <c r="D654" s="47" t="s">
        <v>19</v>
      </c>
      <c r="E654" s="47"/>
      <c r="F654" s="126">
        <f>+SUMIFS(Equipement_Efficité!$Y:$Y,Equipement_Efficité!$B:$B,'Tableau détaillé'!$B654)</f>
        <v>1651</v>
      </c>
      <c r="G654" s="126">
        <f>+SUMIFS(Equipement_Efficité!$W:$W,Equipement_Efficité!$B:$B,'Tableau détaillé'!$B654)</f>
        <v>1048</v>
      </c>
      <c r="H654" s="126">
        <f>+SUMIFS(Equipement_Efficité!$X:$X,Equipement_Efficité!$B:$B,'Tableau détaillé'!$B654)</f>
        <v>881</v>
      </c>
      <c r="I654" s="126">
        <f>+SUMIFS(Equipement_Efficité!$V:$V,Equipement_Efficité!$B:$B,'Tableau détaillé'!$B654)</f>
        <v>582</v>
      </c>
      <c r="J654" s="163"/>
      <c r="K654" s="164">
        <f t="shared" si="111"/>
        <v>-0.44465648854961837</v>
      </c>
      <c r="L654" s="163"/>
    </row>
    <row r="655" spans="2:12">
      <c r="B655" s="28" t="s">
        <v>123</v>
      </c>
      <c r="C655" s="435"/>
      <c r="D655" s="47" t="s">
        <v>21</v>
      </c>
      <c r="E655" s="47"/>
      <c r="F655" s="126">
        <f>+SUMIFS(Equipement_Efficité!$Y:$Y,Equipement_Efficité!$B:$B,'Tableau détaillé'!$B655)</f>
        <v>184</v>
      </c>
      <c r="G655" s="126">
        <f>+SUMIFS(Equipement_Efficité!$W:$W,Equipement_Efficité!$B:$B,'Tableau détaillé'!$B655)</f>
        <v>121</v>
      </c>
      <c r="H655" s="126">
        <f>+SUMIFS(Equipement_Efficité!$X:$X,Equipement_Efficité!$B:$B,'Tableau détaillé'!$B655)</f>
        <v>116</v>
      </c>
      <c r="I655" s="126">
        <f>+SUMIFS(Equipement_Efficité!$V:$V,Equipement_Efficité!$B:$B,'Tableau détaillé'!$B655)</f>
        <v>101</v>
      </c>
      <c r="J655" s="163"/>
      <c r="K655" s="164">
        <f t="shared" si="111"/>
        <v>-0.16528925619834711</v>
      </c>
      <c r="L655" s="163"/>
    </row>
    <row r="656" spans="2:12">
      <c r="B656" s="28" t="s">
        <v>139</v>
      </c>
      <c r="C656" s="435"/>
      <c r="D656" s="47" t="s">
        <v>22</v>
      </c>
      <c r="E656" s="47"/>
      <c r="F656" s="126">
        <f>+SUMIFS(Equipement_Efficité!$Y:$Y,Equipement_Efficité!$B:$B,'Tableau détaillé'!$B656)</f>
        <v>625</v>
      </c>
      <c r="G656" s="126">
        <f>+SUMIFS(Equipement_Efficité!$W:$W,Equipement_Efficité!$B:$B,'Tableau détaillé'!$B656)</f>
        <v>451</v>
      </c>
      <c r="H656" s="126">
        <f>+SUMIFS(Equipement_Efficité!$X:$X,Equipement_Efficité!$B:$B,'Tableau détaillé'!$B656)</f>
        <v>472</v>
      </c>
      <c r="I656" s="126">
        <f>+SUMIFS(Equipement_Efficité!$V:$V,Equipement_Efficité!$B:$B,'Tableau détaillé'!$B656)</f>
        <v>287</v>
      </c>
      <c r="J656" s="163"/>
      <c r="K656" s="164">
        <f t="shared" si="111"/>
        <v>-0.36363636363636365</v>
      </c>
      <c r="L656" s="163"/>
    </row>
    <row r="657" spans="2:12">
      <c r="C657" s="435"/>
      <c r="D657" s="48" t="s">
        <v>62</v>
      </c>
      <c r="E657" s="48"/>
      <c r="F657" s="124">
        <f t="shared" ref="F657" si="112">SUM(F650:F656)</f>
        <v>8916</v>
      </c>
      <c r="G657" s="124">
        <f t="shared" ref="G657" si="113">SUM(G650:G656)</f>
        <v>6169</v>
      </c>
      <c r="H657" s="124">
        <f>SUM(H650:H656)</f>
        <v>8049</v>
      </c>
      <c r="I657" s="124">
        <f>SUM(I650:I656)</f>
        <v>5960</v>
      </c>
      <c r="J657" s="103"/>
      <c r="K657" s="165">
        <f t="shared" si="111"/>
        <v>-3.387907278327118E-2</v>
      </c>
      <c r="L657" s="103"/>
    </row>
    <row r="658" spans="2:12">
      <c r="B658" s="28" t="s">
        <v>138</v>
      </c>
      <c r="C658" s="435"/>
      <c r="D658" s="47" t="s">
        <v>15</v>
      </c>
      <c r="E658" s="47"/>
      <c r="F658" s="126">
        <f>+SUMIFS(Equipement_Efficité!$Y:$Y,Equipement_Efficité!$B:$B,'Tableau détaillé'!$B658)</f>
        <v>7467</v>
      </c>
      <c r="G658" s="126">
        <f>+SUMIFS(Equipement_Efficité!$W:$W,Equipement_Efficité!$B:$B,'Tableau détaillé'!$B658)</f>
        <v>6941</v>
      </c>
      <c r="H658" s="126">
        <f>+SUMIFS(Equipement_Efficité!$X:$X,Equipement_Efficité!$B:$B,'Tableau détaillé'!$B658)</f>
        <v>5671</v>
      </c>
      <c r="I658" s="126">
        <f>+SUMIFS(Equipement_Efficité!$V:$V,Equipement_Efficité!$B:$B,'Tableau détaillé'!$B658)</f>
        <v>5652</v>
      </c>
      <c r="J658" s="163"/>
      <c r="K658" s="164">
        <f t="shared" si="111"/>
        <v>-0.18570811122316666</v>
      </c>
      <c r="L658" s="163"/>
    </row>
    <row r="659" spans="2:12">
      <c r="B659" s="28" t="s">
        <v>132</v>
      </c>
      <c r="C659" s="435"/>
      <c r="D659" s="47" t="s">
        <v>16</v>
      </c>
      <c r="E659" s="47"/>
      <c r="F659" s="126">
        <f>+SUMIFS(Equipement_Efficité!$Y:$Y,Equipement_Efficité!$B:$B,'Tableau détaillé'!$B659)</f>
        <v>3030</v>
      </c>
      <c r="G659" s="126">
        <f>+SUMIFS(Equipement_Efficité!$W:$W,Equipement_Efficité!$B:$B,'Tableau détaillé'!$B659)</f>
        <v>1833</v>
      </c>
      <c r="H659" s="126">
        <f>+SUMIFS(Equipement_Efficité!$X:$X,Equipement_Efficité!$B:$B,'Tableau détaillé'!$B659)</f>
        <v>3659</v>
      </c>
      <c r="I659" s="126">
        <f>+SUMIFS(Equipement_Efficité!$V:$V,Equipement_Efficité!$B:$B,'Tableau détaillé'!$B659)</f>
        <v>1669</v>
      </c>
      <c r="J659" s="163"/>
      <c r="K659" s="164">
        <f t="shared" si="111"/>
        <v>-8.9470812875068195E-2</v>
      </c>
      <c r="L659" s="163"/>
    </row>
    <row r="660" spans="2:12">
      <c r="B660" s="28" t="s">
        <v>140</v>
      </c>
      <c r="C660" s="435"/>
      <c r="D660" s="47" t="s">
        <v>20</v>
      </c>
      <c r="E660" s="47"/>
      <c r="F660" s="126">
        <f>+SUMIFS(Equipement_Efficité!$Y:$Y,Equipement_Efficité!$B:$B,'Tableau détaillé'!$B660)</f>
        <v>648</v>
      </c>
      <c r="G660" s="126">
        <f>+SUMIFS(Equipement_Efficité!$W:$W,Equipement_Efficité!$B:$B,'Tableau détaillé'!$B660)</f>
        <v>416</v>
      </c>
      <c r="H660" s="126">
        <f>+SUMIFS(Equipement_Efficité!$X:$X,Equipement_Efficité!$B:$B,'Tableau détaillé'!$B660)</f>
        <v>666</v>
      </c>
      <c r="I660" s="126">
        <f>+SUMIFS(Equipement_Efficité!$V:$V,Equipement_Efficité!$B:$B,'Tableau détaillé'!$B660)</f>
        <v>800</v>
      </c>
      <c r="J660" s="163"/>
      <c r="K660" s="164">
        <f t="shared" si="111"/>
        <v>0.92307692307692313</v>
      </c>
      <c r="L660" s="163"/>
    </row>
    <row r="661" spans="2:12">
      <c r="B661" s="28" t="s">
        <v>135</v>
      </c>
      <c r="C661" s="435"/>
      <c r="D661" s="47" t="s">
        <v>23</v>
      </c>
      <c r="E661" s="47"/>
      <c r="F661" s="126">
        <f>+SUMIFS(Equipement_Efficité!$Y:$Y,Equipement_Efficité!$B:$B,'Tableau détaillé'!$B661)</f>
        <v>109</v>
      </c>
      <c r="G661" s="126">
        <f>+SUMIFS(Equipement_Efficité!$W:$W,Equipement_Efficité!$B:$B,'Tableau détaillé'!$B661)</f>
        <v>96</v>
      </c>
      <c r="H661" s="126">
        <f>+SUMIFS(Equipement_Efficité!$X:$X,Equipement_Efficité!$B:$B,'Tableau détaillé'!$B661)</f>
        <v>133</v>
      </c>
      <c r="I661" s="126">
        <f>+SUMIFS(Equipement_Efficité!$V:$V,Equipement_Efficité!$B:$B,'Tableau détaillé'!$B661)</f>
        <v>112</v>
      </c>
      <c r="J661" s="163"/>
      <c r="K661" s="164">
        <f t="shared" si="111"/>
        <v>0.16666666666666674</v>
      </c>
      <c r="L661" s="163"/>
    </row>
    <row r="662" spans="2:12" ht="14.4" thickBot="1">
      <c r="C662" s="436"/>
      <c r="D662" s="49" t="s">
        <v>63</v>
      </c>
      <c r="E662" s="49"/>
      <c r="F662" s="129">
        <f t="shared" ref="F662" si="114">SUM(F658:F661)</f>
        <v>11254</v>
      </c>
      <c r="G662" s="129">
        <f t="shared" ref="G662" si="115">SUM(G658:G661)</f>
        <v>9286</v>
      </c>
      <c r="H662" s="129">
        <f>SUM(H658:H661)</f>
        <v>10129</v>
      </c>
      <c r="I662" s="129">
        <f>SUM(I658:I661)</f>
        <v>8233</v>
      </c>
      <c r="J662" s="166"/>
      <c r="K662" s="166">
        <f t="shared" si="111"/>
        <v>-0.11339651087658842</v>
      </c>
      <c r="L662" s="166"/>
    </row>
    <row r="663" spans="2:12" ht="14.4" thickTop="1">
      <c r="C663" s="252"/>
      <c r="F663" s="132"/>
      <c r="G663" s="132"/>
      <c r="H663" s="98"/>
      <c r="I663" s="98"/>
    </row>
    <row r="664" spans="2:12" ht="14.4" thickBot="1">
      <c r="C664" s="252"/>
      <c r="F664" s="418" t="s">
        <v>419</v>
      </c>
      <c r="G664" s="261">
        <v>44926</v>
      </c>
      <c r="H664" s="261">
        <v>44957</v>
      </c>
      <c r="I664" s="261">
        <v>45291</v>
      </c>
    </row>
    <row r="665" spans="2:12" ht="14.4" thickTop="1">
      <c r="C665" s="463" t="s">
        <v>369</v>
      </c>
      <c r="D665" s="45" t="s">
        <v>64</v>
      </c>
      <c r="E665" s="45"/>
      <c r="F665" s="124"/>
      <c r="G665" s="124">
        <f>+(G632/$F$547)/MONTH(F$546)</f>
        <v>16.253480278422273</v>
      </c>
      <c r="H665" s="124"/>
      <c r="I665" s="124">
        <f>+(I632/$H$547)/MONTH(H$546)</f>
        <v>19.708172768143864</v>
      </c>
      <c r="J665" s="103"/>
      <c r="K665" s="165">
        <f t="shared" ref="K665:K678" si="116">+I665/G665-1</f>
        <v>0.21255093866314634</v>
      </c>
      <c r="L665" s="103"/>
    </row>
    <row r="666" spans="2:12">
      <c r="B666" s="28" t="s">
        <v>131</v>
      </c>
      <c r="C666" s="435" t="s">
        <v>363</v>
      </c>
      <c r="D666" s="47" t="s">
        <v>13</v>
      </c>
      <c r="E666" s="47"/>
      <c r="F666" s="126"/>
      <c r="G666" s="126">
        <f>+(G633/$F$548)/MONTH(F$546)</f>
        <v>8.9507700770077019</v>
      </c>
      <c r="H666" s="126"/>
      <c r="I666" s="126">
        <f>+(I633/$H$548)/MONTH(H$546)</f>
        <v>17.695746527777779</v>
      </c>
      <c r="J666" s="163"/>
      <c r="K666" s="164">
        <f t="shared" si="116"/>
        <v>0.97700827700107529</v>
      </c>
      <c r="L666" s="163"/>
    </row>
    <row r="667" spans="2:12">
      <c r="B667" s="28" t="s">
        <v>136</v>
      </c>
      <c r="C667" s="435"/>
      <c r="D667" s="47" t="s">
        <v>14</v>
      </c>
      <c r="E667" s="47"/>
      <c r="F667" s="126"/>
      <c r="G667" s="126">
        <f>+(G634/$F$549)/MONTH(F$546)</f>
        <v>8.2042181069958851</v>
      </c>
      <c r="H667" s="126"/>
      <c r="I667" s="126">
        <f>+(I634/$H$549)/MONTH(H$546)</f>
        <v>15.406462585034014</v>
      </c>
      <c r="J667" s="163"/>
      <c r="K667" s="164">
        <f t="shared" si="116"/>
        <v>0.87787091763158331</v>
      </c>
      <c r="L667" s="163"/>
    </row>
    <row r="668" spans="2:12">
      <c r="B668" s="28" t="s">
        <v>141</v>
      </c>
      <c r="C668" s="435"/>
      <c r="D668" s="47" t="s">
        <v>17</v>
      </c>
      <c r="E668" s="47"/>
      <c r="F668" s="126"/>
      <c r="G668" s="126">
        <f>+(G635/$F$550)/MONTH(F$546)</f>
        <v>7.3648915187376724</v>
      </c>
      <c r="H668" s="126"/>
      <c r="I668" s="126">
        <f>+(I635/$H$550)/MONTH(H$546)</f>
        <v>12.541666666666666</v>
      </c>
      <c r="J668" s="163"/>
      <c r="K668" s="164">
        <f t="shared" si="116"/>
        <v>0.70289903588644886</v>
      </c>
      <c r="L668" s="163"/>
    </row>
    <row r="669" spans="2:12">
      <c r="B669" s="28" t="s">
        <v>124</v>
      </c>
      <c r="C669" s="435"/>
      <c r="D669" s="47" t="s">
        <v>18</v>
      </c>
      <c r="E669" s="47"/>
      <c r="F669" s="126"/>
      <c r="G669" s="126">
        <f>+(G636/$F$551)/MONTH(F$546)</f>
        <v>26.99780701754386</v>
      </c>
      <c r="H669" s="126"/>
      <c r="I669" s="126">
        <f>+(I636/$H$551)/MONTH(H$546)</f>
        <v>47.520833333333336</v>
      </c>
      <c r="J669" s="163"/>
      <c r="K669" s="164">
        <f t="shared" si="116"/>
        <v>0.76017382828364877</v>
      </c>
      <c r="L669" s="163"/>
    </row>
    <row r="670" spans="2:12">
      <c r="B670" s="28" t="s">
        <v>137</v>
      </c>
      <c r="C670" s="435"/>
      <c r="D670" s="47" t="s">
        <v>19</v>
      </c>
      <c r="E670" s="47"/>
      <c r="F670" s="126"/>
      <c r="G670" s="126">
        <f>+(G637/$F$552)/MONTH(F$546)</f>
        <v>19.286904761904761</v>
      </c>
      <c r="H670" s="126"/>
      <c r="I670" s="126">
        <f>+(I637/$H$552)/MONTH(H$546)</f>
        <v>13.075320512820513</v>
      </c>
      <c r="J670" s="163"/>
      <c r="K670" s="164">
        <f t="shared" si="116"/>
        <v>-0.32206226586203124</v>
      </c>
      <c r="L670" s="163"/>
    </row>
    <row r="671" spans="2:12">
      <c r="B671" s="28" t="s">
        <v>123</v>
      </c>
      <c r="C671" s="435"/>
      <c r="D671" s="47" t="s">
        <v>21</v>
      </c>
      <c r="E671" s="47"/>
      <c r="F671" s="126"/>
      <c r="G671" s="126">
        <f>+(G638/$F$553)/MONTH(F$546)</f>
        <v>11.526041666666666</v>
      </c>
      <c r="H671" s="126"/>
      <c r="I671" s="126">
        <f>+(I638/$H$553)/MONTH(H$546)</f>
        <v>6.5125000000000002</v>
      </c>
      <c r="J671" s="163"/>
      <c r="K671" s="164">
        <f t="shared" si="116"/>
        <v>-0.4349751468594667</v>
      </c>
      <c r="L671" s="163"/>
    </row>
    <row r="672" spans="2:12">
      <c r="B672" s="28" t="s">
        <v>139</v>
      </c>
      <c r="C672" s="435"/>
      <c r="D672" s="47" t="s">
        <v>22</v>
      </c>
      <c r="E672" s="47"/>
      <c r="F672" s="126"/>
      <c r="G672" s="126">
        <f>+(G639/$F$554)/MONTH(F$546)</f>
        <v>44.216666666666669</v>
      </c>
      <c r="H672" s="126"/>
      <c r="I672" s="126">
        <f>+(I639/$H$554)/MONTH(H$546)</f>
        <v>44.525362318840585</v>
      </c>
      <c r="J672" s="163"/>
      <c r="K672" s="164">
        <f t="shared" si="116"/>
        <v>6.981432012979738E-3</v>
      </c>
      <c r="L672" s="163"/>
    </row>
    <row r="673" spans="2:12">
      <c r="C673" s="435"/>
      <c r="D673" s="48" t="s">
        <v>62</v>
      </c>
      <c r="E673" s="48"/>
      <c r="F673" s="124"/>
      <c r="G673" s="124">
        <f>+(G640/$F$555)/MONTH(F$546)</f>
        <v>12.152963865205036</v>
      </c>
      <c r="H673" s="124"/>
      <c r="I673" s="124">
        <f>+(I640/$H$555)/MONTH(H$546)</f>
        <v>18.384553628773283</v>
      </c>
      <c r="J673" s="103"/>
      <c r="K673" s="165">
        <f t="shared" si="116"/>
        <v>0.51276296323153026</v>
      </c>
      <c r="L673" s="103"/>
    </row>
    <row r="674" spans="2:12">
      <c r="B674" s="28" t="s">
        <v>138</v>
      </c>
      <c r="C674" s="435"/>
      <c r="D674" s="47" t="s">
        <v>15</v>
      </c>
      <c r="E674" s="47"/>
      <c r="F674" s="126"/>
      <c r="G674" s="126">
        <f>+(G641/$F$556)/MONTH(F$546)</f>
        <v>23.040468583599573</v>
      </c>
      <c r="H674" s="126"/>
      <c r="I674" s="126">
        <f>+(I641/$H$556)/MONTH(H$546)</f>
        <v>26.072916666666668</v>
      </c>
      <c r="J674" s="163"/>
      <c r="K674" s="164">
        <f t="shared" si="116"/>
        <v>0.13161399352900394</v>
      </c>
      <c r="L674" s="163"/>
    </row>
    <row r="675" spans="2:12">
      <c r="B675" s="28" t="s">
        <v>132</v>
      </c>
      <c r="C675" s="435"/>
      <c r="D675" s="47" t="s">
        <v>16</v>
      </c>
      <c r="E675" s="47"/>
      <c r="F675" s="126"/>
      <c r="G675" s="126">
        <f>+(G642/$F$557)/MONTH(F$546)</f>
        <v>25.65373563218391</v>
      </c>
      <c r="H675" s="126"/>
      <c r="I675" s="126">
        <f>+(I642/$H$557)/MONTH(H$546)</f>
        <v>26.758547008547009</v>
      </c>
      <c r="J675" s="163"/>
      <c r="K675" s="164">
        <f t="shared" si="116"/>
        <v>4.3066296160667372E-2</v>
      </c>
      <c r="L675" s="163"/>
    </row>
    <row r="676" spans="2:12">
      <c r="B676" s="28" t="s">
        <v>140</v>
      </c>
      <c r="C676" s="435"/>
      <c r="D676" s="47" t="s">
        <v>20</v>
      </c>
      <c r="E676" s="47"/>
      <c r="F676" s="126"/>
      <c r="G676" s="126">
        <f>+(G643/$F$558)/MONTH(F$546)</f>
        <v>22.572916666666668</v>
      </c>
      <c r="H676" s="126"/>
      <c r="I676" s="126">
        <f>+(I643/$H$558)/MONTH(H$546)</f>
        <v>18.763440860215052</v>
      </c>
      <c r="J676" s="163"/>
      <c r="K676" s="164">
        <f t="shared" si="116"/>
        <v>-0.16876311832919011</v>
      </c>
      <c r="L676" s="163"/>
    </row>
    <row r="677" spans="2:12">
      <c r="B677" s="28" t="s">
        <v>135</v>
      </c>
      <c r="C677" s="435"/>
      <c r="D677" s="47" t="s">
        <v>23</v>
      </c>
      <c r="E677" s="47"/>
      <c r="F677" s="126"/>
      <c r="G677" s="126">
        <f>+(G644/$F$559)/MONTH(F$546)</f>
        <v>11.666666666666666</v>
      </c>
      <c r="H677" s="126"/>
      <c r="I677" s="126">
        <f>+(I644/$H$559)/MONTH(H$546)</f>
        <v>1.1237373737373737</v>
      </c>
      <c r="J677" s="163"/>
      <c r="K677" s="164">
        <f t="shared" si="116"/>
        <v>-0.90367965367965364</v>
      </c>
      <c r="L677" s="163"/>
    </row>
    <row r="678" spans="2:12" ht="14.4" thickBot="1">
      <c r="C678" s="436"/>
      <c r="D678" s="49" t="s">
        <v>63</v>
      </c>
      <c r="E678" s="49"/>
      <c r="F678" s="129"/>
      <c r="G678" s="129">
        <f>+(G645/$F$560)/MONTH(F$546)</f>
        <v>23.385946327683616</v>
      </c>
      <c r="H678" s="129"/>
      <c r="I678" s="129">
        <f>+(I645/$H$560)/MONTH(H$546)</f>
        <v>21.031791907514449</v>
      </c>
      <c r="J678" s="166"/>
      <c r="K678" s="166">
        <f t="shared" si="116"/>
        <v>-0.1006653477769418</v>
      </c>
      <c r="L678" s="166"/>
    </row>
    <row r="679" spans="2:12" ht="14.4" thickTop="1">
      <c r="C679" s="252"/>
      <c r="F679" s="132"/>
      <c r="G679" s="132"/>
      <c r="H679" s="98"/>
      <c r="I679" s="98"/>
    </row>
    <row r="680" spans="2:12" ht="14.4" thickBot="1">
      <c r="C680" s="252"/>
      <c r="F680" s="132"/>
      <c r="G680" s="132"/>
      <c r="H680" s="98"/>
      <c r="I680" s="98"/>
    </row>
    <row r="681" spans="2:12" ht="28.8" thickTop="1" thickBot="1">
      <c r="C681" s="252"/>
      <c r="F681" s="418" t="s">
        <v>419</v>
      </c>
      <c r="G681" s="261">
        <v>44926</v>
      </c>
      <c r="H681" s="261">
        <v>44957</v>
      </c>
      <c r="I681" s="261">
        <v>45291</v>
      </c>
      <c r="J681" s="174" t="s">
        <v>364</v>
      </c>
      <c r="K681" s="175" t="s">
        <v>152</v>
      </c>
      <c r="L681" s="175" t="s">
        <v>365</v>
      </c>
    </row>
    <row r="682" spans="2:12" ht="14.4" thickTop="1">
      <c r="C682" s="463" t="s">
        <v>369</v>
      </c>
      <c r="D682" s="45" t="s">
        <v>64</v>
      </c>
      <c r="E682" s="45"/>
      <c r="F682" s="124">
        <f>+(F649/$F$547)</f>
        <v>15.59938128383604</v>
      </c>
      <c r="G682" s="124">
        <f>+(G649/$F$547)</f>
        <v>11.952822892498066</v>
      </c>
      <c r="H682" s="124">
        <f>+(H649/$H$547)</f>
        <v>17.51252408477842</v>
      </c>
      <c r="I682" s="124">
        <f>+(I649/$H$547)</f>
        <v>13.673410404624278</v>
      </c>
      <c r="J682" s="103">
        <f>+I682/H682-1</f>
        <v>-0.21922103641764767</v>
      </c>
      <c r="K682" s="165">
        <f t="shared" ref="K682:K695" si="117">+I682/G682-1</f>
        <v>0.1439482143758779</v>
      </c>
      <c r="L682" s="103">
        <f>+I682/I665-1</f>
        <v>-0.30620608183799414</v>
      </c>
    </row>
    <row r="683" spans="2:12">
      <c r="B683" s="28" t="s">
        <v>131</v>
      </c>
      <c r="C683" s="435" t="s">
        <v>362</v>
      </c>
      <c r="D683" s="47" t="s">
        <v>13</v>
      </c>
      <c r="E683" s="47"/>
      <c r="F683" s="126">
        <f>+(F650/$F$548)</f>
        <v>8.3531353135313537</v>
      </c>
      <c r="G683" s="126">
        <f>+(G650/$F$548)</f>
        <v>6.2343234323432339</v>
      </c>
      <c r="H683" s="126">
        <f>+(H650/$H$548)</f>
        <v>12.385416666666666</v>
      </c>
      <c r="I683" s="126">
        <f>+(I650/$H$548)</f>
        <v>9.703125</v>
      </c>
      <c r="J683" s="163">
        <f t="shared" ref="J683:J695" si="118">+I683/H683-1</f>
        <v>-0.2165685449957947</v>
      </c>
      <c r="K683" s="164">
        <f t="shared" si="117"/>
        <v>0.55640385124404457</v>
      </c>
      <c r="L683" s="163">
        <f t="shared" ref="L683:L695" si="119">+I683/I666-1</f>
        <v>-0.45166907851168725</v>
      </c>
    </row>
    <row r="684" spans="2:12">
      <c r="B684" s="28" t="s">
        <v>136</v>
      </c>
      <c r="C684" s="435"/>
      <c r="D684" s="47" t="s">
        <v>14</v>
      </c>
      <c r="E684" s="47"/>
      <c r="F684" s="126">
        <f>+(F651/$F$549)</f>
        <v>5.6790123456790127</v>
      </c>
      <c r="G684" s="126">
        <f>+(G651/$F$549)</f>
        <v>3.4814814814814814</v>
      </c>
      <c r="H684" s="126">
        <f>+(H651/$H$549)</f>
        <v>13.295918367346939</v>
      </c>
      <c r="I684" s="126">
        <f>+(I651/$H$549)</f>
        <v>7.6734693877551017</v>
      </c>
      <c r="J684" s="163">
        <f t="shared" si="118"/>
        <v>-0.42287029930928632</v>
      </c>
      <c r="K684" s="164">
        <f t="shared" si="117"/>
        <v>1.204081632653061</v>
      </c>
      <c r="L684" s="163">
        <f t="shared" si="119"/>
        <v>-0.50193178054972964</v>
      </c>
    </row>
    <row r="685" spans="2:12">
      <c r="B685" s="28" t="s">
        <v>141</v>
      </c>
      <c r="C685" s="435"/>
      <c r="D685" s="47" t="s">
        <v>17</v>
      </c>
      <c r="E685" s="47"/>
      <c r="F685" s="126">
        <f>+(F652/$F$550)</f>
        <v>7.4615384615384617</v>
      </c>
      <c r="G685" s="126">
        <f>+(G652/$F$550)</f>
        <v>6.3727810650887573</v>
      </c>
      <c r="H685" s="126">
        <f>+(H652/$H$550)</f>
        <v>13.303921568627452</v>
      </c>
      <c r="I685" s="126">
        <f>+(I652/$H$550)</f>
        <v>13.147058823529411</v>
      </c>
      <c r="J685" s="163">
        <f t="shared" si="118"/>
        <v>-1.1790714812085601E-2</v>
      </c>
      <c r="K685" s="164">
        <f t="shared" si="117"/>
        <v>1.0630018023922658</v>
      </c>
      <c r="L685" s="163">
        <f t="shared" si="119"/>
        <v>4.8270470979089319E-2</v>
      </c>
    </row>
    <row r="686" spans="2:12">
      <c r="B686" s="28" t="s">
        <v>124</v>
      </c>
      <c r="C686" s="435"/>
      <c r="D686" s="47" t="s">
        <v>18</v>
      </c>
      <c r="E686" s="47"/>
      <c r="F686" s="126">
        <f>+(F653/$F$551)</f>
        <v>22.94736842105263</v>
      </c>
      <c r="G686" s="126">
        <f>+(G653/$F$551)</f>
        <v>13.407894736842104</v>
      </c>
      <c r="H686" s="126">
        <f>+(H653/$H$551)</f>
        <v>48.1875</v>
      </c>
      <c r="I686" s="126">
        <f>+(I653/$H$551)</f>
        <v>32.3125</v>
      </c>
      <c r="J686" s="163">
        <f t="shared" si="118"/>
        <v>-0.3294422827496758</v>
      </c>
      <c r="K686" s="164">
        <f t="shared" si="117"/>
        <v>1.4099607458292445</v>
      </c>
      <c r="L686" s="163">
        <f t="shared" si="119"/>
        <v>-0.32003507233669448</v>
      </c>
    </row>
    <row r="687" spans="2:12">
      <c r="B687" s="28" t="s">
        <v>137</v>
      </c>
      <c r="C687" s="435"/>
      <c r="D687" s="47" t="s">
        <v>19</v>
      </c>
      <c r="E687" s="47"/>
      <c r="F687" s="126">
        <f>+(F654/$F$552)</f>
        <v>23.585714285714285</v>
      </c>
      <c r="G687" s="126">
        <f>+(G654/$F$552)</f>
        <v>14.971428571428572</v>
      </c>
      <c r="H687" s="126">
        <f>+(H654/$H$552)</f>
        <v>16.942307692307693</v>
      </c>
      <c r="I687" s="126">
        <f>+(I654/$H$552)</f>
        <v>11.192307692307692</v>
      </c>
      <c r="J687" s="163">
        <f t="shared" si="118"/>
        <v>-0.3393870601589104</v>
      </c>
      <c r="K687" s="164">
        <f t="shared" si="117"/>
        <v>-0.25242219612448624</v>
      </c>
      <c r="L687" s="163">
        <f t="shared" si="119"/>
        <v>-0.14401274666012998</v>
      </c>
    </row>
    <row r="688" spans="2:12">
      <c r="B688" s="28" t="s">
        <v>123</v>
      </c>
      <c r="C688" s="435"/>
      <c r="D688" s="47" t="s">
        <v>21</v>
      </c>
      <c r="E688" s="47"/>
      <c r="F688" s="126">
        <f>+(F655/$F$553)</f>
        <v>11.5</v>
      </c>
      <c r="G688" s="126">
        <f>+(G655/$F$553)</f>
        <v>7.5625</v>
      </c>
      <c r="H688" s="126">
        <f>+(H655/$H$553)</f>
        <v>5.8</v>
      </c>
      <c r="I688" s="126">
        <f>+(I655/$H$553)</f>
        <v>5.05</v>
      </c>
      <c r="J688" s="163">
        <f t="shared" si="118"/>
        <v>-0.12931034482758619</v>
      </c>
      <c r="K688" s="164">
        <f t="shared" si="117"/>
        <v>-0.33223140495867776</v>
      </c>
      <c r="L688" s="163">
        <f t="shared" si="119"/>
        <v>-0.22456813819577737</v>
      </c>
    </row>
    <row r="689" spans="2:12">
      <c r="B689" s="28" t="s">
        <v>139</v>
      </c>
      <c r="C689" s="435"/>
      <c r="D689" s="47" t="s">
        <v>22</v>
      </c>
      <c r="E689" s="47"/>
      <c r="F689" s="126">
        <f>+(F656/$F$554)</f>
        <v>25</v>
      </c>
      <c r="G689" s="126">
        <f>+(G656/$F$554)</f>
        <v>18.04</v>
      </c>
      <c r="H689" s="126">
        <f>+(H656/$H$554)</f>
        <v>20.521739130434781</v>
      </c>
      <c r="I689" s="126">
        <f>+(I656/$H$554)</f>
        <v>12.478260869565217</v>
      </c>
      <c r="J689" s="163">
        <f t="shared" si="118"/>
        <v>-0.39194915254237284</v>
      </c>
      <c r="K689" s="164">
        <f t="shared" si="117"/>
        <v>-0.30830039525691699</v>
      </c>
      <c r="L689" s="163">
        <f t="shared" si="119"/>
        <v>-0.71974936935470746</v>
      </c>
    </row>
    <row r="690" spans="2:12">
      <c r="C690" s="435"/>
      <c r="D690" s="48" t="s">
        <v>62</v>
      </c>
      <c r="E690" s="48"/>
      <c r="F690" s="124">
        <f>+(F657/$F$555)</f>
        <v>10.859926918392205</v>
      </c>
      <c r="G690" s="124">
        <f>+(G657/$F$555)</f>
        <v>7.5140073081607799</v>
      </c>
      <c r="H690" s="124">
        <f>+(H657/$H$555)</f>
        <v>15.508670520231213</v>
      </c>
      <c r="I690" s="124">
        <f>+(I657/$H$555)</f>
        <v>11.483622350674374</v>
      </c>
      <c r="J690" s="103">
        <f t="shared" si="118"/>
        <v>-0.25953534600571493</v>
      </c>
      <c r="K690" s="165">
        <f t="shared" si="117"/>
        <v>0.52829533958561514</v>
      </c>
      <c r="L690" s="103">
        <f t="shared" si="119"/>
        <v>-0.37536572371811117</v>
      </c>
    </row>
    <row r="691" spans="2:12">
      <c r="B691" s="28" t="s">
        <v>138</v>
      </c>
      <c r="C691" s="435"/>
      <c r="D691" s="47" t="s">
        <v>15</v>
      </c>
      <c r="E691" s="47"/>
      <c r="F691" s="126">
        <f>+(F658/$F$556)</f>
        <v>23.856230031948883</v>
      </c>
      <c r="G691" s="126">
        <f>+(G658/$F$556)</f>
        <v>22.175718849840255</v>
      </c>
      <c r="H691" s="126">
        <f>+(H658/$H$556)</f>
        <v>20.849264705882351</v>
      </c>
      <c r="I691" s="126">
        <f>+(I658/$H$556)</f>
        <v>20.779411764705884</v>
      </c>
      <c r="J691" s="163">
        <f t="shared" si="118"/>
        <v>-3.3503791218478796E-3</v>
      </c>
      <c r="K691" s="164">
        <f t="shared" si="117"/>
        <v>-6.2965583870776221E-2</v>
      </c>
      <c r="L691" s="163">
        <f t="shared" si="119"/>
        <v>-0.20302695588822817</v>
      </c>
    </row>
    <row r="692" spans="2:12">
      <c r="B692" s="28" t="s">
        <v>132</v>
      </c>
      <c r="C692" s="435"/>
      <c r="D692" s="47" t="s">
        <v>16</v>
      </c>
      <c r="E692" s="47"/>
      <c r="F692" s="126">
        <f>+(F659/$F$557)</f>
        <v>26.120689655172413</v>
      </c>
      <c r="G692" s="126">
        <f>+(G659/$F$557)</f>
        <v>15.801724137931034</v>
      </c>
      <c r="H692" s="126">
        <f>+(H659/$H$557)</f>
        <v>31.273504273504273</v>
      </c>
      <c r="I692" s="126">
        <f>+(I659/$H$557)</f>
        <v>14.264957264957266</v>
      </c>
      <c r="J692" s="163">
        <f t="shared" si="118"/>
        <v>-0.54386444383711385</v>
      </c>
      <c r="K692" s="164">
        <f t="shared" si="117"/>
        <v>-9.7253113619725662E-2</v>
      </c>
      <c r="L692" s="163">
        <f t="shared" si="119"/>
        <v>-0.46690090233969495</v>
      </c>
    </row>
    <row r="693" spans="2:12">
      <c r="B693" s="28" t="s">
        <v>140</v>
      </c>
      <c r="C693" s="435"/>
      <c r="D693" s="47" t="s">
        <v>20</v>
      </c>
      <c r="E693" s="47"/>
      <c r="F693" s="126">
        <f>+(F660/$F$558)</f>
        <v>20.25</v>
      </c>
      <c r="G693" s="126">
        <f>+(G660/$F$558)</f>
        <v>13</v>
      </c>
      <c r="H693" s="126">
        <f>+(H660/$H$558)</f>
        <v>21.483870967741936</v>
      </c>
      <c r="I693" s="126">
        <f>+(I660/$H$558)</f>
        <v>25.806451612903224</v>
      </c>
      <c r="J693" s="163">
        <f t="shared" si="118"/>
        <v>0.201201201201201</v>
      </c>
      <c r="K693" s="164">
        <f t="shared" si="117"/>
        <v>0.98511166253101723</v>
      </c>
      <c r="L693" s="163">
        <f t="shared" si="119"/>
        <v>0.37535816618911189</v>
      </c>
    </row>
    <row r="694" spans="2:12">
      <c r="B694" s="28" t="s">
        <v>135</v>
      </c>
      <c r="C694" s="435"/>
      <c r="D694" s="47" t="s">
        <v>23</v>
      </c>
      <c r="E694" s="47"/>
      <c r="F694" s="126">
        <f>+(F661/$F$559)</f>
        <v>9.9090909090909083</v>
      </c>
      <c r="G694" s="126">
        <f>+(G661/$F$559)</f>
        <v>8.7272727272727266</v>
      </c>
      <c r="H694" s="126">
        <f>+(H661/$H$559)</f>
        <v>1.3434343434343434</v>
      </c>
      <c r="I694" s="126">
        <f>+(I661/$H$559)</f>
        <v>1.1313131313131313</v>
      </c>
      <c r="J694" s="163">
        <f t="shared" si="118"/>
        <v>-0.15789473684210531</v>
      </c>
      <c r="K694" s="164">
        <f t="shared" si="117"/>
        <v>-0.87037037037037035</v>
      </c>
      <c r="L694" s="163">
        <f t="shared" si="119"/>
        <v>6.741573033707926E-3</v>
      </c>
    </row>
    <row r="695" spans="2:12" ht="14.4" thickBot="1">
      <c r="C695" s="436"/>
      <c r="D695" s="49" t="s">
        <v>63</v>
      </c>
      <c r="E695" s="49"/>
      <c r="F695" s="129">
        <f>+(F662/$F$560)</f>
        <v>23.843220338983052</v>
      </c>
      <c r="G695" s="129">
        <f>+(G662/$F$560)</f>
        <v>19.673728813559322</v>
      </c>
      <c r="H695" s="129">
        <f>+(H662/$H$560)</f>
        <v>19.516377649325626</v>
      </c>
      <c r="I695" s="129">
        <f>+(I662/$H$560)</f>
        <v>15.863198458574182</v>
      </c>
      <c r="J695" s="166">
        <f t="shared" si="118"/>
        <v>-0.18718530950735512</v>
      </c>
      <c r="K695" s="166">
        <f t="shared" si="117"/>
        <v>-0.19368622954479708</v>
      </c>
      <c r="L695" s="166">
        <f t="shared" si="119"/>
        <v>-0.24575145435390033</v>
      </c>
    </row>
    <row r="696" spans="2:12" ht="14.4" thickTop="1"/>
    <row r="698" spans="2:12" ht="21" thickBot="1">
      <c r="B698" s="966" t="s">
        <v>370</v>
      </c>
      <c r="C698" s="966"/>
      <c r="D698" s="966"/>
      <c r="E698" s="966"/>
      <c r="F698" s="966"/>
      <c r="G698" s="966"/>
      <c r="H698" s="966"/>
      <c r="I698" s="966"/>
    </row>
    <row r="699" spans="2:12" ht="28.8" thickTop="1" thickBot="1">
      <c r="J699" s="174" t="s">
        <v>364</v>
      </c>
      <c r="K699" s="175" t="s">
        <v>152</v>
      </c>
      <c r="L699" s="175" t="s">
        <v>365</v>
      </c>
    </row>
    <row r="700" spans="2:12" ht="15" thickTop="1" thickBot="1">
      <c r="F700" s="418" t="s">
        <v>419</v>
      </c>
      <c r="G700" s="261">
        <v>44926</v>
      </c>
      <c r="H700" s="261">
        <v>44957</v>
      </c>
      <c r="I700" s="261">
        <v>45291</v>
      </c>
    </row>
    <row r="701" spans="2:12" ht="14.4" thickTop="1">
      <c r="C701" s="463" t="s">
        <v>25</v>
      </c>
      <c r="D701" s="45" t="s">
        <v>64</v>
      </c>
      <c r="E701" s="45"/>
      <c r="F701" s="124"/>
      <c r="G701" s="124">
        <f t="shared" ref="G701" si="120">SUM(G709,G714)</f>
        <v>166715</v>
      </c>
      <c r="H701" s="124"/>
      <c r="I701" s="124">
        <f>SUM(I709,I714)</f>
        <v>160388</v>
      </c>
      <c r="J701" s="103"/>
      <c r="K701" s="165">
        <f t="shared" ref="K701:K714" si="121">+I701/G701-1</f>
        <v>-3.7950994211678579E-2</v>
      </c>
      <c r="L701" s="103"/>
    </row>
    <row r="702" spans="2:12">
      <c r="B702" s="28" t="s">
        <v>131</v>
      </c>
      <c r="C702" s="435" t="s">
        <v>371</v>
      </c>
      <c r="D702" s="47" t="s">
        <v>13</v>
      </c>
      <c r="E702" s="47"/>
      <c r="F702" s="126"/>
      <c r="G702" s="126">
        <f>+SUMIFS(Equipement_Efficité!$AA:$AA,Equipement_Efficité!$B:$B,'Tableau détaillé'!$B702)</f>
        <v>95595</v>
      </c>
      <c r="H702" s="126"/>
      <c r="I702" s="126">
        <f>+SUMIFS(Equipement_Efficité!$Z:$Z,Equipement_Efficité!$B:$B,'Tableau détaillé'!$B702)</f>
        <v>93023</v>
      </c>
      <c r="J702" s="163"/>
      <c r="K702" s="164">
        <f t="shared" si="121"/>
        <v>-2.690517286468963E-2</v>
      </c>
      <c r="L702" s="163"/>
    </row>
    <row r="703" spans="2:12">
      <c r="B703" s="28" t="s">
        <v>136</v>
      </c>
      <c r="C703" s="435"/>
      <c r="D703" s="47" t="s">
        <v>14</v>
      </c>
      <c r="E703" s="47"/>
      <c r="F703" s="126"/>
      <c r="G703" s="126">
        <f>+SUMIFS(Equipement_Efficité!$AA:$AA,Equipement_Efficité!$B:$B,'Tableau détaillé'!$B703)</f>
        <v>7028</v>
      </c>
      <c r="H703" s="126"/>
      <c r="I703" s="126">
        <f>+SUMIFS(Equipement_Efficité!$Z:$Z,Equipement_Efficité!$B:$B,'Tableau détaillé'!$B703)</f>
        <v>8867</v>
      </c>
      <c r="J703" s="163"/>
      <c r="K703" s="164">
        <f t="shared" si="121"/>
        <v>0.26166761525327265</v>
      </c>
      <c r="L703" s="163"/>
    </row>
    <row r="704" spans="2:12">
      <c r="B704" s="28" t="s">
        <v>141</v>
      </c>
      <c r="C704" s="435"/>
      <c r="D704" s="47" t="s">
        <v>17</v>
      </c>
      <c r="E704" s="47"/>
      <c r="F704" s="126"/>
      <c r="G704" s="126">
        <f>+SUMIFS(Equipement_Efficité!$AA:$AA,Equipement_Efficité!$B:$B,'Tableau détaillé'!$B704)</f>
        <v>12998</v>
      </c>
      <c r="H704" s="126"/>
      <c r="I704" s="126">
        <f>+SUMIFS(Equipement_Efficité!$Z:$Z,Equipement_Efficité!$B:$B,'Tableau détaillé'!$B704)</f>
        <v>7122</v>
      </c>
      <c r="J704" s="163"/>
      <c r="K704" s="164">
        <f t="shared" si="121"/>
        <v>-0.4520695491614094</v>
      </c>
      <c r="L704" s="163"/>
    </row>
    <row r="705" spans="2:12">
      <c r="B705" s="28" t="s">
        <v>124</v>
      </c>
      <c r="C705" s="435"/>
      <c r="D705" s="47" t="s">
        <v>18</v>
      </c>
      <c r="E705" s="47"/>
      <c r="F705" s="126"/>
      <c r="G705" s="126">
        <f>+SUMIFS(Equipement_Efficité!$AA:$AA,Equipement_Efficité!$B:$B,'Tableau détaillé'!$B705)</f>
        <v>10101</v>
      </c>
      <c r="H705" s="126"/>
      <c r="I705" s="126">
        <f>+SUMIFS(Equipement_Efficité!$Z:$Z,Equipement_Efficité!$B:$B,'Tableau détaillé'!$B705)</f>
        <v>6416</v>
      </c>
      <c r="J705" s="163"/>
      <c r="K705" s="164">
        <f t="shared" si="121"/>
        <v>-0.36481536481536481</v>
      </c>
      <c r="L705" s="163"/>
    </row>
    <row r="706" spans="2:12">
      <c r="B706" s="28" t="s">
        <v>137</v>
      </c>
      <c r="C706" s="435"/>
      <c r="D706" s="47" t="s">
        <v>19</v>
      </c>
      <c r="E706" s="47"/>
      <c r="F706" s="126"/>
      <c r="G706" s="126">
        <f>+SUMIFS(Equipement_Efficité!$AA:$AA,Equipement_Efficité!$B:$B,'Tableau détaillé'!$B706)</f>
        <v>757</v>
      </c>
      <c r="H706" s="126"/>
      <c r="I706" s="126">
        <f>+SUMIFS(Equipement_Efficité!$Z:$Z,Equipement_Efficité!$B:$B,'Tableau détaillé'!$B706)</f>
        <v>684</v>
      </c>
      <c r="J706" s="163"/>
      <c r="K706" s="164">
        <f t="shared" si="121"/>
        <v>-9.6433289299867941E-2</v>
      </c>
      <c r="L706" s="163"/>
    </row>
    <row r="707" spans="2:12">
      <c r="B707" s="28" t="s">
        <v>123</v>
      </c>
      <c r="C707" s="435"/>
      <c r="D707" s="47" t="s">
        <v>21</v>
      </c>
      <c r="E707" s="47"/>
      <c r="F707" s="126"/>
      <c r="G707" s="126">
        <f>+SUMIFS(Equipement_Efficité!$AA:$AA,Equipement_Efficité!$B:$B,'Tableau détaillé'!$B707)</f>
        <v>534</v>
      </c>
      <c r="H707" s="126"/>
      <c r="I707" s="126">
        <f>+SUMIFS(Equipement_Efficité!$Z:$Z,Equipement_Efficité!$B:$B,'Tableau détaillé'!$B707)</f>
        <v>302</v>
      </c>
      <c r="J707" s="163"/>
      <c r="K707" s="164">
        <f t="shared" si="121"/>
        <v>-0.43445692883895126</v>
      </c>
      <c r="L707" s="163"/>
    </row>
    <row r="708" spans="2:12">
      <c r="B708" s="28" t="s">
        <v>139</v>
      </c>
      <c r="C708" s="435"/>
      <c r="D708" s="47" t="s">
        <v>22</v>
      </c>
      <c r="E708" s="47"/>
      <c r="F708" s="126"/>
      <c r="G708" s="126">
        <f>+SUMIFS(Equipement_Efficité!$AA:$AA,Equipement_Efficité!$B:$B,'Tableau détaillé'!$B708)</f>
        <v>226</v>
      </c>
      <c r="H708" s="126"/>
      <c r="I708" s="126">
        <f>+SUMIFS(Equipement_Efficité!$Z:$Z,Equipement_Efficité!$B:$B,'Tableau détaillé'!$B708)</f>
        <v>264</v>
      </c>
      <c r="J708" s="163"/>
      <c r="K708" s="164">
        <f t="shared" si="121"/>
        <v>0.16814159292035402</v>
      </c>
      <c r="L708" s="163"/>
    </row>
    <row r="709" spans="2:12">
      <c r="C709" s="435"/>
      <c r="D709" s="48" t="s">
        <v>62</v>
      </c>
      <c r="E709" s="48"/>
      <c r="F709" s="124"/>
      <c r="G709" s="124">
        <f t="shared" ref="G709" si="122">SUM(G702:G708)</f>
        <v>127239</v>
      </c>
      <c r="H709" s="124"/>
      <c r="I709" s="124">
        <f>SUM(I702:I708)</f>
        <v>116678</v>
      </c>
      <c r="J709" s="103"/>
      <c r="K709" s="165">
        <f t="shared" si="121"/>
        <v>-8.3001281053764919E-2</v>
      </c>
      <c r="L709" s="103"/>
    </row>
    <row r="710" spans="2:12">
      <c r="B710" s="28" t="s">
        <v>138</v>
      </c>
      <c r="C710" s="435"/>
      <c r="D710" s="47" t="s">
        <v>15</v>
      </c>
      <c r="E710" s="47"/>
      <c r="F710" s="126"/>
      <c r="G710" s="126">
        <f>+SUMIFS(Equipement_Efficité!$AA:$AA,Equipement_Efficité!$B:$B,'Tableau détaillé'!$B710)</f>
        <v>20624</v>
      </c>
      <c r="H710" s="126"/>
      <c r="I710" s="126">
        <f>+SUMIFS(Equipement_Efficité!$Z:$Z,Equipement_Efficité!$B:$B,'Tableau détaillé'!$B710)</f>
        <v>29182</v>
      </c>
      <c r="J710" s="163"/>
      <c r="K710" s="164">
        <f t="shared" si="121"/>
        <v>0.41495345228859581</v>
      </c>
      <c r="L710" s="163"/>
    </row>
    <row r="711" spans="2:12">
      <c r="B711" s="28" t="s">
        <v>132</v>
      </c>
      <c r="C711" s="435"/>
      <c r="D711" s="47" t="s">
        <v>16</v>
      </c>
      <c r="E711" s="47"/>
      <c r="F711" s="126"/>
      <c r="G711" s="126">
        <f>+SUMIFS(Equipement_Efficité!$AA:$AA,Equipement_Efficité!$B:$B,'Tableau détaillé'!$B711)</f>
        <v>12796</v>
      </c>
      <c r="H711" s="126"/>
      <c r="I711" s="126">
        <f>+SUMIFS(Equipement_Efficité!$Z:$Z,Equipement_Efficité!$B:$B,'Tableau détaillé'!$B711)</f>
        <v>10786</v>
      </c>
      <c r="J711" s="163"/>
      <c r="K711" s="164">
        <f t="shared" si="121"/>
        <v>-0.15708033760550177</v>
      </c>
      <c r="L711" s="163"/>
    </row>
    <row r="712" spans="2:12">
      <c r="B712" s="28" t="s">
        <v>140</v>
      </c>
      <c r="C712" s="435"/>
      <c r="D712" s="47" t="s">
        <v>20</v>
      </c>
      <c r="E712" s="47"/>
      <c r="F712" s="126"/>
      <c r="G712" s="126">
        <f>+SUMIFS(Equipement_Efficité!$AA:$AA,Equipement_Efficité!$B:$B,'Tableau détaillé'!$B712)</f>
        <v>665</v>
      </c>
      <c r="H712" s="126"/>
      <c r="I712" s="126">
        <f>+SUMIFS(Equipement_Efficité!$Z:$Z,Equipement_Efficité!$B:$B,'Tableau détaillé'!$B712)</f>
        <v>581</v>
      </c>
      <c r="J712" s="163"/>
      <c r="K712" s="164">
        <f t="shared" si="121"/>
        <v>-0.12631578947368416</v>
      </c>
      <c r="L712" s="163"/>
    </row>
    <row r="713" spans="2:12">
      <c r="B713" s="28" t="s">
        <v>135</v>
      </c>
      <c r="C713" s="435"/>
      <c r="D713" s="47" t="s">
        <v>23</v>
      </c>
      <c r="E713" s="47"/>
      <c r="F713" s="126"/>
      <c r="G713" s="126">
        <f>+SUMIFS(Equipement_Efficité!$AA:$AA,Equipement_Efficité!$B:$B,'Tableau détaillé'!$B713)</f>
        <v>5391</v>
      </c>
      <c r="H713" s="126"/>
      <c r="I713" s="126">
        <f>+SUMIFS(Equipement_Efficité!$Z:$Z,Equipement_Efficité!$B:$B,'Tableau détaillé'!$B713)</f>
        <v>3161</v>
      </c>
      <c r="J713" s="163"/>
      <c r="K713" s="164">
        <f t="shared" si="121"/>
        <v>-0.41365238360230017</v>
      </c>
      <c r="L713" s="163"/>
    </row>
    <row r="714" spans="2:12" ht="14.4" thickBot="1">
      <c r="C714" s="436"/>
      <c r="D714" s="49" t="s">
        <v>63</v>
      </c>
      <c r="E714" s="49"/>
      <c r="F714" s="129"/>
      <c r="G714" s="129">
        <f t="shared" ref="G714" si="123">SUM(G710:G713)</f>
        <v>39476</v>
      </c>
      <c r="H714" s="129"/>
      <c r="I714" s="129">
        <f>SUM(I710:I713)</f>
        <v>43710</v>
      </c>
      <c r="J714" s="166"/>
      <c r="K714" s="166">
        <f t="shared" si="121"/>
        <v>0.10725504103759254</v>
      </c>
      <c r="L714" s="166"/>
    </row>
    <row r="715" spans="2:12" ht="14.4" thickTop="1">
      <c r="F715" s="132"/>
      <c r="G715" s="132"/>
      <c r="H715" s="98"/>
      <c r="I715" s="98"/>
    </row>
    <row r="716" spans="2:12">
      <c r="F716" s="132"/>
      <c r="G716" s="132"/>
      <c r="H716" s="98"/>
      <c r="I716" s="98"/>
    </row>
    <row r="717" spans="2:12" ht="14.4" thickBot="1">
      <c r="F717" s="418" t="s">
        <v>419</v>
      </c>
      <c r="G717" s="261">
        <v>44926</v>
      </c>
      <c r="H717" s="261">
        <v>44957</v>
      </c>
      <c r="I717" s="261">
        <v>45291</v>
      </c>
    </row>
    <row r="718" spans="2:12" ht="14.4" thickTop="1">
      <c r="C718" s="463" t="s">
        <v>25</v>
      </c>
      <c r="D718" s="45" t="s">
        <v>64</v>
      </c>
      <c r="E718" s="45"/>
      <c r="F718" s="124">
        <f t="shared" ref="F718:G718" si="124">SUM(F726,F731)</f>
        <v>11499</v>
      </c>
      <c r="G718" s="124">
        <f t="shared" si="124"/>
        <v>10421</v>
      </c>
      <c r="H718" s="124">
        <f>SUM(H726,H731)</f>
        <v>11674</v>
      </c>
      <c r="I718" s="124">
        <f>SUM(I726,I731)</f>
        <v>10013</v>
      </c>
      <c r="J718" s="103"/>
      <c r="K718" s="165">
        <f t="shared" ref="K718:K731" si="125">+I718/G718-1</f>
        <v>-3.9151712887438794E-2</v>
      </c>
      <c r="L718" s="103"/>
    </row>
    <row r="719" spans="2:12">
      <c r="B719" s="28" t="s">
        <v>131</v>
      </c>
      <c r="C719" s="435" t="s">
        <v>372</v>
      </c>
      <c r="D719" s="47" t="s">
        <v>13</v>
      </c>
      <c r="E719" s="47"/>
      <c r="F719" s="126">
        <f>+SUMIFS(Equipement_Efficité!$AE:$AE,Equipement_Efficité!$B:$B,'Tableau détaillé'!$B719)</f>
        <v>6396</v>
      </c>
      <c r="G719" s="126">
        <f>+SUMIFS(Equipement_Efficité!$AC:$AC,Equipement_Efficité!$B:$B,'Tableau détaillé'!$B719)</f>
        <v>4913</v>
      </c>
      <c r="H719" s="126">
        <f>+SUMIFS(Equipement_Efficité!$AD:$AD,Equipement_Efficité!$B:$B,'Tableau détaillé'!$B719)</f>
        <v>6770</v>
      </c>
      <c r="I719" s="126">
        <f>+SUMIFS(Equipement_Efficité!$AB:$AB,Equipement_Efficité!$B:$B,'Tableau détaillé'!$B719)</f>
        <v>5335</v>
      </c>
      <c r="J719" s="163"/>
      <c r="K719" s="164">
        <f t="shared" si="125"/>
        <v>8.5894565438632275E-2</v>
      </c>
      <c r="L719" s="163"/>
    </row>
    <row r="720" spans="2:12">
      <c r="B720" s="28" t="s">
        <v>136</v>
      </c>
      <c r="C720" s="435"/>
      <c r="D720" s="47" t="s">
        <v>14</v>
      </c>
      <c r="E720" s="47"/>
      <c r="F720" s="126">
        <f>+SUMIFS(Equipement_Efficité!$AE:$AE,Equipement_Efficité!$B:$B,'Tableau détaillé'!$B720)</f>
        <v>851</v>
      </c>
      <c r="G720" s="126">
        <f>+SUMIFS(Equipement_Efficité!$AC:$AC,Equipement_Efficité!$B:$B,'Tableau détaillé'!$B720)</f>
        <v>664</v>
      </c>
      <c r="H720" s="126">
        <f>+SUMIFS(Equipement_Efficité!$AD:$AD,Equipement_Efficité!$B:$B,'Tableau détaillé'!$B720)</f>
        <v>859</v>
      </c>
      <c r="I720" s="126">
        <f>+SUMIFS(Equipement_Efficité!$AB:$AB,Equipement_Efficité!$B:$B,'Tableau détaillé'!$B720)</f>
        <v>364</v>
      </c>
      <c r="J720" s="163"/>
      <c r="K720" s="164">
        <f t="shared" si="125"/>
        <v>-0.45180722891566261</v>
      </c>
      <c r="L720" s="163"/>
    </row>
    <row r="721" spans="2:12">
      <c r="B721" s="28" t="s">
        <v>141</v>
      </c>
      <c r="C721" s="435"/>
      <c r="D721" s="47" t="s">
        <v>17</v>
      </c>
      <c r="E721" s="47"/>
      <c r="F721" s="126">
        <f>+SUMIFS(Equipement_Efficité!$AE:$AE,Equipement_Efficité!$B:$B,'Tableau détaillé'!$B721)</f>
        <v>933</v>
      </c>
      <c r="G721" s="126">
        <f>+SUMIFS(Equipement_Efficité!$AC:$AC,Equipement_Efficité!$B:$B,'Tableau détaillé'!$B721)</f>
        <v>1041</v>
      </c>
      <c r="H721" s="126">
        <f>+SUMIFS(Equipement_Efficité!$AD:$AD,Equipement_Efficité!$B:$B,'Tableau détaillé'!$B721)</f>
        <v>406</v>
      </c>
      <c r="I721" s="126">
        <f>+SUMIFS(Equipement_Efficité!$AB:$AB,Equipement_Efficité!$B:$B,'Tableau détaillé'!$B721)</f>
        <v>445</v>
      </c>
      <c r="J721" s="163"/>
      <c r="K721" s="164">
        <f t="shared" si="125"/>
        <v>-0.57252641690682038</v>
      </c>
      <c r="L721" s="163"/>
    </row>
    <row r="722" spans="2:12">
      <c r="B722" s="28" t="s">
        <v>124</v>
      </c>
      <c r="C722" s="435"/>
      <c r="D722" s="47" t="s">
        <v>18</v>
      </c>
      <c r="E722" s="47"/>
      <c r="F722" s="126">
        <f>+SUMIFS(Equipement_Efficité!$AE:$AE,Equipement_Efficité!$B:$B,'Tableau détaillé'!$B722)</f>
        <v>578</v>
      </c>
      <c r="G722" s="126">
        <f>+SUMIFS(Equipement_Efficité!$AC:$AC,Equipement_Efficité!$B:$B,'Tableau détaillé'!$B722)</f>
        <v>530</v>
      </c>
      <c r="H722" s="126">
        <f>+SUMIFS(Equipement_Efficité!$AD:$AD,Equipement_Efficité!$B:$B,'Tableau détaillé'!$B722)</f>
        <v>459</v>
      </c>
      <c r="I722" s="126">
        <f>+SUMIFS(Equipement_Efficité!$AB:$AB,Equipement_Efficité!$B:$B,'Tableau détaillé'!$B722)</f>
        <v>364</v>
      </c>
      <c r="J722" s="163"/>
      <c r="K722" s="164">
        <f t="shared" si="125"/>
        <v>-0.31320754716981136</v>
      </c>
      <c r="L722" s="163"/>
    </row>
    <row r="723" spans="2:12">
      <c r="B723" s="28" t="s">
        <v>137</v>
      </c>
      <c r="C723" s="435"/>
      <c r="D723" s="47" t="s">
        <v>19</v>
      </c>
      <c r="E723" s="47"/>
      <c r="F723" s="126">
        <f>+SUMIFS(Equipement_Efficité!$AE:$AE,Equipement_Efficité!$B:$B,'Tableau détaillé'!$B723)</f>
        <v>110</v>
      </c>
      <c r="G723" s="126">
        <f>+SUMIFS(Equipement_Efficité!$AC:$AC,Equipement_Efficité!$B:$B,'Tableau détaillé'!$B723)</f>
        <v>61</v>
      </c>
      <c r="H723" s="126">
        <f>+SUMIFS(Equipement_Efficité!$AD:$AD,Equipement_Efficité!$B:$B,'Tableau détaillé'!$B723)</f>
        <v>58</v>
      </c>
      <c r="I723" s="126">
        <f>+SUMIFS(Equipement_Efficité!$AB:$AB,Equipement_Efficité!$B:$B,'Tableau détaillé'!$B723)</f>
        <v>34</v>
      </c>
      <c r="J723" s="163"/>
      <c r="K723" s="164">
        <f t="shared" si="125"/>
        <v>-0.44262295081967218</v>
      </c>
      <c r="L723" s="163"/>
    </row>
    <row r="724" spans="2:12">
      <c r="B724" s="28" t="s">
        <v>123</v>
      </c>
      <c r="C724" s="435"/>
      <c r="D724" s="47" t="s">
        <v>21</v>
      </c>
      <c r="E724" s="47"/>
      <c r="F724" s="126">
        <f>+SUMIFS(Equipement_Efficité!$AE:$AE,Equipement_Efficité!$B:$B,'Tableau détaillé'!$B724)</f>
        <v>29</v>
      </c>
      <c r="G724" s="126">
        <f>+SUMIFS(Equipement_Efficité!$AC:$AC,Equipement_Efficité!$B:$B,'Tableau détaillé'!$B724)</f>
        <v>27</v>
      </c>
      <c r="H724" s="126">
        <f>+SUMIFS(Equipement_Efficité!$AD:$AD,Equipement_Efficité!$B:$B,'Tableau détaillé'!$B724)</f>
        <v>13</v>
      </c>
      <c r="I724" s="126">
        <f>+SUMIFS(Equipement_Efficité!$AB:$AB,Equipement_Efficité!$B:$B,'Tableau détaillé'!$B724)</f>
        <v>11</v>
      </c>
      <c r="J724" s="163"/>
      <c r="K724" s="164">
        <f t="shared" si="125"/>
        <v>-0.59259259259259256</v>
      </c>
      <c r="L724" s="163"/>
    </row>
    <row r="725" spans="2:12">
      <c r="B725" s="28" t="s">
        <v>139</v>
      </c>
      <c r="C725" s="435"/>
      <c r="D725" s="47" t="s">
        <v>22</v>
      </c>
      <c r="E725" s="47"/>
      <c r="F725" s="126">
        <f>+SUMIFS(Equipement_Efficité!$AE:$AE,Equipement_Efficité!$B:$B,'Tableau détaillé'!$B725)</f>
        <v>18</v>
      </c>
      <c r="G725" s="126">
        <f>+SUMIFS(Equipement_Efficité!$AC:$AC,Equipement_Efficité!$B:$B,'Tableau détaillé'!$B725)</f>
        <v>12</v>
      </c>
      <c r="H725" s="126">
        <f>+SUMIFS(Equipement_Efficité!$AD:$AD,Equipement_Efficité!$B:$B,'Tableau détaillé'!$B725)</f>
        <v>17</v>
      </c>
      <c r="I725" s="126">
        <f>+SUMIFS(Equipement_Efficité!$AB:$AB,Equipement_Efficité!$B:$B,'Tableau détaillé'!$B725)</f>
        <v>24</v>
      </c>
      <c r="J725" s="163"/>
      <c r="K725" s="164">
        <f t="shared" si="125"/>
        <v>1</v>
      </c>
      <c r="L725" s="163"/>
    </row>
    <row r="726" spans="2:12">
      <c r="C726" s="435"/>
      <c r="D726" s="48" t="s">
        <v>62</v>
      </c>
      <c r="E726" s="48"/>
      <c r="F726" s="124">
        <f t="shared" ref="F726" si="126">SUM(F719:F725)</f>
        <v>8915</v>
      </c>
      <c r="G726" s="124">
        <f t="shared" ref="G726" si="127">SUM(G719:G725)</f>
        <v>7248</v>
      </c>
      <c r="H726" s="124">
        <f>SUM(H719:H725)</f>
        <v>8582</v>
      </c>
      <c r="I726" s="124">
        <f>SUM(I719:I725)</f>
        <v>6577</v>
      </c>
      <c r="J726" s="103"/>
      <c r="K726" s="165">
        <f t="shared" si="125"/>
        <v>-9.2577262693156692E-2</v>
      </c>
      <c r="L726" s="103"/>
    </row>
    <row r="727" spans="2:12">
      <c r="B727" s="28" t="s">
        <v>138</v>
      </c>
      <c r="C727" s="435"/>
      <c r="D727" s="47" t="s">
        <v>15</v>
      </c>
      <c r="E727" s="47"/>
      <c r="F727" s="126">
        <f>+SUMIFS(Equipement_Efficité!$AE:$AE,Equipement_Efficité!$B:$B,'Tableau détaillé'!$B727)</f>
        <v>1266</v>
      </c>
      <c r="G727" s="126">
        <f>+SUMIFS(Equipement_Efficité!$AC:$AC,Equipement_Efficité!$B:$B,'Tableau détaillé'!$B727)</f>
        <v>2056</v>
      </c>
      <c r="H727" s="126">
        <f>+SUMIFS(Equipement_Efficité!$AD:$AD,Equipement_Efficité!$B:$B,'Tableau détaillé'!$B727)</f>
        <v>2192</v>
      </c>
      <c r="I727" s="126">
        <f>+SUMIFS(Equipement_Efficité!$AB:$AB,Equipement_Efficité!$B:$B,'Tableau détaillé'!$B727)</f>
        <v>2743</v>
      </c>
      <c r="J727" s="163"/>
      <c r="K727" s="164">
        <f t="shared" si="125"/>
        <v>0.33414396887159525</v>
      </c>
      <c r="L727" s="163"/>
    </row>
    <row r="728" spans="2:12">
      <c r="B728" s="28" t="s">
        <v>132</v>
      </c>
      <c r="C728" s="435"/>
      <c r="D728" s="47" t="s">
        <v>16</v>
      </c>
      <c r="E728" s="47"/>
      <c r="F728" s="126">
        <f>+SUMIFS(Equipement_Efficité!$AE:$AE,Equipement_Efficité!$B:$B,'Tableau détaillé'!$B728)</f>
        <v>930</v>
      </c>
      <c r="G728" s="126">
        <f>+SUMIFS(Equipement_Efficité!$AC:$AC,Equipement_Efficité!$B:$B,'Tableau détaillé'!$B728)</f>
        <v>753</v>
      </c>
      <c r="H728" s="126">
        <f>+SUMIFS(Equipement_Efficité!$AD:$AD,Equipement_Efficité!$B:$B,'Tableau détaillé'!$B728)</f>
        <v>782</v>
      </c>
      <c r="I728" s="126">
        <f>+SUMIFS(Equipement_Efficité!$AB:$AB,Equipement_Efficité!$B:$B,'Tableau détaillé'!$B728)</f>
        <v>588</v>
      </c>
      <c r="J728" s="163"/>
      <c r="K728" s="164">
        <f t="shared" si="125"/>
        <v>-0.21912350597609564</v>
      </c>
      <c r="L728" s="163"/>
    </row>
    <row r="729" spans="2:12">
      <c r="B729" s="28" t="s">
        <v>140</v>
      </c>
      <c r="C729" s="435"/>
      <c r="D729" s="47" t="s">
        <v>20</v>
      </c>
      <c r="E729" s="47"/>
      <c r="F729" s="126">
        <f>+SUMIFS(Equipement_Efficité!$AE:$AE,Equipement_Efficité!$B:$B,'Tableau détaillé'!$B729)</f>
        <v>40</v>
      </c>
      <c r="G729" s="126">
        <f>+SUMIFS(Equipement_Efficité!$AC:$AC,Equipement_Efficité!$B:$B,'Tableau détaillé'!$B729)</f>
        <v>66</v>
      </c>
      <c r="H729" s="126">
        <f>+SUMIFS(Equipement_Efficité!$AD:$AD,Equipement_Efficité!$B:$B,'Tableau détaillé'!$B729)</f>
        <v>33</v>
      </c>
      <c r="I729" s="126">
        <f>+SUMIFS(Equipement_Efficité!$AB:$AB,Equipement_Efficité!$B:$B,'Tableau détaillé'!$B729)</f>
        <v>31</v>
      </c>
      <c r="J729" s="163"/>
      <c r="K729" s="164">
        <f t="shared" si="125"/>
        <v>-0.53030303030303028</v>
      </c>
      <c r="L729" s="163"/>
    </row>
    <row r="730" spans="2:12">
      <c r="B730" s="28" t="s">
        <v>135</v>
      </c>
      <c r="C730" s="435"/>
      <c r="D730" s="47" t="s">
        <v>23</v>
      </c>
      <c r="E730" s="47"/>
      <c r="F730" s="126">
        <f>+SUMIFS(Equipement_Efficité!$AE:$AE,Equipement_Efficité!$B:$B,'Tableau détaillé'!$B730)</f>
        <v>348</v>
      </c>
      <c r="G730" s="126">
        <f>+SUMIFS(Equipement_Efficité!$AC:$AC,Equipement_Efficité!$B:$B,'Tableau détaillé'!$B730)</f>
        <v>298</v>
      </c>
      <c r="H730" s="126">
        <f>+SUMIFS(Equipement_Efficité!$AD:$AD,Equipement_Efficité!$B:$B,'Tableau détaillé'!$B730)</f>
        <v>85</v>
      </c>
      <c r="I730" s="126">
        <f>+SUMIFS(Equipement_Efficité!$AB:$AB,Equipement_Efficité!$B:$B,'Tableau détaillé'!$B730)</f>
        <v>74</v>
      </c>
      <c r="J730" s="163"/>
      <c r="K730" s="164">
        <f t="shared" si="125"/>
        <v>-0.75167785234899331</v>
      </c>
      <c r="L730" s="163"/>
    </row>
    <row r="731" spans="2:12" ht="14.4" thickBot="1">
      <c r="C731" s="436"/>
      <c r="D731" s="49" t="s">
        <v>63</v>
      </c>
      <c r="E731" s="49"/>
      <c r="F731" s="129">
        <f t="shared" ref="F731" si="128">SUM(F727:F730)</f>
        <v>2584</v>
      </c>
      <c r="G731" s="129">
        <f t="shared" ref="G731" si="129">SUM(G727:G730)</f>
        <v>3173</v>
      </c>
      <c r="H731" s="129">
        <f>SUM(H727:H730)</f>
        <v>3092</v>
      </c>
      <c r="I731" s="129">
        <f>SUM(I727:I730)</f>
        <v>3436</v>
      </c>
      <c r="J731" s="166"/>
      <c r="K731" s="166">
        <f t="shared" si="125"/>
        <v>8.288685786322092E-2</v>
      </c>
      <c r="L731" s="166"/>
    </row>
    <row r="732" spans="2:12" ht="14.4" thickTop="1">
      <c r="F732" s="132"/>
      <c r="G732" s="132"/>
      <c r="H732" s="98"/>
      <c r="I732" s="98"/>
    </row>
    <row r="733" spans="2:12" ht="14.4" thickBot="1">
      <c r="F733" s="418" t="s">
        <v>419</v>
      </c>
      <c r="G733" s="261">
        <v>44926</v>
      </c>
      <c r="H733" s="261">
        <v>44957</v>
      </c>
      <c r="I733" s="261">
        <v>45291</v>
      </c>
    </row>
    <row r="734" spans="2:12" ht="14.4" thickTop="1">
      <c r="C734" s="463" t="s">
        <v>373</v>
      </c>
      <c r="D734" s="45" t="s">
        <v>64</v>
      </c>
      <c r="E734" s="45"/>
      <c r="F734" s="124"/>
      <c r="G734" s="124">
        <f>+(G701/$F$547)/MONTH(F$546)</f>
        <v>10.744715132766176</v>
      </c>
      <c r="H734" s="124"/>
      <c r="I734" s="124">
        <f>+(I701/$H$547)/MONTH(H$546)</f>
        <v>12.876364804110468</v>
      </c>
      <c r="J734" s="103"/>
      <c r="K734" s="165">
        <f t="shared" ref="K734:K747" si="130">+I734/G734-1</f>
        <v>0.1983905245513482</v>
      </c>
      <c r="L734" s="103"/>
    </row>
    <row r="735" spans="2:12">
      <c r="B735" s="28" t="s">
        <v>131</v>
      </c>
      <c r="C735" s="435" t="s">
        <v>363</v>
      </c>
      <c r="D735" s="47" t="s">
        <v>13</v>
      </c>
      <c r="E735" s="47"/>
      <c r="F735" s="126"/>
      <c r="G735" s="126">
        <f>+(G702/$F$548)/MONTH(F$546)</f>
        <v>26.291254125412539</v>
      </c>
      <c r="H735" s="126"/>
      <c r="I735" s="126">
        <f>+(I702/$H$548)/MONTH(H$546)</f>
        <v>40.374565972222221</v>
      </c>
      <c r="J735" s="163"/>
      <c r="K735" s="164">
        <f t="shared" si="130"/>
        <v>0.53566527407291176</v>
      </c>
      <c r="L735" s="163"/>
    </row>
    <row r="736" spans="2:12">
      <c r="B736" s="28" t="s">
        <v>136</v>
      </c>
      <c r="C736" s="435"/>
      <c r="D736" s="47" t="s">
        <v>14</v>
      </c>
      <c r="E736" s="47"/>
      <c r="F736" s="126"/>
      <c r="G736" s="126">
        <f>+(G703/$F$549)/MONTH(F$546)</f>
        <v>3.6152263374485596</v>
      </c>
      <c r="H736" s="126"/>
      <c r="I736" s="126">
        <f>+(I703/$H$549)/MONTH(H$546)</f>
        <v>7.5399659863945585</v>
      </c>
      <c r="J736" s="163"/>
      <c r="K736" s="164">
        <f t="shared" si="130"/>
        <v>1.0856138129696959</v>
      </c>
      <c r="L736" s="163"/>
    </row>
    <row r="737" spans="2:12">
      <c r="B737" s="28" t="s">
        <v>141</v>
      </c>
      <c r="C737" s="435"/>
      <c r="D737" s="47" t="s">
        <v>17</v>
      </c>
      <c r="E737" s="47"/>
      <c r="F737" s="126"/>
      <c r="G737" s="126">
        <f>+(G704/$F$550)/MONTH(F$546)</f>
        <v>6.4092702169625246</v>
      </c>
      <c r="H737" s="126"/>
      <c r="I737" s="126">
        <f>+(I704/$H$550)/MONTH(H$546)</f>
        <v>5.8186274509803928</v>
      </c>
      <c r="J737" s="163"/>
      <c r="K737" s="164">
        <f t="shared" si="130"/>
        <v>-9.2154449100766533E-2</v>
      </c>
      <c r="L737" s="163"/>
    </row>
    <row r="738" spans="2:12">
      <c r="B738" s="28" t="s">
        <v>124</v>
      </c>
      <c r="C738" s="435"/>
      <c r="D738" s="47" t="s">
        <v>18</v>
      </c>
      <c r="E738" s="47"/>
      <c r="F738" s="126"/>
      <c r="G738" s="126">
        <f>+(G705/$F$551)/MONTH(F$546)</f>
        <v>11.075657894736842</v>
      </c>
      <c r="H738" s="126"/>
      <c r="I738" s="126">
        <f>+(I705/$H$551)/MONTH(H$546)</f>
        <v>16.708333333333332</v>
      </c>
      <c r="J738" s="163"/>
      <c r="K738" s="164">
        <f t="shared" si="130"/>
        <v>0.50856350856350852</v>
      </c>
      <c r="L738" s="163"/>
    </row>
    <row r="739" spans="2:12">
      <c r="B739" s="28" t="s">
        <v>137</v>
      </c>
      <c r="C739" s="435"/>
      <c r="D739" s="47" t="s">
        <v>19</v>
      </c>
      <c r="E739" s="47"/>
      <c r="F739" s="126"/>
      <c r="G739" s="126">
        <f>+(G706/$F$552)/MONTH(F$546)</f>
        <v>0.90119047619047621</v>
      </c>
      <c r="H739" s="126"/>
      <c r="I739" s="126">
        <f>+(I706/$H$552)/MONTH(H$546)</f>
        <v>1.096153846153846</v>
      </c>
      <c r="J739" s="163"/>
      <c r="K739" s="164">
        <f t="shared" si="130"/>
        <v>0.21633980286556231</v>
      </c>
      <c r="L739" s="163"/>
    </row>
    <row r="740" spans="2:12">
      <c r="B740" s="28" t="s">
        <v>123</v>
      </c>
      <c r="C740" s="435"/>
      <c r="D740" s="47" t="s">
        <v>21</v>
      </c>
      <c r="E740" s="47"/>
      <c r="F740" s="126"/>
      <c r="G740" s="126">
        <f>+(G707/$F$553)/MONTH(F$546)</f>
        <v>2.78125</v>
      </c>
      <c r="H740" s="126"/>
      <c r="I740" s="126">
        <f>+(I707/$H$553)/MONTH(H$546)</f>
        <v>1.2583333333333333</v>
      </c>
      <c r="J740" s="163"/>
      <c r="K740" s="164">
        <f t="shared" si="130"/>
        <v>-0.54756554307116101</v>
      </c>
      <c r="L740" s="163"/>
    </row>
    <row r="741" spans="2:12">
      <c r="B741" s="28" t="s">
        <v>139</v>
      </c>
      <c r="C741" s="435"/>
      <c r="D741" s="47" t="s">
        <v>22</v>
      </c>
      <c r="E741" s="47"/>
      <c r="F741" s="126"/>
      <c r="G741" s="126">
        <f>+(G708/$F$554)/MONTH(F$546)</f>
        <v>0.7533333333333333</v>
      </c>
      <c r="H741" s="126"/>
      <c r="I741" s="126">
        <f>+(I708/$H$554)/MONTH(H$546)</f>
        <v>0.9565217391304347</v>
      </c>
      <c r="J741" s="163"/>
      <c r="K741" s="164">
        <f t="shared" si="130"/>
        <v>0.26971912273951504</v>
      </c>
      <c r="L741" s="163"/>
    </row>
    <row r="742" spans="2:12">
      <c r="C742" s="435"/>
      <c r="D742" s="48" t="s">
        <v>62</v>
      </c>
      <c r="E742" s="48"/>
      <c r="F742" s="124"/>
      <c r="G742" s="124">
        <f>+(G709/$F$555)/MONTH(F$546)</f>
        <v>12.915042630937881</v>
      </c>
      <c r="H742" s="124"/>
      <c r="I742" s="124">
        <f>+(I709/$H$555)/MONTH(H$546)</f>
        <v>18.734425176621709</v>
      </c>
      <c r="J742" s="103"/>
      <c r="K742" s="165">
        <f t="shared" si="130"/>
        <v>0.45058949567410211</v>
      </c>
      <c r="L742" s="103"/>
    </row>
    <row r="743" spans="2:12">
      <c r="B743" s="28" t="s">
        <v>138</v>
      </c>
      <c r="C743" s="435"/>
      <c r="D743" s="47" t="s">
        <v>15</v>
      </c>
      <c r="E743" s="47"/>
      <c r="F743" s="126"/>
      <c r="G743" s="126">
        <f>+(G710/$F$556)/MONTH(F$546)</f>
        <v>5.4909478168264103</v>
      </c>
      <c r="H743" s="126"/>
      <c r="I743" s="126">
        <f>+(I710/$H$556)/MONTH(H$546)</f>
        <v>8.9405637254901951</v>
      </c>
      <c r="J743" s="163"/>
      <c r="K743" s="164">
        <f t="shared" si="130"/>
        <v>0.62823687708209741</v>
      </c>
      <c r="L743" s="163"/>
    </row>
    <row r="744" spans="2:12">
      <c r="B744" s="28" t="s">
        <v>132</v>
      </c>
      <c r="C744" s="435"/>
      <c r="D744" s="47" t="s">
        <v>16</v>
      </c>
      <c r="E744" s="47"/>
      <c r="F744" s="126"/>
      <c r="G744" s="126">
        <f>+(G711/$F$557)/MONTH(F$546)</f>
        <v>9.1925287356321839</v>
      </c>
      <c r="H744" s="126"/>
      <c r="I744" s="126">
        <f>+(I711/$H$557)/MONTH(H$546)</f>
        <v>7.6823361823361829</v>
      </c>
      <c r="J744" s="163"/>
      <c r="K744" s="164">
        <f t="shared" si="130"/>
        <v>-0.16428477916442896</v>
      </c>
      <c r="L744" s="163"/>
    </row>
    <row r="745" spans="2:12">
      <c r="B745" s="28" t="s">
        <v>140</v>
      </c>
      <c r="C745" s="435"/>
      <c r="D745" s="47" t="s">
        <v>20</v>
      </c>
      <c r="E745" s="47"/>
      <c r="F745" s="126"/>
      <c r="G745" s="126">
        <f>+(G712/$F$558)/MONTH(F$546)</f>
        <v>1.7317708333333333</v>
      </c>
      <c r="H745" s="126"/>
      <c r="I745" s="126">
        <f>+(I712/$H$558)/MONTH(H$546)</f>
        <v>1.5618279569892473</v>
      </c>
      <c r="J745" s="163"/>
      <c r="K745" s="164">
        <f t="shared" si="130"/>
        <v>-9.813242784380305E-2</v>
      </c>
      <c r="L745" s="163"/>
    </row>
    <row r="746" spans="2:12">
      <c r="B746" s="28" t="s">
        <v>135</v>
      </c>
      <c r="C746" s="435"/>
      <c r="D746" s="47" t="s">
        <v>23</v>
      </c>
      <c r="E746" s="47"/>
      <c r="F746" s="126"/>
      <c r="G746" s="126">
        <f>+(G713/$F$559)/MONTH(F$546)</f>
        <v>40.840909090909086</v>
      </c>
      <c r="H746" s="126"/>
      <c r="I746" s="126">
        <f>+(I713/$H$559)/MONTH(H$546)</f>
        <v>2.6607744107744109</v>
      </c>
      <c r="J746" s="163"/>
      <c r="K746" s="164">
        <f t="shared" si="130"/>
        <v>-0.93485026484470002</v>
      </c>
      <c r="L746" s="163"/>
    </row>
    <row r="747" spans="2:12" ht="14.4" thickBot="1">
      <c r="C747" s="436"/>
      <c r="D747" s="49" t="s">
        <v>63</v>
      </c>
      <c r="E747" s="49"/>
      <c r="F747" s="129"/>
      <c r="G747" s="129">
        <f>+(G714/$F$560)/MONTH(F$546)</f>
        <v>6.9696327683615822</v>
      </c>
      <c r="H747" s="129"/>
      <c r="I747" s="129">
        <f>+(I714/$H$560)/MONTH(H$546)</f>
        <v>7.0183044315992298</v>
      </c>
      <c r="J747" s="166"/>
      <c r="K747" s="166">
        <f t="shared" si="130"/>
        <v>6.9833899224347462E-3</v>
      </c>
      <c r="L747" s="166"/>
    </row>
    <row r="748" spans="2:12" ht="14.4" thickTop="1">
      <c r="F748" s="132"/>
      <c r="G748" s="132"/>
      <c r="H748" s="98"/>
      <c r="I748" s="98"/>
    </row>
    <row r="749" spans="2:12" ht="14.4" thickBot="1">
      <c r="F749" s="132"/>
      <c r="G749" s="132"/>
      <c r="H749" s="98"/>
      <c r="I749" s="98"/>
    </row>
    <row r="750" spans="2:12" ht="28.8" thickTop="1" thickBot="1">
      <c r="F750" s="418" t="s">
        <v>419</v>
      </c>
      <c r="G750" s="261">
        <v>44926</v>
      </c>
      <c r="H750" s="261">
        <v>44957</v>
      </c>
      <c r="I750" s="261">
        <v>45291</v>
      </c>
      <c r="J750" s="174" t="s">
        <v>364</v>
      </c>
      <c r="K750" s="175" t="s">
        <v>152</v>
      </c>
      <c r="L750" s="175" t="s">
        <v>365</v>
      </c>
    </row>
    <row r="751" spans="2:12" ht="14.4" thickTop="1">
      <c r="C751" s="463" t="s">
        <v>373</v>
      </c>
      <c r="D751" s="45" t="s">
        <v>64</v>
      </c>
      <c r="E751" s="45"/>
      <c r="F751" s="124">
        <f>+(F718/$F$547)</f>
        <v>8.8932714617169371</v>
      </c>
      <c r="G751" s="124">
        <f>+(G718/$F$547)</f>
        <v>8.0595514307811289</v>
      </c>
      <c r="H751" s="124">
        <f>+(H718/$H$547)</f>
        <v>11.246628131021195</v>
      </c>
      <c r="I751" s="124">
        <f>+(I718/$H$547)</f>
        <v>9.6464354527938347</v>
      </c>
      <c r="J751" s="103">
        <f>+I751/H751-1</f>
        <v>-0.14228199417508991</v>
      </c>
      <c r="K751" s="165">
        <f t="shared" ref="K751:K764" si="131">+I751/G751-1</f>
        <v>0.19689483163443322</v>
      </c>
      <c r="L751" s="103">
        <f>+I751/I734-1</f>
        <v>-0.25084170885602408</v>
      </c>
    </row>
    <row r="752" spans="2:12">
      <c r="B752" s="28" t="s">
        <v>131</v>
      </c>
      <c r="C752" s="435" t="s">
        <v>362</v>
      </c>
      <c r="D752" s="47" t="s">
        <v>13</v>
      </c>
      <c r="E752" s="47"/>
      <c r="F752" s="126">
        <f>+(F719/$F$548)</f>
        <v>21.10891089108911</v>
      </c>
      <c r="G752" s="126">
        <f>+(G719/$F$548)</f>
        <v>16.214521452145213</v>
      </c>
      <c r="H752" s="126">
        <f>+(H719/$H$548)</f>
        <v>35.260416666666664</v>
      </c>
      <c r="I752" s="126">
        <f>+(I719/$H$548)</f>
        <v>27.786458333333332</v>
      </c>
      <c r="J752" s="163">
        <f t="shared" ref="J752:J764" si="132">+I752/H752-1</f>
        <v>-0.21196454948301324</v>
      </c>
      <c r="K752" s="164">
        <f t="shared" si="131"/>
        <v>0.71367736108284152</v>
      </c>
      <c r="L752" s="163">
        <f t="shared" ref="L752:L764" si="133">+I752/I735-1</f>
        <v>-0.31178310740354542</v>
      </c>
    </row>
    <row r="753" spans="2:12">
      <c r="B753" s="28" t="s">
        <v>136</v>
      </c>
      <c r="C753" s="435"/>
      <c r="D753" s="47" t="s">
        <v>14</v>
      </c>
      <c r="E753" s="47"/>
      <c r="F753" s="126">
        <f>+(F720/$F$549)</f>
        <v>5.2530864197530862</v>
      </c>
      <c r="G753" s="126">
        <f>+(G720/$F$549)</f>
        <v>4.0987654320987659</v>
      </c>
      <c r="H753" s="126">
        <f>+(H720/$H$549)</f>
        <v>8.7653061224489797</v>
      </c>
      <c r="I753" s="126">
        <f>+(I720/$H$549)</f>
        <v>3.7142857142857144</v>
      </c>
      <c r="J753" s="163">
        <f t="shared" si="132"/>
        <v>-0.5762514551804423</v>
      </c>
      <c r="K753" s="164">
        <f t="shared" si="131"/>
        <v>-9.3803786574870984E-2</v>
      </c>
      <c r="L753" s="163">
        <f t="shared" si="133"/>
        <v>-0.50738694034058873</v>
      </c>
    </row>
    <row r="754" spans="2:12">
      <c r="B754" s="28" t="s">
        <v>141</v>
      </c>
      <c r="C754" s="435"/>
      <c r="D754" s="47" t="s">
        <v>17</v>
      </c>
      <c r="E754" s="47"/>
      <c r="F754" s="126">
        <f>+(F721/$F$550)</f>
        <v>5.5207100591715976</v>
      </c>
      <c r="G754" s="126">
        <f>+(G721/$F$550)</f>
        <v>6.1597633136094672</v>
      </c>
      <c r="H754" s="126">
        <f>+(H721/$H$550)</f>
        <v>3.9803921568627452</v>
      </c>
      <c r="I754" s="126">
        <f>+(I721/$H$550)</f>
        <v>4.3627450980392153</v>
      </c>
      <c r="J754" s="163">
        <f t="shared" si="132"/>
        <v>9.6059113300492438E-2</v>
      </c>
      <c r="K754" s="164">
        <f t="shared" si="131"/>
        <v>-0.29173494565933966</v>
      </c>
      <c r="L754" s="163">
        <f t="shared" si="133"/>
        <v>-0.25021061499578789</v>
      </c>
    </row>
    <row r="755" spans="2:12">
      <c r="B755" s="28" t="s">
        <v>124</v>
      </c>
      <c r="C755" s="435"/>
      <c r="D755" s="47" t="s">
        <v>18</v>
      </c>
      <c r="E755" s="47"/>
      <c r="F755" s="126">
        <f>+(F722/$F$551)</f>
        <v>7.6052631578947372</v>
      </c>
      <c r="G755" s="126">
        <f>+(G722/$F$551)</f>
        <v>6.9736842105263159</v>
      </c>
      <c r="H755" s="126">
        <f>+(H722/$H$551)</f>
        <v>14.34375</v>
      </c>
      <c r="I755" s="126">
        <f>+(I722/$H$551)</f>
        <v>11.375</v>
      </c>
      <c r="J755" s="163">
        <f t="shared" si="132"/>
        <v>-0.20697167755991286</v>
      </c>
      <c r="K755" s="164">
        <f t="shared" si="131"/>
        <v>0.63113207547169803</v>
      </c>
      <c r="L755" s="163">
        <f t="shared" si="133"/>
        <v>-0.31920199501246882</v>
      </c>
    </row>
    <row r="756" spans="2:12">
      <c r="B756" s="28" t="s">
        <v>137</v>
      </c>
      <c r="C756" s="435"/>
      <c r="D756" s="47" t="s">
        <v>19</v>
      </c>
      <c r="E756" s="47"/>
      <c r="F756" s="126">
        <f>+(F723/$F$552)</f>
        <v>1.5714285714285714</v>
      </c>
      <c r="G756" s="126">
        <f>+(G723/$F$552)</f>
        <v>0.87142857142857144</v>
      </c>
      <c r="H756" s="126">
        <f>+(H723/$H$552)</f>
        <v>1.1153846153846154</v>
      </c>
      <c r="I756" s="126">
        <f>+(I723/$H$552)</f>
        <v>0.65384615384615385</v>
      </c>
      <c r="J756" s="163">
        <f t="shared" si="132"/>
        <v>-0.41379310344827591</v>
      </c>
      <c r="K756" s="164">
        <f t="shared" si="131"/>
        <v>-0.24968474148802022</v>
      </c>
      <c r="L756" s="163">
        <f t="shared" si="133"/>
        <v>-0.40350877192982448</v>
      </c>
    </row>
    <row r="757" spans="2:12">
      <c r="B757" s="28" t="s">
        <v>123</v>
      </c>
      <c r="C757" s="435"/>
      <c r="D757" s="47" t="s">
        <v>21</v>
      </c>
      <c r="E757" s="47"/>
      <c r="F757" s="126">
        <f>+(F724/$F$553)</f>
        <v>1.8125</v>
      </c>
      <c r="G757" s="126">
        <f>+(G724/$F$553)</f>
        <v>1.6875</v>
      </c>
      <c r="H757" s="126">
        <f>+(H724/$H$553)</f>
        <v>0.65</v>
      </c>
      <c r="I757" s="126">
        <f>+(I724/$H$553)</f>
        <v>0.55000000000000004</v>
      </c>
      <c r="J757" s="163">
        <f t="shared" si="132"/>
        <v>-0.15384615384615385</v>
      </c>
      <c r="K757" s="164">
        <f t="shared" si="131"/>
        <v>-0.67407407407407405</v>
      </c>
      <c r="L757" s="163">
        <f t="shared" si="133"/>
        <v>-0.5629139072847682</v>
      </c>
    </row>
    <row r="758" spans="2:12">
      <c r="B758" s="28" t="s">
        <v>139</v>
      </c>
      <c r="C758" s="435"/>
      <c r="D758" s="47" t="s">
        <v>22</v>
      </c>
      <c r="E758" s="47"/>
      <c r="F758" s="126">
        <f>+(F725/$F$554)</f>
        <v>0.72</v>
      </c>
      <c r="G758" s="126">
        <f>+(G725/$F$554)</f>
        <v>0.48</v>
      </c>
      <c r="H758" s="126">
        <f>+(H725/$H$554)</f>
        <v>0.73913043478260865</v>
      </c>
      <c r="I758" s="126">
        <f>+(I725/$H$554)</f>
        <v>1.0434782608695652</v>
      </c>
      <c r="J758" s="163">
        <f t="shared" si="132"/>
        <v>0.41176470588235303</v>
      </c>
      <c r="K758" s="164">
        <f t="shared" si="131"/>
        <v>1.1739130434782608</v>
      </c>
      <c r="L758" s="163">
        <f t="shared" si="133"/>
        <v>9.090909090909105E-2</v>
      </c>
    </row>
    <row r="759" spans="2:12">
      <c r="C759" s="435"/>
      <c r="D759" s="48" t="s">
        <v>62</v>
      </c>
      <c r="E759" s="48"/>
      <c r="F759" s="124">
        <f>+(F726/$F$555)</f>
        <v>10.858708891595615</v>
      </c>
      <c r="G759" s="124">
        <f>+(G726/$F$555)</f>
        <v>8.8282582216808763</v>
      </c>
      <c r="H759" s="124">
        <f>+(H726/$H$555)</f>
        <v>16.535645472061656</v>
      </c>
      <c r="I759" s="124">
        <f>+(I726/$H$555)</f>
        <v>12.672447013487476</v>
      </c>
      <c r="J759" s="103">
        <f t="shared" si="132"/>
        <v>-0.23362852481938934</v>
      </c>
      <c r="K759" s="165">
        <f t="shared" si="131"/>
        <v>0.43544136286882162</v>
      </c>
      <c r="L759" s="103">
        <f t="shared" si="133"/>
        <v>-0.32357428135552546</v>
      </c>
    </row>
    <row r="760" spans="2:12">
      <c r="B760" s="28" t="s">
        <v>138</v>
      </c>
      <c r="C760" s="435"/>
      <c r="D760" s="47" t="s">
        <v>15</v>
      </c>
      <c r="E760" s="47"/>
      <c r="F760" s="126">
        <f>+(F727/$F$556)</f>
        <v>4.0447284345047922</v>
      </c>
      <c r="G760" s="126">
        <f>+(G727/$F$556)</f>
        <v>6.5686900958466454</v>
      </c>
      <c r="H760" s="126">
        <f>+(H727/$H$556)</f>
        <v>8.0588235294117645</v>
      </c>
      <c r="I760" s="126">
        <f>+(I727/$H$556)</f>
        <v>10.084558823529411</v>
      </c>
      <c r="J760" s="163">
        <f t="shared" si="132"/>
        <v>0.25136861313868608</v>
      </c>
      <c r="K760" s="164">
        <f t="shared" si="131"/>
        <v>0.53524655241474006</v>
      </c>
      <c r="L760" s="163">
        <f t="shared" si="133"/>
        <v>0.12795558906175053</v>
      </c>
    </row>
    <row r="761" spans="2:12">
      <c r="B761" s="28" t="s">
        <v>132</v>
      </c>
      <c r="C761" s="435"/>
      <c r="D761" s="47" t="s">
        <v>16</v>
      </c>
      <c r="E761" s="47"/>
      <c r="F761" s="126">
        <f>+(F728/$F$557)</f>
        <v>8.0172413793103452</v>
      </c>
      <c r="G761" s="126">
        <f>+(G728/$F$557)</f>
        <v>6.4913793103448274</v>
      </c>
      <c r="H761" s="126">
        <f>+(H728/$H$557)</f>
        <v>6.683760683760684</v>
      </c>
      <c r="I761" s="126">
        <f>+(I728/$H$557)</f>
        <v>5.0256410256410255</v>
      </c>
      <c r="J761" s="163">
        <f t="shared" si="132"/>
        <v>-0.24808184143222511</v>
      </c>
      <c r="K761" s="164">
        <f t="shared" si="131"/>
        <v>-0.22579766404467594</v>
      </c>
      <c r="L761" s="163">
        <f t="shared" si="133"/>
        <v>-0.34581865381049515</v>
      </c>
    </row>
    <row r="762" spans="2:12">
      <c r="B762" s="28" t="s">
        <v>140</v>
      </c>
      <c r="C762" s="435"/>
      <c r="D762" s="47" t="s">
        <v>20</v>
      </c>
      <c r="E762" s="47"/>
      <c r="F762" s="126">
        <f>+(F729/$F$558)</f>
        <v>1.25</v>
      </c>
      <c r="G762" s="126">
        <f>+(G729/$F$558)</f>
        <v>2.0625</v>
      </c>
      <c r="H762" s="126">
        <f>+(H729/$H$558)</f>
        <v>1.064516129032258</v>
      </c>
      <c r="I762" s="126">
        <f>+(I729/$H$558)</f>
        <v>1</v>
      </c>
      <c r="J762" s="163">
        <f t="shared" si="132"/>
        <v>-6.0606060606060552E-2</v>
      </c>
      <c r="K762" s="164">
        <f t="shared" si="131"/>
        <v>-0.51515151515151514</v>
      </c>
      <c r="L762" s="163">
        <f t="shared" si="133"/>
        <v>-0.3597246127366609</v>
      </c>
    </row>
    <row r="763" spans="2:12">
      <c r="B763" s="28" t="s">
        <v>135</v>
      </c>
      <c r="C763" s="435"/>
      <c r="D763" s="47" t="s">
        <v>23</v>
      </c>
      <c r="E763" s="47"/>
      <c r="F763" s="126">
        <f>+(F730/$F$559)</f>
        <v>31.636363636363637</v>
      </c>
      <c r="G763" s="126">
        <f>+(G730/$F$559)</f>
        <v>27.09090909090909</v>
      </c>
      <c r="H763" s="126">
        <f>+(H730/$H$559)</f>
        <v>0.85858585858585856</v>
      </c>
      <c r="I763" s="126">
        <f>+(I730/$H$559)</f>
        <v>0.74747474747474751</v>
      </c>
      <c r="J763" s="163">
        <f t="shared" si="132"/>
        <v>-0.12941176470588234</v>
      </c>
      <c r="K763" s="164">
        <f t="shared" si="131"/>
        <v>-0.97240865026099921</v>
      </c>
      <c r="L763" s="163">
        <f t="shared" si="133"/>
        <v>-0.71907624169566597</v>
      </c>
    </row>
    <row r="764" spans="2:12" ht="14.4" thickBot="1">
      <c r="C764" s="436"/>
      <c r="D764" s="49" t="s">
        <v>63</v>
      </c>
      <c r="E764" s="49"/>
      <c r="F764" s="129">
        <f>+(F731/$F$560)</f>
        <v>5.4745762711864403</v>
      </c>
      <c r="G764" s="129">
        <f>+(G731/$F$560)</f>
        <v>6.7224576271186445</v>
      </c>
      <c r="H764" s="129">
        <f>+(H731/$H$560)</f>
        <v>5.9576107899807322</v>
      </c>
      <c r="I764" s="129">
        <f>+(I731/$H$560)</f>
        <v>6.6204238921001926</v>
      </c>
      <c r="J764" s="166">
        <f t="shared" si="132"/>
        <v>0.11125485122897794</v>
      </c>
      <c r="K764" s="166">
        <f t="shared" si="131"/>
        <v>-1.5178040633063161E-2</v>
      </c>
      <c r="L764" s="166">
        <f t="shared" si="133"/>
        <v>-5.6691832532601349E-2</v>
      </c>
    </row>
    <row r="765" spans="2:12" ht="14.4" thickTop="1"/>
    <row r="768" spans="2:12" ht="21" thickBot="1">
      <c r="B768" s="966" t="s">
        <v>143</v>
      </c>
      <c r="C768" s="966"/>
      <c r="D768" s="966"/>
      <c r="E768" s="966"/>
      <c r="F768" s="966"/>
      <c r="G768" s="966"/>
      <c r="H768" s="966"/>
      <c r="I768" s="966"/>
    </row>
    <row r="769" spans="2:12" ht="28.8" thickTop="1" thickBot="1">
      <c r="J769" s="174" t="s">
        <v>364</v>
      </c>
      <c r="K769" s="175" t="s">
        <v>152</v>
      </c>
      <c r="L769" s="175" t="s">
        <v>365</v>
      </c>
    </row>
    <row r="770" spans="2:12" ht="15" thickTop="1" thickBot="1">
      <c r="F770" s="418" t="s">
        <v>419</v>
      </c>
      <c r="G770" s="261">
        <v>44926</v>
      </c>
      <c r="H770" s="261">
        <v>44957</v>
      </c>
      <c r="I770" s="261">
        <v>45291</v>
      </c>
    </row>
    <row r="771" spans="2:12" ht="14.4" thickTop="1">
      <c r="C771" s="463" t="s">
        <v>25</v>
      </c>
      <c r="D771" s="45" t="s">
        <v>64</v>
      </c>
      <c r="E771" s="45"/>
      <c r="F771" s="124"/>
      <c r="G771" s="124">
        <f t="shared" ref="G771" si="134">SUM(G779,G784)</f>
        <v>238751</v>
      </c>
      <c r="H771" s="124"/>
      <c r="I771" s="124">
        <f>SUM(I779,I784)</f>
        <v>459403</v>
      </c>
      <c r="J771" s="103"/>
      <c r="K771" s="165">
        <f t="shared" ref="K771:K784" si="135">+I771/G771-1</f>
        <v>0.92419298767335012</v>
      </c>
      <c r="L771" s="103"/>
    </row>
    <row r="772" spans="2:12">
      <c r="B772" s="28" t="s">
        <v>131</v>
      </c>
      <c r="C772" s="435" t="s">
        <v>374</v>
      </c>
      <c r="D772" s="47" t="s">
        <v>13</v>
      </c>
      <c r="E772" s="47"/>
      <c r="F772" s="126"/>
      <c r="G772" s="126">
        <f>+SUMIFS(Equipement_Efficité!$AG:$AG,Equipement_Efficité!$B:$B,'Tableau détaillé'!$B772)</f>
        <v>45294</v>
      </c>
      <c r="H772" s="126"/>
      <c r="I772" s="126">
        <f>+SUMIFS(Equipement_Efficité!$AF:$AF,Equipement_Efficité!$B:$B,'Tableau détaillé'!$B772)</f>
        <v>46988</v>
      </c>
      <c r="J772" s="163"/>
      <c r="K772" s="164">
        <f t="shared" si="135"/>
        <v>3.7400097143109434E-2</v>
      </c>
      <c r="L772" s="163"/>
    </row>
    <row r="773" spans="2:12">
      <c r="B773" s="28" t="s">
        <v>136</v>
      </c>
      <c r="C773" s="435"/>
      <c r="D773" s="47" t="s">
        <v>14</v>
      </c>
      <c r="E773" s="47"/>
      <c r="F773" s="126"/>
      <c r="G773" s="126">
        <f>+SUMIFS(Equipement_Efficité!$AG:$AG,Equipement_Efficité!$B:$B,'Tableau détaillé'!$B773)</f>
        <v>17602</v>
      </c>
      <c r="H773" s="126"/>
      <c r="I773" s="126">
        <f>+SUMIFS(Equipement_Efficité!$AF:$AF,Equipement_Efficité!$B:$B,'Tableau détaillé'!$B773)</f>
        <v>24384</v>
      </c>
      <c r="J773" s="163"/>
      <c r="K773" s="164">
        <f t="shared" si="135"/>
        <v>0.38529712532666749</v>
      </c>
      <c r="L773" s="163"/>
    </row>
    <row r="774" spans="2:12">
      <c r="B774" s="28" t="s">
        <v>141</v>
      </c>
      <c r="C774" s="435"/>
      <c r="D774" s="47" t="s">
        <v>17</v>
      </c>
      <c r="E774" s="47"/>
      <c r="F774" s="126"/>
      <c r="G774" s="126">
        <f>+SUMIFS(Equipement_Efficité!$AG:$AG,Equipement_Efficité!$B:$B,'Tableau détaillé'!$B774)</f>
        <v>0</v>
      </c>
      <c r="H774" s="126"/>
      <c r="I774" s="126">
        <f>+SUMIFS(Equipement_Efficité!$AF:$AF,Equipement_Efficité!$B:$B,'Tableau détaillé'!$B774)</f>
        <v>20616</v>
      </c>
      <c r="J774" s="163"/>
      <c r="K774" s="164" t="e">
        <f t="shared" si="135"/>
        <v>#DIV/0!</v>
      </c>
      <c r="L774" s="163"/>
    </row>
    <row r="775" spans="2:12">
      <c r="B775" s="28" t="s">
        <v>124</v>
      </c>
      <c r="C775" s="435"/>
      <c r="D775" s="47" t="s">
        <v>18</v>
      </c>
      <c r="E775" s="47"/>
      <c r="F775" s="126"/>
      <c r="G775" s="126">
        <f>+SUMIFS(Equipement_Efficité!$AG:$AG,Equipement_Efficité!$B:$B,'Tableau détaillé'!$B775)</f>
        <v>8968</v>
      </c>
      <c r="H775" s="126"/>
      <c r="I775" s="126">
        <f>+SUMIFS(Equipement_Efficité!$AF:$AF,Equipement_Efficité!$B:$B,'Tableau détaillé'!$B775)</f>
        <v>6314</v>
      </c>
      <c r="J775" s="163"/>
      <c r="K775" s="164">
        <f t="shared" si="135"/>
        <v>-0.2959411239964318</v>
      </c>
      <c r="L775" s="163"/>
    </row>
    <row r="776" spans="2:12">
      <c r="B776" s="28" t="s">
        <v>137</v>
      </c>
      <c r="C776" s="435"/>
      <c r="D776" s="47" t="s">
        <v>19</v>
      </c>
      <c r="E776" s="47"/>
      <c r="F776" s="126"/>
      <c r="G776" s="126">
        <f>+SUMIFS(Equipement_Efficité!$AG:$AG,Equipement_Efficité!$B:$B,'Tableau détaillé'!$B776)</f>
        <v>0</v>
      </c>
      <c r="H776" s="126"/>
      <c r="I776" s="126">
        <f>+SUMIFS(Equipement_Efficité!$AF:$AF,Equipement_Efficité!$B:$B,'Tableau détaillé'!$B776)</f>
        <v>4762</v>
      </c>
      <c r="J776" s="163"/>
      <c r="K776" s="164" t="e">
        <f t="shared" si="135"/>
        <v>#DIV/0!</v>
      </c>
      <c r="L776" s="163"/>
    </row>
    <row r="777" spans="2:12">
      <c r="B777" s="28" t="s">
        <v>123</v>
      </c>
      <c r="C777" s="435"/>
      <c r="D777" s="47" t="s">
        <v>21</v>
      </c>
      <c r="E777" s="47"/>
      <c r="F777" s="126"/>
      <c r="G777" s="126">
        <f>+SUMIFS(Equipement_Efficité!$AG:$AG,Equipement_Efficité!$B:$B,'Tableau détaillé'!$B777)</f>
        <v>31118</v>
      </c>
      <c r="H777" s="126"/>
      <c r="I777" s="126">
        <f>+SUMIFS(Equipement_Efficité!$AF:$AF,Equipement_Efficité!$B:$B,'Tableau détaillé'!$B777)</f>
        <v>5095</v>
      </c>
      <c r="J777" s="163"/>
      <c r="K777" s="164">
        <f t="shared" si="135"/>
        <v>-0.83626839771193517</v>
      </c>
      <c r="L777" s="163"/>
    </row>
    <row r="778" spans="2:12">
      <c r="B778" s="28" t="s">
        <v>139</v>
      </c>
      <c r="C778" s="435"/>
      <c r="D778" s="47" t="s">
        <v>22</v>
      </c>
      <c r="E778" s="47"/>
      <c r="F778" s="126"/>
      <c r="G778" s="126">
        <f>+SUMIFS(Equipement_Efficité!$AG:$AG,Equipement_Efficité!$B:$B,'Tableau détaillé'!$B778)</f>
        <v>5686</v>
      </c>
      <c r="H778" s="126"/>
      <c r="I778" s="126">
        <f>+SUMIFS(Equipement_Efficité!$AF:$AF,Equipement_Efficité!$B:$B,'Tableau détaillé'!$B778)</f>
        <v>4536</v>
      </c>
      <c r="J778" s="163"/>
      <c r="K778" s="164">
        <f t="shared" si="135"/>
        <v>-0.20225114315863524</v>
      </c>
      <c r="L778" s="163"/>
    </row>
    <row r="779" spans="2:12">
      <c r="C779" s="435"/>
      <c r="D779" s="48" t="s">
        <v>62</v>
      </c>
      <c r="E779" s="48"/>
      <c r="F779" s="124"/>
      <c r="G779" s="124">
        <f t="shared" ref="G779" si="136">SUM(G772:G778)</f>
        <v>108668</v>
      </c>
      <c r="H779" s="124"/>
      <c r="I779" s="124">
        <f>SUM(I772:I778)</f>
        <v>112695</v>
      </c>
      <c r="J779" s="103"/>
      <c r="K779" s="165">
        <f t="shared" si="135"/>
        <v>3.7057827511318919E-2</v>
      </c>
      <c r="L779" s="103"/>
    </row>
    <row r="780" spans="2:12">
      <c r="B780" s="28" t="s">
        <v>138</v>
      </c>
      <c r="C780" s="435"/>
      <c r="D780" s="47" t="s">
        <v>15</v>
      </c>
      <c r="E780" s="47"/>
      <c r="F780" s="126"/>
      <c r="G780" s="126">
        <f>+SUMIFS(Equipement_Efficité!$AG:$AG,Equipement_Efficité!$B:$B,'Tableau détaillé'!$B780)</f>
        <v>32151</v>
      </c>
      <c r="H780" s="126"/>
      <c r="I780" s="126">
        <f>+SUMIFS(Equipement_Efficité!$AF:$AF,Equipement_Efficité!$B:$B,'Tableau détaillé'!$B780)</f>
        <v>76788</v>
      </c>
      <c r="J780" s="163"/>
      <c r="K780" s="164">
        <f t="shared" si="135"/>
        <v>1.3883549500793131</v>
      </c>
      <c r="L780" s="163"/>
    </row>
    <row r="781" spans="2:12">
      <c r="B781" s="28" t="s">
        <v>132</v>
      </c>
      <c r="C781" s="435"/>
      <c r="D781" s="47" t="s">
        <v>16</v>
      </c>
      <c r="E781" s="47"/>
      <c r="F781" s="126"/>
      <c r="G781" s="126">
        <f>+SUMIFS(Equipement_Efficité!$AG:$AG,Equipement_Efficité!$B:$B,'Tableau détaillé'!$B781)</f>
        <v>82466</v>
      </c>
      <c r="H781" s="126"/>
      <c r="I781" s="126">
        <f>+SUMIFS(Equipement_Efficité!$AF:$AF,Equipement_Efficité!$B:$B,'Tableau détaillé'!$B781)</f>
        <v>235360</v>
      </c>
      <c r="J781" s="163"/>
      <c r="K781" s="164">
        <f t="shared" si="135"/>
        <v>1.8540246889627241</v>
      </c>
      <c r="L781" s="163"/>
    </row>
    <row r="782" spans="2:12">
      <c r="B782" s="28" t="s">
        <v>140</v>
      </c>
      <c r="C782" s="435"/>
      <c r="D782" s="47" t="s">
        <v>20</v>
      </c>
      <c r="E782" s="47"/>
      <c r="F782" s="126"/>
      <c r="G782" s="126">
        <f>+SUMIFS(Equipement_Efficité!$AG:$AG,Equipement_Efficité!$B:$B,'Tableau détaillé'!$B782)</f>
        <v>3251</v>
      </c>
      <c r="H782" s="126"/>
      <c r="I782" s="126">
        <f>+SUMIFS(Equipement_Efficité!$AF:$AF,Equipement_Efficité!$B:$B,'Tableau détaillé'!$B782)</f>
        <v>5639</v>
      </c>
      <c r="J782" s="163"/>
      <c r="K782" s="164">
        <f t="shared" si="135"/>
        <v>0.73454321747154716</v>
      </c>
      <c r="L782" s="163"/>
    </row>
    <row r="783" spans="2:12">
      <c r="B783" s="28" t="s">
        <v>135</v>
      </c>
      <c r="C783" s="435"/>
      <c r="D783" s="47" t="s">
        <v>23</v>
      </c>
      <c r="E783" s="47"/>
      <c r="F783" s="126"/>
      <c r="G783" s="126">
        <f>+SUMIFS(Equipement_Efficité!$AG:$AG,Equipement_Efficité!$B:$B,'Tableau détaillé'!$B783)</f>
        <v>12215</v>
      </c>
      <c r="H783" s="126"/>
      <c r="I783" s="126">
        <f>+SUMIFS(Equipement_Efficité!$AF:$AF,Equipement_Efficité!$B:$B,'Tableau détaillé'!$B783)</f>
        <v>28921</v>
      </c>
      <c r="J783" s="163"/>
      <c r="K783" s="164">
        <f t="shared" si="135"/>
        <v>1.3676627097830538</v>
      </c>
      <c r="L783" s="163"/>
    </row>
    <row r="784" spans="2:12" ht="14.4" thickBot="1">
      <c r="C784" s="436"/>
      <c r="D784" s="49" t="s">
        <v>63</v>
      </c>
      <c r="E784" s="49"/>
      <c r="F784" s="129"/>
      <c r="G784" s="129">
        <f t="shared" ref="G784" si="137">SUM(G780:G783)</f>
        <v>130083</v>
      </c>
      <c r="H784" s="129"/>
      <c r="I784" s="129">
        <f>SUM(I780:I783)</f>
        <v>346708</v>
      </c>
      <c r="J784" s="166"/>
      <c r="K784" s="166">
        <f t="shared" si="135"/>
        <v>1.6652829347416649</v>
      </c>
      <c r="L784" s="166"/>
    </row>
    <row r="785" spans="2:12" ht="14.4" thickTop="1">
      <c r="F785" s="132"/>
      <c r="G785" s="132"/>
      <c r="H785" s="98"/>
      <c r="I785" s="98"/>
    </row>
    <row r="786" spans="2:12">
      <c r="F786" s="132"/>
      <c r="G786" s="132"/>
      <c r="H786" s="98"/>
      <c r="I786" s="98"/>
    </row>
    <row r="787" spans="2:12" ht="14.4" thickBot="1">
      <c r="F787" s="418" t="s">
        <v>419</v>
      </c>
      <c r="G787" s="261">
        <v>44926</v>
      </c>
      <c r="H787" s="261">
        <v>44957</v>
      </c>
      <c r="I787" s="261">
        <v>45291</v>
      </c>
    </row>
    <row r="788" spans="2:12" ht="14.4" thickTop="1">
      <c r="C788" s="463" t="s">
        <v>25</v>
      </c>
      <c r="D788" s="45" t="s">
        <v>64</v>
      </c>
      <c r="E788" s="45"/>
      <c r="F788" s="124">
        <f t="shared" ref="F788:G788" si="138">SUM(F796,F801)</f>
        <v>11793</v>
      </c>
      <c r="G788" s="124">
        <f t="shared" si="138"/>
        <v>9114</v>
      </c>
      <c r="H788" s="124">
        <f>SUM(H796,H801)</f>
        <v>31255</v>
      </c>
      <c r="I788" s="124">
        <f>SUM(I796,I801)</f>
        <v>28344</v>
      </c>
      <c r="J788" s="103"/>
      <c r="K788" s="165">
        <f t="shared" ref="K788:K801" si="139">+I788/G788-1</f>
        <v>2.1099407504937457</v>
      </c>
      <c r="L788" s="103"/>
    </row>
    <row r="789" spans="2:12">
      <c r="B789" s="28" t="s">
        <v>131</v>
      </c>
      <c r="C789" s="435" t="s">
        <v>375</v>
      </c>
      <c r="D789" s="47" t="s">
        <v>13</v>
      </c>
      <c r="E789" s="47"/>
      <c r="F789" s="126">
        <f>+SUMIFS(Equipement_Efficité!$AK:$AK,Equipement_Efficité!$B:$B,'Tableau détaillé'!$B789)</f>
        <v>0</v>
      </c>
      <c r="G789" s="126">
        <f>+SUMIFS(Equipement_Efficité!$AI:$AI,Equipement_Efficité!$B:$B,'Tableau détaillé'!$B789)</f>
        <v>0</v>
      </c>
      <c r="H789" s="126">
        <f>+SUMIFS(Equipement_Efficité!$AJ:$AJ,Equipement_Efficité!$B:$B,'Tableau détaillé'!$B789)</f>
        <v>4426</v>
      </c>
      <c r="I789" s="126">
        <f>+SUMIFS(Equipement_Efficité!$AH:$AH,Equipement_Efficité!$B:$B,'Tableau détaillé'!$B789)</f>
        <v>5122</v>
      </c>
      <c r="J789" s="163"/>
      <c r="K789" s="164" t="e">
        <f t="shared" si="139"/>
        <v>#DIV/0!</v>
      </c>
      <c r="L789" s="163"/>
    </row>
    <row r="790" spans="2:12">
      <c r="B790" s="28" t="s">
        <v>136</v>
      </c>
      <c r="C790" s="435"/>
      <c r="D790" s="47" t="s">
        <v>14</v>
      </c>
      <c r="E790" s="47"/>
      <c r="F790" s="126">
        <f>+SUMIFS(Equipement_Efficité!$AK:$AK,Equipement_Efficité!$B:$B,'Tableau détaillé'!$B790)</f>
        <v>1379</v>
      </c>
      <c r="G790" s="126">
        <f>+SUMIFS(Equipement_Efficité!$AI:$AI,Equipement_Efficité!$B:$B,'Tableau détaillé'!$B790)</f>
        <v>1938</v>
      </c>
      <c r="H790" s="126">
        <f>+SUMIFS(Equipement_Efficité!$AJ:$AJ,Equipement_Efficité!$B:$B,'Tableau détaillé'!$B790)</f>
        <v>2328</v>
      </c>
      <c r="I790" s="126">
        <f>+SUMIFS(Equipement_Efficité!$AH:$AH,Equipement_Efficité!$B:$B,'Tableau détaillé'!$B790)</f>
        <v>2106</v>
      </c>
      <c r="J790" s="163"/>
      <c r="K790" s="164">
        <f t="shared" si="139"/>
        <v>8.6687306501547878E-2</v>
      </c>
      <c r="L790" s="163"/>
    </row>
    <row r="791" spans="2:12">
      <c r="B791" s="28" t="s">
        <v>141</v>
      </c>
      <c r="C791" s="435"/>
      <c r="D791" s="47" t="s">
        <v>17</v>
      </c>
      <c r="E791" s="47"/>
      <c r="F791" s="126">
        <f>+SUMIFS(Equipement_Efficité!$AK:$AK,Equipement_Efficité!$B:$B,'Tableau détaillé'!$B791)</f>
        <v>0</v>
      </c>
      <c r="G791" s="126">
        <f>+SUMIFS(Equipement_Efficité!$AI:$AI,Equipement_Efficité!$B:$B,'Tableau détaillé'!$B791)</f>
        <v>0</v>
      </c>
      <c r="H791" s="126">
        <f>+SUMIFS(Equipement_Efficité!$AJ:$AJ,Equipement_Efficité!$B:$B,'Tableau détaillé'!$B791)</f>
        <v>1534</v>
      </c>
      <c r="I791" s="126">
        <f>+SUMIFS(Equipement_Efficité!$AH:$AH,Equipement_Efficité!$B:$B,'Tableau détaillé'!$B791)</f>
        <v>2403</v>
      </c>
      <c r="J791" s="163"/>
      <c r="K791" s="164" t="e">
        <f t="shared" si="139"/>
        <v>#DIV/0!</v>
      </c>
      <c r="L791" s="163"/>
    </row>
    <row r="792" spans="2:12">
      <c r="B792" s="28" t="s">
        <v>124</v>
      </c>
      <c r="C792" s="435"/>
      <c r="D792" s="47" t="s">
        <v>18</v>
      </c>
      <c r="E792" s="47"/>
      <c r="F792" s="126">
        <f>+SUMIFS(Equipement_Efficité!$AK:$AK,Equipement_Efficité!$B:$B,'Tableau détaillé'!$B792)</f>
        <v>987</v>
      </c>
      <c r="G792" s="126">
        <f>+SUMIFS(Equipement_Efficité!$AI:$AI,Equipement_Efficité!$B:$B,'Tableau détaillé'!$B792)</f>
        <v>0</v>
      </c>
      <c r="H792" s="126">
        <f>+SUMIFS(Equipement_Efficité!$AJ:$AJ,Equipement_Efficité!$B:$B,'Tableau détaillé'!$B792)</f>
        <v>513</v>
      </c>
      <c r="I792" s="126">
        <f>+SUMIFS(Equipement_Efficité!$AH:$AH,Equipement_Efficité!$B:$B,'Tableau détaillé'!$B792)</f>
        <v>499</v>
      </c>
      <c r="J792" s="163"/>
      <c r="K792" s="164" t="e">
        <f t="shared" si="139"/>
        <v>#DIV/0!</v>
      </c>
      <c r="L792" s="163"/>
    </row>
    <row r="793" spans="2:12">
      <c r="B793" s="28" t="s">
        <v>137</v>
      </c>
      <c r="C793" s="435"/>
      <c r="D793" s="47" t="s">
        <v>19</v>
      </c>
      <c r="E793" s="47"/>
      <c r="F793" s="126">
        <f>+SUMIFS(Equipement_Efficité!$AK:$AK,Equipement_Efficité!$B:$B,'Tableau détaillé'!$B793)</f>
        <v>0</v>
      </c>
      <c r="G793" s="126">
        <f>+SUMIFS(Equipement_Efficité!$AI:$AI,Equipement_Efficité!$B:$B,'Tableau détaillé'!$B793)</f>
        <v>0</v>
      </c>
      <c r="H793" s="126">
        <f>+SUMIFS(Equipement_Efficité!$AJ:$AJ,Equipement_Efficité!$B:$B,'Tableau détaillé'!$B793)</f>
        <v>508</v>
      </c>
      <c r="I793" s="126">
        <f>+SUMIFS(Equipement_Efficité!$AH:$AH,Equipement_Efficité!$B:$B,'Tableau détaillé'!$B793)</f>
        <v>524</v>
      </c>
      <c r="J793" s="163"/>
      <c r="K793" s="164" t="e">
        <f t="shared" si="139"/>
        <v>#DIV/0!</v>
      </c>
      <c r="L793" s="163"/>
    </row>
    <row r="794" spans="2:12">
      <c r="B794" s="28" t="s">
        <v>123</v>
      </c>
      <c r="C794" s="435"/>
      <c r="D794" s="47" t="s">
        <v>21</v>
      </c>
      <c r="E794" s="47"/>
      <c r="F794" s="126">
        <f>+SUMIFS(Equipement_Efficité!$AK:$AK,Equipement_Efficité!$B:$B,'Tableau détaillé'!$B794)</f>
        <v>271</v>
      </c>
      <c r="G794" s="126">
        <f>+SUMIFS(Equipement_Efficité!$AI:$AI,Equipement_Efficité!$B:$B,'Tableau détaillé'!$B794)</f>
        <v>227</v>
      </c>
      <c r="H794" s="126">
        <f>+SUMIFS(Equipement_Efficité!$AJ:$AJ,Equipement_Efficité!$B:$B,'Tableau détaillé'!$B794)</f>
        <v>320</v>
      </c>
      <c r="I794" s="126">
        <f>+SUMIFS(Equipement_Efficité!$AH:$AH,Equipement_Efficité!$B:$B,'Tableau détaillé'!$B794)</f>
        <v>346</v>
      </c>
      <c r="J794" s="163"/>
      <c r="K794" s="164">
        <f t="shared" si="139"/>
        <v>0.52422907488986792</v>
      </c>
      <c r="L794" s="163"/>
    </row>
    <row r="795" spans="2:12">
      <c r="B795" s="28" t="s">
        <v>139</v>
      </c>
      <c r="C795" s="435"/>
      <c r="D795" s="47" t="s">
        <v>22</v>
      </c>
      <c r="E795" s="47"/>
      <c r="F795" s="126">
        <f>+SUMIFS(Equipement_Efficité!$AK:$AK,Equipement_Efficité!$B:$B,'Tableau détaillé'!$B795)</f>
        <v>438</v>
      </c>
      <c r="G795" s="126">
        <f>+SUMIFS(Equipement_Efficité!$AI:$AI,Equipement_Efficité!$B:$B,'Tableau détaillé'!$B795)</f>
        <v>422</v>
      </c>
      <c r="H795" s="126">
        <f>+SUMIFS(Equipement_Efficité!$AJ:$AJ,Equipement_Efficité!$B:$B,'Tableau détaillé'!$B795)</f>
        <v>336</v>
      </c>
      <c r="I795" s="126">
        <f>+SUMIFS(Equipement_Efficité!$AH:$AH,Equipement_Efficité!$B:$B,'Tableau détaillé'!$B795)</f>
        <v>345</v>
      </c>
      <c r="J795" s="163"/>
      <c r="K795" s="164">
        <f t="shared" si="139"/>
        <v>-0.18246445497630337</v>
      </c>
      <c r="L795" s="163"/>
    </row>
    <row r="796" spans="2:12">
      <c r="C796" s="435"/>
      <c r="D796" s="48" t="s">
        <v>62</v>
      </c>
      <c r="E796" s="48"/>
      <c r="F796" s="124">
        <f t="shared" ref="F796" si="140">SUM(F789:F795)</f>
        <v>3075</v>
      </c>
      <c r="G796" s="124">
        <f t="shared" ref="G796" si="141">SUM(G789:G795)</f>
        <v>2587</v>
      </c>
      <c r="H796" s="124">
        <f>SUM(H789:H795)</f>
        <v>9965</v>
      </c>
      <c r="I796" s="124">
        <f>SUM(I789:I795)</f>
        <v>11345</v>
      </c>
      <c r="J796" s="103"/>
      <c r="K796" s="165">
        <f t="shared" si="139"/>
        <v>3.3853884808658679</v>
      </c>
      <c r="L796" s="103"/>
    </row>
    <row r="797" spans="2:12">
      <c r="B797" s="28" t="s">
        <v>138</v>
      </c>
      <c r="C797" s="435"/>
      <c r="D797" s="47" t="s">
        <v>15</v>
      </c>
      <c r="E797" s="47"/>
      <c r="F797" s="126">
        <f>+SUMIFS(Equipement_Efficité!$AK:$AK,Equipement_Efficité!$B:$B,'Tableau détaillé'!$B797)</f>
        <v>73</v>
      </c>
      <c r="G797" s="126">
        <f>+SUMIFS(Equipement_Efficité!$AI:$AI,Equipement_Efficité!$B:$B,'Tableau détaillé'!$B797)</f>
        <v>54</v>
      </c>
      <c r="H797" s="126">
        <f>+SUMIFS(Equipement_Efficité!$AJ:$AJ,Equipement_Efficité!$B:$B,'Tableau détaillé'!$B797)</f>
        <v>8780</v>
      </c>
      <c r="I797" s="126">
        <f>+SUMIFS(Equipement_Efficité!$AH:$AH,Equipement_Efficité!$B:$B,'Tableau détaillé'!$B797)</f>
        <v>5745</v>
      </c>
      <c r="J797" s="163"/>
      <c r="K797" s="164">
        <f t="shared" si="139"/>
        <v>105.38888888888889</v>
      </c>
      <c r="L797" s="163"/>
    </row>
    <row r="798" spans="2:12">
      <c r="B798" s="28" t="s">
        <v>132</v>
      </c>
      <c r="C798" s="435"/>
      <c r="D798" s="47" t="s">
        <v>16</v>
      </c>
      <c r="E798" s="47"/>
      <c r="F798" s="126">
        <f>+SUMIFS(Equipement_Efficité!$AK:$AK,Equipement_Efficité!$B:$B,'Tableau détaillé'!$B798)</f>
        <v>6831</v>
      </c>
      <c r="G798" s="126">
        <f>+SUMIFS(Equipement_Efficité!$AI:$AI,Equipement_Efficité!$B:$B,'Tableau détaillé'!$B798)</f>
        <v>5583</v>
      </c>
      <c r="H798" s="126">
        <f>+SUMIFS(Equipement_Efficité!$AJ:$AJ,Equipement_Efficité!$B:$B,'Tableau détaillé'!$B798)</f>
        <v>10222</v>
      </c>
      <c r="I798" s="126">
        <f>+SUMIFS(Equipement_Efficité!$AH:$AH,Equipement_Efficité!$B:$B,'Tableau détaillé'!$B798)</f>
        <v>9618</v>
      </c>
      <c r="J798" s="163"/>
      <c r="K798" s="164">
        <f t="shared" si="139"/>
        <v>0.72272971520687812</v>
      </c>
      <c r="L798" s="163"/>
    </row>
    <row r="799" spans="2:12">
      <c r="B799" s="28" t="s">
        <v>140</v>
      </c>
      <c r="C799" s="435"/>
      <c r="D799" s="47" t="s">
        <v>20</v>
      </c>
      <c r="E799" s="47"/>
      <c r="F799" s="126">
        <f>+SUMIFS(Equipement_Efficité!$AK:$AK,Equipement_Efficité!$B:$B,'Tableau détaillé'!$B799)</f>
        <v>295</v>
      </c>
      <c r="G799" s="126">
        <f>+SUMIFS(Equipement_Efficité!$AI:$AI,Equipement_Efficité!$B:$B,'Tableau détaillé'!$B799)</f>
        <v>174</v>
      </c>
      <c r="H799" s="126">
        <f>+SUMIFS(Equipement_Efficité!$AJ:$AJ,Equipement_Efficité!$B:$B,'Tableau détaillé'!$B799)</f>
        <v>890</v>
      </c>
      <c r="I799" s="126">
        <f>+SUMIFS(Equipement_Efficité!$AH:$AH,Equipement_Efficité!$B:$B,'Tableau détaillé'!$B799)</f>
        <v>396</v>
      </c>
      <c r="J799" s="163"/>
      <c r="K799" s="164">
        <f t="shared" si="139"/>
        <v>1.2758620689655173</v>
      </c>
      <c r="L799" s="163"/>
    </row>
    <row r="800" spans="2:12">
      <c r="B800" s="28" t="s">
        <v>135</v>
      </c>
      <c r="C800" s="435"/>
      <c r="D800" s="47" t="s">
        <v>23</v>
      </c>
      <c r="E800" s="47"/>
      <c r="F800" s="126">
        <f>+SUMIFS(Equipement_Efficité!$AK:$AK,Equipement_Efficité!$B:$B,'Tableau détaillé'!$B800)</f>
        <v>1519</v>
      </c>
      <c r="G800" s="126">
        <f>+SUMIFS(Equipement_Efficité!$AI:$AI,Equipement_Efficité!$B:$B,'Tableau détaillé'!$B800)</f>
        <v>716</v>
      </c>
      <c r="H800" s="126">
        <f>+SUMIFS(Equipement_Efficité!$AJ:$AJ,Equipement_Efficité!$B:$B,'Tableau détaillé'!$B800)</f>
        <v>1398</v>
      </c>
      <c r="I800" s="126">
        <f>+SUMIFS(Equipement_Efficité!$AH:$AH,Equipement_Efficité!$B:$B,'Tableau détaillé'!$B800)</f>
        <v>1240</v>
      </c>
      <c r="J800" s="163"/>
      <c r="K800" s="164">
        <f t="shared" si="139"/>
        <v>0.73184357541899447</v>
      </c>
      <c r="L800" s="163"/>
    </row>
    <row r="801" spans="2:12" ht="14.4" thickBot="1">
      <c r="C801" s="436"/>
      <c r="D801" s="49" t="s">
        <v>63</v>
      </c>
      <c r="E801" s="49"/>
      <c r="F801" s="129">
        <f t="shared" ref="F801" si="142">SUM(F797:F800)</f>
        <v>8718</v>
      </c>
      <c r="G801" s="129">
        <f t="shared" ref="G801" si="143">SUM(G797:G800)</f>
        <v>6527</v>
      </c>
      <c r="H801" s="129">
        <f>SUM(H797:H800)</f>
        <v>21290</v>
      </c>
      <c r="I801" s="129">
        <f>SUM(I797:I800)</f>
        <v>16999</v>
      </c>
      <c r="J801" s="166"/>
      <c r="K801" s="166">
        <f t="shared" si="139"/>
        <v>1.6044124406312243</v>
      </c>
      <c r="L801" s="166"/>
    </row>
    <row r="802" spans="2:12" ht="14.4" thickTop="1">
      <c r="F802" s="132"/>
      <c r="G802" s="132"/>
      <c r="H802" s="98"/>
      <c r="I802" s="98"/>
    </row>
    <row r="803" spans="2:12" ht="14.4" thickBot="1">
      <c r="F803" s="418" t="s">
        <v>419</v>
      </c>
      <c r="G803" s="261">
        <v>44926</v>
      </c>
      <c r="H803" s="261">
        <v>44957</v>
      </c>
      <c r="I803" s="261">
        <v>45291</v>
      </c>
    </row>
    <row r="804" spans="2:12" ht="14.4" thickTop="1">
      <c r="C804" s="463" t="s">
        <v>376</v>
      </c>
      <c r="D804" s="45" t="s">
        <v>64</v>
      </c>
      <c r="E804" s="45"/>
      <c r="F804" s="124"/>
      <c r="G804" s="124">
        <f>+(G771/$F$547)/MONTH(F$546)</f>
        <v>15.387406548079403</v>
      </c>
      <c r="H804" s="124"/>
      <c r="I804" s="124">
        <f>+(I771/$H$547)/MONTH(H$546)</f>
        <v>36.882064868336549</v>
      </c>
      <c r="J804" s="103"/>
      <c r="K804" s="165">
        <f t="shared" ref="K804:K817" si="144">+I804/G804-1</f>
        <v>1.3968993574774968</v>
      </c>
      <c r="L804" s="103"/>
    </row>
    <row r="805" spans="2:12">
      <c r="B805" s="28" t="s">
        <v>131</v>
      </c>
      <c r="C805" s="435" t="s">
        <v>363</v>
      </c>
      <c r="D805" s="47" t="s">
        <v>13</v>
      </c>
      <c r="E805" s="47"/>
      <c r="F805" s="126"/>
      <c r="G805" s="126">
        <f>+(G772/$F$548)/MONTH(F$546)</f>
        <v>12.457095709570957</v>
      </c>
      <c r="H805" s="126"/>
      <c r="I805" s="126">
        <f>+(I772/$H$548)/MONTH(H$546)</f>
        <v>20.394097222222221</v>
      </c>
      <c r="J805" s="163"/>
      <c r="K805" s="164">
        <f t="shared" si="144"/>
        <v>0.63714702830396952</v>
      </c>
      <c r="L805" s="163"/>
    </row>
    <row r="806" spans="2:12">
      <c r="B806" s="28" t="s">
        <v>136</v>
      </c>
      <c r="C806" s="435"/>
      <c r="D806" s="47" t="s">
        <v>14</v>
      </c>
      <c r="E806" s="47"/>
      <c r="F806" s="126"/>
      <c r="G806" s="126">
        <f>+(G773/$F$549)/MONTH(F$546)</f>
        <v>9.0545267489711936</v>
      </c>
      <c r="H806" s="126"/>
      <c r="I806" s="126">
        <f>+(I773/$H$549)/MONTH(H$546)</f>
        <v>20.73469387755102</v>
      </c>
      <c r="J806" s="163"/>
      <c r="K806" s="164">
        <f t="shared" si="144"/>
        <v>1.2899809622746949</v>
      </c>
      <c r="L806" s="163"/>
    </row>
    <row r="807" spans="2:12">
      <c r="B807" s="28" t="s">
        <v>141</v>
      </c>
      <c r="C807" s="435"/>
      <c r="D807" s="47" t="s">
        <v>17</v>
      </c>
      <c r="E807" s="47"/>
      <c r="F807" s="126"/>
      <c r="G807" s="126">
        <f>+(G774/$F$550)/MONTH(F$546)</f>
        <v>0</v>
      </c>
      <c r="H807" s="126"/>
      <c r="I807" s="126">
        <f>+(I774/$H$550)/MONTH(H$546)</f>
        <v>16.843137254901961</v>
      </c>
      <c r="J807" s="163"/>
      <c r="K807" s="164" t="e">
        <f t="shared" si="144"/>
        <v>#DIV/0!</v>
      </c>
      <c r="L807" s="163"/>
    </row>
    <row r="808" spans="2:12">
      <c r="B808" s="28" t="s">
        <v>124</v>
      </c>
      <c r="C808" s="435"/>
      <c r="D808" s="47" t="s">
        <v>18</v>
      </c>
      <c r="E808" s="47"/>
      <c r="F808" s="126"/>
      <c r="G808" s="126">
        <f>+(G775/$F$551)/MONTH(F$546)</f>
        <v>9.8333333333333339</v>
      </c>
      <c r="H808" s="126"/>
      <c r="I808" s="126">
        <f>+(I775/$H$551)/MONTH(H$546)</f>
        <v>16.442708333333332</v>
      </c>
      <c r="J808" s="163"/>
      <c r="K808" s="164">
        <f t="shared" si="144"/>
        <v>0.67213983050847426</v>
      </c>
      <c r="L808" s="163"/>
    </row>
    <row r="809" spans="2:12">
      <c r="B809" s="28" t="s">
        <v>137</v>
      </c>
      <c r="C809" s="435"/>
      <c r="D809" s="47" t="s">
        <v>19</v>
      </c>
      <c r="E809" s="47"/>
      <c r="F809" s="126"/>
      <c r="G809" s="126">
        <f>+(G776/$F$552)/MONTH(F$546)</f>
        <v>0</v>
      </c>
      <c r="H809" s="126"/>
      <c r="I809" s="126">
        <f>+(I776/$H$552)/MONTH(H$546)</f>
        <v>7.6314102564102564</v>
      </c>
      <c r="J809" s="163"/>
      <c r="K809" s="164" t="e">
        <f t="shared" si="144"/>
        <v>#DIV/0!</v>
      </c>
      <c r="L809" s="163"/>
    </row>
    <row r="810" spans="2:12">
      <c r="B810" s="28" t="s">
        <v>123</v>
      </c>
      <c r="C810" s="435"/>
      <c r="D810" s="47" t="s">
        <v>21</v>
      </c>
      <c r="E810" s="47"/>
      <c r="F810" s="126"/>
      <c r="G810" s="126">
        <f>+(G777/$F$553)/MONTH(F$546)</f>
        <v>162.07291666666666</v>
      </c>
      <c r="H810" s="126"/>
      <c r="I810" s="126">
        <f>+(I777/$H$553)/MONTH(H$546)</f>
        <v>21.229166666666668</v>
      </c>
      <c r="J810" s="163"/>
      <c r="K810" s="164">
        <f t="shared" si="144"/>
        <v>-0.86901471816954812</v>
      </c>
      <c r="L810" s="163"/>
    </row>
    <row r="811" spans="2:12">
      <c r="B811" s="28" t="s">
        <v>139</v>
      </c>
      <c r="C811" s="435"/>
      <c r="D811" s="47" t="s">
        <v>22</v>
      </c>
      <c r="E811" s="47"/>
      <c r="F811" s="126"/>
      <c r="G811" s="126">
        <f>+(G778/$F$554)/MONTH(F$546)</f>
        <v>18.953333333333333</v>
      </c>
      <c r="H811" s="126"/>
      <c r="I811" s="126">
        <f>+(I778/$H$554)/MONTH(H$546)</f>
        <v>16.434782608695652</v>
      </c>
      <c r="J811" s="163"/>
      <c r="K811" s="164">
        <f t="shared" si="144"/>
        <v>-0.1328816773463426</v>
      </c>
      <c r="L811" s="163"/>
    </row>
    <row r="812" spans="2:12">
      <c r="C812" s="435"/>
      <c r="D812" s="48" t="s">
        <v>62</v>
      </c>
      <c r="E812" s="48"/>
      <c r="F812" s="124"/>
      <c r="G812" s="124">
        <f>+(G779/$F$555)/MONTH(F$546)</f>
        <v>11.030044660982542</v>
      </c>
      <c r="H812" s="124"/>
      <c r="I812" s="124">
        <f>+(I779/$H$555)/MONTH(H$546)</f>
        <v>18.094894026974952</v>
      </c>
      <c r="J812" s="103"/>
      <c r="K812" s="165">
        <f t="shared" si="144"/>
        <v>0.64050958841385897</v>
      </c>
      <c r="L812" s="103"/>
    </row>
    <row r="813" spans="2:12">
      <c r="B813" s="28" t="s">
        <v>138</v>
      </c>
      <c r="C813" s="435"/>
      <c r="D813" s="47" t="s">
        <v>15</v>
      </c>
      <c r="E813" s="47"/>
      <c r="F813" s="126"/>
      <c r="G813" s="126">
        <f>+(G780/$F$556)/MONTH(F$546)</f>
        <v>8.5599041533546316</v>
      </c>
      <c r="H813" s="126"/>
      <c r="I813" s="126">
        <f>+(I780/$H$556)/MONTH(H$546)</f>
        <v>23.525735294117649</v>
      </c>
      <c r="J813" s="163"/>
      <c r="K813" s="164">
        <f t="shared" si="144"/>
        <v>1.7483643359368575</v>
      </c>
      <c r="L813" s="163"/>
    </row>
    <row r="814" spans="2:12">
      <c r="B814" s="28" t="s">
        <v>132</v>
      </c>
      <c r="C814" s="435"/>
      <c r="D814" s="47" t="s">
        <v>16</v>
      </c>
      <c r="E814" s="47"/>
      <c r="F814" s="126"/>
      <c r="G814" s="126">
        <f>+(G781/$F$557)/MONTH(F$546)</f>
        <v>59.242816091954019</v>
      </c>
      <c r="H814" s="126"/>
      <c r="I814" s="126">
        <f>+(I781/$H$557)/MONTH(H$546)</f>
        <v>167.63532763532763</v>
      </c>
      <c r="J814" s="163"/>
      <c r="K814" s="164">
        <f t="shared" si="144"/>
        <v>1.8296313155527861</v>
      </c>
      <c r="L814" s="163"/>
    </row>
    <row r="815" spans="2:12">
      <c r="B815" s="28" t="s">
        <v>140</v>
      </c>
      <c r="C815" s="435"/>
      <c r="D815" s="47" t="s">
        <v>20</v>
      </c>
      <c r="E815" s="47"/>
      <c r="F815" s="126"/>
      <c r="G815" s="126">
        <f>+(G782/$F$558)/MONTH(F$546)</f>
        <v>8.4661458333333339</v>
      </c>
      <c r="H815" s="126"/>
      <c r="I815" s="126">
        <f>+(I782/$H$558)/MONTH(H$546)</f>
        <v>15.158602150537634</v>
      </c>
      <c r="J815" s="163"/>
      <c r="K815" s="164">
        <f t="shared" si="144"/>
        <v>0.79049622448675816</v>
      </c>
      <c r="L815" s="163"/>
    </row>
    <row r="816" spans="2:12">
      <c r="B816" s="28" t="s">
        <v>135</v>
      </c>
      <c r="C816" s="435"/>
      <c r="D816" s="47" t="s">
        <v>23</v>
      </c>
      <c r="E816" s="47"/>
      <c r="F816" s="126"/>
      <c r="G816" s="126">
        <f>+(G783/$F$559)/MONTH(F$546)</f>
        <v>92.537878787878796</v>
      </c>
      <c r="H816" s="126"/>
      <c r="I816" s="126">
        <f>+(I783/$H$559)/MONTH(H$546)</f>
        <v>24.344276094276093</v>
      </c>
      <c r="J816" s="163"/>
      <c r="K816" s="164">
        <f t="shared" si="144"/>
        <v>-0.73692636557966074</v>
      </c>
      <c r="L816" s="163"/>
    </row>
    <row r="817" spans="2:12" ht="14.4" thickBot="1">
      <c r="C817" s="436"/>
      <c r="D817" s="49" t="s">
        <v>63</v>
      </c>
      <c r="E817" s="49"/>
      <c r="F817" s="129"/>
      <c r="G817" s="129">
        <f>+(G784/$F$560)/MONTH(F$546)</f>
        <v>22.966631355932204</v>
      </c>
      <c r="H817" s="129"/>
      <c r="I817" s="129">
        <f>+(I784/$H$560)/MONTH(H$546)</f>
        <v>55.669235709698135</v>
      </c>
      <c r="J817" s="166"/>
      <c r="K817" s="166">
        <f t="shared" si="144"/>
        <v>1.4239181988402039</v>
      </c>
      <c r="L817" s="166"/>
    </row>
    <row r="818" spans="2:12" ht="14.4" thickTop="1">
      <c r="F818" s="132"/>
      <c r="G818" s="132"/>
      <c r="H818" s="98"/>
      <c r="I818" s="98"/>
    </row>
    <row r="819" spans="2:12" ht="14.4" thickBot="1">
      <c r="F819" s="132"/>
      <c r="G819" s="132"/>
      <c r="H819" s="98"/>
      <c r="I819" s="98"/>
    </row>
    <row r="820" spans="2:12" ht="28.8" thickTop="1" thickBot="1">
      <c r="F820" s="418" t="s">
        <v>419</v>
      </c>
      <c r="G820" s="261">
        <v>44926</v>
      </c>
      <c r="H820" s="261">
        <v>44957</v>
      </c>
      <c r="I820" s="261">
        <v>45291</v>
      </c>
      <c r="J820" s="174" t="s">
        <v>364</v>
      </c>
      <c r="K820" s="175" t="s">
        <v>152</v>
      </c>
      <c r="L820" s="175" t="s">
        <v>365</v>
      </c>
    </row>
    <row r="821" spans="2:12" ht="14.4" thickTop="1">
      <c r="C821" s="463" t="s">
        <v>376</v>
      </c>
      <c r="D821" s="45" t="s">
        <v>64</v>
      </c>
      <c r="E821" s="45"/>
      <c r="F821" s="124">
        <f>+(F788/$F$547)</f>
        <v>9.1206496519721583</v>
      </c>
      <c r="G821" s="124">
        <f>+(G788/$F$547)</f>
        <v>7.0487238979118327</v>
      </c>
      <c r="H821" s="124">
        <f>+(H788/$H$547)</f>
        <v>30.110789980732179</v>
      </c>
      <c r="I821" s="124">
        <f>+(I788/$H$547)</f>
        <v>27.306358381502889</v>
      </c>
      <c r="J821" s="103">
        <f>+I821/H821-1</f>
        <v>-9.3137098064309809E-2</v>
      </c>
      <c r="K821" s="165">
        <f t="shared" ref="K821:K834" si="145">+I821/G821-1</f>
        <v>2.8739435360196661</v>
      </c>
      <c r="L821" s="103">
        <f>+I821/I804-1</f>
        <v>-0.25963043341031744</v>
      </c>
    </row>
    <row r="822" spans="2:12">
      <c r="B822" s="28" t="s">
        <v>131</v>
      </c>
      <c r="C822" s="435" t="s">
        <v>362</v>
      </c>
      <c r="D822" s="47" t="s">
        <v>13</v>
      </c>
      <c r="E822" s="47"/>
      <c r="F822" s="126">
        <f>+(F789/$F$548)</f>
        <v>0</v>
      </c>
      <c r="G822" s="126">
        <f>+(G789/$F$548)</f>
        <v>0</v>
      </c>
      <c r="H822" s="126">
        <f>+(H789/$H$548)</f>
        <v>23.052083333333332</v>
      </c>
      <c r="I822" s="126">
        <f>+(I789/$H$548)</f>
        <v>26.677083333333332</v>
      </c>
      <c r="J822" s="163">
        <f>IFERROR((I822/H822-1),0)</f>
        <v>0.15725259828287386</v>
      </c>
      <c r="K822" s="164" t="e">
        <f t="shared" si="145"/>
        <v>#DIV/0!</v>
      </c>
      <c r="L822" s="163">
        <f t="shared" ref="L822:L834" si="146">+I822/I805-1</f>
        <v>0.30807865838086324</v>
      </c>
    </row>
    <row r="823" spans="2:12">
      <c r="B823" s="28" t="s">
        <v>136</v>
      </c>
      <c r="C823" s="435"/>
      <c r="D823" s="47" t="s">
        <v>14</v>
      </c>
      <c r="E823" s="47"/>
      <c r="F823" s="126">
        <f>+(F790/$F$549)</f>
        <v>8.5123456790123448</v>
      </c>
      <c r="G823" s="126">
        <f>+(G790/$F$549)</f>
        <v>11.962962962962964</v>
      </c>
      <c r="H823" s="126">
        <f>+(H790/$H$549)</f>
        <v>23.755102040816325</v>
      </c>
      <c r="I823" s="126">
        <f>+(I790/$H$549)</f>
        <v>21.489795918367346</v>
      </c>
      <c r="J823" s="163">
        <f t="shared" ref="J823" si="147">+I823/H823-1</f>
        <v>-9.5360824742268036E-2</v>
      </c>
      <c r="K823" s="164">
        <f t="shared" si="145"/>
        <v>0.79636064952296692</v>
      </c>
      <c r="L823" s="163">
        <f t="shared" si="146"/>
        <v>3.6417322834645605E-2</v>
      </c>
    </row>
    <row r="824" spans="2:12">
      <c r="B824" s="28" t="s">
        <v>141</v>
      </c>
      <c r="C824" s="435"/>
      <c r="D824" s="47" t="s">
        <v>17</v>
      </c>
      <c r="E824" s="47"/>
      <c r="F824" s="126">
        <f>+(F791/$F$550)</f>
        <v>0</v>
      </c>
      <c r="G824" s="126">
        <f>+(G791/$F$550)</f>
        <v>0</v>
      </c>
      <c r="H824" s="126">
        <f>+(H791/$H$550)</f>
        <v>15.03921568627451</v>
      </c>
      <c r="I824" s="126">
        <f>+(I791/$H$550)</f>
        <v>23.558823529411764</v>
      </c>
      <c r="J824" s="163">
        <f t="shared" ref="J824:J834" si="148">IFERROR((I824/H824-1),0)</f>
        <v>0.56649282920469357</v>
      </c>
      <c r="K824" s="164" t="e">
        <f t="shared" si="145"/>
        <v>#DIV/0!</v>
      </c>
      <c r="L824" s="163">
        <f t="shared" si="146"/>
        <v>0.39871944121071001</v>
      </c>
    </row>
    <row r="825" spans="2:12">
      <c r="B825" s="28" t="s">
        <v>124</v>
      </c>
      <c r="C825" s="435"/>
      <c r="D825" s="47" t="s">
        <v>18</v>
      </c>
      <c r="E825" s="47"/>
      <c r="F825" s="126">
        <f>+(F792/$F$551)</f>
        <v>12.986842105263158</v>
      </c>
      <c r="G825" s="126">
        <f>+(G792/$F$551)</f>
        <v>0</v>
      </c>
      <c r="H825" s="126">
        <f>+(H792/$H$551)</f>
        <v>16.03125</v>
      </c>
      <c r="I825" s="126">
        <f>+(I792/$H$551)</f>
        <v>15.59375</v>
      </c>
      <c r="J825" s="163">
        <f t="shared" si="148"/>
        <v>-2.7290448343079921E-2</v>
      </c>
      <c r="K825" s="164" t="e">
        <f t="shared" si="145"/>
        <v>#DIV/0!</v>
      </c>
      <c r="L825" s="163">
        <f t="shared" si="146"/>
        <v>-5.1631295533734467E-2</v>
      </c>
    </row>
    <row r="826" spans="2:12">
      <c r="B826" s="28" t="s">
        <v>137</v>
      </c>
      <c r="C826" s="435"/>
      <c r="D826" s="47" t="s">
        <v>19</v>
      </c>
      <c r="E826" s="47"/>
      <c r="F826" s="126">
        <f>+(F793/$F$552)</f>
        <v>0</v>
      </c>
      <c r="G826" s="126">
        <f>+(G793/$F$552)</f>
        <v>0</v>
      </c>
      <c r="H826" s="126">
        <f>+(H793/$H$552)</f>
        <v>9.7692307692307701</v>
      </c>
      <c r="I826" s="126">
        <f>+(I793/$H$552)</f>
        <v>10.076923076923077</v>
      </c>
      <c r="J826" s="163">
        <f t="shared" si="148"/>
        <v>3.1496062992125928E-2</v>
      </c>
      <c r="K826" s="164" t="e">
        <f t="shared" si="145"/>
        <v>#DIV/0!</v>
      </c>
      <c r="L826" s="163">
        <f t="shared" si="146"/>
        <v>0.32045359092818138</v>
      </c>
    </row>
    <row r="827" spans="2:12">
      <c r="B827" s="28" t="s">
        <v>123</v>
      </c>
      <c r="C827" s="435"/>
      <c r="D827" s="47" t="s">
        <v>21</v>
      </c>
      <c r="E827" s="47"/>
      <c r="F827" s="126">
        <f>+(F794/$F$553)</f>
        <v>16.9375</v>
      </c>
      <c r="G827" s="126">
        <f>+(G794/$F$553)</f>
        <v>14.1875</v>
      </c>
      <c r="H827" s="126">
        <f>+(H794/$H$553)</f>
        <v>16</v>
      </c>
      <c r="I827" s="126">
        <f>+(I794/$H$553)</f>
        <v>17.3</v>
      </c>
      <c r="J827" s="163">
        <f t="shared" si="148"/>
        <v>8.1250000000000044E-2</v>
      </c>
      <c r="K827" s="164">
        <f t="shared" si="145"/>
        <v>0.21938325991189433</v>
      </c>
      <c r="L827" s="163">
        <f t="shared" si="146"/>
        <v>-0.18508341511285575</v>
      </c>
    </row>
    <row r="828" spans="2:12">
      <c r="B828" s="28" t="s">
        <v>139</v>
      </c>
      <c r="C828" s="435"/>
      <c r="D828" s="47" t="s">
        <v>22</v>
      </c>
      <c r="E828" s="47"/>
      <c r="F828" s="126">
        <f>+(F795/$F$554)</f>
        <v>17.52</v>
      </c>
      <c r="G828" s="126">
        <f>+(G795/$F$554)</f>
        <v>16.88</v>
      </c>
      <c r="H828" s="126">
        <f>+(H795/$H$554)</f>
        <v>14.608695652173912</v>
      </c>
      <c r="I828" s="126">
        <f>+(I795/$H$554)</f>
        <v>15</v>
      </c>
      <c r="J828" s="163">
        <f t="shared" si="148"/>
        <v>2.6785714285714413E-2</v>
      </c>
      <c r="K828" s="164">
        <f t="shared" si="145"/>
        <v>-0.11137440758293837</v>
      </c>
      <c r="L828" s="163">
        <f t="shared" si="146"/>
        <v>-8.7301587301587324E-2</v>
      </c>
    </row>
    <row r="829" spans="2:12">
      <c r="C829" s="435"/>
      <c r="D829" s="48" t="s">
        <v>62</v>
      </c>
      <c r="E829" s="48"/>
      <c r="F829" s="124">
        <f>+(F796/$F$555)</f>
        <v>3.7454323995127892</v>
      </c>
      <c r="G829" s="124">
        <f>+(G796/$F$555)</f>
        <v>3.1510353227771013</v>
      </c>
      <c r="H829" s="124">
        <f>+(H796/$H$555)</f>
        <v>19.200385356454721</v>
      </c>
      <c r="I829" s="124">
        <f>+(I796/$H$555)</f>
        <v>21.859344894026975</v>
      </c>
      <c r="J829" s="103">
        <f t="shared" si="148"/>
        <v>0.13848469643753147</v>
      </c>
      <c r="K829" s="165">
        <f t="shared" si="145"/>
        <v>5.9371944947801101</v>
      </c>
      <c r="L829" s="103">
        <f t="shared" si="146"/>
        <v>0.20803939837614793</v>
      </c>
    </row>
    <row r="830" spans="2:12">
      <c r="B830" s="28" t="s">
        <v>138</v>
      </c>
      <c r="C830" s="435"/>
      <c r="D830" s="47" t="s">
        <v>15</v>
      </c>
      <c r="E830" s="47"/>
      <c r="F830" s="126">
        <f>+(F797/$F$556)</f>
        <v>0.23322683706070288</v>
      </c>
      <c r="G830" s="126">
        <f>+(G797/$F$556)</f>
        <v>0.17252396166134185</v>
      </c>
      <c r="H830" s="126">
        <f>+(H797/$H$556)</f>
        <v>32.279411764705884</v>
      </c>
      <c r="I830" s="126">
        <f>+(I797/$H$556)</f>
        <v>21.121323529411764</v>
      </c>
      <c r="J830" s="163">
        <f t="shared" si="148"/>
        <v>-0.34567198177676539</v>
      </c>
      <c r="K830" s="164">
        <f t="shared" si="145"/>
        <v>121.42544934640523</v>
      </c>
      <c r="L830" s="163">
        <f t="shared" si="146"/>
        <v>-0.10220346929207691</v>
      </c>
    </row>
    <row r="831" spans="2:12">
      <c r="B831" s="28" t="s">
        <v>132</v>
      </c>
      <c r="C831" s="435"/>
      <c r="D831" s="47" t="s">
        <v>16</v>
      </c>
      <c r="E831" s="47"/>
      <c r="F831" s="126">
        <f>+(F798/$F$557)</f>
        <v>58.887931034482762</v>
      </c>
      <c r="G831" s="126">
        <f>+(G798/$F$557)</f>
        <v>48.129310344827587</v>
      </c>
      <c r="H831" s="126">
        <f>+(H798/$H$557)</f>
        <v>87.367521367521363</v>
      </c>
      <c r="I831" s="126">
        <f>+(I798/$H$557)</f>
        <v>82.205128205128204</v>
      </c>
      <c r="J831" s="163">
        <f t="shared" si="148"/>
        <v>-5.908824104871846E-2</v>
      </c>
      <c r="K831" s="164">
        <f t="shared" si="145"/>
        <v>0.70800552960681928</v>
      </c>
      <c r="L831" s="163">
        <f t="shared" si="146"/>
        <v>-0.50961930659415366</v>
      </c>
    </row>
    <row r="832" spans="2:12">
      <c r="B832" s="28" t="s">
        <v>140</v>
      </c>
      <c r="C832" s="435"/>
      <c r="D832" s="47" t="s">
        <v>20</v>
      </c>
      <c r="E832" s="47"/>
      <c r="F832" s="126">
        <f>+(F799/$F$558)</f>
        <v>9.21875</v>
      </c>
      <c r="G832" s="126">
        <f>+(G799/$F$558)</f>
        <v>5.4375</v>
      </c>
      <c r="H832" s="126">
        <f>+(H799/$H$558)</f>
        <v>28.70967741935484</v>
      </c>
      <c r="I832" s="126">
        <f>+(I799/$H$558)</f>
        <v>12.774193548387096</v>
      </c>
      <c r="J832" s="163">
        <f t="shared" si="148"/>
        <v>-0.55505617977528088</v>
      </c>
      <c r="K832" s="164">
        <f t="shared" si="145"/>
        <v>1.3492769744160178</v>
      </c>
      <c r="L832" s="163">
        <f t="shared" si="146"/>
        <v>-0.15729739315481472</v>
      </c>
    </row>
    <row r="833" spans="2:12">
      <c r="B833" s="28" t="s">
        <v>135</v>
      </c>
      <c r="C833" s="435"/>
      <c r="D833" s="47" t="s">
        <v>23</v>
      </c>
      <c r="E833" s="47"/>
      <c r="F833" s="126">
        <f>+(F800/$F$559)</f>
        <v>138.09090909090909</v>
      </c>
      <c r="G833" s="126">
        <f>+(G800/$F$559)</f>
        <v>65.090909090909093</v>
      </c>
      <c r="H833" s="126">
        <f>+(H800/$H$559)</f>
        <v>14.121212121212121</v>
      </c>
      <c r="I833" s="126">
        <f>+(I800/$H$559)</f>
        <v>12.525252525252526</v>
      </c>
      <c r="J833" s="163">
        <f t="shared" si="148"/>
        <v>-0.11301859799713876</v>
      </c>
      <c r="K833" s="164">
        <f t="shared" si="145"/>
        <v>-0.80757293606455616</v>
      </c>
      <c r="L833" s="163">
        <f t="shared" si="146"/>
        <v>-0.48549496905362877</v>
      </c>
    </row>
    <row r="834" spans="2:12" ht="14.4" thickBot="1">
      <c r="C834" s="436"/>
      <c r="D834" s="49" t="s">
        <v>63</v>
      </c>
      <c r="E834" s="49"/>
      <c r="F834" s="129">
        <f>+(F801/$F$560)</f>
        <v>18.470338983050848</v>
      </c>
      <c r="G834" s="129">
        <f>+(G801/$F$560)</f>
        <v>13.828389830508474</v>
      </c>
      <c r="H834" s="129">
        <f>+(H801/$H$560)</f>
        <v>41.021194605009633</v>
      </c>
      <c r="I834" s="129">
        <f>+(I801/$H$560)</f>
        <v>32.753371868978803</v>
      </c>
      <c r="J834" s="166">
        <f t="shared" si="148"/>
        <v>-0.20155002348520434</v>
      </c>
      <c r="K834" s="166">
        <f t="shared" si="145"/>
        <v>1.3685600616145237</v>
      </c>
      <c r="L834" s="166">
        <f t="shared" si="146"/>
        <v>-0.41164322715368551</v>
      </c>
    </row>
    <row r="835" spans="2:12" ht="14.4" thickTop="1"/>
    <row r="837" spans="2:12" ht="21" thickBot="1">
      <c r="B837" s="966" t="s">
        <v>144</v>
      </c>
      <c r="C837" s="966"/>
      <c r="D837" s="966"/>
      <c r="E837" s="966"/>
      <c r="F837" s="966"/>
      <c r="G837" s="966"/>
      <c r="H837" s="966"/>
      <c r="I837" s="966"/>
    </row>
    <row r="838" spans="2:12" ht="28.8" thickTop="1" thickBot="1">
      <c r="J838" s="174" t="s">
        <v>364</v>
      </c>
      <c r="K838" s="175" t="s">
        <v>152</v>
      </c>
      <c r="L838" s="175" t="s">
        <v>365</v>
      </c>
    </row>
    <row r="839" spans="2:12" ht="15" thickTop="1" thickBot="1">
      <c r="F839" s="418" t="s">
        <v>419</v>
      </c>
      <c r="G839" s="261">
        <v>44926</v>
      </c>
      <c r="H839" s="261">
        <v>44957</v>
      </c>
      <c r="I839" s="261">
        <v>45291</v>
      </c>
    </row>
    <row r="840" spans="2:12" ht="14.4" thickTop="1">
      <c r="C840" s="463" t="s">
        <v>25</v>
      </c>
      <c r="D840" s="45" t="s">
        <v>64</v>
      </c>
      <c r="E840" s="45"/>
      <c r="F840" s="124"/>
      <c r="G840" s="124">
        <f t="shared" ref="G840" si="149">SUM(G848,G853)</f>
        <v>374806</v>
      </c>
      <c r="H840" s="124"/>
      <c r="I840" s="124">
        <f>SUM(I848,I853)</f>
        <v>483364</v>
      </c>
      <c r="J840" s="103"/>
      <c r="K840" s="165">
        <f t="shared" ref="K840:K853" si="150">+I840/G840-1</f>
        <v>0.28963783930886922</v>
      </c>
      <c r="L840" s="103"/>
    </row>
    <row r="841" spans="2:12">
      <c r="B841" s="28" t="s">
        <v>131</v>
      </c>
      <c r="C841" s="435" t="s">
        <v>378</v>
      </c>
      <c r="D841" s="47" t="s">
        <v>13</v>
      </c>
      <c r="E841" s="47"/>
      <c r="F841" s="126"/>
      <c r="G841" s="126">
        <f>+SUMIFS(Equipement_Efficité!$AM:$AM,Equipement_Efficité!$B:$B,'Tableau détaillé'!$B841)</f>
        <v>59826</v>
      </c>
      <c r="H841" s="126"/>
      <c r="I841" s="126">
        <f>+SUMIFS(Equipement_Efficité!$AL:$AL,Equipement_Efficité!$B:$B,'Tableau détaillé'!$B841)</f>
        <v>260236</v>
      </c>
      <c r="J841" s="163"/>
      <c r="K841" s="164">
        <f t="shared" si="150"/>
        <v>3.3498813225019219</v>
      </c>
      <c r="L841" s="163"/>
    </row>
    <row r="842" spans="2:12">
      <c r="B842" s="28" t="s">
        <v>136</v>
      </c>
      <c r="C842" s="435"/>
      <c r="D842" s="47" t="s">
        <v>14</v>
      </c>
      <c r="E842" s="47"/>
      <c r="F842" s="126"/>
      <c r="G842" s="126">
        <f>+SUMIFS(Equipement_Efficité!$AM:$AM,Equipement_Efficité!$B:$B,'Tableau détaillé'!$B842)</f>
        <v>7951</v>
      </c>
      <c r="H842" s="126"/>
      <c r="I842" s="126">
        <f>+SUMIFS(Equipement_Efficité!$AL:$AL,Equipement_Efficité!$B:$B,'Tableau détaillé'!$B842)</f>
        <v>8208</v>
      </c>
      <c r="J842" s="163"/>
      <c r="K842" s="164">
        <f t="shared" si="150"/>
        <v>3.2322978241730693E-2</v>
      </c>
      <c r="L842" s="163"/>
    </row>
    <row r="843" spans="2:12">
      <c r="B843" s="28" t="s">
        <v>141</v>
      </c>
      <c r="C843" s="435"/>
      <c r="D843" s="47" t="s">
        <v>17</v>
      </c>
      <c r="E843" s="47"/>
      <c r="F843" s="126"/>
      <c r="G843" s="126">
        <f>+SUMIFS(Equipement_Efficité!$AM:$AM,Equipement_Efficité!$B:$B,'Tableau détaillé'!$B843)</f>
        <v>25089</v>
      </c>
      <c r="H843" s="126"/>
      <c r="I843" s="126">
        <f>+SUMIFS(Equipement_Efficité!$AL:$AL,Equipement_Efficité!$B:$B,'Tableau détaillé'!$B843)</f>
        <v>18901</v>
      </c>
      <c r="J843" s="163"/>
      <c r="K843" s="164">
        <f t="shared" si="150"/>
        <v>-0.24664195464147631</v>
      </c>
      <c r="L843" s="163"/>
    </row>
    <row r="844" spans="2:12">
      <c r="B844" s="28" t="s">
        <v>124</v>
      </c>
      <c r="C844" s="435"/>
      <c r="D844" s="47" t="s">
        <v>18</v>
      </c>
      <c r="E844" s="47"/>
      <c r="F844" s="126"/>
      <c r="G844" s="126">
        <f>+SUMIFS(Equipement_Efficité!$AM:$AM,Equipement_Efficité!$B:$B,'Tableau détaillé'!$B844)</f>
        <v>63521</v>
      </c>
      <c r="H844" s="126"/>
      <c r="I844" s="126">
        <f>+SUMIFS(Equipement_Efficité!$AL:$AL,Equipement_Efficité!$B:$B,'Tableau détaillé'!$B844)</f>
        <v>9918</v>
      </c>
      <c r="J844" s="163"/>
      <c r="K844" s="164">
        <f t="shared" si="150"/>
        <v>-0.84386265959289053</v>
      </c>
      <c r="L844" s="163"/>
    </row>
    <row r="845" spans="2:12">
      <c r="B845" s="28" t="s">
        <v>137</v>
      </c>
      <c r="C845" s="435"/>
      <c r="D845" s="47" t="s">
        <v>19</v>
      </c>
      <c r="E845" s="47"/>
      <c r="F845" s="126"/>
      <c r="G845" s="126">
        <f>+SUMIFS(Equipement_Efficité!$AM:$AM,Equipement_Efficité!$B:$B,'Tableau détaillé'!$B845)</f>
        <v>10267</v>
      </c>
      <c r="H845" s="126"/>
      <c r="I845" s="126">
        <f>+SUMIFS(Equipement_Efficité!$AL:$AL,Equipement_Efficité!$B:$B,'Tableau détaillé'!$B845)</f>
        <v>6301</v>
      </c>
      <c r="J845" s="163"/>
      <c r="K845" s="164">
        <f t="shared" si="150"/>
        <v>-0.38628615954027468</v>
      </c>
      <c r="L845" s="163"/>
    </row>
    <row r="846" spans="2:12">
      <c r="B846" s="28" t="s">
        <v>123</v>
      </c>
      <c r="C846" s="435"/>
      <c r="D846" s="47" t="s">
        <v>21</v>
      </c>
      <c r="E846" s="47"/>
      <c r="F846" s="126"/>
      <c r="G846" s="126">
        <f>+SUMIFS(Equipement_Efficité!$AM:$AM,Equipement_Efficité!$B:$B,'Tableau détaillé'!$B846)</f>
        <v>8641</v>
      </c>
      <c r="H846" s="126"/>
      <c r="I846" s="126">
        <f>+SUMIFS(Equipement_Efficité!$AL:$AL,Equipement_Efficité!$B:$B,'Tableau détaillé'!$B846)</f>
        <v>3889</v>
      </c>
      <c r="J846" s="163"/>
      <c r="K846" s="164">
        <f t="shared" si="150"/>
        <v>-0.54993634995949536</v>
      </c>
      <c r="L846" s="163"/>
    </row>
    <row r="847" spans="2:12">
      <c r="B847" s="28" t="s">
        <v>139</v>
      </c>
      <c r="C847" s="435"/>
      <c r="D847" s="47" t="s">
        <v>22</v>
      </c>
      <c r="E847" s="47"/>
      <c r="F847" s="126"/>
      <c r="G847" s="126">
        <f>+SUMIFS(Equipement_Efficité!$AM:$AM,Equipement_Efficité!$B:$B,'Tableau détaillé'!$B847)</f>
        <v>4479</v>
      </c>
      <c r="H847" s="126"/>
      <c r="I847" s="126">
        <f>+SUMIFS(Equipement_Efficité!$AL:$AL,Equipement_Efficité!$B:$B,'Tableau détaillé'!$B847)</f>
        <v>5080</v>
      </c>
      <c r="J847" s="163"/>
      <c r="K847" s="164">
        <f t="shared" si="150"/>
        <v>0.13418173699486502</v>
      </c>
      <c r="L847" s="163"/>
    </row>
    <row r="848" spans="2:12">
      <c r="C848" s="435"/>
      <c r="D848" s="48" t="s">
        <v>62</v>
      </c>
      <c r="E848" s="48"/>
      <c r="F848" s="124"/>
      <c r="G848" s="124">
        <f t="shared" ref="G848" si="151">SUM(G841:G847)</f>
        <v>179774</v>
      </c>
      <c r="H848" s="124"/>
      <c r="I848" s="124">
        <f>SUM(I841:I847)</f>
        <v>312533</v>
      </c>
      <c r="J848" s="103"/>
      <c r="K848" s="165">
        <f t="shared" si="150"/>
        <v>0.73847719915004384</v>
      </c>
      <c r="L848" s="103"/>
    </row>
    <row r="849" spans="2:12">
      <c r="B849" s="28" t="s">
        <v>138</v>
      </c>
      <c r="C849" s="435"/>
      <c r="D849" s="47" t="s">
        <v>15</v>
      </c>
      <c r="E849" s="47"/>
      <c r="F849" s="126"/>
      <c r="G849" s="126">
        <f>+SUMIFS(Equipement_Efficité!$AM:$AM,Equipement_Efficité!$B:$B,'Tableau détaillé'!$B849)</f>
        <v>126246</v>
      </c>
      <c r="H849" s="126"/>
      <c r="I849" s="126">
        <f>+SUMIFS(Equipement_Efficité!$AL:$AL,Equipement_Efficité!$B:$B,'Tableau détaillé'!$B849)</f>
        <v>98452</v>
      </c>
      <c r="J849" s="163"/>
      <c r="K849" s="164">
        <f t="shared" si="150"/>
        <v>-0.22015747033569377</v>
      </c>
      <c r="L849" s="163"/>
    </row>
    <row r="850" spans="2:12">
      <c r="B850" s="28" t="s">
        <v>132</v>
      </c>
      <c r="C850" s="435"/>
      <c r="D850" s="47" t="s">
        <v>16</v>
      </c>
      <c r="E850" s="47"/>
      <c r="F850" s="126"/>
      <c r="G850" s="126">
        <f>+SUMIFS(Equipement_Efficité!$AM:$AM,Equipement_Efficité!$B:$B,'Tableau détaillé'!$B850)</f>
        <v>55391</v>
      </c>
      <c r="H850" s="126"/>
      <c r="I850" s="126">
        <f>+SUMIFS(Equipement_Efficité!$AL:$AL,Equipement_Efficité!$B:$B,'Tableau détaillé'!$B850)</f>
        <v>59269</v>
      </c>
      <c r="J850" s="163"/>
      <c r="K850" s="164">
        <f t="shared" si="150"/>
        <v>7.0011373688866341E-2</v>
      </c>
      <c r="L850" s="163"/>
    </row>
    <row r="851" spans="2:12">
      <c r="B851" s="28" t="s">
        <v>140</v>
      </c>
      <c r="C851" s="435"/>
      <c r="D851" s="47" t="s">
        <v>20</v>
      </c>
      <c r="E851" s="47"/>
      <c r="F851" s="126"/>
      <c r="G851" s="126">
        <f>+SUMIFS(Equipement_Efficité!$AM:$AM,Equipement_Efficité!$B:$B,'Tableau détaillé'!$B851)</f>
        <v>7967</v>
      </c>
      <c r="H851" s="126"/>
      <c r="I851" s="126">
        <f>+SUMIFS(Equipement_Efficité!$AL:$AL,Equipement_Efficité!$B:$B,'Tableau détaillé'!$B851)</f>
        <v>10065</v>
      </c>
      <c r="J851" s="163"/>
      <c r="K851" s="164">
        <f t="shared" si="150"/>
        <v>0.2633362620810844</v>
      </c>
      <c r="L851" s="163"/>
    </row>
    <row r="852" spans="2:12">
      <c r="B852" s="28" t="s">
        <v>135</v>
      </c>
      <c r="C852" s="435"/>
      <c r="D852" s="47" t="s">
        <v>23</v>
      </c>
      <c r="E852" s="47"/>
      <c r="F852" s="126"/>
      <c r="G852" s="126">
        <f>+SUMIFS(Equipement_Efficité!$AM:$AM,Equipement_Efficité!$B:$B,'Tableau détaillé'!$B852)</f>
        <v>5428</v>
      </c>
      <c r="H852" s="126"/>
      <c r="I852" s="126">
        <f>+SUMIFS(Equipement_Efficité!$AL:$AL,Equipement_Efficité!$B:$B,'Tableau détaillé'!$B852)</f>
        <v>3045</v>
      </c>
      <c r="J852" s="163"/>
      <c r="K852" s="164">
        <f t="shared" si="150"/>
        <v>-0.43901989683124543</v>
      </c>
      <c r="L852" s="163"/>
    </row>
    <row r="853" spans="2:12" ht="14.4" thickBot="1">
      <c r="C853" s="436"/>
      <c r="D853" s="49" t="s">
        <v>63</v>
      </c>
      <c r="E853" s="49"/>
      <c r="F853" s="129"/>
      <c r="G853" s="129">
        <f t="shared" ref="G853" si="152">SUM(G849:G852)</f>
        <v>195032</v>
      </c>
      <c r="H853" s="129"/>
      <c r="I853" s="129">
        <f>SUM(I849:I852)</f>
        <v>170831</v>
      </c>
      <c r="J853" s="166"/>
      <c r="K853" s="166">
        <f t="shared" si="150"/>
        <v>-0.12408732925878829</v>
      </c>
      <c r="L853" s="166"/>
    </row>
    <row r="854" spans="2:12" ht="14.4" thickTop="1">
      <c r="F854" s="132"/>
      <c r="G854" s="132"/>
      <c r="H854" s="98"/>
      <c r="I854" s="98"/>
    </row>
    <row r="855" spans="2:12">
      <c r="F855" s="132"/>
      <c r="G855" s="132"/>
      <c r="H855" s="98"/>
      <c r="I855" s="98"/>
    </row>
    <row r="856" spans="2:12" ht="14.4" thickBot="1">
      <c r="F856" s="418" t="s">
        <v>419</v>
      </c>
      <c r="G856" s="261">
        <v>44926</v>
      </c>
      <c r="H856" s="261">
        <v>44957</v>
      </c>
      <c r="I856" s="261">
        <v>45291</v>
      </c>
    </row>
    <row r="857" spans="2:12" ht="14.4" thickTop="1">
      <c r="C857" s="463" t="s">
        <v>25</v>
      </c>
      <c r="D857" s="45" t="s">
        <v>64</v>
      </c>
      <c r="E857" s="45"/>
      <c r="F857" s="124">
        <f t="shared" ref="F857:G857" si="153">SUM(F865,F870)</f>
        <v>29812</v>
      </c>
      <c r="G857" s="124">
        <f t="shared" si="153"/>
        <v>22840</v>
      </c>
      <c r="H857" s="124">
        <f>SUM(H865,H870)</f>
        <v>23690</v>
      </c>
      <c r="I857" s="124">
        <f>SUM(I865,I870)</f>
        <v>20326</v>
      </c>
      <c r="J857" s="103"/>
      <c r="K857" s="165">
        <f t="shared" ref="K857:K870" si="154">+I857/G857-1</f>
        <v>-0.11007005253940461</v>
      </c>
      <c r="L857" s="103"/>
    </row>
    <row r="858" spans="2:12">
      <c r="B858" s="28" t="s">
        <v>131</v>
      </c>
      <c r="C858" s="435" t="s">
        <v>377</v>
      </c>
      <c r="D858" s="47" t="s">
        <v>13</v>
      </c>
      <c r="E858" s="47"/>
      <c r="F858" s="126">
        <f>+SUMIFS(Equipement_Efficité!$AQ:$AQ,Equipement_Efficité!$B:$B,'Tableau détaillé'!$B858)</f>
        <v>4425</v>
      </c>
      <c r="G858" s="126">
        <f>+SUMIFS(Equipement_Efficité!$AO:$AO,Equipement_Efficité!$B:$B,'Tableau détaillé'!$B858)</f>
        <v>3825</v>
      </c>
      <c r="H858" s="126">
        <f>+SUMIFS(Equipement_Efficité!$AP:$AP,Equipement_Efficité!$B:$B,'Tableau détaillé'!$B858)</f>
        <v>4537</v>
      </c>
      <c r="I858" s="126">
        <f>+SUMIFS(Equipement_Efficité!$AN:$AN,Equipement_Efficité!$B:$B,'Tableau détaillé'!$B858)</f>
        <v>3791</v>
      </c>
      <c r="J858" s="163"/>
      <c r="K858" s="164">
        <f t="shared" si="154"/>
        <v>-8.8888888888888351E-3</v>
      </c>
      <c r="L858" s="163"/>
    </row>
    <row r="859" spans="2:12">
      <c r="B859" s="28" t="s">
        <v>136</v>
      </c>
      <c r="C859" s="435"/>
      <c r="D859" s="47" t="s">
        <v>14</v>
      </c>
      <c r="E859" s="47"/>
      <c r="F859" s="126">
        <f>+SUMIFS(Equipement_Efficité!$AQ:$AQ,Equipement_Efficité!$B:$B,'Tableau détaillé'!$B859)</f>
        <v>639</v>
      </c>
      <c r="G859" s="126">
        <f>+SUMIFS(Equipement_Efficité!$AO:$AO,Equipement_Efficité!$B:$B,'Tableau détaillé'!$B859)</f>
        <v>578</v>
      </c>
      <c r="H859" s="126">
        <f>+SUMIFS(Equipement_Efficité!$AP:$AP,Equipement_Efficité!$B:$B,'Tableau détaillé'!$B859)</f>
        <v>652</v>
      </c>
      <c r="I859" s="126">
        <f>+SUMIFS(Equipement_Efficité!$AN:$AN,Equipement_Efficité!$B:$B,'Tableau détaillé'!$B859)</f>
        <v>537</v>
      </c>
      <c r="J859" s="163"/>
      <c r="K859" s="164">
        <f t="shared" si="154"/>
        <v>-7.0934256055363298E-2</v>
      </c>
      <c r="L859" s="163"/>
    </row>
    <row r="860" spans="2:12">
      <c r="B860" s="28" t="s">
        <v>141</v>
      </c>
      <c r="C860" s="435"/>
      <c r="D860" s="47" t="s">
        <v>17</v>
      </c>
      <c r="E860" s="47"/>
      <c r="F860" s="126">
        <f>+SUMIFS(Equipement_Efficité!$AQ:$AQ,Equipement_Efficité!$B:$B,'Tableau détaillé'!$B860)</f>
        <v>2048</v>
      </c>
      <c r="G860" s="126">
        <f>+SUMIFS(Equipement_Efficité!$AO:$AO,Equipement_Efficité!$B:$B,'Tableau détaillé'!$B860)</f>
        <v>2368</v>
      </c>
      <c r="H860" s="126">
        <f>+SUMIFS(Equipement_Efficité!$AP:$AP,Equipement_Efficité!$B:$B,'Tableau détaillé'!$B860)</f>
        <v>1659</v>
      </c>
      <c r="I860" s="126">
        <f>+SUMIFS(Equipement_Efficité!$AN:$AN,Equipement_Efficité!$B:$B,'Tableau détaillé'!$B860)</f>
        <v>1673</v>
      </c>
      <c r="J860" s="163"/>
      <c r="K860" s="164">
        <f t="shared" si="154"/>
        <v>-0.2934966216216216</v>
      </c>
      <c r="L860" s="163"/>
    </row>
    <row r="861" spans="2:12">
      <c r="B861" s="28" t="s">
        <v>124</v>
      </c>
      <c r="C861" s="435"/>
      <c r="D861" s="47" t="s">
        <v>18</v>
      </c>
      <c r="E861" s="47"/>
      <c r="F861" s="126">
        <f>+SUMIFS(Equipement_Efficité!$AQ:$AQ,Equipement_Efficité!$B:$B,'Tableau détaillé'!$B861)</f>
        <v>2200</v>
      </c>
      <c r="G861" s="126">
        <f>+SUMIFS(Equipement_Efficité!$AO:$AO,Equipement_Efficité!$B:$B,'Tableau détaillé'!$B861)</f>
        <v>1401</v>
      </c>
      <c r="H861" s="126">
        <f>+SUMIFS(Equipement_Efficité!$AP:$AP,Equipement_Efficité!$B:$B,'Tableau détaillé'!$B861)</f>
        <v>584</v>
      </c>
      <c r="I861" s="126">
        <f>+SUMIFS(Equipement_Efficité!$AN:$AN,Equipement_Efficité!$B:$B,'Tableau détaillé'!$B861)</f>
        <v>534</v>
      </c>
      <c r="J861" s="163"/>
      <c r="K861" s="164">
        <f t="shared" si="154"/>
        <v>-0.61884368308351179</v>
      </c>
      <c r="L861" s="163"/>
    </row>
    <row r="862" spans="2:12">
      <c r="B862" s="28" t="s">
        <v>137</v>
      </c>
      <c r="C862" s="435"/>
      <c r="D862" s="47" t="s">
        <v>19</v>
      </c>
      <c r="E862" s="47"/>
      <c r="F862" s="126">
        <f>+SUMIFS(Equipement_Efficité!$AQ:$AQ,Equipement_Efficité!$B:$B,'Tableau détaillé'!$B862)</f>
        <v>866</v>
      </c>
      <c r="G862" s="126">
        <f>+SUMIFS(Equipement_Efficité!$AO:$AO,Equipement_Efficité!$B:$B,'Tableau détaillé'!$B862)</f>
        <v>770</v>
      </c>
      <c r="H862" s="126">
        <f>+SUMIFS(Equipement_Efficité!$AP:$AP,Equipement_Efficité!$B:$B,'Tableau détaillé'!$B862)</f>
        <v>791</v>
      </c>
      <c r="I862" s="126">
        <f>+SUMIFS(Equipement_Efficité!$AN:$AN,Equipement_Efficité!$B:$B,'Tableau détaillé'!$B862)</f>
        <v>678</v>
      </c>
      <c r="J862" s="163"/>
      <c r="K862" s="164">
        <f t="shared" si="154"/>
        <v>-0.11948051948051952</v>
      </c>
      <c r="L862" s="163"/>
    </row>
    <row r="863" spans="2:12">
      <c r="B863" s="28" t="s">
        <v>123</v>
      </c>
      <c r="C863" s="435"/>
      <c r="D863" s="47" t="s">
        <v>21</v>
      </c>
      <c r="E863" s="47"/>
      <c r="F863" s="126">
        <f>+SUMIFS(Equipement_Efficité!$AQ:$AQ,Equipement_Efficité!$B:$B,'Tableau détaillé'!$B863)</f>
        <v>431</v>
      </c>
      <c r="G863" s="126">
        <f>+SUMIFS(Equipement_Efficité!$AO:$AO,Equipement_Efficité!$B:$B,'Tableau détaillé'!$B863)</f>
        <v>380</v>
      </c>
      <c r="H863" s="126">
        <f>+SUMIFS(Equipement_Efficité!$AP:$AP,Equipement_Efficité!$B:$B,'Tableau détaillé'!$B863)</f>
        <v>149</v>
      </c>
      <c r="I863" s="126">
        <f>+SUMIFS(Equipement_Efficité!$AN:$AN,Equipement_Efficité!$B:$B,'Tableau détaillé'!$B863)</f>
        <v>211</v>
      </c>
      <c r="J863" s="163"/>
      <c r="K863" s="164">
        <f t="shared" si="154"/>
        <v>-0.44473684210526321</v>
      </c>
      <c r="L863" s="163"/>
    </row>
    <row r="864" spans="2:12">
      <c r="B864" s="28" t="s">
        <v>139</v>
      </c>
      <c r="C864" s="435"/>
      <c r="D864" s="47" t="s">
        <v>22</v>
      </c>
      <c r="E864" s="47"/>
      <c r="F864" s="126">
        <f>+SUMIFS(Equipement_Efficité!$AQ:$AQ,Equipement_Efficité!$B:$B,'Tableau détaillé'!$B864)</f>
        <v>303</v>
      </c>
      <c r="G864" s="126">
        <f>+SUMIFS(Equipement_Efficité!$AO:$AO,Equipement_Efficité!$B:$B,'Tableau détaillé'!$B864)</f>
        <v>327</v>
      </c>
      <c r="H864" s="126">
        <f>+SUMIFS(Equipement_Efficité!$AP:$AP,Equipement_Efficité!$B:$B,'Tableau détaillé'!$B864)</f>
        <v>388</v>
      </c>
      <c r="I864" s="126">
        <f>+SUMIFS(Equipement_Efficité!$AN:$AN,Equipement_Efficité!$B:$B,'Tableau détaillé'!$B864)</f>
        <v>329</v>
      </c>
      <c r="J864" s="163"/>
      <c r="K864" s="164">
        <f t="shared" si="154"/>
        <v>6.1162079510703737E-3</v>
      </c>
      <c r="L864" s="163"/>
    </row>
    <row r="865" spans="2:12">
      <c r="C865" s="435"/>
      <c r="D865" s="48" t="s">
        <v>62</v>
      </c>
      <c r="E865" s="48"/>
      <c r="F865" s="124">
        <f t="shared" ref="F865" si="155">SUM(F858:F864)</f>
        <v>10912</v>
      </c>
      <c r="G865" s="124">
        <f t="shared" ref="G865" si="156">SUM(G858:G864)</f>
        <v>9649</v>
      </c>
      <c r="H865" s="124">
        <f>SUM(H858:H864)</f>
        <v>8760</v>
      </c>
      <c r="I865" s="124">
        <f>SUM(I858:I864)</f>
        <v>7753</v>
      </c>
      <c r="J865" s="103"/>
      <c r="K865" s="165">
        <f t="shared" si="154"/>
        <v>-0.19649704632604414</v>
      </c>
      <c r="L865" s="103"/>
    </row>
    <row r="866" spans="2:12">
      <c r="B866" s="28" t="s">
        <v>138</v>
      </c>
      <c r="C866" s="435"/>
      <c r="D866" s="47" t="s">
        <v>15</v>
      </c>
      <c r="E866" s="47"/>
      <c r="F866" s="126">
        <f>+SUMIFS(Equipement_Efficité!$AQ:$AQ,Equipement_Efficité!$B:$B,'Tableau détaillé'!$B866)</f>
        <v>8480</v>
      </c>
      <c r="G866" s="126">
        <f>+SUMIFS(Equipement_Efficité!$AO:$AO,Equipement_Efficité!$B:$B,'Tableau détaillé'!$B866)</f>
        <v>6631</v>
      </c>
      <c r="H866" s="126">
        <f>+SUMIFS(Equipement_Efficité!$AP:$AP,Equipement_Efficité!$B:$B,'Tableau détaillé'!$B866)</f>
        <v>8195</v>
      </c>
      <c r="I866" s="126">
        <f>+SUMIFS(Equipement_Efficité!$AN:$AN,Equipement_Efficité!$B:$B,'Tableau détaillé'!$B866)</f>
        <v>7673</v>
      </c>
      <c r="J866" s="163"/>
      <c r="K866" s="164">
        <f t="shared" si="154"/>
        <v>0.15714070275976466</v>
      </c>
      <c r="L866" s="163"/>
    </row>
    <row r="867" spans="2:12">
      <c r="B867" s="28" t="s">
        <v>132</v>
      </c>
      <c r="C867" s="435"/>
      <c r="D867" s="47" t="s">
        <v>16</v>
      </c>
      <c r="E867" s="47"/>
      <c r="F867" s="126">
        <f>+SUMIFS(Equipement_Efficité!$AQ:$AQ,Equipement_Efficité!$B:$B,'Tableau détaillé'!$B867)</f>
        <v>7673</v>
      </c>
      <c r="G867" s="126">
        <f>+SUMIFS(Equipement_Efficité!$AO:$AO,Equipement_Efficité!$B:$B,'Tableau détaillé'!$B867)</f>
        <v>3858</v>
      </c>
      <c r="H867" s="126">
        <f>+SUMIFS(Equipement_Efficité!$AP:$AP,Equipement_Efficité!$B:$B,'Tableau détaillé'!$B867)</f>
        <v>5718</v>
      </c>
      <c r="I867" s="126">
        <f>+SUMIFS(Equipement_Efficité!$AN:$AN,Equipement_Efficité!$B:$B,'Tableau détaillé'!$B867)</f>
        <v>3988</v>
      </c>
      <c r="J867" s="163"/>
      <c r="K867" s="164">
        <f t="shared" si="154"/>
        <v>3.3696215655780293E-2</v>
      </c>
      <c r="L867" s="163"/>
    </row>
    <row r="868" spans="2:12">
      <c r="B868" s="28" t="s">
        <v>140</v>
      </c>
      <c r="C868" s="435"/>
      <c r="D868" s="47" t="s">
        <v>20</v>
      </c>
      <c r="E868" s="47"/>
      <c r="F868" s="126">
        <f>+SUMIFS(Equipement_Efficité!$AQ:$AQ,Equipement_Efficité!$B:$B,'Tableau détaillé'!$B868)</f>
        <v>2480</v>
      </c>
      <c r="G868" s="126">
        <f>+SUMIFS(Equipement_Efficité!$AO:$AO,Equipement_Efficité!$B:$B,'Tableau détaillé'!$B868)</f>
        <v>2405</v>
      </c>
      <c r="H868" s="126">
        <f>+SUMIFS(Equipement_Efficité!$AP:$AP,Equipement_Efficité!$B:$B,'Tableau détaillé'!$B868)</f>
        <v>897</v>
      </c>
      <c r="I868" s="126">
        <f>+SUMIFS(Equipement_Efficité!$AN:$AN,Equipement_Efficité!$B:$B,'Tableau détaillé'!$B868)</f>
        <v>812</v>
      </c>
      <c r="J868" s="163"/>
      <c r="K868" s="164">
        <f t="shared" si="154"/>
        <v>-0.66237006237006235</v>
      </c>
      <c r="L868" s="163"/>
    </row>
    <row r="869" spans="2:12">
      <c r="B869" s="28" t="s">
        <v>135</v>
      </c>
      <c r="C869" s="435"/>
      <c r="D869" s="47" t="s">
        <v>23</v>
      </c>
      <c r="E869" s="47"/>
      <c r="F869" s="126">
        <f>+SUMIFS(Equipement_Efficité!$AQ:$AQ,Equipement_Efficité!$B:$B,'Tableau détaillé'!$B869)</f>
        <v>267</v>
      </c>
      <c r="G869" s="126">
        <f>+SUMIFS(Equipement_Efficité!$AO:$AO,Equipement_Efficité!$B:$B,'Tableau détaillé'!$B869)</f>
        <v>297</v>
      </c>
      <c r="H869" s="126">
        <f>+SUMIFS(Equipement_Efficité!$AP:$AP,Equipement_Efficité!$B:$B,'Tableau détaillé'!$B869)</f>
        <v>120</v>
      </c>
      <c r="I869" s="126">
        <f>+SUMIFS(Equipement_Efficité!$AN:$AN,Equipement_Efficité!$B:$B,'Tableau détaillé'!$B869)</f>
        <v>100</v>
      </c>
      <c r="J869" s="163"/>
      <c r="K869" s="164">
        <f t="shared" si="154"/>
        <v>-0.66329966329966328</v>
      </c>
      <c r="L869" s="163"/>
    </row>
    <row r="870" spans="2:12" ht="14.4" thickBot="1">
      <c r="C870" s="436"/>
      <c r="D870" s="49" t="s">
        <v>63</v>
      </c>
      <c r="E870" s="49"/>
      <c r="F870" s="129">
        <f t="shared" ref="F870" si="157">SUM(F866:F869)</f>
        <v>18900</v>
      </c>
      <c r="G870" s="129">
        <f t="shared" ref="G870" si="158">SUM(G866:G869)</f>
        <v>13191</v>
      </c>
      <c r="H870" s="129">
        <f>SUM(H866:H869)</f>
        <v>14930</v>
      </c>
      <c r="I870" s="129">
        <f>SUM(I866:I869)</f>
        <v>12573</v>
      </c>
      <c r="J870" s="166"/>
      <c r="K870" s="166">
        <f t="shared" si="154"/>
        <v>-4.685012508528541E-2</v>
      </c>
      <c r="L870" s="166"/>
    </row>
    <row r="871" spans="2:12" ht="14.4" thickTop="1">
      <c r="F871" s="132"/>
      <c r="G871" s="132"/>
      <c r="H871" s="98"/>
      <c r="I871" s="98"/>
    </row>
    <row r="872" spans="2:12" ht="14.4" thickBot="1">
      <c r="F872" s="418" t="s">
        <v>419</v>
      </c>
      <c r="G872" s="261">
        <v>44926</v>
      </c>
      <c r="H872" s="261">
        <v>44957</v>
      </c>
      <c r="I872" s="261">
        <v>45291</v>
      </c>
    </row>
    <row r="873" spans="2:12" ht="14.4" thickTop="1">
      <c r="C873" s="463" t="s">
        <v>380</v>
      </c>
      <c r="D873" s="45" t="s">
        <v>64</v>
      </c>
      <c r="E873" s="45"/>
      <c r="F873" s="124"/>
      <c r="G873" s="124">
        <f>+(G840/$F$547)/MONTH(F$546)</f>
        <v>24.15609693219902</v>
      </c>
      <c r="H873" s="124"/>
      <c r="I873" s="124">
        <f>+(I840/$H$547)/MONTH(H$546)</f>
        <v>38.805716120745025</v>
      </c>
      <c r="J873" s="103"/>
      <c r="K873" s="165">
        <f t="shared" ref="K873:K886" si="159">+I873/G873-1</f>
        <v>0.60645638364775323</v>
      </c>
      <c r="L873" s="103"/>
    </row>
    <row r="874" spans="2:12">
      <c r="B874" s="28" t="s">
        <v>131</v>
      </c>
      <c r="C874" s="435" t="s">
        <v>363</v>
      </c>
      <c r="D874" s="47" t="s">
        <v>13</v>
      </c>
      <c r="E874" s="47"/>
      <c r="F874" s="126"/>
      <c r="G874" s="126">
        <f>+(G841/$F$548)/MONTH(F$546)</f>
        <v>16.453795379537954</v>
      </c>
      <c r="H874" s="126"/>
      <c r="I874" s="126">
        <f>+(I841/$H$548)/MONTH(H$546)</f>
        <v>112.94965277777777</v>
      </c>
      <c r="J874" s="163"/>
      <c r="K874" s="164">
        <f t="shared" si="159"/>
        <v>5.864656462073345</v>
      </c>
      <c r="L874" s="163"/>
    </row>
    <row r="875" spans="2:12">
      <c r="B875" s="28" t="s">
        <v>136</v>
      </c>
      <c r="C875" s="435"/>
      <c r="D875" s="47" t="s">
        <v>14</v>
      </c>
      <c r="E875" s="47"/>
      <c r="F875" s="126"/>
      <c r="G875" s="126">
        <f>+(G842/$F$549)/MONTH(F$546)</f>
        <v>4.0900205761316872</v>
      </c>
      <c r="H875" s="126"/>
      <c r="I875" s="126">
        <f>+(I842/$H$549)/MONTH(H$546)</f>
        <v>6.9795918367346941</v>
      </c>
      <c r="J875" s="163"/>
      <c r="K875" s="164">
        <f t="shared" si="159"/>
        <v>0.70649308648122822</v>
      </c>
      <c r="L875" s="163"/>
    </row>
    <row r="876" spans="2:12">
      <c r="B876" s="28" t="s">
        <v>141</v>
      </c>
      <c r="C876" s="435"/>
      <c r="D876" s="47" t="s">
        <v>17</v>
      </c>
      <c r="E876" s="47"/>
      <c r="F876" s="126"/>
      <c r="G876" s="126">
        <f>+(G843/$F$550)/MONTH(F$546)</f>
        <v>12.371301775147929</v>
      </c>
      <c r="H876" s="126"/>
      <c r="I876" s="126">
        <f>+(I843/$H$550)/MONTH(H$546)</f>
        <v>15.441993464052288</v>
      </c>
      <c r="J876" s="163"/>
      <c r="K876" s="164">
        <f t="shared" si="159"/>
        <v>0.24821087907441663</v>
      </c>
      <c r="L876" s="163"/>
    </row>
    <row r="877" spans="2:12">
      <c r="B877" s="28" t="s">
        <v>124</v>
      </c>
      <c r="C877" s="435"/>
      <c r="D877" s="47" t="s">
        <v>18</v>
      </c>
      <c r="E877" s="47"/>
      <c r="F877" s="126"/>
      <c r="G877" s="126">
        <f>+(G844/$F$551)/MONTH(F$546)</f>
        <v>69.650219298245617</v>
      </c>
      <c r="H877" s="126"/>
      <c r="I877" s="126">
        <f>+(I844/$H$551)/MONTH(H$546)</f>
        <v>25.828125</v>
      </c>
      <c r="J877" s="163"/>
      <c r="K877" s="164">
        <f t="shared" si="159"/>
        <v>-0.6291738165331151</v>
      </c>
      <c r="L877" s="163"/>
    </row>
    <row r="878" spans="2:12">
      <c r="B878" s="28" t="s">
        <v>137</v>
      </c>
      <c r="C878" s="435"/>
      <c r="D878" s="47" t="s">
        <v>19</v>
      </c>
      <c r="E878" s="47"/>
      <c r="F878" s="126"/>
      <c r="G878" s="126">
        <f>+(G845/$F$552)/MONTH(F$546)</f>
        <v>12.222619047619048</v>
      </c>
      <c r="H878" s="126"/>
      <c r="I878" s="126">
        <f>+(I845/$H$552)/MONTH(H$546)</f>
        <v>10.097756410256411</v>
      </c>
      <c r="J878" s="163"/>
      <c r="K878" s="164">
        <f t="shared" si="159"/>
        <v>-0.17384675322729282</v>
      </c>
      <c r="L878" s="163"/>
    </row>
    <row r="879" spans="2:12">
      <c r="B879" s="28" t="s">
        <v>123</v>
      </c>
      <c r="C879" s="435"/>
      <c r="D879" s="47" t="s">
        <v>21</v>
      </c>
      <c r="E879" s="47"/>
      <c r="F879" s="126"/>
      <c r="G879" s="126">
        <f>+(G846/$F$553)/MONTH(F$546)</f>
        <v>45.005208333333336</v>
      </c>
      <c r="H879" s="126"/>
      <c r="I879" s="126">
        <f>+(I846/$H$553)/MONTH(H$546)</f>
        <v>16.204166666666666</v>
      </c>
      <c r="J879" s="163"/>
      <c r="K879" s="164">
        <f t="shared" si="159"/>
        <v>-0.63994907996759642</v>
      </c>
      <c r="L879" s="163"/>
    </row>
    <row r="880" spans="2:12">
      <c r="B880" s="28" t="s">
        <v>139</v>
      </c>
      <c r="C880" s="435"/>
      <c r="D880" s="47" t="s">
        <v>22</v>
      </c>
      <c r="E880" s="47"/>
      <c r="F880" s="126"/>
      <c r="G880" s="126">
        <f>+(G847/$F$554)/MONTH(F$546)</f>
        <v>14.93</v>
      </c>
      <c r="H880" s="126"/>
      <c r="I880" s="126">
        <f>+(I847/$H$554)/MONTH(H$546)</f>
        <v>18.405797101449277</v>
      </c>
      <c r="J880" s="163"/>
      <c r="K880" s="164">
        <f t="shared" si="159"/>
        <v>0.23280623586398375</v>
      </c>
      <c r="L880" s="163"/>
    </row>
    <row r="881" spans="2:12">
      <c r="C881" s="435"/>
      <c r="D881" s="48" t="s">
        <v>62</v>
      </c>
      <c r="E881" s="48"/>
      <c r="F881" s="124"/>
      <c r="G881" s="124">
        <f>+(G848/$F$555)/MONTH(F$546)</f>
        <v>18.247462444173774</v>
      </c>
      <c r="H881" s="124"/>
      <c r="I881" s="124">
        <f>+(I848/$H$555)/MONTH(H$546)</f>
        <v>50.18192035966603</v>
      </c>
      <c r="J881" s="103"/>
      <c r="K881" s="165">
        <f t="shared" si="159"/>
        <v>1.7500766483664472</v>
      </c>
      <c r="L881" s="103"/>
    </row>
    <row r="882" spans="2:12">
      <c r="B882" s="28" t="s">
        <v>138</v>
      </c>
      <c r="C882" s="435"/>
      <c r="D882" s="47" t="s">
        <v>15</v>
      </c>
      <c r="E882" s="47"/>
      <c r="F882" s="126"/>
      <c r="G882" s="126">
        <f>+(G849/$F$556)/MONTH(F$546)</f>
        <v>33.611821086261976</v>
      </c>
      <c r="H882" s="126"/>
      <c r="I882" s="126">
        <f>+(I849/$H$556)/MONTH(H$546)</f>
        <v>30.162990196078429</v>
      </c>
      <c r="J882" s="163"/>
      <c r="K882" s="164">
        <f t="shared" si="159"/>
        <v>-0.10260767726129472</v>
      </c>
      <c r="L882" s="163"/>
    </row>
    <row r="883" spans="2:12">
      <c r="B883" s="28" t="s">
        <v>132</v>
      </c>
      <c r="C883" s="435"/>
      <c r="D883" s="47" t="s">
        <v>16</v>
      </c>
      <c r="E883" s="47"/>
      <c r="F883" s="126"/>
      <c r="G883" s="126">
        <f>+(G850/$F$557)/MONTH(F$546)</f>
        <v>39.792385057471265</v>
      </c>
      <c r="H883" s="126"/>
      <c r="I883" s="126">
        <f>+(I850/$H$557)/MONTH(H$546)</f>
        <v>42.214387464387464</v>
      </c>
      <c r="J883" s="163"/>
      <c r="K883" s="164">
        <f t="shared" si="159"/>
        <v>6.086597733255128E-2</v>
      </c>
      <c r="L883" s="163"/>
    </row>
    <row r="884" spans="2:12">
      <c r="B884" s="28" t="s">
        <v>140</v>
      </c>
      <c r="C884" s="435"/>
      <c r="D884" s="47" t="s">
        <v>20</v>
      </c>
      <c r="E884" s="47"/>
      <c r="F884" s="126"/>
      <c r="G884" s="126">
        <f>+(G851/$F$558)/MONTH(F$546)</f>
        <v>20.747395833333332</v>
      </c>
      <c r="H884" s="126"/>
      <c r="I884" s="126">
        <f>+(I851/$H$558)/MONTH(H$546)</f>
        <v>27.056451612903228</v>
      </c>
      <c r="J884" s="163"/>
      <c r="K884" s="164">
        <f t="shared" si="159"/>
        <v>0.30408904472886156</v>
      </c>
      <c r="L884" s="163"/>
    </row>
    <row r="885" spans="2:12">
      <c r="B885" s="28" t="s">
        <v>135</v>
      </c>
      <c r="C885" s="435"/>
      <c r="D885" s="47" t="s">
        <v>23</v>
      </c>
      <c r="E885" s="47"/>
      <c r="F885" s="126"/>
      <c r="G885" s="126">
        <f>+(G852/$F$559)/MONTH(F$546)</f>
        <v>41.121212121212118</v>
      </c>
      <c r="H885" s="126"/>
      <c r="I885" s="126">
        <f>+(I852/$H$559)/MONTH(H$546)</f>
        <v>2.5631313131313131</v>
      </c>
      <c r="J885" s="163"/>
      <c r="K885" s="164">
        <f t="shared" si="159"/>
        <v>-0.93766887742569394</v>
      </c>
      <c r="L885" s="163"/>
    </row>
    <row r="886" spans="2:12" ht="14.4" thickBot="1">
      <c r="C886" s="436"/>
      <c r="D886" s="49" t="s">
        <v>63</v>
      </c>
      <c r="E886" s="49"/>
      <c r="F886" s="129"/>
      <c r="G886" s="129">
        <f>+(G853/$F$560)/MONTH(F$546)</f>
        <v>34.433615819209038</v>
      </c>
      <c r="H886" s="129"/>
      <c r="I886" s="129">
        <f>+(I853/$H$560)/MONTH(H$546)</f>
        <v>27.429511881824023</v>
      </c>
      <c r="J886" s="166"/>
      <c r="K886" s="166">
        <f t="shared" si="159"/>
        <v>-0.20340890059758765</v>
      </c>
      <c r="L886" s="166"/>
    </row>
    <row r="887" spans="2:12" ht="14.4" thickTop="1">
      <c r="F887" s="132"/>
      <c r="G887" s="132"/>
      <c r="H887" s="98"/>
      <c r="I887" s="98"/>
    </row>
    <row r="888" spans="2:12" ht="14.4" thickBot="1">
      <c r="F888" s="132"/>
      <c r="G888" s="132"/>
      <c r="H888" s="98"/>
      <c r="I888" s="98"/>
    </row>
    <row r="889" spans="2:12" ht="28.8" thickTop="1" thickBot="1">
      <c r="F889" s="418" t="s">
        <v>419</v>
      </c>
      <c r="G889" s="261">
        <v>44926</v>
      </c>
      <c r="H889" s="261">
        <v>44957</v>
      </c>
      <c r="I889" s="261">
        <v>45291</v>
      </c>
      <c r="J889" s="174" t="s">
        <v>364</v>
      </c>
      <c r="K889" s="175" t="s">
        <v>152</v>
      </c>
      <c r="L889" s="175" t="s">
        <v>365</v>
      </c>
    </row>
    <row r="890" spans="2:12" ht="14.4" thickTop="1">
      <c r="C890" s="463" t="s">
        <v>380</v>
      </c>
      <c r="D890" s="45" t="s">
        <v>64</v>
      </c>
      <c r="E890" s="45"/>
      <c r="F890" s="124">
        <f>+(F857/$F$547)</f>
        <v>23.05645784996133</v>
      </c>
      <c r="G890" s="124">
        <f>+(G857/$F$547)</f>
        <v>17.664346481051819</v>
      </c>
      <c r="H890" s="124">
        <f>+(H857/$H$547)</f>
        <v>22.822736030828516</v>
      </c>
      <c r="I890" s="124">
        <f>+(I857/$H$547)</f>
        <v>19.581888246628132</v>
      </c>
      <c r="J890" s="103">
        <f>+I890/H890-1</f>
        <v>-0.14200084423807502</v>
      </c>
      <c r="K890" s="165">
        <f t="shared" ref="K890:K903" si="160">+I890/G890-1</f>
        <v>0.10855435651883427</v>
      </c>
      <c r="L890" s="103">
        <f>+I890/I873-1</f>
        <v>-0.49538649961519687</v>
      </c>
    </row>
    <row r="891" spans="2:12">
      <c r="B891" s="28" t="s">
        <v>131</v>
      </c>
      <c r="C891" s="435" t="s">
        <v>362</v>
      </c>
      <c r="D891" s="47" t="s">
        <v>13</v>
      </c>
      <c r="E891" s="47"/>
      <c r="F891" s="126">
        <f>+(F858/$F$548)</f>
        <v>14.603960396039604</v>
      </c>
      <c r="G891" s="126">
        <f>+(G858/$F$548)</f>
        <v>12.623762376237623</v>
      </c>
      <c r="H891" s="126">
        <f>+(H858/$H$548)</f>
        <v>23.630208333333332</v>
      </c>
      <c r="I891" s="126">
        <f>+(I858/$H$548)</f>
        <v>19.744791666666668</v>
      </c>
      <c r="J891" s="163">
        <f t="shared" ref="J891:J903" si="161">+I891/H891-1</f>
        <v>-0.16442583204760841</v>
      </c>
      <c r="K891" s="164">
        <f t="shared" si="160"/>
        <v>0.56409722222222225</v>
      </c>
      <c r="L891" s="163">
        <f t="shared" ref="L891:L903" si="162">+I891/I874-1</f>
        <v>-0.82518944342827272</v>
      </c>
    </row>
    <row r="892" spans="2:12">
      <c r="B892" s="28" t="s">
        <v>136</v>
      </c>
      <c r="C892" s="435"/>
      <c r="D892" s="47" t="s">
        <v>14</v>
      </c>
      <c r="E892" s="47"/>
      <c r="F892" s="126">
        <f>+(F859/$F$549)</f>
        <v>3.9444444444444446</v>
      </c>
      <c r="G892" s="126">
        <f>+(G859/$F$549)</f>
        <v>3.5679012345679011</v>
      </c>
      <c r="H892" s="126">
        <f>+(H859/$H$549)</f>
        <v>6.6530612244897958</v>
      </c>
      <c r="I892" s="126">
        <f>+(I859/$H$549)</f>
        <v>5.4795918367346941</v>
      </c>
      <c r="J892" s="163">
        <f t="shared" si="161"/>
        <v>-0.17638036809815949</v>
      </c>
      <c r="K892" s="164">
        <f t="shared" si="160"/>
        <v>0.53580255631664442</v>
      </c>
      <c r="L892" s="163">
        <f t="shared" si="162"/>
        <v>-0.21491228070175439</v>
      </c>
    </row>
    <row r="893" spans="2:12">
      <c r="B893" s="28" t="s">
        <v>141</v>
      </c>
      <c r="C893" s="435"/>
      <c r="D893" s="47" t="s">
        <v>17</v>
      </c>
      <c r="E893" s="47"/>
      <c r="F893" s="126">
        <f>+(F860/$F$550)</f>
        <v>12.118343195266272</v>
      </c>
      <c r="G893" s="126">
        <f>+(G860/$F$550)</f>
        <v>14.011834319526628</v>
      </c>
      <c r="H893" s="126">
        <f>+(H860/$H$550)</f>
        <v>16.264705882352942</v>
      </c>
      <c r="I893" s="126">
        <f>+(I860/$H$550)</f>
        <v>16.401960784313726</v>
      </c>
      <c r="J893" s="163">
        <f t="shared" si="161"/>
        <v>8.4388185654007408E-3</v>
      </c>
      <c r="K893" s="164">
        <f t="shared" si="160"/>
        <v>0.1705791269210386</v>
      </c>
      <c r="L893" s="163">
        <f t="shared" si="162"/>
        <v>6.2166022961748002E-2</v>
      </c>
    </row>
    <row r="894" spans="2:12">
      <c r="B894" s="28" t="s">
        <v>124</v>
      </c>
      <c r="C894" s="435"/>
      <c r="D894" s="47" t="s">
        <v>18</v>
      </c>
      <c r="E894" s="47"/>
      <c r="F894" s="126">
        <f>+(F861/$F$551)</f>
        <v>28.94736842105263</v>
      </c>
      <c r="G894" s="126">
        <f>+(G861/$F$551)</f>
        <v>18.434210526315791</v>
      </c>
      <c r="H894" s="126">
        <f>+(H861/$H$551)</f>
        <v>18.25</v>
      </c>
      <c r="I894" s="126">
        <f>+(I861/$H$551)</f>
        <v>16.6875</v>
      </c>
      <c r="J894" s="163">
        <f t="shared" si="161"/>
        <v>-8.5616438356164393E-2</v>
      </c>
      <c r="K894" s="164">
        <f t="shared" si="160"/>
        <v>-9.475374732334052E-2</v>
      </c>
      <c r="L894" s="163">
        <f t="shared" si="162"/>
        <v>-0.35390199637023589</v>
      </c>
    </row>
    <row r="895" spans="2:12">
      <c r="B895" s="28" t="s">
        <v>137</v>
      </c>
      <c r="C895" s="435"/>
      <c r="D895" s="47" t="s">
        <v>19</v>
      </c>
      <c r="E895" s="47"/>
      <c r="F895" s="126">
        <f>+(F862/$F$552)</f>
        <v>12.371428571428572</v>
      </c>
      <c r="G895" s="126">
        <f>+(G862/$F$552)</f>
        <v>11</v>
      </c>
      <c r="H895" s="126">
        <f>+(H862/$H$552)</f>
        <v>15.211538461538462</v>
      </c>
      <c r="I895" s="126">
        <f>+(I862/$H$552)</f>
        <v>13.038461538461538</v>
      </c>
      <c r="J895" s="163">
        <f t="shared" si="161"/>
        <v>-0.1428571428571429</v>
      </c>
      <c r="K895" s="164">
        <f t="shared" si="160"/>
        <v>0.1853146853146852</v>
      </c>
      <c r="L895" s="163">
        <f t="shared" si="162"/>
        <v>0.29122361529915874</v>
      </c>
    </row>
    <row r="896" spans="2:12">
      <c r="B896" s="28" t="s">
        <v>123</v>
      </c>
      <c r="C896" s="435"/>
      <c r="D896" s="47" t="s">
        <v>21</v>
      </c>
      <c r="E896" s="47"/>
      <c r="F896" s="126">
        <f>+(F863/$F$553)</f>
        <v>26.9375</v>
      </c>
      <c r="G896" s="126">
        <f>+(G863/$F$553)</f>
        <v>23.75</v>
      </c>
      <c r="H896" s="126">
        <f>+(H863/$H$553)</f>
        <v>7.45</v>
      </c>
      <c r="I896" s="126">
        <f>+(I863/$H$553)</f>
        <v>10.55</v>
      </c>
      <c r="J896" s="163">
        <f t="shared" si="161"/>
        <v>0.41610738255033564</v>
      </c>
      <c r="K896" s="164">
        <f t="shared" si="160"/>
        <v>-0.5557894736842105</v>
      </c>
      <c r="L896" s="163">
        <f t="shared" si="162"/>
        <v>-0.34893288763178187</v>
      </c>
    </row>
    <row r="897" spans="2:12">
      <c r="B897" s="28" t="s">
        <v>139</v>
      </c>
      <c r="C897" s="435"/>
      <c r="D897" s="47" t="s">
        <v>22</v>
      </c>
      <c r="E897" s="47"/>
      <c r="F897" s="126">
        <f>+(F864/$F$554)</f>
        <v>12.12</v>
      </c>
      <c r="G897" s="126">
        <f>+(G864/$F$554)</f>
        <v>13.08</v>
      </c>
      <c r="H897" s="126">
        <f>+(H864/$H$554)</f>
        <v>16.869565217391305</v>
      </c>
      <c r="I897" s="126">
        <f>+(I864/$H$554)</f>
        <v>14.304347826086957</v>
      </c>
      <c r="J897" s="163">
        <f t="shared" si="161"/>
        <v>-0.15206185567010311</v>
      </c>
      <c r="K897" s="164">
        <f t="shared" si="160"/>
        <v>9.3604573859858986E-2</v>
      </c>
      <c r="L897" s="163">
        <f t="shared" si="162"/>
        <v>-0.22283464566929134</v>
      </c>
    </row>
    <row r="898" spans="2:12">
      <c r="C898" s="435"/>
      <c r="D898" s="48" t="s">
        <v>62</v>
      </c>
      <c r="E898" s="48"/>
      <c r="F898" s="124">
        <f>+(F865/$F$555)</f>
        <v>13.291108404384897</v>
      </c>
      <c r="G898" s="124">
        <f>+(G865/$F$555)</f>
        <v>11.752740560292326</v>
      </c>
      <c r="H898" s="124">
        <f>+(H865/$H$555)</f>
        <v>16.878612716763005</v>
      </c>
      <c r="I898" s="124">
        <f>+(I865/$H$555)</f>
        <v>14.938342967244701</v>
      </c>
      <c r="J898" s="103">
        <f t="shared" si="161"/>
        <v>-0.11495433789954335</v>
      </c>
      <c r="K898" s="165">
        <f t="shared" si="160"/>
        <v>0.27105187854781843</v>
      </c>
      <c r="L898" s="103">
        <f t="shared" si="162"/>
        <v>-0.70231623540554122</v>
      </c>
    </row>
    <row r="899" spans="2:12">
      <c r="B899" s="28" t="s">
        <v>138</v>
      </c>
      <c r="C899" s="435"/>
      <c r="D899" s="47" t="s">
        <v>15</v>
      </c>
      <c r="E899" s="47"/>
      <c r="F899" s="126">
        <f>+(F866/$F$556)</f>
        <v>27.092651757188499</v>
      </c>
      <c r="G899" s="126">
        <f>+(G866/$F$556)</f>
        <v>21.185303514376997</v>
      </c>
      <c r="H899" s="126">
        <f>+(H866/$H$556)</f>
        <v>30.128676470588236</v>
      </c>
      <c r="I899" s="126">
        <f>+(I866/$H$556)</f>
        <v>28.209558823529413</v>
      </c>
      <c r="J899" s="163">
        <f t="shared" si="161"/>
        <v>-6.3697376449054266E-2</v>
      </c>
      <c r="K899" s="164">
        <f t="shared" si="160"/>
        <v>0.33156264692575865</v>
      </c>
      <c r="L899" s="163">
        <f t="shared" si="162"/>
        <v>-6.4762523869499766E-2</v>
      </c>
    </row>
    <row r="900" spans="2:12">
      <c r="B900" s="28" t="s">
        <v>132</v>
      </c>
      <c r="C900" s="435"/>
      <c r="D900" s="47" t="s">
        <v>16</v>
      </c>
      <c r="E900" s="47"/>
      <c r="F900" s="126">
        <f>+(F867/$F$557)</f>
        <v>66.146551724137936</v>
      </c>
      <c r="G900" s="126">
        <f>+(G867/$F$557)</f>
        <v>33.258620689655174</v>
      </c>
      <c r="H900" s="126">
        <f>+(H867/$H$557)</f>
        <v>48.871794871794869</v>
      </c>
      <c r="I900" s="126">
        <f>+(I867/$H$557)</f>
        <v>34.085470085470085</v>
      </c>
      <c r="J900" s="163">
        <f t="shared" si="161"/>
        <v>-0.30255334032878622</v>
      </c>
      <c r="K900" s="164">
        <f t="shared" si="160"/>
        <v>2.4861205265559683E-2</v>
      </c>
      <c r="L900" s="163">
        <f t="shared" si="162"/>
        <v>-0.19256272250248863</v>
      </c>
    </row>
    <row r="901" spans="2:12">
      <c r="B901" s="28" t="s">
        <v>140</v>
      </c>
      <c r="C901" s="435"/>
      <c r="D901" s="47" t="s">
        <v>20</v>
      </c>
      <c r="E901" s="47"/>
      <c r="F901" s="126">
        <f>+(F868/$F$558)</f>
        <v>77.5</v>
      </c>
      <c r="G901" s="126">
        <f>+(G868/$F$558)</f>
        <v>75.15625</v>
      </c>
      <c r="H901" s="126">
        <f>+(H868/$H$558)</f>
        <v>28.93548387096774</v>
      </c>
      <c r="I901" s="126">
        <f>+(I868/$H$558)</f>
        <v>26.193548387096776</v>
      </c>
      <c r="J901" s="163">
        <f t="shared" si="161"/>
        <v>-9.4760312151616399E-2</v>
      </c>
      <c r="K901" s="164">
        <f t="shared" si="160"/>
        <v>-0.65147877405941923</v>
      </c>
      <c r="L901" s="163">
        <f t="shared" si="162"/>
        <v>-3.1892697466467945E-2</v>
      </c>
    </row>
    <row r="902" spans="2:12">
      <c r="B902" s="28" t="s">
        <v>135</v>
      </c>
      <c r="C902" s="435"/>
      <c r="D902" s="47" t="s">
        <v>23</v>
      </c>
      <c r="E902" s="47"/>
      <c r="F902" s="126">
        <f>+(F869/$F$559)</f>
        <v>24.272727272727273</v>
      </c>
      <c r="G902" s="126">
        <f>+(G869/$F$559)</f>
        <v>27</v>
      </c>
      <c r="H902" s="126">
        <f>+(H869/$H$559)</f>
        <v>1.2121212121212122</v>
      </c>
      <c r="I902" s="126">
        <f>+(I869/$H$559)</f>
        <v>1.0101010101010102</v>
      </c>
      <c r="J902" s="163">
        <f t="shared" si="161"/>
        <v>-0.16666666666666663</v>
      </c>
      <c r="K902" s="164">
        <f t="shared" si="160"/>
        <v>-0.96258885147774031</v>
      </c>
      <c r="L902" s="163">
        <f t="shared" si="162"/>
        <v>-0.60591133004926112</v>
      </c>
    </row>
    <row r="903" spans="2:12" ht="14.4" thickBot="1">
      <c r="C903" s="436"/>
      <c r="D903" s="49" t="s">
        <v>63</v>
      </c>
      <c r="E903" s="49"/>
      <c r="F903" s="129">
        <f>+(F870/$F$560)</f>
        <v>40.042372881355931</v>
      </c>
      <c r="G903" s="129">
        <f>+(G870/$F$560)</f>
        <v>27.947033898305083</v>
      </c>
      <c r="H903" s="129">
        <f>+(H870/$H$560)</f>
        <v>28.766859344894026</v>
      </c>
      <c r="I903" s="129">
        <f>+(I870/$H$560)</f>
        <v>24.22543352601156</v>
      </c>
      <c r="J903" s="166">
        <f t="shared" si="161"/>
        <v>-0.15787006028131279</v>
      </c>
      <c r="K903" s="166">
        <f t="shared" si="160"/>
        <v>-0.13316620238970078</v>
      </c>
      <c r="L903" s="166">
        <f t="shared" si="162"/>
        <v>-0.11681135156968003</v>
      </c>
    </row>
    <row r="904" spans="2:12" ht="14.4" thickTop="1"/>
    <row r="906" spans="2:12" ht="21" thickBot="1">
      <c r="B906" s="966" t="s">
        <v>379</v>
      </c>
      <c r="C906" s="966"/>
      <c r="D906" s="966"/>
      <c r="E906" s="966"/>
      <c r="F906" s="966"/>
      <c r="G906" s="966"/>
      <c r="H906" s="966"/>
      <c r="I906" s="966"/>
    </row>
    <row r="907" spans="2:12" ht="28.8" thickTop="1" thickBot="1">
      <c r="J907" s="174" t="s">
        <v>364</v>
      </c>
      <c r="K907" s="175" t="s">
        <v>152</v>
      </c>
      <c r="L907" s="175" t="s">
        <v>365</v>
      </c>
    </row>
    <row r="908" spans="2:12" ht="15" thickTop="1" thickBot="1">
      <c r="F908" s="418" t="s">
        <v>419</v>
      </c>
      <c r="G908" s="261">
        <v>44926</v>
      </c>
      <c r="H908" s="261">
        <v>44957</v>
      </c>
      <c r="I908" s="261">
        <v>45291</v>
      </c>
    </row>
    <row r="909" spans="2:12" ht="14.4" thickTop="1">
      <c r="C909" s="463" t="s">
        <v>25</v>
      </c>
      <c r="D909" s="45" t="s">
        <v>64</v>
      </c>
      <c r="E909" s="45"/>
      <c r="F909" s="124"/>
      <c r="G909" s="124">
        <f t="shared" ref="G909" si="163">SUM(G917,G922)</f>
        <v>153371</v>
      </c>
      <c r="H909" s="124"/>
      <c r="I909" s="124">
        <f>SUM(I917,I922)</f>
        <v>149455</v>
      </c>
      <c r="J909" s="103"/>
      <c r="K909" s="165">
        <f t="shared" ref="K909:K922" si="164">+I909/G909-1</f>
        <v>-2.5532858232651501E-2</v>
      </c>
      <c r="L909" s="103"/>
    </row>
    <row r="910" spans="2:12">
      <c r="B910" s="28" t="s">
        <v>131</v>
      </c>
      <c r="C910" s="435" t="s">
        <v>381</v>
      </c>
      <c r="D910" s="47" t="s">
        <v>13</v>
      </c>
      <c r="E910" s="47"/>
      <c r="F910" s="126"/>
      <c r="G910" s="126">
        <f>+SUMIFS(Equipement_Efficité!$AS:$AS,Equipement_Efficité!$B:$B,'Tableau détaillé'!$B910)</f>
        <v>43809</v>
      </c>
      <c r="H910" s="126"/>
      <c r="I910" s="126">
        <f>+SUMIFS(Equipement_Efficité!$AR:$AR,Equipement_Efficité!$B:$B,'Tableau détaillé'!$B910)</f>
        <v>47240</v>
      </c>
      <c r="J910" s="163"/>
      <c r="K910" s="164">
        <f t="shared" si="164"/>
        <v>7.8317240749617767E-2</v>
      </c>
      <c r="L910" s="163"/>
    </row>
    <row r="911" spans="2:12">
      <c r="B911" s="28" t="s">
        <v>136</v>
      </c>
      <c r="C911" s="435"/>
      <c r="D911" s="47" t="s">
        <v>14</v>
      </c>
      <c r="E911" s="47"/>
      <c r="F911" s="126"/>
      <c r="G911" s="126">
        <f>+SUMIFS(Equipement_Efficité!$AS:$AS,Equipement_Efficité!$B:$B,'Tableau détaillé'!$B911)</f>
        <v>7218</v>
      </c>
      <c r="H911" s="126"/>
      <c r="I911" s="126">
        <f>+SUMIFS(Equipement_Efficité!$AR:$AR,Equipement_Efficité!$B:$B,'Tableau détaillé'!$B911)</f>
        <v>9282</v>
      </c>
      <c r="J911" s="163"/>
      <c r="K911" s="164">
        <f t="shared" si="164"/>
        <v>0.28595178719867009</v>
      </c>
      <c r="L911" s="163"/>
    </row>
    <row r="912" spans="2:12">
      <c r="B912" s="28" t="s">
        <v>141</v>
      </c>
      <c r="C912" s="435"/>
      <c r="D912" s="47" t="s">
        <v>17</v>
      </c>
      <c r="E912" s="47"/>
      <c r="F912" s="126"/>
      <c r="G912" s="126">
        <f>+SUMIFS(Equipement_Efficité!$AS:$AS,Equipement_Efficité!$B:$B,'Tableau détaillé'!$B912)</f>
        <v>15309</v>
      </c>
      <c r="H912" s="126"/>
      <c r="I912" s="126">
        <f>+SUMIFS(Equipement_Efficité!$AR:$AR,Equipement_Efficité!$B:$B,'Tableau détaillé'!$B912)</f>
        <v>13178</v>
      </c>
      <c r="J912" s="163"/>
      <c r="K912" s="164">
        <f t="shared" si="164"/>
        <v>-0.13919916389052189</v>
      </c>
      <c r="L912" s="163"/>
    </row>
    <row r="913" spans="2:12">
      <c r="B913" s="28" t="s">
        <v>124</v>
      </c>
      <c r="C913" s="435"/>
      <c r="D913" s="47" t="s">
        <v>18</v>
      </c>
      <c r="E913" s="47"/>
      <c r="F913" s="126"/>
      <c r="G913" s="126">
        <f>+SUMIFS(Equipement_Efficité!$AS:$AS,Equipement_Efficité!$B:$B,'Tableau détaillé'!$B913)</f>
        <v>2145</v>
      </c>
      <c r="H913" s="126"/>
      <c r="I913" s="126">
        <f>+SUMIFS(Equipement_Efficité!$AR:$AR,Equipement_Efficité!$B:$B,'Tableau détaillé'!$B913)</f>
        <v>2153</v>
      </c>
      <c r="J913" s="163"/>
      <c r="K913" s="164">
        <f t="shared" si="164"/>
        <v>3.7296037296037365E-3</v>
      </c>
      <c r="L913" s="163"/>
    </row>
    <row r="914" spans="2:12">
      <c r="B914" s="28" t="s">
        <v>137</v>
      </c>
      <c r="C914" s="435"/>
      <c r="D914" s="47" t="s">
        <v>19</v>
      </c>
      <c r="E914" s="47"/>
      <c r="F914" s="126"/>
      <c r="G914" s="126">
        <f>+SUMIFS(Equipement_Efficité!$AS:$AS,Equipement_Efficité!$B:$B,'Tableau détaillé'!$B914)</f>
        <v>5339</v>
      </c>
      <c r="H914" s="126"/>
      <c r="I914" s="126">
        <f>+SUMIFS(Equipement_Efficité!$AR:$AR,Equipement_Efficité!$B:$B,'Tableau détaillé'!$B914)</f>
        <v>3992</v>
      </c>
      <c r="J914" s="163"/>
      <c r="K914" s="164">
        <f t="shared" si="164"/>
        <v>-0.25229443716051692</v>
      </c>
      <c r="L914" s="163"/>
    </row>
    <row r="915" spans="2:12">
      <c r="B915" s="28" t="s">
        <v>123</v>
      </c>
      <c r="C915" s="435"/>
      <c r="D915" s="47" t="s">
        <v>21</v>
      </c>
      <c r="E915" s="47"/>
      <c r="F915" s="126"/>
      <c r="G915" s="126">
        <f>+SUMIFS(Equipement_Efficité!$AS:$AS,Equipement_Efficité!$B:$B,'Tableau détaillé'!$B915)</f>
        <v>844</v>
      </c>
      <c r="H915" s="126"/>
      <c r="I915" s="126">
        <f>+SUMIFS(Equipement_Efficité!$AR:$AR,Equipement_Efficité!$B:$B,'Tableau détaillé'!$B915)</f>
        <v>1222</v>
      </c>
      <c r="J915" s="163"/>
      <c r="K915" s="164">
        <f t="shared" si="164"/>
        <v>0.44786729857819907</v>
      </c>
      <c r="L915" s="163"/>
    </row>
    <row r="916" spans="2:12">
      <c r="B916" s="28" t="s">
        <v>139</v>
      </c>
      <c r="C916" s="435"/>
      <c r="D916" s="47" t="s">
        <v>22</v>
      </c>
      <c r="E916" s="47"/>
      <c r="F916" s="126"/>
      <c r="G916" s="126">
        <f>+SUMIFS(Equipement_Efficité!$AS:$AS,Equipement_Efficité!$B:$B,'Tableau détaillé'!$B916)</f>
        <v>2628</v>
      </c>
      <c r="H916" s="126"/>
      <c r="I916" s="126">
        <f>+SUMIFS(Equipement_Efficité!$AR:$AR,Equipement_Efficité!$B:$B,'Tableau détaillé'!$B916)</f>
        <v>2274</v>
      </c>
      <c r="J916" s="163"/>
      <c r="K916" s="164">
        <f t="shared" si="164"/>
        <v>-0.13470319634703198</v>
      </c>
      <c r="L916" s="163"/>
    </row>
    <row r="917" spans="2:12">
      <c r="C917" s="435"/>
      <c r="D917" s="48" t="s">
        <v>62</v>
      </c>
      <c r="E917" s="48"/>
      <c r="F917" s="124"/>
      <c r="G917" s="124">
        <f t="shared" ref="G917" si="165">SUM(G910:G916)</f>
        <v>77292</v>
      </c>
      <c r="H917" s="124"/>
      <c r="I917" s="124">
        <f>SUM(I910:I916)</f>
        <v>79341</v>
      </c>
      <c r="J917" s="103"/>
      <c r="K917" s="165">
        <f t="shared" si="164"/>
        <v>2.6509858717590484E-2</v>
      </c>
      <c r="L917" s="103"/>
    </row>
    <row r="918" spans="2:12">
      <c r="B918" s="28" t="s">
        <v>138</v>
      </c>
      <c r="C918" s="435"/>
      <c r="D918" s="47" t="s">
        <v>15</v>
      </c>
      <c r="E918" s="47"/>
      <c r="F918" s="126"/>
      <c r="G918" s="126">
        <f>+SUMIFS(Equipement_Efficité!$AS:$AS,Equipement_Efficité!$B:$B,'Tableau détaillé'!$B918)</f>
        <v>47693</v>
      </c>
      <c r="H918" s="126"/>
      <c r="I918" s="126">
        <f>+SUMIFS(Equipement_Efficité!$AR:$AR,Equipement_Efficité!$B:$B,'Tableau détaillé'!$B918)</f>
        <v>44755</v>
      </c>
      <c r="J918" s="163"/>
      <c r="K918" s="164">
        <f t="shared" si="164"/>
        <v>-6.1602331579057701E-2</v>
      </c>
      <c r="L918" s="163"/>
    </row>
    <row r="919" spans="2:12">
      <c r="B919" s="28" t="s">
        <v>132</v>
      </c>
      <c r="C919" s="435"/>
      <c r="D919" s="47" t="s">
        <v>16</v>
      </c>
      <c r="E919" s="47"/>
      <c r="F919" s="126"/>
      <c r="G919" s="126">
        <f>+SUMIFS(Equipement_Efficité!$AS:$AS,Equipement_Efficité!$B:$B,'Tableau détaillé'!$B919)</f>
        <v>19742</v>
      </c>
      <c r="H919" s="126"/>
      <c r="I919" s="126">
        <f>+SUMIFS(Equipement_Efficité!$AR:$AR,Equipement_Efficité!$B:$B,'Tableau détaillé'!$B919)</f>
        <v>18842</v>
      </c>
      <c r="J919" s="163"/>
      <c r="K919" s="164">
        <f t="shared" si="164"/>
        <v>-4.5588086313443466E-2</v>
      </c>
      <c r="L919" s="163"/>
    </row>
    <row r="920" spans="2:12">
      <c r="B920" s="28" t="s">
        <v>140</v>
      </c>
      <c r="C920" s="435"/>
      <c r="D920" s="47" t="s">
        <v>20</v>
      </c>
      <c r="E920" s="47"/>
      <c r="F920" s="126"/>
      <c r="G920" s="126">
        <f>+SUMIFS(Equipement_Efficité!$AS:$AS,Equipement_Efficité!$B:$B,'Tableau détaillé'!$B920)</f>
        <v>2790</v>
      </c>
      <c r="H920" s="126"/>
      <c r="I920" s="126">
        <f>+SUMIFS(Equipement_Efficité!$AR:$AR,Equipement_Efficité!$B:$B,'Tableau détaillé'!$B920)</f>
        <v>2808</v>
      </c>
      <c r="J920" s="163"/>
      <c r="K920" s="164">
        <f t="shared" si="164"/>
        <v>6.4516129032257119E-3</v>
      </c>
      <c r="L920" s="163"/>
    </row>
    <row r="921" spans="2:12">
      <c r="B921" s="28" t="s">
        <v>135</v>
      </c>
      <c r="C921" s="435"/>
      <c r="D921" s="47" t="s">
        <v>23</v>
      </c>
      <c r="E921" s="47"/>
      <c r="F921" s="126"/>
      <c r="G921" s="126">
        <f>+SUMIFS(Equipement_Efficité!$AS:$AS,Equipement_Efficité!$B:$B,'Tableau détaillé'!$B921)</f>
        <v>5854</v>
      </c>
      <c r="H921" s="126"/>
      <c r="I921" s="126">
        <f>+SUMIFS(Equipement_Efficité!$AR:$AR,Equipement_Efficité!$B:$B,'Tableau détaillé'!$B921)</f>
        <v>3709</v>
      </c>
      <c r="J921" s="163"/>
      <c r="K921" s="164">
        <f t="shared" si="164"/>
        <v>-0.36641612572599935</v>
      </c>
      <c r="L921" s="163"/>
    </row>
    <row r="922" spans="2:12" ht="14.4" thickBot="1">
      <c r="C922" s="436"/>
      <c r="D922" s="49" t="s">
        <v>63</v>
      </c>
      <c r="E922" s="49"/>
      <c r="F922" s="129"/>
      <c r="G922" s="129">
        <f t="shared" ref="G922" si="166">SUM(G918:G921)</f>
        <v>76079</v>
      </c>
      <c r="H922" s="129"/>
      <c r="I922" s="129">
        <f>SUM(I918:I921)</f>
        <v>70114</v>
      </c>
      <c r="J922" s="166"/>
      <c r="K922" s="166">
        <f t="shared" si="164"/>
        <v>-7.8405341815744212E-2</v>
      </c>
      <c r="L922" s="166"/>
    </row>
    <row r="923" spans="2:12" ht="14.4" thickTop="1">
      <c r="F923" s="132"/>
      <c r="G923" s="132"/>
      <c r="H923" s="98"/>
      <c r="I923" s="98"/>
    </row>
    <row r="924" spans="2:12">
      <c r="F924" s="132"/>
      <c r="G924" s="132"/>
      <c r="H924" s="98"/>
      <c r="I924" s="98"/>
    </row>
    <row r="925" spans="2:12" ht="14.4" thickBot="1">
      <c r="F925" s="418" t="s">
        <v>419</v>
      </c>
      <c r="G925" s="261">
        <v>44926</v>
      </c>
      <c r="H925" s="261">
        <v>44957</v>
      </c>
      <c r="I925" s="261">
        <v>45291</v>
      </c>
    </row>
    <row r="926" spans="2:12" ht="14.4" thickTop="1">
      <c r="C926" s="463" t="s">
        <v>25</v>
      </c>
      <c r="D926" s="45" t="s">
        <v>64</v>
      </c>
      <c r="E926" s="45"/>
      <c r="F926" s="124">
        <f t="shared" ref="F926:G926" si="167">SUM(F934,F939)</f>
        <v>13699</v>
      </c>
      <c r="G926" s="124">
        <f t="shared" si="167"/>
        <v>10075</v>
      </c>
      <c r="H926" s="124">
        <f>SUM(H934,H939)</f>
        <v>11743</v>
      </c>
      <c r="I926" s="124">
        <f>SUM(I934,I939)</f>
        <v>9182</v>
      </c>
      <c r="J926" s="103"/>
      <c r="K926" s="165">
        <f t="shared" ref="K926:K939" si="168">+I926/G926-1</f>
        <v>-8.8635235732009932E-2</v>
      </c>
      <c r="L926" s="103"/>
    </row>
    <row r="927" spans="2:12">
      <c r="B927" s="28" t="s">
        <v>131</v>
      </c>
      <c r="C927" s="435" t="s">
        <v>383</v>
      </c>
      <c r="D927" s="47" t="s">
        <v>13</v>
      </c>
      <c r="E927" s="47"/>
      <c r="F927" s="126">
        <f>+SUMIFS(Equipement_Efficité!$AW:$AW,Equipement_Efficité!$B:$B,'Tableau détaillé'!$B927)</f>
        <v>3758</v>
      </c>
      <c r="G927" s="126">
        <f>+SUMIFS(Equipement_Efficité!$AU:$AU,Equipement_Efficité!$B:$B,'Tableau détaillé'!$B927)</f>
        <v>2839</v>
      </c>
      <c r="H927" s="126">
        <f>+SUMIFS(Equipement_Efficité!$AV:$AV,Equipement_Efficité!$B:$B,'Tableau détaillé'!$B927)</f>
        <v>4187</v>
      </c>
      <c r="I927" s="126">
        <f>+SUMIFS(Equipement_Efficité!$AT:$AT,Equipement_Efficité!$B:$B,'Tableau détaillé'!$B927)</f>
        <v>3075</v>
      </c>
      <c r="J927" s="163"/>
      <c r="K927" s="164">
        <f t="shared" si="168"/>
        <v>8.3127861923212309E-2</v>
      </c>
      <c r="L927" s="163"/>
    </row>
    <row r="928" spans="2:12">
      <c r="B928" s="28" t="s">
        <v>136</v>
      </c>
      <c r="C928" s="435"/>
      <c r="D928" s="47" t="s">
        <v>14</v>
      </c>
      <c r="E928" s="47"/>
      <c r="F928" s="126">
        <f>+SUMIFS(Equipement_Efficité!$AW:$AW,Equipement_Efficité!$B:$B,'Tableau détaillé'!$B928)</f>
        <v>409</v>
      </c>
      <c r="G928" s="126">
        <f>+SUMIFS(Equipement_Efficité!$AU:$AU,Equipement_Efficité!$B:$B,'Tableau détaillé'!$B928)</f>
        <v>249</v>
      </c>
      <c r="H928" s="126">
        <f>+SUMIFS(Equipement_Efficité!$AV:$AV,Equipement_Efficité!$B:$B,'Tableau détaillé'!$B928)</f>
        <v>779</v>
      </c>
      <c r="I928" s="126">
        <f>+SUMIFS(Equipement_Efficité!$AT:$AT,Equipement_Efficité!$B:$B,'Tableau détaillé'!$B928)</f>
        <v>279</v>
      </c>
      <c r="J928" s="163"/>
      <c r="K928" s="164">
        <f t="shared" si="168"/>
        <v>0.12048192771084332</v>
      </c>
      <c r="L928" s="163"/>
    </row>
    <row r="929" spans="2:12">
      <c r="B929" s="28" t="s">
        <v>141</v>
      </c>
      <c r="C929" s="435"/>
      <c r="D929" s="47" t="s">
        <v>17</v>
      </c>
      <c r="E929" s="47"/>
      <c r="F929" s="126">
        <f>+SUMIFS(Equipement_Efficité!$AW:$AW,Equipement_Efficité!$B:$B,'Tableau détaillé'!$B929)</f>
        <v>1251</v>
      </c>
      <c r="G929" s="126">
        <f>+SUMIFS(Equipement_Efficité!$AU:$AU,Equipement_Efficité!$B:$B,'Tableau détaillé'!$B929)</f>
        <v>1170</v>
      </c>
      <c r="H929" s="126">
        <f>+SUMIFS(Equipement_Efficité!$AV:$AV,Equipement_Efficité!$B:$B,'Tableau détaillé'!$B929)</f>
        <v>966</v>
      </c>
      <c r="I929" s="126">
        <f>+SUMIFS(Equipement_Efficité!$AT:$AT,Equipement_Efficité!$B:$B,'Tableau détaillé'!$B929)</f>
        <v>1097</v>
      </c>
      <c r="J929" s="163"/>
      <c r="K929" s="164">
        <f t="shared" si="168"/>
        <v>-6.2393162393162394E-2</v>
      </c>
      <c r="L929" s="163"/>
    </row>
    <row r="930" spans="2:12">
      <c r="B930" s="28" t="s">
        <v>124</v>
      </c>
      <c r="C930" s="435"/>
      <c r="D930" s="47" t="s">
        <v>18</v>
      </c>
      <c r="E930" s="47"/>
      <c r="F930" s="126">
        <f>+SUMIFS(Equipement_Efficité!$AW:$AW,Equipement_Efficité!$B:$B,'Tableau détaillé'!$B930)</f>
        <v>112</v>
      </c>
      <c r="G930" s="126">
        <f>+SUMIFS(Equipement_Efficité!$AU:$AU,Equipement_Efficité!$B:$B,'Tableau détaillé'!$B930)</f>
        <v>132</v>
      </c>
      <c r="H930" s="126">
        <f>+SUMIFS(Equipement_Efficité!$AV:$AV,Equipement_Efficité!$B:$B,'Tableau détaillé'!$B930)</f>
        <v>278</v>
      </c>
      <c r="I930" s="126">
        <f>+SUMIFS(Equipement_Efficité!$AT:$AT,Equipement_Efficité!$B:$B,'Tableau détaillé'!$B930)</f>
        <v>189</v>
      </c>
      <c r="J930" s="163"/>
      <c r="K930" s="164">
        <f t="shared" si="168"/>
        <v>0.43181818181818188</v>
      </c>
      <c r="L930" s="163"/>
    </row>
    <row r="931" spans="2:12">
      <c r="B931" s="28" t="s">
        <v>137</v>
      </c>
      <c r="C931" s="435"/>
      <c r="D931" s="47" t="s">
        <v>19</v>
      </c>
      <c r="E931" s="47"/>
      <c r="F931" s="126">
        <f>+SUMIFS(Equipement_Efficité!$AW:$AW,Equipement_Efficité!$B:$B,'Tableau détaillé'!$B931)</f>
        <v>388</v>
      </c>
      <c r="G931" s="126">
        <f>+SUMIFS(Equipement_Efficité!$AU:$AU,Equipement_Efficité!$B:$B,'Tableau détaillé'!$B931)</f>
        <v>295</v>
      </c>
      <c r="H931" s="126">
        <f>+SUMIFS(Equipement_Efficité!$AV:$AV,Equipement_Efficité!$B:$B,'Tableau détaillé'!$B931)</f>
        <v>300</v>
      </c>
      <c r="I931" s="126">
        <f>+SUMIFS(Equipement_Efficité!$AT:$AT,Equipement_Efficité!$B:$B,'Tableau détaillé'!$B931)</f>
        <v>185</v>
      </c>
      <c r="J931" s="163"/>
      <c r="K931" s="164">
        <f t="shared" si="168"/>
        <v>-0.3728813559322034</v>
      </c>
      <c r="L931" s="163"/>
    </row>
    <row r="932" spans="2:12">
      <c r="B932" s="28" t="s">
        <v>123</v>
      </c>
      <c r="C932" s="435"/>
      <c r="D932" s="47" t="s">
        <v>21</v>
      </c>
      <c r="E932" s="47"/>
      <c r="F932" s="126">
        <f>+SUMIFS(Equipement_Efficité!$AW:$AW,Equipement_Efficité!$B:$B,'Tableau détaillé'!$B932)</f>
        <v>49</v>
      </c>
      <c r="G932" s="126">
        <f>+SUMIFS(Equipement_Efficité!$AU:$AU,Equipement_Efficité!$B:$B,'Tableau détaillé'!$B932)</f>
        <v>44</v>
      </c>
      <c r="H932" s="126">
        <f>+SUMIFS(Equipement_Efficité!$AV:$AV,Equipement_Efficité!$B:$B,'Tableau détaillé'!$B932)</f>
        <v>140</v>
      </c>
      <c r="I932" s="126">
        <f>+SUMIFS(Equipement_Efficité!$AT:$AT,Equipement_Efficité!$B:$B,'Tableau détaillé'!$B932)</f>
        <v>76</v>
      </c>
      <c r="J932" s="163"/>
      <c r="K932" s="164">
        <f t="shared" si="168"/>
        <v>0.72727272727272729</v>
      </c>
      <c r="L932" s="163"/>
    </row>
    <row r="933" spans="2:12">
      <c r="B933" s="28" t="s">
        <v>139</v>
      </c>
      <c r="C933" s="435"/>
      <c r="D933" s="47" t="s">
        <v>22</v>
      </c>
      <c r="E933" s="47"/>
      <c r="F933" s="126">
        <f>+SUMIFS(Equipement_Efficité!$AW:$AW,Equipement_Efficité!$B:$B,'Tableau détaillé'!$B933)</f>
        <v>214</v>
      </c>
      <c r="G933" s="126">
        <f>+SUMIFS(Equipement_Efficité!$AU:$AU,Equipement_Efficité!$B:$B,'Tableau détaillé'!$B933)</f>
        <v>140</v>
      </c>
      <c r="H933" s="126">
        <f>+SUMIFS(Equipement_Efficité!$AV:$AV,Equipement_Efficité!$B:$B,'Tableau détaillé'!$B933)</f>
        <v>167</v>
      </c>
      <c r="I933" s="126">
        <f>+SUMIFS(Equipement_Efficité!$AT:$AT,Equipement_Efficité!$B:$B,'Tableau détaillé'!$B933)</f>
        <v>129</v>
      </c>
      <c r="J933" s="163"/>
      <c r="K933" s="164">
        <f t="shared" si="168"/>
        <v>-7.8571428571428625E-2</v>
      </c>
      <c r="L933" s="163"/>
    </row>
    <row r="934" spans="2:12">
      <c r="C934" s="435"/>
      <c r="D934" s="48" t="s">
        <v>62</v>
      </c>
      <c r="E934" s="48"/>
      <c r="F934" s="124">
        <f t="shared" ref="F934" si="169">SUM(F927:F933)</f>
        <v>6181</v>
      </c>
      <c r="G934" s="124">
        <f t="shared" ref="G934" si="170">SUM(G927:G933)</f>
        <v>4869</v>
      </c>
      <c r="H934" s="124">
        <f>SUM(H927:H933)</f>
        <v>6817</v>
      </c>
      <c r="I934" s="124">
        <f>SUM(I927:I933)</f>
        <v>5030</v>
      </c>
      <c r="J934" s="103"/>
      <c r="K934" s="165">
        <f t="shared" si="168"/>
        <v>3.3066338057095912E-2</v>
      </c>
      <c r="L934" s="103"/>
    </row>
    <row r="935" spans="2:12">
      <c r="B935" s="28" t="s">
        <v>138</v>
      </c>
      <c r="C935" s="435"/>
      <c r="D935" s="47" t="s">
        <v>15</v>
      </c>
      <c r="E935" s="47"/>
      <c r="F935" s="126">
        <f>+SUMIFS(Equipement_Efficité!$AW:$AW,Equipement_Efficité!$B:$B,'Tableau détaillé'!$B935)</f>
        <v>4245</v>
      </c>
      <c r="G935" s="126">
        <f>+SUMIFS(Equipement_Efficité!$AU:$AU,Equipement_Efficité!$B:$B,'Tableau détaillé'!$B935)</f>
        <v>3594</v>
      </c>
      <c r="H935" s="126">
        <f>+SUMIFS(Equipement_Efficité!$AV:$AV,Equipement_Efficité!$B:$B,'Tableau détaillé'!$B935)</f>
        <v>3245</v>
      </c>
      <c r="I935" s="126">
        <f>+SUMIFS(Equipement_Efficité!$AT:$AT,Equipement_Efficité!$B:$B,'Tableau détaillé'!$B935)</f>
        <v>2696</v>
      </c>
      <c r="J935" s="163"/>
      <c r="K935" s="164">
        <f t="shared" si="168"/>
        <v>-0.24986087924318312</v>
      </c>
      <c r="L935" s="163"/>
    </row>
    <row r="936" spans="2:12">
      <c r="B936" s="28" t="s">
        <v>132</v>
      </c>
      <c r="C936" s="435"/>
      <c r="D936" s="47" t="s">
        <v>16</v>
      </c>
      <c r="E936" s="47"/>
      <c r="F936" s="126">
        <f>+SUMIFS(Equipement_Efficité!$AW:$AW,Equipement_Efficité!$B:$B,'Tableau détaillé'!$B936)</f>
        <v>2582</v>
      </c>
      <c r="G936" s="126">
        <f>+SUMIFS(Equipement_Efficité!$AU:$AU,Equipement_Efficité!$B:$B,'Tableau détaillé'!$B936)</f>
        <v>1090</v>
      </c>
      <c r="H936" s="126">
        <f>+SUMIFS(Equipement_Efficité!$AV:$AV,Equipement_Efficité!$B:$B,'Tableau détaillé'!$B936)</f>
        <v>1365</v>
      </c>
      <c r="I936" s="126">
        <f>+SUMIFS(Equipement_Efficité!$AT:$AT,Equipement_Efficité!$B:$B,'Tableau détaillé'!$B936)</f>
        <v>1213</v>
      </c>
      <c r="J936" s="163"/>
      <c r="K936" s="164">
        <f t="shared" si="168"/>
        <v>0.11284403669724763</v>
      </c>
      <c r="L936" s="163"/>
    </row>
    <row r="937" spans="2:12">
      <c r="B937" s="28" t="s">
        <v>140</v>
      </c>
      <c r="C937" s="435"/>
      <c r="D937" s="47" t="s">
        <v>20</v>
      </c>
      <c r="E937" s="47"/>
      <c r="F937" s="126">
        <f>+SUMIFS(Equipement_Efficité!$AW:$AW,Equipement_Efficité!$B:$B,'Tableau détaillé'!$B937)</f>
        <v>281</v>
      </c>
      <c r="G937" s="126">
        <f>+SUMIFS(Equipement_Efficité!$AU:$AU,Equipement_Efficité!$B:$B,'Tableau détaillé'!$B937)</f>
        <v>143</v>
      </c>
      <c r="H937" s="126">
        <f>+SUMIFS(Equipement_Efficité!$AV:$AV,Equipement_Efficité!$B:$B,'Tableau détaillé'!$B937)</f>
        <v>210</v>
      </c>
      <c r="I937" s="126">
        <f>+SUMIFS(Equipement_Efficité!$AT:$AT,Equipement_Efficité!$B:$B,'Tableau détaillé'!$B937)</f>
        <v>150</v>
      </c>
      <c r="J937" s="163"/>
      <c r="K937" s="164">
        <f t="shared" si="168"/>
        <v>4.8951048951048959E-2</v>
      </c>
      <c r="L937" s="163"/>
    </row>
    <row r="938" spans="2:12">
      <c r="B938" s="28" t="s">
        <v>135</v>
      </c>
      <c r="C938" s="435"/>
      <c r="D938" s="47" t="s">
        <v>23</v>
      </c>
      <c r="E938" s="47"/>
      <c r="F938" s="126">
        <f>+SUMIFS(Equipement_Efficité!$AW:$AW,Equipement_Efficité!$B:$B,'Tableau détaillé'!$B938)</f>
        <v>410</v>
      </c>
      <c r="G938" s="126">
        <f>+SUMIFS(Equipement_Efficité!$AU:$AU,Equipement_Efficité!$B:$B,'Tableau détaillé'!$B938)</f>
        <v>379</v>
      </c>
      <c r="H938" s="126">
        <f>+SUMIFS(Equipement_Efficité!$AV:$AV,Equipement_Efficité!$B:$B,'Tableau détaillé'!$B938)</f>
        <v>106</v>
      </c>
      <c r="I938" s="126">
        <f>+SUMIFS(Equipement_Efficité!$AT:$AT,Equipement_Efficité!$B:$B,'Tableau détaillé'!$B938)</f>
        <v>93</v>
      </c>
      <c r="J938" s="163"/>
      <c r="K938" s="164">
        <f t="shared" si="168"/>
        <v>-0.75461741424802109</v>
      </c>
      <c r="L938" s="163"/>
    </row>
    <row r="939" spans="2:12" ht="14.4" thickBot="1">
      <c r="C939" s="436"/>
      <c r="D939" s="49" t="s">
        <v>63</v>
      </c>
      <c r="E939" s="49"/>
      <c r="F939" s="129">
        <f t="shared" ref="F939" si="171">SUM(F935:F938)</f>
        <v>7518</v>
      </c>
      <c r="G939" s="129">
        <f t="shared" ref="G939" si="172">SUM(G935:G938)</f>
        <v>5206</v>
      </c>
      <c r="H939" s="129">
        <f>SUM(H935:H938)</f>
        <v>4926</v>
      </c>
      <c r="I939" s="129">
        <f>SUM(I935:I938)</f>
        <v>4152</v>
      </c>
      <c r="J939" s="166"/>
      <c r="K939" s="166">
        <f t="shared" si="168"/>
        <v>-0.20245870149827128</v>
      </c>
      <c r="L939" s="166"/>
    </row>
    <row r="940" spans="2:12" ht="14.4" thickTop="1">
      <c r="F940" s="132"/>
      <c r="G940" s="132"/>
      <c r="H940" s="98"/>
      <c r="I940" s="98"/>
    </row>
    <row r="941" spans="2:12" ht="14.4" thickBot="1">
      <c r="F941" s="418" t="s">
        <v>419</v>
      </c>
      <c r="G941" s="261">
        <v>44926</v>
      </c>
      <c r="H941" s="261">
        <v>44957</v>
      </c>
      <c r="I941" s="261">
        <v>45291</v>
      </c>
    </row>
    <row r="942" spans="2:12" ht="14.4" thickTop="1">
      <c r="C942" s="463" t="s">
        <v>382</v>
      </c>
      <c r="D942" s="45" t="s">
        <v>64</v>
      </c>
      <c r="E942" s="45"/>
      <c r="F942" s="124"/>
      <c r="G942" s="124">
        <f>+(G909/$F$547)/MONTH(F$546)</f>
        <v>9.8846996648620777</v>
      </c>
      <c r="H942" s="124"/>
      <c r="I942" s="124">
        <f>+(I909/$H$547)/MONTH(H$546)</f>
        <v>11.998635195889532</v>
      </c>
      <c r="J942" s="103"/>
      <c r="K942" s="165">
        <f t="shared" ref="K942:K955" si="173">+I942/G942-1</f>
        <v>0.2138593586755122</v>
      </c>
      <c r="L942" s="103"/>
    </row>
    <row r="943" spans="2:12">
      <c r="B943" s="28" t="s">
        <v>131</v>
      </c>
      <c r="C943" s="435" t="s">
        <v>363</v>
      </c>
      <c r="D943" s="47" t="s">
        <v>13</v>
      </c>
      <c r="E943" s="47"/>
      <c r="F943" s="126"/>
      <c r="G943" s="126">
        <f>+(G910/$F$548)/MONTH(F$546)</f>
        <v>12.048679867986799</v>
      </c>
      <c r="H943" s="126"/>
      <c r="I943" s="126">
        <f>+(I910/$H$548)/MONTH(H$546)</f>
        <v>20.503472222222221</v>
      </c>
      <c r="J943" s="163"/>
      <c r="K943" s="164">
        <f t="shared" si="173"/>
        <v>0.70171939555799034</v>
      </c>
      <c r="L943" s="163"/>
    </row>
    <row r="944" spans="2:12">
      <c r="B944" s="28" t="s">
        <v>136</v>
      </c>
      <c r="C944" s="435"/>
      <c r="D944" s="47" t="s">
        <v>14</v>
      </c>
      <c r="E944" s="47"/>
      <c r="F944" s="126"/>
      <c r="G944" s="126">
        <f>+(G911/$F$549)/MONTH(F$546)</f>
        <v>3.7129629629629632</v>
      </c>
      <c r="H944" s="126"/>
      <c r="I944" s="126">
        <f>+(I911/$H$549)/MONTH(H$546)</f>
        <v>7.8928571428571423</v>
      </c>
      <c r="J944" s="163"/>
      <c r="K944" s="164">
        <f t="shared" si="173"/>
        <v>1.1257570359814748</v>
      </c>
      <c r="L944" s="163"/>
    </row>
    <row r="945" spans="2:12">
      <c r="B945" s="28" t="s">
        <v>141</v>
      </c>
      <c r="C945" s="435"/>
      <c r="D945" s="47" t="s">
        <v>17</v>
      </c>
      <c r="E945" s="47"/>
      <c r="F945" s="126"/>
      <c r="G945" s="126">
        <f>+(G912/$F$550)/MONTH(F$546)</f>
        <v>7.5488165680473367</v>
      </c>
      <c r="H945" s="126"/>
      <c r="I945" s="126">
        <f>+(I912/$H$550)/MONTH(H$546)</f>
        <v>10.766339869281046</v>
      </c>
      <c r="J945" s="163"/>
      <c r="K945" s="164">
        <f t="shared" si="173"/>
        <v>0.42622883629903741</v>
      </c>
      <c r="L945" s="163"/>
    </row>
    <row r="946" spans="2:12">
      <c r="B946" s="28" t="s">
        <v>124</v>
      </c>
      <c r="C946" s="435"/>
      <c r="D946" s="47" t="s">
        <v>18</v>
      </c>
      <c r="E946" s="47"/>
      <c r="F946" s="126"/>
      <c r="G946" s="126">
        <f>+(G913/$F$551)/MONTH(F$546)</f>
        <v>2.3519736842105261</v>
      </c>
      <c r="H946" s="126"/>
      <c r="I946" s="126">
        <f>+(I913/$H$551)/MONTH(H$546)</f>
        <v>5.606770833333333</v>
      </c>
      <c r="J946" s="163"/>
      <c r="K946" s="164">
        <f t="shared" si="173"/>
        <v>1.3838578088578091</v>
      </c>
      <c r="L946" s="163"/>
    </row>
    <row r="947" spans="2:12">
      <c r="B947" s="28" t="s">
        <v>137</v>
      </c>
      <c r="C947" s="435"/>
      <c r="D947" s="47" t="s">
        <v>19</v>
      </c>
      <c r="E947" s="47"/>
      <c r="F947" s="126"/>
      <c r="G947" s="126">
        <f>+(G914/$F$552)/MONTH(F$546)</f>
        <v>6.355952380952381</v>
      </c>
      <c r="H947" s="126"/>
      <c r="I947" s="126">
        <f>+(I914/$H$552)/MONTH(H$546)</f>
        <v>6.3974358974358978</v>
      </c>
      <c r="J947" s="163"/>
      <c r="K947" s="164">
        <f t="shared" si="173"/>
        <v>6.5267192069964342E-3</v>
      </c>
      <c r="L947" s="163"/>
    </row>
    <row r="948" spans="2:12">
      <c r="B948" s="28" t="s">
        <v>123</v>
      </c>
      <c r="C948" s="435"/>
      <c r="D948" s="47" t="s">
        <v>21</v>
      </c>
      <c r="E948" s="47"/>
      <c r="F948" s="126"/>
      <c r="G948" s="126">
        <f>+(G915/$F$553)/MONTH(F$546)</f>
        <v>4.395833333333333</v>
      </c>
      <c r="H948" s="126"/>
      <c r="I948" s="126">
        <f>+(I915/$H$553)/MONTH(H$546)</f>
        <v>5.0916666666666668</v>
      </c>
      <c r="J948" s="163"/>
      <c r="K948" s="164">
        <f t="shared" si="173"/>
        <v>0.15829383886255943</v>
      </c>
      <c r="L948" s="163"/>
    </row>
    <row r="949" spans="2:12">
      <c r="B949" s="28" t="s">
        <v>139</v>
      </c>
      <c r="C949" s="435"/>
      <c r="D949" s="47" t="s">
        <v>22</v>
      </c>
      <c r="E949" s="47"/>
      <c r="F949" s="126"/>
      <c r="G949" s="126">
        <f>+(G916/$F$554)/MONTH(F$546)</f>
        <v>8.76</v>
      </c>
      <c r="H949" s="126"/>
      <c r="I949" s="126">
        <f>+(I916/$H$554)/MONTH(H$546)</f>
        <v>8.2391304347826075</v>
      </c>
      <c r="J949" s="163"/>
      <c r="K949" s="164">
        <f t="shared" si="173"/>
        <v>-5.9459996029382678E-2</v>
      </c>
      <c r="L949" s="163"/>
    </row>
    <row r="950" spans="2:12">
      <c r="C950" s="435"/>
      <c r="D950" s="48" t="s">
        <v>62</v>
      </c>
      <c r="E950" s="48"/>
      <c r="F950" s="124"/>
      <c r="G950" s="124">
        <f>+(G917/$F$555)/MONTH(F$546)</f>
        <v>7.84531059683313</v>
      </c>
      <c r="H950" s="124"/>
      <c r="I950" s="124">
        <f>+(I917/$H$555)/MONTH(H$546)</f>
        <v>12.739402697495182</v>
      </c>
      <c r="J950" s="103"/>
      <c r="K950" s="165">
        <f t="shared" si="173"/>
        <v>0.62382388055325944</v>
      </c>
      <c r="L950" s="103"/>
    </row>
    <row r="951" spans="2:12">
      <c r="B951" s="28" t="s">
        <v>138</v>
      </c>
      <c r="C951" s="435"/>
      <c r="D951" s="47" t="s">
        <v>15</v>
      </c>
      <c r="E951" s="47"/>
      <c r="F951" s="126"/>
      <c r="G951" s="126">
        <f>+(G918/$F$556)/MONTH(F$546)</f>
        <v>12.697816826411076</v>
      </c>
      <c r="H951" s="126"/>
      <c r="I951" s="126">
        <f>+(I918/$H$556)/MONTH(H$546)</f>
        <v>13.711703431372548</v>
      </c>
      <c r="J951" s="163"/>
      <c r="K951" s="164">
        <f t="shared" si="173"/>
        <v>7.9847316969687165E-2</v>
      </c>
      <c r="L951" s="163"/>
    </row>
    <row r="952" spans="2:12">
      <c r="B952" s="28" t="s">
        <v>132</v>
      </c>
      <c r="C952" s="435"/>
      <c r="D952" s="47" t="s">
        <v>16</v>
      </c>
      <c r="E952" s="47"/>
      <c r="F952" s="126"/>
      <c r="G952" s="126">
        <f>+(G919/$F$557)/MONTH(F$546)</f>
        <v>14.182471264367814</v>
      </c>
      <c r="H952" s="126"/>
      <c r="I952" s="126">
        <f>+(I919/$H$557)/MONTH(H$546)</f>
        <v>13.420227920227921</v>
      </c>
      <c r="J952" s="163"/>
      <c r="K952" s="164">
        <f t="shared" si="173"/>
        <v>-5.3745453097089002E-2</v>
      </c>
      <c r="L952" s="163"/>
    </row>
    <row r="953" spans="2:12">
      <c r="B953" s="28" t="s">
        <v>140</v>
      </c>
      <c r="C953" s="435"/>
      <c r="D953" s="47" t="s">
        <v>20</v>
      </c>
      <c r="E953" s="47"/>
      <c r="F953" s="126"/>
      <c r="G953" s="126">
        <f>+(G920/$F$558)/MONTH(F$546)</f>
        <v>7.265625</v>
      </c>
      <c r="H953" s="126"/>
      <c r="I953" s="126">
        <f>+(I920/$H$558)/MONTH(H$546)</f>
        <v>7.5483870967741931</v>
      </c>
      <c r="J953" s="163"/>
      <c r="K953" s="164">
        <f t="shared" si="173"/>
        <v>3.891779396462014E-2</v>
      </c>
      <c r="L953" s="163"/>
    </row>
    <row r="954" spans="2:12">
      <c r="B954" s="28" t="s">
        <v>135</v>
      </c>
      <c r="C954" s="435"/>
      <c r="D954" s="47" t="s">
        <v>23</v>
      </c>
      <c r="E954" s="47"/>
      <c r="F954" s="126"/>
      <c r="G954" s="126">
        <f>+(G921/$F$559)/MONTH(F$546)</f>
        <v>44.348484848484844</v>
      </c>
      <c r="H954" s="126"/>
      <c r="I954" s="126">
        <f>+(I921/$H$559)/MONTH(H$546)</f>
        <v>3.122053872053872</v>
      </c>
      <c r="J954" s="163"/>
      <c r="K954" s="164">
        <f t="shared" si="173"/>
        <v>-0.92960179174733326</v>
      </c>
      <c r="L954" s="163"/>
    </row>
    <row r="955" spans="2:12" ht="14.4" thickBot="1">
      <c r="C955" s="436"/>
      <c r="D955" s="49" t="s">
        <v>63</v>
      </c>
      <c r="E955" s="49"/>
      <c r="F955" s="129"/>
      <c r="G955" s="129">
        <f>+(G922/$F$560)/MONTH(F$546)</f>
        <v>13.432026836158192</v>
      </c>
      <c r="H955" s="129"/>
      <c r="I955" s="129">
        <f>+(I922/$H$560)/MONTH(H$546)</f>
        <v>11.257867694283879</v>
      </c>
      <c r="J955" s="166"/>
      <c r="K955" s="166">
        <f t="shared" si="173"/>
        <v>-0.16186381760506985</v>
      </c>
      <c r="L955" s="166"/>
    </row>
    <row r="956" spans="2:12" ht="14.4" thickTop="1">
      <c r="F956" s="132"/>
      <c r="G956" s="132"/>
      <c r="H956" s="98"/>
      <c r="I956" s="98"/>
    </row>
    <row r="957" spans="2:12" ht="14.4" thickBot="1">
      <c r="F957" s="132"/>
      <c r="G957" s="132"/>
      <c r="H957" s="98"/>
      <c r="I957" s="98"/>
    </row>
    <row r="958" spans="2:12" ht="28.8" thickTop="1" thickBot="1">
      <c r="F958" s="418" t="s">
        <v>419</v>
      </c>
      <c r="G958" s="261">
        <v>44926</v>
      </c>
      <c r="H958" s="261">
        <v>44957</v>
      </c>
      <c r="I958" s="261">
        <v>45291</v>
      </c>
      <c r="J958" s="174" t="s">
        <v>364</v>
      </c>
      <c r="K958" s="175" t="s">
        <v>152</v>
      </c>
      <c r="L958" s="175" t="s">
        <v>365</v>
      </c>
    </row>
    <row r="959" spans="2:12" ht="14.4" thickTop="1">
      <c r="C959" s="463" t="s">
        <v>382</v>
      </c>
      <c r="D959" s="45" t="s">
        <v>64</v>
      </c>
      <c r="E959" s="45"/>
      <c r="F959" s="124">
        <f>+(F926/$F$547)</f>
        <v>10.594740912606342</v>
      </c>
      <c r="G959" s="124">
        <f>+(G926/$F$547)</f>
        <v>7.7919566898685231</v>
      </c>
      <c r="H959" s="124">
        <f>+(H926/$H$547)</f>
        <v>11.313102119460501</v>
      </c>
      <c r="I959" s="124">
        <f>+(I926/$H$547)</f>
        <v>8.8458574181117537</v>
      </c>
      <c r="J959" s="103">
        <f>+I959/H959-1</f>
        <v>-0.21808737119986366</v>
      </c>
      <c r="K959" s="165">
        <f t="shared" ref="K959:K972" si="174">+I959/G959-1</f>
        <v>0.13525495202168702</v>
      </c>
      <c r="L959" s="103">
        <f>+I959/I942-1</f>
        <v>-0.26276136629754776</v>
      </c>
    </row>
    <row r="960" spans="2:12">
      <c r="B960" s="28" t="s">
        <v>131</v>
      </c>
      <c r="C960" s="435" t="s">
        <v>362</v>
      </c>
      <c r="D960" s="47" t="s">
        <v>13</v>
      </c>
      <c r="E960" s="47"/>
      <c r="F960" s="126">
        <f>+(F927/$F$548)</f>
        <v>12.402640264026402</v>
      </c>
      <c r="G960" s="126">
        <f>+(G927/$F$548)</f>
        <v>9.3696369636963688</v>
      </c>
      <c r="H960" s="126">
        <f>+(H927/$H$548)</f>
        <v>21.807291666666668</v>
      </c>
      <c r="I960" s="126">
        <f>+(I927/$H$548)</f>
        <v>16.015625</v>
      </c>
      <c r="J960" s="163">
        <f t="shared" ref="J960:J972" si="175">+I960/H960-1</f>
        <v>-0.26558395032242654</v>
      </c>
      <c r="K960" s="164">
        <f t="shared" si="174"/>
        <v>0.70931115709756964</v>
      </c>
      <c r="L960" s="163">
        <f t="shared" ref="L960:L972" si="176">+I960/I943-1</f>
        <v>-0.21888230313293811</v>
      </c>
    </row>
    <row r="961" spans="2:12">
      <c r="B961" s="28" t="s">
        <v>136</v>
      </c>
      <c r="C961" s="435"/>
      <c r="D961" s="47" t="s">
        <v>14</v>
      </c>
      <c r="E961" s="47"/>
      <c r="F961" s="126">
        <f>+(F928/$F$549)</f>
        <v>2.5246913580246915</v>
      </c>
      <c r="G961" s="126">
        <f>+(G928/$F$549)</f>
        <v>1.537037037037037</v>
      </c>
      <c r="H961" s="126">
        <f>+(H928/$H$549)</f>
        <v>7.9489795918367347</v>
      </c>
      <c r="I961" s="126">
        <f>+(I928/$H$549)</f>
        <v>2.8469387755102042</v>
      </c>
      <c r="J961" s="163">
        <f t="shared" si="175"/>
        <v>-0.64184852374839529</v>
      </c>
      <c r="K961" s="164">
        <f t="shared" si="174"/>
        <v>0.85222522744037388</v>
      </c>
      <c r="L961" s="163">
        <f t="shared" si="176"/>
        <v>-0.63930187459599219</v>
      </c>
    </row>
    <row r="962" spans="2:12">
      <c r="B962" s="28" t="s">
        <v>141</v>
      </c>
      <c r="C962" s="435"/>
      <c r="D962" s="47" t="s">
        <v>17</v>
      </c>
      <c r="E962" s="47"/>
      <c r="F962" s="126">
        <f>+(F929/$F$550)</f>
        <v>7.4023668639053257</v>
      </c>
      <c r="G962" s="126">
        <f>+(G929/$F$550)</f>
        <v>6.9230769230769234</v>
      </c>
      <c r="H962" s="126">
        <f>+(H929/$H$550)</f>
        <v>9.4705882352941178</v>
      </c>
      <c r="I962" s="126">
        <f>+(I929/$H$550)</f>
        <v>10.754901960784315</v>
      </c>
      <c r="J962" s="163">
        <f t="shared" si="175"/>
        <v>0.13561076604554878</v>
      </c>
      <c r="K962" s="164">
        <f t="shared" si="174"/>
        <v>0.55348583877995639</v>
      </c>
      <c r="L962" s="163">
        <f t="shared" si="176"/>
        <v>-1.0623766884200192E-3</v>
      </c>
    </row>
    <row r="963" spans="2:12">
      <c r="B963" s="28" t="s">
        <v>124</v>
      </c>
      <c r="C963" s="435"/>
      <c r="D963" s="47" t="s">
        <v>18</v>
      </c>
      <c r="E963" s="47"/>
      <c r="F963" s="126">
        <f>+(F930/$F$551)</f>
        <v>1.4736842105263157</v>
      </c>
      <c r="G963" s="126">
        <f>+(G930/$F$551)</f>
        <v>1.736842105263158</v>
      </c>
      <c r="H963" s="126">
        <f>+(H930/$H$551)</f>
        <v>8.6875</v>
      </c>
      <c r="I963" s="126">
        <f>+(I930/$H$551)</f>
        <v>5.90625</v>
      </c>
      <c r="J963" s="163">
        <f t="shared" si="175"/>
        <v>-0.32014388489208634</v>
      </c>
      <c r="K963" s="164">
        <f t="shared" si="174"/>
        <v>2.4005681818181817</v>
      </c>
      <c r="L963" s="163">
        <f t="shared" si="176"/>
        <v>5.3413841151881192E-2</v>
      </c>
    </row>
    <row r="964" spans="2:12">
      <c r="B964" s="28" t="s">
        <v>137</v>
      </c>
      <c r="C964" s="435"/>
      <c r="D964" s="47" t="s">
        <v>19</v>
      </c>
      <c r="E964" s="47"/>
      <c r="F964" s="126">
        <f>+(F931/$F$552)</f>
        <v>5.5428571428571427</v>
      </c>
      <c r="G964" s="126">
        <f>+(G931/$F$552)</f>
        <v>4.2142857142857144</v>
      </c>
      <c r="H964" s="126">
        <f>+(H931/$H$552)</f>
        <v>5.7692307692307692</v>
      </c>
      <c r="I964" s="126">
        <f>+(I931/$H$552)</f>
        <v>3.5576923076923075</v>
      </c>
      <c r="J964" s="163">
        <f t="shared" si="175"/>
        <v>-0.38333333333333341</v>
      </c>
      <c r="K964" s="164">
        <f t="shared" si="174"/>
        <v>-0.15580182529335074</v>
      </c>
      <c r="L964" s="163">
        <f t="shared" si="176"/>
        <v>-0.44388777555110226</v>
      </c>
    </row>
    <row r="965" spans="2:12">
      <c r="B965" s="28" t="s">
        <v>123</v>
      </c>
      <c r="C965" s="435"/>
      <c r="D965" s="47" t="s">
        <v>21</v>
      </c>
      <c r="E965" s="47"/>
      <c r="F965" s="126">
        <f>+(F932/$F$553)</f>
        <v>3.0625</v>
      </c>
      <c r="G965" s="126">
        <f>+(G932/$F$553)</f>
        <v>2.75</v>
      </c>
      <c r="H965" s="126">
        <f>+(H932/$H$553)</f>
        <v>7</v>
      </c>
      <c r="I965" s="126">
        <f>+(I932/$H$553)</f>
        <v>3.8</v>
      </c>
      <c r="J965" s="163">
        <f t="shared" si="175"/>
        <v>-0.45714285714285718</v>
      </c>
      <c r="K965" s="164">
        <f t="shared" si="174"/>
        <v>0.38181818181818183</v>
      </c>
      <c r="L965" s="163">
        <f t="shared" si="176"/>
        <v>-0.25368248772504098</v>
      </c>
    </row>
    <row r="966" spans="2:12">
      <c r="B966" s="28" t="s">
        <v>139</v>
      </c>
      <c r="C966" s="435"/>
      <c r="D966" s="47" t="s">
        <v>22</v>
      </c>
      <c r="E966" s="47"/>
      <c r="F966" s="126">
        <f>+(F933/$F$554)</f>
        <v>8.56</v>
      </c>
      <c r="G966" s="126">
        <f>+(G933/$F$554)</f>
        <v>5.6</v>
      </c>
      <c r="H966" s="126">
        <f>+(H933/$H$554)</f>
        <v>7.2608695652173916</v>
      </c>
      <c r="I966" s="126">
        <f>+(I933/$H$554)</f>
        <v>5.6086956521739131</v>
      </c>
      <c r="J966" s="163">
        <f t="shared" si="175"/>
        <v>-0.22754491017964074</v>
      </c>
      <c r="K966" s="164">
        <f t="shared" si="174"/>
        <v>1.5527950310558758E-3</v>
      </c>
      <c r="L966" s="163">
        <f t="shared" si="176"/>
        <v>-0.31926121372031657</v>
      </c>
    </row>
    <row r="967" spans="2:12">
      <c r="C967" s="435"/>
      <c r="D967" s="48" t="s">
        <v>62</v>
      </c>
      <c r="E967" s="48"/>
      <c r="F967" s="124">
        <f>+(F934/$F$555)</f>
        <v>7.5286236297198537</v>
      </c>
      <c r="G967" s="124">
        <f>+(G934/$F$555)</f>
        <v>5.9305724725943971</v>
      </c>
      <c r="H967" s="124">
        <f>+(H934/$H$555)</f>
        <v>13.134874759152217</v>
      </c>
      <c r="I967" s="124">
        <f>+(I934/$H$555)</f>
        <v>9.6917148362235075</v>
      </c>
      <c r="J967" s="103">
        <f t="shared" si="175"/>
        <v>-0.26213877072025815</v>
      </c>
      <c r="K967" s="165">
        <f t="shared" si="174"/>
        <v>0.63419549815968357</v>
      </c>
      <c r="L967" s="103">
        <f t="shared" si="176"/>
        <v>-0.23923318334782762</v>
      </c>
    </row>
    <row r="968" spans="2:12">
      <c r="B968" s="28" t="s">
        <v>138</v>
      </c>
      <c r="C968" s="435"/>
      <c r="D968" s="47" t="s">
        <v>15</v>
      </c>
      <c r="E968" s="47"/>
      <c r="F968" s="126">
        <f>+(F935/$F$556)</f>
        <v>13.562300319488818</v>
      </c>
      <c r="G968" s="126">
        <f>+(G935/$F$556)</f>
        <v>11.482428115015974</v>
      </c>
      <c r="H968" s="126">
        <f>+(H935/$H$556)</f>
        <v>11.930147058823529</v>
      </c>
      <c r="I968" s="126">
        <f>+(I935/$H$556)</f>
        <v>9.9117647058823533</v>
      </c>
      <c r="J968" s="163">
        <f t="shared" si="175"/>
        <v>-0.16918335901386738</v>
      </c>
      <c r="K968" s="164">
        <f t="shared" si="174"/>
        <v>-0.13678843824675102</v>
      </c>
      <c r="L968" s="163">
        <f t="shared" si="176"/>
        <v>-0.27713104681041223</v>
      </c>
    </row>
    <row r="969" spans="2:12">
      <c r="B969" s="28" t="s">
        <v>132</v>
      </c>
      <c r="C969" s="435"/>
      <c r="D969" s="47" t="s">
        <v>16</v>
      </c>
      <c r="E969" s="47"/>
      <c r="F969" s="126">
        <f>+(F936/$F$557)</f>
        <v>22.258620689655171</v>
      </c>
      <c r="G969" s="126">
        <f>+(G936/$F$557)</f>
        <v>9.3965517241379306</v>
      </c>
      <c r="H969" s="126">
        <f>+(H936/$H$557)</f>
        <v>11.666666666666666</v>
      </c>
      <c r="I969" s="126">
        <f>+(I936/$H$557)</f>
        <v>10.367521367521368</v>
      </c>
      <c r="J969" s="163">
        <f t="shared" si="175"/>
        <v>-0.11135531135531129</v>
      </c>
      <c r="K969" s="164">
        <f t="shared" si="174"/>
        <v>0.10333254920410884</v>
      </c>
      <c r="L969" s="163">
        <f t="shared" si="176"/>
        <v>-0.22747054452818172</v>
      </c>
    </row>
    <row r="970" spans="2:12">
      <c r="B970" s="28" t="s">
        <v>140</v>
      </c>
      <c r="C970" s="435"/>
      <c r="D970" s="47" t="s">
        <v>20</v>
      </c>
      <c r="E970" s="47"/>
      <c r="F970" s="126">
        <f>+(F937/$F$558)</f>
        <v>8.78125</v>
      </c>
      <c r="G970" s="126">
        <f>+(G937/$F$558)</f>
        <v>4.46875</v>
      </c>
      <c r="H970" s="126">
        <f>+(H937/$H$558)</f>
        <v>6.774193548387097</v>
      </c>
      <c r="I970" s="126">
        <f>+(I937/$H$558)</f>
        <v>4.838709677419355</v>
      </c>
      <c r="J970" s="163">
        <f t="shared" si="175"/>
        <v>-0.2857142857142857</v>
      </c>
      <c r="K970" s="164">
        <f t="shared" si="174"/>
        <v>8.2788179562373054E-2</v>
      </c>
      <c r="L970" s="163">
        <f t="shared" si="176"/>
        <v>-0.35897435897435892</v>
      </c>
    </row>
    <row r="971" spans="2:12">
      <c r="B971" s="28" t="s">
        <v>135</v>
      </c>
      <c r="C971" s="435"/>
      <c r="D971" s="47" t="s">
        <v>23</v>
      </c>
      <c r="E971" s="47"/>
      <c r="F971" s="126">
        <f>+(F938/$F$559)</f>
        <v>37.272727272727273</v>
      </c>
      <c r="G971" s="126">
        <f>+(G938/$F$559)</f>
        <v>34.454545454545453</v>
      </c>
      <c r="H971" s="126">
        <f>+(H938/$H$559)</f>
        <v>1.0707070707070707</v>
      </c>
      <c r="I971" s="126">
        <f>+(I938/$H$559)</f>
        <v>0.93939393939393945</v>
      </c>
      <c r="J971" s="163">
        <f t="shared" si="175"/>
        <v>-0.12264150943396224</v>
      </c>
      <c r="K971" s="164">
        <f t="shared" si="174"/>
        <v>-0.97273526824978007</v>
      </c>
      <c r="L971" s="163">
        <f t="shared" si="176"/>
        <v>-0.69911027231059575</v>
      </c>
    </row>
    <row r="972" spans="2:12" ht="14.4" thickBot="1">
      <c r="C972" s="436"/>
      <c r="D972" s="49" t="s">
        <v>63</v>
      </c>
      <c r="E972" s="49"/>
      <c r="F972" s="129">
        <f>+(F939/$F$560)</f>
        <v>15.927966101694915</v>
      </c>
      <c r="G972" s="129">
        <f>+(G939/$F$560)</f>
        <v>11.029661016949152</v>
      </c>
      <c r="H972" s="129">
        <f>+(H939/$H$560)</f>
        <v>9.4913294797687868</v>
      </c>
      <c r="I972" s="129">
        <f>+(I939/$H$560)</f>
        <v>8</v>
      </c>
      <c r="J972" s="166">
        <f t="shared" si="175"/>
        <v>-0.15712545676004874</v>
      </c>
      <c r="K972" s="166">
        <f t="shared" si="174"/>
        <v>-0.27468305800998849</v>
      </c>
      <c r="L972" s="166">
        <f t="shared" si="176"/>
        <v>-0.28938585731808197</v>
      </c>
    </row>
    <row r="973" spans="2:12" ht="14.4" thickTop="1">
      <c r="F973" s="132"/>
      <c r="G973" s="132"/>
      <c r="H973" s="98"/>
      <c r="I973" s="98"/>
    </row>
    <row r="975" spans="2:12" ht="25.2">
      <c r="C975" s="965" t="s">
        <v>429</v>
      </c>
      <c r="D975" s="965"/>
      <c r="E975" s="965"/>
      <c r="F975" s="965"/>
      <c r="G975" s="965"/>
      <c r="H975" s="965"/>
      <c r="I975" s="965"/>
      <c r="J975" s="965"/>
      <c r="K975" s="965"/>
      <c r="L975" s="965"/>
    </row>
    <row r="976" spans="2:12">
      <c r="F976" s="132"/>
      <c r="G976" s="132"/>
      <c r="H976" s="98"/>
      <c r="I976" s="98"/>
    </row>
    <row r="977" spans="2:12" ht="14.4" thickBot="1">
      <c r="F977" s="418" t="s">
        <v>419</v>
      </c>
      <c r="G977" s="261">
        <v>44926</v>
      </c>
      <c r="H977" s="261">
        <v>44957</v>
      </c>
      <c r="I977" s="261">
        <v>45291</v>
      </c>
      <c r="J977" s="420"/>
      <c r="K977" s="420"/>
      <c r="L977" s="420"/>
    </row>
    <row r="978" spans="2:12" ht="14.4" thickTop="1">
      <c r="C978" s="465" t="s">
        <v>25</v>
      </c>
      <c r="D978" s="45" t="s">
        <v>64</v>
      </c>
      <c r="E978" s="45"/>
      <c r="F978" s="157"/>
      <c r="G978" s="157"/>
      <c r="H978" s="157">
        <f>SUM(H986,H991)</f>
        <v>0</v>
      </c>
      <c r="I978" s="157">
        <f>SUM(I986,I991)</f>
        <v>598881</v>
      </c>
      <c r="J978" s="234"/>
      <c r="K978" s="419" t="e">
        <f t="shared" ref="K978:K991" si="177">+I978/G978-1</f>
        <v>#DIV/0!</v>
      </c>
      <c r="L978" s="234"/>
    </row>
    <row r="979" spans="2:12">
      <c r="B979" s="28" t="s">
        <v>131</v>
      </c>
      <c r="C979" s="466" t="s">
        <v>361</v>
      </c>
      <c r="D979" s="47" t="s">
        <v>13</v>
      </c>
      <c r="E979" s="47"/>
      <c r="F979" s="126"/>
      <c r="G979" s="126"/>
      <c r="H979" s="126">
        <f>+SUMIFS(Equipement_Efficité!$G:$G,Equipement_Efficité!$A:$A,H$977,Equipement_Efficité!$B:$B,$B979)</f>
        <v>0</v>
      </c>
      <c r="I979" s="126">
        <f>+SUMIFS(Equipement_Efficité!$G:$G,Equipement_Efficité!$A:$A,I$977,Equipement_Efficité!$B:$B,$B979)</f>
        <v>201958</v>
      </c>
      <c r="J979" s="163"/>
      <c r="K979" s="164" t="e">
        <f>+I979/G979-1</f>
        <v>#DIV/0!</v>
      </c>
      <c r="L979" s="163"/>
    </row>
    <row r="980" spans="2:12">
      <c r="B980" s="28" t="s">
        <v>136</v>
      </c>
      <c r="C980" s="466"/>
      <c r="D980" s="47" t="s">
        <v>14</v>
      </c>
      <c r="E980" s="47"/>
      <c r="F980" s="126"/>
      <c r="G980" s="126"/>
      <c r="H980" s="126">
        <f>+SUMIFS(Equipement_Efficité!$G:$G,Equipement_Efficité!$A:$A,H$977,Equipement_Efficité!$B:$B,$B980)</f>
        <v>0</v>
      </c>
      <c r="I980" s="126">
        <f>+SUMIFS(Equipement_Efficité!$G:$G,Equipement_Efficité!$A:$A,I$977,Equipement_Efficité!$B:$B,$B980)</f>
        <v>43013</v>
      </c>
      <c r="J980" s="163"/>
      <c r="K980" s="164" t="e">
        <f t="shared" si="177"/>
        <v>#DIV/0!</v>
      </c>
      <c r="L980" s="163"/>
    </row>
    <row r="981" spans="2:12">
      <c r="B981" s="28" t="s">
        <v>141</v>
      </c>
      <c r="C981" s="435"/>
      <c r="D981" s="47" t="s">
        <v>17</v>
      </c>
      <c r="E981" s="47"/>
      <c r="F981" s="126"/>
      <c r="G981" s="126"/>
      <c r="H981" s="126">
        <f>+SUMIFS(Equipement_Efficité!$G:$G,Equipement_Efficité!$A:$A,H$977,Equipement_Efficité!$B:$B,$B981)</f>
        <v>0</v>
      </c>
      <c r="I981" s="126">
        <f>+SUMIFS(Equipement_Efficité!$G:$G,Equipement_Efficité!$A:$A,I$977,Equipement_Efficité!$B:$B,$B981)</f>
        <v>45459</v>
      </c>
      <c r="J981" s="163"/>
      <c r="K981" s="164" t="e">
        <f t="shared" si="177"/>
        <v>#DIV/0!</v>
      </c>
      <c r="L981" s="163"/>
    </row>
    <row r="982" spans="2:12">
      <c r="B982" s="28" t="s">
        <v>124</v>
      </c>
      <c r="C982" s="435"/>
      <c r="D982" s="47" t="s">
        <v>18</v>
      </c>
      <c r="E982" s="47"/>
      <c r="F982" s="126"/>
      <c r="G982" s="126"/>
      <c r="H982" s="126">
        <f>+SUMIFS(Equipement_Efficité!$G:$G,Equipement_Efficité!$A:$A,H$977,Equipement_Efficité!$B:$B,$B982)</f>
        <v>0</v>
      </c>
      <c r="I982" s="126">
        <f>+SUMIFS(Equipement_Efficité!$G:$G,Equipement_Efficité!$A:$A,I$977,Equipement_Efficité!$B:$B,$B982)</f>
        <v>7144</v>
      </c>
      <c r="J982" s="163"/>
      <c r="K982" s="164" t="e">
        <f t="shared" si="177"/>
        <v>#DIV/0!</v>
      </c>
      <c r="L982" s="163"/>
    </row>
    <row r="983" spans="2:12">
      <c r="B983" s="28" t="s">
        <v>137</v>
      </c>
      <c r="C983" s="435"/>
      <c r="D983" s="47" t="s">
        <v>19</v>
      </c>
      <c r="E983" s="47"/>
      <c r="F983" s="126"/>
      <c r="G983" s="126"/>
      <c r="H983" s="126">
        <f>+SUMIFS(Equipement_Efficité!$G:$G,Equipement_Efficité!$A:$A,H$977,Equipement_Efficité!$B:$B,$B983)</f>
        <v>0</v>
      </c>
      <c r="I983" s="126">
        <f>+SUMIFS(Equipement_Efficité!$G:$G,Equipement_Efficité!$A:$A,I$977,Equipement_Efficité!$B:$B,$B983)</f>
        <v>16569</v>
      </c>
      <c r="J983" s="163"/>
      <c r="K983" s="164" t="e">
        <f t="shared" si="177"/>
        <v>#DIV/0!</v>
      </c>
      <c r="L983" s="163"/>
    </row>
    <row r="984" spans="2:12">
      <c r="B984" s="28" t="s">
        <v>123</v>
      </c>
      <c r="C984" s="435"/>
      <c r="D984" s="47" t="s">
        <v>21</v>
      </c>
      <c r="E984" s="47"/>
      <c r="F984" s="126"/>
      <c r="G984" s="126"/>
      <c r="H984" s="126">
        <f>+SUMIFS(Equipement_Efficité!$G:$G,Equipement_Efficité!$A:$A,H$977,Equipement_Efficité!$B:$B,$B984)</f>
        <v>0</v>
      </c>
      <c r="I984" s="126">
        <f>+SUMIFS(Equipement_Efficité!$G:$G,Equipement_Efficité!$A:$A,I$977,Equipement_Efficité!$B:$B,$B984)</f>
        <v>11270</v>
      </c>
      <c r="J984" s="163"/>
      <c r="K984" s="164" t="e">
        <f t="shared" si="177"/>
        <v>#DIV/0!</v>
      </c>
      <c r="L984" s="163"/>
    </row>
    <row r="985" spans="2:12">
      <c r="B985" s="28" t="s">
        <v>139</v>
      </c>
      <c r="C985" s="435"/>
      <c r="D985" s="47" t="s">
        <v>22</v>
      </c>
      <c r="E985" s="47"/>
      <c r="F985" s="126"/>
      <c r="G985" s="126"/>
      <c r="H985" s="126">
        <f>+SUMIFS(Equipement_Efficité!$G:$G,Equipement_Efficité!$A:$A,H$977,Equipement_Efficité!$B:$B,$B985)</f>
        <v>0</v>
      </c>
      <c r="I985" s="126">
        <f>+SUMIFS(Equipement_Efficité!$G:$G,Equipement_Efficité!$A:$A,I$977,Equipement_Efficité!$B:$B,$B985)</f>
        <v>4649</v>
      </c>
      <c r="J985" s="163"/>
      <c r="K985" s="164" t="e">
        <f t="shared" si="177"/>
        <v>#DIV/0!</v>
      </c>
      <c r="L985" s="163"/>
    </row>
    <row r="986" spans="2:12">
      <c r="C986" s="435"/>
      <c r="D986" s="48" t="s">
        <v>62</v>
      </c>
      <c r="E986" s="48"/>
      <c r="F986" s="124"/>
      <c r="G986" s="124"/>
      <c r="H986" s="124">
        <f>SUM(H979:H985)</f>
        <v>0</v>
      </c>
      <c r="I986" s="124">
        <f>SUM(I979:I985)</f>
        <v>330062</v>
      </c>
      <c r="J986" s="103"/>
      <c r="K986" s="165" t="e">
        <f t="shared" si="177"/>
        <v>#DIV/0!</v>
      </c>
      <c r="L986" s="103"/>
    </row>
    <row r="987" spans="2:12">
      <c r="B987" s="28" t="s">
        <v>138</v>
      </c>
      <c r="C987" s="435"/>
      <c r="D987" s="47" t="s">
        <v>15</v>
      </c>
      <c r="E987" s="47"/>
      <c r="F987" s="126"/>
      <c r="G987" s="126"/>
      <c r="H987" s="126">
        <f>+SUMIFS(Equipement_Efficité!$G:$G,Equipement_Efficité!$A:$A,H$977,Equipement_Efficité!$B:$B,$B987)</f>
        <v>0</v>
      </c>
      <c r="I987" s="126">
        <f>+SUMIFS(Equipement_Efficité!$G:$G,Equipement_Efficité!$A:$A,I$977,Equipement_Efficité!$B:$B,$B987)</f>
        <v>160101</v>
      </c>
      <c r="J987" s="163"/>
      <c r="K987" s="164" t="e">
        <f t="shared" si="177"/>
        <v>#DIV/0!</v>
      </c>
      <c r="L987" s="163"/>
    </row>
    <row r="988" spans="2:12">
      <c r="B988" s="28" t="s">
        <v>132</v>
      </c>
      <c r="C988" s="435"/>
      <c r="D988" s="47" t="s">
        <v>16</v>
      </c>
      <c r="E988" s="47"/>
      <c r="F988" s="126"/>
      <c r="G988" s="126"/>
      <c r="H988" s="126">
        <f>+SUMIFS(Equipement_Efficité!$G:$G,Equipement_Efficité!$A:$A,H$977,Equipement_Efficité!$B:$B,$B988)</f>
        <v>0</v>
      </c>
      <c r="I988" s="126">
        <f>+SUMIFS(Equipement_Efficité!$G:$G,Equipement_Efficité!$A:$A,I$977,Equipement_Efficité!$B:$B,$B988)</f>
        <v>81747</v>
      </c>
      <c r="J988" s="163"/>
      <c r="K988" s="164" t="e">
        <f t="shared" si="177"/>
        <v>#DIV/0!</v>
      </c>
      <c r="L988" s="163"/>
    </row>
    <row r="989" spans="2:12">
      <c r="B989" s="28" t="s">
        <v>140</v>
      </c>
      <c r="C989" s="435"/>
      <c r="D989" s="47" t="s">
        <v>20</v>
      </c>
      <c r="E989" s="47"/>
      <c r="F989" s="126"/>
      <c r="G989" s="126"/>
      <c r="H989" s="126">
        <f>+SUMIFS(Equipement_Efficité!$G:$G,Equipement_Efficité!$A:$A,H$977,Equipement_Efficité!$B:$B,$B989)</f>
        <v>0</v>
      </c>
      <c r="I989" s="126">
        <f>+SUMIFS(Equipement_Efficité!$G:$G,Equipement_Efficité!$A:$A,I$977,Equipement_Efficité!$B:$B,$B989)</f>
        <v>6465</v>
      </c>
      <c r="J989" s="163"/>
      <c r="K989" s="164" t="e">
        <f t="shared" si="177"/>
        <v>#DIV/0!</v>
      </c>
      <c r="L989" s="163"/>
    </row>
    <row r="990" spans="2:12">
      <c r="B990" s="28" t="s">
        <v>135</v>
      </c>
      <c r="C990" s="435"/>
      <c r="D990" s="47" t="s">
        <v>23</v>
      </c>
      <c r="E990" s="47"/>
      <c r="F990" s="126"/>
      <c r="G990" s="126"/>
      <c r="H990" s="126">
        <f>+SUMIFS(Equipement_Efficité!$G:$G,Equipement_Efficité!$A:$A,H$977,Equipement_Efficité!$B:$B,$B990)</f>
        <v>0</v>
      </c>
      <c r="I990" s="126">
        <f>+SUMIFS(Equipement_Efficité!$G:$G,Equipement_Efficité!$A:$A,I$977,Equipement_Efficité!$B:$B,$B990)</f>
        <v>20506</v>
      </c>
      <c r="J990" s="163"/>
      <c r="K990" s="164" t="e">
        <f t="shared" si="177"/>
        <v>#DIV/0!</v>
      </c>
      <c r="L990" s="163"/>
    </row>
    <row r="991" spans="2:12" ht="14.4" thickBot="1">
      <c r="C991" s="436"/>
      <c r="D991" s="49" t="s">
        <v>63</v>
      </c>
      <c r="E991" s="49"/>
      <c r="F991" s="129"/>
      <c r="G991" s="129"/>
      <c r="H991" s="129">
        <f>SUM(H987:H990)</f>
        <v>0</v>
      </c>
      <c r="I991" s="129">
        <f>SUM(I987:I990)</f>
        <v>268819</v>
      </c>
      <c r="J991" s="166"/>
      <c r="K991" s="166" t="e">
        <f t="shared" si="177"/>
        <v>#DIV/0!</v>
      </c>
      <c r="L991" s="166"/>
    </row>
    <row r="992" spans="2:12" ht="14.4" thickTop="1"/>
    <row r="993" spans="2:12" ht="14.4" thickBot="1"/>
    <row r="994" spans="2:12" ht="28.8" thickTop="1" thickBot="1">
      <c r="E994" s="418"/>
      <c r="F994" s="418" t="s">
        <v>419</v>
      </c>
      <c r="G994" s="261">
        <v>44926</v>
      </c>
      <c r="H994" s="261">
        <v>44957</v>
      </c>
      <c r="I994" s="261">
        <v>45291</v>
      </c>
      <c r="J994" s="174" t="s">
        <v>364</v>
      </c>
      <c r="K994" s="175" t="s">
        <v>152</v>
      </c>
      <c r="L994" s="175" t="s">
        <v>365</v>
      </c>
    </row>
    <row r="995" spans="2:12" ht="14.4" thickTop="1">
      <c r="C995" s="465" t="s">
        <v>25</v>
      </c>
      <c r="D995" s="45" t="s">
        <v>64</v>
      </c>
      <c r="E995" s="45"/>
      <c r="F995" s="157"/>
      <c r="G995" s="157"/>
      <c r="H995" s="157">
        <f>+(H978/$H$547)</f>
        <v>0</v>
      </c>
      <c r="I995" s="157">
        <f>+(I978/$H$547)</f>
        <v>576.95664739884398</v>
      </c>
      <c r="J995" s="103" t="e">
        <f>+I995/H995-1</f>
        <v>#DIV/0!</v>
      </c>
      <c r="K995" s="165" t="e">
        <f t="shared" ref="K995:K1008" si="178">+I995/G995-1</f>
        <v>#DIV/0!</v>
      </c>
      <c r="L995" s="103">
        <f>+I995/I978-1</f>
        <v>-0.99903660886319845</v>
      </c>
    </row>
    <row r="996" spans="2:12">
      <c r="B996" s="28" t="s">
        <v>131</v>
      </c>
      <c r="C996" s="466" t="s">
        <v>362</v>
      </c>
      <c r="D996" s="47" t="s">
        <v>13</v>
      </c>
      <c r="E996" s="47"/>
      <c r="F996" s="126"/>
      <c r="G996" s="126"/>
      <c r="H996" s="126">
        <f>+(H979/$H$548)</f>
        <v>0</v>
      </c>
      <c r="I996" s="126">
        <f>+(I979/$H$548)</f>
        <v>1051.8645833333333</v>
      </c>
      <c r="J996" s="163" t="e">
        <f t="shared" ref="J996:J1008" si="179">+I996/H996-1</f>
        <v>#DIV/0!</v>
      </c>
      <c r="K996" s="164" t="e">
        <f t="shared" si="178"/>
        <v>#DIV/0!</v>
      </c>
      <c r="L996" s="163">
        <f t="shared" ref="L996:L1008" si="180">+I996/I979-1</f>
        <v>-0.99479166666666663</v>
      </c>
    </row>
    <row r="997" spans="2:12">
      <c r="B997" s="28" t="s">
        <v>136</v>
      </c>
      <c r="C997" s="435"/>
      <c r="D997" s="47" t="s">
        <v>14</v>
      </c>
      <c r="E997" s="47"/>
      <c r="F997" s="126"/>
      <c r="G997" s="126"/>
      <c r="H997" s="126">
        <f>+(H980/$H$549)</f>
        <v>0</v>
      </c>
      <c r="I997" s="126">
        <f>+(I980/$H$549)</f>
        <v>438.90816326530614</v>
      </c>
      <c r="J997" s="163" t="e">
        <f t="shared" si="179"/>
        <v>#DIV/0!</v>
      </c>
      <c r="K997" s="164" t="e">
        <f t="shared" si="178"/>
        <v>#DIV/0!</v>
      </c>
      <c r="L997" s="163">
        <f t="shared" si="180"/>
        <v>-0.98979591836734693</v>
      </c>
    </row>
    <row r="998" spans="2:12">
      <c r="B998" s="28" t="s">
        <v>141</v>
      </c>
      <c r="C998" s="435"/>
      <c r="D998" s="47" t="s">
        <v>17</v>
      </c>
      <c r="E998" s="47"/>
      <c r="F998" s="126"/>
      <c r="G998" s="126"/>
      <c r="H998" s="126">
        <f>+(H981/$H$550)</f>
        <v>0</v>
      </c>
      <c r="I998" s="126">
        <f>+(I981/$H$550)</f>
        <v>445.6764705882353</v>
      </c>
      <c r="J998" s="163" t="e">
        <f t="shared" si="179"/>
        <v>#DIV/0!</v>
      </c>
      <c r="K998" s="164" t="e">
        <f t="shared" si="178"/>
        <v>#DIV/0!</v>
      </c>
      <c r="L998" s="163">
        <f t="shared" si="180"/>
        <v>-0.99019607843137258</v>
      </c>
    </row>
    <row r="999" spans="2:12">
      <c r="B999" s="28" t="s">
        <v>124</v>
      </c>
      <c r="C999" s="435"/>
      <c r="D999" s="47" t="s">
        <v>18</v>
      </c>
      <c r="E999" s="47"/>
      <c r="F999" s="126"/>
      <c r="G999" s="126"/>
      <c r="H999" s="126">
        <f>+(H982/$H$551)</f>
        <v>0</v>
      </c>
      <c r="I999" s="126">
        <f>+(I982/$H$551)</f>
        <v>223.25</v>
      </c>
      <c r="J999" s="163" t="e">
        <f t="shared" si="179"/>
        <v>#DIV/0!</v>
      </c>
      <c r="K999" s="164" t="e">
        <f t="shared" si="178"/>
        <v>#DIV/0!</v>
      </c>
      <c r="L999" s="163">
        <f t="shared" si="180"/>
        <v>-0.96875</v>
      </c>
    </row>
    <row r="1000" spans="2:12">
      <c r="B1000" s="28" t="s">
        <v>137</v>
      </c>
      <c r="C1000" s="435"/>
      <c r="D1000" s="47" t="s">
        <v>19</v>
      </c>
      <c r="E1000" s="47"/>
      <c r="F1000" s="126"/>
      <c r="G1000" s="126"/>
      <c r="H1000" s="126">
        <f>+(H983/$H$552)</f>
        <v>0</v>
      </c>
      <c r="I1000" s="126">
        <f>+(I983/$H$552)</f>
        <v>318.63461538461536</v>
      </c>
      <c r="J1000" s="163" t="e">
        <f t="shared" si="179"/>
        <v>#DIV/0!</v>
      </c>
      <c r="K1000" s="164" t="e">
        <f t="shared" si="178"/>
        <v>#DIV/0!</v>
      </c>
      <c r="L1000" s="163">
        <f t="shared" si="180"/>
        <v>-0.98076923076923073</v>
      </c>
    </row>
    <row r="1001" spans="2:12">
      <c r="B1001" s="28" t="s">
        <v>123</v>
      </c>
      <c r="C1001" s="435"/>
      <c r="D1001" s="47" t="s">
        <v>21</v>
      </c>
      <c r="E1001" s="47"/>
      <c r="F1001" s="126"/>
      <c r="G1001" s="126"/>
      <c r="H1001" s="126">
        <f>+(H984/$H$553)</f>
        <v>0</v>
      </c>
      <c r="I1001" s="126">
        <f>+(I984/$H$553)</f>
        <v>563.5</v>
      </c>
      <c r="J1001" s="163" t="e">
        <f t="shared" si="179"/>
        <v>#DIV/0!</v>
      </c>
      <c r="K1001" s="164" t="e">
        <f t="shared" si="178"/>
        <v>#DIV/0!</v>
      </c>
      <c r="L1001" s="163">
        <f t="shared" si="180"/>
        <v>-0.95</v>
      </c>
    </row>
    <row r="1002" spans="2:12">
      <c r="B1002" s="28" t="s">
        <v>139</v>
      </c>
      <c r="C1002" s="435"/>
      <c r="D1002" s="47" t="s">
        <v>22</v>
      </c>
      <c r="E1002" s="47"/>
      <c r="F1002" s="126"/>
      <c r="G1002" s="126"/>
      <c r="H1002" s="126">
        <f>+(H985/$H$554)</f>
        <v>0</v>
      </c>
      <c r="I1002" s="126">
        <f>+(I985/$H$554)</f>
        <v>202.13043478260869</v>
      </c>
      <c r="J1002" s="163" t="e">
        <f t="shared" si="179"/>
        <v>#DIV/0!</v>
      </c>
      <c r="K1002" s="164" t="e">
        <f t="shared" si="178"/>
        <v>#DIV/0!</v>
      </c>
      <c r="L1002" s="163">
        <f t="shared" si="180"/>
        <v>-0.95652173913043481</v>
      </c>
    </row>
    <row r="1003" spans="2:12">
      <c r="C1003" s="435"/>
      <c r="D1003" s="48" t="s">
        <v>62</v>
      </c>
      <c r="E1003" s="48"/>
      <c r="F1003" s="124"/>
      <c r="G1003" s="124"/>
      <c r="H1003" s="124">
        <f>+(H986/$H$555)</f>
        <v>0</v>
      </c>
      <c r="I1003" s="124">
        <f>+(I986/$H$555)</f>
        <v>635.95761078998078</v>
      </c>
      <c r="J1003" s="103" t="e">
        <f t="shared" si="179"/>
        <v>#DIV/0!</v>
      </c>
      <c r="K1003" s="165" t="e">
        <f t="shared" si="178"/>
        <v>#DIV/0!</v>
      </c>
      <c r="L1003" s="103">
        <f t="shared" si="180"/>
        <v>-0.9980732177263969</v>
      </c>
    </row>
    <row r="1004" spans="2:12">
      <c r="B1004" s="28" t="s">
        <v>138</v>
      </c>
      <c r="C1004" s="435"/>
      <c r="D1004" s="47" t="s">
        <v>15</v>
      </c>
      <c r="E1004" s="47"/>
      <c r="F1004" s="126"/>
      <c r="G1004" s="126"/>
      <c r="H1004" s="126">
        <f>+(H987/$H$556)</f>
        <v>0</v>
      </c>
      <c r="I1004" s="126">
        <f>+(I987/$H$556)</f>
        <v>588.60661764705878</v>
      </c>
      <c r="J1004" s="163" t="e">
        <f t="shared" si="179"/>
        <v>#DIV/0!</v>
      </c>
      <c r="K1004" s="164" t="e">
        <f t="shared" si="178"/>
        <v>#DIV/0!</v>
      </c>
      <c r="L1004" s="163">
        <f t="shared" si="180"/>
        <v>-0.99632352941176472</v>
      </c>
    </row>
    <row r="1005" spans="2:12">
      <c r="B1005" s="28" t="s">
        <v>132</v>
      </c>
      <c r="C1005" s="435"/>
      <c r="D1005" s="47" t="s">
        <v>16</v>
      </c>
      <c r="E1005" s="47"/>
      <c r="F1005" s="126"/>
      <c r="G1005" s="126"/>
      <c r="H1005" s="126">
        <f>+(H988/$H$557)</f>
        <v>0</v>
      </c>
      <c r="I1005" s="126">
        <f>+(I988/$H$557)</f>
        <v>698.69230769230774</v>
      </c>
      <c r="J1005" s="163" t="e">
        <f t="shared" si="179"/>
        <v>#DIV/0!</v>
      </c>
      <c r="K1005" s="164" t="e">
        <f t="shared" si="178"/>
        <v>#DIV/0!</v>
      </c>
      <c r="L1005" s="163">
        <f t="shared" si="180"/>
        <v>-0.99145299145299148</v>
      </c>
    </row>
    <row r="1006" spans="2:12">
      <c r="B1006" s="28" t="s">
        <v>140</v>
      </c>
      <c r="C1006" s="435"/>
      <c r="D1006" s="47" t="s">
        <v>20</v>
      </c>
      <c r="E1006" s="47"/>
      <c r="F1006" s="126"/>
      <c r="G1006" s="126"/>
      <c r="H1006" s="126">
        <f>+(H989/$H$558)</f>
        <v>0</v>
      </c>
      <c r="I1006" s="126">
        <f>+(I989/$H$558)</f>
        <v>208.54838709677421</v>
      </c>
      <c r="J1006" s="163" t="e">
        <f t="shared" si="179"/>
        <v>#DIV/0!</v>
      </c>
      <c r="K1006" s="164" t="e">
        <f t="shared" si="178"/>
        <v>#DIV/0!</v>
      </c>
      <c r="L1006" s="163">
        <f t="shared" si="180"/>
        <v>-0.967741935483871</v>
      </c>
    </row>
    <row r="1007" spans="2:12">
      <c r="B1007" s="28" t="s">
        <v>135</v>
      </c>
      <c r="C1007" s="435"/>
      <c r="D1007" s="47" t="s">
        <v>23</v>
      </c>
      <c r="E1007" s="47"/>
      <c r="F1007" s="126"/>
      <c r="G1007" s="126"/>
      <c r="H1007" s="126">
        <f>+(H990/$H$559)</f>
        <v>0</v>
      </c>
      <c r="I1007" s="126">
        <f>+(I990/$H$559)</f>
        <v>207.13131313131314</v>
      </c>
      <c r="J1007" s="163" t="e">
        <f t="shared" si="179"/>
        <v>#DIV/0!</v>
      </c>
      <c r="K1007" s="164" t="e">
        <f t="shared" si="178"/>
        <v>#DIV/0!</v>
      </c>
      <c r="L1007" s="163">
        <f t="shared" si="180"/>
        <v>-0.98989898989898994</v>
      </c>
    </row>
    <row r="1008" spans="2:12" ht="14.4" thickBot="1">
      <c r="C1008" s="436"/>
      <c r="D1008" s="49" t="s">
        <v>63</v>
      </c>
      <c r="E1008" s="49"/>
      <c r="F1008" s="129"/>
      <c r="G1008" s="129"/>
      <c r="H1008" s="129">
        <f>+(H991/$H$560)</f>
        <v>0</v>
      </c>
      <c r="I1008" s="129">
        <f>+(I991/$H$560)</f>
        <v>517.95568400770708</v>
      </c>
      <c r="J1008" s="166" t="e">
        <f t="shared" si="179"/>
        <v>#DIV/0!</v>
      </c>
      <c r="K1008" s="166" t="e">
        <f t="shared" si="178"/>
        <v>#DIV/0!</v>
      </c>
      <c r="L1008" s="166">
        <f t="shared" si="180"/>
        <v>-0.9980732177263969</v>
      </c>
    </row>
    <row r="1009" spans="3:27" ht="14.4" thickTop="1"/>
    <row r="1010" spans="3:27" ht="14.4" thickBot="1">
      <c r="L1010" s="98"/>
      <c r="M1010" s="98"/>
      <c r="N1010" s="170"/>
      <c r="O1010" s="170"/>
      <c r="P1010" s="170"/>
      <c r="Q1010" s="170"/>
      <c r="R1010" s="170"/>
      <c r="S1010" s="170"/>
      <c r="T1010" s="170"/>
      <c r="U1010" s="98"/>
      <c r="V1010" s="98"/>
    </row>
    <row r="1011" spans="3:27" ht="28.95" customHeight="1" thickTop="1" thickBot="1">
      <c r="C1011" s="459" t="s">
        <v>59</v>
      </c>
      <c r="D1011" s="29"/>
      <c r="E1011" s="714">
        <v>44926</v>
      </c>
      <c r="F1011" s="714">
        <v>44926</v>
      </c>
      <c r="G1011" s="714">
        <v>45291</v>
      </c>
      <c r="H1011" s="104" t="s">
        <v>60</v>
      </c>
      <c r="I1011" s="50"/>
      <c r="J1011" s="69"/>
      <c r="K1011" s="50"/>
      <c r="L1011" s="122"/>
      <c r="M1011" s="120"/>
      <c r="N1011" s="170"/>
      <c r="O1011" s="170"/>
      <c r="P1011" s="170"/>
      <c r="Q1011" s="170"/>
      <c r="R1011" s="170"/>
      <c r="S1011" s="170"/>
      <c r="T1011" s="170"/>
      <c r="U1011" s="169"/>
      <c r="V1011" s="62"/>
      <c r="W1011" s="599"/>
      <c r="X1011" s="599"/>
      <c r="Y1011" s="599"/>
      <c r="Z1011" s="599"/>
      <c r="AA1011" s="265"/>
    </row>
    <row r="1012" spans="3:27" ht="15" thickTop="1">
      <c r="C1012" s="460" t="s">
        <v>457</v>
      </c>
      <c r="D1012" s="30" t="s">
        <v>64</v>
      </c>
      <c r="E1012" s="41">
        <f>+Prod_Credit!BC4</f>
        <v>0.63823897273409491</v>
      </c>
      <c r="F1012" s="710"/>
      <c r="G1012" s="41">
        <f>+Prod_Credit!BF4</f>
        <v>0.52202255969529765</v>
      </c>
      <c r="H1012" s="38">
        <f>+(G1012-E1012)*100</f>
        <v>-11.621641303879727</v>
      </c>
      <c r="I1012" s="88"/>
      <c r="J1012" s="61"/>
      <c r="K1012" s="88"/>
      <c r="L1012" s="124"/>
      <c r="M1012" s="31"/>
      <c r="N1012" s="170"/>
      <c r="O1012" s="170"/>
      <c r="P1012" s="170"/>
      <c r="Q1012" s="170"/>
      <c r="R1012" s="170"/>
      <c r="S1012" s="170"/>
      <c r="T1012" s="170"/>
      <c r="U1012" s="169"/>
      <c r="V1012" s="599"/>
      <c r="W1012" s="599"/>
      <c r="X1012" s="599"/>
      <c r="Y1012" s="599"/>
      <c r="Z1012" s="599"/>
      <c r="AA1012" s="265"/>
    </row>
    <row r="1013" spans="3:27" ht="14.4">
      <c r="C1013" s="435"/>
      <c r="D1013" s="47" t="s">
        <v>13</v>
      </c>
      <c r="E1013" s="224">
        <f>+Prod_Credit!BC5</f>
        <v>0.40589952373636501</v>
      </c>
      <c r="F1013" s="711"/>
      <c r="G1013" s="224">
        <f>+Prod_Credit!BF5</f>
        <v>0.2828616121620961</v>
      </c>
      <c r="H1013" s="40">
        <f t="shared" ref="H1013:H1023" si="181">+(G1013-E1013)*100</f>
        <v>-12.303791157426891</v>
      </c>
      <c r="I1013" s="89"/>
      <c r="J1013" s="63">
        <f t="shared" ref="J1013:J1025" si="182">+$H$1012</f>
        <v>-11.621641303879727</v>
      </c>
      <c r="K1013" s="89"/>
      <c r="L1013" s="126"/>
      <c r="M1013" s="32"/>
      <c r="N1013" s="170"/>
      <c r="O1013" s="170"/>
      <c r="P1013" s="170"/>
      <c r="Q1013" s="170"/>
      <c r="R1013" s="170"/>
      <c r="S1013" s="170"/>
      <c r="T1013" s="170"/>
      <c r="U1013" s="254"/>
      <c r="V1013" s="599"/>
      <c r="W1013" s="599"/>
      <c r="X1013" s="599"/>
      <c r="Y1013" s="599"/>
      <c r="Z1013" s="599"/>
      <c r="AA1013" s="265"/>
    </row>
    <row r="1014" spans="3:27" ht="14.4">
      <c r="C1014" s="435"/>
      <c r="D1014" s="47" t="s">
        <v>14</v>
      </c>
      <c r="E1014" s="224">
        <f>+Prod_Credit!BC6</f>
        <v>0.48372938742240895</v>
      </c>
      <c r="F1014" s="711"/>
      <c r="G1014" s="224">
        <f>+Prod_Credit!BF6</f>
        <v>0.36074165915238954</v>
      </c>
      <c r="H1014" s="40">
        <f t="shared" si="181"/>
        <v>-12.298772827001942</v>
      </c>
      <c r="I1014" s="89"/>
      <c r="J1014" s="63">
        <f t="shared" si="182"/>
        <v>-11.621641303879727</v>
      </c>
      <c r="K1014" s="89"/>
      <c r="L1014" s="126"/>
      <c r="M1014" s="32"/>
      <c r="N1014" s="170"/>
      <c r="O1014" s="170"/>
      <c r="P1014" s="170"/>
      <c r="Q1014" s="170"/>
      <c r="R1014" s="170"/>
      <c r="S1014" s="170"/>
      <c r="T1014" s="170"/>
      <c r="U1014" s="254"/>
      <c r="V1014" s="599"/>
      <c r="W1014" s="599"/>
      <c r="X1014" s="599"/>
      <c r="Y1014" s="599"/>
      <c r="Z1014" s="599"/>
      <c r="AA1014" s="265"/>
    </row>
    <row r="1015" spans="3:27" ht="14.4">
      <c r="C1015" s="435"/>
      <c r="D1015" s="47" t="s">
        <v>17</v>
      </c>
      <c r="E1015" s="224">
        <f>+Prod_Credit!BC7</f>
        <v>0.665382315817445</v>
      </c>
      <c r="F1015" s="711"/>
      <c r="G1015" s="224">
        <f>+Prod_Credit!BF7</f>
        <v>0.51237995688247207</v>
      </c>
      <c r="H1015" s="40">
        <f t="shared" si="181"/>
        <v>-15.300235893497295</v>
      </c>
      <c r="I1015" s="89"/>
      <c r="J1015" s="63">
        <f t="shared" si="182"/>
        <v>-11.621641303879727</v>
      </c>
      <c r="K1015" s="89"/>
      <c r="L1015" s="126"/>
      <c r="M1015" s="32"/>
      <c r="N1015" s="170"/>
      <c r="O1015" s="170"/>
      <c r="P1015" s="170"/>
      <c r="Q1015" s="170"/>
      <c r="R1015" s="170"/>
      <c r="S1015" s="170"/>
      <c r="T1015" s="170"/>
      <c r="U1015" s="254"/>
      <c r="V1015" s="599"/>
      <c r="W1015" s="599"/>
      <c r="X1015" s="599"/>
      <c r="Y1015" s="599"/>
      <c r="Z1015" s="599"/>
      <c r="AA1015" s="265"/>
    </row>
    <row r="1016" spans="3:27" ht="14.4">
      <c r="C1016" s="435"/>
      <c r="D1016" s="47" t="s">
        <v>18</v>
      </c>
      <c r="E1016" s="224">
        <f>+Prod_Credit!BC8</f>
        <v>0.81792705710340341</v>
      </c>
      <c r="F1016" s="711"/>
      <c r="G1016" s="224">
        <f>+Prod_Credit!BF8</f>
        <v>0.69826830337571244</v>
      </c>
      <c r="H1016" s="40">
        <f t="shared" si="181"/>
        <v>-11.965875372769098</v>
      </c>
      <c r="I1016" s="89"/>
      <c r="J1016" s="63">
        <f t="shared" si="182"/>
        <v>-11.621641303879727</v>
      </c>
      <c r="K1016" s="89"/>
      <c r="L1016" s="126"/>
      <c r="M1016" s="32"/>
      <c r="N1016" s="170"/>
      <c r="O1016" s="170"/>
      <c r="P1016" s="170"/>
      <c r="Q1016" s="170"/>
      <c r="R1016" s="170"/>
      <c r="S1016" s="170"/>
      <c r="T1016" s="170"/>
      <c r="U1016" s="254"/>
      <c r="V1016" s="599"/>
      <c r="W1016" s="599"/>
      <c r="X1016" s="599"/>
      <c r="Y1016" s="599"/>
      <c r="Z1016" s="599"/>
      <c r="AA1016" s="265"/>
    </row>
    <row r="1017" spans="3:27" ht="14.4">
      <c r="C1017" s="435"/>
      <c r="D1017" s="47" t="s">
        <v>19</v>
      </c>
      <c r="E1017" s="224">
        <f>+Prod_Credit!BC9</f>
        <v>0.61395465678578154</v>
      </c>
      <c r="F1017" s="711"/>
      <c r="G1017" s="224">
        <f>+Prod_Credit!BF9</f>
        <v>0.46521632251720746</v>
      </c>
      <c r="H1017" s="40">
        <f t="shared" si="181"/>
        <v>-14.873833426857408</v>
      </c>
      <c r="I1017" s="89"/>
      <c r="J1017" s="63">
        <f t="shared" si="182"/>
        <v>-11.621641303879727</v>
      </c>
      <c r="K1017" s="89"/>
      <c r="L1017" s="126"/>
      <c r="M1017" s="32"/>
      <c r="N1017" s="170"/>
      <c r="O1017" s="170"/>
      <c r="P1017" s="170"/>
      <c r="Q1017" s="170"/>
      <c r="R1017" s="170"/>
      <c r="S1017" s="170"/>
      <c r="T1017" s="170"/>
      <c r="U1017" s="254"/>
      <c r="V1017" s="599"/>
      <c r="W1017" s="599"/>
      <c r="X1017" s="599"/>
      <c r="Y1017" s="599"/>
      <c r="Z1017" s="599"/>
      <c r="AA1017" s="265"/>
    </row>
    <row r="1018" spans="3:27" ht="14.4">
      <c r="C1018" s="435"/>
      <c r="D1018" s="47" t="s">
        <v>21</v>
      </c>
      <c r="E1018" s="224">
        <f>+Prod_Credit!BC10</f>
        <v>0.56313834726090994</v>
      </c>
      <c r="F1018" s="711"/>
      <c r="G1018" s="224">
        <f>+Prod_Credit!BF10</f>
        <v>0.48375116063138346</v>
      </c>
      <c r="H1018" s="40">
        <f t="shared" si="181"/>
        <v>-7.9387186629526489</v>
      </c>
      <c r="I1018" s="89"/>
      <c r="J1018" s="63">
        <f t="shared" si="182"/>
        <v>-11.621641303879727</v>
      </c>
      <c r="K1018" s="89"/>
      <c r="L1018" s="126"/>
      <c r="M1018" s="32"/>
      <c r="N1018" s="170"/>
      <c r="O1018" s="170"/>
      <c r="P1018" s="170"/>
      <c r="Q1018" s="170"/>
      <c r="R1018" s="170"/>
      <c r="S1018" s="170"/>
      <c r="T1018" s="170"/>
      <c r="U1018" s="254"/>
      <c r="V1018" s="599"/>
      <c r="W1018" s="599"/>
      <c r="X1018" s="599"/>
      <c r="Y1018" s="599"/>
      <c r="Z1018" s="599"/>
      <c r="AA1018" s="265"/>
    </row>
    <row r="1019" spans="3:27" ht="14.4">
      <c r="C1019" s="435"/>
      <c r="D1019" s="47" t="s">
        <v>22</v>
      </c>
      <c r="E1019" s="224">
        <f>+Prod_Credit!BC11</f>
        <v>0.82940067847719567</v>
      </c>
      <c r="F1019" s="711"/>
      <c r="G1019" s="224">
        <f>+Prod_Credit!BF11</f>
        <v>0.79792578188300112</v>
      </c>
      <c r="H1019" s="40">
        <f t="shared" si="181"/>
        <v>-3.1474896594194557</v>
      </c>
      <c r="I1019" s="89"/>
      <c r="J1019" s="63">
        <f t="shared" si="182"/>
        <v>-11.621641303879727</v>
      </c>
      <c r="K1019" s="89"/>
      <c r="L1019" s="126"/>
      <c r="M1019" s="32"/>
      <c r="N1019" s="170"/>
      <c r="O1019" s="170"/>
      <c r="P1019" s="170"/>
      <c r="Q1019" s="170"/>
      <c r="R1019" s="170"/>
      <c r="S1019" s="170"/>
      <c r="T1019" s="170"/>
      <c r="U1019" s="254"/>
      <c r="V1019" s="599"/>
      <c r="W1019" s="599"/>
      <c r="X1019" s="599"/>
      <c r="Y1019" s="599"/>
      <c r="Z1019" s="599"/>
      <c r="AA1019" s="265"/>
    </row>
    <row r="1020" spans="3:27" ht="14.4">
      <c r="C1020" s="435"/>
      <c r="D1020" s="48" t="s">
        <v>62</v>
      </c>
      <c r="E1020" s="709">
        <f>+Prod_Credit!BC12</f>
        <v>0.61141652232848864</v>
      </c>
      <c r="F1020" s="710"/>
      <c r="G1020" s="41">
        <f>+Prod_Credit!BF12</f>
        <v>0.46352910444512169</v>
      </c>
      <c r="H1020" s="42">
        <f t="shared" si="181"/>
        <v>-14.788741788336695</v>
      </c>
      <c r="I1020" s="88"/>
      <c r="J1020" s="63">
        <f t="shared" si="182"/>
        <v>-11.621641303879727</v>
      </c>
      <c r="K1020" s="88"/>
      <c r="L1020" s="124"/>
      <c r="M1020" s="31"/>
      <c r="N1020" s="170"/>
      <c r="O1020" s="170"/>
      <c r="P1020" s="170"/>
      <c r="Q1020" s="170"/>
      <c r="R1020" s="170"/>
      <c r="S1020" s="170"/>
      <c r="T1020" s="170"/>
      <c r="U1020" s="169"/>
      <c r="V1020" s="599"/>
      <c r="W1020" s="599"/>
      <c r="X1020" s="599"/>
      <c r="Y1020" s="599"/>
      <c r="Z1020" s="252"/>
      <c r="AA1020" s="265"/>
    </row>
    <row r="1021" spans="3:27" ht="14.4">
      <c r="C1021" s="435"/>
      <c r="D1021" s="47" t="s">
        <v>15</v>
      </c>
      <c r="E1021" s="224">
        <f>+Prod_Credit!BC13</f>
        <v>0.70692446566886025</v>
      </c>
      <c r="F1021" s="711"/>
      <c r="G1021" s="224">
        <f>+Prod_Credit!BF13</f>
        <v>0.61720230179931035</v>
      </c>
      <c r="H1021" s="40">
        <f t="shared" si="181"/>
        <v>-8.9722163869549902</v>
      </c>
      <c r="I1021" s="89"/>
      <c r="J1021" s="63">
        <f t="shared" si="182"/>
        <v>-11.621641303879727</v>
      </c>
      <c r="K1021" s="89"/>
      <c r="L1021" s="126"/>
      <c r="M1021" s="32"/>
      <c r="N1021" s="170"/>
      <c r="O1021" s="170"/>
      <c r="P1021" s="170"/>
      <c r="Q1021" s="170"/>
      <c r="R1021" s="170"/>
      <c r="S1021" s="170"/>
      <c r="T1021" s="170"/>
      <c r="U1021" s="254"/>
      <c r="V1021" s="599"/>
      <c r="W1021" s="599"/>
      <c r="X1021" s="599"/>
      <c r="Y1021" s="599"/>
      <c r="Z1021" s="252"/>
      <c r="AA1021" s="265"/>
    </row>
    <row r="1022" spans="3:27" ht="14.4">
      <c r="C1022" s="435"/>
      <c r="D1022" s="47" t="s">
        <v>16</v>
      </c>
      <c r="E1022" s="224">
        <f>+Prod_Credit!BC14</f>
        <v>0.59021042248890354</v>
      </c>
      <c r="F1022" s="711"/>
      <c r="G1022" s="224">
        <f>+Prod_Credit!BF14</f>
        <v>0.51569779754341383</v>
      </c>
      <c r="H1022" s="40">
        <f t="shared" si="181"/>
        <v>-7.4512624945489714</v>
      </c>
      <c r="I1022" s="89"/>
      <c r="J1022" s="63">
        <f t="shared" si="182"/>
        <v>-11.621641303879727</v>
      </c>
      <c r="K1022" s="89"/>
      <c r="L1022" s="126"/>
      <c r="M1022" s="32"/>
      <c r="N1022" s="170"/>
      <c r="O1022" s="170"/>
      <c r="P1022" s="170"/>
      <c r="Q1022" s="170"/>
      <c r="R1022" s="170"/>
      <c r="S1022" s="170"/>
      <c r="T1022" s="170"/>
      <c r="U1022" s="254"/>
      <c r="V1022" s="599"/>
      <c r="W1022" s="599"/>
      <c r="X1022" s="599"/>
      <c r="Y1022" s="599"/>
      <c r="Z1022" s="252"/>
      <c r="AA1022" s="265"/>
    </row>
    <row r="1023" spans="3:27" ht="14.4">
      <c r="C1023" s="435"/>
      <c r="D1023" s="47" t="s">
        <v>20</v>
      </c>
      <c r="E1023" s="224">
        <f>+Prod_Credit!BC15</f>
        <v>0.50353787263658512</v>
      </c>
      <c r="F1023" s="711"/>
      <c r="G1023" s="224">
        <f>+Prod_Credit!BF15</f>
        <v>0.38502280417831397</v>
      </c>
      <c r="H1023" s="40">
        <f t="shared" si="181"/>
        <v>-11.851506845827114</v>
      </c>
      <c r="I1023" s="89"/>
      <c r="J1023" s="63">
        <f t="shared" si="182"/>
        <v>-11.621641303879727</v>
      </c>
      <c r="K1023" s="89"/>
      <c r="L1023" s="126"/>
      <c r="M1023" s="32"/>
      <c r="N1023" s="170"/>
      <c r="O1023" s="170"/>
      <c r="P1023" s="170"/>
      <c r="Q1023" s="170"/>
      <c r="R1023" s="170"/>
      <c r="S1023" s="170"/>
      <c r="T1023" s="170"/>
      <c r="U1023" s="254"/>
      <c r="V1023" s="599"/>
      <c r="W1023" s="599"/>
      <c r="X1023" s="599"/>
      <c r="Y1023" s="599"/>
      <c r="Z1023" s="252"/>
      <c r="AA1023" s="265"/>
    </row>
    <row r="1024" spans="3:27">
      <c r="C1024" s="435"/>
      <c r="D1024" s="47" t="s">
        <v>23</v>
      </c>
      <c r="E1024" s="224">
        <f>+Prod_Credit!BC16</f>
        <v>0.40363400389357562</v>
      </c>
      <c r="F1024" s="711"/>
      <c r="G1024" s="224">
        <f>+Prod_Credit!BF16</f>
        <v>0.37398373983739835</v>
      </c>
      <c r="H1024" s="40">
        <f>+(G1024-E1024)*100</f>
        <v>-2.9650264056177269</v>
      </c>
      <c r="I1024" s="89"/>
      <c r="J1024" s="63">
        <f t="shared" si="182"/>
        <v>-11.621641303879727</v>
      </c>
      <c r="K1024" s="89"/>
      <c r="L1024" s="126"/>
      <c r="M1024" s="32"/>
      <c r="N1024" s="170"/>
      <c r="O1024" s="170"/>
      <c r="P1024" s="170"/>
      <c r="Q1024" s="170"/>
      <c r="R1024" s="170"/>
      <c r="S1024" s="170"/>
      <c r="T1024" s="170"/>
      <c r="U1024" s="254"/>
      <c r="V1024" s="254"/>
      <c r="W1024" s="252"/>
      <c r="X1024" s="252"/>
      <c r="Y1024" s="252"/>
      <c r="Z1024" s="252"/>
      <c r="AA1024" s="265"/>
    </row>
    <row r="1025" spans="3:27" ht="14.4" thickBot="1">
      <c r="C1025" s="436"/>
      <c r="D1025" s="49" t="s">
        <v>63</v>
      </c>
      <c r="E1025" s="701">
        <f>+Prod_Credit!BC17</f>
        <v>0.66487465620819453</v>
      </c>
      <c r="F1025" s="712"/>
      <c r="G1025" s="701">
        <f>+Prod_Credit!BF17</f>
        <v>0.57334056515129528</v>
      </c>
      <c r="H1025" s="44">
        <f t="shared" ref="H1025" si="183">+(G1025-E1025)*100</f>
        <v>-9.1534091056899243</v>
      </c>
      <c r="I1025" s="90"/>
      <c r="J1025" s="238">
        <f t="shared" si="182"/>
        <v>-11.621641303879727</v>
      </c>
      <c r="K1025" s="90"/>
      <c r="L1025" s="129"/>
      <c r="M1025" s="33"/>
      <c r="N1025" s="170"/>
      <c r="O1025" s="170"/>
      <c r="P1025" s="170"/>
      <c r="Q1025" s="170"/>
      <c r="R1025" s="170"/>
      <c r="S1025" s="170"/>
      <c r="T1025" s="170"/>
      <c r="U1025" s="169"/>
      <c r="V1025" s="169"/>
      <c r="W1025" s="252"/>
      <c r="X1025" s="252"/>
      <c r="Y1025" s="252"/>
      <c r="Z1025" s="252"/>
      <c r="AA1025" s="265"/>
    </row>
    <row r="1026" spans="3:27" ht="14.4" thickTop="1">
      <c r="N1026" s="170"/>
      <c r="O1026" s="170"/>
      <c r="P1026" s="170"/>
      <c r="Q1026" s="170"/>
      <c r="R1026" s="170"/>
      <c r="S1026" s="170"/>
      <c r="T1026" s="170"/>
    </row>
    <row r="1027" spans="3:27" ht="14.4" thickBot="1">
      <c r="N1027" s="170"/>
      <c r="O1027" s="170"/>
      <c r="P1027" s="170"/>
      <c r="Q1027" s="170"/>
      <c r="R1027" s="170"/>
      <c r="S1027" s="170"/>
      <c r="T1027" s="170"/>
    </row>
    <row r="1028" spans="3:27" ht="15" thickTop="1" thickBot="1">
      <c r="C1028" s="459" t="s">
        <v>59</v>
      </c>
      <c r="D1028" s="29"/>
      <c r="E1028" s="772">
        <v>44926</v>
      </c>
      <c r="F1028" s="772">
        <v>44926</v>
      </c>
      <c r="G1028" s="772">
        <v>45291</v>
      </c>
      <c r="H1028" s="104" t="s">
        <v>60</v>
      </c>
      <c r="I1028" s="50"/>
      <c r="J1028" s="69"/>
      <c r="K1028" s="50"/>
      <c r="L1028" s="122"/>
      <c r="M1028" s="120"/>
    </row>
    <row r="1029" spans="3:27" ht="14.4" thickTop="1">
      <c r="C1029" s="460" t="s">
        <v>462</v>
      </c>
      <c r="D1029" s="30" t="s">
        <v>64</v>
      </c>
      <c r="E1029" s="41">
        <f>+SUM(Stock_renew!$K$3:$K$15)/(SUM(Stock_renew!$J$3:$J$15)+SUM(Stock_renew!$K$3:$K$15))</f>
        <v>0.27261257341744616</v>
      </c>
      <c r="F1029" s="710"/>
      <c r="G1029" s="41">
        <f>+SUM(Stock_renew!$M$3:$M$15)/(SUM(Stock_renew!$L$3:$L$15)+SUM(Stock_renew!$M$3:$M$15))</f>
        <v>0.30114937134850855</v>
      </c>
      <c r="H1029" s="38">
        <f>+(G1029-E1029)*100</f>
        <v>2.8536797931062399</v>
      </c>
      <c r="I1029" s="88"/>
      <c r="J1029" s="61"/>
      <c r="K1029" s="88"/>
      <c r="L1029" s="124"/>
      <c r="M1029" s="31"/>
    </row>
    <row r="1030" spans="3:27">
      <c r="C1030" s="435"/>
      <c r="D1030" s="47" t="s">
        <v>13</v>
      </c>
      <c r="E1030" s="224">
        <f>+SUMIF(Stock_renew!$H$3:$H$15,'Tableau détaillé'!$D1030,Stock_renew!$K$3:$K$15)/(SUMIF(Stock_renew!$H$3:$H$15,'Tableau détaillé'!$D1030,Stock_renew!$J$3:$J$15)+SUMIF(Stock_renew!$H$3:$H$15,'Tableau détaillé'!$D1030,Stock_renew!$K$3:$K$15))</f>
        <v>0.18088715058945651</v>
      </c>
      <c r="F1030" s="711"/>
      <c r="G1030" s="224">
        <f>+SUMIF(Stock_renew!$H$3:$H$15,'Tableau détaillé'!$D1030,Stock_renew!$M$3:$M$15)/(SUMIF(Stock_renew!$H$3:$H$15,'Tableau détaillé'!$D1030,Stock_renew!$L$3:$L$15)+SUMIF(Stock_renew!$H$3:$H$15,'Tableau détaillé'!$D1030,Stock_renew!$M$3:$M$15))</f>
        <v>0.17201090903222682</v>
      </c>
      <c r="H1030" s="40">
        <f t="shared" ref="H1030:H1040" si="184">+(G1030-E1030)*100</f>
        <v>-0.8876241557229686</v>
      </c>
      <c r="I1030" s="89"/>
      <c r="J1030" s="63">
        <f t="shared" ref="J1030:J1042" si="185">+$H$1029</f>
        <v>2.8536797931062399</v>
      </c>
      <c r="K1030" s="89"/>
      <c r="L1030" s="126"/>
      <c r="M1030" s="32"/>
    </row>
    <row r="1031" spans="3:27">
      <c r="C1031" s="435"/>
      <c r="D1031" s="47" t="s">
        <v>14</v>
      </c>
      <c r="E1031" s="224">
        <f>+SUMIF(Stock_renew!$H$3:$H$15,'Tableau détaillé'!$D1031,Stock_renew!$K$3:$K$15)/(SUMIF(Stock_renew!$H$3:$H$15,'Tableau détaillé'!$D1031,Stock_renew!$J$3:$J$15)+SUMIF(Stock_renew!$H$3:$H$15,'Tableau détaillé'!$D1031,Stock_renew!$K$3:$K$15))</f>
        <v>0.32437282169847131</v>
      </c>
      <c r="F1031" s="711"/>
      <c r="G1031" s="224">
        <f>+SUMIF(Stock_renew!$H$3:$H$15,'Tableau détaillé'!$D1031,Stock_renew!$M$3:$M$15)/(SUMIF(Stock_renew!$H$3:$H$15,'Tableau détaillé'!$D1031,Stock_renew!$L$3:$L$15)+SUMIF(Stock_renew!$H$3:$H$15,'Tableau détaillé'!$D1031,Stock_renew!$M$3:$M$15))</f>
        <v>0.34008174292542692</v>
      </c>
      <c r="H1031" s="40">
        <f t="shared" si="184"/>
        <v>1.5708921226955608</v>
      </c>
      <c r="I1031" s="89"/>
      <c r="J1031" s="63">
        <f t="shared" si="185"/>
        <v>2.8536797931062399</v>
      </c>
      <c r="K1031" s="89"/>
      <c r="L1031" s="126"/>
      <c r="M1031" s="32"/>
    </row>
    <row r="1032" spans="3:27">
      <c r="C1032" s="435"/>
      <c r="D1032" s="47" t="s">
        <v>17</v>
      </c>
      <c r="E1032" s="224">
        <f>+SUMIF(Stock_renew!$H$3:$H$15,'Tableau détaillé'!$D1032,Stock_renew!$K$3:$K$15)/(SUMIF(Stock_renew!$H$3:$H$15,'Tableau détaillé'!$D1032,Stock_renew!$J$3:$J$15)+SUMIF(Stock_renew!$H$3:$H$15,'Tableau détaillé'!$D1032,Stock_renew!$K$3:$K$15))</f>
        <v>0.11836761008316679</v>
      </c>
      <c r="F1032" s="711"/>
      <c r="G1032" s="224">
        <f>+SUMIF(Stock_renew!$H$3:$H$15,'Tableau détaillé'!$D1032,Stock_renew!$M$3:$M$15)/(SUMIF(Stock_renew!$H$3:$H$15,'Tableau détaillé'!$D1032,Stock_renew!$L$3:$L$15)+SUMIF(Stock_renew!$H$3:$H$15,'Tableau détaillé'!$D1032,Stock_renew!$M$3:$M$15))</f>
        <v>0.22185305580000358</v>
      </c>
      <c r="H1032" s="40">
        <f t="shared" si="184"/>
        <v>10.348544571683679</v>
      </c>
      <c r="I1032" s="89"/>
      <c r="J1032" s="63">
        <f t="shared" si="185"/>
        <v>2.8536797931062399</v>
      </c>
      <c r="K1032" s="89"/>
      <c r="L1032" s="126"/>
      <c r="M1032" s="32"/>
    </row>
    <row r="1033" spans="3:27">
      <c r="C1033" s="435"/>
      <c r="D1033" s="47" t="s">
        <v>18</v>
      </c>
      <c r="E1033" s="224">
        <f>+SUMIF(Stock_renew!$H$3:$H$15,'Tableau détaillé'!$D1033,Stock_renew!$K$3:$K$15)/(SUMIF(Stock_renew!$H$3:$H$15,'Tableau détaillé'!$D1033,Stock_renew!$J$3:$J$15)+SUMIF(Stock_renew!$H$3:$H$15,'Tableau détaillé'!$D1033,Stock_renew!$K$3:$K$15))</f>
        <v>0.36071854903923911</v>
      </c>
      <c r="F1033" s="711"/>
      <c r="G1033" s="224">
        <f>+SUMIF(Stock_renew!$H$3:$H$15,'Tableau détaillé'!$D1033,Stock_renew!$M$3:$M$15)/(SUMIF(Stock_renew!$H$3:$H$15,'Tableau détaillé'!$D1033,Stock_renew!$L$3:$L$15)+SUMIF(Stock_renew!$H$3:$H$15,'Tableau détaillé'!$D1033,Stock_renew!$M$3:$M$15))</f>
        <v>0.37804203539823011</v>
      </c>
      <c r="H1033" s="40">
        <f t="shared" si="184"/>
        <v>1.7323486358991003</v>
      </c>
      <c r="I1033" s="89"/>
      <c r="J1033" s="63">
        <f t="shared" si="185"/>
        <v>2.8536797931062399</v>
      </c>
      <c r="K1033" s="89"/>
      <c r="L1033" s="126"/>
      <c r="M1033" s="32"/>
    </row>
    <row r="1034" spans="3:27">
      <c r="C1034" s="435"/>
      <c r="D1034" s="47" t="s">
        <v>19</v>
      </c>
      <c r="E1034" s="224">
        <f>+SUMIF(Stock_renew!$H$3:$H$15,'Tableau détaillé'!$D1034,Stock_renew!$K$3:$K$15)/(SUMIF(Stock_renew!$H$3:$H$15,'Tableau détaillé'!$D1034,Stock_renew!$J$3:$J$15)+SUMIF(Stock_renew!$H$3:$H$15,'Tableau détaillé'!$D1034,Stock_renew!$K$3:$K$15))</f>
        <v>0.14591512665983145</v>
      </c>
      <c r="F1034" s="711"/>
      <c r="G1034" s="224">
        <f>+SUMIF(Stock_renew!$H$3:$H$15,'Tableau détaillé'!$D1034,Stock_renew!$M$3:$M$15)/(SUMIF(Stock_renew!$H$3:$H$15,'Tableau détaillé'!$D1034,Stock_renew!$L$3:$L$15)+SUMIF(Stock_renew!$H$3:$H$15,'Tableau détaillé'!$D1034,Stock_renew!$M$3:$M$15))</f>
        <v>0.17915207425756668</v>
      </c>
      <c r="H1034" s="40">
        <f t="shared" si="184"/>
        <v>3.3236947597735238</v>
      </c>
      <c r="I1034" s="89"/>
      <c r="J1034" s="63">
        <f t="shared" si="185"/>
        <v>2.8536797931062399</v>
      </c>
      <c r="K1034" s="89"/>
      <c r="L1034" s="126"/>
      <c r="M1034" s="32"/>
    </row>
    <row r="1035" spans="3:27">
      <c r="C1035" s="435"/>
      <c r="D1035" s="47" t="s">
        <v>21</v>
      </c>
      <c r="E1035" s="224">
        <f>+SUMIF(Stock_renew!$H$3:$H$15,'Tableau détaillé'!$D1035,Stock_renew!$K$3:$K$15)/(SUMIF(Stock_renew!$H$3:$H$15,'Tableau détaillé'!$D1035,Stock_renew!$J$3:$J$15)+SUMIF(Stock_renew!$H$3:$H$15,'Tableau détaillé'!$D1035,Stock_renew!$K$3:$K$15))</f>
        <v>0.31986791414419374</v>
      </c>
      <c r="F1035" s="711"/>
      <c r="G1035" s="224">
        <f>+SUMIF(Stock_renew!$H$3:$H$15,'Tableau détaillé'!$D1035,Stock_renew!$M$3:$M$15)/(SUMIF(Stock_renew!$H$3:$H$15,'Tableau détaillé'!$D1035,Stock_renew!$L$3:$L$15)+SUMIF(Stock_renew!$H$3:$H$15,'Tableau détaillé'!$D1035,Stock_renew!$M$3:$M$15))</f>
        <v>0.35606251575497855</v>
      </c>
      <c r="H1035" s="40">
        <f t="shared" si="184"/>
        <v>3.6194601610784805</v>
      </c>
      <c r="I1035" s="89"/>
      <c r="J1035" s="63">
        <f t="shared" si="185"/>
        <v>2.8536797931062399</v>
      </c>
      <c r="K1035" s="89"/>
      <c r="L1035" s="126"/>
      <c r="M1035" s="32"/>
    </row>
    <row r="1036" spans="3:27">
      <c r="C1036" s="435"/>
      <c r="D1036" s="47" t="s">
        <v>22</v>
      </c>
      <c r="E1036" s="224">
        <f>+SUMIF(Stock_renew!$H$3:$H$15,'Tableau détaillé'!$D1036,Stock_renew!$K$3:$K$15)/(SUMIF(Stock_renew!$H$3:$H$15,'Tableau détaillé'!$D1036,Stock_renew!$J$3:$J$15)+SUMIF(Stock_renew!$H$3:$H$15,'Tableau détaillé'!$D1036,Stock_renew!$K$3:$K$15))</f>
        <v>3.9185658949644174E-2</v>
      </c>
      <c r="F1036" s="711"/>
      <c r="G1036" s="224">
        <f>+SUMIF(Stock_renew!$H$3:$H$15,'Tableau détaillé'!$D1036,Stock_renew!$M$3:$M$15)/(SUMIF(Stock_renew!$H$3:$H$15,'Tableau détaillé'!$D1036,Stock_renew!$L$3:$L$15)+SUMIF(Stock_renew!$H$3:$H$15,'Tableau détaillé'!$D1036,Stock_renew!$M$3:$M$15))</f>
        <v>2.0976385865014234E-2</v>
      </c>
      <c r="H1036" s="40">
        <f t="shared" si="184"/>
        <v>-1.820927308462994</v>
      </c>
      <c r="I1036" s="89"/>
      <c r="J1036" s="63">
        <f t="shared" si="185"/>
        <v>2.8536797931062399</v>
      </c>
      <c r="K1036" s="89"/>
      <c r="L1036" s="126"/>
      <c r="M1036" s="32"/>
    </row>
    <row r="1037" spans="3:27">
      <c r="C1037" s="435"/>
      <c r="D1037" s="48" t="s">
        <v>62</v>
      </c>
      <c r="E1037" s="709">
        <f ca="1">+SUMIF(Stock_renew!$G$3:$G$15,'Tableau détaillé'!$D1037,Stock_renew!$K$3:$K$15)/(SUMIF(Stock_renew!$G$3:$G$15,'Tableau détaillé'!$D1037,Stock_renew!$J$3:$J$15)+SUMIF(Stock_renew!$G$3:$H$15,'Tableau détaillé'!$D1037,Stock_renew!$K$3:$K$15))</f>
        <v>0.19996479271712206</v>
      </c>
      <c r="F1037" s="710"/>
      <c r="G1037" s="41">
        <f>+SUMIF(Stock_renew!$G$3:$G$15,'Tableau détaillé'!$D1037,Stock_renew!$M$3:$M$15)/(SUMIF(Stock_renew!$G$3:$G$15,'Tableau détaillé'!$D1037,Stock_renew!$L$3:$L$15)+SUMIF(Stock_renew!$G$3:$G$15,'Tableau détaillé'!$D1037,Stock_renew!$M$3:$M$15))</f>
        <v>0.22970703436340037</v>
      </c>
      <c r="H1037" s="42">
        <f t="shared" ca="1" si="184"/>
        <v>2.9742241646278309</v>
      </c>
      <c r="I1037" s="88"/>
      <c r="J1037" s="63">
        <f t="shared" si="185"/>
        <v>2.8536797931062399</v>
      </c>
      <c r="K1037" s="88"/>
      <c r="L1037" s="124"/>
      <c r="M1037" s="31"/>
    </row>
    <row r="1038" spans="3:27">
      <c r="C1038" s="435"/>
      <c r="D1038" s="47" t="s">
        <v>15</v>
      </c>
      <c r="E1038" s="224">
        <f>+SUMIF(Stock_renew!$H$3:$H$15,'Tableau détaillé'!$D1038,Stock_renew!$K$3:$K$15)/(SUMIF(Stock_renew!$H$3:$H$15,'Tableau détaillé'!$D1038,Stock_renew!$J$3:$J$15)+SUMIF(Stock_renew!$H$3:$H$15,'Tableau détaillé'!$D1038,Stock_renew!$K$3:$K$15))</f>
        <v>0.41651015237093547</v>
      </c>
      <c r="F1038" s="711"/>
      <c r="G1038" s="224">
        <f>+SUMIF(Stock_renew!$H$3:$H$15,'Tableau détaillé'!$D1038,Stock_renew!$M$3:$M$15)/(SUMIF(Stock_renew!$H$3:$H$15,'Tableau détaillé'!$D1038,Stock_renew!$L$3:$L$15)+SUMIF(Stock_renew!$H$3:$H$15,'Tableau détaillé'!$D1038,Stock_renew!$M$3:$M$15))</f>
        <v>0.43632709926359647</v>
      </c>
      <c r="H1038" s="40">
        <f t="shared" si="184"/>
        <v>1.9816946892661003</v>
      </c>
      <c r="I1038" s="89"/>
      <c r="J1038" s="63">
        <f t="shared" si="185"/>
        <v>2.8536797931062399</v>
      </c>
      <c r="K1038" s="89"/>
      <c r="L1038" s="126"/>
      <c r="M1038" s="32"/>
    </row>
    <row r="1039" spans="3:27">
      <c r="C1039" s="435"/>
      <c r="D1039" s="47" t="s">
        <v>16</v>
      </c>
      <c r="E1039" s="224">
        <f>+SUMIF(Stock_renew!$H$3:$H$15,'Tableau détaillé'!$D1039,Stock_renew!$K$3:$K$15)/(SUMIF(Stock_renew!$H$3:$H$15,'Tableau détaillé'!$D1039,Stock_renew!$J$3:$J$15)+SUMIF(Stock_renew!$H$3:$H$15,'Tableau détaillé'!$D1039,Stock_renew!$K$3:$K$15))</f>
        <v>0.47502770661870242</v>
      </c>
      <c r="F1039" s="711"/>
      <c r="G1039" s="224">
        <f>+SUMIF(Stock_renew!$H$3:$H$15,'Tableau détaillé'!$D1039,Stock_renew!$M$3:$M$15)/(SUMIF(Stock_renew!$H$3:$H$15,'Tableau détaillé'!$D1039,Stock_renew!$L$3:$L$15)+SUMIF(Stock_renew!$H$3:$H$15,'Tableau détaillé'!$D1039,Stock_renew!$M$3:$M$15))</f>
        <v>0.40244799100384931</v>
      </c>
      <c r="H1039" s="40">
        <f t="shared" si="184"/>
        <v>-7.2579715614853102</v>
      </c>
      <c r="I1039" s="89"/>
      <c r="J1039" s="63">
        <f t="shared" si="185"/>
        <v>2.8536797931062399</v>
      </c>
      <c r="K1039" s="89"/>
      <c r="L1039" s="126"/>
      <c r="M1039" s="32"/>
    </row>
    <row r="1040" spans="3:27">
      <c r="C1040" s="435"/>
      <c r="D1040" s="47" t="s">
        <v>20</v>
      </c>
      <c r="E1040" s="224">
        <f>+SUMIF(Stock_renew!$H$3:$H$15,'Tableau détaillé'!$D1040,Stock_renew!$K$3:$K$15)/(SUMIF(Stock_renew!$H$3:$H$15,'Tableau détaillé'!$D1040,Stock_renew!$J$3:$J$15)+SUMIF(Stock_renew!$H$3:$H$15,'Tableau détaillé'!$D1040,Stock_renew!$K$3:$K$15))</f>
        <v>0.11209873747381532</v>
      </c>
      <c r="F1040" s="711"/>
      <c r="G1040" s="224">
        <f>+SUMIF(Stock_renew!$H$3:$H$15,'Tableau détaillé'!$D1040,Stock_renew!$M$3:$M$15)/(SUMIF(Stock_renew!$H$3:$H$15,'Tableau détaillé'!$D1040,Stock_renew!$L$3:$L$15)+SUMIF(Stock_renew!$H$3:$H$15,'Tableau détaillé'!$D1040,Stock_renew!$M$3:$M$15))</f>
        <v>0.14829646971844002</v>
      </c>
      <c r="H1040" s="40">
        <f t="shared" si="184"/>
        <v>3.6197732244624694</v>
      </c>
      <c r="I1040" s="89"/>
      <c r="J1040" s="63">
        <f t="shared" si="185"/>
        <v>2.8536797931062399</v>
      </c>
      <c r="K1040" s="89"/>
      <c r="L1040" s="126"/>
      <c r="M1040" s="32"/>
    </row>
    <row r="1041" spans="3:27">
      <c r="C1041" s="435"/>
      <c r="D1041" s="47" t="s">
        <v>23</v>
      </c>
      <c r="E1041" s="224">
        <f>+SUMIF(Stock_renew!$H$3:$H$15,'Tableau détaillé'!$D1041,Stock_renew!$K$3:$K$15)/(SUMIF(Stock_renew!$H$3:$H$15,'Tableau détaillé'!$D1041,Stock_renew!$J$3:$J$15)+SUMIF(Stock_renew!$H$3:$H$15,'Tableau détaillé'!$D1041,Stock_renew!$K$3:$K$15))</f>
        <v>0.14528351188920827</v>
      </c>
      <c r="F1041" s="711"/>
      <c r="G1041" s="224">
        <f>+SUMIF(Stock_renew!$H$3:$H$15,'Tableau détaillé'!$D1041,Stock_renew!$M$3:$M$15)/(SUMIF(Stock_renew!$H$3:$H$15,'Tableau détaillé'!$D1041,Stock_renew!$L$3:$L$15)+SUMIF(Stock_renew!$H$3:$H$15,'Tableau détaillé'!$D1041,Stock_renew!$M$3:$M$15))</f>
        <v>0.17616322468275691</v>
      </c>
      <c r="H1041" s="40">
        <f>+(G1041-E1041)*100</f>
        <v>3.0879712793548646</v>
      </c>
      <c r="I1041" s="89"/>
      <c r="J1041" s="63">
        <f t="shared" si="185"/>
        <v>2.8536797931062399</v>
      </c>
      <c r="K1041" s="89"/>
      <c r="L1041" s="126"/>
      <c r="M1041" s="32"/>
    </row>
    <row r="1042" spans="3:27" ht="14.4" thickBot="1">
      <c r="C1042" s="436"/>
      <c r="D1042" s="49" t="s">
        <v>63</v>
      </c>
      <c r="E1042" s="701">
        <f ca="1">+SUMIF(Stock_renew!$G$3:$G$15,'Tableau détaillé'!$D1042,Stock_renew!$K$3:$K$15)/(SUMIF(Stock_renew!$G$3:$G$15,'Tableau détaillé'!$D1042,Stock_renew!$J$3:$J$15)+SUMIF(Stock_renew!$G$3:$H$15,'Tableau détaillé'!$D1042,Stock_renew!$K$3:$K$15))</f>
        <v>0.40218434626597893</v>
      </c>
      <c r="F1042" s="712"/>
      <c r="G1042" s="701">
        <f>+SUMIF(Stock_renew!$G$3:$G$15,'Tableau détaillé'!$D1042,Stock_renew!$M$3:$M$15)/(SUMIF(Stock_renew!$G$3:$G$15,'Tableau détaillé'!$D1042,Stock_renew!$L$3:$L$15)+SUMIF(Stock_renew!$G$3:$G$15,'Tableau détaillé'!$D1042,Stock_renew!$M$3:$M$15))</f>
        <v>0.40343562782736275</v>
      </c>
      <c r="H1042" s="44">
        <f t="shared" ref="H1042" ca="1" si="186">+(G1042-E1042)*100</f>
        <v>0.12512815613838213</v>
      </c>
      <c r="I1042" s="90"/>
      <c r="J1042" s="238">
        <f t="shared" si="185"/>
        <v>2.8536797931062399</v>
      </c>
      <c r="K1042" s="90"/>
      <c r="L1042" s="129"/>
      <c r="M1042" s="33"/>
    </row>
    <row r="1043" spans="3:27" ht="15" thickTop="1" thickBot="1"/>
    <row r="1044" spans="3:27" ht="28.95" customHeight="1" thickTop="1" thickBot="1">
      <c r="C1044" s="459" t="s">
        <v>59</v>
      </c>
      <c r="D1044" s="29"/>
      <c r="E1044" s="772">
        <v>44926</v>
      </c>
      <c r="F1044" s="772">
        <v>44926</v>
      </c>
      <c r="G1044" s="772">
        <v>45291</v>
      </c>
      <c r="H1044" s="104" t="s">
        <v>60</v>
      </c>
      <c r="I1044" s="50"/>
      <c r="J1044" s="69"/>
      <c r="K1044" s="50"/>
      <c r="L1044" s="122"/>
      <c r="M1044" s="120"/>
      <c r="N1044" s="170"/>
      <c r="O1044" s="170"/>
      <c r="P1044" s="170"/>
      <c r="Q1044" s="170"/>
      <c r="R1044" s="170"/>
      <c r="S1044" s="170"/>
      <c r="T1044" s="170"/>
      <c r="U1044" s="169"/>
      <c r="V1044" s="62"/>
      <c r="W1044" s="716"/>
      <c r="X1044" s="716"/>
      <c r="Y1044" s="716"/>
      <c r="Z1044" s="716"/>
      <c r="AA1044" s="265"/>
    </row>
    <row r="1045" spans="3:27" ht="15" thickTop="1">
      <c r="C1045" s="460" t="s">
        <v>468</v>
      </c>
      <c r="D1045" s="30" t="s">
        <v>64</v>
      </c>
      <c r="E1045" s="41" t="str">
        <f>+Prod_credit_Montant!P6</f>
        <v>Part</v>
      </c>
      <c r="F1045" s="710"/>
      <c r="G1045" s="41" t="str">
        <f>+Prod_credit_Montant!S6</f>
        <v>Part</v>
      </c>
      <c r="H1045" s="38" t="e">
        <f>+(G1045-E1045)*100</f>
        <v>#VALUE!</v>
      </c>
      <c r="I1045" s="88"/>
      <c r="J1045" s="61"/>
      <c r="K1045" s="88"/>
      <c r="L1045" s="124"/>
      <c r="M1045" s="31"/>
      <c r="N1045" s="170"/>
      <c r="O1045" s="170"/>
      <c r="P1045" s="170"/>
      <c r="Q1045" s="170"/>
      <c r="R1045" s="170"/>
      <c r="S1045" s="170"/>
      <c r="T1045" s="170"/>
      <c r="U1045" s="169"/>
      <c r="V1045" s="716"/>
      <c r="W1045" s="716"/>
      <c r="X1045" s="716"/>
      <c r="Y1045" s="716"/>
      <c r="Z1045" s="716"/>
      <c r="AA1045" s="265"/>
    </row>
    <row r="1046" spans="3:27" ht="14.4">
      <c r="C1046" s="435"/>
      <c r="D1046" s="47" t="s">
        <v>13</v>
      </c>
      <c r="E1046" s="224">
        <f>+Prod_credit_Montant!P7</f>
        <v>0.82988346308696226</v>
      </c>
      <c r="F1046" s="711"/>
      <c r="G1046" s="224">
        <f>+Prod_credit_Montant!S7</f>
        <v>0.5435351996351111</v>
      </c>
      <c r="H1046" s="40">
        <f t="shared" ref="H1046:H1056" si="187">+(G1046-E1046)*100</f>
        <v>-28.634826345185115</v>
      </c>
      <c r="I1046" s="89"/>
      <c r="J1046" s="63" t="e">
        <f t="shared" ref="J1046:J1058" si="188">+$H$1045</f>
        <v>#VALUE!</v>
      </c>
      <c r="K1046" s="89"/>
      <c r="L1046" s="126"/>
      <c r="M1046" s="32"/>
      <c r="N1046" s="170"/>
      <c r="O1046" s="170"/>
      <c r="P1046" s="170"/>
      <c r="Q1046" s="170"/>
      <c r="R1046" s="170"/>
      <c r="S1046" s="170"/>
      <c r="T1046" s="170"/>
      <c r="U1046" s="254"/>
      <c r="V1046" s="716"/>
      <c r="W1046" s="716"/>
      <c r="X1046" s="716"/>
      <c r="Y1046" s="716"/>
      <c r="Z1046" s="716"/>
      <c r="AA1046" s="265"/>
    </row>
    <row r="1047" spans="3:27" ht="14.4">
      <c r="C1047" s="435"/>
      <c r="D1047" s="47" t="s">
        <v>14</v>
      </c>
      <c r="E1047" s="224">
        <f>+Prod_credit_Montant!P8</f>
        <v>0.43455763680312776</v>
      </c>
      <c r="F1047" s="711"/>
      <c r="G1047" s="224">
        <f>+Prod_credit_Montant!S8</f>
        <v>0.42511759586416276</v>
      </c>
      <c r="H1047" s="40">
        <f t="shared" si="187"/>
        <v>-0.94400409389649997</v>
      </c>
      <c r="I1047" s="89"/>
      <c r="J1047" s="63" t="e">
        <f t="shared" si="188"/>
        <v>#VALUE!</v>
      </c>
      <c r="K1047" s="89"/>
      <c r="L1047" s="126"/>
      <c r="M1047" s="32"/>
      <c r="N1047" s="170"/>
      <c r="O1047" s="170"/>
      <c r="P1047" s="170"/>
      <c r="Q1047" s="170"/>
      <c r="R1047" s="170"/>
      <c r="S1047" s="170"/>
      <c r="T1047" s="170"/>
      <c r="U1047" s="254"/>
      <c r="V1047" s="716"/>
      <c r="W1047" s="716"/>
      <c r="X1047" s="716"/>
      <c r="Y1047" s="716"/>
      <c r="Z1047" s="716"/>
      <c r="AA1047" s="265"/>
    </row>
    <row r="1048" spans="3:27" ht="14.4">
      <c r="C1048" s="435"/>
      <c r="D1048" s="47" t="s">
        <v>17</v>
      </c>
      <c r="E1048" s="224">
        <f>+Prod_credit_Montant!P9</f>
        <v>0.5858093756837397</v>
      </c>
      <c r="F1048" s="711"/>
      <c r="G1048" s="224">
        <f>+Prod_credit_Montant!S9</f>
        <v>0.52529307688218352</v>
      </c>
      <c r="H1048" s="40">
        <f t="shared" si="187"/>
        <v>-6.0516298801556179</v>
      </c>
      <c r="I1048" s="89"/>
      <c r="J1048" s="63" t="e">
        <f t="shared" si="188"/>
        <v>#VALUE!</v>
      </c>
      <c r="K1048" s="89"/>
      <c r="L1048" s="126"/>
      <c r="M1048" s="32"/>
      <c r="N1048" s="170"/>
      <c r="O1048" s="170"/>
      <c r="P1048" s="170"/>
      <c r="Q1048" s="170"/>
      <c r="R1048" s="170"/>
      <c r="S1048" s="170"/>
      <c r="T1048" s="170"/>
      <c r="U1048" s="254"/>
      <c r="V1048" s="716"/>
      <c r="W1048" s="716"/>
      <c r="X1048" s="716"/>
      <c r="Y1048" s="716"/>
      <c r="Z1048" s="716"/>
      <c r="AA1048" s="265"/>
    </row>
    <row r="1049" spans="3:27" ht="14.4">
      <c r="C1049" s="435"/>
      <c r="D1049" s="47" t="s">
        <v>18</v>
      </c>
      <c r="E1049" s="224">
        <f>+Prod_credit_Montant!P10</f>
        <v>0.66435969363272007</v>
      </c>
      <c r="F1049" s="711"/>
      <c r="G1049" s="224">
        <f>+Prod_credit_Montant!S10</f>
        <v>0.59398945192299557</v>
      </c>
      <c r="H1049" s="40">
        <f t="shared" si="187"/>
        <v>-7.0370241709724501</v>
      </c>
      <c r="I1049" s="89"/>
      <c r="J1049" s="63" t="e">
        <f t="shared" si="188"/>
        <v>#VALUE!</v>
      </c>
      <c r="K1049" s="89"/>
      <c r="L1049" s="126"/>
      <c r="M1049" s="32"/>
      <c r="N1049" s="170"/>
      <c r="O1049" s="170"/>
      <c r="P1049" s="170"/>
      <c r="Q1049" s="170"/>
      <c r="R1049" s="170"/>
      <c r="S1049" s="170"/>
      <c r="T1049" s="170"/>
      <c r="U1049" s="254"/>
      <c r="V1049" s="716"/>
      <c r="W1049" s="716"/>
      <c r="X1049" s="716"/>
      <c r="Y1049" s="716"/>
      <c r="Z1049" s="716"/>
      <c r="AA1049" s="265"/>
    </row>
    <row r="1050" spans="3:27" ht="14.4">
      <c r="C1050" s="435"/>
      <c r="D1050" s="47" t="s">
        <v>19</v>
      </c>
      <c r="E1050" s="224">
        <f>+Prod_credit_Montant!P11</f>
        <v>0.74710507858836128</v>
      </c>
      <c r="F1050" s="711"/>
      <c r="G1050" s="224">
        <f>+Prod_credit_Montant!S11</f>
        <v>0.71198943860789099</v>
      </c>
      <c r="H1050" s="40">
        <f t="shared" si="187"/>
        <v>-3.5115639980470292</v>
      </c>
      <c r="I1050" s="89"/>
      <c r="J1050" s="63" t="e">
        <f t="shared" si="188"/>
        <v>#VALUE!</v>
      </c>
      <c r="K1050" s="89"/>
      <c r="L1050" s="126"/>
      <c r="M1050" s="32"/>
      <c r="N1050" s="170"/>
      <c r="O1050" s="170"/>
      <c r="P1050" s="170"/>
      <c r="Q1050" s="170"/>
      <c r="R1050" s="170"/>
      <c r="S1050" s="170"/>
      <c r="T1050" s="170"/>
      <c r="U1050" s="254"/>
      <c r="V1050" s="716"/>
      <c r="W1050" s="716"/>
      <c r="X1050" s="716"/>
      <c r="Y1050" s="716"/>
      <c r="Z1050" s="716"/>
      <c r="AA1050" s="265"/>
    </row>
    <row r="1051" spans="3:27" ht="14.4">
      <c r="C1051" s="435"/>
      <c r="D1051" s="47" t="s">
        <v>21</v>
      </c>
      <c r="E1051" s="224">
        <f>+Prod_credit_Montant!P12</f>
        <v>0.64862572849911393</v>
      </c>
      <c r="F1051" s="711"/>
      <c r="G1051" s="224">
        <f>+Prod_credit_Montant!S12</f>
        <v>0.62206172107752589</v>
      </c>
      <c r="H1051" s="40">
        <f t="shared" si="187"/>
        <v>-2.6564007421588043</v>
      </c>
      <c r="I1051" s="89"/>
      <c r="J1051" s="63" t="e">
        <f t="shared" si="188"/>
        <v>#VALUE!</v>
      </c>
      <c r="K1051" s="89"/>
      <c r="L1051" s="126"/>
      <c r="M1051" s="32"/>
      <c r="N1051" s="170"/>
      <c r="O1051" s="170"/>
      <c r="P1051" s="170"/>
      <c r="Q1051" s="170"/>
      <c r="R1051" s="170"/>
      <c r="S1051" s="170"/>
      <c r="T1051" s="170"/>
      <c r="U1051" s="254"/>
      <c r="V1051" s="716"/>
      <c r="W1051" s="716"/>
      <c r="X1051" s="716"/>
      <c r="Y1051" s="716"/>
      <c r="Z1051" s="716"/>
      <c r="AA1051" s="265"/>
    </row>
    <row r="1052" spans="3:27" ht="14.4">
      <c r="C1052" s="435"/>
      <c r="D1052" s="47" t="s">
        <v>22</v>
      </c>
      <c r="E1052" s="224">
        <f>+Prod_credit_Montant!P13</f>
        <v>0.63434669719905079</v>
      </c>
      <c r="F1052" s="711"/>
      <c r="G1052" s="224">
        <f>+Prod_credit_Montant!S13</f>
        <v>0.74856806805258547</v>
      </c>
      <c r="H1052" s="40">
        <f t="shared" si="187"/>
        <v>11.422137085353468</v>
      </c>
      <c r="I1052" s="89"/>
      <c r="J1052" s="63" t="e">
        <f t="shared" si="188"/>
        <v>#VALUE!</v>
      </c>
      <c r="K1052" s="89"/>
      <c r="L1052" s="126"/>
      <c r="M1052" s="32"/>
      <c r="N1052" s="170"/>
      <c r="O1052" s="170"/>
      <c r="P1052" s="170"/>
      <c r="Q1052" s="170"/>
      <c r="R1052" s="170"/>
      <c r="S1052" s="170"/>
      <c r="T1052" s="170"/>
      <c r="U1052" s="254"/>
      <c r="V1052" s="716"/>
      <c r="W1052" s="716"/>
      <c r="X1052" s="716"/>
      <c r="Y1052" s="716"/>
      <c r="Z1052" s="716"/>
      <c r="AA1052" s="265"/>
    </row>
    <row r="1053" spans="3:27" ht="14.4">
      <c r="C1053" s="435"/>
      <c r="D1053" s="48" t="s">
        <v>62</v>
      </c>
      <c r="E1053" s="709">
        <f>+Prod_credit_Montant!P14</f>
        <v>0.74817810414364083</v>
      </c>
      <c r="F1053" s="710"/>
      <c r="G1053" s="41">
        <f>+Prod_credit_Montant!S14</f>
        <v>0.73729073045913374</v>
      </c>
      <c r="H1053" s="42">
        <f t="shared" si="187"/>
        <v>-1.0887373684507096</v>
      </c>
      <c r="I1053" s="88"/>
      <c r="J1053" s="63" t="e">
        <f t="shared" si="188"/>
        <v>#VALUE!</v>
      </c>
      <c r="K1053" s="88"/>
      <c r="L1053" s="124"/>
      <c r="M1053" s="31"/>
      <c r="N1053" s="170"/>
      <c r="O1053" s="170"/>
      <c r="P1053" s="170"/>
      <c r="Q1053" s="170"/>
      <c r="R1053" s="170"/>
      <c r="S1053" s="170"/>
      <c r="T1053" s="170"/>
      <c r="U1053" s="169"/>
      <c r="V1053" s="716"/>
      <c r="W1053" s="716"/>
      <c r="X1053" s="716"/>
      <c r="Y1053" s="716"/>
      <c r="Z1053" s="252"/>
      <c r="AA1053" s="265"/>
    </row>
    <row r="1054" spans="3:27" ht="14.4">
      <c r="C1054" s="435"/>
      <c r="D1054" s="47" t="s">
        <v>15</v>
      </c>
      <c r="E1054" s="224">
        <f>+Prod_credit_Montant!P15</f>
        <v>0.58257665252814927</v>
      </c>
      <c r="F1054" s="711"/>
      <c r="G1054" s="224">
        <f>+Prod_credit_Montant!S15</f>
        <v>0.5435351996351111</v>
      </c>
      <c r="H1054" s="40">
        <f t="shared" si="187"/>
        <v>-3.9041452893038175</v>
      </c>
      <c r="I1054" s="89"/>
      <c r="J1054" s="63" t="e">
        <f t="shared" si="188"/>
        <v>#VALUE!</v>
      </c>
      <c r="K1054" s="89"/>
      <c r="L1054" s="126"/>
      <c r="M1054" s="32"/>
      <c r="N1054" s="170"/>
      <c r="O1054" s="170"/>
      <c r="P1054" s="170"/>
      <c r="Q1054" s="170"/>
      <c r="R1054" s="170"/>
      <c r="S1054" s="170"/>
      <c r="T1054" s="170"/>
      <c r="U1054" s="254"/>
      <c r="V1054" s="716"/>
      <c r="W1054" s="716"/>
      <c r="X1054" s="716"/>
      <c r="Y1054" s="716"/>
      <c r="Z1054" s="252"/>
      <c r="AA1054" s="265"/>
    </row>
    <row r="1055" spans="3:27" ht="14.4">
      <c r="C1055" s="435"/>
      <c r="D1055" s="47" t="s">
        <v>16</v>
      </c>
      <c r="E1055" s="224">
        <f>+Prod_credit_Montant!P17</f>
        <v>0.65504171561596936</v>
      </c>
      <c r="F1055" s="711"/>
      <c r="G1055" s="224">
        <f>+Prod_credit_Montant!S17</f>
        <v>0.65681393383877817</v>
      </c>
      <c r="H1055" s="40">
        <f t="shared" si="187"/>
        <v>0.1772218222808819</v>
      </c>
      <c r="I1055" s="89"/>
      <c r="J1055" s="63" t="e">
        <f t="shared" si="188"/>
        <v>#VALUE!</v>
      </c>
      <c r="K1055" s="89"/>
      <c r="L1055" s="126"/>
      <c r="M1055" s="32"/>
      <c r="N1055" s="170"/>
      <c r="O1055" s="170"/>
      <c r="P1055" s="170"/>
      <c r="Q1055" s="170"/>
      <c r="R1055" s="170"/>
      <c r="S1055" s="170"/>
      <c r="T1055" s="170"/>
      <c r="U1055" s="254"/>
      <c r="V1055" s="716"/>
      <c r="W1055" s="716"/>
      <c r="X1055" s="716"/>
      <c r="Y1055" s="716"/>
      <c r="Z1055" s="252"/>
      <c r="AA1055" s="265"/>
    </row>
    <row r="1056" spans="3:27" ht="14.4">
      <c r="C1056" s="435"/>
      <c r="D1056" s="47" t="s">
        <v>20</v>
      </c>
      <c r="E1056" s="224">
        <f>+Prod_credit_Montant!P18</f>
        <v>0.46626745022688521</v>
      </c>
      <c r="F1056" s="711"/>
      <c r="G1056" s="224">
        <f>+Prod_credit_Montant!S18</f>
        <v>0.53573942676638242</v>
      </c>
      <c r="H1056" s="40">
        <f t="shared" si="187"/>
        <v>6.947197653949722</v>
      </c>
      <c r="I1056" s="89"/>
      <c r="J1056" s="63" t="e">
        <f t="shared" si="188"/>
        <v>#VALUE!</v>
      </c>
      <c r="K1056" s="89"/>
      <c r="L1056" s="126"/>
      <c r="M1056" s="32"/>
      <c r="N1056" s="170"/>
      <c r="O1056" s="170"/>
      <c r="P1056" s="170"/>
      <c r="Q1056" s="170"/>
      <c r="R1056" s="170"/>
      <c r="S1056" s="170"/>
      <c r="T1056" s="170"/>
      <c r="U1056" s="254"/>
      <c r="V1056" s="716"/>
      <c r="W1056" s="716"/>
      <c r="X1056" s="716"/>
      <c r="Y1056" s="716"/>
      <c r="Z1056" s="252"/>
      <c r="AA1056" s="265"/>
    </row>
    <row r="1057" spans="3:27">
      <c r="C1057" s="435"/>
      <c r="D1057" s="47" t="s">
        <v>23</v>
      </c>
      <c r="E1057" s="224">
        <f>+Prod_credit_Montant!P19</f>
        <v>0.44503073289978523</v>
      </c>
      <c r="F1057" s="711"/>
      <c r="G1057" s="224">
        <f>+Prod_credit_Montant!S19</f>
        <v>0.53114226832176137</v>
      </c>
      <c r="H1057" s="40">
        <f>+(G1057-E1057)*100</f>
        <v>8.6111535421976129</v>
      </c>
      <c r="I1057" s="89"/>
      <c r="J1057" s="63" t="e">
        <f t="shared" si="188"/>
        <v>#VALUE!</v>
      </c>
      <c r="K1057" s="89"/>
      <c r="L1057" s="126"/>
      <c r="M1057" s="32"/>
      <c r="N1057" s="170"/>
      <c r="O1057" s="170"/>
      <c r="P1057" s="170"/>
      <c r="Q1057" s="170"/>
      <c r="R1057" s="170"/>
      <c r="S1057" s="170"/>
      <c r="T1057" s="170"/>
      <c r="U1057" s="254"/>
      <c r="V1057" s="254"/>
      <c r="W1057" s="252"/>
      <c r="X1057" s="252"/>
      <c r="Y1057" s="252"/>
      <c r="Z1057" s="252"/>
      <c r="AA1057" s="265"/>
    </row>
    <row r="1058" spans="3:27" ht="14.4" thickBot="1">
      <c r="C1058" s="436"/>
      <c r="D1058" s="49" t="s">
        <v>63</v>
      </c>
      <c r="E1058" s="701">
        <f>+Prod_credit_Montant!P20</f>
        <v>0.61341394317172404</v>
      </c>
      <c r="F1058" s="712"/>
      <c r="G1058" s="701">
        <f>+Prod_credit_Montant!S20</f>
        <v>0.59541602385367765</v>
      </c>
      <c r="H1058" s="44">
        <f t="shared" ref="H1058" si="189">+(G1058-E1058)*100</f>
        <v>-1.7997919318046396</v>
      </c>
      <c r="I1058" s="90"/>
      <c r="J1058" s="238" t="e">
        <f t="shared" si="188"/>
        <v>#VALUE!</v>
      </c>
      <c r="K1058" s="90"/>
      <c r="L1058" s="129"/>
      <c r="M1058" s="33"/>
      <c r="N1058" s="170"/>
      <c r="O1058" s="170"/>
      <c r="P1058" s="170"/>
      <c r="Q1058" s="170"/>
      <c r="R1058" s="170"/>
      <c r="S1058" s="170"/>
      <c r="T1058" s="170"/>
      <c r="U1058" s="169"/>
      <c r="V1058" s="169"/>
      <c r="W1058" s="252"/>
      <c r="X1058" s="252"/>
      <c r="Y1058" s="252"/>
      <c r="Z1058" s="252"/>
      <c r="AA1058" s="265"/>
    </row>
    <row r="1059" spans="3:27" ht="14.4" thickTop="1">
      <c r="N1059" s="170"/>
      <c r="O1059" s="170"/>
      <c r="P1059" s="170"/>
      <c r="Q1059" s="170"/>
      <c r="R1059" s="170"/>
      <c r="S1059" s="170"/>
      <c r="T1059" s="170"/>
    </row>
    <row r="1060" spans="3:27">
      <c r="N1060" s="170"/>
      <c r="O1060" s="170"/>
      <c r="P1060" s="170"/>
      <c r="Q1060" s="170"/>
      <c r="R1060" s="170"/>
      <c r="S1060" s="170"/>
      <c r="T1060" s="170"/>
    </row>
  </sheetData>
  <mergeCells count="6">
    <mergeCell ref="C975:L975"/>
    <mergeCell ref="B629:I629"/>
    <mergeCell ref="B698:I698"/>
    <mergeCell ref="B768:I768"/>
    <mergeCell ref="B837:I837"/>
    <mergeCell ref="B906:I906"/>
  </mergeCells>
  <phoneticPr fontId="94" type="noConversion"/>
  <pageMargins left="0.7" right="0.7" top="0.75" bottom="0.75" header="0.3" footer="0.3"/>
  <pageSetup paperSize="9" orientation="portrait" r:id="rId1"/>
  <headerFooter>
    <oddFooter>&amp;R&amp;1#&amp;"Calibri"&amp;10&amp;K000000C2 - Confidential</oddFooter>
  </headerFooter>
  <ignoredErrors>
    <ignoredError sqref="F438:H438 G163" formulaRange="1"/>
    <ignoredError sqref="H28 H13:H18 H60 H41 H73 H155 E357:G361 F362 H986:I986" formula="1"/>
    <ignoredError sqref="E237:F250" evalError="1"/>
  </ignoredError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110B-77E7-40DD-B63A-F8B32BFE6BF3}">
  <dimension ref="A2:J27"/>
  <sheetViews>
    <sheetView workbookViewId="0">
      <selection activeCell="G7" sqref="G7"/>
    </sheetView>
  </sheetViews>
  <sheetFormatPr baseColWidth="10" defaultRowHeight="14.4"/>
  <cols>
    <col min="1" max="1" width="25.5546875" bestFit="1" customWidth="1"/>
    <col min="2" max="2" width="22.33203125" bestFit="1" customWidth="1"/>
    <col min="3" max="4" width="11.88671875" bestFit="1" customWidth="1"/>
    <col min="7" max="7" width="21.33203125" customWidth="1"/>
    <col min="9" max="9" width="12.44140625" customWidth="1"/>
    <col min="10" max="10" width="11.5546875" customWidth="1"/>
  </cols>
  <sheetData>
    <row r="2" spans="1:9">
      <c r="A2" s="207" t="s">
        <v>507</v>
      </c>
      <c r="B2" s="207" t="s">
        <v>471</v>
      </c>
      <c r="C2" s="887"/>
      <c r="D2" s="887"/>
    </row>
    <row r="3" spans="1:9">
      <c r="A3" s="207" t="s">
        <v>472</v>
      </c>
      <c r="B3" s="887">
        <v>2022</v>
      </c>
      <c r="C3" s="887">
        <v>2023</v>
      </c>
      <c r="D3" s="887" t="s">
        <v>473</v>
      </c>
      <c r="H3" s="882">
        <v>2022</v>
      </c>
      <c r="I3" s="882">
        <v>2023</v>
      </c>
    </row>
    <row r="4" spans="1:9">
      <c r="A4" s="208" t="s">
        <v>439</v>
      </c>
      <c r="B4" s="244">
        <v>938</v>
      </c>
      <c r="C4" s="244">
        <v>1123</v>
      </c>
      <c r="D4" s="244">
        <v>2061</v>
      </c>
      <c r="G4" t="s">
        <v>508</v>
      </c>
      <c r="H4" s="433">
        <v>938</v>
      </c>
      <c r="I4" s="433">
        <v>1123</v>
      </c>
    </row>
    <row r="5" spans="1:9">
      <c r="A5" s="208" t="s">
        <v>440</v>
      </c>
      <c r="B5" s="244">
        <v>582</v>
      </c>
      <c r="C5" s="244">
        <v>673</v>
      </c>
      <c r="D5" s="244">
        <v>1255</v>
      </c>
      <c r="G5" t="s">
        <v>417</v>
      </c>
      <c r="H5" s="433">
        <v>582</v>
      </c>
      <c r="I5" s="433">
        <v>673</v>
      </c>
    </row>
    <row r="6" spans="1:9">
      <c r="A6" s="208" t="s">
        <v>473</v>
      </c>
      <c r="B6" s="244">
        <v>1520</v>
      </c>
      <c r="C6" s="244">
        <v>1796</v>
      </c>
      <c r="D6" s="244">
        <v>3316</v>
      </c>
      <c r="G6" t="s">
        <v>538</v>
      </c>
      <c r="H6" s="433">
        <f>SUM(H4:H5)</f>
        <v>1520</v>
      </c>
      <c r="I6" s="433">
        <f>SUM(I4:I5)</f>
        <v>1796</v>
      </c>
    </row>
    <row r="16" spans="1:9">
      <c r="H16">
        <v>2022</v>
      </c>
      <c r="I16">
        <v>2023</v>
      </c>
    </row>
    <row r="17" spans="7:10">
      <c r="G17" s="208" t="s">
        <v>13</v>
      </c>
      <c r="H17" s="244">
        <v>444</v>
      </c>
      <c r="I17" s="244">
        <v>549</v>
      </c>
      <c r="J17" s="244"/>
    </row>
    <row r="18" spans="7:10">
      <c r="G18" s="208" t="s">
        <v>17</v>
      </c>
      <c r="H18" s="244">
        <v>177</v>
      </c>
      <c r="I18" s="244">
        <v>205</v>
      </c>
      <c r="J18" s="244"/>
    </row>
    <row r="19" spans="7:10">
      <c r="G19" s="208" t="s">
        <v>14</v>
      </c>
      <c r="H19" s="244">
        <v>87</v>
      </c>
      <c r="I19" s="244">
        <v>118</v>
      </c>
      <c r="J19" s="244"/>
    </row>
    <row r="20" spans="7:10">
      <c r="G20" s="208" t="s">
        <v>18</v>
      </c>
      <c r="H20" s="244">
        <v>77</v>
      </c>
      <c r="I20" s="244">
        <v>60</v>
      </c>
      <c r="J20" s="244"/>
    </row>
    <row r="21" spans="7:10">
      <c r="G21" s="208" t="s">
        <v>22</v>
      </c>
      <c r="H21" s="244">
        <v>65</v>
      </c>
      <c r="I21" s="244">
        <v>38</v>
      </c>
      <c r="J21" s="244"/>
    </row>
    <row r="22" spans="7:10">
      <c r="G22" s="208" t="s">
        <v>19</v>
      </c>
      <c r="H22" s="244">
        <v>54</v>
      </c>
      <c r="I22" s="244">
        <v>119</v>
      </c>
      <c r="J22" s="244"/>
    </row>
    <row r="23" spans="7:10">
      <c r="G23" s="208" t="s">
        <v>21</v>
      </c>
      <c r="H23" s="244">
        <v>34</v>
      </c>
      <c r="I23" s="244">
        <v>34</v>
      </c>
      <c r="J23" s="244"/>
    </row>
    <row r="24" spans="7:10">
      <c r="G24" s="887" t="s">
        <v>16</v>
      </c>
      <c r="H24" s="887">
        <v>334</v>
      </c>
      <c r="I24" s="887">
        <v>285</v>
      </c>
    </row>
    <row r="25" spans="7:10">
      <c r="G25" s="887" t="s">
        <v>23</v>
      </c>
      <c r="H25" s="887">
        <v>131</v>
      </c>
      <c r="I25" s="887">
        <v>185</v>
      </c>
    </row>
    <row r="26" spans="7:10">
      <c r="G26" s="887" t="s">
        <v>15</v>
      </c>
      <c r="H26" s="887">
        <v>76</v>
      </c>
      <c r="I26" s="887">
        <v>137</v>
      </c>
    </row>
    <row r="27" spans="7:10">
      <c r="G27" s="887" t="s">
        <v>20</v>
      </c>
      <c r="H27" s="887">
        <v>41</v>
      </c>
      <c r="I27" s="887">
        <v>66</v>
      </c>
    </row>
  </sheetData>
  <pageMargins left="0.7" right="0.7" top="0.75" bottom="0.75" header="0.3" footer="0.3"/>
  <pageSetup paperSize="9" orientation="portrait" verticalDpi="0" r:id="rId2"/>
  <headerFooter>
    <oddFooter>&amp;R&amp;1#&amp;"Calibri"&amp;10&amp;K000000C2 - Confidential</oddFooter>
  </headerFooter>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626DC-AB7F-4542-9DD7-83809AB29134}">
  <dimension ref="A1:G169"/>
  <sheetViews>
    <sheetView workbookViewId="0">
      <selection activeCell="H41" sqref="H41"/>
    </sheetView>
  </sheetViews>
  <sheetFormatPr baseColWidth="10" defaultRowHeight="14.4"/>
  <cols>
    <col min="6" max="6" width="23.6640625" customWidth="1"/>
  </cols>
  <sheetData>
    <row r="1" spans="1:7">
      <c r="A1" t="s">
        <v>465</v>
      </c>
      <c r="B1" t="s">
        <v>500</v>
      </c>
      <c r="C1" t="s">
        <v>501</v>
      </c>
      <c r="D1" t="s">
        <v>502</v>
      </c>
      <c r="E1" t="s">
        <v>503</v>
      </c>
      <c r="F1" t="s">
        <v>437</v>
      </c>
      <c r="G1" t="s">
        <v>438</v>
      </c>
    </row>
    <row r="2" spans="1:7">
      <c r="A2" t="s">
        <v>123</v>
      </c>
      <c r="B2">
        <v>2022</v>
      </c>
      <c r="C2" t="s">
        <v>504</v>
      </c>
      <c r="D2" t="s">
        <v>505</v>
      </c>
      <c r="E2">
        <v>6</v>
      </c>
      <c r="F2" t="s">
        <v>439</v>
      </c>
      <c r="G2" t="s">
        <v>21</v>
      </c>
    </row>
    <row r="3" spans="1:7">
      <c r="A3" t="s">
        <v>123</v>
      </c>
      <c r="B3">
        <v>2022</v>
      </c>
      <c r="C3" t="s">
        <v>504</v>
      </c>
      <c r="D3" t="s">
        <v>506</v>
      </c>
      <c r="E3">
        <v>1</v>
      </c>
      <c r="F3" t="s">
        <v>439</v>
      </c>
      <c r="G3" t="s">
        <v>21</v>
      </c>
    </row>
    <row r="4" spans="1:7">
      <c r="A4" t="s">
        <v>124</v>
      </c>
      <c r="B4">
        <v>2022</v>
      </c>
      <c r="C4" t="s">
        <v>504</v>
      </c>
      <c r="D4" t="s">
        <v>505</v>
      </c>
      <c r="E4">
        <v>15</v>
      </c>
      <c r="F4" t="s">
        <v>439</v>
      </c>
      <c r="G4" t="s">
        <v>18</v>
      </c>
    </row>
    <row r="5" spans="1:7">
      <c r="A5" t="s">
        <v>124</v>
      </c>
      <c r="B5">
        <v>2022</v>
      </c>
      <c r="C5" t="s">
        <v>504</v>
      </c>
      <c r="D5" t="s">
        <v>506</v>
      </c>
      <c r="E5">
        <v>5</v>
      </c>
      <c r="F5" t="s">
        <v>439</v>
      </c>
      <c r="G5" t="s">
        <v>18</v>
      </c>
    </row>
    <row r="6" spans="1:7">
      <c r="A6" t="s">
        <v>131</v>
      </c>
      <c r="B6">
        <v>2022</v>
      </c>
      <c r="C6" t="s">
        <v>504</v>
      </c>
      <c r="D6" t="s">
        <v>505</v>
      </c>
      <c r="E6">
        <v>95</v>
      </c>
      <c r="F6" t="s">
        <v>439</v>
      </c>
      <c r="G6" t="s">
        <v>13</v>
      </c>
    </row>
    <row r="7" spans="1:7">
      <c r="A7" t="s">
        <v>131</v>
      </c>
      <c r="B7">
        <v>2022</v>
      </c>
      <c r="C7" t="s">
        <v>504</v>
      </c>
      <c r="D7" t="s">
        <v>506</v>
      </c>
      <c r="E7">
        <v>15</v>
      </c>
      <c r="F7" t="s">
        <v>439</v>
      </c>
      <c r="G7" t="s">
        <v>13</v>
      </c>
    </row>
    <row r="8" spans="1:7">
      <c r="A8" t="s">
        <v>136</v>
      </c>
      <c r="B8">
        <v>2022</v>
      </c>
      <c r="C8" t="s">
        <v>504</v>
      </c>
      <c r="D8" t="s">
        <v>505</v>
      </c>
      <c r="E8">
        <v>9</v>
      </c>
      <c r="F8" t="s">
        <v>439</v>
      </c>
      <c r="G8" t="s">
        <v>14</v>
      </c>
    </row>
    <row r="9" spans="1:7">
      <c r="A9" t="s">
        <v>136</v>
      </c>
      <c r="B9">
        <v>2022</v>
      </c>
      <c r="C9" t="s">
        <v>504</v>
      </c>
      <c r="D9" t="s">
        <v>506</v>
      </c>
      <c r="E9">
        <v>4</v>
      </c>
      <c r="F9" t="s">
        <v>439</v>
      </c>
      <c r="G9" t="s">
        <v>14</v>
      </c>
    </row>
    <row r="10" spans="1:7">
      <c r="A10" t="s">
        <v>137</v>
      </c>
      <c r="B10">
        <v>2022</v>
      </c>
      <c r="C10" t="s">
        <v>504</v>
      </c>
      <c r="D10" t="s">
        <v>505</v>
      </c>
      <c r="E10">
        <v>5</v>
      </c>
      <c r="F10" t="s">
        <v>439</v>
      </c>
      <c r="G10" t="s">
        <v>19</v>
      </c>
    </row>
    <row r="11" spans="1:7">
      <c r="A11" t="s">
        <v>139</v>
      </c>
      <c r="B11">
        <v>2022</v>
      </c>
      <c r="C11" t="s">
        <v>504</v>
      </c>
      <c r="D11" t="s">
        <v>505</v>
      </c>
      <c r="E11">
        <v>11</v>
      </c>
      <c r="F11" t="s">
        <v>439</v>
      </c>
      <c r="G11" t="s">
        <v>22</v>
      </c>
    </row>
    <row r="12" spans="1:7">
      <c r="A12" t="s">
        <v>141</v>
      </c>
      <c r="B12">
        <v>2022</v>
      </c>
      <c r="C12" t="s">
        <v>504</v>
      </c>
      <c r="D12" t="s">
        <v>505</v>
      </c>
      <c r="E12">
        <v>36</v>
      </c>
      <c r="F12" t="s">
        <v>439</v>
      </c>
      <c r="G12" t="s">
        <v>17</v>
      </c>
    </row>
    <row r="13" spans="1:7">
      <c r="A13" t="s">
        <v>141</v>
      </c>
      <c r="B13">
        <v>2022</v>
      </c>
      <c r="C13" t="s">
        <v>504</v>
      </c>
      <c r="D13" t="s">
        <v>506</v>
      </c>
      <c r="E13">
        <v>2</v>
      </c>
      <c r="F13" t="s">
        <v>439</v>
      </c>
      <c r="G13" t="s">
        <v>17</v>
      </c>
    </row>
    <row r="14" spans="1:7">
      <c r="A14" t="s">
        <v>132</v>
      </c>
      <c r="B14">
        <v>2022</v>
      </c>
      <c r="C14" t="s">
        <v>504</v>
      </c>
      <c r="D14" t="s">
        <v>505</v>
      </c>
      <c r="E14">
        <v>13</v>
      </c>
      <c r="F14" t="s">
        <v>440</v>
      </c>
      <c r="G14" t="s">
        <v>16</v>
      </c>
    </row>
    <row r="15" spans="1:7">
      <c r="A15" t="s">
        <v>135</v>
      </c>
      <c r="B15">
        <v>2022</v>
      </c>
      <c r="C15" t="s">
        <v>504</v>
      </c>
      <c r="D15" t="s">
        <v>505</v>
      </c>
      <c r="E15">
        <v>80</v>
      </c>
      <c r="F15" t="s">
        <v>440</v>
      </c>
      <c r="G15" t="s">
        <v>23</v>
      </c>
    </row>
    <row r="16" spans="1:7">
      <c r="A16" t="s">
        <v>135</v>
      </c>
      <c r="B16">
        <v>2022</v>
      </c>
      <c r="C16" t="s">
        <v>504</v>
      </c>
      <c r="D16" t="s">
        <v>506</v>
      </c>
      <c r="E16">
        <v>10</v>
      </c>
      <c r="F16" t="s">
        <v>440</v>
      </c>
      <c r="G16" t="s">
        <v>23</v>
      </c>
    </row>
    <row r="17" spans="1:7">
      <c r="A17" t="s">
        <v>138</v>
      </c>
      <c r="B17">
        <v>2022</v>
      </c>
      <c r="C17" t="s">
        <v>504</v>
      </c>
      <c r="D17" t="s">
        <v>505</v>
      </c>
      <c r="E17">
        <v>15</v>
      </c>
      <c r="F17" t="s">
        <v>440</v>
      </c>
      <c r="G17" t="s">
        <v>15</v>
      </c>
    </row>
    <row r="18" spans="1:7">
      <c r="A18" t="s">
        <v>138</v>
      </c>
      <c r="B18">
        <v>2022</v>
      </c>
      <c r="C18" t="s">
        <v>504</v>
      </c>
      <c r="D18" t="s">
        <v>506</v>
      </c>
      <c r="E18">
        <v>3</v>
      </c>
      <c r="F18" t="s">
        <v>440</v>
      </c>
      <c r="G18" t="s">
        <v>15</v>
      </c>
    </row>
    <row r="19" spans="1:7">
      <c r="A19" t="s">
        <v>140</v>
      </c>
      <c r="B19">
        <v>2022</v>
      </c>
      <c r="C19" t="s">
        <v>504</v>
      </c>
      <c r="D19" t="s">
        <v>505</v>
      </c>
      <c r="E19">
        <v>6</v>
      </c>
      <c r="F19" t="s">
        <v>440</v>
      </c>
      <c r="G19" t="s">
        <v>20</v>
      </c>
    </row>
    <row r="20" spans="1:7">
      <c r="A20" t="s">
        <v>123</v>
      </c>
      <c r="B20">
        <v>2022</v>
      </c>
      <c r="C20" t="s">
        <v>504</v>
      </c>
      <c r="D20" t="s">
        <v>505</v>
      </c>
      <c r="E20">
        <v>7</v>
      </c>
      <c r="F20" t="s">
        <v>439</v>
      </c>
      <c r="G20" t="s">
        <v>21</v>
      </c>
    </row>
    <row r="21" spans="1:7">
      <c r="A21" t="s">
        <v>124</v>
      </c>
      <c r="B21">
        <v>2022</v>
      </c>
      <c r="C21" t="s">
        <v>504</v>
      </c>
      <c r="D21" t="s">
        <v>505</v>
      </c>
      <c r="E21">
        <v>19</v>
      </c>
      <c r="F21" t="s">
        <v>439</v>
      </c>
      <c r="G21" t="s">
        <v>18</v>
      </c>
    </row>
    <row r="22" spans="1:7">
      <c r="A22" t="s">
        <v>124</v>
      </c>
      <c r="B22">
        <v>2022</v>
      </c>
      <c r="C22" t="s">
        <v>504</v>
      </c>
      <c r="D22" t="s">
        <v>506</v>
      </c>
      <c r="E22">
        <v>6</v>
      </c>
      <c r="F22" t="s">
        <v>439</v>
      </c>
      <c r="G22" t="s">
        <v>18</v>
      </c>
    </row>
    <row r="23" spans="1:7">
      <c r="A23" t="s">
        <v>131</v>
      </c>
      <c r="B23">
        <v>2022</v>
      </c>
      <c r="C23" t="s">
        <v>504</v>
      </c>
      <c r="D23" t="s">
        <v>505</v>
      </c>
      <c r="E23">
        <v>122</v>
      </c>
      <c r="F23" t="s">
        <v>439</v>
      </c>
      <c r="G23" t="s">
        <v>13</v>
      </c>
    </row>
    <row r="24" spans="1:7">
      <c r="A24" t="s">
        <v>131</v>
      </c>
      <c r="B24">
        <v>2022</v>
      </c>
      <c r="C24" t="s">
        <v>504</v>
      </c>
      <c r="D24" t="s">
        <v>506</v>
      </c>
      <c r="E24">
        <v>15</v>
      </c>
      <c r="F24" t="s">
        <v>439</v>
      </c>
      <c r="G24" t="s">
        <v>13</v>
      </c>
    </row>
    <row r="25" spans="1:7">
      <c r="A25" t="s">
        <v>136</v>
      </c>
      <c r="B25">
        <v>2022</v>
      </c>
      <c r="C25" t="s">
        <v>504</v>
      </c>
      <c r="D25" t="s">
        <v>505</v>
      </c>
      <c r="E25">
        <v>14</v>
      </c>
      <c r="F25" t="s">
        <v>439</v>
      </c>
      <c r="G25" t="s">
        <v>14</v>
      </c>
    </row>
    <row r="26" spans="1:7">
      <c r="A26" t="s">
        <v>136</v>
      </c>
      <c r="B26">
        <v>2022</v>
      </c>
      <c r="C26" t="s">
        <v>504</v>
      </c>
      <c r="D26" t="s">
        <v>506</v>
      </c>
      <c r="E26">
        <v>2</v>
      </c>
      <c r="F26" t="s">
        <v>439</v>
      </c>
      <c r="G26" t="s">
        <v>14</v>
      </c>
    </row>
    <row r="27" spans="1:7">
      <c r="A27" t="s">
        <v>137</v>
      </c>
      <c r="B27">
        <v>2022</v>
      </c>
      <c r="C27" t="s">
        <v>504</v>
      </c>
      <c r="D27" t="s">
        <v>505</v>
      </c>
      <c r="E27">
        <v>7</v>
      </c>
      <c r="F27" t="s">
        <v>439</v>
      </c>
      <c r="G27" t="s">
        <v>19</v>
      </c>
    </row>
    <row r="28" spans="1:7">
      <c r="A28" t="s">
        <v>137</v>
      </c>
      <c r="B28">
        <v>2022</v>
      </c>
      <c r="C28" t="s">
        <v>504</v>
      </c>
      <c r="D28" t="s">
        <v>506</v>
      </c>
      <c r="E28">
        <v>1</v>
      </c>
      <c r="F28" t="s">
        <v>439</v>
      </c>
      <c r="G28" t="s">
        <v>19</v>
      </c>
    </row>
    <row r="29" spans="1:7">
      <c r="A29" t="s">
        <v>139</v>
      </c>
      <c r="B29">
        <v>2022</v>
      </c>
      <c r="C29" t="s">
        <v>504</v>
      </c>
      <c r="D29" t="s">
        <v>505</v>
      </c>
      <c r="E29">
        <v>20</v>
      </c>
      <c r="F29" t="s">
        <v>439</v>
      </c>
      <c r="G29" t="s">
        <v>22</v>
      </c>
    </row>
    <row r="30" spans="1:7">
      <c r="A30" t="s">
        <v>139</v>
      </c>
      <c r="B30">
        <v>2022</v>
      </c>
      <c r="C30" t="s">
        <v>504</v>
      </c>
      <c r="D30" t="s">
        <v>506</v>
      </c>
      <c r="E30">
        <v>6</v>
      </c>
      <c r="F30" t="s">
        <v>439</v>
      </c>
      <c r="G30" t="s">
        <v>22</v>
      </c>
    </row>
    <row r="31" spans="1:7">
      <c r="A31" t="s">
        <v>141</v>
      </c>
      <c r="B31">
        <v>2022</v>
      </c>
      <c r="C31" t="s">
        <v>504</v>
      </c>
      <c r="D31" t="s">
        <v>505</v>
      </c>
      <c r="E31">
        <v>40</v>
      </c>
      <c r="F31" t="s">
        <v>439</v>
      </c>
      <c r="G31" t="s">
        <v>17</v>
      </c>
    </row>
    <row r="32" spans="1:7">
      <c r="A32" t="s">
        <v>141</v>
      </c>
      <c r="B32">
        <v>2022</v>
      </c>
      <c r="C32" t="s">
        <v>504</v>
      </c>
      <c r="D32" t="s">
        <v>506</v>
      </c>
      <c r="E32">
        <v>9</v>
      </c>
      <c r="F32" t="s">
        <v>439</v>
      </c>
      <c r="G32" t="s">
        <v>17</v>
      </c>
    </row>
    <row r="33" spans="1:7">
      <c r="A33" t="s">
        <v>132</v>
      </c>
      <c r="B33">
        <v>2022</v>
      </c>
      <c r="C33" t="s">
        <v>504</v>
      </c>
      <c r="D33" t="s">
        <v>505</v>
      </c>
      <c r="E33">
        <v>29</v>
      </c>
      <c r="F33" t="s">
        <v>440</v>
      </c>
      <c r="G33" t="s">
        <v>16</v>
      </c>
    </row>
    <row r="34" spans="1:7">
      <c r="A34" t="s">
        <v>132</v>
      </c>
      <c r="B34">
        <v>2022</v>
      </c>
      <c r="C34" t="s">
        <v>504</v>
      </c>
      <c r="D34" t="s">
        <v>506</v>
      </c>
      <c r="E34">
        <v>1</v>
      </c>
      <c r="F34" t="s">
        <v>440</v>
      </c>
      <c r="G34" t="s">
        <v>16</v>
      </c>
    </row>
    <row r="35" spans="1:7">
      <c r="A35" t="s">
        <v>135</v>
      </c>
      <c r="B35">
        <v>2022</v>
      </c>
      <c r="C35" t="s">
        <v>504</v>
      </c>
      <c r="D35" t="s">
        <v>505</v>
      </c>
      <c r="E35">
        <v>88</v>
      </c>
      <c r="F35" t="s">
        <v>440</v>
      </c>
      <c r="G35" t="s">
        <v>23</v>
      </c>
    </row>
    <row r="36" spans="1:7">
      <c r="A36" t="s">
        <v>135</v>
      </c>
      <c r="B36">
        <v>2022</v>
      </c>
      <c r="C36" t="s">
        <v>504</v>
      </c>
      <c r="D36" t="s">
        <v>506</v>
      </c>
      <c r="E36">
        <v>15</v>
      </c>
      <c r="F36" t="s">
        <v>440</v>
      </c>
      <c r="G36" t="s">
        <v>23</v>
      </c>
    </row>
    <row r="37" spans="1:7">
      <c r="A37" t="s">
        <v>138</v>
      </c>
      <c r="B37">
        <v>2022</v>
      </c>
      <c r="C37" t="s">
        <v>504</v>
      </c>
      <c r="D37" t="s">
        <v>505</v>
      </c>
      <c r="E37">
        <v>27</v>
      </c>
      <c r="F37" t="s">
        <v>440</v>
      </c>
      <c r="G37" t="s">
        <v>15</v>
      </c>
    </row>
    <row r="38" spans="1:7">
      <c r="A38" t="s">
        <v>138</v>
      </c>
      <c r="B38">
        <v>2022</v>
      </c>
      <c r="C38" t="s">
        <v>504</v>
      </c>
      <c r="D38" t="s">
        <v>506</v>
      </c>
      <c r="E38">
        <v>5</v>
      </c>
      <c r="F38" t="s">
        <v>440</v>
      </c>
      <c r="G38" t="s">
        <v>15</v>
      </c>
    </row>
    <row r="39" spans="1:7">
      <c r="A39" t="s">
        <v>140</v>
      </c>
      <c r="B39">
        <v>2022</v>
      </c>
      <c r="C39" t="s">
        <v>504</v>
      </c>
      <c r="D39" t="s">
        <v>505</v>
      </c>
      <c r="E39">
        <v>10</v>
      </c>
      <c r="F39" t="s">
        <v>440</v>
      </c>
      <c r="G39" t="s">
        <v>20</v>
      </c>
    </row>
    <row r="40" spans="1:7">
      <c r="A40" t="s">
        <v>140</v>
      </c>
      <c r="B40">
        <v>2022</v>
      </c>
      <c r="C40" t="s">
        <v>504</v>
      </c>
      <c r="D40" t="s">
        <v>506</v>
      </c>
      <c r="E40">
        <v>3</v>
      </c>
      <c r="F40" t="s">
        <v>440</v>
      </c>
      <c r="G40" t="s">
        <v>20</v>
      </c>
    </row>
    <row r="41" spans="1:7">
      <c r="A41" t="s">
        <v>123</v>
      </c>
      <c r="B41">
        <v>2022</v>
      </c>
      <c r="C41" t="s">
        <v>504</v>
      </c>
      <c r="D41" t="s">
        <v>505</v>
      </c>
      <c r="E41">
        <v>7</v>
      </c>
      <c r="F41" t="s">
        <v>439</v>
      </c>
      <c r="G41" t="s">
        <v>21</v>
      </c>
    </row>
    <row r="42" spans="1:7">
      <c r="A42" t="s">
        <v>123</v>
      </c>
      <c r="B42">
        <v>2022</v>
      </c>
      <c r="C42" t="s">
        <v>504</v>
      </c>
      <c r="D42" t="s">
        <v>506</v>
      </c>
      <c r="E42">
        <v>2</v>
      </c>
      <c r="F42" t="s">
        <v>439</v>
      </c>
      <c r="G42" t="s">
        <v>21</v>
      </c>
    </row>
    <row r="43" spans="1:7">
      <c r="A43" t="s">
        <v>124</v>
      </c>
      <c r="B43">
        <v>2022</v>
      </c>
      <c r="C43" t="s">
        <v>504</v>
      </c>
      <c r="D43" t="s">
        <v>505</v>
      </c>
      <c r="E43">
        <v>16</v>
      </c>
      <c r="F43" t="s">
        <v>439</v>
      </c>
      <c r="G43" t="s">
        <v>18</v>
      </c>
    </row>
    <row r="44" spans="1:7">
      <c r="A44" t="s">
        <v>124</v>
      </c>
      <c r="B44">
        <v>2022</v>
      </c>
      <c r="C44" t="s">
        <v>504</v>
      </c>
      <c r="D44" t="s">
        <v>506</v>
      </c>
      <c r="E44">
        <v>1</v>
      </c>
      <c r="F44" t="s">
        <v>439</v>
      </c>
      <c r="G44" t="s">
        <v>18</v>
      </c>
    </row>
    <row r="45" spans="1:7">
      <c r="A45" t="s">
        <v>131</v>
      </c>
      <c r="B45">
        <v>2022</v>
      </c>
      <c r="C45" t="s">
        <v>504</v>
      </c>
      <c r="D45" t="s">
        <v>505</v>
      </c>
      <c r="E45">
        <v>100</v>
      </c>
      <c r="F45" t="s">
        <v>439</v>
      </c>
      <c r="G45" t="s">
        <v>13</v>
      </c>
    </row>
    <row r="46" spans="1:7">
      <c r="A46" t="s">
        <v>131</v>
      </c>
      <c r="B46">
        <v>2022</v>
      </c>
      <c r="C46" t="s">
        <v>504</v>
      </c>
      <c r="D46" t="s">
        <v>506</v>
      </c>
      <c r="E46">
        <v>14</v>
      </c>
      <c r="F46" t="s">
        <v>439</v>
      </c>
      <c r="G46" t="s">
        <v>13</v>
      </c>
    </row>
    <row r="47" spans="1:7">
      <c r="A47" t="s">
        <v>136</v>
      </c>
      <c r="B47">
        <v>2022</v>
      </c>
      <c r="C47" t="s">
        <v>504</v>
      </c>
      <c r="D47" t="s">
        <v>505</v>
      </c>
      <c r="E47">
        <v>19</v>
      </c>
      <c r="F47" t="s">
        <v>439</v>
      </c>
      <c r="G47" t="s">
        <v>14</v>
      </c>
    </row>
    <row r="48" spans="1:7">
      <c r="A48" t="s">
        <v>136</v>
      </c>
      <c r="B48">
        <v>2022</v>
      </c>
      <c r="C48" t="s">
        <v>504</v>
      </c>
      <c r="D48" t="s">
        <v>506</v>
      </c>
      <c r="E48">
        <v>6</v>
      </c>
      <c r="F48" t="s">
        <v>439</v>
      </c>
      <c r="G48" t="s">
        <v>14</v>
      </c>
    </row>
    <row r="49" spans="1:7">
      <c r="A49" t="s">
        <v>137</v>
      </c>
      <c r="B49">
        <v>2022</v>
      </c>
      <c r="C49" t="s">
        <v>504</v>
      </c>
      <c r="D49" t="s">
        <v>505</v>
      </c>
      <c r="E49">
        <v>24</v>
      </c>
      <c r="F49" t="s">
        <v>439</v>
      </c>
      <c r="G49" t="s">
        <v>19</v>
      </c>
    </row>
    <row r="50" spans="1:7">
      <c r="A50" t="s">
        <v>137</v>
      </c>
      <c r="B50">
        <v>2022</v>
      </c>
      <c r="C50" t="s">
        <v>504</v>
      </c>
      <c r="D50" t="s">
        <v>506</v>
      </c>
      <c r="E50">
        <v>6</v>
      </c>
      <c r="F50" t="s">
        <v>439</v>
      </c>
      <c r="G50" t="s">
        <v>19</v>
      </c>
    </row>
    <row r="51" spans="1:7">
      <c r="A51" t="s">
        <v>139</v>
      </c>
      <c r="B51">
        <v>2022</v>
      </c>
      <c r="C51" t="s">
        <v>504</v>
      </c>
      <c r="D51" t="s">
        <v>505</v>
      </c>
      <c r="E51">
        <v>18</v>
      </c>
      <c r="F51" t="s">
        <v>439</v>
      </c>
      <c r="G51" t="s">
        <v>22</v>
      </c>
    </row>
    <row r="52" spans="1:7">
      <c r="A52" t="s">
        <v>141</v>
      </c>
      <c r="B52">
        <v>2022</v>
      </c>
      <c r="C52" t="s">
        <v>504</v>
      </c>
      <c r="D52" t="s">
        <v>505</v>
      </c>
      <c r="E52">
        <v>43</v>
      </c>
      <c r="F52" t="s">
        <v>439</v>
      </c>
      <c r="G52" t="s">
        <v>17</v>
      </c>
    </row>
    <row r="53" spans="1:7">
      <c r="A53" t="s">
        <v>141</v>
      </c>
      <c r="B53">
        <v>2022</v>
      </c>
      <c r="C53" t="s">
        <v>504</v>
      </c>
      <c r="D53" t="s">
        <v>506</v>
      </c>
      <c r="E53">
        <v>6</v>
      </c>
      <c r="F53" t="s">
        <v>439</v>
      </c>
      <c r="G53" t="s">
        <v>17</v>
      </c>
    </row>
    <row r="54" spans="1:7">
      <c r="A54" t="s">
        <v>132</v>
      </c>
      <c r="B54">
        <v>2022</v>
      </c>
      <c r="C54" t="s">
        <v>504</v>
      </c>
      <c r="D54" t="s">
        <v>505</v>
      </c>
      <c r="E54">
        <v>12</v>
      </c>
      <c r="F54" t="s">
        <v>440</v>
      </c>
      <c r="G54" t="s">
        <v>16</v>
      </c>
    </row>
    <row r="55" spans="1:7">
      <c r="A55" t="s">
        <v>132</v>
      </c>
      <c r="B55">
        <v>2022</v>
      </c>
      <c r="C55" t="s">
        <v>504</v>
      </c>
      <c r="D55" t="s">
        <v>506</v>
      </c>
      <c r="E55">
        <v>3</v>
      </c>
      <c r="F55" t="s">
        <v>440</v>
      </c>
      <c r="G55" t="s">
        <v>16</v>
      </c>
    </row>
    <row r="56" spans="1:7">
      <c r="A56" t="s">
        <v>135</v>
      </c>
      <c r="B56">
        <v>2022</v>
      </c>
      <c r="C56" t="s">
        <v>504</v>
      </c>
      <c r="D56" t="s">
        <v>505</v>
      </c>
      <c r="E56">
        <v>77</v>
      </c>
      <c r="F56" t="s">
        <v>440</v>
      </c>
      <c r="G56" t="s">
        <v>23</v>
      </c>
    </row>
    <row r="57" spans="1:7">
      <c r="A57" t="s">
        <v>135</v>
      </c>
      <c r="B57">
        <v>2022</v>
      </c>
      <c r="C57" t="s">
        <v>504</v>
      </c>
      <c r="D57" t="s">
        <v>506</v>
      </c>
      <c r="E57">
        <v>14</v>
      </c>
      <c r="F57" t="s">
        <v>440</v>
      </c>
      <c r="G57" t="s">
        <v>23</v>
      </c>
    </row>
    <row r="58" spans="1:7">
      <c r="A58" t="s">
        <v>138</v>
      </c>
      <c r="B58">
        <v>2022</v>
      </c>
      <c r="C58" t="s">
        <v>504</v>
      </c>
      <c r="D58" t="s">
        <v>505</v>
      </c>
      <c r="E58">
        <v>25</v>
      </c>
      <c r="F58" t="s">
        <v>440</v>
      </c>
      <c r="G58" t="s">
        <v>15</v>
      </c>
    </row>
    <row r="59" spans="1:7">
      <c r="A59" t="s">
        <v>138</v>
      </c>
      <c r="B59">
        <v>2022</v>
      </c>
      <c r="C59" t="s">
        <v>504</v>
      </c>
      <c r="D59" t="s">
        <v>506</v>
      </c>
      <c r="E59">
        <v>10</v>
      </c>
      <c r="F59" t="s">
        <v>440</v>
      </c>
      <c r="G59" t="s">
        <v>15</v>
      </c>
    </row>
    <row r="60" spans="1:7">
      <c r="A60" t="s">
        <v>140</v>
      </c>
      <c r="B60">
        <v>2022</v>
      </c>
      <c r="C60" t="s">
        <v>504</v>
      </c>
      <c r="D60" t="s">
        <v>505</v>
      </c>
      <c r="E60">
        <v>9</v>
      </c>
      <c r="F60" t="s">
        <v>440</v>
      </c>
      <c r="G60" t="s">
        <v>20</v>
      </c>
    </row>
    <row r="61" spans="1:7">
      <c r="A61" t="s">
        <v>140</v>
      </c>
      <c r="B61">
        <v>2022</v>
      </c>
      <c r="C61" t="s">
        <v>504</v>
      </c>
      <c r="D61" t="s">
        <v>506</v>
      </c>
      <c r="E61">
        <v>5</v>
      </c>
      <c r="F61" t="s">
        <v>440</v>
      </c>
      <c r="G61" t="s">
        <v>20</v>
      </c>
    </row>
    <row r="62" spans="1:7">
      <c r="A62" t="s">
        <v>123</v>
      </c>
      <c r="B62">
        <v>2022</v>
      </c>
      <c r="C62" t="s">
        <v>504</v>
      </c>
      <c r="D62" t="s">
        <v>505</v>
      </c>
      <c r="E62">
        <v>4</v>
      </c>
      <c r="F62" t="s">
        <v>439</v>
      </c>
      <c r="G62" t="s">
        <v>21</v>
      </c>
    </row>
    <row r="63" spans="1:7">
      <c r="A63" t="s">
        <v>123</v>
      </c>
      <c r="B63">
        <v>2022</v>
      </c>
      <c r="C63" t="s">
        <v>504</v>
      </c>
      <c r="D63" t="s">
        <v>506</v>
      </c>
      <c r="E63">
        <v>3</v>
      </c>
      <c r="F63" t="s">
        <v>439</v>
      </c>
      <c r="G63" t="s">
        <v>21</v>
      </c>
    </row>
    <row r="64" spans="1:7">
      <c r="A64" t="s">
        <v>124</v>
      </c>
      <c r="B64">
        <v>2022</v>
      </c>
      <c r="C64" t="s">
        <v>504</v>
      </c>
      <c r="D64" t="s">
        <v>505</v>
      </c>
      <c r="E64">
        <v>11</v>
      </c>
      <c r="F64" t="s">
        <v>439</v>
      </c>
      <c r="G64" t="s">
        <v>18</v>
      </c>
    </row>
    <row r="65" spans="1:7">
      <c r="A65" t="s">
        <v>124</v>
      </c>
      <c r="B65">
        <v>2022</v>
      </c>
      <c r="C65" t="s">
        <v>504</v>
      </c>
      <c r="D65" t="s">
        <v>506</v>
      </c>
      <c r="E65">
        <v>4</v>
      </c>
      <c r="F65" t="s">
        <v>439</v>
      </c>
      <c r="G65" t="s">
        <v>18</v>
      </c>
    </row>
    <row r="66" spans="1:7">
      <c r="A66" t="s">
        <v>131</v>
      </c>
      <c r="B66">
        <v>2022</v>
      </c>
      <c r="C66" t="s">
        <v>504</v>
      </c>
      <c r="D66" t="s">
        <v>505</v>
      </c>
      <c r="E66">
        <v>69</v>
      </c>
      <c r="F66" t="s">
        <v>439</v>
      </c>
      <c r="G66" t="s">
        <v>13</v>
      </c>
    </row>
    <row r="67" spans="1:7">
      <c r="A67" t="s">
        <v>131</v>
      </c>
      <c r="B67">
        <v>2022</v>
      </c>
      <c r="C67" t="s">
        <v>504</v>
      </c>
      <c r="D67" t="s">
        <v>506</v>
      </c>
      <c r="E67">
        <v>14</v>
      </c>
      <c r="F67" t="s">
        <v>439</v>
      </c>
      <c r="G67" t="s">
        <v>13</v>
      </c>
    </row>
    <row r="68" spans="1:7">
      <c r="A68" t="s">
        <v>136</v>
      </c>
      <c r="B68">
        <v>2022</v>
      </c>
      <c r="C68" t="s">
        <v>504</v>
      </c>
      <c r="D68" t="s">
        <v>505</v>
      </c>
      <c r="E68">
        <v>29</v>
      </c>
      <c r="F68" t="s">
        <v>439</v>
      </c>
      <c r="G68" t="s">
        <v>14</v>
      </c>
    </row>
    <row r="69" spans="1:7">
      <c r="A69" t="s">
        <v>136</v>
      </c>
      <c r="B69">
        <v>2022</v>
      </c>
      <c r="C69" t="s">
        <v>504</v>
      </c>
      <c r="D69" t="s">
        <v>506</v>
      </c>
      <c r="E69">
        <v>4</v>
      </c>
      <c r="F69" t="s">
        <v>439</v>
      </c>
      <c r="G69" t="s">
        <v>14</v>
      </c>
    </row>
    <row r="70" spans="1:7">
      <c r="A70" t="s">
        <v>137</v>
      </c>
      <c r="B70">
        <v>2022</v>
      </c>
      <c r="C70" t="s">
        <v>504</v>
      </c>
      <c r="D70" t="s">
        <v>505</v>
      </c>
      <c r="E70">
        <v>9</v>
      </c>
      <c r="F70" t="s">
        <v>439</v>
      </c>
      <c r="G70" t="s">
        <v>19</v>
      </c>
    </row>
    <row r="71" spans="1:7">
      <c r="A71" t="s">
        <v>137</v>
      </c>
      <c r="B71">
        <v>2022</v>
      </c>
      <c r="C71" t="s">
        <v>504</v>
      </c>
      <c r="D71" t="s">
        <v>506</v>
      </c>
      <c r="E71">
        <v>2</v>
      </c>
      <c r="F71" t="s">
        <v>439</v>
      </c>
      <c r="G71" t="s">
        <v>19</v>
      </c>
    </row>
    <row r="72" spans="1:7">
      <c r="A72" t="s">
        <v>139</v>
      </c>
      <c r="B72">
        <v>2022</v>
      </c>
      <c r="C72" t="s">
        <v>504</v>
      </c>
      <c r="D72" t="s">
        <v>505</v>
      </c>
      <c r="E72">
        <v>9</v>
      </c>
      <c r="F72" t="s">
        <v>439</v>
      </c>
      <c r="G72" t="s">
        <v>22</v>
      </c>
    </row>
    <row r="73" spans="1:7">
      <c r="A73" t="s">
        <v>139</v>
      </c>
      <c r="B73">
        <v>2022</v>
      </c>
      <c r="C73" t="s">
        <v>504</v>
      </c>
      <c r="D73" t="s">
        <v>506</v>
      </c>
      <c r="E73">
        <v>1</v>
      </c>
      <c r="F73" t="s">
        <v>439</v>
      </c>
      <c r="G73" t="s">
        <v>22</v>
      </c>
    </row>
    <row r="74" spans="1:7">
      <c r="A74" t="s">
        <v>141</v>
      </c>
      <c r="B74">
        <v>2022</v>
      </c>
      <c r="C74" t="s">
        <v>504</v>
      </c>
      <c r="D74" t="s">
        <v>505</v>
      </c>
      <c r="E74">
        <v>36</v>
      </c>
      <c r="F74" t="s">
        <v>439</v>
      </c>
      <c r="G74" t="s">
        <v>17</v>
      </c>
    </row>
    <row r="75" spans="1:7">
      <c r="A75" t="s">
        <v>141</v>
      </c>
      <c r="B75">
        <v>2022</v>
      </c>
      <c r="C75" t="s">
        <v>504</v>
      </c>
      <c r="D75" t="s">
        <v>506</v>
      </c>
      <c r="E75">
        <v>5</v>
      </c>
      <c r="F75" t="s">
        <v>439</v>
      </c>
      <c r="G75" t="s">
        <v>17</v>
      </c>
    </row>
    <row r="76" spans="1:7">
      <c r="A76" t="s">
        <v>132</v>
      </c>
      <c r="B76">
        <v>2022</v>
      </c>
      <c r="C76" t="s">
        <v>504</v>
      </c>
      <c r="D76" t="s">
        <v>505</v>
      </c>
      <c r="E76">
        <v>17</v>
      </c>
      <c r="F76" t="s">
        <v>440</v>
      </c>
      <c r="G76" t="s">
        <v>16</v>
      </c>
    </row>
    <row r="77" spans="1:7">
      <c r="A77" t="s">
        <v>132</v>
      </c>
      <c r="B77">
        <v>2022</v>
      </c>
      <c r="C77" t="s">
        <v>504</v>
      </c>
      <c r="D77" t="s">
        <v>506</v>
      </c>
      <c r="E77">
        <v>1</v>
      </c>
      <c r="F77" t="s">
        <v>440</v>
      </c>
      <c r="G77" t="s">
        <v>16</v>
      </c>
    </row>
    <row r="78" spans="1:7">
      <c r="A78" t="s">
        <v>135</v>
      </c>
      <c r="B78">
        <v>2022</v>
      </c>
      <c r="C78" t="s">
        <v>504</v>
      </c>
      <c r="D78" t="s">
        <v>505</v>
      </c>
      <c r="E78">
        <v>42</v>
      </c>
      <c r="F78" t="s">
        <v>440</v>
      </c>
      <c r="G78" t="s">
        <v>23</v>
      </c>
    </row>
    <row r="79" spans="1:7">
      <c r="A79" t="s">
        <v>135</v>
      </c>
      <c r="B79">
        <v>2022</v>
      </c>
      <c r="C79" t="s">
        <v>504</v>
      </c>
      <c r="D79" t="s">
        <v>506</v>
      </c>
      <c r="E79">
        <v>8</v>
      </c>
      <c r="F79" t="s">
        <v>440</v>
      </c>
      <c r="G79" t="s">
        <v>23</v>
      </c>
    </row>
    <row r="80" spans="1:7">
      <c r="A80" t="s">
        <v>138</v>
      </c>
      <c r="B80">
        <v>2022</v>
      </c>
      <c r="C80" t="s">
        <v>504</v>
      </c>
      <c r="D80" t="s">
        <v>505</v>
      </c>
      <c r="E80">
        <v>40</v>
      </c>
      <c r="F80" t="s">
        <v>440</v>
      </c>
      <c r="G80" t="s">
        <v>15</v>
      </c>
    </row>
    <row r="81" spans="1:7">
      <c r="A81" t="s">
        <v>138</v>
      </c>
      <c r="B81">
        <v>2022</v>
      </c>
      <c r="C81" t="s">
        <v>504</v>
      </c>
      <c r="D81" t="s">
        <v>506</v>
      </c>
      <c r="E81">
        <v>6</v>
      </c>
      <c r="F81" t="s">
        <v>440</v>
      </c>
      <c r="G81" t="s">
        <v>15</v>
      </c>
    </row>
    <row r="82" spans="1:7">
      <c r="A82" t="s">
        <v>140</v>
      </c>
      <c r="B82">
        <v>2022</v>
      </c>
      <c r="C82" t="s">
        <v>504</v>
      </c>
      <c r="D82" t="s">
        <v>505</v>
      </c>
      <c r="E82">
        <v>6</v>
      </c>
      <c r="F82" t="s">
        <v>440</v>
      </c>
      <c r="G82" t="s">
        <v>20</v>
      </c>
    </row>
    <row r="83" spans="1:7">
      <c r="A83" t="s">
        <v>140</v>
      </c>
      <c r="B83">
        <v>2022</v>
      </c>
      <c r="C83" t="s">
        <v>504</v>
      </c>
      <c r="D83" t="s">
        <v>506</v>
      </c>
      <c r="E83">
        <v>2</v>
      </c>
      <c r="F83" t="s">
        <v>440</v>
      </c>
      <c r="G83" t="s">
        <v>20</v>
      </c>
    </row>
    <row r="84" spans="1:7">
      <c r="A84" t="s">
        <v>123</v>
      </c>
      <c r="B84">
        <v>2022</v>
      </c>
      <c r="C84" t="s">
        <v>504</v>
      </c>
      <c r="D84" t="s">
        <v>505</v>
      </c>
      <c r="E84">
        <v>4</v>
      </c>
      <c r="F84" t="s">
        <v>439</v>
      </c>
      <c r="G84" t="s">
        <v>21</v>
      </c>
    </row>
    <row r="85" spans="1:7">
      <c r="A85" t="s">
        <v>123</v>
      </c>
      <c r="B85">
        <v>2023</v>
      </c>
      <c r="C85" t="s">
        <v>504</v>
      </c>
      <c r="D85" t="s">
        <v>505</v>
      </c>
      <c r="E85">
        <v>3</v>
      </c>
      <c r="F85" t="s">
        <v>439</v>
      </c>
      <c r="G85" t="s">
        <v>21</v>
      </c>
    </row>
    <row r="86" spans="1:7">
      <c r="A86" t="s">
        <v>123</v>
      </c>
      <c r="B86">
        <v>2023</v>
      </c>
      <c r="C86" t="s">
        <v>504</v>
      </c>
      <c r="D86" t="s">
        <v>506</v>
      </c>
      <c r="E86">
        <v>2</v>
      </c>
      <c r="F86" t="s">
        <v>439</v>
      </c>
      <c r="G86" t="s">
        <v>21</v>
      </c>
    </row>
    <row r="87" spans="1:7">
      <c r="A87" t="s">
        <v>124</v>
      </c>
      <c r="B87">
        <v>2023</v>
      </c>
      <c r="C87" t="s">
        <v>504</v>
      </c>
      <c r="D87" t="s">
        <v>505</v>
      </c>
      <c r="E87">
        <v>11</v>
      </c>
      <c r="F87" t="s">
        <v>439</v>
      </c>
      <c r="G87" t="s">
        <v>18</v>
      </c>
    </row>
    <row r="88" spans="1:7">
      <c r="A88" t="s">
        <v>124</v>
      </c>
      <c r="B88">
        <v>2023</v>
      </c>
      <c r="C88" t="s">
        <v>504</v>
      </c>
      <c r="D88" t="s">
        <v>506</v>
      </c>
      <c r="E88">
        <v>6</v>
      </c>
      <c r="F88" t="s">
        <v>439</v>
      </c>
      <c r="G88" t="s">
        <v>18</v>
      </c>
    </row>
    <row r="89" spans="1:7">
      <c r="A89" t="s">
        <v>131</v>
      </c>
      <c r="B89">
        <v>2023</v>
      </c>
      <c r="C89" t="s">
        <v>504</v>
      </c>
      <c r="D89" t="s">
        <v>505</v>
      </c>
      <c r="E89">
        <v>99</v>
      </c>
      <c r="F89" t="s">
        <v>439</v>
      </c>
      <c r="G89" t="s">
        <v>13</v>
      </c>
    </row>
    <row r="90" spans="1:7">
      <c r="A90" t="s">
        <v>131</v>
      </c>
      <c r="B90">
        <v>2023</v>
      </c>
      <c r="C90" t="s">
        <v>504</v>
      </c>
      <c r="D90" t="s">
        <v>506</v>
      </c>
      <c r="E90">
        <v>16</v>
      </c>
      <c r="F90" t="s">
        <v>439</v>
      </c>
      <c r="G90" t="s">
        <v>13</v>
      </c>
    </row>
    <row r="91" spans="1:7">
      <c r="A91" t="s">
        <v>136</v>
      </c>
      <c r="B91">
        <v>2023</v>
      </c>
      <c r="C91" t="s">
        <v>504</v>
      </c>
      <c r="D91" t="s">
        <v>505</v>
      </c>
      <c r="E91">
        <v>22</v>
      </c>
      <c r="F91" t="s">
        <v>439</v>
      </c>
      <c r="G91" t="s">
        <v>14</v>
      </c>
    </row>
    <row r="92" spans="1:7">
      <c r="A92" t="s">
        <v>136</v>
      </c>
      <c r="B92">
        <v>2023</v>
      </c>
      <c r="C92" t="s">
        <v>504</v>
      </c>
      <c r="D92" t="s">
        <v>506</v>
      </c>
      <c r="E92">
        <v>4</v>
      </c>
      <c r="F92" t="s">
        <v>439</v>
      </c>
      <c r="G92" t="s">
        <v>14</v>
      </c>
    </row>
    <row r="93" spans="1:7">
      <c r="A93" t="s">
        <v>139</v>
      </c>
      <c r="B93">
        <v>2023</v>
      </c>
      <c r="C93" t="s">
        <v>504</v>
      </c>
      <c r="D93" t="s">
        <v>505</v>
      </c>
      <c r="E93">
        <v>4</v>
      </c>
      <c r="F93" t="s">
        <v>439</v>
      </c>
      <c r="G93" t="s">
        <v>22</v>
      </c>
    </row>
    <row r="94" spans="1:7">
      <c r="A94" t="s">
        <v>141</v>
      </c>
      <c r="B94">
        <v>2023</v>
      </c>
      <c r="C94" t="s">
        <v>504</v>
      </c>
      <c r="D94" t="s">
        <v>505</v>
      </c>
      <c r="E94">
        <v>37</v>
      </c>
      <c r="F94" t="s">
        <v>439</v>
      </c>
      <c r="G94" t="s">
        <v>17</v>
      </c>
    </row>
    <row r="95" spans="1:7">
      <c r="A95" t="s">
        <v>141</v>
      </c>
      <c r="B95">
        <v>2023</v>
      </c>
      <c r="C95" t="s">
        <v>504</v>
      </c>
      <c r="D95" t="s">
        <v>506</v>
      </c>
      <c r="E95">
        <v>5</v>
      </c>
      <c r="F95" t="s">
        <v>439</v>
      </c>
      <c r="G95" t="s">
        <v>17</v>
      </c>
    </row>
    <row r="96" spans="1:7">
      <c r="A96" t="s">
        <v>132</v>
      </c>
      <c r="B96">
        <v>2023</v>
      </c>
      <c r="C96" t="s">
        <v>504</v>
      </c>
      <c r="D96" t="s">
        <v>505</v>
      </c>
      <c r="E96">
        <v>35</v>
      </c>
      <c r="F96" t="s">
        <v>440</v>
      </c>
      <c r="G96" t="s">
        <v>16</v>
      </c>
    </row>
    <row r="97" spans="1:7">
      <c r="A97" t="s">
        <v>132</v>
      </c>
      <c r="B97">
        <v>2023</v>
      </c>
      <c r="C97" t="s">
        <v>504</v>
      </c>
      <c r="D97" t="s">
        <v>506</v>
      </c>
      <c r="E97">
        <v>3</v>
      </c>
      <c r="F97" t="s">
        <v>440</v>
      </c>
      <c r="G97" t="s">
        <v>16</v>
      </c>
    </row>
    <row r="98" spans="1:7">
      <c r="A98" t="s">
        <v>135</v>
      </c>
      <c r="B98">
        <v>2023</v>
      </c>
      <c r="C98" t="s">
        <v>504</v>
      </c>
      <c r="D98" t="s">
        <v>505</v>
      </c>
      <c r="E98">
        <v>84</v>
      </c>
      <c r="F98" t="s">
        <v>440</v>
      </c>
      <c r="G98" t="s">
        <v>23</v>
      </c>
    </row>
    <row r="99" spans="1:7">
      <c r="A99" t="s">
        <v>135</v>
      </c>
      <c r="B99">
        <v>2023</v>
      </c>
      <c r="C99" t="s">
        <v>504</v>
      </c>
      <c r="D99" t="s">
        <v>506</v>
      </c>
      <c r="E99">
        <v>6</v>
      </c>
      <c r="F99" t="s">
        <v>440</v>
      </c>
      <c r="G99" t="s">
        <v>23</v>
      </c>
    </row>
    <row r="100" spans="1:7">
      <c r="A100" t="s">
        <v>138</v>
      </c>
      <c r="B100">
        <v>2023</v>
      </c>
      <c r="C100" t="s">
        <v>504</v>
      </c>
      <c r="D100" t="s">
        <v>505</v>
      </c>
      <c r="E100">
        <v>46</v>
      </c>
      <c r="F100" t="s">
        <v>440</v>
      </c>
      <c r="G100" t="s">
        <v>15</v>
      </c>
    </row>
    <row r="101" spans="1:7">
      <c r="A101" t="s">
        <v>138</v>
      </c>
      <c r="B101">
        <v>2023</v>
      </c>
      <c r="C101" t="s">
        <v>504</v>
      </c>
      <c r="D101" t="s">
        <v>506</v>
      </c>
      <c r="E101">
        <v>4</v>
      </c>
      <c r="F101" t="s">
        <v>440</v>
      </c>
      <c r="G101" t="s">
        <v>15</v>
      </c>
    </row>
    <row r="102" spans="1:7">
      <c r="A102" t="s">
        <v>137</v>
      </c>
      <c r="B102">
        <v>2023</v>
      </c>
      <c r="C102" t="s">
        <v>504</v>
      </c>
      <c r="D102" t="s">
        <v>505</v>
      </c>
      <c r="E102">
        <v>20</v>
      </c>
      <c r="F102" t="s">
        <v>439</v>
      </c>
      <c r="G102" t="s">
        <v>19</v>
      </c>
    </row>
    <row r="103" spans="1:7">
      <c r="A103" t="s">
        <v>137</v>
      </c>
      <c r="B103">
        <v>2023</v>
      </c>
      <c r="C103" t="s">
        <v>504</v>
      </c>
      <c r="D103" t="s">
        <v>506</v>
      </c>
      <c r="E103">
        <v>1</v>
      </c>
      <c r="F103" t="s">
        <v>439</v>
      </c>
      <c r="G103" t="s">
        <v>19</v>
      </c>
    </row>
    <row r="104" spans="1:7">
      <c r="A104" t="s">
        <v>140</v>
      </c>
      <c r="B104">
        <v>2023</v>
      </c>
      <c r="C104" t="s">
        <v>504</v>
      </c>
      <c r="D104" t="s">
        <v>505</v>
      </c>
      <c r="E104">
        <v>12</v>
      </c>
      <c r="F104" t="s">
        <v>440</v>
      </c>
      <c r="G104" t="s">
        <v>20</v>
      </c>
    </row>
    <row r="105" spans="1:7">
      <c r="A105" t="s">
        <v>140</v>
      </c>
      <c r="B105">
        <v>2023</v>
      </c>
      <c r="C105" t="s">
        <v>504</v>
      </c>
      <c r="D105" t="s">
        <v>506</v>
      </c>
      <c r="E105">
        <v>2</v>
      </c>
      <c r="F105" t="s">
        <v>440</v>
      </c>
      <c r="G105" t="s">
        <v>20</v>
      </c>
    </row>
    <row r="106" spans="1:7">
      <c r="A106" t="s">
        <v>123</v>
      </c>
      <c r="B106">
        <v>2023</v>
      </c>
      <c r="C106" t="s">
        <v>504</v>
      </c>
      <c r="D106" t="s">
        <v>505</v>
      </c>
      <c r="E106">
        <v>6</v>
      </c>
      <c r="F106" t="s">
        <v>439</v>
      </c>
      <c r="G106" t="s">
        <v>21</v>
      </c>
    </row>
    <row r="107" spans="1:7">
      <c r="A107" t="s">
        <v>123</v>
      </c>
      <c r="B107">
        <v>2023</v>
      </c>
      <c r="C107" t="s">
        <v>504</v>
      </c>
      <c r="D107" t="s">
        <v>506</v>
      </c>
      <c r="E107">
        <v>1</v>
      </c>
      <c r="F107" t="s">
        <v>439</v>
      </c>
      <c r="G107" t="s">
        <v>21</v>
      </c>
    </row>
    <row r="108" spans="1:7">
      <c r="A108" t="s">
        <v>124</v>
      </c>
      <c r="B108">
        <v>2023</v>
      </c>
      <c r="C108" t="s">
        <v>504</v>
      </c>
      <c r="D108" t="s">
        <v>505</v>
      </c>
      <c r="E108">
        <v>10</v>
      </c>
      <c r="F108" t="s">
        <v>439</v>
      </c>
      <c r="G108" t="s">
        <v>18</v>
      </c>
    </row>
    <row r="109" spans="1:7">
      <c r="A109" t="s">
        <v>124</v>
      </c>
      <c r="B109">
        <v>2023</v>
      </c>
      <c r="C109" t="s">
        <v>504</v>
      </c>
      <c r="D109" t="s">
        <v>506</v>
      </c>
      <c r="E109">
        <v>2</v>
      </c>
      <c r="F109" t="s">
        <v>439</v>
      </c>
      <c r="G109" t="s">
        <v>18</v>
      </c>
    </row>
    <row r="110" spans="1:7">
      <c r="A110" t="s">
        <v>131</v>
      </c>
      <c r="B110">
        <v>2023</v>
      </c>
      <c r="C110" t="s">
        <v>504</v>
      </c>
      <c r="D110" t="s">
        <v>505</v>
      </c>
      <c r="E110">
        <v>167</v>
      </c>
      <c r="F110" t="s">
        <v>439</v>
      </c>
      <c r="G110" t="s">
        <v>13</v>
      </c>
    </row>
    <row r="111" spans="1:7">
      <c r="A111" t="s">
        <v>131</v>
      </c>
      <c r="B111">
        <v>2023</v>
      </c>
      <c r="C111" t="s">
        <v>504</v>
      </c>
      <c r="D111" t="s">
        <v>506</v>
      </c>
      <c r="E111">
        <v>15</v>
      </c>
      <c r="F111" t="s">
        <v>439</v>
      </c>
      <c r="G111" t="s">
        <v>13</v>
      </c>
    </row>
    <row r="112" spans="1:7">
      <c r="A112" t="s">
        <v>136</v>
      </c>
      <c r="B112">
        <v>2023</v>
      </c>
      <c r="C112" t="s">
        <v>504</v>
      </c>
      <c r="D112" t="s">
        <v>505</v>
      </c>
      <c r="E112">
        <v>30</v>
      </c>
      <c r="F112" t="s">
        <v>439</v>
      </c>
      <c r="G112" t="s">
        <v>14</v>
      </c>
    </row>
    <row r="113" spans="1:7">
      <c r="A113" t="s">
        <v>136</v>
      </c>
      <c r="B113">
        <v>2023</v>
      </c>
      <c r="C113" t="s">
        <v>504</v>
      </c>
      <c r="D113" t="s">
        <v>506</v>
      </c>
      <c r="E113">
        <v>3</v>
      </c>
      <c r="F113" t="s">
        <v>439</v>
      </c>
      <c r="G113" t="s">
        <v>14</v>
      </c>
    </row>
    <row r="114" spans="1:7">
      <c r="A114" t="s">
        <v>139</v>
      </c>
      <c r="B114">
        <v>2023</v>
      </c>
      <c r="C114" t="s">
        <v>504</v>
      </c>
      <c r="D114" t="s">
        <v>505</v>
      </c>
      <c r="E114">
        <v>12</v>
      </c>
      <c r="F114" t="s">
        <v>439</v>
      </c>
      <c r="G114" t="s">
        <v>22</v>
      </c>
    </row>
    <row r="115" spans="1:7">
      <c r="A115" t="s">
        <v>141</v>
      </c>
      <c r="B115">
        <v>2023</v>
      </c>
      <c r="C115" t="s">
        <v>504</v>
      </c>
      <c r="D115" t="s">
        <v>505</v>
      </c>
      <c r="E115">
        <v>48</v>
      </c>
      <c r="F115" t="s">
        <v>439</v>
      </c>
      <c r="G115" t="s">
        <v>17</v>
      </c>
    </row>
    <row r="116" spans="1:7">
      <c r="A116" t="s">
        <v>141</v>
      </c>
      <c r="B116">
        <v>2023</v>
      </c>
      <c r="C116" t="s">
        <v>504</v>
      </c>
      <c r="D116" t="s">
        <v>506</v>
      </c>
      <c r="E116">
        <v>12</v>
      </c>
      <c r="F116" t="s">
        <v>439</v>
      </c>
      <c r="G116" t="s">
        <v>17</v>
      </c>
    </row>
    <row r="117" spans="1:7">
      <c r="A117" t="s">
        <v>132</v>
      </c>
      <c r="B117">
        <v>2023</v>
      </c>
      <c r="C117" t="s">
        <v>504</v>
      </c>
      <c r="D117" t="s">
        <v>505</v>
      </c>
      <c r="E117">
        <v>26</v>
      </c>
      <c r="F117" t="s">
        <v>440</v>
      </c>
      <c r="G117" t="s">
        <v>16</v>
      </c>
    </row>
    <row r="118" spans="1:7">
      <c r="A118" t="s">
        <v>132</v>
      </c>
      <c r="B118">
        <v>2023</v>
      </c>
      <c r="C118" t="s">
        <v>504</v>
      </c>
      <c r="D118" t="s">
        <v>506</v>
      </c>
      <c r="E118">
        <v>6</v>
      </c>
      <c r="F118" t="s">
        <v>440</v>
      </c>
      <c r="G118" t="s">
        <v>16</v>
      </c>
    </row>
    <row r="119" spans="1:7">
      <c r="A119" t="s">
        <v>135</v>
      </c>
      <c r="B119">
        <v>2023</v>
      </c>
      <c r="C119" t="s">
        <v>504</v>
      </c>
      <c r="D119" t="s">
        <v>505</v>
      </c>
      <c r="E119">
        <v>58</v>
      </c>
      <c r="F119" t="s">
        <v>440</v>
      </c>
      <c r="G119" t="s">
        <v>23</v>
      </c>
    </row>
    <row r="120" spans="1:7">
      <c r="A120" t="s">
        <v>135</v>
      </c>
      <c r="B120">
        <v>2023</v>
      </c>
      <c r="C120" t="s">
        <v>504</v>
      </c>
      <c r="D120" t="s">
        <v>506</v>
      </c>
      <c r="E120">
        <v>12</v>
      </c>
      <c r="F120" t="s">
        <v>440</v>
      </c>
      <c r="G120" t="s">
        <v>23</v>
      </c>
    </row>
    <row r="121" spans="1:7">
      <c r="A121" t="s">
        <v>138</v>
      </c>
      <c r="B121">
        <v>2023</v>
      </c>
      <c r="C121" t="s">
        <v>504</v>
      </c>
      <c r="D121" t="s">
        <v>505</v>
      </c>
      <c r="E121">
        <v>32</v>
      </c>
      <c r="F121" t="s">
        <v>440</v>
      </c>
      <c r="G121" t="s">
        <v>15</v>
      </c>
    </row>
    <row r="122" spans="1:7">
      <c r="A122" t="s">
        <v>138</v>
      </c>
      <c r="B122">
        <v>2023</v>
      </c>
      <c r="C122" t="s">
        <v>504</v>
      </c>
      <c r="D122" t="s">
        <v>506</v>
      </c>
      <c r="E122">
        <v>8</v>
      </c>
      <c r="F122" t="s">
        <v>440</v>
      </c>
      <c r="G122" t="s">
        <v>15</v>
      </c>
    </row>
    <row r="123" spans="1:7">
      <c r="A123" t="s">
        <v>137</v>
      </c>
      <c r="B123">
        <v>2023</v>
      </c>
      <c r="C123" t="s">
        <v>504</v>
      </c>
      <c r="D123" t="s">
        <v>505</v>
      </c>
      <c r="E123">
        <v>22</v>
      </c>
      <c r="F123" t="s">
        <v>439</v>
      </c>
      <c r="G123" t="s">
        <v>19</v>
      </c>
    </row>
    <row r="124" spans="1:7">
      <c r="A124" t="s">
        <v>137</v>
      </c>
      <c r="B124">
        <v>2023</v>
      </c>
      <c r="C124" t="s">
        <v>504</v>
      </c>
      <c r="D124" t="s">
        <v>506</v>
      </c>
      <c r="E124">
        <v>1</v>
      </c>
      <c r="F124" t="s">
        <v>439</v>
      </c>
      <c r="G124" t="s">
        <v>19</v>
      </c>
    </row>
    <row r="125" spans="1:7">
      <c r="A125" t="s">
        <v>140</v>
      </c>
      <c r="B125">
        <v>2023</v>
      </c>
      <c r="C125" t="s">
        <v>504</v>
      </c>
      <c r="D125" t="s">
        <v>505</v>
      </c>
      <c r="E125">
        <v>9</v>
      </c>
      <c r="F125" t="s">
        <v>440</v>
      </c>
      <c r="G125" t="s">
        <v>20</v>
      </c>
    </row>
    <row r="126" spans="1:7">
      <c r="A126" t="s">
        <v>140</v>
      </c>
      <c r="B126">
        <v>2023</v>
      </c>
      <c r="C126" t="s">
        <v>504</v>
      </c>
      <c r="D126" t="s">
        <v>506</v>
      </c>
      <c r="E126">
        <v>10</v>
      </c>
      <c r="F126" t="s">
        <v>440</v>
      </c>
      <c r="G126" t="s">
        <v>20</v>
      </c>
    </row>
    <row r="127" spans="1:7">
      <c r="A127" t="s">
        <v>123</v>
      </c>
      <c r="B127">
        <v>2023</v>
      </c>
      <c r="C127" t="s">
        <v>504</v>
      </c>
      <c r="D127" t="s">
        <v>505</v>
      </c>
      <c r="E127">
        <v>3</v>
      </c>
      <c r="F127" t="s">
        <v>439</v>
      </c>
      <c r="G127" t="s">
        <v>21</v>
      </c>
    </row>
    <row r="128" spans="1:7">
      <c r="A128" t="s">
        <v>123</v>
      </c>
      <c r="B128">
        <v>2023</v>
      </c>
      <c r="C128" t="s">
        <v>504</v>
      </c>
      <c r="D128" t="s">
        <v>506</v>
      </c>
      <c r="E128">
        <v>2</v>
      </c>
      <c r="F128" t="s">
        <v>439</v>
      </c>
      <c r="G128" t="s">
        <v>21</v>
      </c>
    </row>
    <row r="129" spans="1:7">
      <c r="A129" t="s">
        <v>124</v>
      </c>
      <c r="B129">
        <v>2023</v>
      </c>
      <c r="C129" t="s">
        <v>504</v>
      </c>
      <c r="D129" t="s">
        <v>505</v>
      </c>
      <c r="E129">
        <v>16</v>
      </c>
      <c r="F129" t="s">
        <v>439</v>
      </c>
      <c r="G129" t="s">
        <v>18</v>
      </c>
    </row>
    <row r="130" spans="1:7">
      <c r="A130" t="s">
        <v>124</v>
      </c>
      <c r="B130">
        <v>2023</v>
      </c>
      <c r="C130" t="s">
        <v>504</v>
      </c>
      <c r="D130" t="s">
        <v>506</v>
      </c>
      <c r="E130">
        <v>4</v>
      </c>
      <c r="F130" t="s">
        <v>439</v>
      </c>
      <c r="G130" t="s">
        <v>18</v>
      </c>
    </row>
    <row r="131" spans="1:7">
      <c r="A131" t="s">
        <v>131</v>
      </c>
      <c r="B131">
        <v>2023</v>
      </c>
      <c r="C131" t="s">
        <v>504</v>
      </c>
      <c r="D131" t="s">
        <v>505</v>
      </c>
      <c r="E131">
        <v>122</v>
      </c>
      <c r="F131" t="s">
        <v>439</v>
      </c>
      <c r="G131" t="s">
        <v>13</v>
      </c>
    </row>
    <row r="132" spans="1:7">
      <c r="A132" t="s">
        <v>131</v>
      </c>
      <c r="B132">
        <v>2023</v>
      </c>
      <c r="C132" t="s">
        <v>504</v>
      </c>
      <c r="D132" t="s">
        <v>506</v>
      </c>
      <c r="E132">
        <v>12</v>
      </c>
      <c r="F132" t="s">
        <v>439</v>
      </c>
      <c r="G132" t="s">
        <v>13</v>
      </c>
    </row>
    <row r="133" spans="1:7">
      <c r="A133" t="s">
        <v>136</v>
      </c>
      <c r="B133">
        <v>2023</v>
      </c>
      <c r="C133" t="s">
        <v>504</v>
      </c>
      <c r="D133" t="s">
        <v>505</v>
      </c>
      <c r="E133">
        <v>26</v>
      </c>
      <c r="F133" t="s">
        <v>439</v>
      </c>
      <c r="G133" t="s">
        <v>14</v>
      </c>
    </row>
    <row r="134" spans="1:7">
      <c r="A134" t="s">
        <v>136</v>
      </c>
      <c r="B134">
        <v>2023</v>
      </c>
      <c r="C134" t="s">
        <v>504</v>
      </c>
      <c r="D134" t="s">
        <v>506</v>
      </c>
      <c r="E134">
        <v>2</v>
      </c>
      <c r="F134" t="s">
        <v>439</v>
      </c>
      <c r="G134" t="s">
        <v>14</v>
      </c>
    </row>
    <row r="135" spans="1:7">
      <c r="A135" t="s">
        <v>139</v>
      </c>
      <c r="B135">
        <v>2023</v>
      </c>
      <c r="C135" t="s">
        <v>504</v>
      </c>
      <c r="D135" t="s">
        <v>505</v>
      </c>
      <c r="E135">
        <v>15</v>
      </c>
      <c r="F135" t="s">
        <v>439</v>
      </c>
      <c r="G135" t="s">
        <v>22</v>
      </c>
    </row>
    <row r="136" spans="1:7">
      <c r="A136" t="s">
        <v>141</v>
      </c>
      <c r="B136">
        <v>2023</v>
      </c>
      <c r="C136" t="s">
        <v>504</v>
      </c>
      <c r="D136" t="s">
        <v>505</v>
      </c>
      <c r="E136">
        <v>38</v>
      </c>
      <c r="F136" t="s">
        <v>439</v>
      </c>
      <c r="G136" t="s">
        <v>17</v>
      </c>
    </row>
    <row r="137" spans="1:7">
      <c r="A137" t="s">
        <v>141</v>
      </c>
      <c r="B137">
        <v>2023</v>
      </c>
      <c r="C137" t="s">
        <v>504</v>
      </c>
      <c r="D137" t="s">
        <v>506</v>
      </c>
      <c r="E137">
        <v>1</v>
      </c>
      <c r="F137" t="s">
        <v>439</v>
      </c>
      <c r="G137" t="s">
        <v>17</v>
      </c>
    </row>
    <row r="138" spans="1:7">
      <c r="A138" t="s">
        <v>132</v>
      </c>
      <c r="B138">
        <v>2023</v>
      </c>
      <c r="C138" t="s">
        <v>504</v>
      </c>
      <c r="D138" t="s">
        <v>505</v>
      </c>
      <c r="E138">
        <v>34</v>
      </c>
      <c r="F138" t="s">
        <v>440</v>
      </c>
      <c r="G138" t="s">
        <v>16</v>
      </c>
    </row>
    <row r="139" spans="1:7">
      <c r="A139" t="s">
        <v>132</v>
      </c>
      <c r="B139">
        <v>2023</v>
      </c>
      <c r="C139" t="s">
        <v>504</v>
      </c>
      <c r="D139" t="s">
        <v>506</v>
      </c>
      <c r="E139">
        <v>2</v>
      </c>
      <c r="F139" t="s">
        <v>440</v>
      </c>
      <c r="G139" t="s">
        <v>16</v>
      </c>
    </row>
    <row r="140" spans="1:7">
      <c r="A140" t="s">
        <v>135</v>
      </c>
      <c r="B140">
        <v>2023</v>
      </c>
      <c r="C140" t="s">
        <v>504</v>
      </c>
      <c r="D140" t="s">
        <v>505</v>
      </c>
      <c r="E140">
        <v>54</v>
      </c>
      <c r="F140" t="s">
        <v>440</v>
      </c>
      <c r="G140" t="s">
        <v>23</v>
      </c>
    </row>
    <row r="141" spans="1:7">
      <c r="A141" t="s">
        <v>135</v>
      </c>
      <c r="B141">
        <v>2023</v>
      </c>
      <c r="C141" t="s">
        <v>504</v>
      </c>
      <c r="D141" t="s">
        <v>506</v>
      </c>
      <c r="E141">
        <v>4</v>
      </c>
      <c r="F141" t="s">
        <v>440</v>
      </c>
      <c r="G141" t="s">
        <v>23</v>
      </c>
    </row>
    <row r="142" spans="1:7">
      <c r="A142" t="s">
        <v>138</v>
      </c>
      <c r="B142">
        <v>2023</v>
      </c>
      <c r="C142" t="s">
        <v>504</v>
      </c>
      <c r="D142" t="s">
        <v>505</v>
      </c>
      <c r="E142">
        <v>42</v>
      </c>
      <c r="F142" t="s">
        <v>440</v>
      </c>
      <c r="G142" t="s">
        <v>15</v>
      </c>
    </row>
    <row r="143" spans="1:7">
      <c r="A143" t="s">
        <v>138</v>
      </c>
      <c r="B143">
        <v>2023</v>
      </c>
      <c r="C143" t="s">
        <v>504</v>
      </c>
      <c r="D143" t="s">
        <v>506</v>
      </c>
      <c r="E143">
        <v>4</v>
      </c>
      <c r="F143" t="s">
        <v>440</v>
      </c>
      <c r="G143" t="s">
        <v>15</v>
      </c>
    </row>
    <row r="144" spans="1:7">
      <c r="A144" t="s">
        <v>137</v>
      </c>
      <c r="B144">
        <v>2023</v>
      </c>
      <c r="C144" t="s">
        <v>504</v>
      </c>
      <c r="D144" t="s">
        <v>505</v>
      </c>
      <c r="E144">
        <v>49</v>
      </c>
      <c r="F144" t="s">
        <v>439</v>
      </c>
      <c r="G144" t="s">
        <v>19</v>
      </c>
    </row>
    <row r="145" spans="1:7">
      <c r="A145" t="s">
        <v>137</v>
      </c>
      <c r="B145">
        <v>2023</v>
      </c>
      <c r="C145" t="s">
        <v>504</v>
      </c>
      <c r="D145" t="s">
        <v>506</v>
      </c>
      <c r="E145">
        <v>9</v>
      </c>
      <c r="F145" t="s">
        <v>439</v>
      </c>
      <c r="G145" t="s">
        <v>19</v>
      </c>
    </row>
    <row r="146" spans="1:7">
      <c r="A146" t="s">
        <v>140</v>
      </c>
      <c r="B146">
        <v>2023</v>
      </c>
      <c r="C146" t="s">
        <v>504</v>
      </c>
      <c r="D146" t="s">
        <v>505</v>
      </c>
      <c r="E146">
        <v>14</v>
      </c>
      <c r="F146" t="s">
        <v>440</v>
      </c>
      <c r="G146" t="s">
        <v>20</v>
      </c>
    </row>
    <row r="147" spans="1:7">
      <c r="A147" t="s">
        <v>140</v>
      </c>
      <c r="B147">
        <v>2023</v>
      </c>
      <c r="C147" t="s">
        <v>504</v>
      </c>
      <c r="D147" t="s">
        <v>506</v>
      </c>
      <c r="E147">
        <v>4</v>
      </c>
      <c r="F147" t="s">
        <v>440</v>
      </c>
      <c r="G147" t="s">
        <v>20</v>
      </c>
    </row>
    <row r="148" spans="1:7">
      <c r="A148" t="s">
        <v>123</v>
      </c>
      <c r="B148">
        <v>2023</v>
      </c>
      <c r="C148" t="s">
        <v>504</v>
      </c>
      <c r="D148" t="s">
        <v>505</v>
      </c>
      <c r="E148">
        <v>11</v>
      </c>
      <c r="F148" t="s">
        <v>439</v>
      </c>
      <c r="G148" t="s">
        <v>21</v>
      </c>
    </row>
    <row r="149" spans="1:7">
      <c r="A149" t="s">
        <v>123</v>
      </c>
      <c r="B149">
        <v>2023</v>
      </c>
      <c r="C149" t="s">
        <v>504</v>
      </c>
      <c r="D149" t="s">
        <v>506</v>
      </c>
      <c r="E149">
        <v>6</v>
      </c>
      <c r="F149" t="s">
        <v>439</v>
      </c>
      <c r="G149" t="s">
        <v>21</v>
      </c>
    </row>
    <row r="150" spans="1:7">
      <c r="A150" t="s">
        <v>124</v>
      </c>
      <c r="B150">
        <v>2023</v>
      </c>
      <c r="C150" t="s">
        <v>504</v>
      </c>
      <c r="D150" t="s">
        <v>505</v>
      </c>
      <c r="E150">
        <v>8</v>
      </c>
      <c r="F150" t="s">
        <v>439</v>
      </c>
      <c r="G150" t="s">
        <v>18</v>
      </c>
    </row>
    <row r="151" spans="1:7">
      <c r="A151" t="s">
        <v>124</v>
      </c>
      <c r="B151">
        <v>2023</v>
      </c>
      <c r="C151" t="s">
        <v>504</v>
      </c>
      <c r="D151" t="s">
        <v>506</v>
      </c>
      <c r="E151">
        <v>3</v>
      </c>
      <c r="F151" t="s">
        <v>439</v>
      </c>
      <c r="G151" t="s">
        <v>18</v>
      </c>
    </row>
    <row r="152" spans="1:7">
      <c r="A152" t="s">
        <v>131</v>
      </c>
      <c r="B152">
        <v>2023</v>
      </c>
      <c r="C152" t="s">
        <v>504</v>
      </c>
      <c r="D152" t="s">
        <v>505</v>
      </c>
      <c r="E152">
        <v>97</v>
      </c>
      <c r="F152" t="s">
        <v>439</v>
      </c>
      <c r="G152" t="s">
        <v>13</v>
      </c>
    </row>
    <row r="153" spans="1:7">
      <c r="A153" t="s">
        <v>131</v>
      </c>
      <c r="B153">
        <v>2023</v>
      </c>
      <c r="C153" t="s">
        <v>504</v>
      </c>
      <c r="D153" t="s">
        <v>506</v>
      </c>
      <c r="E153">
        <v>21</v>
      </c>
      <c r="F153" t="s">
        <v>439</v>
      </c>
      <c r="G153" t="s">
        <v>13</v>
      </c>
    </row>
    <row r="154" spans="1:7">
      <c r="A154" t="s">
        <v>136</v>
      </c>
      <c r="B154">
        <v>2023</v>
      </c>
      <c r="C154" t="s">
        <v>504</v>
      </c>
      <c r="D154" t="s">
        <v>505</v>
      </c>
      <c r="E154">
        <v>27</v>
      </c>
      <c r="F154" t="s">
        <v>439</v>
      </c>
      <c r="G154" t="s">
        <v>14</v>
      </c>
    </row>
    <row r="155" spans="1:7">
      <c r="A155" t="s">
        <v>136</v>
      </c>
      <c r="B155">
        <v>2023</v>
      </c>
      <c r="C155" t="s">
        <v>504</v>
      </c>
      <c r="D155" t="s">
        <v>506</v>
      </c>
      <c r="E155">
        <v>4</v>
      </c>
      <c r="F155" t="s">
        <v>439</v>
      </c>
      <c r="G155" t="s">
        <v>14</v>
      </c>
    </row>
    <row r="156" spans="1:7">
      <c r="A156" t="s">
        <v>139</v>
      </c>
      <c r="B156">
        <v>2023</v>
      </c>
      <c r="C156" t="s">
        <v>504</v>
      </c>
      <c r="D156" t="s">
        <v>505</v>
      </c>
      <c r="E156">
        <v>6</v>
      </c>
      <c r="F156" t="s">
        <v>439</v>
      </c>
      <c r="G156" t="s">
        <v>22</v>
      </c>
    </row>
    <row r="157" spans="1:7">
      <c r="A157" t="s">
        <v>139</v>
      </c>
      <c r="B157">
        <v>2023</v>
      </c>
      <c r="C157" t="s">
        <v>504</v>
      </c>
      <c r="D157" t="s">
        <v>506</v>
      </c>
      <c r="E157">
        <v>1</v>
      </c>
      <c r="F157" t="s">
        <v>439</v>
      </c>
      <c r="G157" t="s">
        <v>22</v>
      </c>
    </row>
    <row r="158" spans="1:7">
      <c r="A158" t="s">
        <v>141</v>
      </c>
      <c r="B158">
        <v>2023</v>
      </c>
      <c r="C158" t="s">
        <v>504</v>
      </c>
      <c r="D158" t="s">
        <v>505</v>
      </c>
      <c r="E158">
        <v>59</v>
      </c>
      <c r="F158" t="s">
        <v>439</v>
      </c>
      <c r="G158" t="s">
        <v>17</v>
      </c>
    </row>
    <row r="159" spans="1:7">
      <c r="A159" t="s">
        <v>141</v>
      </c>
      <c r="B159">
        <v>2023</v>
      </c>
      <c r="C159" t="s">
        <v>504</v>
      </c>
      <c r="D159" t="s">
        <v>506</v>
      </c>
      <c r="E159">
        <v>5</v>
      </c>
      <c r="F159" t="s">
        <v>439</v>
      </c>
      <c r="G159" t="s">
        <v>17</v>
      </c>
    </row>
    <row r="160" spans="1:7">
      <c r="A160" t="s">
        <v>132</v>
      </c>
      <c r="B160">
        <v>2023</v>
      </c>
      <c r="C160" t="s">
        <v>504</v>
      </c>
      <c r="D160" t="s">
        <v>505</v>
      </c>
      <c r="E160">
        <v>28</v>
      </c>
      <c r="F160" t="s">
        <v>440</v>
      </c>
      <c r="G160" t="s">
        <v>16</v>
      </c>
    </row>
    <row r="161" spans="1:7">
      <c r="A161" t="s">
        <v>132</v>
      </c>
      <c r="B161">
        <v>2023</v>
      </c>
      <c r="C161" t="s">
        <v>504</v>
      </c>
      <c r="D161" t="s">
        <v>506</v>
      </c>
      <c r="E161">
        <v>3</v>
      </c>
      <c r="F161" t="s">
        <v>440</v>
      </c>
      <c r="G161" t="s">
        <v>16</v>
      </c>
    </row>
    <row r="162" spans="1:7">
      <c r="A162" t="s">
        <v>135</v>
      </c>
      <c r="B162">
        <v>2023</v>
      </c>
      <c r="C162" t="s">
        <v>504</v>
      </c>
      <c r="D162" t="s">
        <v>505</v>
      </c>
      <c r="E162">
        <v>61</v>
      </c>
      <c r="F162" t="s">
        <v>440</v>
      </c>
      <c r="G162" t="s">
        <v>23</v>
      </c>
    </row>
    <row r="163" spans="1:7">
      <c r="A163" t="s">
        <v>135</v>
      </c>
      <c r="B163">
        <v>2023</v>
      </c>
      <c r="C163" t="s">
        <v>504</v>
      </c>
      <c r="D163" t="s">
        <v>506</v>
      </c>
      <c r="E163">
        <v>6</v>
      </c>
      <c r="F163" t="s">
        <v>440</v>
      </c>
      <c r="G163" t="s">
        <v>23</v>
      </c>
    </row>
    <row r="164" spans="1:7">
      <c r="A164" t="s">
        <v>138</v>
      </c>
      <c r="B164">
        <v>2023</v>
      </c>
      <c r="C164" t="s">
        <v>504</v>
      </c>
      <c r="D164" t="s">
        <v>505</v>
      </c>
      <c r="E164">
        <v>42</v>
      </c>
      <c r="F164" t="s">
        <v>440</v>
      </c>
      <c r="G164" t="s">
        <v>15</v>
      </c>
    </row>
    <row r="165" spans="1:7">
      <c r="A165" t="s">
        <v>138</v>
      </c>
      <c r="B165">
        <v>2023</v>
      </c>
      <c r="C165" t="s">
        <v>504</v>
      </c>
      <c r="D165" t="s">
        <v>506</v>
      </c>
      <c r="E165">
        <v>7</v>
      </c>
      <c r="F165" t="s">
        <v>440</v>
      </c>
      <c r="G165" t="s">
        <v>15</v>
      </c>
    </row>
    <row r="166" spans="1:7">
      <c r="A166" t="s">
        <v>137</v>
      </c>
      <c r="B166">
        <v>2023</v>
      </c>
      <c r="C166" t="s">
        <v>504</v>
      </c>
      <c r="D166" t="s">
        <v>505</v>
      </c>
      <c r="E166">
        <v>11</v>
      </c>
      <c r="F166" t="s">
        <v>439</v>
      </c>
      <c r="G166" t="s">
        <v>19</v>
      </c>
    </row>
    <row r="167" spans="1:7">
      <c r="A167" t="s">
        <v>137</v>
      </c>
      <c r="B167">
        <v>2023</v>
      </c>
      <c r="C167" t="s">
        <v>504</v>
      </c>
      <c r="D167" t="s">
        <v>506</v>
      </c>
      <c r="E167">
        <v>6</v>
      </c>
      <c r="F167" t="s">
        <v>439</v>
      </c>
      <c r="G167" t="s">
        <v>19</v>
      </c>
    </row>
    <row r="168" spans="1:7">
      <c r="A168" t="s">
        <v>140</v>
      </c>
      <c r="B168">
        <v>2023</v>
      </c>
      <c r="C168" t="s">
        <v>504</v>
      </c>
      <c r="D168" t="s">
        <v>505</v>
      </c>
      <c r="E168">
        <v>12</v>
      </c>
      <c r="F168" t="s">
        <v>440</v>
      </c>
      <c r="G168" t="s">
        <v>20</v>
      </c>
    </row>
    <row r="169" spans="1:7">
      <c r="A169" t="s">
        <v>140</v>
      </c>
      <c r="B169">
        <v>2023</v>
      </c>
      <c r="C169" t="s">
        <v>504</v>
      </c>
      <c r="D169" t="s">
        <v>506</v>
      </c>
      <c r="E169">
        <v>3</v>
      </c>
      <c r="F169" t="s">
        <v>440</v>
      </c>
      <c r="G169" t="s">
        <v>20</v>
      </c>
    </row>
  </sheetData>
  <pageMargins left="0.7" right="0.7" top="0.75" bottom="0.75" header="0.3" footer="0.3"/>
  <pageSetup paperSize="9" orientation="portrait" verticalDpi="0" r:id="rId1"/>
  <headerFooter>
    <oddFooter>&amp;R&amp;1#&amp;"Calibri"&amp;10&amp;K000000C2 - Confidential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342A0-F6CE-42E2-B30A-D3BEBDC808BA}">
  <dimension ref="A2:D79"/>
  <sheetViews>
    <sheetView topLeftCell="A36" workbookViewId="0">
      <selection activeCell="B40" sqref="B40"/>
    </sheetView>
  </sheetViews>
  <sheetFormatPr baseColWidth="10" defaultRowHeight="14.4"/>
  <cols>
    <col min="1" max="1" width="11.44140625" style="880"/>
    <col min="2" max="2" width="21" bestFit="1" customWidth="1"/>
    <col min="3" max="3" width="11.44140625" bestFit="1" customWidth="1"/>
    <col min="4" max="4" width="8.109375" bestFit="1" customWidth="1"/>
  </cols>
  <sheetData>
    <row r="2" spans="1:2" ht="15" thickBot="1">
      <c r="B2" t="s">
        <v>528</v>
      </c>
    </row>
    <row r="3" spans="1:2" ht="15.6" thickTop="1" thickBot="1">
      <c r="A3" s="881">
        <v>44926</v>
      </c>
      <c r="B3" s="124">
        <f>'Tableau détaillé'!F185</f>
        <v>1972228</v>
      </c>
    </row>
    <row r="4" spans="1:2" ht="15.6" thickTop="1" thickBot="1">
      <c r="A4" s="881">
        <f>A39</f>
        <v>45291</v>
      </c>
      <c r="B4" s="124">
        <f>'Tableau détaillé'!G185</f>
        <v>2002484</v>
      </c>
    </row>
    <row r="5" spans="1:2" ht="15" thickTop="1">
      <c r="B5" s="885">
        <f>'Tableau détaillé'!H185</f>
        <v>1.5341025479812753E-2</v>
      </c>
    </row>
    <row r="13" spans="1:2" ht="15" thickBot="1">
      <c r="A13" s="27"/>
      <c r="B13" t="s">
        <v>529</v>
      </c>
    </row>
    <row r="14" spans="1:2" ht="15.6" thickTop="1" thickBot="1">
      <c r="A14" s="881">
        <v>44926</v>
      </c>
      <c r="B14" s="209">
        <f>'Tableau détaillé'!F203</f>
        <v>1287715.9999991572</v>
      </c>
    </row>
    <row r="15" spans="1:2" ht="15.6" thickTop="1" thickBot="1">
      <c r="A15" s="881">
        <f>A4</f>
        <v>45291</v>
      </c>
      <c r="B15" s="209">
        <f>'Tableau détaillé'!G203</f>
        <v>1317175.9999991693</v>
      </c>
    </row>
    <row r="16" spans="1:2" ht="15" thickTop="1">
      <c r="B16" s="885">
        <f>'Tableau détaillé'!H203</f>
        <v>2.2877715272646704E-2</v>
      </c>
    </row>
    <row r="25" spans="1:2" ht="15" thickBot="1">
      <c r="B25" t="s">
        <v>530</v>
      </c>
    </row>
    <row r="26" spans="1:2" ht="15.6" thickTop="1" thickBot="1">
      <c r="A26" s="881">
        <v>44681</v>
      </c>
      <c r="B26" s="416">
        <f>'Tableau détaillé'!E220</f>
        <v>189442</v>
      </c>
    </row>
    <row r="27" spans="1:2" ht="15.6" thickTop="1" thickBot="1">
      <c r="A27" s="881">
        <f>A15</f>
        <v>45291</v>
      </c>
      <c r="B27" s="416">
        <f>'Tableau détaillé'!G220</f>
        <v>177142</v>
      </c>
    </row>
    <row r="28" spans="1:2" ht="15" thickTop="1">
      <c r="B28" s="883">
        <f>'Tableau détaillé'!H220</f>
        <v>-6.4927523991511915E-2</v>
      </c>
    </row>
    <row r="37" spans="1:2" ht="15" thickBot="1">
      <c r="A37" s="27"/>
      <c r="B37" s="880" t="s">
        <v>531</v>
      </c>
    </row>
    <row r="38" spans="1:2" ht="15.6" thickTop="1" thickBot="1">
      <c r="A38" s="881">
        <v>44926</v>
      </c>
      <c r="B38" s="104">
        <f>'Tableau détaillé'!F36</f>
        <v>0.44680167774399998</v>
      </c>
    </row>
    <row r="39" spans="1:2" ht="15.6" thickTop="1" thickBot="1">
      <c r="A39" s="881">
        <f>'Tableau détaillé'!G2</f>
        <v>45291</v>
      </c>
      <c r="B39" s="104">
        <f>'Tableau détaillé'!G36</f>
        <v>0.457401656612</v>
      </c>
    </row>
    <row r="40" spans="1:2" ht="15" thickTop="1">
      <c r="B40" s="38">
        <f>'Tableau détaillé'!H36</f>
        <v>1.0599978868000015</v>
      </c>
    </row>
    <row r="50" spans="1:4" ht="15" thickBot="1">
      <c r="B50" s="882" t="s">
        <v>532</v>
      </c>
    </row>
    <row r="51" spans="1:4" ht="15.6" thickTop="1" thickBot="1">
      <c r="A51" s="881">
        <v>44926</v>
      </c>
      <c r="B51" s="124">
        <f>'Tableau détaillé'!F52/1000</f>
        <v>3929.8009608900006</v>
      </c>
    </row>
    <row r="52" spans="1:4" ht="15.6" thickTop="1" thickBot="1">
      <c r="A52" s="881">
        <f>A39</f>
        <v>45291</v>
      </c>
      <c r="B52" s="124">
        <f>'Tableau détaillé'!G52/1000</f>
        <v>4033.0060909899998</v>
      </c>
    </row>
    <row r="53" spans="1:4" ht="15" thickTop="1">
      <c r="B53" s="883">
        <f>'Tableau détaillé'!H52</f>
        <v>4.9873568684914771E-2</v>
      </c>
    </row>
    <row r="57" spans="1:4" ht="15" thickBot="1">
      <c r="B57" t="s">
        <v>206</v>
      </c>
    </row>
    <row r="58" spans="1:4" ht="15.6" thickTop="1" thickBot="1">
      <c r="B58" s="881">
        <v>44926</v>
      </c>
      <c r="C58" s="881">
        <f>A39</f>
        <v>45291</v>
      </c>
      <c r="D58" t="s">
        <v>533</v>
      </c>
    </row>
    <row r="59" spans="1:4" ht="15" thickTop="1">
      <c r="A59" s="48" t="s">
        <v>535</v>
      </c>
      <c r="B59" s="124">
        <f>'Tableau détaillé'!F28/1000</f>
        <v>1725.9598832099998</v>
      </c>
      <c r="C59" s="124">
        <f>'Tableau détaillé'!G28/1000</f>
        <v>1774.9600133699996</v>
      </c>
      <c r="D59" s="885">
        <f>'Tableau détaillé'!H28</f>
        <v>6.0507364885236337E-2</v>
      </c>
    </row>
    <row r="60" spans="1:4" ht="15" thickBot="1">
      <c r="A60" s="49" t="s">
        <v>536</v>
      </c>
      <c r="B60" s="129">
        <f>'Tableau détaillé'!F33/1000</f>
        <v>565.49196672999994</v>
      </c>
      <c r="C60" s="129">
        <f>'Tableau détaillé'!G33/1000</f>
        <v>627.06472522000001</v>
      </c>
      <c r="D60" s="885">
        <f>'Tableau détaillé'!H33</f>
        <v>0.13202665705230698</v>
      </c>
    </row>
    <row r="61" spans="1:4" ht="15.6" thickTop="1" thickBot="1">
      <c r="A61" s="49" t="s">
        <v>537</v>
      </c>
      <c r="B61" s="198">
        <f>'Tableau détaillé'!F20/1000</f>
        <v>2291.4518499400001</v>
      </c>
      <c r="C61" s="198">
        <f>'Tableau détaillé'!G20/1000</f>
        <v>2402.0247385899997</v>
      </c>
      <c r="D61" s="885">
        <f>'Tableau détaillé'!H20</f>
        <v>7.8157129242167001E-2</v>
      </c>
    </row>
    <row r="62" spans="1:4" ht="15" thickTop="1"/>
    <row r="74" spans="1:4" ht="15" thickBot="1">
      <c r="A74" s="884"/>
      <c r="B74" s="884" t="s">
        <v>534</v>
      </c>
      <c r="C74" s="884"/>
      <c r="D74" s="884"/>
    </row>
    <row r="75" spans="1:4" ht="15.6" thickTop="1" thickBot="1">
      <c r="A75" s="884"/>
      <c r="B75" s="881">
        <f>'Tableau détaillé'!E2</f>
        <v>44926</v>
      </c>
      <c r="C75" s="881">
        <f>C58</f>
        <v>45291</v>
      </c>
      <c r="D75" s="884" t="s">
        <v>533</v>
      </c>
    </row>
    <row r="76" spans="1:4" ht="15" thickTop="1">
      <c r="A76" s="48" t="s">
        <v>535</v>
      </c>
      <c r="B76" s="124">
        <f>'Tableau détaillé'!E13/1000</f>
        <v>774.98129222999989</v>
      </c>
      <c r="C76" s="124">
        <f>'Tableau détaillé'!G13/1000</f>
        <v>712.78761170999996</v>
      </c>
      <c r="D76" s="885">
        <f>'Tableau détaillé'!L13</f>
        <v>-4.3779161782070086E-2</v>
      </c>
    </row>
    <row r="77" spans="1:4" ht="15" thickBot="1">
      <c r="A77" s="49" t="s">
        <v>536</v>
      </c>
      <c r="B77" s="129">
        <f>'Tableau détaillé'!E18/1000</f>
        <v>362.42463209000005</v>
      </c>
      <c r="C77" s="129">
        <f>'Tableau détaillé'!G18/1000</f>
        <v>375.03108015999999</v>
      </c>
      <c r="D77" s="885">
        <f>'Tableau détaillé'!L18</f>
        <v>5.8917726309541729E-2</v>
      </c>
    </row>
    <row r="78" spans="1:4" ht="15.6" thickTop="1" thickBot="1">
      <c r="A78" s="49" t="s">
        <v>537</v>
      </c>
      <c r="B78" s="198">
        <f>'Tableau détaillé'!E5/1000</f>
        <v>1137.4059243199999</v>
      </c>
      <c r="C78" s="198">
        <f>'Tableau détaillé'!G5/1000</f>
        <v>1087.8186918700001</v>
      </c>
      <c r="D78" s="885">
        <f>'Tableau détaillé'!L5</f>
        <v>-1.1055680140595214E-2</v>
      </c>
    </row>
    <row r="79" spans="1:4" ht="15" thickTop="1"/>
  </sheetData>
  <pageMargins left="0.7" right="0.7" top="0.75" bottom="0.75" header="0.3" footer="0.3"/>
  <pageSetup paperSize="9" orientation="portrait" r:id="rId1"/>
  <headerFooter>
    <oddFooter>&amp;R&amp;1#&amp;"Calibri"&amp;10&amp;K000000C2 - Confidential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09425-6EBC-48EE-BAC2-98980F15B94E}">
  <dimension ref="D6:F18"/>
  <sheetViews>
    <sheetView topLeftCell="A4" workbookViewId="0">
      <selection activeCell="I27" sqref="I27"/>
    </sheetView>
  </sheetViews>
  <sheetFormatPr baseColWidth="10" defaultColWidth="11.5546875" defaultRowHeight="14.4"/>
  <cols>
    <col min="1" max="3" width="11.5546875" style="870"/>
    <col min="4" max="4" width="11.109375" style="870" customWidth="1"/>
    <col min="5" max="5" width="12.44140625" style="870" customWidth="1"/>
    <col min="6" max="6" width="10.88671875" style="870" customWidth="1"/>
    <col min="7" max="16384" width="11.5546875" style="870"/>
  </cols>
  <sheetData>
    <row r="6" spans="4:6">
      <c r="E6" s="870" t="s">
        <v>520</v>
      </c>
      <c r="F6" s="870" t="s">
        <v>521</v>
      </c>
    </row>
    <row r="7" spans="4:6">
      <c r="D7" s="870" t="s">
        <v>522</v>
      </c>
      <c r="E7" s="879">
        <v>61850</v>
      </c>
      <c r="F7" s="889">
        <v>67275</v>
      </c>
    </row>
    <row r="8" spans="4:6">
      <c r="D8" s="870" t="s">
        <v>523</v>
      </c>
      <c r="E8" s="879">
        <v>75738.040429999994</v>
      </c>
      <c r="F8" s="889">
        <v>77088.727920000005</v>
      </c>
    </row>
    <row r="9" spans="4:6">
      <c r="D9" s="870" t="s">
        <v>524</v>
      </c>
      <c r="E9" s="879">
        <v>99435.941099999996</v>
      </c>
      <c r="F9" s="889">
        <v>96397.155650000001</v>
      </c>
    </row>
    <row r="10" spans="4:6">
      <c r="D10" s="870" t="s">
        <v>525</v>
      </c>
      <c r="E10" s="879">
        <v>89159.802899999995</v>
      </c>
      <c r="F10" s="889">
        <v>79302.926080000005</v>
      </c>
    </row>
    <row r="11" spans="4:6">
      <c r="D11" s="870" t="s">
        <v>539</v>
      </c>
      <c r="E11" s="433">
        <v>90021.372499999998</v>
      </c>
      <c r="F11" s="888">
        <v>94224.593210000006</v>
      </c>
    </row>
    <row r="12" spans="4:6">
      <c r="D12" s="870" t="s">
        <v>540</v>
      </c>
      <c r="E12" s="433">
        <v>96931.777039999986</v>
      </c>
      <c r="F12" s="888">
        <v>94923.482520000005</v>
      </c>
    </row>
    <row r="13" spans="4:6">
      <c r="D13" s="870" t="s">
        <v>542</v>
      </c>
      <c r="E13" s="433">
        <v>101432.53883999999</v>
      </c>
      <c r="F13" s="433">
        <v>96537.993659999993</v>
      </c>
    </row>
    <row r="14" spans="4:6">
      <c r="D14" s="870" t="s">
        <v>544</v>
      </c>
      <c r="E14" s="433">
        <v>112004.43498999999</v>
      </c>
      <c r="F14" s="433">
        <v>107074.85936</v>
      </c>
    </row>
    <row r="15" spans="4:6">
      <c r="D15" s="870" t="s">
        <v>552</v>
      </c>
      <c r="E15" s="433">
        <v>106272.24017999999</v>
      </c>
      <c r="F15" s="433">
        <v>93382.828680000006</v>
      </c>
    </row>
    <row r="16" spans="4:6">
      <c r="D16" s="870" t="s">
        <v>554</v>
      </c>
      <c r="E16" s="433">
        <v>96073.015880000006</v>
      </c>
      <c r="F16" s="433">
        <v>93940.298590000006</v>
      </c>
    </row>
    <row r="17" spans="4:6">
      <c r="D17" s="870" t="s">
        <v>555</v>
      </c>
      <c r="E17" s="433">
        <v>86918.096799999999</v>
      </c>
      <c r="F17" s="433">
        <v>83480.09547</v>
      </c>
    </row>
    <row r="18" spans="4:6">
      <c r="D18" s="870" t="s">
        <v>561</v>
      </c>
      <c r="E18" s="433">
        <v>70329.41936</v>
      </c>
      <c r="F18" s="433">
        <v>68371.41833</v>
      </c>
    </row>
  </sheetData>
  <pageMargins left="0.7" right="0.7" top="0.75" bottom="0.75" header="0.3" footer="0.3"/>
  <pageSetup paperSize="9" orientation="portrait" verticalDpi="0" r:id="rId1"/>
  <headerFooter>
    <oddFooter>&amp;R&amp;1#&amp;"Calibri"&amp;10&amp;K000000C2 - Confidential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D0D27-A9A5-4E68-BA5D-DC9E41716D3A}">
  <dimension ref="F5:H17"/>
  <sheetViews>
    <sheetView topLeftCell="C1" workbookViewId="0">
      <selection activeCell="G27" sqref="G27"/>
    </sheetView>
  </sheetViews>
  <sheetFormatPr baseColWidth="10" defaultColWidth="11.5546875" defaultRowHeight="14.4"/>
  <cols>
    <col min="1" max="5" width="11.5546875" style="874"/>
    <col min="6" max="6" width="13.33203125" style="874" customWidth="1"/>
    <col min="7" max="7" width="17.6640625" style="874" customWidth="1"/>
    <col min="8" max="8" width="21.5546875" style="874" customWidth="1"/>
    <col min="9" max="16384" width="11.5546875" style="874"/>
  </cols>
  <sheetData>
    <row r="5" spans="6:8">
      <c r="G5" s="874" t="s">
        <v>526</v>
      </c>
      <c r="H5" s="874" t="s">
        <v>527</v>
      </c>
    </row>
    <row r="6" spans="6:8">
      <c r="F6" s="874" t="s">
        <v>522</v>
      </c>
      <c r="G6" s="879">
        <v>1983911</v>
      </c>
      <c r="H6" s="879">
        <v>1296049</v>
      </c>
    </row>
    <row r="7" spans="6:8">
      <c r="F7" s="874" t="s">
        <v>523</v>
      </c>
      <c r="G7" s="879">
        <v>1993421</v>
      </c>
      <c r="H7" s="879">
        <v>1309057</v>
      </c>
    </row>
    <row r="8" spans="6:8">
      <c r="F8" s="874" t="s">
        <v>524</v>
      </c>
      <c r="G8" s="879">
        <v>1991687</v>
      </c>
      <c r="H8" s="879">
        <v>1313730</v>
      </c>
    </row>
    <row r="9" spans="6:8">
      <c r="F9" s="874" t="s">
        <v>525</v>
      </c>
      <c r="G9" s="879">
        <v>1997687</v>
      </c>
      <c r="H9" s="879">
        <v>1314244</v>
      </c>
    </row>
    <row r="10" spans="6:8">
      <c r="F10" s="874" t="s">
        <v>539</v>
      </c>
      <c r="G10" s="778">
        <v>2009043</v>
      </c>
      <c r="H10" s="778">
        <v>1312738</v>
      </c>
    </row>
    <row r="11" spans="6:8">
      <c r="F11" s="874" t="s">
        <v>540</v>
      </c>
      <c r="G11" s="433">
        <v>2015717</v>
      </c>
      <c r="H11" s="433">
        <v>1320601</v>
      </c>
    </row>
    <row r="12" spans="6:8">
      <c r="F12" s="874" t="s">
        <v>542</v>
      </c>
      <c r="G12" s="433">
        <v>2022600</v>
      </c>
      <c r="H12" s="433">
        <v>1385766</v>
      </c>
    </row>
    <row r="13" spans="6:8">
      <c r="F13" s="874" t="s">
        <v>544</v>
      </c>
      <c r="G13" s="433">
        <v>2021965</v>
      </c>
      <c r="H13" s="433">
        <v>1394614</v>
      </c>
    </row>
    <row r="14" spans="6:8">
      <c r="F14" s="874" t="s">
        <v>552</v>
      </c>
      <c r="G14" s="433">
        <v>2019331</v>
      </c>
      <c r="H14" s="433">
        <v>1382033</v>
      </c>
    </row>
    <row r="15" spans="6:8">
      <c r="F15" s="874" t="s">
        <v>554</v>
      </c>
      <c r="G15" s="433">
        <v>2020853</v>
      </c>
      <c r="H15" s="433">
        <v>1321480</v>
      </c>
    </row>
    <row r="16" spans="6:8">
      <c r="F16" s="874" t="s">
        <v>555</v>
      </c>
      <c r="G16" s="433">
        <v>2015981</v>
      </c>
      <c r="H16" s="433">
        <v>1320808</v>
      </c>
    </row>
    <row r="17" spans="6:8">
      <c r="F17" s="874" t="s">
        <v>561</v>
      </c>
      <c r="G17" s="433">
        <v>2002484</v>
      </c>
      <c r="H17" s="433">
        <v>1317176</v>
      </c>
    </row>
  </sheetData>
  <pageMargins left="0.7" right="0.7" top="0.75" bottom="0.75" header="0.3" footer="0.3"/>
  <pageSetup paperSize="9" orientation="portrait" verticalDpi="0" r:id="rId1"/>
  <headerFooter>
    <oddFooter>&amp;R&amp;1#&amp;"Calibri"&amp;10&amp;K000000C2 - Confidential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Q751"/>
  <sheetViews>
    <sheetView topLeftCell="C1" workbookViewId="0">
      <selection activeCell="I23" sqref="I23"/>
    </sheetView>
  </sheetViews>
  <sheetFormatPr baseColWidth="10" defaultColWidth="11.44140625" defaultRowHeight="14.4"/>
  <cols>
    <col min="2" max="2" width="12.88671875" style="702" bestFit="1" customWidth="1"/>
    <col min="4" max="4" width="15.44140625" style="778" customWidth="1"/>
    <col min="7" max="7" width="19.6640625" customWidth="1"/>
    <col min="8" max="8" width="21.33203125" style="702" customWidth="1"/>
    <col min="9" max="9" width="20.88671875" bestFit="1" customWidth="1"/>
    <col min="10" max="10" width="22.33203125" bestFit="1" customWidth="1"/>
    <col min="11" max="11" width="10.21875" bestFit="1" customWidth="1"/>
    <col min="12" max="12" width="12.77734375" bestFit="1" customWidth="1"/>
    <col min="13" max="13" width="10.21875" bestFit="1" customWidth="1"/>
    <col min="14" max="14" width="12.77734375" style="702" bestFit="1" customWidth="1"/>
    <col min="15" max="15" width="10.21875" bestFit="1" customWidth="1"/>
    <col min="16" max="16" width="12.5546875" bestFit="1" customWidth="1"/>
    <col min="17" max="17" width="10.33203125" customWidth="1"/>
  </cols>
  <sheetData>
    <row r="1" spans="1:17">
      <c r="A1" s="703" t="s">
        <v>269</v>
      </c>
      <c r="B1" s="703" t="s">
        <v>460</v>
      </c>
      <c r="C1" s="703" t="s">
        <v>458</v>
      </c>
      <c r="D1" s="707" t="s">
        <v>459</v>
      </c>
      <c r="I1" s="207" t="s">
        <v>461</v>
      </c>
      <c r="J1" s="207" t="s">
        <v>471</v>
      </c>
      <c r="N1"/>
    </row>
    <row r="2" spans="1:17">
      <c r="A2" s="704" t="s">
        <v>123</v>
      </c>
      <c r="B2" s="706">
        <v>44712</v>
      </c>
      <c r="C2" s="704" t="s">
        <v>390</v>
      </c>
      <c r="D2" s="708">
        <v>6202</v>
      </c>
      <c r="H2" s="704"/>
      <c r="J2" s="27">
        <v>44895</v>
      </c>
      <c r="L2" s="27">
        <v>45260</v>
      </c>
      <c r="N2"/>
    </row>
    <row r="3" spans="1:17">
      <c r="A3" s="704" t="s">
        <v>123</v>
      </c>
      <c r="B3" s="706">
        <v>44712</v>
      </c>
      <c r="C3" s="704" t="s">
        <v>410</v>
      </c>
      <c r="D3" s="708">
        <v>2962</v>
      </c>
      <c r="G3" s="30" t="s">
        <v>64</v>
      </c>
      <c r="H3" s="704"/>
      <c r="I3" s="207" t="s">
        <v>472</v>
      </c>
      <c r="J3" s="905" t="s">
        <v>390</v>
      </c>
      <c r="K3" s="905" t="s">
        <v>410</v>
      </c>
      <c r="L3" s="905" t="s">
        <v>390</v>
      </c>
      <c r="M3" s="905" t="s">
        <v>410</v>
      </c>
      <c r="N3"/>
    </row>
    <row r="4" spans="1:17">
      <c r="A4" s="704" t="s">
        <v>124</v>
      </c>
      <c r="B4" s="706">
        <v>44712</v>
      </c>
      <c r="C4" s="704" t="s">
        <v>390</v>
      </c>
      <c r="D4" s="708">
        <v>31041</v>
      </c>
      <c r="G4" s="48" t="s">
        <v>62</v>
      </c>
      <c r="H4" s="47" t="s">
        <v>13</v>
      </c>
      <c r="I4" s="208" t="s">
        <v>131</v>
      </c>
      <c r="J4" s="209">
        <v>88379</v>
      </c>
      <c r="K4" s="209">
        <v>19517</v>
      </c>
      <c r="L4" s="209">
        <v>102616</v>
      </c>
      <c r="M4" s="209">
        <v>21318</v>
      </c>
      <c r="N4"/>
      <c r="P4" s="729" t="e">
        <f>+GETPIVOTDATA("Nb_contrats",$I$1,"Entity","CIV","Date_valid",DATE(2021,6,30),"Renew","O")/(SUM(J4:K4))</f>
        <v>#REF!</v>
      </c>
      <c r="Q4" s="729" t="e">
        <f>+GETPIVOTDATA("Nb_contrats",$I$1,"Entity","CIV","Date_valid",DATE(2022,6,30),"Renew","O")/(SUM(L4:M4))</f>
        <v>#REF!</v>
      </c>
    </row>
    <row r="5" spans="1:17">
      <c r="A5" s="704" t="s">
        <v>124</v>
      </c>
      <c r="B5" s="706">
        <v>44712</v>
      </c>
      <c r="C5" s="704" t="s">
        <v>410</v>
      </c>
      <c r="D5" s="708">
        <v>18644</v>
      </c>
      <c r="G5" s="48" t="s">
        <v>62</v>
      </c>
      <c r="H5" s="47" t="s">
        <v>14</v>
      </c>
      <c r="I5" s="208" t="s">
        <v>136</v>
      </c>
      <c r="J5" s="209">
        <v>39158</v>
      </c>
      <c r="K5" s="209">
        <v>18800</v>
      </c>
      <c r="L5" s="209">
        <v>38105</v>
      </c>
      <c r="M5" s="209">
        <v>19637</v>
      </c>
      <c r="N5"/>
    </row>
    <row r="6" spans="1:17">
      <c r="A6" s="704" t="s">
        <v>131</v>
      </c>
      <c r="B6" s="706">
        <v>44712</v>
      </c>
      <c r="C6" s="704" t="s">
        <v>390</v>
      </c>
      <c r="D6" s="708">
        <v>81597</v>
      </c>
      <c r="G6" s="48" t="s">
        <v>62</v>
      </c>
      <c r="H6" s="47" t="s">
        <v>17</v>
      </c>
      <c r="I6" s="208" t="s">
        <v>141</v>
      </c>
      <c r="J6" s="209">
        <v>95725</v>
      </c>
      <c r="K6" s="209">
        <v>12852</v>
      </c>
      <c r="L6" s="209">
        <v>43328</v>
      </c>
      <c r="M6" s="209">
        <v>12353</v>
      </c>
      <c r="N6"/>
    </row>
    <row r="7" spans="1:17">
      <c r="A7" s="704" t="s">
        <v>131</v>
      </c>
      <c r="B7" s="706">
        <v>44712</v>
      </c>
      <c r="C7" s="704" t="s">
        <v>410</v>
      </c>
      <c r="D7" s="708">
        <v>19483</v>
      </c>
      <c r="G7" s="48" t="s">
        <v>62</v>
      </c>
      <c r="H7" s="47" t="s">
        <v>18</v>
      </c>
      <c r="I7" s="208" t="s">
        <v>124</v>
      </c>
      <c r="J7" s="209">
        <v>33203</v>
      </c>
      <c r="K7" s="209">
        <v>18735</v>
      </c>
      <c r="L7" s="209">
        <v>29237</v>
      </c>
      <c r="M7" s="209">
        <v>17771</v>
      </c>
      <c r="N7"/>
    </row>
    <row r="8" spans="1:17">
      <c r="A8" s="704" t="s">
        <v>136</v>
      </c>
      <c r="B8" s="706">
        <v>44712</v>
      </c>
      <c r="C8" s="704" t="s">
        <v>390</v>
      </c>
      <c r="D8" s="708">
        <v>40346</v>
      </c>
      <c r="G8" s="48" t="s">
        <v>62</v>
      </c>
      <c r="H8" s="47" t="s">
        <v>19</v>
      </c>
      <c r="I8" s="208" t="s">
        <v>137</v>
      </c>
      <c r="J8" s="209">
        <v>34154</v>
      </c>
      <c r="K8" s="209">
        <v>5835</v>
      </c>
      <c r="L8" s="209">
        <v>28829</v>
      </c>
      <c r="M8" s="209">
        <v>6292</v>
      </c>
      <c r="N8"/>
    </row>
    <row r="9" spans="1:17">
      <c r="A9" s="704" t="s">
        <v>136</v>
      </c>
      <c r="B9" s="706">
        <v>44712</v>
      </c>
      <c r="C9" s="704" t="s">
        <v>410</v>
      </c>
      <c r="D9" s="708">
        <v>18671</v>
      </c>
      <c r="G9" s="48" t="s">
        <v>62</v>
      </c>
      <c r="H9" s="47" t="s">
        <v>21</v>
      </c>
      <c r="I9" s="208" t="s">
        <v>123</v>
      </c>
      <c r="J9" s="209">
        <v>6179</v>
      </c>
      <c r="K9" s="209">
        <v>2906</v>
      </c>
      <c r="L9" s="209">
        <v>5109</v>
      </c>
      <c r="M9" s="209">
        <v>2825</v>
      </c>
      <c r="N9"/>
    </row>
    <row r="10" spans="1:17">
      <c r="A10" s="704" t="s">
        <v>137</v>
      </c>
      <c r="B10" s="706">
        <v>44712</v>
      </c>
      <c r="C10" s="704" t="s">
        <v>390</v>
      </c>
      <c r="D10" s="708">
        <v>28433</v>
      </c>
      <c r="G10" s="48" t="s">
        <v>62</v>
      </c>
      <c r="H10" s="47" t="s">
        <v>22</v>
      </c>
      <c r="I10" s="208" t="s">
        <v>139</v>
      </c>
      <c r="J10" s="209">
        <v>21332</v>
      </c>
      <c r="K10" s="209">
        <v>870</v>
      </c>
      <c r="L10" s="209">
        <v>23383</v>
      </c>
      <c r="M10" s="209">
        <v>501</v>
      </c>
      <c r="N10"/>
    </row>
    <row r="11" spans="1:17">
      <c r="A11" s="704" t="s">
        <v>137</v>
      </c>
      <c r="B11" s="706">
        <v>44712</v>
      </c>
      <c r="C11" s="704" t="s">
        <v>410</v>
      </c>
      <c r="D11" s="708">
        <v>4224</v>
      </c>
      <c r="G11" s="48" t="s">
        <v>63</v>
      </c>
      <c r="H11" s="47" t="s">
        <v>15</v>
      </c>
      <c r="I11" s="208" t="s">
        <v>138</v>
      </c>
      <c r="J11" s="209">
        <v>85434</v>
      </c>
      <c r="K11" s="209">
        <v>60985</v>
      </c>
      <c r="L11" s="209">
        <v>87796</v>
      </c>
      <c r="M11" s="209">
        <v>67961</v>
      </c>
      <c r="N11"/>
    </row>
    <row r="12" spans="1:17">
      <c r="A12" s="704" t="s">
        <v>139</v>
      </c>
      <c r="B12" s="706">
        <v>44712</v>
      </c>
      <c r="C12" s="704" t="s">
        <v>390</v>
      </c>
      <c r="D12" s="708">
        <v>20884</v>
      </c>
      <c r="G12" s="48" t="s">
        <v>63</v>
      </c>
      <c r="H12" s="47" t="s">
        <v>16</v>
      </c>
      <c r="I12" s="208" t="s">
        <v>132</v>
      </c>
      <c r="J12" s="209">
        <v>28895</v>
      </c>
      <c r="K12" s="209">
        <v>26146</v>
      </c>
      <c r="L12" s="209">
        <v>41448</v>
      </c>
      <c r="M12" s="209">
        <v>27915</v>
      </c>
      <c r="N12"/>
    </row>
    <row r="13" spans="1:17">
      <c r="A13" s="704" t="s">
        <v>139</v>
      </c>
      <c r="B13" s="706">
        <v>44712</v>
      </c>
      <c r="C13" s="704" t="s">
        <v>410</v>
      </c>
      <c r="D13" s="708">
        <v>372</v>
      </c>
      <c r="G13" s="48" t="s">
        <v>63</v>
      </c>
      <c r="H13" s="47" t="s">
        <v>20</v>
      </c>
      <c r="I13" s="208" t="s">
        <v>140</v>
      </c>
      <c r="J13" s="209">
        <v>15683</v>
      </c>
      <c r="K13" s="209">
        <v>1980</v>
      </c>
      <c r="L13" s="209">
        <v>13824</v>
      </c>
      <c r="M13" s="209">
        <v>2407</v>
      </c>
      <c r="N13"/>
    </row>
    <row r="14" spans="1:17">
      <c r="A14" s="704" t="s">
        <v>141</v>
      </c>
      <c r="B14" s="706">
        <v>44712</v>
      </c>
      <c r="C14" s="704" t="s">
        <v>390</v>
      </c>
      <c r="D14" s="708">
        <v>92751</v>
      </c>
      <c r="G14" s="48" t="s">
        <v>63</v>
      </c>
      <c r="H14" s="47" t="s">
        <v>23</v>
      </c>
      <c r="I14" s="208" t="s">
        <v>135</v>
      </c>
      <c r="J14" s="209">
        <v>3271</v>
      </c>
      <c r="K14" s="209">
        <v>556</v>
      </c>
      <c r="L14" s="209">
        <v>3311</v>
      </c>
      <c r="M14" s="209">
        <v>708</v>
      </c>
      <c r="N14"/>
    </row>
    <row r="15" spans="1:17">
      <c r="A15" s="704" t="s">
        <v>141</v>
      </c>
      <c r="B15" s="706">
        <v>44712</v>
      </c>
      <c r="C15" s="704" t="s">
        <v>410</v>
      </c>
      <c r="D15" s="708">
        <v>15503</v>
      </c>
      <c r="H15" s="704"/>
      <c r="I15" s="208" t="s">
        <v>473</v>
      </c>
      <c r="J15" s="209">
        <v>451413</v>
      </c>
      <c r="K15" s="209">
        <v>169182</v>
      </c>
      <c r="L15" s="209">
        <v>416986</v>
      </c>
      <c r="M15" s="209">
        <v>179688</v>
      </c>
      <c r="N15"/>
    </row>
    <row r="16" spans="1:17">
      <c r="A16" s="704" t="s">
        <v>132</v>
      </c>
      <c r="B16" s="706">
        <v>44712</v>
      </c>
      <c r="C16" s="704" t="s">
        <v>390</v>
      </c>
      <c r="D16" s="708">
        <v>35401</v>
      </c>
      <c r="G16" s="702"/>
      <c r="H16" s="704"/>
      <c r="M16" s="704"/>
      <c r="N16" s="704"/>
      <c r="O16" s="704"/>
      <c r="P16" s="705"/>
    </row>
    <row r="17" spans="1:16">
      <c r="A17" s="704" t="s">
        <v>132</v>
      </c>
      <c r="B17" s="706">
        <v>44712</v>
      </c>
      <c r="C17" s="704" t="s">
        <v>410</v>
      </c>
      <c r="D17" s="708">
        <v>26072</v>
      </c>
      <c r="G17" s="702"/>
      <c r="H17" s="704"/>
      <c r="M17" s="704"/>
      <c r="N17" s="704"/>
      <c r="O17" s="704"/>
      <c r="P17" s="705"/>
    </row>
    <row r="18" spans="1:16">
      <c r="A18" s="704" t="s">
        <v>135</v>
      </c>
      <c r="B18" s="706">
        <v>44712</v>
      </c>
      <c r="C18" s="704" t="s">
        <v>390</v>
      </c>
      <c r="D18" s="708">
        <v>3167</v>
      </c>
      <c r="G18" s="704"/>
      <c r="H18" s="704"/>
      <c r="M18" s="704"/>
      <c r="N18" s="704"/>
      <c r="O18" s="704"/>
      <c r="P18" s="705"/>
    </row>
    <row r="19" spans="1:16">
      <c r="A19" s="704" t="s">
        <v>135</v>
      </c>
      <c r="B19" s="706">
        <v>44712</v>
      </c>
      <c r="C19" s="704" t="s">
        <v>410</v>
      </c>
      <c r="D19" s="708">
        <v>461</v>
      </c>
      <c r="G19" s="704"/>
      <c r="H19" s="704"/>
      <c r="I19" s="704"/>
      <c r="J19" s="705"/>
      <c r="M19" s="704"/>
      <c r="N19" s="704"/>
      <c r="O19" s="704"/>
      <c r="P19" s="705"/>
    </row>
    <row r="20" spans="1:16">
      <c r="A20" s="704" t="s">
        <v>138</v>
      </c>
      <c r="B20" s="706">
        <v>44712</v>
      </c>
      <c r="C20" s="704" t="s">
        <v>390</v>
      </c>
      <c r="D20" s="708">
        <v>72193</v>
      </c>
      <c r="G20" s="704"/>
      <c r="H20" s="704"/>
      <c r="I20" s="704"/>
      <c r="J20" s="705"/>
      <c r="M20" s="704"/>
      <c r="N20" s="704"/>
      <c r="O20" s="704"/>
      <c r="P20" s="705"/>
    </row>
    <row r="21" spans="1:16">
      <c r="A21" s="704" t="s">
        <v>138</v>
      </c>
      <c r="B21" s="706">
        <v>44712</v>
      </c>
      <c r="C21" s="704" t="s">
        <v>410</v>
      </c>
      <c r="D21" s="708">
        <v>62531</v>
      </c>
      <c r="G21" s="704"/>
      <c r="H21" s="704"/>
      <c r="I21" s="704"/>
      <c r="J21" s="705"/>
      <c r="M21" s="704"/>
      <c r="N21" s="704"/>
      <c r="O21" s="704"/>
      <c r="P21" s="705"/>
    </row>
    <row r="22" spans="1:16">
      <c r="A22" s="704" t="s">
        <v>140</v>
      </c>
      <c r="B22" s="706">
        <v>44712</v>
      </c>
      <c r="C22" s="704" t="s">
        <v>390</v>
      </c>
      <c r="D22" s="708">
        <v>14712</v>
      </c>
      <c r="M22" s="704"/>
      <c r="N22" s="704"/>
      <c r="O22" s="704"/>
      <c r="P22" s="705"/>
    </row>
    <row r="23" spans="1:16">
      <c r="A23" s="704" t="s">
        <v>140</v>
      </c>
      <c r="B23" s="706">
        <v>44712</v>
      </c>
      <c r="C23" s="704" t="s">
        <v>410</v>
      </c>
      <c r="D23" s="708">
        <v>827</v>
      </c>
      <c r="M23" s="704"/>
      <c r="N23" s="704"/>
      <c r="O23" s="704"/>
      <c r="P23" s="705"/>
    </row>
    <row r="24" spans="1:16">
      <c r="A24" s="704" t="s">
        <v>123</v>
      </c>
      <c r="B24" s="706">
        <v>44347</v>
      </c>
      <c r="C24" s="704" t="s">
        <v>390</v>
      </c>
      <c r="D24" s="708">
        <v>6866</v>
      </c>
    </row>
    <row r="25" spans="1:16">
      <c r="A25" s="704" t="s">
        <v>123</v>
      </c>
      <c r="B25" s="706">
        <v>44347</v>
      </c>
      <c r="C25" s="704" t="s">
        <v>410</v>
      </c>
      <c r="D25" s="708">
        <v>2918</v>
      </c>
    </row>
    <row r="26" spans="1:16">
      <c r="A26" s="704" t="s">
        <v>124</v>
      </c>
      <c r="B26" s="706">
        <v>44347</v>
      </c>
      <c r="C26" s="704" t="s">
        <v>390</v>
      </c>
      <c r="D26" s="708">
        <v>34582</v>
      </c>
    </row>
    <row r="27" spans="1:16">
      <c r="A27" s="704" t="s">
        <v>124</v>
      </c>
      <c r="B27" s="706">
        <v>44347</v>
      </c>
      <c r="C27" s="704" t="s">
        <v>410</v>
      </c>
      <c r="D27" s="708">
        <v>17442</v>
      </c>
    </row>
    <row r="28" spans="1:16">
      <c r="A28" s="704" t="s">
        <v>131</v>
      </c>
      <c r="B28" s="706">
        <v>44347</v>
      </c>
      <c r="C28" s="704" t="s">
        <v>390</v>
      </c>
      <c r="D28" s="708">
        <v>75878</v>
      </c>
    </row>
    <row r="29" spans="1:16">
      <c r="A29" s="704" t="s">
        <v>131</v>
      </c>
      <c r="B29" s="706">
        <v>44347</v>
      </c>
      <c r="C29" s="704" t="s">
        <v>410</v>
      </c>
      <c r="D29" s="708">
        <v>17371</v>
      </c>
    </row>
    <row r="30" spans="1:16">
      <c r="A30" s="704" t="s">
        <v>136</v>
      </c>
      <c r="B30" s="706">
        <v>44347</v>
      </c>
      <c r="C30" s="704" t="s">
        <v>390</v>
      </c>
      <c r="D30" s="708">
        <v>44378</v>
      </c>
    </row>
    <row r="31" spans="1:16">
      <c r="A31" s="704" t="s">
        <v>136</v>
      </c>
      <c r="B31" s="706">
        <v>44347</v>
      </c>
      <c r="C31" s="704" t="s">
        <v>410</v>
      </c>
      <c r="D31" s="708">
        <v>16977</v>
      </c>
    </row>
    <row r="32" spans="1:16">
      <c r="A32" s="704" t="s">
        <v>137</v>
      </c>
      <c r="B32" s="706">
        <v>44347</v>
      </c>
      <c r="C32" s="704" t="s">
        <v>390</v>
      </c>
      <c r="D32" s="708">
        <v>39978</v>
      </c>
    </row>
    <row r="33" spans="1:4">
      <c r="A33" s="704" t="s">
        <v>137</v>
      </c>
      <c r="B33" s="706">
        <v>44347</v>
      </c>
      <c r="C33" s="704" t="s">
        <v>410</v>
      </c>
      <c r="D33" s="708">
        <v>3543</v>
      </c>
    </row>
    <row r="34" spans="1:4">
      <c r="A34" s="704" t="s">
        <v>139</v>
      </c>
      <c r="B34" s="706">
        <v>44347</v>
      </c>
      <c r="C34" s="704" t="s">
        <v>390</v>
      </c>
      <c r="D34" s="708">
        <v>15191</v>
      </c>
    </row>
    <row r="35" spans="1:4">
      <c r="A35" s="704" t="s">
        <v>139</v>
      </c>
      <c r="B35" s="706">
        <v>44347</v>
      </c>
      <c r="C35" s="704" t="s">
        <v>410</v>
      </c>
      <c r="D35" s="708">
        <v>417</v>
      </c>
    </row>
    <row r="36" spans="1:4">
      <c r="A36" s="704" t="s">
        <v>141</v>
      </c>
      <c r="B36" s="706">
        <v>44347</v>
      </c>
      <c r="C36" s="704" t="s">
        <v>390</v>
      </c>
      <c r="D36" s="708">
        <v>92199</v>
      </c>
    </row>
    <row r="37" spans="1:4">
      <c r="A37" s="704" t="s">
        <v>141</v>
      </c>
      <c r="B37" s="706">
        <v>44347</v>
      </c>
      <c r="C37" s="704" t="s">
        <v>410</v>
      </c>
      <c r="D37" s="708">
        <v>15179</v>
      </c>
    </row>
    <row r="38" spans="1:4">
      <c r="A38" s="704" t="s">
        <v>132</v>
      </c>
      <c r="B38" s="706">
        <v>44347</v>
      </c>
      <c r="C38" s="704" t="s">
        <v>390</v>
      </c>
      <c r="D38" s="708">
        <v>31965</v>
      </c>
    </row>
    <row r="39" spans="1:4">
      <c r="A39" s="704" t="s">
        <v>132</v>
      </c>
      <c r="B39" s="706">
        <v>44347</v>
      </c>
      <c r="C39" s="704" t="s">
        <v>410</v>
      </c>
      <c r="D39" s="708">
        <v>23301</v>
      </c>
    </row>
    <row r="40" spans="1:4">
      <c r="A40" s="704" t="s">
        <v>135</v>
      </c>
      <c r="B40" s="706">
        <v>44347</v>
      </c>
      <c r="C40" s="704" t="s">
        <v>390</v>
      </c>
      <c r="D40" s="708">
        <v>2695</v>
      </c>
    </row>
    <row r="41" spans="1:4">
      <c r="A41" s="704" t="s">
        <v>135</v>
      </c>
      <c r="B41" s="706">
        <v>44347</v>
      </c>
      <c r="C41" s="704" t="s">
        <v>410</v>
      </c>
      <c r="D41" s="708">
        <v>531</v>
      </c>
    </row>
    <row r="42" spans="1:4">
      <c r="A42" s="704" t="s">
        <v>138</v>
      </c>
      <c r="B42" s="706">
        <v>44347</v>
      </c>
      <c r="C42" s="704" t="s">
        <v>390</v>
      </c>
      <c r="D42" s="708">
        <v>57215</v>
      </c>
    </row>
    <row r="43" spans="1:4">
      <c r="A43" s="704" t="s">
        <v>138</v>
      </c>
      <c r="B43" s="706">
        <v>44347</v>
      </c>
      <c r="C43" s="704" t="s">
        <v>410</v>
      </c>
      <c r="D43" s="708">
        <v>60005</v>
      </c>
    </row>
    <row r="44" spans="1:4">
      <c r="A44" s="704" t="s">
        <v>140</v>
      </c>
      <c r="B44" s="706">
        <v>44347</v>
      </c>
      <c r="C44" s="704" t="s">
        <v>390</v>
      </c>
      <c r="D44" s="708">
        <v>13347</v>
      </c>
    </row>
    <row r="45" spans="1:4">
      <c r="A45" s="704" t="s">
        <v>140</v>
      </c>
      <c r="B45" s="706">
        <v>44347</v>
      </c>
      <c r="C45" s="704" t="s">
        <v>410</v>
      </c>
      <c r="D45" s="708">
        <v>985</v>
      </c>
    </row>
    <row r="46" spans="1:4" s="715" customFormat="1">
      <c r="A46" s="704" t="s">
        <v>123</v>
      </c>
      <c r="B46" s="706">
        <v>44742</v>
      </c>
      <c r="C46" s="704" t="s">
        <v>390</v>
      </c>
      <c r="D46" s="708">
        <v>6116</v>
      </c>
    </row>
    <row r="47" spans="1:4" s="715" customFormat="1">
      <c r="A47" s="704" t="s">
        <v>123</v>
      </c>
      <c r="B47" s="706">
        <v>44742</v>
      </c>
      <c r="C47" s="704" t="s">
        <v>410</v>
      </c>
      <c r="D47" s="708">
        <v>2971</v>
      </c>
    </row>
    <row r="48" spans="1:4" s="715" customFormat="1">
      <c r="A48" s="704" t="s">
        <v>124</v>
      </c>
      <c r="B48" s="706">
        <v>44742</v>
      </c>
      <c r="C48" s="704" t="s">
        <v>390</v>
      </c>
      <c r="D48" s="708">
        <v>30544</v>
      </c>
    </row>
    <row r="49" spans="1:4" s="715" customFormat="1">
      <c r="A49" s="704" t="s">
        <v>124</v>
      </c>
      <c r="B49" s="706">
        <v>44742</v>
      </c>
      <c r="C49" s="704" t="s">
        <v>410</v>
      </c>
      <c r="D49" s="708">
        <v>18570</v>
      </c>
    </row>
    <row r="50" spans="1:4" s="715" customFormat="1">
      <c r="A50" s="704" t="s">
        <v>131</v>
      </c>
      <c r="B50" s="706">
        <v>44742</v>
      </c>
      <c r="C50" s="704" t="s">
        <v>390</v>
      </c>
      <c r="D50" s="708">
        <v>82439</v>
      </c>
    </row>
    <row r="51" spans="1:4" s="715" customFormat="1">
      <c r="A51" s="704" t="s">
        <v>131</v>
      </c>
      <c r="B51" s="706">
        <v>44742</v>
      </c>
      <c r="C51" s="704" t="s">
        <v>410</v>
      </c>
      <c r="D51" s="708">
        <v>19674</v>
      </c>
    </row>
    <row r="52" spans="1:4" s="715" customFormat="1">
      <c r="A52" s="704" t="s">
        <v>136</v>
      </c>
      <c r="B52" s="706">
        <v>44742</v>
      </c>
      <c r="C52" s="704" t="s">
        <v>390</v>
      </c>
      <c r="D52" s="708">
        <v>39984</v>
      </c>
    </row>
    <row r="53" spans="1:4" s="715" customFormat="1">
      <c r="A53" s="704" t="s">
        <v>136</v>
      </c>
      <c r="B53" s="706">
        <v>44742</v>
      </c>
      <c r="C53" s="704" t="s">
        <v>410</v>
      </c>
      <c r="D53" s="708">
        <v>18821</v>
      </c>
    </row>
    <row r="54" spans="1:4" s="715" customFormat="1">
      <c r="A54" s="704" t="s">
        <v>137</v>
      </c>
      <c r="B54" s="706">
        <v>44742</v>
      </c>
      <c r="C54" s="704" t="s">
        <v>390</v>
      </c>
      <c r="D54" s="708">
        <v>27615</v>
      </c>
    </row>
    <row r="55" spans="1:4" s="715" customFormat="1">
      <c r="A55" s="704" t="s">
        <v>137</v>
      </c>
      <c r="B55" s="706">
        <v>44742</v>
      </c>
      <c r="C55" s="704" t="s">
        <v>410</v>
      </c>
      <c r="D55" s="708">
        <v>4187</v>
      </c>
    </row>
    <row r="56" spans="1:4" s="715" customFormat="1">
      <c r="A56" s="704" t="s">
        <v>139</v>
      </c>
      <c r="B56" s="706">
        <v>44742</v>
      </c>
      <c r="C56" s="704" t="s">
        <v>390</v>
      </c>
      <c r="D56" s="708">
        <v>20938</v>
      </c>
    </row>
    <row r="57" spans="1:4" s="715" customFormat="1">
      <c r="A57" s="704" t="s">
        <v>139</v>
      </c>
      <c r="B57" s="706">
        <v>44742</v>
      </c>
      <c r="C57" s="704" t="s">
        <v>410</v>
      </c>
      <c r="D57" s="708">
        <v>369</v>
      </c>
    </row>
    <row r="58" spans="1:4" s="715" customFormat="1">
      <c r="A58" s="704" t="s">
        <v>141</v>
      </c>
      <c r="B58" s="706">
        <v>44742</v>
      </c>
      <c r="C58" s="704" t="s">
        <v>390</v>
      </c>
      <c r="D58" s="708">
        <v>93499</v>
      </c>
    </row>
    <row r="59" spans="1:4" s="715" customFormat="1">
      <c r="A59" s="704" t="s">
        <v>141</v>
      </c>
      <c r="B59" s="706">
        <v>44742</v>
      </c>
      <c r="C59" s="704" t="s">
        <v>410</v>
      </c>
      <c r="D59" s="708">
        <v>15460</v>
      </c>
    </row>
    <row r="60" spans="1:4" s="715" customFormat="1">
      <c r="A60" s="704" t="s">
        <v>132</v>
      </c>
      <c r="B60" s="706">
        <v>44742</v>
      </c>
      <c r="C60" s="704" t="s">
        <v>390</v>
      </c>
      <c r="D60" s="708">
        <v>33758</v>
      </c>
    </row>
    <row r="61" spans="1:4" s="715" customFormat="1">
      <c r="A61" s="704" t="s">
        <v>132</v>
      </c>
      <c r="B61" s="706">
        <v>44742</v>
      </c>
      <c r="C61" s="704" t="s">
        <v>410</v>
      </c>
      <c r="D61" s="708">
        <v>26196</v>
      </c>
    </row>
    <row r="62" spans="1:4" s="715" customFormat="1">
      <c r="A62" s="704" t="s">
        <v>135</v>
      </c>
      <c r="B62" s="706">
        <v>44742</v>
      </c>
      <c r="C62" s="704" t="s">
        <v>390</v>
      </c>
      <c r="D62" s="708">
        <v>3175</v>
      </c>
    </row>
    <row r="63" spans="1:4" s="715" customFormat="1">
      <c r="A63" s="704" t="s">
        <v>135</v>
      </c>
      <c r="B63" s="706">
        <v>44742</v>
      </c>
      <c r="C63" s="704" t="s">
        <v>410</v>
      </c>
      <c r="D63" s="708">
        <v>461</v>
      </c>
    </row>
    <row r="64" spans="1:4" s="715" customFormat="1">
      <c r="A64" s="704" t="s">
        <v>138</v>
      </c>
      <c r="B64" s="706">
        <v>44742</v>
      </c>
      <c r="C64" s="704" t="s">
        <v>390</v>
      </c>
      <c r="D64" s="708">
        <v>73574</v>
      </c>
    </row>
    <row r="65" spans="1:4" s="715" customFormat="1">
      <c r="A65" s="704" t="s">
        <v>138</v>
      </c>
      <c r="B65" s="706">
        <v>44742</v>
      </c>
      <c r="C65" s="704" t="s">
        <v>410</v>
      </c>
      <c r="D65" s="708">
        <v>62800</v>
      </c>
    </row>
    <row r="66" spans="1:4" s="715" customFormat="1">
      <c r="A66" s="704" t="s">
        <v>140</v>
      </c>
      <c r="B66" s="706">
        <v>44742</v>
      </c>
      <c r="C66" s="704" t="s">
        <v>390</v>
      </c>
      <c r="D66" s="708">
        <v>14517</v>
      </c>
    </row>
    <row r="67" spans="1:4" s="715" customFormat="1">
      <c r="A67" s="704" t="s">
        <v>140</v>
      </c>
      <c r="B67" s="706">
        <v>44742</v>
      </c>
      <c r="C67" s="704" t="s">
        <v>410</v>
      </c>
      <c r="D67" s="708">
        <v>804</v>
      </c>
    </row>
    <row r="68" spans="1:4" s="715" customFormat="1">
      <c r="A68" s="704" t="s">
        <v>123</v>
      </c>
      <c r="B68" s="706">
        <v>44377</v>
      </c>
      <c r="C68" s="704" t="s">
        <v>390</v>
      </c>
      <c r="D68" s="708">
        <v>6496</v>
      </c>
    </row>
    <row r="69" spans="1:4" s="715" customFormat="1">
      <c r="A69" s="704" t="s">
        <v>123</v>
      </c>
      <c r="B69" s="706">
        <v>44377</v>
      </c>
      <c r="C69" s="704" t="s">
        <v>410</v>
      </c>
      <c r="D69" s="708">
        <v>2879</v>
      </c>
    </row>
    <row r="70" spans="1:4" s="715" customFormat="1">
      <c r="A70" s="704" t="s">
        <v>124</v>
      </c>
      <c r="B70" s="706">
        <v>44377</v>
      </c>
      <c r="C70" s="704" t="s">
        <v>390</v>
      </c>
      <c r="D70" s="708">
        <v>33738</v>
      </c>
    </row>
    <row r="71" spans="1:4" s="715" customFormat="1">
      <c r="A71" s="704" t="s">
        <v>124</v>
      </c>
      <c r="B71" s="706">
        <v>44377</v>
      </c>
      <c r="C71" s="704" t="s">
        <v>410</v>
      </c>
      <c r="D71" s="708">
        <v>17661</v>
      </c>
    </row>
    <row r="72" spans="1:4" s="715" customFormat="1">
      <c r="A72" s="704" t="s">
        <v>131</v>
      </c>
      <c r="B72" s="706">
        <v>44377</v>
      </c>
      <c r="C72" s="704" t="s">
        <v>390</v>
      </c>
      <c r="D72" s="708">
        <v>76378</v>
      </c>
    </row>
    <row r="73" spans="1:4" s="715" customFormat="1">
      <c r="A73" s="704" t="s">
        <v>131</v>
      </c>
      <c r="B73" s="706">
        <v>44377</v>
      </c>
      <c r="C73" s="704" t="s">
        <v>410</v>
      </c>
      <c r="D73" s="708">
        <v>17549</v>
      </c>
    </row>
    <row r="74" spans="1:4" s="715" customFormat="1">
      <c r="A74" s="704" t="s">
        <v>136</v>
      </c>
      <c r="B74" s="706">
        <v>44377</v>
      </c>
      <c r="C74" s="704" t="s">
        <v>390</v>
      </c>
      <c r="D74" s="708">
        <v>44105</v>
      </c>
    </row>
    <row r="75" spans="1:4" s="715" customFormat="1">
      <c r="A75" s="704" t="s">
        <v>136</v>
      </c>
      <c r="B75" s="706">
        <v>44377</v>
      </c>
      <c r="C75" s="704" t="s">
        <v>410</v>
      </c>
      <c r="D75" s="708">
        <v>17196</v>
      </c>
    </row>
    <row r="76" spans="1:4" s="715" customFormat="1">
      <c r="A76" s="704" t="s">
        <v>137</v>
      </c>
      <c r="B76" s="706">
        <v>44377</v>
      </c>
      <c r="C76" s="704" t="s">
        <v>390</v>
      </c>
      <c r="D76" s="708">
        <v>37526</v>
      </c>
    </row>
    <row r="77" spans="1:4" s="715" customFormat="1">
      <c r="A77" s="704" t="s">
        <v>137</v>
      </c>
      <c r="B77" s="706">
        <v>44377</v>
      </c>
      <c r="C77" s="704" t="s">
        <v>410</v>
      </c>
      <c r="D77" s="708">
        <v>3662</v>
      </c>
    </row>
    <row r="78" spans="1:4" s="715" customFormat="1">
      <c r="A78" s="704" t="s">
        <v>139</v>
      </c>
      <c r="B78" s="706">
        <v>44377</v>
      </c>
      <c r="C78" s="704" t="s">
        <v>390</v>
      </c>
      <c r="D78" s="708">
        <v>15276</v>
      </c>
    </row>
    <row r="79" spans="1:4" s="715" customFormat="1">
      <c r="A79" s="704" t="s">
        <v>139</v>
      </c>
      <c r="B79" s="706">
        <v>44377</v>
      </c>
      <c r="C79" s="704" t="s">
        <v>410</v>
      </c>
      <c r="D79" s="708">
        <v>413</v>
      </c>
    </row>
    <row r="80" spans="1:4" s="715" customFormat="1">
      <c r="A80" s="704" t="s">
        <v>141</v>
      </c>
      <c r="B80" s="706">
        <v>44377</v>
      </c>
      <c r="C80" s="704" t="s">
        <v>390</v>
      </c>
      <c r="D80" s="708">
        <v>93008</v>
      </c>
    </row>
    <row r="81" spans="1:4" s="715" customFormat="1">
      <c r="A81" s="704" t="s">
        <v>141</v>
      </c>
      <c r="B81" s="706">
        <v>44377</v>
      </c>
      <c r="C81" s="704" t="s">
        <v>410</v>
      </c>
      <c r="D81" s="708">
        <v>15250</v>
      </c>
    </row>
    <row r="82" spans="1:4" s="715" customFormat="1">
      <c r="A82" s="704" t="s">
        <v>132</v>
      </c>
      <c r="B82" s="706">
        <v>44377</v>
      </c>
      <c r="C82" s="704" t="s">
        <v>390</v>
      </c>
      <c r="D82" s="708">
        <v>31420</v>
      </c>
    </row>
    <row r="83" spans="1:4" s="715" customFormat="1">
      <c r="A83" s="704" t="s">
        <v>132</v>
      </c>
      <c r="B83" s="706">
        <v>44377</v>
      </c>
      <c r="C83" s="704" t="s">
        <v>410</v>
      </c>
      <c r="D83" s="708">
        <v>23714</v>
      </c>
    </row>
    <row r="84" spans="1:4" s="715" customFormat="1">
      <c r="A84" s="704" t="s">
        <v>135</v>
      </c>
      <c r="B84" s="706">
        <v>44377</v>
      </c>
      <c r="C84" s="704" t="s">
        <v>390</v>
      </c>
      <c r="D84" s="708">
        <v>2717</v>
      </c>
    </row>
    <row r="85" spans="1:4" s="715" customFormat="1">
      <c r="A85" s="704" t="s">
        <v>135</v>
      </c>
      <c r="B85" s="706">
        <v>44377</v>
      </c>
      <c r="C85" s="704" t="s">
        <v>410</v>
      </c>
      <c r="D85" s="708">
        <v>522</v>
      </c>
    </row>
    <row r="86" spans="1:4" s="715" customFormat="1">
      <c r="A86" s="704" t="s">
        <v>138</v>
      </c>
      <c r="B86" s="706">
        <v>44377</v>
      </c>
      <c r="C86" s="704" t="s">
        <v>390</v>
      </c>
      <c r="D86" s="708">
        <v>58522</v>
      </c>
    </row>
    <row r="87" spans="1:4" s="715" customFormat="1">
      <c r="A87" s="704" t="s">
        <v>138</v>
      </c>
      <c r="B87" s="706">
        <v>44377</v>
      </c>
      <c r="C87" s="704" t="s">
        <v>410</v>
      </c>
      <c r="D87" s="708">
        <v>60186</v>
      </c>
    </row>
    <row r="88" spans="1:4" s="715" customFormat="1">
      <c r="A88" s="704" t="s">
        <v>140</v>
      </c>
      <c r="B88" s="706">
        <v>44377</v>
      </c>
      <c r="C88" s="704" t="s">
        <v>390</v>
      </c>
      <c r="D88" s="708">
        <v>12588</v>
      </c>
    </row>
    <row r="89" spans="1:4" s="715" customFormat="1">
      <c r="A89" s="704" t="s">
        <v>140</v>
      </c>
      <c r="B89" s="706">
        <v>44377</v>
      </c>
      <c r="C89" s="704" t="s">
        <v>410</v>
      </c>
      <c r="D89" s="708">
        <v>984</v>
      </c>
    </row>
    <row r="90" spans="1:4" s="748" customFormat="1">
      <c r="A90" s="704" t="s">
        <v>123</v>
      </c>
      <c r="B90" s="706">
        <v>44773</v>
      </c>
      <c r="C90" s="704" t="s">
        <v>390</v>
      </c>
      <c r="D90" s="708">
        <v>6073</v>
      </c>
    </row>
    <row r="91" spans="1:4" s="748" customFormat="1">
      <c r="A91" s="704" t="s">
        <v>123</v>
      </c>
      <c r="B91" s="706">
        <v>44773</v>
      </c>
      <c r="C91" s="704" t="s">
        <v>410</v>
      </c>
      <c r="D91" s="708">
        <v>2979</v>
      </c>
    </row>
    <row r="92" spans="1:4" s="748" customFormat="1">
      <c r="A92" s="704" t="s">
        <v>124</v>
      </c>
      <c r="B92" s="706">
        <v>44773</v>
      </c>
      <c r="C92" s="704" t="s">
        <v>390</v>
      </c>
      <c r="D92" s="708">
        <v>30571</v>
      </c>
    </row>
    <row r="93" spans="1:4" s="748" customFormat="1">
      <c r="A93" s="704" t="s">
        <v>124</v>
      </c>
      <c r="B93" s="706">
        <v>44773</v>
      </c>
      <c r="C93" s="704" t="s">
        <v>410</v>
      </c>
      <c r="D93" s="708">
        <v>18630</v>
      </c>
    </row>
    <row r="94" spans="1:4" s="748" customFormat="1">
      <c r="A94" s="704" t="s">
        <v>131</v>
      </c>
      <c r="B94" s="706">
        <v>44773</v>
      </c>
      <c r="C94" s="704" t="s">
        <v>390</v>
      </c>
      <c r="D94" s="708">
        <v>82830</v>
      </c>
    </row>
    <row r="95" spans="1:4" s="748" customFormat="1">
      <c r="A95" s="704" t="s">
        <v>131</v>
      </c>
      <c r="B95" s="706">
        <v>44773</v>
      </c>
      <c r="C95" s="704" t="s">
        <v>410</v>
      </c>
      <c r="D95" s="708">
        <v>19779</v>
      </c>
    </row>
    <row r="96" spans="1:4" s="748" customFormat="1">
      <c r="A96" s="704" t="s">
        <v>136</v>
      </c>
      <c r="B96" s="706">
        <v>44773</v>
      </c>
      <c r="C96" s="704" t="s">
        <v>390</v>
      </c>
      <c r="D96" s="708">
        <v>39811</v>
      </c>
    </row>
    <row r="97" spans="1:4" s="748" customFormat="1">
      <c r="A97" s="704" t="s">
        <v>136</v>
      </c>
      <c r="B97" s="706">
        <v>44773</v>
      </c>
      <c r="C97" s="704" t="s">
        <v>410</v>
      </c>
      <c r="D97" s="708">
        <v>18936</v>
      </c>
    </row>
    <row r="98" spans="1:4" s="748" customFormat="1">
      <c r="A98" s="704" t="s">
        <v>137</v>
      </c>
      <c r="B98" s="706">
        <v>44773</v>
      </c>
      <c r="C98" s="704" t="s">
        <v>390</v>
      </c>
      <c r="D98" s="708">
        <v>33231</v>
      </c>
    </row>
    <row r="99" spans="1:4" s="748" customFormat="1">
      <c r="A99" s="704" t="s">
        <v>137</v>
      </c>
      <c r="B99" s="706">
        <v>44773</v>
      </c>
      <c r="C99" s="704" t="s">
        <v>410</v>
      </c>
      <c r="D99" s="708">
        <v>5790</v>
      </c>
    </row>
    <row r="100" spans="1:4" s="748" customFormat="1">
      <c r="A100" s="704" t="s">
        <v>139</v>
      </c>
      <c r="B100" s="706">
        <v>44773</v>
      </c>
      <c r="C100" s="704" t="s">
        <v>390</v>
      </c>
      <c r="D100" s="708">
        <v>21054</v>
      </c>
    </row>
    <row r="101" spans="1:4" s="748" customFormat="1">
      <c r="A101" s="704" t="s">
        <v>139</v>
      </c>
      <c r="B101" s="706">
        <v>44773</v>
      </c>
      <c r="C101" s="704" t="s">
        <v>410</v>
      </c>
      <c r="D101" s="708">
        <v>373</v>
      </c>
    </row>
    <row r="102" spans="1:4" s="748" customFormat="1">
      <c r="A102" s="704" t="s">
        <v>141</v>
      </c>
      <c r="B102" s="706">
        <v>44773</v>
      </c>
      <c r="C102" s="704" t="s">
        <v>390</v>
      </c>
      <c r="D102" s="708">
        <v>93497</v>
      </c>
    </row>
    <row r="103" spans="1:4" s="748" customFormat="1">
      <c r="A103" s="704" t="s">
        <v>141</v>
      </c>
      <c r="B103" s="706">
        <v>44773</v>
      </c>
      <c r="C103" s="704" t="s">
        <v>410</v>
      </c>
      <c r="D103" s="708">
        <v>15404</v>
      </c>
    </row>
    <row r="104" spans="1:4" s="748" customFormat="1">
      <c r="A104" s="704" t="s">
        <v>132</v>
      </c>
      <c r="B104" s="706">
        <v>44773</v>
      </c>
      <c r="C104" s="704" t="s">
        <v>390</v>
      </c>
      <c r="D104" s="708">
        <v>32975</v>
      </c>
    </row>
    <row r="105" spans="1:4" s="748" customFormat="1">
      <c r="A105" s="704" t="s">
        <v>132</v>
      </c>
      <c r="B105" s="706">
        <v>44773</v>
      </c>
      <c r="C105" s="704" t="s">
        <v>410</v>
      </c>
      <c r="D105" s="708">
        <v>26367</v>
      </c>
    </row>
    <row r="106" spans="1:4" s="748" customFormat="1">
      <c r="A106" s="704" t="s">
        <v>135</v>
      </c>
      <c r="B106" s="706">
        <v>44773</v>
      </c>
      <c r="C106" s="704" t="s">
        <v>390</v>
      </c>
      <c r="D106" s="708">
        <v>3169</v>
      </c>
    </row>
    <row r="107" spans="1:4" s="748" customFormat="1">
      <c r="A107" s="704" t="s">
        <v>135</v>
      </c>
      <c r="B107" s="706">
        <v>44773</v>
      </c>
      <c r="C107" s="704" t="s">
        <v>410</v>
      </c>
      <c r="D107" s="708">
        <v>449</v>
      </c>
    </row>
    <row r="108" spans="1:4" s="748" customFormat="1">
      <c r="A108" s="704" t="s">
        <v>138</v>
      </c>
      <c r="B108" s="706">
        <v>44773</v>
      </c>
      <c r="C108" s="704" t="s">
        <v>390</v>
      </c>
      <c r="D108" s="708">
        <v>74356</v>
      </c>
    </row>
    <row r="109" spans="1:4" s="748" customFormat="1">
      <c r="A109" s="704" t="s">
        <v>138</v>
      </c>
      <c r="B109" s="706">
        <v>44773</v>
      </c>
      <c r="C109" s="704" t="s">
        <v>410</v>
      </c>
      <c r="D109" s="708">
        <v>63331</v>
      </c>
    </row>
    <row r="110" spans="1:4" s="748" customFormat="1">
      <c r="A110" s="704" t="s">
        <v>140</v>
      </c>
      <c r="B110" s="706">
        <v>44773</v>
      </c>
      <c r="C110" s="704" t="s">
        <v>390</v>
      </c>
      <c r="D110" s="708">
        <v>13473</v>
      </c>
    </row>
    <row r="111" spans="1:4" s="748" customFormat="1">
      <c r="A111" s="704" t="s">
        <v>140</v>
      </c>
      <c r="B111" s="706">
        <v>44773</v>
      </c>
      <c r="C111" s="704" t="s">
        <v>410</v>
      </c>
      <c r="D111" s="708">
        <v>777</v>
      </c>
    </row>
    <row r="112" spans="1:4">
      <c r="A112" s="762" t="s">
        <v>123</v>
      </c>
      <c r="B112" s="763">
        <v>44408</v>
      </c>
      <c r="C112" s="762" t="s">
        <v>390</v>
      </c>
      <c r="D112" s="708">
        <v>6261</v>
      </c>
    </row>
    <row r="113" spans="1:4">
      <c r="A113" s="762" t="s">
        <v>123</v>
      </c>
      <c r="B113" s="763">
        <v>44408</v>
      </c>
      <c r="C113" s="762" t="s">
        <v>410</v>
      </c>
      <c r="D113" s="708">
        <v>2792</v>
      </c>
    </row>
    <row r="114" spans="1:4">
      <c r="A114" s="762" t="s">
        <v>124</v>
      </c>
      <c r="B114" s="763">
        <v>44408</v>
      </c>
      <c r="C114" s="762" t="s">
        <v>390</v>
      </c>
      <c r="D114" s="708">
        <v>33743</v>
      </c>
    </row>
    <row r="115" spans="1:4">
      <c r="A115" s="762" t="s">
        <v>124</v>
      </c>
      <c r="B115" s="763">
        <v>44408</v>
      </c>
      <c r="C115" s="762" t="s">
        <v>410</v>
      </c>
      <c r="D115" s="708">
        <v>17885</v>
      </c>
    </row>
    <row r="116" spans="1:4">
      <c r="A116" s="762" t="s">
        <v>131</v>
      </c>
      <c r="B116" s="763">
        <v>44408</v>
      </c>
      <c r="C116" s="762" t="s">
        <v>390</v>
      </c>
      <c r="D116" s="708">
        <v>77729</v>
      </c>
    </row>
    <row r="117" spans="1:4">
      <c r="A117" s="762" t="s">
        <v>131</v>
      </c>
      <c r="B117" s="763">
        <v>44408</v>
      </c>
      <c r="C117" s="762" t="s">
        <v>410</v>
      </c>
      <c r="D117" s="708">
        <v>16809</v>
      </c>
    </row>
    <row r="118" spans="1:4">
      <c r="A118" s="762" t="s">
        <v>132</v>
      </c>
      <c r="B118" s="763">
        <v>44408</v>
      </c>
      <c r="C118" s="762" t="s">
        <v>390</v>
      </c>
      <c r="D118" s="708">
        <v>31469</v>
      </c>
    </row>
    <row r="119" spans="1:4">
      <c r="A119" s="762" t="s">
        <v>132</v>
      </c>
      <c r="B119" s="763">
        <v>44408</v>
      </c>
      <c r="C119" s="762" t="s">
        <v>410</v>
      </c>
      <c r="D119" s="708">
        <v>23741</v>
      </c>
    </row>
    <row r="120" spans="1:4">
      <c r="A120" s="762" t="s">
        <v>135</v>
      </c>
      <c r="B120" s="763">
        <v>44408</v>
      </c>
      <c r="C120" s="762" t="s">
        <v>390</v>
      </c>
      <c r="D120" s="708">
        <v>2902</v>
      </c>
    </row>
    <row r="121" spans="1:4">
      <c r="A121" s="762" t="s">
        <v>135</v>
      </c>
      <c r="B121" s="763">
        <v>44408</v>
      </c>
      <c r="C121" s="762" t="s">
        <v>410</v>
      </c>
      <c r="D121" s="708">
        <v>352</v>
      </c>
    </row>
    <row r="122" spans="1:4">
      <c r="A122" s="762" t="s">
        <v>136</v>
      </c>
      <c r="B122" s="763">
        <v>44408</v>
      </c>
      <c r="C122" s="762" t="s">
        <v>390</v>
      </c>
      <c r="D122" s="708">
        <v>44194</v>
      </c>
    </row>
    <row r="123" spans="1:4">
      <c r="A123" s="762" t="s">
        <v>136</v>
      </c>
      <c r="B123" s="763">
        <v>44408</v>
      </c>
      <c r="C123" s="762" t="s">
        <v>410</v>
      </c>
      <c r="D123" s="708">
        <v>16949</v>
      </c>
    </row>
    <row r="124" spans="1:4">
      <c r="A124" s="762" t="s">
        <v>137</v>
      </c>
      <c r="B124" s="763">
        <v>44408</v>
      </c>
      <c r="C124" s="762" t="s">
        <v>390</v>
      </c>
      <c r="D124" s="708">
        <v>38141</v>
      </c>
    </row>
    <row r="125" spans="1:4">
      <c r="A125" s="762" t="s">
        <v>137</v>
      </c>
      <c r="B125" s="763">
        <v>44408</v>
      </c>
      <c r="C125" s="762" t="s">
        <v>410</v>
      </c>
      <c r="D125" s="708">
        <v>3863</v>
      </c>
    </row>
    <row r="126" spans="1:4">
      <c r="A126" s="762" t="s">
        <v>138</v>
      </c>
      <c r="B126" s="763">
        <v>44408</v>
      </c>
      <c r="C126" s="762" t="s">
        <v>390</v>
      </c>
      <c r="D126" s="708">
        <v>68084</v>
      </c>
    </row>
    <row r="127" spans="1:4">
      <c r="A127" s="762" t="s">
        <v>138</v>
      </c>
      <c r="B127" s="763">
        <v>44408</v>
      </c>
      <c r="C127" s="762" t="s">
        <v>410</v>
      </c>
      <c r="D127" s="708">
        <v>52430</v>
      </c>
    </row>
    <row r="128" spans="1:4">
      <c r="A128" s="762" t="s">
        <v>139</v>
      </c>
      <c r="B128" s="763">
        <v>44408</v>
      </c>
      <c r="C128" s="762" t="s">
        <v>390</v>
      </c>
      <c r="D128" s="708">
        <v>15360</v>
      </c>
    </row>
    <row r="129" spans="1:4">
      <c r="A129" s="762" t="s">
        <v>139</v>
      </c>
      <c r="B129" s="763">
        <v>44408</v>
      </c>
      <c r="C129" s="762" t="s">
        <v>410</v>
      </c>
      <c r="D129" s="708">
        <v>433</v>
      </c>
    </row>
    <row r="130" spans="1:4">
      <c r="A130" s="762" t="s">
        <v>141</v>
      </c>
      <c r="B130" s="763">
        <v>44408</v>
      </c>
      <c r="C130" s="762" t="s">
        <v>390</v>
      </c>
      <c r="D130" s="708">
        <v>95501</v>
      </c>
    </row>
    <row r="131" spans="1:4">
      <c r="A131" s="762" t="s">
        <v>141</v>
      </c>
      <c r="B131" s="763">
        <v>44408</v>
      </c>
      <c r="C131" s="762" t="s">
        <v>410</v>
      </c>
      <c r="D131" s="708">
        <v>12872</v>
      </c>
    </row>
    <row r="132" spans="1:4">
      <c r="A132" s="762" t="s">
        <v>140</v>
      </c>
      <c r="B132" s="763">
        <v>44408</v>
      </c>
      <c r="C132" s="762" t="s">
        <v>390</v>
      </c>
      <c r="D132" s="708">
        <v>10696</v>
      </c>
    </row>
    <row r="133" spans="1:4">
      <c r="A133" s="762" t="s">
        <v>140</v>
      </c>
      <c r="B133" s="763">
        <v>44408</v>
      </c>
      <c r="C133" s="762" t="s">
        <v>410</v>
      </c>
      <c r="D133" s="708">
        <v>2680</v>
      </c>
    </row>
    <row r="134" spans="1:4">
      <c r="A134" s="750" t="s">
        <v>123</v>
      </c>
      <c r="B134" s="27">
        <v>44804</v>
      </c>
      <c r="C134" s="750" t="s">
        <v>390</v>
      </c>
      <c r="D134" s="778">
        <v>6318</v>
      </c>
    </row>
    <row r="135" spans="1:4">
      <c r="A135" s="750" t="s">
        <v>123</v>
      </c>
      <c r="B135" s="27">
        <v>44804</v>
      </c>
      <c r="C135" s="750" t="s">
        <v>410</v>
      </c>
      <c r="D135" s="778">
        <v>2921</v>
      </c>
    </row>
    <row r="136" spans="1:4">
      <c r="A136" s="750" t="s">
        <v>124</v>
      </c>
      <c r="B136" s="27">
        <v>44804</v>
      </c>
      <c r="C136" s="750" t="s">
        <v>390</v>
      </c>
      <c r="D136" s="778">
        <v>31094</v>
      </c>
    </row>
    <row r="137" spans="1:4">
      <c r="A137" s="750" t="s">
        <v>124</v>
      </c>
      <c r="B137" s="27">
        <v>44804</v>
      </c>
      <c r="C137" s="750" t="s">
        <v>410</v>
      </c>
      <c r="D137" s="778">
        <v>18759</v>
      </c>
    </row>
    <row r="138" spans="1:4">
      <c r="A138" s="750" t="s">
        <v>131</v>
      </c>
      <c r="B138" s="27">
        <v>44804</v>
      </c>
      <c r="C138" s="750" t="s">
        <v>390</v>
      </c>
      <c r="D138" s="778">
        <v>84901</v>
      </c>
    </row>
    <row r="139" spans="1:4">
      <c r="A139" s="750" t="s">
        <v>131</v>
      </c>
      <c r="B139" s="27">
        <v>44804</v>
      </c>
      <c r="C139" s="750" t="s">
        <v>410</v>
      </c>
      <c r="D139" s="778">
        <v>18968</v>
      </c>
    </row>
    <row r="140" spans="1:4">
      <c r="A140" s="750" t="s">
        <v>132</v>
      </c>
      <c r="B140" s="27">
        <v>44804</v>
      </c>
      <c r="C140" s="750" t="s">
        <v>390</v>
      </c>
      <c r="D140" s="778">
        <v>31067</v>
      </c>
    </row>
    <row r="141" spans="1:4">
      <c r="A141" s="750" t="s">
        <v>132</v>
      </c>
      <c r="B141" s="27">
        <v>44804</v>
      </c>
      <c r="C141" s="750" t="s">
        <v>410</v>
      </c>
      <c r="D141" s="778">
        <v>26178</v>
      </c>
    </row>
    <row r="142" spans="1:4">
      <c r="A142" s="750" t="s">
        <v>135</v>
      </c>
      <c r="B142" s="27">
        <v>44804</v>
      </c>
      <c r="C142" s="750" t="s">
        <v>390</v>
      </c>
      <c r="D142" s="778">
        <v>3166</v>
      </c>
    </row>
    <row r="143" spans="1:4">
      <c r="A143" s="750" t="s">
        <v>135</v>
      </c>
      <c r="B143" s="27">
        <v>44804</v>
      </c>
      <c r="C143" s="750" t="s">
        <v>410</v>
      </c>
      <c r="D143" s="778">
        <v>514</v>
      </c>
    </row>
    <row r="144" spans="1:4">
      <c r="A144" s="750" t="s">
        <v>136</v>
      </c>
      <c r="B144" s="27">
        <v>44804</v>
      </c>
      <c r="C144" s="750" t="s">
        <v>390</v>
      </c>
      <c r="D144" s="778">
        <v>39846</v>
      </c>
    </row>
    <row r="145" spans="1:4">
      <c r="A145" s="750" t="s">
        <v>136</v>
      </c>
      <c r="B145" s="27">
        <v>44804</v>
      </c>
      <c r="C145" s="750" t="s">
        <v>410</v>
      </c>
      <c r="D145" s="778">
        <v>18717</v>
      </c>
    </row>
    <row r="146" spans="1:4">
      <c r="A146" s="750" t="s">
        <v>137</v>
      </c>
      <c r="B146" s="27">
        <v>44804</v>
      </c>
      <c r="C146" s="750" t="s">
        <v>390</v>
      </c>
      <c r="D146" s="778">
        <v>34113</v>
      </c>
    </row>
    <row r="147" spans="1:4">
      <c r="A147" s="750" t="s">
        <v>137</v>
      </c>
      <c r="B147" s="27">
        <v>44804</v>
      </c>
      <c r="C147" s="750" t="s">
        <v>410</v>
      </c>
      <c r="D147" s="778">
        <v>5325</v>
      </c>
    </row>
    <row r="148" spans="1:4">
      <c r="A148" s="750" t="s">
        <v>138</v>
      </c>
      <c r="B148" s="27">
        <v>44804</v>
      </c>
      <c r="C148" s="750" t="s">
        <v>390</v>
      </c>
      <c r="D148" s="778">
        <v>82525</v>
      </c>
    </row>
    <row r="149" spans="1:4">
      <c r="A149" s="750" t="s">
        <v>138</v>
      </c>
      <c r="B149" s="27">
        <v>44804</v>
      </c>
      <c r="C149" s="750" t="s">
        <v>410</v>
      </c>
      <c r="D149" s="778">
        <v>59182</v>
      </c>
    </row>
    <row r="150" spans="1:4">
      <c r="A150" s="750" t="s">
        <v>139</v>
      </c>
      <c r="B150" s="27">
        <v>44804</v>
      </c>
      <c r="C150" s="750" t="s">
        <v>390</v>
      </c>
      <c r="D150" s="778">
        <v>21111</v>
      </c>
    </row>
    <row r="151" spans="1:4">
      <c r="A151" s="750" t="s">
        <v>139</v>
      </c>
      <c r="B151" s="27">
        <v>44804</v>
      </c>
      <c r="C151" s="750" t="s">
        <v>410</v>
      </c>
      <c r="D151" s="778">
        <v>395</v>
      </c>
    </row>
    <row r="152" spans="1:4">
      <c r="A152" s="750" t="s">
        <v>141</v>
      </c>
      <c r="B152" s="27">
        <v>44804</v>
      </c>
      <c r="C152" s="750" t="s">
        <v>390</v>
      </c>
      <c r="D152" s="778">
        <v>96056</v>
      </c>
    </row>
    <row r="153" spans="1:4">
      <c r="A153" s="750" t="s">
        <v>141</v>
      </c>
      <c r="B153" s="27">
        <v>44804</v>
      </c>
      <c r="C153" s="750" t="s">
        <v>410</v>
      </c>
      <c r="D153" s="778">
        <v>12911</v>
      </c>
    </row>
    <row r="154" spans="1:4">
      <c r="A154" s="750" t="s">
        <v>140</v>
      </c>
      <c r="B154" s="27">
        <v>44804</v>
      </c>
      <c r="C154" s="750" t="s">
        <v>390</v>
      </c>
      <c r="D154" s="778">
        <v>12709</v>
      </c>
    </row>
    <row r="155" spans="1:4">
      <c r="A155" s="750" t="s">
        <v>140</v>
      </c>
      <c r="B155" s="27">
        <v>44804</v>
      </c>
      <c r="C155" s="750" t="s">
        <v>410</v>
      </c>
      <c r="D155" s="778">
        <v>2109</v>
      </c>
    </row>
    <row r="156" spans="1:4">
      <c r="A156" s="750" t="s">
        <v>123</v>
      </c>
      <c r="B156" s="27">
        <v>44439</v>
      </c>
      <c r="C156" s="750" t="s">
        <v>390</v>
      </c>
      <c r="D156" s="778">
        <v>6349</v>
      </c>
    </row>
    <row r="157" spans="1:4">
      <c r="A157" s="750" t="s">
        <v>123</v>
      </c>
      <c r="B157" s="27">
        <v>44439</v>
      </c>
      <c r="C157" s="750" t="s">
        <v>410</v>
      </c>
      <c r="D157" s="778">
        <v>2791</v>
      </c>
    </row>
    <row r="158" spans="1:4">
      <c r="A158" s="750" t="s">
        <v>124</v>
      </c>
      <c r="B158" s="27">
        <v>44439</v>
      </c>
      <c r="C158" s="750" t="s">
        <v>390</v>
      </c>
      <c r="D158" s="778">
        <v>33426</v>
      </c>
    </row>
    <row r="159" spans="1:4">
      <c r="A159" s="750" t="s">
        <v>124</v>
      </c>
      <c r="B159" s="27">
        <v>44439</v>
      </c>
      <c r="C159" s="750" t="s">
        <v>410</v>
      </c>
      <c r="D159" s="778">
        <v>18214</v>
      </c>
    </row>
    <row r="160" spans="1:4">
      <c r="A160" s="750" t="s">
        <v>131</v>
      </c>
      <c r="B160" s="27">
        <v>44439</v>
      </c>
      <c r="C160" s="750" t="s">
        <v>390</v>
      </c>
      <c r="D160" s="778">
        <v>78792</v>
      </c>
    </row>
    <row r="161" spans="1:4">
      <c r="A161" s="750" t="s">
        <v>131</v>
      </c>
      <c r="B161" s="27">
        <v>44439</v>
      </c>
      <c r="C161" s="750" t="s">
        <v>410</v>
      </c>
      <c r="D161" s="778">
        <v>17072</v>
      </c>
    </row>
    <row r="162" spans="1:4">
      <c r="A162" s="750" t="s">
        <v>132</v>
      </c>
      <c r="B162" s="27">
        <v>44439</v>
      </c>
      <c r="C162" s="750" t="s">
        <v>390</v>
      </c>
      <c r="D162" s="778">
        <v>32899</v>
      </c>
    </row>
    <row r="163" spans="1:4">
      <c r="A163" s="750" t="s">
        <v>132</v>
      </c>
      <c r="B163" s="27">
        <v>44439</v>
      </c>
      <c r="C163" s="750" t="s">
        <v>410</v>
      </c>
      <c r="D163" s="778">
        <v>24298</v>
      </c>
    </row>
    <row r="164" spans="1:4">
      <c r="A164" s="750" t="s">
        <v>135</v>
      </c>
      <c r="B164" s="27">
        <v>44439</v>
      </c>
      <c r="C164" s="750" t="s">
        <v>390</v>
      </c>
      <c r="D164" s="778">
        <v>2906</v>
      </c>
    </row>
    <row r="165" spans="1:4">
      <c r="A165" s="750" t="s">
        <v>135</v>
      </c>
      <c r="B165" s="27">
        <v>44439</v>
      </c>
      <c r="C165" s="750" t="s">
        <v>410</v>
      </c>
      <c r="D165" s="778">
        <v>360</v>
      </c>
    </row>
    <row r="166" spans="1:4">
      <c r="A166" s="750" t="s">
        <v>136</v>
      </c>
      <c r="B166" s="27">
        <v>44439</v>
      </c>
      <c r="C166" s="750" t="s">
        <v>390</v>
      </c>
      <c r="D166" s="778">
        <v>43745</v>
      </c>
    </row>
    <row r="167" spans="1:4">
      <c r="A167" s="750" t="s">
        <v>136</v>
      </c>
      <c r="B167" s="27">
        <v>44439</v>
      </c>
      <c r="C167" s="750" t="s">
        <v>410</v>
      </c>
      <c r="D167" s="778">
        <v>17164</v>
      </c>
    </row>
    <row r="168" spans="1:4">
      <c r="A168" s="750" t="s">
        <v>137</v>
      </c>
      <c r="B168" s="27">
        <v>44439</v>
      </c>
      <c r="C168" s="750" t="s">
        <v>390</v>
      </c>
      <c r="D168" s="778">
        <v>37622</v>
      </c>
    </row>
    <row r="169" spans="1:4">
      <c r="A169" s="750" t="s">
        <v>137</v>
      </c>
      <c r="B169" s="27">
        <v>44439</v>
      </c>
      <c r="C169" s="750" t="s">
        <v>410</v>
      </c>
      <c r="D169" s="778">
        <v>3974</v>
      </c>
    </row>
    <row r="170" spans="1:4">
      <c r="A170" s="750" t="s">
        <v>138</v>
      </c>
      <c r="B170" s="27">
        <v>44439</v>
      </c>
      <c r="C170" s="750" t="s">
        <v>390</v>
      </c>
      <c r="D170" s="778">
        <v>71486</v>
      </c>
    </row>
    <row r="171" spans="1:4">
      <c r="A171" s="750" t="s">
        <v>138</v>
      </c>
      <c r="B171" s="27">
        <v>44439</v>
      </c>
      <c r="C171" s="750" t="s">
        <v>410</v>
      </c>
      <c r="D171" s="778">
        <v>52987</v>
      </c>
    </row>
    <row r="172" spans="1:4">
      <c r="A172" s="750" t="s">
        <v>139</v>
      </c>
      <c r="B172" s="27">
        <v>44439</v>
      </c>
      <c r="C172" s="750" t="s">
        <v>390</v>
      </c>
      <c r="D172" s="778">
        <v>15494</v>
      </c>
    </row>
    <row r="173" spans="1:4">
      <c r="A173" s="750" t="s">
        <v>139</v>
      </c>
      <c r="B173" s="27">
        <v>44439</v>
      </c>
      <c r="C173" s="750" t="s">
        <v>410</v>
      </c>
      <c r="D173" s="778">
        <v>435</v>
      </c>
    </row>
    <row r="174" spans="1:4">
      <c r="A174" s="750" t="s">
        <v>141</v>
      </c>
      <c r="B174" s="27">
        <v>44439</v>
      </c>
      <c r="C174" s="750" t="s">
        <v>390</v>
      </c>
      <c r="D174" s="778">
        <v>95374</v>
      </c>
    </row>
    <row r="175" spans="1:4">
      <c r="A175" s="750" t="s">
        <v>141</v>
      </c>
      <c r="B175" s="27">
        <v>44439</v>
      </c>
      <c r="C175" s="750" t="s">
        <v>410</v>
      </c>
      <c r="D175" s="778">
        <v>12841</v>
      </c>
    </row>
    <row r="176" spans="1:4">
      <c r="A176" s="750" t="s">
        <v>140</v>
      </c>
      <c r="B176" s="27">
        <v>44439</v>
      </c>
      <c r="C176" s="750" t="s">
        <v>390</v>
      </c>
      <c r="D176" s="778">
        <v>12796</v>
      </c>
    </row>
    <row r="177" spans="1:4">
      <c r="A177" s="750" t="s">
        <v>140</v>
      </c>
      <c r="B177" s="27">
        <v>44439</v>
      </c>
      <c r="C177" s="750" t="s">
        <v>410</v>
      </c>
      <c r="D177" s="778">
        <v>2664</v>
      </c>
    </row>
    <row r="178" spans="1:4">
      <c r="A178" t="s">
        <v>123</v>
      </c>
      <c r="B178" s="27">
        <v>44469</v>
      </c>
      <c r="C178" t="s">
        <v>390</v>
      </c>
      <c r="D178" s="778">
        <v>6379</v>
      </c>
    </row>
    <row r="179" spans="1:4">
      <c r="A179" t="s">
        <v>123</v>
      </c>
      <c r="B179" s="27">
        <v>44469</v>
      </c>
      <c r="C179" t="s">
        <v>410</v>
      </c>
      <c r="D179" s="778">
        <v>2806</v>
      </c>
    </row>
    <row r="180" spans="1:4">
      <c r="A180" t="s">
        <v>124</v>
      </c>
      <c r="B180" s="27">
        <v>44469</v>
      </c>
      <c r="C180" t="s">
        <v>390</v>
      </c>
      <c r="D180" s="778">
        <v>34359</v>
      </c>
    </row>
    <row r="181" spans="1:4">
      <c r="A181" t="s">
        <v>124</v>
      </c>
      <c r="B181" s="27">
        <v>44469</v>
      </c>
      <c r="C181" t="s">
        <v>410</v>
      </c>
      <c r="D181" s="778">
        <v>18540</v>
      </c>
    </row>
    <row r="182" spans="1:4">
      <c r="A182" t="s">
        <v>131</v>
      </c>
      <c r="B182" s="27">
        <v>44469</v>
      </c>
      <c r="C182" t="s">
        <v>390</v>
      </c>
      <c r="D182" s="778">
        <v>79773</v>
      </c>
    </row>
    <row r="183" spans="1:4">
      <c r="A183" t="s">
        <v>131</v>
      </c>
      <c r="B183" s="27">
        <v>44469</v>
      </c>
      <c r="C183" t="s">
        <v>410</v>
      </c>
      <c r="D183" s="778">
        <v>17339</v>
      </c>
    </row>
    <row r="184" spans="1:4">
      <c r="A184" t="s">
        <v>132</v>
      </c>
      <c r="B184" s="27">
        <v>44469</v>
      </c>
      <c r="C184" t="s">
        <v>390</v>
      </c>
      <c r="D184" s="778">
        <v>35485</v>
      </c>
    </row>
    <row r="185" spans="1:4">
      <c r="A185" t="s">
        <v>132</v>
      </c>
      <c r="B185" s="27">
        <v>44469</v>
      </c>
      <c r="C185" t="s">
        <v>410</v>
      </c>
      <c r="D185" s="778">
        <v>24867</v>
      </c>
    </row>
    <row r="186" spans="1:4">
      <c r="A186" t="s">
        <v>135</v>
      </c>
      <c r="B186" s="27">
        <v>44469</v>
      </c>
      <c r="C186" t="s">
        <v>390</v>
      </c>
      <c r="D186" s="778">
        <v>2974</v>
      </c>
    </row>
    <row r="187" spans="1:4">
      <c r="A187" t="s">
        <v>135</v>
      </c>
      <c r="B187" s="27">
        <v>44469</v>
      </c>
      <c r="C187" t="s">
        <v>410</v>
      </c>
      <c r="D187" s="778">
        <v>371</v>
      </c>
    </row>
    <row r="188" spans="1:4">
      <c r="A188" t="s">
        <v>136</v>
      </c>
      <c r="B188" s="27">
        <v>44469</v>
      </c>
      <c r="C188" t="s">
        <v>390</v>
      </c>
      <c r="D188" s="778">
        <v>43241</v>
      </c>
    </row>
    <row r="189" spans="1:4">
      <c r="A189" t="s">
        <v>136</v>
      </c>
      <c r="B189" s="27">
        <v>44469</v>
      </c>
      <c r="C189" t="s">
        <v>410</v>
      </c>
      <c r="D189" s="778">
        <v>17266</v>
      </c>
    </row>
    <row r="190" spans="1:4">
      <c r="A190" t="s">
        <v>137</v>
      </c>
      <c r="B190" s="27">
        <v>44469</v>
      </c>
      <c r="C190" t="s">
        <v>390</v>
      </c>
      <c r="D190" s="778">
        <v>37209</v>
      </c>
    </row>
    <row r="191" spans="1:4">
      <c r="A191" t="s">
        <v>137</v>
      </c>
      <c r="B191" s="27">
        <v>44469</v>
      </c>
      <c r="C191" t="s">
        <v>410</v>
      </c>
      <c r="D191" s="778">
        <v>4130</v>
      </c>
    </row>
    <row r="192" spans="1:4">
      <c r="A192" t="s">
        <v>138</v>
      </c>
      <c r="B192" s="27">
        <v>44469</v>
      </c>
      <c r="C192" t="s">
        <v>390</v>
      </c>
      <c r="D192" s="778">
        <v>73642</v>
      </c>
    </row>
    <row r="193" spans="1:4">
      <c r="A193" t="s">
        <v>138</v>
      </c>
      <c r="B193" s="27">
        <v>44469</v>
      </c>
      <c r="C193" t="s">
        <v>410</v>
      </c>
      <c r="D193" s="778">
        <v>53604</v>
      </c>
    </row>
    <row r="194" spans="1:4">
      <c r="A194" t="s">
        <v>139</v>
      </c>
      <c r="B194" s="27">
        <v>44469</v>
      </c>
      <c r="C194" t="s">
        <v>390</v>
      </c>
      <c r="D194" s="778">
        <v>15742</v>
      </c>
    </row>
    <row r="195" spans="1:4">
      <c r="A195" t="s">
        <v>139</v>
      </c>
      <c r="B195" s="27">
        <v>44469</v>
      </c>
      <c r="C195" t="s">
        <v>410</v>
      </c>
      <c r="D195" s="778">
        <v>442</v>
      </c>
    </row>
    <row r="196" spans="1:4">
      <c r="A196" t="s">
        <v>141</v>
      </c>
      <c r="B196" s="27">
        <v>44469</v>
      </c>
      <c r="C196" t="s">
        <v>390</v>
      </c>
      <c r="D196" s="778">
        <v>95634</v>
      </c>
    </row>
    <row r="197" spans="1:4">
      <c r="A197" t="s">
        <v>141</v>
      </c>
      <c r="B197" s="27">
        <v>44469</v>
      </c>
      <c r="C197" t="s">
        <v>410</v>
      </c>
      <c r="D197" s="778">
        <v>12847</v>
      </c>
    </row>
    <row r="198" spans="1:4">
      <c r="A198" t="s">
        <v>140</v>
      </c>
      <c r="B198" s="27">
        <v>44469</v>
      </c>
      <c r="C198" t="s">
        <v>390</v>
      </c>
      <c r="D198" s="778">
        <v>14365</v>
      </c>
    </row>
    <row r="199" spans="1:4">
      <c r="A199" t="s">
        <v>140</v>
      </c>
      <c r="B199" s="27">
        <v>44469</v>
      </c>
      <c r="C199" t="s">
        <v>410</v>
      </c>
      <c r="D199" s="778">
        <v>2632</v>
      </c>
    </row>
    <row r="200" spans="1:4">
      <c r="A200" t="s">
        <v>123</v>
      </c>
      <c r="B200" s="27">
        <v>44834</v>
      </c>
      <c r="C200" t="s">
        <v>390</v>
      </c>
      <c r="D200" s="778">
        <v>6379</v>
      </c>
    </row>
    <row r="201" spans="1:4">
      <c r="A201" t="s">
        <v>123</v>
      </c>
      <c r="B201" s="27">
        <v>44834</v>
      </c>
      <c r="C201" t="s">
        <v>410</v>
      </c>
      <c r="D201" s="778">
        <v>2806</v>
      </c>
    </row>
    <row r="202" spans="1:4">
      <c r="A202" t="s">
        <v>123</v>
      </c>
      <c r="B202" s="27">
        <v>44834</v>
      </c>
      <c r="C202" t="s">
        <v>390</v>
      </c>
      <c r="D202" s="778">
        <v>6325</v>
      </c>
    </row>
    <row r="203" spans="1:4">
      <c r="A203" t="s">
        <v>123</v>
      </c>
      <c r="B203" s="27">
        <v>44834</v>
      </c>
      <c r="C203" t="s">
        <v>410</v>
      </c>
      <c r="D203" s="778">
        <v>2924</v>
      </c>
    </row>
    <row r="204" spans="1:4">
      <c r="A204" t="s">
        <v>124</v>
      </c>
      <c r="B204" s="27">
        <v>44834</v>
      </c>
      <c r="C204" t="s">
        <v>390</v>
      </c>
      <c r="D204" s="778">
        <v>34359</v>
      </c>
    </row>
    <row r="205" spans="1:4">
      <c r="A205" t="s">
        <v>124</v>
      </c>
      <c r="B205" s="27">
        <v>44834</v>
      </c>
      <c r="C205" t="s">
        <v>410</v>
      </c>
      <c r="D205" s="778">
        <v>18540</v>
      </c>
    </row>
    <row r="206" spans="1:4">
      <c r="A206" t="s">
        <v>124</v>
      </c>
      <c r="B206" s="27">
        <v>44834</v>
      </c>
      <c r="C206" t="s">
        <v>390</v>
      </c>
      <c r="D206" s="778">
        <v>32004</v>
      </c>
    </row>
    <row r="207" spans="1:4">
      <c r="A207" t="s">
        <v>124</v>
      </c>
      <c r="B207" s="27">
        <v>44834</v>
      </c>
      <c r="C207" t="s">
        <v>410</v>
      </c>
      <c r="D207" s="778">
        <v>18825</v>
      </c>
    </row>
    <row r="208" spans="1:4">
      <c r="A208" t="s">
        <v>131</v>
      </c>
      <c r="B208" s="27">
        <v>44834</v>
      </c>
      <c r="C208" t="s">
        <v>390</v>
      </c>
      <c r="D208" s="778">
        <v>79773</v>
      </c>
    </row>
    <row r="209" spans="1:4">
      <c r="A209" t="s">
        <v>131</v>
      </c>
      <c r="B209" s="27">
        <v>44834</v>
      </c>
      <c r="C209" t="s">
        <v>410</v>
      </c>
      <c r="D209" s="778">
        <v>17339</v>
      </c>
    </row>
    <row r="210" spans="1:4">
      <c r="A210" t="s">
        <v>131</v>
      </c>
      <c r="B210" s="27">
        <v>44834</v>
      </c>
      <c r="C210" t="s">
        <v>390</v>
      </c>
      <c r="D210" s="778">
        <v>86247</v>
      </c>
    </row>
    <row r="211" spans="1:4">
      <c r="A211" t="s">
        <v>131</v>
      </c>
      <c r="B211" s="27">
        <v>44834</v>
      </c>
      <c r="C211" t="s">
        <v>410</v>
      </c>
      <c r="D211" s="778">
        <v>19094</v>
      </c>
    </row>
    <row r="212" spans="1:4">
      <c r="A212" t="s">
        <v>132</v>
      </c>
      <c r="B212" s="27">
        <v>44834</v>
      </c>
      <c r="C212" t="s">
        <v>390</v>
      </c>
      <c r="D212" s="778">
        <v>35485</v>
      </c>
    </row>
    <row r="213" spans="1:4">
      <c r="A213" t="s">
        <v>132</v>
      </c>
      <c r="B213" s="27">
        <v>44834</v>
      </c>
      <c r="C213" t="s">
        <v>410</v>
      </c>
      <c r="D213" s="778">
        <v>24867</v>
      </c>
    </row>
    <row r="214" spans="1:4">
      <c r="A214" t="s">
        <v>132</v>
      </c>
      <c r="B214" s="27">
        <v>44834</v>
      </c>
      <c r="C214" t="s">
        <v>390</v>
      </c>
      <c r="D214" s="778">
        <v>29457</v>
      </c>
    </row>
    <row r="215" spans="1:4">
      <c r="A215" t="s">
        <v>132</v>
      </c>
      <c r="B215" s="27">
        <v>44834</v>
      </c>
      <c r="C215" t="s">
        <v>410</v>
      </c>
      <c r="D215" s="778">
        <v>26100</v>
      </c>
    </row>
    <row r="216" spans="1:4">
      <c r="A216" t="s">
        <v>135</v>
      </c>
      <c r="B216" s="27">
        <v>44834</v>
      </c>
      <c r="C216" t="s">
        <v>390</v>
      </c>
      <c r="D216" s="778">
        <v>2974</v>
      </c>
    </row>
    <row r="217" spans="1:4">
      <c r="A217" t="s">
        <v>135</v>
      </c>
      <c r="B217" s="27">
        <v>44834</v>
      </c>
      <c r="C217" t="s">
        <v>410</v>
      </c>
      <c r="D217" s="778">
        <v>371</v>
      </c>
    </row>
    <row r="218" spans="1:4">
      <c r="A218" t="s">
        <v>135</v>
      </c>
      <c r="B218" s="27">
        <v>44834</v>
      </c>
      <c r="C218" t="s">
        <v>390</v>
      </c>
      <c r="D218" s="778">
        <v>3190</v>
      </c>
    </row>
    <row r="219" spans="1:4">
      <c r="A219" t="s">
        <v>135</v>
      </c>
      <c r="B219" s="27">
        <v>44834</v>
      </c>
      <c r="C219" t="s">
        <v>410</v>
      </c>
      <c r="D219" s="778">
        <v>528</v>
      </c>
    </row>
    <row r="220" spans="1:4">
      <c r="A220" t="s">
        <v>136</v>
      </c>
      <c r="B220" s="27">
        <v>44834</v>
      </c>
      <c r="C220" t="s">
        <v>390</v>
      </c>
      <c r="D220" s="778">
        <v>43241</v>
      </c>
    </row>
    <row r="221" spans="1:4">
      <c r="A221" t="s">
        <v>136</v>
      </c>
      <c r="B221" s="27">
        <v>44834</v>
      </c>
      <c r="C221" t="s">
        <v>410</v>
      </c>
      <c r="D221" s="778">
        <v>17266</v>
      </c>
    </row>
    <row r="222" spans="1:4">
      <c r="A222" t="s">
        <v>136</v>
      </c>
      <c r="B222" s="27">
        <v>44834</v>
      </c>
      <c r="C222" t="s">
        <v>390</v>
      </c>
      <c r="D222" s="778">
        <v>39467</v>
      </c>
    </row>
    <row r="223" spans="1:4">
      <c r="A223" t="s">
        <v>136</v>
      </c>
      <c r="B223" s="27">
        <v>44834</v>
      </c>
      <c r="C223" t="s">
        <v>410</v>
      </c>
      <c r="D223" s="778">
        <v>18733</v>
      </c>
    </row>
    <row r="224" spans="1:4">
      <c r="A224" t="s">
        <v>137</v>
      </c>
      <c r="B224" s="27">
        <v>44834</v>
      </c>
      <c r="C224" t="s">
        <v>390</v>
      </c>
      <c r="D224" s="778">
        <v>37209</v>
      </c>
    </row>
    <row r="225" spans="1:4">
      <c r="A225" t="s">
        <v>137</v>
      </c>
      <c r="B225" s="27">
        <v>44834</v>
      </c>
      <c r="C225" t="s">
        <v>410</v>
      </c>
      <c r="D225" s="778">
        <v>4130</v>
      </c>
    </row>
    <row r="226" spans="1:4">
      <c r="A226" t="s">
        <v>137</v>
      </c>
      <c r="B226" s="27">
        <v>44834</v>
      </c>
      <c r="C226" t="s">
        <v>390</v>
      </c>
      <c r="D226" s="778">
        <v>33433</v>
      </c>
    </row>
    <row r="227" spans="1:4">
      <c r="A227" t="s">
        <v>137</v>
      </c>
      <c r="B227" s="27">
        <v>44834</v>
      </c>
      <c r="C227" t="s">
        <v>410</v>
      </c>
      <c r="D227" s="778">
        <v>5458</v>
      </c>
    </row>
    <row r="228" spans="1:4">
      <c r="A228" t="s">
        <v>138</v>
      </c>
      <c r="B228" s="27">
        <v>44834</v>
      </c>
      <c r="C228" t="s">
        <v>390</v>
      </c>
      <c r="D228" s="778">
        <v>73642</v>
      </c>
    </row>
    <row r="229" spans="1:4">
      <c r="A229" t="s">
        <v>138</v>
      </c>
      <c r="B229" s="27">
        <v>44834</v>
      </c>
      <c r="C229" t="s">
        <v>410</v>
      </c>
      <c r="D229" s="778">
        <v>53604</v>
      </c>
    </row>
    <row r="230" spans="1:4">
      <c r="A230" t="s">
        <v>138</v>
      </c>
      <c r="B230" s="27">
        <v>44834</v>
      </c>
      <c r="C230" t="s">
        <v>390</v>
      </c>
      <c r="D230" s="778">
        <v>84141</v>
      </c>
    </row>
    <row r="231" spans="1:4">
      <c r="A231" t="s">
        <v>138</v>
      </c>
      <c r="B231" s="27">
        <v>44834</v>
      </c>
      <c r="C231" t="s">
        <v>410</v>
      </c>
      <c r="D231" s="778">
        <v>59761</v>
      </c>
    </row>
    <row r="232" spans="1:4">
      <c r="A232" t="s">
        <v>139</v>
      </c>
      <c r="B232" s="27">
        <v>44834</v>
      </c>
      <c r="C232" t="s">
        <v>390</v>
      </c>
      <c r="D232" s="778">
        <v>15742</v>
      </c>
    </row>
    <row r="233" spans="1:4">
      <c r="A233" t="s">
        <v>139</v>
      </c>
      <c r="B233" s="27">
        <v>44834</v>
      </c>
      <c r="C233" t="s">
        <v>410</v>
      </c>
      <c r="D233" s="778">
        <v>442</v>
      </c>
    </row>
    <row r="234" spans="1:4">
      <c r="A234" t="s">
        <v>139</v>
      </c>
      <c r="B234" s="27">
        <v>44834</v>
      </c>
      <c r="C234" t="s">
        <v>390</v>
      </c>
      <c r="D234" s="778">
        <v>21632</v>
      </c>
    </row>
    <row r="235" spans="1:4">
      <c r="A235" t="s">
        <v>139</v>
      </c>
      <c r="B235" s="27">
        <v>44834</v>
      </c>
      <c r="C235" t="s">
        <v>410</v>
      </c>
      <c r="D235" s="778">
        <v>648</v>
      </c>
    </row>
    <row r="236" spans="1:4">
      <c r="A236" t="s">
        <v>141</v>
      </c>
      <c r="B236" s="27">
        <v>44834</v>
      </c>
      <c r="C236" t="s">
        <v>390</v>
      </c>
      <c r="D236" s="778">
        <v>95634</v>
      </c>
    </row>
    <row r="237" spans="1:4">
      <c r="A237" t="s">
        <v>141</v>
      </c>
      <c r="B237" s="27">
        <v>44834</v>
      </c>
      <c r="C237" t="s">
        <v>410</v>
      </c>
      <c r="D237" s="778">
        <v>12847</v>
      </c>
    </row>
    <row r="238" spans="1:4">
      <c r="A238" t="s">
        <v>141</v>
      </c>
      <c r="B238" s="27">
        <v>44834</v>
      </c>
      <c r="C238" t="s">
        <v>390</v>
      </c>
      <c r="D238" s="778">
        <v>95976</v>
      </c>
    </row>
    <row r="239" spans="1:4">
      <c r="A239" t="s">
        <v>141</v>
      </c>
      <c r="B239" s="27">
        <v>44834</v>
      </c>
      <c r="C239" t="s">
        <v>410</v>
      </c>
      <c r="D239" s="778">
        <v>12900</v>
      </c>
    </row>
    <row r="240" spans="1:4">
      <c r="A240" t="s">
        <v>140</v>
      </c>
      <c r="B240" s="27">
        <v>44834</v>
      </c>
      <c r="C240" t="s">
        <v>390</v>
      </c>
      <c r="D240" s="778">
        <v>14365</v>
      </c>
    </row>
    <row r="241" spans="1:4">
      <c r="A241" t="s">
        <v>140</v>
      </c>
      <c r="B241" s="27">
        <v>44834</v>
      </c>
      <c r="C241" t="s">
        <v>410</v>
      </c>
      <c r="D241" s="778">
        <v>2632</v>
      </c>
    </row>
    <row r="242" spans="1:4">
      <c r="A242" t="s">
        <v>140</v>
      </c>
      <c r="B242" s="27">
        <v>44834</v>
      </c>
      <c r="C242" t="s">
        <v>390</v>
      </c>
      <c r="D242" s="778">
        <v>14592</v>
      </c>
    </row>
    <row r="243" spans="1:4">
      <c r="A243" t="s">
        <v>140</v>
      </c>
      <c r="B243" s="27">
        <v>44834</v>
      </c>
      <c r="C243" t="s">
        <v>410</v>
      </c>
      <c r="D243" s="778">
        <v>2069</v>
      </c>
    </row>
    <row r="244" spans="1:4">
      <c r="A244" t="s">
        <v>123</v>
      </c>
      <c r="B244" s="27">
        <v>44865</v>
      </c>
      <c r="C244" s="702" t="s">
        <v>390</v>
      </c>
      <c r="D244" s="778">
        <v>6312</v>
      </c>
    </row>
    <row r="245" spans="1:4">
      <c r="A245" t="s">
        <v>123</v>
      </c>
      <c r="B245" s="27">
        <v>44865</v>
      </c>
      <c r="C245" s="702" t="s">
        <v>410</v>
      </c>
      <c r="D245" s="778">
        <v>2907</v>
      </c>
    </row>
    <row r="246" spans="1:4">
      <c r="A246" t="s">
        <v>124</v>
      </c>
      <c r="B246" s="27">
        <v>44865</v>
      </c>
      <c r="C246" s="702" t="s">
        <v>390</v>
      </c>
      <c r="D246" s="778">
        <v>33074</v>
      </c>
    </row>
    <row r="247" spans="1:4">
      <c r="A247" t="s">
        <v>124</v>
      </c>
      <c r="B247" s="27">
        <v>44865</v>
      </c>
      <c r="C247" s="702" t="s">
        <v>410</v>
      </c>
      <c r="D247" s="778">
        <v>18796</v>
      </c>
    </row>
    <row r="248" spans="1:4">
      <c r="A248" t="s">
        <v>131</v>
      </c>
      <c r="B248" s="27">
        <v>44865</v>
      </c>
      <c r="C248" s="702" t="s">
        <v>390</v>
      </c>
      <c r="D248" s="778">
        <v>87685</v>
      </c>
    </row>
    <row r="249" spans="1:4">
      <c r="A249" t="s">
        <v>131</v>
      </c>
      <c r="B249" s="27">
        <v>44865</v>
      </c>
      <c r="C249" s="702" t="s">
        <v>410</v>
      </c>
      <c r="D249" s="778">
        <v>19320</v>
      </c>
    </row>
    <row r="250" spans="1:4">
      <c r="A250" t="s">
        <v>132</v>
      </c>
      <c r="B250" s="27">
        <v>44865</v>
      </c>
      <c r="C250" s="702" t="s">
        <v>390</v>
      </c>
      <c r="D250" s="778">
        <v>29002</v>
      </c>
    </row>
    <row r="251" spans="1:4">
      <c r="A251" t="s">
        <v>132</v>
      </c>
      <c r="B251" s="27">
        <v>44865</v>
      </c>
      <c r="C251" s="702" t="s">
        <v>410</v>
      </c>
      <c r="D251" s="778">
        <v>26165</v>
      </c>
    </row>
    <row r="252" spans="1:4">
      <c r="A252" t="s">
        <v>135</v>
      </c>
      <c r="B252" s="27">
        <v>44865</v>
      </c>
      <c r="C252" s="702" t="s">
        <v>390</v>
      </c>
      <c r="D252" s="778">
        <v>3232</v>
      </c>
    </row>
    <row r="253" spans="1:4">
      <c r="A253" t="s">
        <v>135</v>
      </c>
      <c r="B253" s="27">
        <v>44865</v>
      </c>
      <c r="C253" s="702" t="s">
        <v>410</v>
      </c>
      <c r="D253" s="778">
        <v>546</v>
      </c>
    </row>
    <row r="254" spans="1:4">
      <c r="A254" t="s">
        <v>136</v>
      </c>
      <c r="B254" s="27">
        <v>44865</v>
      </c>
      <c r="C254" s="702" t="s">
        <v>390</v>
      </c>
      <c r="D254" s="778">
        <v>39171</v>
      </c>
    </row>
    <row r="255" spans="1:4">
      <c r="A255" t="s">
        <v>136</v>
      </c>
      <c r="B255" s="27">
        <v>44865</v>
      </c>
      <c r="C255" s="702" t="s">
        <v>410</v>
      </c>
      <c r="D255" s="778">
        <v>18757</v>
      </c>
    </row>
    <row r="256" spans="1:4">
      <c r="A256" t="s">
        <v>137</v>
      </c>
      <c r="B256" s="27">
        <v>44865</v>
      </c>
      <c r="C256" s="702" t="s">
        <v>390</v>
      </c>
      <c r="D256" s="778">
        <v>33705</v>
      </c>
    </row>
    <row r="257" spans="1:4">
      <c r="A257" t="s">
        <v>137</v>
      </c>
      <c r="B257" s="27">
        <v>44865</v>
      </c>
      <c r="C257" s="702" t="s">
        <v>410</v>
      </c>
      <c r="D257" s="778">
        <v>5625</v>
      </c>
    </row>
    <row r="258" spans="1:4">
      <c r="A258" t="s">
        <v>138</v>
      </c>
      <c r="B258" s="27">
        <v>44865</v>
      </c>
      <c r="C258" s="702" t="s">
        <v>390</v>
      </c>
      <c r="D258" s="778">
        <v>84975</v>
      </c>
    </row>
    <row r="259" spans="1:4">
      <c r="A259" t="s">
        <v>138</v>
      </c>
      <c r="B259" s="27">
        <v>44865</v>
      </c>
      <c r="C259" s="702" t="s">
        <v>410</v>
      </c>
      <c r="D259" s="778">
        <v>60388</v>
      </c>
    </row>
    <row r="260" spans="1:4">
      <c r="A260" t="s">
        <v>139</v>
      </c>
      <c r="B260" s="27">
        <v>44865</v>
      </c>
      <c r="C260" s="702" t="s">
        <v>390</v>
      </c>
      <c r="D260" s="778">
        <v>21770</v>
      </c>
    </row>
    <row r="261" spans="1:4">
      <c r="A261" t="s">
        <v>139</v>
      </c>
      <c r="B261" s="27">
        <v>44865</v>
      </c>
      <c r="C261" s="702" t="s">
        <v>410</v>
      </c>
      <c r="D261" s="778">
        <v>847</v>
      </c>
    </row>
    <row r="262" spans="1:4">
      <c r="A262" t="s">
        <v>141</v>
      </c>
      <c r="B262" s="27">
        <v>44865</v>
      </c>
      <c r="C262" s="702" t="s">
        <v>390</v>
      </c>
      <c r="D262" s="778">
        <v>95680</v>
      </c>
    </row>
    <row r="263" spans="1:4">
      <c r="A263" t="s">
        <v>141</v>
      </c>
      <c r="B263" s="27">
        <v>44865</v>
      </c>
      <c r="C263" s="702" t="s">
        <v>410</v>
      </c>
      <c r="D263" s="778">
        <v>12853</v>
      </c>
    </row>
    <row r="264" spans="1:4">
      <c r="A264" t="s">
        <v>140</v>
      </c>
      <c r="B264" s="27">
        <v>44865</v>
      </c>
      <c r="C264" s="702" t="s">
        <v>390</v>
      </c>
      <c r="D264" s="778">
        <v>15390</v>
      </c>
    </row>
    <row r="265" spans="1:4">
      <c r="A265" t="s">
        <v>140</v>
      </c>
      <c r="B265" s="27">
        <v>44865</v>
      </c>
      <c r="C265" s="702" t="s">
        <v>410</v>
      </c>
      <c r="D265" s="778">
        <v>2026</v>
      </c>
    </row>
    <row r="266" spans="1:4">
      <c r="A266" t="s">
        <v>123</v>
      </c>
      <c r="B266" s="27">
        <v>44500</v>
      </c>
      <c r="C266" s="702" t="s">
        <v>390</v>
      </c>
      <c r="D266" s="778">
        <v>6312</v>
      </c>
    </row>
    <row r="267" spans="1:4">
      <c r="A267" t="s">
        <v>123</v>
      </c>
      <c r="B267" s="27">
        <v>44500</v>
      </c>
      <c r="C267" s="702" t="s">
        <v>410</v>
      </c>
      <c r="D267" s="778">
        <v>2907</v>
      </c>
    </row>
    <row r="268" spans="1:4">
      <c r="A268" t="s">
        <v>124</v>
      </c>
      <c r="B268" s="27">
        <v>44500</v>
      </c>
      <c r="C268" s="702" t="s">
        <v>390</v>
      </c>
      <c r="D268" s="778">
        <v>33074</v>
      </c>
    </row>
    <row r="269" spans="1:4">
      <c r="A269" t="s">
        <v>124</v>
      </c>
      <c r="B269" s="27">
        <v>44500</v>
      </c>
      <c r="C269" s="702" t="s">
        <v>410</v>
      </c>
      <c r="D269" s="778">
        <v>18796</v>
      </c>
    </row>
    <row r="270" spans="1:4">
      <c r="A270" t="s">
        <v>131</v>
      </c>
      <c r="B270" s="27">
        <v>44500</v>
      </c>
      <c r="C270" s="702" t="s">
        <v>390</v>
      </c>
      <c r="D270" s="778">
        <v>87685</v>
      </c>
    </row>
    <row r="271" spans="1:4">
      <c r="A271" t="s">
        <v>131</v>
      </c>
      <c r="B271" s="27">
        <v>44500</v>
      </c>
      <c r="C271" s="702" t="s">
        <v>410</v>
      </c>
      <c r="D271" s="778">
        <v>19320</v>
      </c>
    </row>
    <row r="272" spans="1:4">
      <c r="A272" t="s">
        <v>132</v>
      </c>
      <c r="B272" s="27">
        <v>44500</v>
      </c>
      <c r="C272" s="702" t="s">
        <v>390</v>
      </c>
      <c r="D272" s="778">
        <v>29002</v>
      </c>
    </row>
    <row r="273" spans="1:4">
      <c r="A273" t="s">
        <v>132</v>
      </c>
      <c r="B273" s="27">
        <v>44500</v>
      </c>
      <c r="C273" s="702" t="s">
        <v>410</v>
      </c>
      <c r="D273" s="778">
        <v>26165</v>
      </c>
    </row>
    <row r="274" spans="1:4">
      <c r="A274" t="s">
        <v>135</v>
      </c>
      <c r="B274" s="27">
        <v>44500</v>
      </c>
      <c r="C274" s="702" t="s">
        <v>390</v>
      </c>
      <c r="D274" s="778">
        <v>3232</v>
      </c>
    </row>
    <row r="275" spans="1:4">
      <c r="A275" t="s">
        <v>135</v>
      </c>
      <c r="B275" s="27">
        <v>44500</v>
      </c>
      <c r="C275" s="702" t="s">
        <v>410</v>
      </c>
      <c r="D275" s="778">
        <v>546</v>
      </c>
    </row>
    <row r="276" spans="1:4">
      <c r="A276" t="s">
        <v>136</v>
      </c>
      <c r="B276" s="27">
        <v>44500</v>
      </c>
      <c r="C276" s="702" t="s">
        <v>390</v>
      </c>
      <c r="D276" s="778">
        <v>39171</v>
      </c>
    </row>
    <row r="277" spans="1:4">
      <c r="A277" t="s">
        <v>136</v>
      </c>
      <c r="B277" s="27">
        <v>44500</v>
      </c>
      <c r="C277" s="702" t="s">
        <v>410</v>
      </c>
      <c r="D277" s="778">
        <v>18757</v>
      </c>
    </row>
    <row r="278" spans="1:4">
      <c r="A278" t="s">
        <v>137</v>
      </c>
      <c r="B278" s="27">
        <v>44500</v>
      </c>
      <c r="C278" s="702" t="s">
        <v>390</v>
      </c>
      <c r="D278" s="778">
        <v>33705</v>
      </c>
    </row>
    <row r="279" spans="1:4">
      <c r="A279" t="s">
        <v>137</v>
      </c>
      <c r="B279" s="27">
        <v>44500</v>
      </c>
      <c r="C279" s="702" t="s">
        <v>410</v>
      </c>
      <c r="D279" s="778">
        <v>5625</v>
      </c>
    </row>
    <row r="280" spans="1:4">
      <c r="A280" t="s">
        <v>138</v>
      </c>
      <c r="B280" s="27">
        <v>44500</v>
      </c>
      <c r="C280" s="702" t="s">
        <v>390</v>
      </c>
      <c r="D280" s="778">
        <v>84975</v>
      </c>
    </row>
    <row r="281" spans="1:4">
      <c r="A281" t="s">
        <v>138</v>
      </c>
      <c r="B281" s="27">
        <v>44500</v>
      </c>
      <c r="C281" s="702" t="s">
        <v>410</v>
      </c>
      <c r="D281" s="778">
        <v>60388</v>
      </c>
    </row>
    <row r="282" spans="1:4">
      <c r="A282" t="s">
        <v>139</v>
      </c>
      <c r="B282" s="27">
        <v>44500</v>
      </c>
      <c r="C282" s="702" t="s">
        <v>390</v>
      </c>
      <c r="D282" s="778">
        <v>21770</v>
      </c>
    </row>
    <row r="283" spans="1:4">
      <c r="A283" t="s">
        <v>139</v>
      </c>
      <c r="B283" s="27">
        <v>44500</v>
      </c>
      <c r="C283" s="702" t="s">
        <v>410</v>
      </c>
      <c r="D283" s="778">
        <v>847</v>
      </c>
    </row>
    <row r="284" spans="1:4">
      <c r="A284" t="s">
        <v>141</v>
      </c>
      <c r="B284" s="27">
        <v>44500</v>
      </c>
      <c r="C284" s="702" t="s">
        <v>390</v>
      </c>
      <c r="D284" s="778">
        <v>95680</v>
      </c>
    </row>
    <row r="285" spans="1:4">
      <c r="A285" t="s">
        <v>141</v>
      </c>
      <c r="B285" s="27">
        <v>44500</v>
      </c>
      <c r="C285" s="702" t="s">
        <v>410</v>
      </c>
      <c r="D285" s="778">
        <v>12853</v>
      </c>
    </row>
    <row r="286" spans="1:4">
      <c r="A286" t="s">
        <v>140</v>
      </c>
      <c r="B286" s="27">
        <v>44500</v>
      </c>
      <c r="C286" s="702" t="s">
        <v>390</v>
      </c>
      <c r="D286" s="778">
        <v>15390</v>
      </c>
    </row>
    <row r="287" spans="1:4">
      <c r="A287" t="s">
        <v>140</v>
      </c>
      <c r="B287" s="27">
        <v>44500</v>
      </c>
      <c r="C287" s="702" t="s">
        <v>410</v>
      </c>
      <c r="D287" s="778">
        <v>2026</v>
      </c>
    </row>
    <row r="288" spans="1:4">
      <c r="A288" t="s">
        <v>123</v>
      </c>
      <c r="B288" s="27">
        <v>44500</v>
      </c>
      <c r="C288" s="702" t="s">
        <v>390</v>
      </c>
      <c r="D288" s="778">
        <v>6409</v>
      </c>
    </row>
    <row r="289" spans="1:4">
      <c r="A289" t="s">
        <v>123</v>
      </c>
      <c r="B289" s="27">
        <v>44500</v>
      </c>
      <c r="C289" s="702" t="s">
        <v>410</v>
      </c>
      <c r="D289" s="778">
        <v>2825</v>
      </c>
    </row>
    <row r="290" spans="1:4">
      <c r="A290" t="s">
        <v>123</v>
      </c>
      <c r="B290" s="27">
        <v>44500</v>
      </c>
      <c r="C290" s="702" t="s">
        <v>390</v>
      </c>
      <c r="D290" s="778">
        <v>6312</v>
      </c>
    </row>
    <row r="291" spans="1:4">
      <c r="A291" t="s">
        <v>123</v>
      </c>
      <c r="B291" s="27">
        <v>44500</v>
      </c>
      <c r="C291" s="702" t="s">
        <v>410</v>
      </c>
      <c r="D291" s="778">
        <v>2907</v>
      </c>
    </row>
    <row r="292" spans="1:4">
      <c r="A292" t="s">
        <v>124</v>
      </c>
      <c r="B292" s="27">
        <v>44500</v>
      </c>
      <c r="C292" s="702" t="s">
        <v>390</v>
      </c>
      <c r="D292" s="778">
        <v>34835</v>
      </c>
    </row>
    <row r="293" spans="1:4">
      <c r="A293" t="s">
        <v>124</v>
      </c>
      <c r="B293" s="27">
        <v>44500</v>
      </c>
      <c r="C293" s="702" t="s">
        <v>410</v>
      </c>
      <c r="D293" s="778">
        <v>18685</v>
      </c>
    </row>
    <row r="294" spans="1:4">
      <c r="A294" t="s">
        <v>124</v>
      </c>
      <c r="B294" s="27">
        <v>44500</v>
      </c>
      <c r="C294" s="702" t="s">
        <v>390</v>
      </c>
      <c r="D294" s="778">
        <v>33074</v>
      </c>
    </row>
    <row r="295" spans="1:4">
      <c r="A295" t="s">
        <v>124</v>
      </c>
      <c r="B295" s="27">
        <v>44500</v>
      </c>
      <c r="C295" s="702" t="s">
        <v>410</v>
      </c>
      <c r="D295" s="778">
        <v>18796</v>
      </c>
    </row>
    <row r="296" spans="1:4">
      <c r="A296" t="s">
        <v>131</v>
      </c>
      <c r="B296" s="27">
        <v>44500</v>
      </c>
      <c r="C296" s="702" t="s">
        <v>390</v>
      </c>
      <c r="D296" s="778">
        <v>80612</v>
      </c>
    </row>
    <row r="297" spans="1:4">
      <c r="A297" t="s">
        <v>131</v>
      </c>
      <c r="B297" s="27">
        <v>44500</v>
      </c>
      <c r="C297" s="702" t="s">
        <v>410</v>
      </c>
      <c r="D297" s="778">
        <v>17437</v>
      </c>
    </row>
    <row r="298" spans="1:4">
      <c r="A298" t="s">
        <v>131</v>
      </c>
      <c r="B298" s="27">
        <v>44500</v>
      </c>
      <c r="C298" s="702" t="s">
        <v>390</v>
      </c>
      <c r="D298" s="778">
        <v>87685</v>
      </c>
    </row>
    <row r="299" spans="1:4">
      <c r="A299" t="s">
        <v>131</v>
      </c>
      <c r="B299" s="27">
        <v>44500</v>
      </c>
      <c r="C299" s="702" t="s">
        <v>410</v>
      </c>
      <c r="D299" s="778">
        <v>19320</v>
      </c>
    </row>
    <row r="300" spans="1:4">
      <c r="A300" t="s">
        <v>132</v>
      </c>
      <c r="B300" s="27">
        <v>44500</v>
      </c>
      <c r="C300" s="702" t="s">
        <v>390</v>
      </c>
      <c r="D300" s="778">
        <v>36726</v>
      </c>
    </row>
    <row r="301" spans="1:4">
      <c r="A301" t="s">
        <v>132</v>
      </c>
      <c r="B301" s="27">
        <v>44500</v>
      </c>
      <c r="C301" s="702" t="s">
        <v>410</v>
      </c>
      <c r="D301" s="778">
        <v>25052</v>
      </c>
    </row>
    <row r="302" spans="1:4">
      <c r="A302" t="s">
        <v>132</v>
      </c>
      <c r="B302" s="27">
        <v>44500</v>
      </c>
      <c r="C302" s="702" t="s">
        <v>390</v>
      </c>
      <c r="D302" s="778">
        <v>29002</v>
      </c>
    </row>
    <row r="303" spans="1:4">
      <c r="A303" t="s">
        <v>132</v>
      </c>
      <c r="B303" s="27">
        <v>44500</v>
      </c>
      <c r="C303" s="702" t="s">
        <v>410</v>
      </c>
      <c r="D303" s="778">
        <v>26165</v>
      </c>
    </row>
    <row r="304" spans="1:4">
      <c r="A304" t="s">
        <v>135</v>
      </c>
      <c r="B304" s="27">
        <v>44500</v>
      </c>
      <c r="C304" s="702" t="s">
        <v>390</v>
      </c>
      <c r="D304" s="778">
        <v>3035</v>
      </c>
    </row>
    <row r="305" spans="1:4">
      <c r="A305" t="s">
        <v>135</v>
      </c>
      <c r="B305" s="27">
        <v>44500</v>
      </c>
      <c r="C305" s="702" t="s">
        <v>410</v>
      </c>
      <c r="D305" s="778">
        <v>380</v>
      </c>
    </row>
    <row r="306" spans="1:4">
      <c r="A306" t="s">
        <v>135</v>
      </c>
      <c r="B306" s="27">
        <v>44500</v>
      </c>
      <c r="C306" s="702" t="s">
        <v>390</v>
      </c>
      <c r="D306" s="778">
        <v>3232</v>
      </c>
    </row>
    <row r="307" spans="1:4">
      <c r="A307" t="s">
        <v>135</v>
      </c>
      <c r="B307" s="27">
        <v>44500</v>
      </c>
      <c r="C307" s="702" t="s">
        <v>410</v>
      </c>
      <c r="D307" s="778">
        <v>546</v>
      </c>
    </row>
    <row r="308" spans="1:4">
      <c r="A308" t="s">
        <v>136</v>
      </c>
      <c r="B308" s="27">
        <v>44500</v>
      </c>
      <c r="C308" s="702" t="s">
        <v>390</v>
      </c>
      <c r="D308" s="778">
        <v>42815</v>
      </c>
    </row>
    <row r="309" spans="1:4">
      <c r="A309" t="s">
        <v>136</v>
      </c>
      <c r="B309" s="27">
        <v>44500</v>
      </c>
      <c r="C309" s="702" t="s">
        <v>410</v>
      </c>
      <c r="D309" s="778">
        <v>17387</v>
      </c>
    </row>
    <row r="310" spans="1:4">
      <c r="A310" t="s">
        <v>136</v>
      </c>
      <c r="B310" s="27">
        <v>44500</v>
      </c>
      <c r="C310" s="702" t="s">
        <v>390</v>
      </c>
      <c r="D310" s="778">
        <v>39171</v>
      </c>
    </row>
    <row r="311" spans="1:4">
      <c r="A311" t="s">
        <v>136</v>
      </c>
      <c r="B311" s="27">
        <v>44500</v>
      </c>
      <c r="C311" s="702" t="s">
        <v>410</v>
      </c>
      <c r="D311" s="778">
        <v>18757</v>
      </c>
    </row>
    <row r="312" spans="1:4">
      <c r="A312" t="s">
        <v>137</v>
      </c>
      <c r="B312" s="27">
        <v>44500</v>
      </c>
      <c r="C312" s="702" t="s">
        <v>390</v>
      </c>
      <c r="D312" s="778">
        <v>37204</v>
      </c>
    </row>
    <row r="313" spans="1:4">
      <c r="A313" t="s">
        <v>137</v>
      </c>
      <c r="B313" s="27">
        <v>44500</v>
      </c>
      <c r="C313" s="702" t="s">
        <v>410</v>
      </c>
      <c r="D313" s="778">
        <v>4299</v>
      </c>
    </row>
    <row r="314" spans="1:4">
      <c r="A314" t="s">
        <v>137</v>
      </c>
      <c r="B314" s="27">
        <v>44500</v>
      </c>
      <c r="C314" s="702" t="s">
        <v>390</v>
      </c>
      <c r="D314" s="778">
        <v>33705</v>
      </c>
    </row>
    <row r="315" spans="1:4">
      <c r="A315" t="s">
        <v>137</v>
      </c>
      <c r="B315" s="27">
        <v>44500</v>
      </c>
      <c r="C315" s="702" t="s">
        <v>410</v>
      </c>
      <c r="D315" s="778">
        <v>5625</v>
      </c>
    </row>
    <row r="316" spans="1:4">
      <c r="A316" t="s">
        <v>138</v>
      </c>
      <c r="B316" s="27">
        <v>44500</v>
      </c>
      <c r="C316" s="702" t="s">
        <v>390</v>
      </c>
      <c r="D316" s="778">
        <v>75201</v>
      </c>
    </row>
    <row r="317" spans="1:4">
      <c r="A317" t="s">
        <v>138</v>
      </c>
      <c r="B317" s="27">
        <v>44500</v>
      </c>
      <c r="C317" s="702" t="s">
        <v>410</v>
      </c>
      <c r="D317" s="778">
        <v>54238</v>
      </c>
    </row>
    <row r="318" spans="1:4">
      <c r="A318" t="s">
        <v>138</v>
      </c>
      <c r="B318" s="27">
        <v>44500</v>
      </c>
      <c r="C318" s="702" t="s">
        <v>390</v>
      </c>
      <c r="D318" s="778">
        <v>84975</v>
      </c>
    </row>
    <row r="319" spans="1:4">
      <c r="A319" t="s">
        <v>138</v>
      </c>
      <c r="B319" s="27">
        <v>44500</v>
      </c>
      <c r="C319" s="702" t="s">
        <v>410</v>
      </c>
      <c r="D319" s="778">
        <v>60388</v>
      </c>
    </row>
    <row r="320" spans="1:4">
      <c r="A320" t="s">
        <v>139</v>
      </c>
      <c r="B320" s="27">
        <v>44500</v>
      </c>
      <c r="C320" s="702" t="s">
        <v>390</v>
      </c>
      <c r="D320" s="778">
        <v>18323</v>
      </c>
    </row>
    <row r="321" spans="1:4">
      <c r="A321" t="s">
        <v>139</v>
      </c>
      <c r="B321" s="27">
        <v>44500</v>
      </c>
      <c r="C321" s="702" t="s">
        <v>410</v>
      </c>
      <c r="D321" s="778">
        <v>436</v>
      </c>
    </row>
    <row r="322" spans="1:4">
      <c r="A322" t="s">
        <v>139</v>
      </c>
      <c r="B322" s="27">
        <v>44500</v>
      </c>
      <c r="C322" s="702" t="s">
        <v>390</v>
      </c>
      <c r="D322" s="778">
        <v>21770</v>
      </c>
    </row>
    <row r="323" spans="1:4">
      <c r="A323" t="s">
        <v>139</v>
      </c>
      <c r="B323" s="27">
        <v>44500</v>
      </c>
      <c r="C323" s="702" t="s">
        <v>410</v>
      </c>
      <c r="D323" s="778">
        <v>847</v>
      </c>
    </row>
    <row r="324" spans="1:4">
      <c r="A324" t="s">
        <v>141</v>
      </c>
      <c r="B324" s="27">
        <v>44500</v>
      </c>
      <c r="C324" s="702" t="s">
        <v>390</v>
      </c>
      <c r="D324" s="778">
        <v>95670</v>
      </c>
    </row>
    <row r="325" spans="1:4">
      <c r="A325" t="s">
        <v>141</v>
      </c>
      <c r="B325" s="27">
        <v>44500</v>
      </c>
      <c r="C325" s="702" t="s">
        <v>410</v>
      </c>
      <c r="D325" s="778">
        <v>12803</v>
      </c>
    </row>
    <row r="326" spans="1:4">
      <c r="A326" t="s">
        <v>141</v>
      </c>
      <c r="B326" s="27">
        <v>44500</v>
      </c>
      <c r="C326" s="702" t="s">
        <v>390</v>
      </c>
      <c r="D326" s="778">
        <v>95680</v>
      </c>
    </row>
    <row r="327" spans="1:4">
      <c r="A327" t="s">
        <v>141</v>
      </c>
      <c r="B327" s="27">
        <v>44500</v>
      </c>
      <c r="C327" s="702" t="s">
        <v>410</v>
      </c>
      <c r="D327" s="778">
        <v>12853</v>
      </c>
    </row>
    <row r="328" spans="1:4">
      <c r="A328" t="s">
        <v>140</v>
      </c>
      <c r="B328" s="27">
        <v>44500</v>
      </c>
      <c r="C328" s="702" t="s">
        <v>390</v>
      </c>
      <c r="D328" s="778">
        <v>15137</v>
      </c>
    </row>
    <row r="329" spans="1:4">
      <c r="A329" t="s">
        <v>140</v>
      </c>
      <c r="B329" s="27">
        <v>44500</v>
      </c>
      <c r="C329" s="702" t="s">
        <v>410</v>
      </c>
      <c r="D329" s="778">
        <v>2594</v>
      </c>
    </row>
    <row r="330" spans="1:4">
      <c r="A330" t="s">
        <v>140</v>
      </c>
      <c r="B330" s="27">
        <v>44500</v>
      </c>
      <c r="C330" s="702" t="s">
        <v>390</v>
      </c>
      <c r="D330" s="778">
        <v>15390</v>
      </c>
    </row>
    <row r="331" spans="1:4">
      <c r="A331" t="s">
        <v>140</v>
      </c>
      <c r="B331" s="27">
        <v>44500</v>
      </c>
      <c r="C331" s="702" t="s">
        <v>410</v>
      </c>
      <c r="D331" s="778">
        <v>2026</v>
      </c>
    </row>
    <row r="332" spans="1:4">
      <c r="A332" s="774" t="s">
        <v>123</v>
      </c>
      <c r="B332" s="27">
        <v>44895</v>
      </c>
      <c r="C332" s="774" t="s">
        <v>390</v>
      </c>
      <c r="D332" s="778">
        <v>6179</v>
      </c>
    </row>
    <row r="333" spans="1:4">
      <c r="A333" s="774" t="s">
        <v>123</v>
      </c>
      <c r="B333" s="27">
        <v>44895</v>
      </c>
      <c r="C333" s="774" t="s">
        <v>410</v>
      </c>
      <c r="D333" s="778">
        <v>2906</v>
      </c>
    </row>
    <row r="334" spans="1:4">
      <c r="A334" s="774" t="s">
        <v>124</v>
      </c>
      <c r="B334" s="27">
        <v>44895</v>
      </c>
      <c r="C334" s="774" t="s">
        <v>390</v>
      </c>
      <c r="D334" s="778">
        <v>33203</v>
      </c>
    </row>
    <row r="335" spans="1:4">
      <c r="A335" s="774" t="s">
        <v>124</v>
      </c>
      <c r="B335" s="27">
        <v>44895</v>
      </c>
      <c r="C335" s="774" t="s">
        <v>410</v>
      </c>
      <c r="D335" s="778">
        <v>18735</v>
      </c>
    </row>
    <row r="336" spans="1:4">
      <c r="A336" s="774" t="s">
        <v>131</v>
      </c>
      <c r="B336" s="27">
        <v>44895</v>
      </c>
      <c r="C336" s="774" t="s">
        <v>390</v>
      </c>
      <c r="D336" s="778">
        <v>88379</v>
      </c>
    </row>
    <row r="337" spans="1:4">
      <c r="A337" s="774" t="s">
        <v>131</v>
      </c>
      <c r="B337" s="27">
        <v>44895</v>
      </c>
      <c r="C337" s="774" t="s">
        <v>410</v>
      </c>
      <c r="D337" s="778">
        <v>19517</v>
      </c>
    </row>
    <row r="338" spans="1:4">
      <c r="A338" s="774" t="s">
        <v>132</v>
      </c>
      <c r="B338" s="27">
        <v>44895</v>
      </c>
      <c r="C338" s="774" t="s">
        <v>390</v>
      </c>
      <c r="D338" s="778">
        <v>28895</v>
      </c>
    </row>
    <row r="339" spans="1:4">
      <c r="A339" s="774" t="s">
        <v>132</v>
      </c>
      <c r="B339" s="27">
        <v>44895</v>
      </c>
      <c r="C339" s="774" t="s">
        <v>410</v>
      </c>
      <c r="D339" s="778">
        <v>26146</v>
      </c>
    </row>
    <row r="340" spans="1:4">
      <c r="A340" s="774" t="s">
        <v>135</v>
      </c>
      <c r="B340" s="27">
        <v>44895</v>
      </c>
      <c r="C340" s="774" t="s">
        <v>390</v>
      </c>
      <c r="D340" s="778">
        <v>3271</v>
      </c>
    </row>
    <row r="341" spans="1:4">
      <c r="A341" s="774" t="s">
        <v>135</v>
      </c>
      <c r="B341" s="27">
        <v>44895</v>
      </c>
      <c r="C341" s="774" t="s">
        <v>410</v>
      </c>
      <c r="D341" s="778">
        <v>556</v>
      </c>
    </row>
    <row r="342" spans="1:4">
      <c r="A342" s="774" t="s">
        <v>136</v>
      </c>
      <c r="B342" s="27">
        <v>44895</v>
      </c>
      <c r="C342" s="774" t="s">
        <v>390</v>
      </c>
      <c r="D342" s="778">
        <v>39158</v>
      </c>
    </row>
    <row r="343" spans="1:4">
      <c r="A343" s="774" t="s">
        <v>136</v>
      </c>
      <c r="B343" s="27">
        <v>44895</v>
      </c>
      <c r="C343" s="774" t="s">
        <v>410</v>
      </c>
      <c r="D343" s="778">
        <v>18800</v>
      </c>
    </row>
    <row r="344" spans="1:4">
      <c r="A344" s="774" t="s">
        <v>137</v>
      </c>
      <c r="B344" s="27">
        <v>44895</v>
      </c>
      <c r="C344" s="774" t="s">
        <v>390</v>
      </c>
      <c r="D344" s="778">
        <v>34154</v>
      </c>
    </row>
    <row r="345" spans="1:4">
      <c r="A345" s="774" t="s">
        <v>137</v>
      </c>
      <c r="B345" s="27">
        <v>44895</v>
      </c>
      <c r="C345" s="774" t="s">
        <v>410</v>
      </c>
      <c r="D345" s="778">
        <v>5835</v>
      </c>
    </row>
    <row r="346" spans="1:4">
      <c r="A346" s="774" t="s">
        <v>138</v>
      </c>
      <c r="B346" s="27">
        <v>44895</v>
      </c>
      <c r="C346" s="774" t="s">
        <v>390</v>
      </c>
      <c r="D346" s="778">
        <v>85434</v>
      </c>
    </row>
    <row r="347" spans="1:4">
      <c r="A347" s="774" t="s">
        <v>138</v>
      </c>
      <c r="B347" s="27">
        <v>44895</v>
      </c>
      <c r="C347" s="774" t="s">
        <v>410</v>
      </c>
      <c r="D347" s="778">
        <v>60985</v>
      </c>
    </row>
    <row r="348" spans="1:4">
      <c r="A348" s="774" t="s">
        <v>139</v>
      </c>
      <c r="B348" s="27">
        <v>44895</v>
      </c>
      <c r="C348" s="774" t="s">
        <v>390</v>
      </c>
      <c r="D348" s="778">
        <v>21332</v>
      </c>
    </row>
    <row r="349" spans="1:4">
      <c r="A349" s="774" t="s">
        <v>139</v>
      </c>
      <c r="B349" s="27">
        <v>44895</v>
      </c>
      <c r="C349" s="774" t="s">
        <v>410</v>
      </c>
      <c r="D349" s="778">
        <v>870</v>
      </c>
    </row>
    <row r="350" spans="1:4">
      <c r="A350" s="774" t="s">
        <v>141</v>
      </c>
      <c r="B350" s="27">
        <v>44895</v>
      </c>
      <c r="C350" s="774" t="s">
        <v>390</v>
      </c>
      <c r="D350" s="778">
        <v>95725</v>
      </c>
    </row>
    <row r="351" spans="1:4">
      <c r="A351" s="774" t="s">
        <v>141</v>
      </c>
      <c r="B351" s="27">
        <v>44895</v>
      </c>
      <c r="C351" s="774" t="s">
        <v>410</v>
      </c>
      <c r="D351" s="778">
        <v>12852</v>
      </c>
    </row>
    <row r="352" spans="1:4">
      <c r="A352" s="774" t="s">
        <v>140</v>
      </c>
      <c r="B352" s="27">
        <v>44895</v>
      </c>
      <c r="C352" s="774" t="s">
        <v>390</v>
      </c>
      <c r="D352" s="778">
        <v>15683</v>
      </c>
    </row>
    <row r="353" spans="1:4">
      <c r="A353" s="774" t="s">
        <v>140</v>
      </c>
      <c r="B353" s="27">
        <v>44895</v>
      </c>
      <c r="C353" s="774" t="s">
        <v>410</v>
      </c>
      <c r="D353" s="778">
        <v>1980</v>
      </c>
    </row>
    <row r="354" spans="1:4">
      <c r="A354" s="774" t="s">
        <v>123</v>
      </c>
      <c r="B354" s="27">
        <v>44530</v>
      </c>
      <c r="C354" s="774" t="s">
        <v>390</v>
      </c>
      <c r="D354" s="778">
        <v>6179</v>
      </c>
    </row>
    <row r="355" spans="1:4">
      <c r="A355" s="774" t="s">
        <v>123</v>
      </c>
      <c r="B355" s="27">
        <v>44530</v>
      </c>
      <c r="C355" s="774" t="s">
        <v>410</v>
      </c>
      <c r="D355" s="778">
        <v>2906</v>
      </c>
    </row>
    <row r="356" spans="1:4">
      <c r="A356" s="774" t="s">
        <v>124</v>
      </c>
      <c r="B356" s="27">
        <v>44530</v>
      </c>
      <c r="C356" s="774" t="s">
        <v>390</v>
      </c>
      <c r="D356" s="778">
        <v>33203</v>
      </c>
    </row>
    <row r="357" spans="1:4">
      <c r="A357" s="774" t="s">
        <v>124</v>
      </c>
      <c r="B357" s="27">
        <v>44530</v>
      </c>
      <c r="C357" s="774" t="s">
        <v>410</v>
      </c>
      <c r="D357" s="778">
        <v>18735</v>
      </c>
    </row>
    <row r="358" spans="1:4">
      <c r="A358" s="774" t="s">
        <v>131</v>
      </c>
      <c r="B358" s="27">
        <v>44530</v>
      </c>
      <c r="C358" s="774" t="s">
        <v>390</v>
      </c>
      <c r="D358" s="778">
        <v>88379</v>
      </c>
    </row>
    <row r="359" spans="1:4">
      <c r="A359" s="774" t="s">
        <v>131</v>
      </c>
      <c r="B359" s="27">
        <v>44530</v>
      </c>
      <c r="C359" s="774" t="s">
        <v>410</v>
      </c>
      <c r="D359" s="778">
        <v>19517</v>
      </c>
    </row>
    <row r="360" spans="1:4">
      <c r="A360" s="774" t="s">
        <v>132</v>
      </c>
      <c r="B360" s="27">
        <v>44530</v>
      </c>
      <c r="C360" s="774" t="s">
        <v>390</v>
      </c>
      <c r="D360" s="778">
        <v>28895</v>
      </c>
    </row>
    <row r="361" spans="1:4">
      <c r="A361" s="774" t="s">
        <v>132</v>
      </c>
      <c r="B361" s="27">
        <v>44530</v>
      </c>
      <c r="C361" s="774" t="s">
        <v>410</v>
      </c>
      <c r="D361" s="778">
        <v>26146</v>
      </c>
    </row>
    <row r="362" spans="1:4">
      <c r="A362" s="774" t="s">
        <v>135</v>
      </c>
      <c r="B362" s="27">
        <v>44530</v>
      </c>
      <c r="C362" s="774" t="s">
        <v>390</v>
      </c>
      <c r="D362" s="778">
        <v>3271</v>
      </c>
    </row>
    <row r="363" spans="1:4">
      <c r="A363" s="774" t="s">
        <v>135</v>
      </c>
      <c r="B363" s="27">
        <v>44530</v>
      </c>
      <c r="C363" s="774" t="s">
        <v>410</v>
      </c>
      <c r="D363" s="778">
        <v>556</v>
      </c>
    </row>
    <row r="364" spans="1:4">
      <c r="A364" s="774" t="s">
        <v>136</v>
      </c>
      <c r="B364" s="27">
        <v>44530</v>
      </c>
      <c r="C364" s="774" t="s">
        <v>390</v>
      </c>
      <c r="D364" s="778">
        <v>39158</v>
      </c>
    </row>
    <row r="365" spans="1:4">
      <c r="A365" s="774" t="s">
        <v>136</v>
      </c>
      <c r="B365" s="27">
        <v>44530</v>
      </c>
      <c r="C365" s="774" t="s">
        <v>410</v>
      </c>
      <c r="D365" s="778">
        <v>18800</v>
      </c>
    </row>
    <row r="366" spans="1:4">
      <c r="A366" s="774" t="s">
        <v>137</v>
      </c>
      <c r="B366" s="27">
        <v>44530</v>
      </c>
      <c r="C366" s="774" t="s">
        <v>390</v>
      </c>
      <c r="D366" s="778">
        <v>34154</v>
      </c>
    </row>
    <row r="367" spans="1:4">
      <c r="A367" s="774" t="s">
        <v>137</v>
      </c>
      <c r="B367" s="27">
        <v>44530</v>
      </c>
      <c r="C367" s="774" t="s">
        <v>410</v>
      </c>
      <c r="D367" s="778">
        <v>5835</v>
      </c>
    </row>
    <row r="368" spans="1:4">
      <c r="A368" s="774" t="s">
        <v>138</v>
      </c>
      <c r="B368" s="27">
        <v>44530</v>
      </c>
      <c r="C368" s="774" t="s">
        <v>390</v>
      </c>
      <c r="D368" s="778">
        <v>85434</v>
      </c>
    </row>
    <row r="369" spans="1:4">
      <c r="A369" s="774" t="s">
        <v>138</v>
      </c>
      <c r="B369" s="27">
        <v>44530</v>
      </c>
      <c r="C369" s="774" t="s">
        <v>410</v>
      </c>
      <c r="D369" s="778">
        <v>60985</v>
      </c>
    </row>
    <row r="370" spans="1:4">
      <c r="A370" s="774" t="s">
        <v>139</v>
      </c>
      <c r="B370" s="27">
        <v>44530</v>
      </c>
      <c r="C370" s="774" t="s">
        <v>390</v>
      </c>
      <c r="D370" s="778">
        <v>21332</v>
      </c>
    </row>
    <row r="371" spans="1:4">
      <c r="A371" s="774" t="s">
        <v>139</v>
      </c>
      <c r="B371" s="27">
        <v>44530</v>
      </c>
      <c r="C371" s="774" t="s">
        <v>410</v>
      </c>
      <c r="D371" s="778">
        <v>870</v>
      </c>
    </row>
    <row r="372" spans="1:4">
      <c r="A372" s="774" t="s">
        <v>141</v>
      </c>
      <c r="B372" s="27">
        <v>44530</v>
      </c>
      <c r="C372" s="774" t="s">
        <v>390</v>
      </c>
      <c r="D372" s="778">
        <v>95725</v>
      </c>
    </row>
    <row r="373" spans="1:4">
      <c r="A373" s="774" t="s">
        <v>141</v>
      </c>
      <c r="B373" s="27">
        <v>44530</v>
      </c>
      <c r="C373" s="774" t="s">
        <v>410</v>
      </c>
      <c r="D373" s="778">
        <v>12852</v>
      </c>
    </row>
    <row r="374" spans="1:4">
      <c r="A374" s="774" t="s">
        <v>140</v>
      </c>
      <c r="B374" s="27">
        <v>44530</v>
      </c>
      <c r="C374" s="774" t="s">
        <v>390</v>
      </c>
      <c r="D374" s="778">
        <v>15683</v>
      </c>
    </row>
    <row r="375" spans="1:4">
      <c r="A375" s="774" t="s">
        <v>140</v>
      </c>
      <c r="B375" s="27">
        <v>44530</v>
      </c>
      <c r="C375" s="774" t="s">
        <v>410</v>
      </c>
      <c r="D375" s="778">
        <v>1980</v>
      </c>
    </row>
    <row r="376" spans="1:4">
      <c r="A376" s="774" t="s">
        <v>123</v>
      </c>
      <c r="B376" s="27">
        <v>44530</v>
      </c>
      <c r="C376" s="774" t="s">
        <v>390</v>
      </c>
      <c r="D376" s="778">
        <v>6320</v>
      </c>
    </row>
    <row r="377" spans="1:4">
      <c r="A377" s="774" t="s">
        <v>123</v>
      </c>
      <c r="B377" s="27">
        <v>44530</v>
      </c>
      <c r="C377" s="774" t="s">
        <v>410</v>
      </c>
      <c r="D377" s="778">
        <v>2850</v>
      </c>
    </row>
    <row r="378" spans="1:4">
      <c r="A378" s="774" t="s">
        <v>123</v>
      </c>
      <c r="B378" s="27">
        <v>44530</v>
      </c>
      <c r="C378" s="774" t="s">
        <v>390</v>
      </c>
      <c r="D378" s="778">
        <v>6179</v>
      </c>
    </row>
    <row r="379" spans="1:4">
      <c r="A379" s="774" t="s">
        <v>123</v>
      </c>
      <c r="B379" s="27">
        <v>44530</v>
      </c>
      <c r="C379" s="774" t="s">
        <v>410</v>
      </c>
      <c r="D379" s="778">
        <v>2906</v>
      </c>
    </row>
    <row r="380" spans="1:4">
      <c r="A380" s="774" t="s">
        <v>124</v>
      </c>
      <c r="B380" s="27">
        <v>44530</v>
      </c>
      <c r="C380" s="774" t="s">
        <v>390</v>
      </c>
      <c r="D380" s="778">
        <v>34950</v>
      </c>
    </row>
    <row r="381" spans="1:4">
      <c r="A381" s="774" t="s">
        <v>124</v>
      </c>
      <c r="B381" s="27">
        <v>44530</v>
      </c>
      <c r="C381" s="774" t="s">
        <v>410</v>
      </c>
      <c r="D381" s="778">
        <v>18676</v>
      </c>
    </row>
    <row r="382" spans="1:4">
      <c r="A382" s="774" t="s">
        <v>124</v>
      </c>
      <c r="B382" s="27">
        <v>44530</v>
      </c>
      <c r="C382" s="774" t="s">
        <v>390</v>
      </c>
      <c r="D382" s="778">
        <v>33203</v>
      </c>
    </row>
    <row r="383" spans="1:4">
      <c r="A383" s="774" t="s">
        <v>124</v>
      </c>
      <c r="B383" s="27">
        <v>44530</v>
      </c>
      <c r="C383" s="774" t="s">
        <v>410</v>
      </c>
      <c r="D383" s="778">
        <v>18735</v>
      </c>
    </row>
    <row r="384" spans="1:4">
      <c r="A384" s="774" t="s">
        <v>131</v>
      </c>
      <c r="B384" s="27">
        <v>44530</v>
      </c>
      <c r="C384" s="774" t="s">
        <v>390</v>
      </c>
      <c r="D384" s="778">
        <v>81199</v>
      </c>
    </row>
    <row r="385" spans="1:4">
      <c r="A385" s="774" t="s">
        <v>131</v>
      </c>
      <c r="B385" s="27">
        <v>44530</v>
      </c>
      <c r="C385" s="774" t="s">
        <v>410</v>
      </c>
      <c r="D385" s="778">
        <v>17522</v>
      </c>
    </row>
    <row r="386" spans="1:4">
      <c r="A386" s="774" t="s">
        <v>131</v>
      </c>
      <c r="B386" s="27">
        <v>44530</v>
      </c>
      <c r="C386" s="774" t="s">
        <v>390</v>
      </c>
      <c r="D386" s="778">
        <v>88379</v>
      </c>
    </row>
    <row r="387" spans="1:4">
      <c r="A387" s="774" t="s">
        <v>131</v>
      </c>
      <c r="B387" s="27">
        <v>44530</v>
      </c>
      <c r="C387" s="774" t="s">
        <v>410</v>
      </c>
      <c r="D387" s="778">
        <v>19517</v>
      </c>
    </row>
    <row r="388" spans="1:4">
      <c r="A388" s="774" t="s">
        <v>132</v>
      </c>
      <c r="B388" s="27">
        <v>44530</v>
      </c>
      <c r="C388" s="774" t="s">
        <v>390</v>
      </c>
      <c r="D388" s="778">
        <v>37328</v>
      </c>
    </row>
    <row r="389" spans="1:4">
      <c r="A389" s="774" t="s">
        <v>132</v>
      </c>
      <c r="B389" s="27">
        <v>44530</v>
      </c>
      <c r="C389" s="774" t="s">
        <v>410</v>
      </c>
      <c r="D389" s="778">
        <v>25164</v>
      </c>
    </row>
    <row r="390" spans="1:4">
      <c r="A390" s="774" t="s">
        <v>132</v>
      </c>
      <c r="B390" s="27">
        <v>44530</v>
      </c>
      <c r="C390" s="774" t="s">
        <v>390</v>
      </c>
      <c r="D390" s="778">
        <v>28895</v>
      </c>
    </row>
    <row r="391" spans="1:4">
      <c r="A391" s="774" t="s">
        <v>132</v>
      </c>
      <c r="B391" s="27">
        <v>44530</v>
      </c>
      <c r="C391" s="774" t="s">
        <v>410</v>
      </c>
      <c r="D391" s="778">
        <v>26146</v>
      </c>
    </row>
    <row r="392" spans="1:4">
      <c r="A392" s="774" t="s">
        <v>135</v>
      </c>
      <c r="B392" s="27">
        <v>44530</v>
      </c>
      <c r="C392" s="774" t="s">
        <v>390</v>
      </c>
      <c r="D392" s="778">
        <v>3113</v>
      </c>
    </row>
    <row r="393" spans="1:4">
      <c r="A393" s="774" t="s">
        <v>135</v>
      </c>
      <c r="B393" s="27">
        <v>44530</v>
      </c>
      <c r="C393" s="774" t="s">
        <v>410</v>
      </c>
      <c r="D393" s="778">
        <v>384</v>
      </c>
    </row>
    <row r="394" spans="1:4">
      <c r="A394" s="774" t="s">
        <v>135</v>
      </c>
      <c r="B394" s="27">
        <v>44530</v>
      </c>
      <c r="C394" s="774" t="s">
        <v>390</v>
      </c>
      <c r="D394" s="778">
        <v>3271</v>
      </c>
    </row>
    <row r="395" spans="1:4">
      <c r="A395" s="774" t="s">
        <v>135</v>
      </c>
      <c r="B395" s="27">
        <v>44530</v>
      </c>
      <c r="C395" s="774" t="s">
        <v>410</v>
      </c>
      <c r="D395" s="778">
        <v>556</v>
      </c>
    </row>
    <row r="396" spans="1:4">
      <c r="A396" s="774" t="s">
        <v>136</v>
      </c>
      <c r="B396" s="27">
        <v>44530</v>
      </c>
      <c r="C396" s="774" t="s">
        <v>390</v>
      </c>
      <c r="D396" s="778">
        <v>40566</v>
      </c>
    </row>
    <row r="397" spans="1:4">
      <c r="A397" s="774" t="s">
        <v>136</v>
      </c>
      <c r="B397" s="27">
        <v>44530</v>
      </c>
      <c r="C397" s="774" t="s">
        <v>410</v>
      </c>
      <c r="D397" s="778">
        <v>17385</v>
      </c>
    </row>
    <row r="398" spans="1:4">
      <c r="A398" s="774" t="s">
        <v>136</v>
      </c>
      <c r="B398" s="27">
        <v>44530</v>
      </c>
      <c r="C398" s="774" t="s">
        <v>390</v>
      </c>
      <c r="D398" s="778">
        <v>39158</v>
      </c>
    </row>
    <row r="399" spans="1:4">
      <c r="A399" s="774" t="s">
        <v>136</v>
      </c>
      <c r="B399" s="27">
        <v>44530</v>
      </c>
      <c r="C399" s="774" t="s">
        <v>410</v>
      </c>
      <c r="D399" s="778">
        <v>18800</v>
      </c>
    </row>
    <row r="400" spans="1:4">
      <c r="A400" s="774" t="s">
        <v>137</v>
      </c>
      <c r="B400" s="27">
        <v>44530</v>
      </c>
      <c r="C400" s="774" t="s">
        <v>390</v>
      </c>
      <c r="D400" s="778">
        <v>37136</v>
      </c>
    </row>
    <row r="401" spans="1:4">
      <c r="A401" s="774" t="s">
        <v>137</v>
      </c>
      <c r="B401" s="27">
        <v>44530</v>
      </c>
      <c r="C401" s="774" t="s">
        <v>410</v>
      </c>
      <c r="D401" s="778">
        <v>4395</v>
      </c>
    </row>
    <row r="402" spans="1:4">
      <c r="A402" s="774" t="s">
        <v>137</v>
      </c>
      <c r="B402" s="27">
        <v>44530</v>
      </c>
      <c r="C402" s="774" t="s">
        <v>390</v>
      </c>
      <c r="D402" s="778">
        <v>34154</v>
      </c>
    </row>
    <row r="403" spans="1:4">
      <c r="A403" s="774" t="s">
        <v>137</v>
      </c>
      <c r="B403" s="27">
        <v>44530</v>
      </c>
      <c r="C403" s="774" t="s">
        <v>410</v>
      </c>
      <c r="D403" s="778">
        <v>5835</v>
      </c>
    </row>
    <row r="404" spans="1:4">
      <c r="A404" s="774" t="s">
        <v>138</v>
      </c>
      <c r="B404" s="27">
        <v>44530</v>
      </c>
      <c r="C404" s="774" t="s">
        <v>390</v>
      </c>
      <c r="D404" s="778">
        <v>76499</v>
      </c>
    </row>
    <row r="405" spans="1:4">
      <c r="A405" s="774" t="s">
        <v>138</v>
      </c>
      <c r="B405" s="27">
        <v>44530</v>
      </c>
      <c r="C405" s="774" t="s">
        <v>410</v>
      </c>
      <c r="D405" s="778">
        <v>54801</v>
      </c>
    </row>
    <row r="406" spans="1:4">
      <c r="A406" s="774" t="s">
        <v>138</v>
      </c>
      <c r="B406" s="27">
        <v>44530</v>
      </c>
      <c r="C406" s="774" t="s">
        <v>390</v>
      </c>
      <c r="D406" s="778">
        <v>85434</v>
      </c>
    </row>
    <row r="407" spans="1:4">
      <c r="A407" s="774" t="s">
        <v>138</v>
      </c>
      <c r="B407" s="27">
        <v>44530</v>
      </c>
      <c r="C407" s="774" t="s">
        <v>410</v>
      </c>
      <c r="D407" s="778">
        <v>60985</v>
      </c>
    </row>
    <row r="408" spans="1:4">
      <c r="A408" s="774" t="s">
        <v>139</v>
      </c>
      <c r="B408" s="27">
        <v>44530</v>
      </c>
      <c r="C408" s="774" t="s">
        <v>390</v>
      </c>
      <c r="D408" s="778">
        <v>19538</v>
      </c>
    </row>
    <row r="409" spans="1:4">
      <c r="A409" s="774" t="s">
        <v>139</v>
      </c>
      <c r="B409" s="27">
        <v>44530</v>
      </c>
      <c r="C409" s="774" t="s">
        <v>410</v>
      </c>
      <c r="D409" s="778">
        <v>435</v>
      </c>
    </row>
    <row r="410" spans="1:4">
      <c r="A410" s="774" t="s">
        <v>139</v>
      </c>
      <c r="B410" s="27">
        <v>44530</v>
      </c>
      <c r="C410" s="774" t="s">
        <v>390</v>
      </c>
      <c r="D410" s="778">
        <v>21332</v>
      </c>
    </row>
    <row r="411" spans="1:4">
      <c r="A411" s="774" t="s">
        <v>139</v>
      </c>
      <c r="B411" s="27">
        <v>44530</v>
      </c>
      <c r="C411" s="774" t="s">
        <v>410</v>
      </c>
      <c r="D411" s="778">
        <v>870</v>
      </c>
    </row>
    <row r="412" spans="1:4">
      <c r="A412" s="774" t="s">
        <v>141</v>
      </c>
      <c r="B412" s="27">
        <v>44530</v>
      </c>
      <c r="C412" s="774" t="s">
        <v>390</v>
      </c>
      <c r="D412" s="778">
        <v>95767</v>
      </c>
    </row>
    <row r="413" spans="1:4">
      <c r="A413" s="774" t="s">
        <v>141</v>
      </c>
      <c r="B413" s="27">
        <v>44530</v>
      </c>
      <c r="C413" s="774" t="s">
        <v>410</v>
      </c>
      <c r="D413" s="778">
        <v>12762</v>
      </c>
    </row>
    <row r="414" spans="1:4">
      <c r="A414" s="774" t="s">
        <v>141</v>
      </c>
      <c r="B414" s="27">
        <v>44530</v>
      </c>
      <c r="C414" s="774" t="s">
        <v>390</v>
      </c>
      <c r="D414" s="778">
        <v>95725</v>
      </c>
    </row>
    <row r="415" spans="1:4">
      <c r="A415" s="774" t="s">
        <v>141</v>
      </c>
      <c r="B415" s="27">
        <v>44530</v>
      </c>
      <c r="C415" s="774" t="s">
        <v>410</v>
      </c>
      <c r="D415" s="778">
        <v>12852</v>
      </c>
    </row>
    <row r="416" spans="1:4">
      <c r="A416" s="774" t="s">
        <v>140</v>
      </c>
      <c r="B416" s="27">
        <v>44530</v>
      </c>
      <c r="C416" s="774" t="s">
        <v>390</v>
      </c>
      <c r="D416" s="778">
        <v>15524</v>
      </c>
    </row>
    <row r="417" spans="1:4">
      <c r="A417" s="774" t="s">
        <v>140</v>
      </c>
      <c r="B417" s="27">
        <v>44530</v>
      </c>
      <c r="C417" s="774" t="s">
        <v>410</v>
      </c>
      <c r="D417" s="778">
        <v>2580</v>
      </c>
    </row>
    <row r="418" spans="1:4">
      <c r="A418" s="774" t="s">
        <v>140</v>
      </c>
      <c r="B418" s="27">
        <v>44530</v>
      </c>
      <c r="C418" s="774" t="s">
        <v>390</v>
      </c>
      <c r="D418" s="778">
        <v>15683</v>
      </c>
    </row>
    <row r="419" spans="1:4">
      <c r="A419" s="774" t="s">
        <v>140</v>
      </c>
      <c r="B419" s="27">
        <v>44530</v>
      </c>
      <c r="C419" s="774" t="s">
        <v>410</v>
      </c>
      <c r="D419" s="778">
        <v>1980</v>
      </c>
    </row>
    <row r="420" spans="1:4">
      <c r="A420" t="s">
        <v>123</v>
      </c>
      <c r="B420" s="27">
        <v>44957</v>
      </c>
      <c r="C420" t="s">
        <v>390</v>
      </c>
      <c r="D420" s="778">
        <v>5978</v>
      </c>
    </row>
    <row r="421" spans="1:4">
      <c r="A421" t="s">
        <v>123</v>
      </c>
      <c r="B421" s="27">
        <v>44957</v>
      </c>
      <c r="C421" t="s">
        <v>410</v>
      </c>
      <c r="D421" s="778">
        <v>2859</v>
      </c>
    </row>
    <row r="422" spans="1:4">
      <c r="A422" t="s">
        <v>124</v>
      </c>
      <c r="B422" s="27">
        <v>44957</v>
      </c>
      <c r="C422" t="s">
        <v>390</v>
      </c>
      <c r="D422" s="778">
        <v>32320</v>
      </c>
    </row>
    <row r="423" spans="1:4">
      <c r="A423" t="s">
        <v>124</v>
      </c>
      <c r="B423" s="27">
        <v>44957</v>
      </c>
      <c r="C423" t="s">
        <v>410</v>
      </c>
      <c r="D423" s="778">
        <v>18662</v>
      </c>
    </row>
    <row r="424" spans="1:4">
      <c r="A424" t="s">
        <v>131</v>
      </c>
      <c r="B424" s="27">
        <v>44957</v>
      </c>
      <c r="C424" t="s">
        <v>390</v>
      </c>
      <c r="D424" s="778">
        <v>88911</v>
      </c>
    </row>
    <row r="425" spans="1:4">
      <c r="A425" t="s">
        <v>131</v>
      </c>
      <c r="B425" s="27">
        <v>44957</v>
      </c>
      <c r="C425" t="s">
        <v>410</v>
      </c>
      <c r="D425" s="778">
        <v>19700</v>
      </c>
    </row>
    <row r="426" spans="1:4">
      <c r="A426" t="s">
        <v>132</v>
      </c>
      <c r="B426" s="27">
        <v>44957</v>
      </c>
      <c r="C426" t="s">
        <v>390</v>
      </c>
      <c r="D426" s="778">
        <v>28840</v>
      </c>
    </row>
    <row r="427" spans="1:4">
      <c r="A427" t="s">
        <v>132</v>
      </c>
      <c r="B427" s="27">
        <v>44957</v>
      </c>
      <c r="C427" t="s">
        <v>410</v>
      </c>
      <c r="D427" s="778">
        <v>26042</v>
      </c>
    </row>
    <row r="428" spans="1:4">
      <c r="A428" t="s">
        <v>135</v>
      </c>
      <c r="B428" s="27">
        <v>44957</v>
      </c>
      <c r="C428" t="s">
        <v>390</v>
      </c>
      <c r="D428" s="778">
        <v>3295</v>
      </c>
    </row>
    <row r="429" spans="1:4">
      <c r="A429" t="s">
        <v>135</v>
      </c>
      <c r="B429" s="27">
        <v>44957</v>
      </c>
      <c r="C429" t="s">
        <v>410</v>
      </c>
      <c r="D429" s="778">
        <v>582</v>
      </c>
    </row>
    <row r="430" spans="1:4">
      <c r="A430" t="s">
        <v>136</v>
      </c>
      <c r="B430" s="27">
        <v>44957</v>
      </c>
      <c r="C430" t="s">
        <v>390</v>
      </c>
      <c r="D430" s="778">
        <v>38387</v>
      </c>
    </row>
    <row r="431" spans="1:4">
      <c r="A431" t="s">
        <v>136</v>
      </c>
      <c r="B431" s="27">
        <v>44957</v>
      </c>
      <c r="C431" t="s">
        <v>410</v>
      </c>
      <c r="D431" s="778">
        <v>18678</v>
      </c>
    </row>
    <row r="432" spans="1:4">
      <c r="A432" t="s">
        <v>137</v>
      </c>
      <c r="B432" s="27">
        <v>44957</v>
      </c>
      <c r="C432" t="s">
        <v>390</v>
      </c>
      <c r="D432" s="778">
        <v>32928</v>
      </c>
    </row>
    <row r="433" spans="1:4">
      <c r="A433" t="s">
        <v>137</v>
      </c>
      <c r="B433" s="27">
        <v>44957</v>
      </c>
      <c r="C433" t="s">
        <v>410</v>
      </c>
      <c r="D433" s="778">
        <v>5956</v>
      </c>
    </row>
    <row r="434" spans="1:4">
      <c r="A434" t="s">
        <v>138</v>
      </c>
      <c r="B434" s="27">
        <v>44957</v>
      </c>
      <c r="C434" t="s">
        <v>390</v>
      </c>
      <c r="D434" s="778">
        <v>86634</v>
      </c>
    </row>
    <row r="435" spans="1:4">
      <c r="A435" t="s">
        <v>138</v>
      </c>
      <c r="B435" s="27">
        <v>44957</v>
      </c>
      <c r="C435" t="s">
        <v>410</v>
      </c>
      <c r="D435" s="778">
        <v>61735</v>
      </c>
    </row>
    <row r="436" spans="1:4">
      <c r="A436" t="s">
        <v>139</v>
      </c>
      <c r="B436" s="27">
        <v>44957</v>
      </c>
      <c r="C436" t="s">
        <v>390</v>
      </c>
      <c r="D436" s="778">
        <v>21259</v>
      </c>
    </row>
    <row r="437" spans="1:4">
      <c r="A437" t="s">
        <v>139</v>
      </c>
      <c r="B437" s="27">
        <v>44957</v>
      </c>
      <c r="C437" t="s">
        <v>410</v>
      </c>
      <c r="D437" s="778">
        <v>859</v>
      </c>
    </row>
    <row r="438" spans="1:4">
      <c r="A438" t="s">
        <v>141</v>
      </c>
      <c r="B438" s="27">
        <v>44957</v>
      </c>
      <c r="C438" t="s">
        <v>390</v>
      </c>
      <c r="D438" s="778">
        <v>95708</v>
      </c>
    </row>
    <row r="439" spans="1:4">
      <c r="A439" t="s">
        <v>141</v>
      </c>
      <c r="B439" s="27">
        <v>44957</v>
      </c>
      <c r="C439" t="s">
        <v>410</v>
      </c>
      <c r="D439" s="778">
        <v>12827</v>
      </c>
    </row>
    <row r="440" spans="1:4">
      <c r="A440" t="s">
        <v>140</v>
      </c>
      <c r="B440" s="27">
        <v>44957</v>
      </c>
      <c r="C440" t="s">
        <v>390</v>
      </c>
      <c r="D440" s="778">
        <v>15575</v>
      </c>
    </row>
    <row r="441" spans="1:4">
      <c r="A441" t="s">
        <v>140</v>
      </c>
      <c r="B441" s="27">
        <v>44957</v>
      </c>
      <c r="C441" t="s">
        <v>410</v>
      </c>
      <c r="D441" s="778">
        <v>1910</v>
      </c>
    </row>
    <row r="442" spans="1:4">
      <c r="A442" t="s">
        <v>123</v>
      </c>
      <c r="B442" s="27">
        <v>44592</v>
      </c>
      <c r="C442" t="s">
        <v>390</v>
      </c>
      <c r="D442" s="778">
        <v>6373</v>
      </c>
    </row>
    <row r="443" spans="1:4">
      <c r="A443" t="s">
        <v>123</v>
      </c>
      <c r="B443" s="27">
        <v>44592</v>
      </c>
      <c r="C443" t="s">
        <v>410</v>
      </c>
      <c r="D443" s="778">
        <v>2849</v>
      </c>
    </row>
    <row r="444" spans="1:4">
      <c r="A444" t="s">
        <v>124</v>
      </c>
      <c r="B444" s="27">
        <v>44592</v>
      </c>
      <c r="C444" t="s">
        <v>390</v>
      </c>
      <c r="D444" s="778">
        <v>33696</v>
      </c>
    </row>
    <row r="445" spans="1:4">
      <c r="A445" t="s">
        <v>124</v>
      </c>
      <c r="B445" s="27">
        <v>44592</v>
      </c>
      <c r="C445" t="s">
        <v>410</v>
      </c>
      <c r="D445" s="778">
        <v>18591</v>
      </c>
    </row>
    <row r="446" spans="1:4">
      <c r="A446" t="s">
        <v>131</v>
      </c>
      <c r="B446" s="27">
        <v>44592</v>
      </c>
      <c r="C446" t="s">
        <v>390</v>
      </c>
      <c r="D446" s="778">
        <v>81465</v>
      </c>
    </row>
    <row r="447" spans="1:4">
      <c r="A447" t="s">
        <v>131</v>
      </c>
      <c r="B447" s="27">
        <v>44592</v>
      </c>
      <c r="C447" t="s">
        <v>410</v>
      </c>
      <c r="D447" s="778">
        <v>17730</v>
      </c>
    </row>
    <row r="448" spans="1:4">
      <c r="A448" t="s">
        <v>132</v>
      </c>
      <c r="B448" s="27">
        <v>44592</v>
      </c>
      <c r="C448" t="s">
        <v>390</v>
      </c>
      <c r="D448" s="778">
        <v>37213</v>
      </c>
    </row>
    <row r="449" spans="1:4">
      <c r="A449" t="s">
        <v>132</v>
      </c>
      <c r="B449" s="27">
        <v>44592</v>
      </c>
      <c r="C449" t="s">
        <v>410</v>
      </c>
      <c r="D449" s="778">
        <v>25333</v>
      </c>
    </row>
    <row r="450" spans="1:4">
      <c r="A450" t="s">
        <v>135</v>
      </c>
      <c r="B450" s="27">
        <v>44592</v>
      </c>
      <c r="C450" t="s">
        <v>390</v>
      </c>
      <c r="D450" s="778">
        <v>3128</v>
      </c>
    </row>
    <row r="451" spans="1:4">
      <c r="A451" t="s">
        <v>135</v>
      </c>
      <c r="B451" s="27">
        <v>44592</v>
      </c>
      <c r="C451" t="s">
        <v>410</v>
      </c>
      <c r="D451" s="778">
        <v>399</v>
      </c>
    </row>
    <row r="452" spans="1:4">
      <c r="A452" t="s">
        <v>136</v>
      </c>
      <c r="B452" s="27">
        <v>44592</v>
      </c>
      <c r="C452" t="s">
        <v>390</v>
      </c>
      <c r="D452" s="778">
        <v>42283</v>
      </c>
    </row>
    <row r="453" spans="1:4">
      <c r="A453" t="s">
        <v>136</v>
      </c>
      <c r="B453" s="27">
        <v>44592</v>
      </c>
      <c r="C453" t="s">
        <v>410</v>
      </c>
      <c r="D453" s="778">
        <v>17684</v>
      </c>
    </row>
    <row r="454" spans="1:4">
      <c r="A454" t="s">
        <v>137</v>
      </c>
      <c r="B454" s="27">
        <v>44592</v>
      </c>
      <c r="C454" t="s">
        <v>390</v>
      </c>
      <c r="D454" s="778">
        <v>36381</v>
      </c>
    </row>
    <row r="455" spans="1:4">
      <c r="A455" t="s">
        <v>137</v>
      </c>
      <c r="B455" s="27">
        <v>44592</v>
      </c>
      <c r="C455" t="s">
        <v>410</v>
      </c>
      <c r="D455" s="778">
        <v>4416</v>
      </c>
    </row>
    <row r="456" spans="1:4">
      <c r="A456" t="s">
        <v>138</v>
      </c>
      <c r="B456" s="27">
        <v>44592</v>
      </c>
      <c r="C456" t="s">
        <v>390</v>
      </c>
      <c r="D456" s="778">
        <v>77858</v>
      </c>
    </row>
    <row r="457" spans="1:4">
      <c r="A457" t="s">
        <v>138</v>
      </c>
      <c r="B457" s="27">
        <v>44592</v>
      </c>
      <c r="C457" t="s">
        <v>410</v>
      </c>
      <c r="D457" s="778">
        <v>55586</v>
      </c>
    </row>
    <row r="458" spans="1:4">
      <c r="A458" t="s">
        <v>139</v>
      </c>
      <c r="B458" s="27">
        <v>44592</v>
      </c>
      <c r="C458" t="s">
        <v>390</v>
      </c>
      <c r="D458" s="778">
        <v>19486</v>
      </c>
    </row>
    <row r="459" spans="1:4">
      <c r="A459" t="s">
        <v>139</v>
      </c>
      <c r="B459" s="27">
        <v>44592</v>
      </c>
      <c r="C459" t="s">
        <v>410</v>
      </c>
      <c r="D459" s="778">
        <v>421</v>
      </c>
    </row>
    <row r="460" spans="1:4">
      <c r="A460" t="s">
        <v>141</v>
      </c>
      <c r="B460" s="27">
        <v>44592</v>
      </c>
      <c r="C460" t="s">
        <v>390</v>
      </c>
      <c r="D460" s="778">
        <v>95568</v>
      </c>
    </row>
    <row r="461" spans="1:4">
      <c r="A461" t="s">
        <v>141</v>
      </c>
      <c r="B461" s="27">
        <v>44592</v>
      </c>
      <c r="C461" t="s">
        <v>410</v>
      </c>
      <c r="D461" s="778">
        <v>12811</v>
      </c>
    </row>
    <row r="462" spans="1:4">
      <c r="A462" t="s">
        <v>140</v>
      </c>
      <c r="B462" s="27">
        <v>44592</v>
      </c>
      <c r="C462" t="s">
        <v>390</v>
      </c>
      <c r="D462" s="778">
        <v>15675</v>
      </c>
    </row>
    <row r="463" spans="1:4">
      <c r="A463" t="s">
        <v>140</v>
      </c>
      <c r="B463" s="27">
        <v>44592</v>
      </c>
      <c r="C463" t="s">
        <v>410</v>
      </c>
      <c r="D463" s="778">
        <v>2504</v>
      </c>
    </row>
    <row r="464" spans="1:4">
      <c r="A464" s="863" t="s">
        <v>123</v>
      </c>
      <c r="B464" s="27">
        <v>44985</v>
      </c>
      <c r="C464" s="863" t="s">
        <v>390</v>
      </c>
      <c r="D464" s="778">
        <v>6003</v>
      </c>
    </row>
    <row r="465" spans="1:4">
      <c r="A465" s="863" t="s">
        <v>123</v>
      </c>
      <c r="B465" s="27">
        <v>44985</v>
      </c>
      <c r="C465" s="863" t="s">
        <v>410</v>
      </c>
      <c r="D465" s="778">
        <v>2894</v>
      </c>
    </row>
    <row r="466" spans="1:4">
      <c r="A466" s="863" t="s">
        <v>124</v>
      </c>
      <c r="B466" s="27">
        <v>44985</v>
      </c>
      <c r="C466" s="863" t="s">
        <v>390</v>
      </c>
      <c r="D466" s="778">
        <v>32044</v>
      </c>
    </row>
    <row r="467" spans="1:4">
      <c r="A467" s="863" t="s">
        <v>124</v>
      </c>
      <c r="B467" s="27">
        <v>44985</v>
      </c>
      <c r="C467" s="863" t="s">
        <v>410</v>
      </c>
      <c r="D467" s="778">
        <v>18652</v>
      </c>
    </row>
    <row r="468" spans="1:4">
      <c r="A468" s="863" t="s">
        <v>131</v>
      </c>
      <c r="B468" s="27">
        <v>44985</v>
      </c>
      <c r="C468" s="863" t="s">
        <v>390</v>
      </c>
      <c r="D468" s="778">
        <v>89104</v>
      </c>
    </row>
    <row r="469" spans="1:4">
      <c r="A469" s="863" t="s">
        <v>131</v>
      </c>
      <c r="B469" s="27">
        <v>44985</v>
      </c>
      <c r="C469" s="863" t="s">
        <v>410</v>
      </c>
      <c r="D469" s="778">
        <v>19879</v>
      </c>
    </row>
    <row r="470" spans="1:4">
      <c r="A470" s="863" t="s">
        <v>132</v>
      </c>
      <c r="B470" s="27">
        <v>44985</v>
      </c>
      <c r="C470" s="863" t="s">
        <v>390</v>
      </c>
      <c r="D470" s="778">
        <v>38851</v>
      </c>
    </row>
    <row r="471" spans="1:4">
      <c r="A471" s="863" t="s">
        <v>132</v>
      </c>
      <c r="B471" s="27">
        <v>44985</v>
      </c>
      <c r="C471" s="863" t="s">
        <v>410</v>
      </c>
      <c r="D471" s="778">
        <v>26871</v>
      </c>
    </row>
    <row r="472" spans="1:4">
      <c r="A472" s="863" t="s">
        <v>135</v>
      </c>
      <c r="B472" s="27">
        <v>44985</v>
      </c>
      <c r="C472" s="863" t="s">
        <v>390</v>
      </c>
      <c r="D472" s="778">
        <v>3292</v>
      </c>
    </row>
    <row r="473" spans="1:4">
      <c r="A473" s="863" t="s">
        <v>135</v>
      </c>
      <c r="B473" s="27">
        <v>44985</v>
      </c>
      <c r="C473" s="863" t="s">
        <v>410</v>
      </c>
      <c r="D473" s="778">
        <v>593</v>
      </c>
    </row>
    <row r="474" spans="1:4">
      <c r="A474" s="863" t="s">
        <v>136</v>
      </c>
      <c r="B474" s="27">
        <v>44985</v>
      </c>
      <c r="C474" s="863" t="s">
        <v>390</v>
      </c>
      <c r="D474" s="778">
        <v>38263</v>
      </c>
    </row>
    <row r="475" spans="1:4">
      <c r="A475" s="863" t="s">
        <v>136</v>
      </c>
      <c r="B475" s="27">
        <v>44985</v>
      </c>
      <c r="C475" s="863" t="s">
        <v>410</v>
      </c>
      <c r="D475" s="778">
        <v>18767</v>
      </c>
    </row>
    <row r="476" spans="1:4">
      <c r="A476" s="863" t="s">
        <v>137</v>
      </c>
      <c r="B476" s="27">
        <v>44985</v>
      </c>
      <c r="C476" s="863" t="s">
        <v>390</v>
      </c>
      <c r="D476" s="778">
        <v>32231</v>
      </c>
    </row>
    <row r="477" spans="1:4">
      <c r="A477" s="863" t="s">
        <v>137</v>
      </c>
      <c r="B477" s="27">
        <v>44985</v>
      </c>
      <c r="C477" s="863" t="s">
        <v>410</v>
      </c>
      <c r="D477" s="778">
        <v>5926</v>
      </c>
    </row>
    <row r="478" spans="1:4">
      <c r="A478" s="863" t="s">
        <v>138</v>
      </c>
      <c r="B478" s="27">
        <v>44985</v>
      </c>
      <c r="C478" s="863" t="s">
        <v>390</v>
      </c>
      <c r="D478" s="778">
        <v>86657</v>
      </c>
    </row>
    <row r="479" spans="1:4">
      <c r="A479" s="863" t="s">
        <v>138</v>
      </c>
      <c r="B479" s="27">
        <v>44985</v>
      </c>
      <c r="C479" s="863" t="s">
        <v>410</v>
      </c>
      <c r="D479" s="778">
        <v>62278</v>
      </c>
    </row>
    <row r="480" spans="1:4">
      <c r="A480" s="863" t="s">
        <v>139</v>
      </c>
      <c r="B480" s="27">
        <v>44985</v>
      </c>
      <c r="C480" s="863" t="s">
        <v>390</v>
      </c>
      <c r="D480" s="778">
        <v>21325</v>
      </c>
    </row>
    <row r="481" spans="1:4">
      <c r="A481" s="863" t="s">
        <v>139</v>
      </c>
      <c r="B481" s="27">
        <v>44985</v>
      </c>
      <c r="C481" s="863" t="s">
        <v>410</v>
      </c>
      <c r="D481" s="778">
        <v>854</v>
      </c>
    </row>
    <row r="482" spans="1:4">
      <c r="A482" s="863" t="s">
        <v>141</v>
      </c>
      <c r="B482" s="27">
        <v>44985</v>
      </c>
      <c r="C482" s="863" t="s">
        <v>390</v>
      </c>
      <c r="D482" s="778">
        <v>95346</v>
      </c>
    </row>
    <row r="483" spans="1:4">
      <c r="A483" s="863" t="s">
        <v>141</v>
      </c>
      <c r="B483" s="27">
        <v>44985</v>
      </c>
      <c r="C483" s="863" t="s">
        <v>410</v>
      </c>
      <c r="D483" s="778">
        <v>12804</v>
      </c>
    </row>
    <row r="484" spans="1:4">
      <c r="A484" s="863" t="s">
        <v>140</v>
      </c>
      <c r="B484" s="27">
        <v>44985</v>
      </c>
      <c r="C484" s="863" t="s">
        <v>390</v>
      </c>
      <c r="D484" s="778">
        <v>15192</v>
      </c>
    </row>
    <row r="485" spans="1:4">
      <c r="A485" s="863" t="s">
        <v>140</v>
      </c>
      <c r="B485" s="27">
        <v>44985</v>
      </c>
      <c r="C485" s="863" t="s">
        <v>410</v>
      </c>
      <c r="D485" s="778">
        <v>1882</v>
      </c>
    </row>
    <row r="486" spans="1:4">
      <c r="A486" t="s">
        <v>123</v>
      </c>
      <c r="B486" s="27">
        <v>44620</v>
      </c>
      <c r="C486" s="702" t="s">
        <v>390</v>
      </c>
      <c r="D486" s="433">
        <v>6402</v>
      </c>
    </row>
    <row r="487" spans="1:4">
      <c r="A487" t="s">
        <v>123</v>
      </c>
      <c r="B487" s="27">
        <v>44620</v>
      </c>
      <c r="C487" s="702" t="s">
        <v>410</v>
      </c>
      <c r="D487" s="433">
        <v>2852</v>
      </c>
    </row>
    <row r="488" spans="1:4">
      <c r="A488" t="s">
        <v>124</v>
      </c>
      <c r="B488" s="27">
        <v>44620</v>
      </c>
      <c r="C488" s="702" t="s">
        <v>390</v>
      </c>
      <c r="D488" s="433">
        <v>33079</v>
      </c>
    </row>
    <row r="489" spans="1:4">
      <c r="A489" t="s">
        <v>124</v>
      </c>
      <c r="B489" s="27">
        <v>44620</v>
      </c>
      <c r="C489" s="702" t="s">
        <v>410</v>
      </c>
      <c r="D489" s="433">
        <v>18614</v>
      </c>
    </row>
    <row r="490" spans="1:4">
      <c r="A490" t="s">
        <v>131</v>
      </c>
      <c r="B490" s="27">
        <v>44620</v>
      </c>
      <c r="C490" s="702" t="s">
        <v>390</v>
      </c>
      <c r="D490" s="433">
        <v>81725</v>
      </c>
    </row>
    <row r="491" spans="1:4">
      <c r="A491" t="s">
        <v>131</v>
      </c>
      <c r="B491" s="27">
        <v>44620</v>
      </c>
      <c r="C491" s="702" t="s">
        <v>410</v>
      </c>
      <c r="D491" s="433">
        <v>17946</v>
      </c>
    </row>
    <row r="492" spans="1:4">
      <c r="A492" t="s">
        <v>132</v>
      </c>
      <c r="B492" s="27">
        <v>44620</v>
      </c>
      <c r="C492" s="702" t="s">
        <v>390</v>
      </c>
      <c r="D492" s="433">
        <v>37082</v>
      </c>
    </row>
    <row r="493" spans="1:4">
      <c r="A493" t="s">
        <v>132</v>
      </c>
      <c r="B493" s="27">
        <v>44620</v>
      </c>
      <c r="C493" s="702" t="s">
        <v>410</v>
      </c>
      <c r="D493" s="433">
        <v>25488</v>
      </c>
    </row>
    <row r="494" spans="1:4">
      <c r="A494" t="s">
        <v>135</v>
      </c>
      <c r="B494" s="27">
        <v>44620</v>
      </c>
      <c r="C494" s="702" t="s">
        <v>390</v>
      </c>
      <c r="D494" s="433">
        <v>3145</v>
      </c>
    </row>
    <row r="495" spans="1:4">
      <c r="A495" t="s">
        <v>135</v>
      </c>
      <c r="B495" s="27">
        <v>44620</v>
      </c>
      <c r="C495" s="702" t="s">
        <v>410</v>
      </c>
      <c r="D495" s="433">
        <v>407</v>
      </c>
    </row>
    <row r="496" spans="1:4">
      <c r="A496" t="s">
        <v>136</v>
      </c>
      <c r="B496" s="27">
        <v>44620</v>
      </c>
      <c r="C496" s="702" t="s">
        <v>390</v>
      </c>
      <c r="D496" s="433">
        <v>42093</v>
      </c>
    </row>
    <row r="497" spans="1:4">
      <c r="A497" t="s">
        <v>136</v>
      </c>
      <c r="B497" s="27">
        <v>44620</v>
      </c>
      <c r="C497" s="702" t="s">
        <v>410</v>
      </c>
      <c r="D497" s="433">
        <v>17963</v>
      </c>
    </row>
    <row r="498" spans="1:4">
      <c r="A498" t="s">
        <v>137</v>
      </c>
      <c r="B498" s="27">
        <v>44620</v>
      </c>
      <c r="C498" s="702" t="s">
        <v>390</v>
      </c>
      <c r="D498" s="433">
        <v>36169</v>
      </c>
    </row>
    <row r="499" spans="1:4">
      <c r="A499" t="s">
        <v>137</v>
      </c>
      <c r="B499" s="27">
        <v>44620</v>
      </c>
      <c r="C499" s="702" t="s">
        <v>410</v>
      </c>
      <c r="D499" s="433">
        <v>4467</v>
      </c>
    </row>
    <row r="500" spans="1:4">
      <c r="A500" t="s">
        <v>138</v>
      </c>
      <c r="B500" s="27">
        <v>44620</v>
      </c>
      <c r="C500" s="702" t="s">
        <v>390</v>
      </c>
      <c r="D500" s="433">
        <v>78387</v>
      </c>
    </row>
    <row r="501" spans="1:4">
      <c r="A501" t="s">
        <v>138</v>
      </c>
      <c r="B501" s="27">
        <v>44620</v>
      </c>
      <c r="C501" s="702" t="s">
        <v>410</v>
      </c>
      <c r="D501" s="433">
        <v>55958</v>
      </c>
    </row>
    <row r="502" spans="1:4">
      <c r="A502" t="s">
        <v>139</v>
      </c>
      <c r="B502" s="27">
        <v>44620</v>
      </c>
      <c r="C502" s="702" t="s">
        <v>390</v>
      </c>
      <c r="D502" s="433">
        <v>19521</v>
      </c>
    </row>
    <row r="503" spans="1:4">
      <c r="A503" t="s">
        <v>139</v>
      </c>
      <c r="B503" s="27">
        <v>44620</v>
      </c>
      <c r="C503" s="702" t="s">
        <v>410</v>
      </c>
      <c r="D503" s="433">
        <v>420</v>
      </c>
    </row>
    <row r="504" spans="1:4">
      <c r="A504" t="s">
        <v>141</v>
      </c>
      <c r="B504" s="27">
        <v>44620</v>
      </c>
      <c r="C504" s="702" t="s">
        <v>390</v>
      </c>
      <c r="D504" s="433">
        <v>95078</v>
      </c>
    </row>
    <row r="505" spans="1:4">
      <c r="A505" t="s">
        <v>141</v>
      </c>
      <c r="B505" s="27">
        <v>44620</v>
      </c>
      <c r="C505" s="702" t="s">
        <v>410</v>
      </c>
      <c r="D505" s="433">
        <v>12829</v>
      </c>
    </row>
    <row r="506" spans="1:4">
      <c r="A506" t="s">
        <v>140</v>
      </c>
      <c r="B506" s="27">
        <v>44620</v>
      </c>
      <c r="C506" s="702" t="s">
        <v>390</v>
      </c>
      <c r="D506" s="433">
        <v>15745</v>
      </c>
    </row>
    <row r="507" spans="1:4">
      <c r="A507" t="s">
        <v>140</v>
      </c>
      <c r="B507" s="27">
        <v>44620</v>
      </c>
      <c r="C507" s="702" t="s">
        <v>410</v>
      </c>
      <c r="D507" s="433">
        <v>2478</v>
      </c>
    </row>
    <row r="508" spans="1:4">
      <c r="A508" t="s">
        <v>123</v>
      </c>
      <c r="B508" s="27">
        <v>44651</v>
      </c>
      <c r="C508" s="702" t="s">
        <v>390</v>
      </c>
      <c r="D508" s="867">
        <v>6383</v>
      </c>
    </row>
    <row r="509" spans="1:4">
      <c r="A509" t="s">
        <v>123</v>
      </c>
      <c r="B509" s="27">
        <v>44651</v>
      </c>
      <c r="C509" s="702" t="s">
        <v>410</v>
      </c>
      <c r="D509" s="867">
        <v>2850</v>
      </c>
    </row>
    <row r="510" spans="1:4">
      <c r="A510" t="s">
        <v>124</v>
      </c>
      <c r="B510" s="27">
        <v>44651</v>
      </c>
      <c r="C510" s="702" t="s">
        <v>390</v>
      </c>
      <c r="D510" s="867">
        <v>32628</v>
      </c>
    </row>
    <row r="511" spans="1:4">
      <c r="A511" t="s">
        <v>124</v>
      </c>
      <c r="B511" s="27">
        <v>44651</v>
      </c>
      <c r="C511" s="702" t="s">
        <v>410</v>
      </c>
      <c r="D511" s="867">
        <v>18656</v>
      </c>
    </row>
    <row r="512" spans="1:4">
      <c r="A512" t="s">
        <v>131</v>
      </c>
      <c r="B512" s="27">
        <v>44651</v>
      </c>
      <c r="C512" s="702" t="s">
        <v>390</v>
      </c>
      <c r="D512" s="867">
        <v>81895</v>
      </c>
    </row>
    <row r="513" spans="1:4">
      <c r="A513" t="s">
        <v>131</v>
      </c>
      <c r="B513" s="27">
        <v>44651</v>
      </c>
      <c r="C513" s="702" t="s">
        <v>410</v>
      </c>
      <c r="D513" s="867">
        <v>18112</v>
      </c>
    </row>
    <row r="514" spans="1:4">
      <c r="A514" t="s">
        <v>132</v>
      </c>
      <c r="B514" s="27">
        <v>44651</v>
      </c>
      <c r="C514" s="702" t="s">
        <v>390</v>
      </c>
      <c r="D514" s="867">
        <v>36711</v>
      </c>
    </row>
    <row r="515" spans="1:4">
      <c r="A515" t="s">
        <v>132</v>
      </c>
      <c r="B515" s="27">
        <v>44651</v>
      </c>
      <c r="C515" s="702" t="s">
        <v>410</v>
      </c>
      <c r="D515" s="867">
        <v>25496</v>
      </c>
    </row>
    <row r="516" spans="1:4">
      <c r="A516" t="s">
        <v>135</v>
      </c>
      <c r="B516" s="27">
        <v>44651</v>
      </c>
      <c r="C516" s="702" t="s">
        <v>390</v>
      </c>
      <c r="D516" s="867">
        <v>3168</v>
      </c>
    </row>
    <row r="517" spans="1:4">
      <c r="A517" t="s">
        <v>135</v>
      </c>
      <c r="B517" s="27">
        <v>44651</v>
      </c>
      <c r="C517" s="702" t="s">
        <v>410</v>
      </c>
      <c r="D517" s="867">
        <v>434</v>
      </c>
    </row>
    <row r="518" spans="1:4">
      <c r="A518" t="s">
        <v>136</v>
      </c>
      <c r="B518" s="27">
        <v>44651</v>
      </c>
      <c r="C518" s="702" t="s">
        <v>390</v>
      </c>
      <c r="D518" s="867">
        <v>41843</v>
      </c>
    </row>
    <row r="519" spans="1:4">
      <c r="A519" t="s">
        <v>136</v>
      </c>
      <c r="B519" s="27">
        <v>44651</v>
      </c>
      <c r="C519" s="702" t="s">
        <v>410</v>
      </c>
      <c r="D519" s="867">
        <v>18184</v>
      </c>
    </row>
    <row r="520" spans="1:4">
      <c r="A520" t="s">
        <v>137</v>
      </c>
      <c r="B520" s="27">
        <v>44651</v>
      </c>
      <c r="C520" s="702" t="s">
        <v>390</v>
      </c>
      <c r="D520" s="867">
        <v>35999</v>
      </c>
    </row>
    <row r="521" spans="1:4">
      <c r="A521" t="s">
        <v>137</v>
      </c>
      <c r="B521" s="27">
        <v>44651</v>
      </c>
      <c r="C521" s="702" t="s">
        <v>410</v>
      </c>
      <c r="D521" s="867">
        <v>4622</v>
      </c>
    </row>
    <row r="522" spans="1:4">
      <c r="A522" t="s">
        <v>138</v>
      </c>
      <c r="B522" s="27">
        <v>44651</v>
      </c>
      <c r="C522" s="702" t="s">
        <v>390</v>
      </c>
      <c r="D522" s="867">
        <v>78395</v>
      </c>
    </row>
    <row r="523" spans="1:4">
      <c r="A523" t="s">
        <v>138</v>
      </c>
      <c r="B523" s="27">
        <v>44651</v>
      </c>
      <c r="C523" s="702" t="s">
        <v>410</v>
      </c>
      <c r="D523" s="867">
        <v>56317</v>
      </c>
    </row>
    <row r="524" spans="1:4">
      <c r="A524" t="s">
        <v>139</v>
      </c>
      <c r="B524" s="27">
        <v>44651</v>
      </c>
      <c r="C524" s="702" t="s">
        <v>390</v>
      </c>
      <c r="D524" s="867">
        <v>19697</v>
      </c>
    </row>
    <row r="525" spans="1:4">
      <c r="A525" t="s">
        <v>139</v>
      </c>
      <c r="B525" s="27">
        <v>44651</v>
      </c>
      <c r="C525" s="702" t="s">
        <v>410</v>
      </c>
      <c r="D525" s="867">
        <v>421</v>
      </c>
    </row>
    <row r="526" spans="1:4">
      <c r="A526" t="s">
        <v>141</v>
      </c>
      <c r="B526" s="27">
        <v>44651</v>
      </c>
      <c r="C526" s="702" t="s">
        <v>390</v>
      </c>
      <c r="D526" s="867">
        <v>95437</v>
      </c>
    </row>
    <row r="527" spans="1:4">
      <c r="A527" t="s">
        <v>141</v>
      </c>
      <c r="B527" s="27">
        <v>44651</v>
      </c>
      <c r="C527" s="702" t="s">
        <v>410</v>
      </c>
      <c r="D527" s="867">
        <v>12892</v>
      </c>
    </row>
    <row r="528" spans="1:4">
      <c r="A528" t="s">
        <v>140</v>
      </c>
      <c r="B528" s="27">
        <v>44651</v>
      </c>
      <c r="C528" s="702" t="s">
        <v>390</v>
      </c>
      <c r="D528" s="867">
        <v>15705</v>
      </c>
    </row>
    <row r="529" spans="1:4">
      <c r="A529" t="s">
        <v>140</v>
      </c>
      <c r="B529" s="27">
        <v>44651</v>
      </c>
      <c r="C529" s="702" t="s">
        <v>410</v>
      </c>
      <c r="D529" s="867">
        <v>2415</v>
      </c>
    </row>
    <row r="530" spans="1:4">
      <c r="A530" t="s">
        <v>123</v>
      </c>
      <c r="B530" s="27">
        <v>45016</v>
      </c>
      <c r="C530" s="702" t="s">
        <v>390</v>
      </c>
      <c r="D530" s="867">
        <v>5919</v>
      </c>
    </row>
    <row r="531" spans="1:4">
      <c r="A531" t="s">
        <v>123</v>
      </c>
      <c r="B531" s="27">
        <v>45016</v>
      </c>
      <c r="C531" s="702" t="s">
        <v>410</v>
      </c>
      <c r="D531" s="867">
        <v>2915</v>
      </c>
    </row>
    <row r="532" spans="1:4">
      <c r="A532" t="s">
        <v>124</v>
      </c>
      <c r="B532" s="27">
        <v>45016</v>
      </c>
      <c r="C532" s="702" t="s">
        <v>390</v>
      </c>
      <c r="D532" s="867">
        <v>31530</v>
      </c>
    </row>
    <row r="533" spans="1:4">
      <c r="A533" t="s">
        <v>124</v>
      </c>
      <c r="B533" s="27">
        <v>45016</v>
      </c>
      <c r="C533" s="702" t="s">
        <v>410</v>
      </c>
      <c r="D533" s="867">
        <v>18512</v>
      </c>
    </row>
    <row r="534" spans="1:4">
      <c r="A534" t="s">
        <v>131</v>
      </c>
      <c r="B534" s="27">
        <v>45016</v>
      </c>
      <c r="C534" s="702" t="s">
        <v>390</v>
      </c>
      <c r="D534" s="867">
        <v>89272</v>
      </c>
    </row>
    <row r="535" spans="1:4">
      <c r="A535" t="s">
        <v>131</v>
      </c>
      <c r="B535" s="27">
        <v>45016</v>
      </c>
      <c r="C535" s="702" t="s">
        <v>410</v>
      </c>
      <c r="D535" s="867">
        <v>20067</v>
      </c>
    </row>
    <row r="536" spans="1:4">
      <c r="A536" t="s">
        <v>132</v>
      </c>
      <c r="B536" s="27">
        <v>45016</v>
      </c>
      <c r="C536" s="702" t="s">
        <v>390</v>
      </c>
      <c r="D536" s="867">
        <v>38354</v>
      </c>
    </row>
    <row r="537" spans="1:4">
      <c r="A537" t="s">
        <v>132</v>
      </c>
      <c r="B537" s="27">
        <v>45016</v>
      </c>
      <c r="C537" s="702" t="s">
        <v>410</v>
      </c>
      <c r="D537" s="867">
        <v>27089</v>
      </c>
    </row>
    <row r="538" spans="1:4">
      <c r="A538" t="s">
        <v>135</v>
      </c>
      <c r="B538" s="27">
        <v>45016</v>
      </c>
      <c r="C538" s="702" t="s">
        <v>390</v>
      </c>
      <c r="D538" s="867">
        <v>3271</v>
      </c>
    </row>
    <row r="539" spans="1:4">
      <c r="A539" t="s">
        <v>135</v>
      </c>
      <c r="B539" s="27">
        <v>45016</v>
      </c>
      <c r="C539" s="702" t="s">
        <v>410</v>
      </c>
      <c r="D539" s="867">
        <v>610</v>
      </c>
    </row>
    <row r="540" spans="1:4">
      <c r="A540" t="s">
        <v>136</v>
      </c>
      <c r="B540" s="27">
        <v>45016</v>
      </c>
      <c r="C540" s="702" t="s">
        <v>390</v>
      </c>
      <c r="D540" s="867">
        <v>38289</v>
      </c>
    </row>
    <row r="541" spans="1:4">
      <c r="A541" t="s">
        <v>136</v>
      </c>
      <c r="B541" s="27">
        <v>45016</v>
      </c>
      <c r="C541" s="702" t="s">
        <v>410</v>
      </c>
      <c r="D541" s="867">
        <v>18732</v>
      </c>
    </row>
    <row r="542" spans="1:4">
      <c r="A542" t="s">
        <v>137</v>
      </c>
      <c r="B542" s="27">
        <v>45016</v>
      </c>
      <c r="C542" s="702" t="s">
        <v>390</v>
      </c>
      <c r="D542" s="867">
        <v>31301</v>
      </c>
    </row>
    <row r="543" spans="1:4">
      <c r="A543" t="s">
        <v>137</v>
      </c>
      <c r="B543" s="27">
        <v>45016</v>
      </c>
      <c r="C543" s="702" t="s">
        <v>410</v>
      </c>
      <c r="D543" s="867">
        <v>5954</v>
      </c>
    </row>
    <row r="544" spans="1:4">
      <c r="A544" t="s">
        <v>138</v>
      </c>
      <c r="B544" s="27">
        <v>45016</v>
      </c>
      <c r="C544" s="702" t="s">
        <v>390</v>
      </c>
      <c r="D544" s="867">
        <v>86667</v>
      </c>
    </row>
    <row r="545" spans="1:4">
      <c r="A545" t="s">
        <v>138</v>
      </c>
      <c r="B545" s="27">
        <v>45016</v>
      </c>
      <c r="C545" s="702" t="s">
        <v>410</v>
      </c>
      <c r="D545" s="867">
        <v>62880</v>
      </c>
    </row>
    <row r="546" spans="1:4">
      <c r="A546" t="s">
        <v>139</v>
      </c>
      <c r="B546" s="27">
        <v>45016</v>
      </c>
      <c r="C546" s="702" t="s">
        <v>390</v>
      </c>
      <c r="D546" s="867">
        <v>21321</v>
      </c>
    </row>
    <row r="547" spans="1:4">
      <c r="A547" t="s">
        <v>139</v>
      </c>
      <c r="B547" s="27">
        <v>45016</v>
      </c>
      <c r="C547" s="702" t="s">
        <v>410</v>
      </c>
      <c r="D547" s="867">
        <v>840</v>
      </c>
    </row>
    <row r="548" spans="1:4">
      <c r="A548" t="s">
        <v>141</v>
      </c>
      <c r="B548" s="27">
        <v>45016</v>
      </c>
      <c r="C548" s="702" t="s">
        <v>390</v>
      </c>
      <c r="D548" s="867">
        <v>96093</v>
      </c>
    </row>
    <row r="549" spans="1:4">
      <c r="A549" t="s">
        <v>141</v>
      </c>
      <c r="B549" s="27">
        <v>45016</v>
      </c>
      <c r="C549" s="702" t="s">
        <v>410</v>
      </c>
      <c r="D549" s="867">
        <v>12824</v>
      </c>
    </row>
    <row r="550" spans="1:4">
      <c r="A550" t="s">
        <v>140</v>
      </c>
      <c r="B550" s="27">
        <v>45016</v>
      </c>
      <c r="C550" s="702" t="s">
        <v>390</v>
      </c>
      <c r="D550" s="867">
        <v>14969</v>
      </c>
    </row>
    <row r="551" spans="1:4">
      <c r="A551" t="s">
        <v>140</v>
      </c>
      <c r="B551" s="27">
        <v>45016</v>
      </c>
      <c r="C551" s="702" t="s">
        <v>410</v>
      </c>
      <c r="D551" s="867">
        <v>1925</v>
      </c>
    </row>
    <row r="552" spans="1:4">
      <c r="A552" s="869" t="s">
        <v>123</v>
      </c>
      <c r="B552" s="27">
        <v>44681</v>
      </c>
      <c r="C552" t="s">
        <v>390</v>
      </c>
      <c r="D552" s="778">
        <v>6368</v>
      </c>
    </row>
    <row r="553" spans="1:4">
      <c r="A553" s="869" t="s">
        <v>123</v>
      </c>
      <c r="B553" s="27">
        <v>44681</v>
      </c>
      <c r="C553" t="s">
        <v>410</v>
      </c>
      <c r="D553" s="778">
        <v>2851</v>
      </c>
    </row>
    <row r="554" spans="1:4">
      <c r="A554" s="869" t="s">
        <v>124</v>
      </c>
      <c r="B554" s="27">
        <v>44681</v>
      </c>
      <c r="C554" t="s">
        <v>390</v>
      </c>
      <c r="D554" s="778">
        <v>32020</v>
      </c>
    </row>
    <row r="555" spans="1:4">
      <c r="A555" s="869" t="s">
        <v>124</v>
      </c>
      <c r="B555" s="27">
        <v>44681</v>
      </c>
      <c r="C555" t="s">
        <v>410</v>
      </c>
      <c r="D555" s="778">
        <v>18725</v>
      </c>
    </row>
    <row r="556" spans="1:4">
      <c r="A556" s="869" t="s">
        <v>131</v>
      </c>
      <c r="B556" s="27">
        <v>44681</v>
      </c>
      <c r="C556" t="s">
        <v>390</v>
      </c>
      <c r="D556" s="778">
        <v>82147</v>
      </c>
    </row>
    <row r="557" spans="1:4">
      <c r="A557" s="869" t="s">
        <v>131</v>
      </c>
      <c r="B557" s="27">
        <v>44681</v>
      </c>
      <c r="C557" t="s">
        <v>410</v>
      </c>
      <c r="D557" s="778">
        <v>18349</v>
      </c>
    </row>
    <row r="558" spans="1:4">
      <c r="A558" s="869" t="s">
        <v>132</v>
      </c>
      <c r="B558" s="27">
        <v>44681</v>
      </c>
      <c r="C558" t="s">
        <v>390</v>
      </c>
      <c r="D558" s="778">
        <v>36300</v>
      </c>
    </row>
    <row r="559" spans="1:4">
      <c r="A559" s="869" t="s">
        <v>132</v>
      </c>
      <c r="B559" s="27">
        <v>44681</v>
      </c>
      <c r="C559" t="s">
        <v>410</v>
      </c>
      <c r="D559" s="778">
        <v>25678</v>
      </c>
    </row>
    <row r="560" spans="1:4">
      <c r="A560" s="869" t="s">
        <v>135</v>
      </c>
      <c r="B560" s="27">
        <v>44681</v>
      </c>
      <c r="C560" t="s">
        <v>390</v>
      </c>
      <c r="D560" s="778">
        <v>3154</v>
      </c>
    </row>
    <row r="561" spans="1:4">
      <c r="A561" s="869" t="s">
        <v>135</v>
      </c>
      <c r="B561" s="27">
        <v>44681</v>
      </c>
      <c r="C561" t="s">
        <v>410</v>
      </c>
      <c r="D561" s="778">
        <v>455</v>
      </c>
    </row>
    <row r="562" spans="1:4">
      <c r="A562" s="869" t="s">
        <v>136</v>
      </c>
      <c r="B562" s="27">
        <v>44681</v>
      </c>
      <c r="C562" t="s">
        <v>390</v>
      </c>
      <c r="D562" s="778">
        <v>41441</v>
      </c>
    </row>
    <row r="563" spans="1:4">
      <c r="A563" s="869" t="s">
        <v>136</v>
      </c>
      <c r="B563" s="27">
        <v>44681</v>
      </c>
      <c r="C563" t="s">
        <v>410</v>
      </c>
      <c r="D563" s="778">
        <v>18291</v>
      </c>
    </row>
    <row r="564" spans="1:4">
      <c r="A564" s="869" t="s">
        <v>137</v>
      </c>
      <c r="B564" s="27">
        <v>44681</v>
      </c>
      <c r="C564" t="s">
        <v>390</v>
      </c>
      <c r="D564" s="778">
        <v>35800</v>
      </c>
    </row>
    <row r="565" spans="1:4">
      <c r="A565" s="869" t="s">
        <v>137</v>
      </c>
      <c r="B565" s="27">
        <v>44681</v>
      </c>
      <c r="C565" t="s">
        <v>410</v>
      </c>
      <c r="D565" s="778">
        <v>4724</v>
      </c>
    </row>
    <row r="566" spans="1:4">
      <c r="A566" s="869" t="s">
        <v>138</v>
      </c>
      <c r="B566" s="27">
        <v>44681</v>
      </c>
      <c r="C566" t="s">
        <v>390</v>
      </c>
      <c r="D566" s="778">
        <v>79139</v>
      </c>
    </row>
    <row r="567" spans="1:4">
      <c r="A567" s="869" t="s">
        <v>138</v>
      </c>
      <c r="B567" s="27">
        <v>44681</v>
      </c>
      <c r="C567" t="s">
        <v>410</v>
      </c>
      <c r="D567" s="778">
        <v>56953</v>
      </c>
    </row>
    <row r="568" spans="1:4">
      <c r="A568" s="869" t="s">
        <v>139</v>
      </c>
      <c r="B568" s="27">
        <v>44681</v>
      </c>
      <c r="C568" t="s">
        <v>390</v>
      </c>
      <c r="D568" s="778">
        <v>20927</v>
      </c>
    </row>
    <row r="569" spans="1:4">
      <c r="A569" s="869" t="s">
        <v>139</v>
      </c>
      <c r="B569" s="27">
        <v>44681</v>
      </c>
      <c r="C569" t="s">
        <v>410</v>
      </c>
      <c r="D569" s="778">
        <v>411</v>
      </c>
    </row>
    <row r="570" spans="1:4">
      <c r="A570" s="869" t="s">
        <v>141</v>
      </c>
      <c r="B570" s="27">
        <v>44681</v>
      </c>
      <c r="C570" t="s">
        <v>390</v>
      </c>
      <c r="D570" s="778">
        <v>40161</v>
      </c>
    </row>
    <row r="571" spans="1:4">
      <c r="A571" s="869" t="s">
        <v>141</v>
      </c>
      <c r="B571" s="27">
        <v>44681</v>
      </c>
      <c r="C571" t="s">
        <v>410</v>
      </c>
      <c r="D571" s="778">
        <v>12446</v>
      </c>
    </row>
    <row r="572" spans="1:4">
      <c r="A572" s="869" t="s">
        <v>140</v>
      </c>
      <c r="B572" s="27">
        <v>44681</v>
      </c>
      <c r="C572" t="s">
        <v>390</v>
      </c>
      <c r="D572" s="778">
        <v>14833</v>
      </c>
    </row>
    <row r="573" spans="1:4">
      <c r="A573" s="869" t="s">
        <v>140</v>
      </c>
      <c r="B573" s="27">
        <v>44681</v>
      </c>
      <c r="C573" t="s">
        <v>410</v>
      </c>
      <c r="D573" s="778">
        <v>2363</v>
      </c>
    </row>
    <row r="574" spans="1:4">
      <c r="A574" s="872" t="s">
        <v>123</v>
      </c>
      <c r="B574" s="27">
        <v>45046</v>
      </c>
      <c r="C574" s="872" t="s">
        <v>390</v>
      </c>
      <c r="D574" s="873">
        <v>5823</v>
      </c>
    </row>
    <row r="575" spans="1:4">
      <c r="A575" s="872" t="s">
        <v>123</v>
      </c>
      <c r="B575" s="27">
        <v>45046</v>
      </c>
      <c r="C575" s="872" t="s">
        <v>410</v>
      </c>
      <c r="D575" s="873">
        <v>2946</v>
      </c>
    </row>
    <row r="576" spans="1:4">
      <c r="A576" s="872" t="s">
        <v>124</v>
      </c>
      <c r="B576" s="27">
        <v>45046</v>
      </c>
      <c r="C576" s="872" t="s">
        <v>390</v>
      </c>
      <c r="D576" s="873">
        <v>31099</v>
      </c>
    </row>
    <row r="577" spans="1:4">
      <c r="A577" s="872" t="s">
        <v>124</v>
      </c>
      <c r="B577" s="27">
        <v>45046</v>
      </c>
      <c r="C577" s="872" t="s">
        <v>410</v>
      </c>
      <c r="D577" s="873">
        <v>18501</v>
      </c>
    </row>
    <row r="578" spans="1:4">
      <c r="A578" s="872" t="s">
        <v>131</v>
      </c>
      <c r="B578" s="27">
        <v>45046</v>
      </c>
      <c r="C578" s="872" t="s">
        <v>390</v>
      </c>
      <c r="D578" s="873">
        <v>97813</v>
      </c>
    </row>
    <row r="579" spans="1:4">
      <c r="A579" s="872" t="s">
        <v>131</v>
      </c>
      <c r="B579" s="27">
        <v>45046</v>
      </c>
      <c r="C579" s="872" t="s">
        <v>410</v>
      </c>
      <c r="D579" s="873">
        <v>20210</v>
      </c>
    </row>
    <row r="580" spans="1:4">
      <c r="A580" s="872" t="s">
        <v>132</v>
      </c>
      <c r="B580" s="27">
        <v>45046</v>
      </c>
      <c r="C580" s="872" t="s">
        <v>390</v>
      </c>
      <c r="D580" s="873">
        <v>37935</v>
      </c>
    </row>
    <row r="581" spans="1:4">
      <c r="A581" s="872" t="s">
        <v>132</v>
      </c>
      <c r="B581" s="27">
        <v>45046</v>
      </c>
      <c r="C581" s="872" t="s">
        <v>410</v>
      </c>
      <c r="D581" s="873">
        <v>27209</v>
      </c>
    </row>
    <row r="582" spans="1:4">
      <c r="A582" s="872" t="s">
        <v>135</v>
      </c>
      <c r="B582" s="27">
        <v>45046</v>
      </c>
      <c r="C582" s="872" t="s">
        <v>390</v>
      </c>
      <c r="D582" s="873">
        <v>3256</v>
      </c>
    </row>
    <row r="583" spans="1:4">
      <c r="A583" s="872" t="s">
        <v>135</v>
      </c>
      <c r="B583" s="27">
        <v>45046</v>
      </c>
      <c r="C583" s="872" t="s">
        <v>410</v>
      </c>
      <c r="D583" s="873">
        <v>608</v>
      </c>
    </row>
    <row r="584" spans="1:4">
      <c r="A584" s="872" t="s">
        <v>136</v>
      </c>
      <c r="B584" s="27">
        <v>45046</v>
      </c>
      <c r="C584" s="872" t="s">
        <v>390</v>
      </c>
      <c r="D584" s="873">
        <v>37875</v>
      </c>
    </row>
    <row r="585" spans="1:4">
      <c r="A585" s="872" t="s">
        <v>136</v>
      </c>
      <c r="B585" s="27">
        <v>45046</v>
      </c>
      <c r="C585" s="872" t="s">
        <v>410</v>
      </c>
      <c r="D585" s="873">
        <v>18721</v>
      </c>
    </row>
    <row r="586" spans="1:4">
      <c r="A586" s="872" t="s">
        <v>137</v>
      </c>
      <c r="B586" s="27">
        <v>45046</v>
      </c>
      <c r="C586" s="872" t="s">
        <v>390</v>
      </c>
      <c r="D586" s="873">
        <v>30690</v>
      </c>
    </row>
    <row r="587" spans="1:4">
      <c r="A587" s="872" t="s">
        <v>137</v>
      </c>
      <c r="B587" s="27">
        <v>45046</v>
      </c>
      <c r="C587" s="872" t="s">
        <v>410</v>
      </c>
      <c r="D587" s="873">
        <v>6000</v>
      </c>
    </row>
    <row r="588" spans="1:4">
      <c r="A588" s="872" t="s">
        <v>138</v>
      </c>
      <c r="B588" s="27">
        <v>45046</v>
      </c>
      <c r="C588" s="872" t="s">
        <v>390</v>
      </c>
      <c r="D588" s="873">
        <v>86718</v>
      </c>
    </row>
    <row r="589" spans="1:4">
      <c r="A589" s="872" t="s">
        <v>138</v>
      </c>
      <c r="B589" s="27">
        <v>45046</v>
      </c>
      <c r="C589" s="872" t="s">
        <v>410</v>
      </c>
      <c r="D589" s="873">
        <v>63474</v>
      </c>
    </row>
    <row r="590" spans="1:4">
      <c r="A590" s="872" t="s">
        <v>139</v>
      </c>
      <c r="B590" s="27">
        <v>45046</v>
      </c>
      <c r="C590" s="872" t="s">
        <v>390</v>
      </c>
      <c r="D590" s="873">
        <v>21374</v>
      </c>
    </row>
    <row r="591" spans="1:4">
      <c r="A591" s="872" t="s">
        <v>139</v>
      </c>
      <c r="B591" s="27">
        <v>45046</v>
      </c>
      <c r="C591" s="872" t="s">
        <v>410</v>
      </c>
      <c r="D591" s="873">
        <v>835</v>
      </c>
    </row>
    <row r="592" spans="1:4">
      <c r="A592" s="872" t="s">
        <v>141</v>
      </c>
      <c r="B592" s="27">
        <v>45046</v>
      </c>
      <c r="C592" s="872" t="s">
        <v>390</v>
      </c>
      <c r="D592" s="873">
        <v>41594</v>
      </c>
    </row>
    <row r="593" spans="1:4">
      <c r="A593" s="872" t="s">
        <v>141</v>
      </c>
      <c r="B593" s="27">
        <v>45046</v>
      </c>
      <c r="C593" s="872" t="s">
        <v>410</v>
      </c>
      <c r="D593" s="873">
        <v>12418</v>
      </c>
    </row>
    <row r="594" spans="1:4">
      <c r="A594" s="872" t="s">
        <v>140</v>
      </c>
      <c r="B594" s="27">
        <v>45046</v>
      </c>
      <c r="C594" s="872" t="s">
        <v>390</v>
      </c>
      <c r="D594" s="873">
        <v>14761</v>
      </c>
    </row>
    <row r="595" spans="1:4">
      <c r="A595" s="872" t="s">
        <v>140</v>
      </c>
      <c r="B595" s="27">
        <v>45046</v>
      </c>
      <c r="C595" s="872" t="s">
        <v>410</v>
      </c>
      <c r="D595" s="873">
        <v>1991</v>
      </c>
    </row>
    <row r="596" spans="1:4">
      <c r="A596" s="886" t="s">
        <v>123</v>
      </c>
      <c r="B596" s="27">
        <v>45077</v>
      </c>
      <c r="C596" s="886" t="s">
        <v>390</v>
      </c>
      <c r="D596" s="433">
        <v>5767</v>
      </c>
    </row>
    <row r="597" spans="1:4">
      <c r="A597" s="886" t="s">
        <v>123</v>
      </c>
      <c r="B597" s="27">
        <v>45077</v>
      </c>
      <c r="C597" s="886" t="s">
        <v>410</v>
      </c>
      <c r="D597" s="433">
        <v>2960</v>
      </c>
    </row>
    <row r="598" spans="1:4">
      <c r="A598" s="886" t="s">
        <v>124</v>
      </c>
      <c r="B598" s="27">
        <v>45077</v>
      </c>
      <c r="C598" s="886" t="s">
        <v>390</v>
      </c>
      <c r="D598" s="433">
        <v>30150</v>
      </c>
    </row>
    <row r="599" spans="1:4">
      <c r="A599" s="886" t="s">
        <v>124</v>
      </c>
      <c r="B599" s="27">
        <v>45077</v>
      </c>
      <c r="C599" s="886" t="s">
        <v>410</v>
      </c>
      <c r="D599" s="433">
        <v>18378</v>
      </c>
    </row>
    <row r="600" spans="1:4">
      <c r="A600" s="886" t="s">
        <v>131</v>
      </c>
      <c r="B600" s="27">
        <v>45077</v>
      </c>
      <c r="C600" s="886" t="s">
        <v>390</v>
      </c>
      <c r="D600" s="433">
        <v>98418</v>
      </c>
    </row>
    <row r="601" spans="1:4">
      <c r="A601" s="886" t="s">
        <v>131</v>
      </c>
      <c r="B601" s="27">
        <v>45077</v>
      </c>
      <c r="C601" s="886" t="s">
        <v>410</v>
      </c>
      <c r="D601" s="433">
        <v>20400</v>
      </c>
    </row>
    <row r="602" spans="1:4">
      <c r="A602" s="886" t="s">
        <v>132</v>
      </c>
      <c r="B602" s="27">
        <v>45077</v>
      </c>
      <c r="C602" s="886" t="s">
        <v>390</v>
      </c>
      <c r="D602" s="433">
        <v>37141</v>
      </c>
    </row>
    <row r="603" spans="1:4">
      <c r="A603" s="886" t="s">
        <v>132</v>
      </c>
      <c r="B603" s="27">
        <v>45077</v>
      </c>
      <c r="C603" s="886" t="s">
        <v>410</v>
      </c>
      <c r="D603" s="433">
        <v>27243</v>
      </c>
    </row>
    <row r="604" spans="1:4">
      <c r="A604" s="886" t="s">
        <v>135</v>
      </c>
      <c r="B604" s="27">
        <v>45077</v>
      </c>
      <c r="C604" s="886" t="s">
        <v>390</v>
      </c>
      <c r="D604" s="433">
        <v>3242</v>
      </c>
    </row>
    <row r="605" spans="1:4">
      <c r="A605" s="886" t="s">
        <v>135</v>
      </c>
      <c r="B605" s="27">
        <v>45077</v>
      </c>
      <c r="C605" s="886" t="s">
        <v>410</v>
      </c>
      <c r="D605" s="433">
        <v>621</v>
      </c>
    </row>
    <row r="606" spans="1:4">
      <c r="A606" s="886" t="s">
        <v>136</v>
      </c>
      <c r="B606" s="27">
        <v>45077</v>
      </c>
      <c r="C606" s="886" t="s">
        <v>390</v>
      </c>
      <c r="D606" s="433">
        <v>37634</v>
      </c>
    </row>
    <row r="607" spans="1:4">
      <c r="A607" s="886" t="s">
        <v>136</v>
      </c>
      <c r="B607" s="27">
        <v>45077</v>
      </c>
      <c r="C607" s="886" t="s">
        <v>410</v>
      </c>
      <c r="D607" s="433">
        <v>18784</v>
      </c>
    </row>
    <row r="608" spans="1:4">
      <c r="A608" s="886" t="s">
        <v>137</v>
      </c>
      <c r="B608" s="27">
        <v>45077</v>
      </c>
      <c r="C608" s="886" t="s">
        <v>390</v>
      </c>
      <c r="D608" s="433">
        <v>30286</v>
      </c>
    </row>
    <row r="609" spans="1:4">
      <c r="A609" s="886" t="s">
        <v>137</v>
      </c>
      <c r="B609" s="27">
        <v>45077</v>
      </c>
      <c r="C609" s="886" t="s">
        <v>410</v>
      </c>
      <c r="D609" s="433">
        <v>6019</v>
      </c>
    </row>
    <row r="610" spans="1:4">
      <c r="A610" s="886" t="s">
        <v>138</v>
      </c>
      <c r="B610" s="27">
        <v>45077</v>
      </c>
      <c r="C610" s="886" t="s">
        <v>390</v>
      </c>
      <c r="D610" s="433">
        <v>86948</v>
      </c>
    </row>
    <row r="611" spans="1:4">
      <c r="A611" s="886" t="s">
        <v>138</v>
      </c>
      <c r="B611" s="27">
        <v>45077</v>
      </c>
      <c r="C611" s="886" t="s">
        <v>410</v>
      </c>
      <c r="D611" s="433">
        <v>64058</v>
      </c>
    </row>
    <row r="612" spans="1:4">
      <c r="A612" s="886" t="s">
        <v>139</v>
      </c>
      <c r="B612" s="27">
        <v>45077</v>
      </c>
      <c r="C612" s="886" t="s">
        <v>390</v>
      </c>
      <c r="D612" s="433">
        <v>21344</v>
      </c>
    </row>
    <row r="613" spans="1:4">
      <c r="A613" s="886" t="s">
        <v>139</v>
      </c>
      <c r="B613" s="27">
        <v>45077</v>
      </c>
      <c r="C613" s="886" t="s">
        <v>410</v>
      </c>
      <c r="D613" s="433">
        <v>829</v>
      </c>
    </row>
    <row r="614" spans="1:4">
      <c r="A614" s="886" t="s">
        <v>141</v>
      </c>
      <c r="B614" s="27">
        <v>45077</v>
      </c>
      <c r="C614" s="886" t="s">
        <v>390</v>
      </c>
      <c r="D614" s="433">
        <v>42293</v>
      </c>
    </row>
    <row r="615" spans="1:4">
      <c r="A615" s="886" t="s">
        <v>141</v>
      </c>
      <c r="B615" s="27">
        <v>45077</v>
      </c>
      <c r="C615" s="886" t="s">
        <v>410</v>
      </c>
      <c r="D615" s="433">
        <v>12442</v>
      </c>
    </row>
    <row r="616" spans="1:4">
      <c r="A616" s="886" t="s">
        <v>140</v>
      </c>
      <c r="B616" s="27">
        <v>45077</v>
      </c>
      <c r="C616" s="886" t="s">
        <v>390</v>
      </c>
      <c r="D616" s="433">
        <v>13155</v>
      </c>
    </row>
    <row r="617" spans="1:4">
      <c r="A617" s="886" t="s">
        <v>140</v>
      </c>
      <c r="B617" s="27">
        <v>45077</v>
      </c>
      <c r="C617" s="886" t="s">
        <v>410</v>
      </c>
      <c r="D617" s="433">
        <v>2119</v>
      </c>
    </row>
    <row r="618" spans="1:4">
      <c r="A618" s="891" t="s">
        <v>123</v>
      </c>
      <c r="B618" s="27">
        <v>45107</v>
      </c>
      <c r="C618" s="27" t="s">
        <v>390</v>
      </c>
      <c r="D618" s="433">
        <v>5625</v>
      </c>
    </row>
    <row r="619" spans="1:4">
      <c r="A619" s="891" t="s">
        <v>123</v>
      </c>
      <c r="B619" s="27">
        <v>45107</v>
      </c>
      <c r="C619" s="27" t="s">
        <v>410</v>
      </c>
      <c r="D619" s="433">
        <v>2937</v>
      </c>
    </row>
    <row r="620" spans="1:4">
      <c r="A620" s="891" t="s">
        <v>124</v>
      </c>
      <c r="B620" s="27">
        <v>45107</v>
      </c>
      <c r="C620" s="27" t="s">
        <v>390</v>
      </c>
      <c r="D620" s="433">
        <v>29066</v>
      </c>
    </row>
    <row r="621" spans="1:4">
      <c r="A621" s="891" t="s">
        <v>124</v>
      </c>
      <c r="B621" s="27">
        <v>45107</v>
      </c>
      <c r="C621" s="27" t="s">
        <v>410</v>
      </c>
      <c r="D621" s="433">
        <v>18112</v>
      </c>
    </row>
    <row r="622" spans="1:4">
      <c r="A622" s="891" t="s">
        <v>131</v>
      </c>
      <c r="B622" s="27">
        <v>45107</v>
      </c>
      <c r="C622" s="27" t="s">
        <v>390</v>
      </c>
      <c r="D622" s="433">
        <v>99003</v>
      </c>
    </row>
    <row r="623" spans="1:4">
      <c r="A623" s="891" t="s">
        <v>131</v>
      </c>
      <c r="B623" s="27">
        <v>45107</v>
      </c>
      <c r="C623" s="27" t="s">
        <v>410</v>
      </c>
      <c r="D623" s="433">
        <v>20586</v>
      </c>
    </row>
    <row r="624" spans="1:4">
      <c r="A624" s="891" t="s">
        <v>132</v>
      </c>
      <c r="B624" s="27">
        <v>45107</v>
      </c>
      <c r="C624" s="27" t="s">
        <v>390</v>
      </c>
      <c r="D624" s="433">
        <v>34527</v>
      </c>
    </row>
    <row r="625" spans="1:4">
      <c r="A625" s="891" t="s">
        <v>132</v>
      </c>
      <c r="B625" s="27">
        <v>45107</v>
      </c>
      <c r="C625" s="27" t="s">
        <v>410</v>
      </c>
      <c r="D625" s="433">
        <v>27359</v>
      </c>
    </row>
    <row r="626" spans="1:4">
      <c r="A626" s="891" t="s">
        <v>135</v>
      </c>
      <c r="B626" s="27">
        <v>45107</v>
      </c>
      <c r="C626" s="27" t="s">
        <v>390</v>
      </c>
      <c r="D626" s="433">
        <v>3223</v>
      </c>
    </row>
    <row r="627" spans="1:4">
      <c r="A627" s="891" t="s">
        <v>135</v>
      </c>
      <c r="B627" s="27">
        <v>45107</v>
      </c>
      <c r="C627" s="27" t="s">
        <v>410</v>
      </c>
      <c r="D627" s="433">
        <v>631</v>
      </c>
    </row>
    <row r="628" spans="1:4">
      <c r="A628" s="891" t="s">
        <v>136</v>
      </c>
      <c r="B628" s="27">
        <v>45107</v>
      </c>
      <c r="C628" s="27" t="s">
        <v>390</v>
      </c>
      <c r="D628" s="433">
        <v>37616</v>
      </c>
    </row>
    <row r="629" spans="1:4">
      <c r="A629" s="891" t="s">
        <v>136</v>
      </c>
      <c r="B629" s="27">
        <v>45107</v>
      </c>
      <c r="C629" s="27" t="s">
        <v>410</v>
      </c>
      <c r="D629" s="433">
        <v>18938</v>
      </c>
    </row>
    <row r="630" spans="1:4">
      <c r="A630" s="891" t="s">
        <v>137</v>
      </c>
      <c r="B630" s="27">
        <v>45107</v>
      </c>
      <c r="C630" s="27" t="s">
        <v>390</v>
      </c>
      <c r="D630" s="433">
        <v>29813</v>
      </c>
    </row>
    <row r="631" spans="1:4">
      <c r="A631" s="891" t="s">
        <v>137</v>
      </c>
      <c r="B631" s="27">
        <v>45107</v>
      </c>
      <c r="C631" s="27" t="s">
        <v>410</v>
      </c>
      <c r="D631" s="433">
        <v>5976</v>
      </c>
    </row>
    <row r="632" spans="1:4">
      <c r="A632" s="891" t="s">
        <v>138</v>
      </c>
      <c r="B632" s="27">
        <v>45107</v>
      </c>
      <c r="C632" s="27" t="s">
        <v>390</v>
      </c>
      <c r="D632" s="433">
        <v>87367</v>
      </c>
    </row>
    <row r="633" spans="1:4">
      <c r="A633" s="891" t="s">
        <v>138</v>
      </c>
      <c r="B633" s="27">
        <v>45107</v>
      </c>
      <c r="C633" s="27" t="s">
        <v>410</v>
      </c>
      <c r="D633" s="433">
        <v>64807</v>
      </c>
    </row>
    <row r="634" spans="1:4">
      <c r="A634" s="891" t="s">
        <v>139</v>
      </c>
      <c r="B634" s="27">
        <v>45107</v>
      </c>
      <c r="C634" s="27" t="s">
        <v>390</v>
      </c>
      <c r="D634" s="433">
        <v>22965</v>
      </c>
    </row>
    <row r="635" spans="1:4">
      <c r="A635" s="891" t="s">
        <v>139</v>
      </c>
      <c r="B635" s="27">
        <v>45107</v>
      </c>
      <c r="C635" s="27" t="s">
        <v>410</v>
      </c>
      <c r="D635" s="433">
        <v>790</v>
      </c>
    </row>
    <row r="636" spans="1:4">
      <c r="A636" s="891" t="s">
        <v>141</v>
      </c>
      <c r="B636" s="27">
        <v>45107</v>
      </c>
      <c r="C636" s="27" t="s">
        <v>390</v>
      </c>
      <c r="D636" s="433">
        <v>42398</v>
      </c>
    </row>
    <row r="637" spans="1:4">
      <c r="A637" s="891" t="s">
        <v>141</v>
      </c>
      <c r="B637" s="27">
        <v>45107</v>
      </c>
      <c r="C637" s="27" t="s">
        <v>410</v>
      </c>
      <c r="D637" s="433">
        <v>12407</v>
      </c>
    </row>
    <row r="638" spans="1:4">
      <c r="A638" s="891" t="s">
        <v>140</v>
      </c>
      <c r="B638" s="27">
        <v>45107</v>
      </c>
      <c r="C638" s="27" t="s">
        <v>390</v>
      </c>
      <c r="D638" s="433">
        <v>12145</v>
      </c>
    </row>
    <row r="639" spans="1:4">
      <c r="A639" s="891" t="s">
        <v>140</v>
      </c>
      <c r="B639" s="27">
        <v>45107</v>
      </c>
      <c r="C639" s="27" t="s">
        <v>410</v>
      </c>
      <c r="D639" s="433">
        <v>2220</v>
      </c>
    </row>
    <row r="640" spans="1:4">
      <c r="A640" s="894" t="s">
        <v>123</v>
      </c>
      <c r="B640" s="27">
        <v>45138</v>
      </c>
      <c r="C640" s="894" t="s">
        <v>390</v>
      </c>
      <c r="D640" s="433">
        <v>5539</v>
      </c>
    </row>
    <row r="641" spans="1:4">
      <c r="A641" s="894" t="s">
        <v>123</v>
      </c>
      <c r="B641" s="27">
        <v>45138</v>
      </c>
      <c r="C641" s="894" t="s">
        <v>410</v>
      </c>
      <c r="D641" s="433">
        <v>2918</v>
      </c>
    </row>
    <row r="642" spans="1:4">
      <c r="A642" s="894" t="s">
        <v>124</v>
      </c>
      <c r="B642" s="27">
        <v>45138</v>
      </c>
      <c r="C642" s="894" t="s">
        <v>390</v>
      </c>
      <c r="D642" s="433">
        <v>28114</v>
      </c>
    </row>
    <row r="643" spans="1:4">
      <c r="A643" s="894" t="s">
        <v>124</v>
      </c>
      <c r="B643" s="27">
        <v>45138</v>
      </c>
      <c r="C643" s="894" t="s">
        <v>410</v>
      </c>
      <c r="D643" s="433">
        <v>18067</v>
      </c>
    </row>
    <row r="644" spans="1:4">
      <c r="A644" s="894" t="s">
        <v>131</v>
      </c>
      <c r="B644" s="27">
        <v>45138</v>
      </c>
      <c r="C644" s="894" t="s">
        <v>390</v>
      </c>
      <c r="D644" s="433">
        <v>99625</v>
      </c>
    </row>
    <row r="645" spans="1:4">
      <c r="A645" s="894" t="s">
        <v>131</v>
      </c>
      <c r="B645" s="27">
        <v>45138</v>
      </c>
      <c r="C645" s="894" t="s">
        <v>410</v>
      </c>
      <c r="D645" s="433">
        <v>20766</v>
      </c>
    </row>
    <row r="646" spans="1:4">
      <c r="A646" s="894" t="s">
        <v>132</v>
      </c>
      <c r="B646" s="27">
        <v>45138</v>
      </c>
      <c r="C646" s="894" t="s">
        <v>390</v>
      </c>
      <c r="D646" s="433">
        <v>34217</v>
      </c>
    </row>
    <row r="647" spans="1:4">
      <c r="A647" s="894" t="s">
        <v>132</v>
      </c>
      <c r="B647" s="27">
        <v>45138</v>
      </c>
      <c r="C647" s="894" t="s">
        <v>410</v>
      </c>
      <c r="D647" s="433">
        <v>27439</v>
      </c>
    </row>
    <row r="648" spans="1:4">
      <c r="A648" s="894" t="s">
        <v>135</v>
      </c>
      <c r="B648" s="27">
        <v>45138</v>
      </c>
      <c r="C648" s="894" t="s">
        <v>390</v>
      </c>
      <c r="D648" s="433">
        <v>3207</v>
      </c>
    </row>
    <row r="649" spans="1:4">
      <c r="A649" s="894" t="s">
        <v>135</v>
      </c>
      <c r="B649" s="27">
        <v>45138</v>
      </c>
      <c r="C649" s="894" t="s">
        <v>410</v>
      </c>
      <c r="D649" s="433">
        <v>642</v>
      </c>
    </row>
    <row r="650" spans="1:4">
      <c r="A650" s="894" t="s">
        <v>136</v>
      </c>
      <c r="B650" s="27">
        <v>45138</v>
      </c>
      <c r="C650" s="894" t="s">
        <v>390</v>
      </c>
      <c r="D650" s="433">
        <v>37785</v>
      </c>
    </row>
    <row r="651" spans="1:4">
      <c r="A651" s="894" t="s">
        <v>136</v>
      </c>
      <c r="B651" s="27">
        <v>45138</v>
      </c>
      <c r="C651" s="894" t="s">
        <v>410</v>
      </c>
      <c r="D651" s="433">
        <v>19113</v>
      </c>
    </row>
    <row r="652" spans="1:4">
      <c r="A652" s="894" t="s">
        <v>137</v>
      </c>
      <c r="B652" s="27">
        <v>45138</v>
      </c>
      <c r="C652" s="894" t="s">
        <v>390</v>
      </c>
      <c r="D652" s="433">
        <v>29949</v>
      </c>
    </row>
    <row r="653" spans="1:4">
      <c r="A653" s="894" t="s">
        <v>137</v>
      </c>
      <c r="B653" s="27">
        <v>45138</v>
      </c>
      <c r="C653" s="894" t="s">
        <v>410</v>
      </c>
      <c r="D653" s="433">
        <v>6098</v>
      </c>
    </row>
    <row r="654" spans="1:4">
      <c r="A654" s="894" t="s">
        <v>138</v>
      </c>
      <c r="B654" s="27">
        <v>45138</v>
      </c>
      <c r="C654" s="894" t="s">
        <v>390</v>
      </c>
      <c r="D654" s="433">
        <v>87535</v>
      </c>
    </row>
    <row r="655" spans="1:4">
      <c r="A655" s="894" t="s">
        <v>138</v>
      </c>
      <c r="B655" s="27">
        <v>45138</v>
      </c>
      <c r="C655" s="894" t="s">
        <v>410</v>
      </c>
      <c r="D655" s="433">
        <v>65726</v>
      </c>
    </row>
    <row r="656" spans="1:4">
      <c r="A656" s="894" t="s">
        <v>139</v>
      </c>
      <c r="B656" s="27">
        <v>45138</v>
      </c>
      <c r="C656" s="894" t="s">
        <v>390</v>
      </c>
      <c r="D656" s="433">
        <v>23108</v>
      </c>
    </row>
    <row r="657" spans="1:4">
      <c r="A657" s="894" t="s">
        <v>139</v>
      </c>
      <c r="B657" s="27">
        <v>45138</v>
      </c>
      <c r="C657" s="894" t="s">
        <v>410</v>
      </c>
      <c r="D657" s="433">
        <v>754</v>
      </c>
    </row>
    <row r="658" spans="1:4">
      <c r="A658" s="894" t="s">
        <v>141</v>
      </c>
      <c r="B658" s="27">
        <v>45138</v>
      </c>
      <c r="C658" s="894" t="s">
        <v>390</v>
      </c>
      <c r="D658" s="433">
        <v>42458</v>
      </c>
    </row>
    <row r="659" spans="1:4">
      <c r="A659" s="894" t="s">
        <v>141</v>
      </c>
      <c r="B659" s="27">
        <v>45138</v>
      </c>
      <c r="C659" s="894" t="s">
        <v>410</v>
      </c>
      <c r="D659" s="433">
        <v>12359</v>
      </c>
    </row>
    <row r="660" spans="1:4">
      <c r="A660" s="894" t="s">
        <v>140</v>
      </c>
      <c r="B660" s="27">
        <v>45138</v>
      </c>
      <c r="C660" s="894" t="s">
        <v>390</v>
      </c>
      <c r="D660" s="433">
        <v>12268</v>
      </c>
    </row>
    <row r="661" spans="1:4">
      <c r="A661" s="894" t="s">
        <v>140</v>
      </c>
      <c r="B661" s="27">
        <v>45138</v>
      </c>
      <c r="C661" s="894" t="s">
        <v>410</v>
      </c>
      <c r="D661" s="433">
        <v>2348</v>
      </c>
    </row>
    <row r="662" spans="1:4">
      <c r="A662" s="895" t="s">
        <v>123</v>
      </c>
      <c r="B662" s="27">
        <v>45169</v>
      </c>
      <c r="C662" s="895" t="s">
        <v>390</v>
      </c>
      <c r="D662" s="433">
        <v>5519</v>
      </c>
    </row>
    <row r="663" spans="1:4">
      <c r="A663" s="895" t="s">
        <v>123</v>
      </c>
      <c r="B663" s="27">
        <v>45169</v>
      </c>
      <c r="C663" s="895" t="s">
        <v>410</v>
      </c>
      <c r="D663" s="433">
        <v>2924</v>
      </c>
    </row>
    <row r="664" spans="1:4">
      <c r="A664" s="895" t="s">
        <v>124</v>
      </c>
      <c r="B664" s="27">
        <v>45169</v>
      </c>
      <c r="C664" s="895" t="s">
        <v>390</v>
      </c>
      <c r="D664" s="433">
        <v>27542</v>
      </c>
    </row>
    <row r="665" spans="1:4">
      <c r="A665" s="895" t="s">
        <v>124</v>
      </c>
      <c r="B665" s="27">
        <v>45169</v>
      </c>
      <c r="C665" s="895" t="s">
        <v>410</v>
      </c>
      <c r="D665" s="433">
        <v>17983</v>
      </c>
    </row>
    <row r="666" spans="1:4">
      <c r="A666" s="895" t="s">
        <v>124</v>
      </c>
      <c r="B666" s="27">
        <v>45169</v>
      </c>
      <c r="C666" s="895" t="s">
        <v>390</v>
      </c>
      <c r="D666" s="433">
        <v>30593</v>
      </c>
    </row>
    <row r="667" spans="1:4">
      <c r="A667" s="895" t="s">
        <v>124</v>
      </c>
      <c r="B667" s="27">
        <v>45169</v>
      </c>
      <c r="C667" s="895" t="s">
        <v>410</v>
      </c>
      <c r="D667" s="433">
        <v>18608</v>
      </c>
    </row>
    <row r="668" spans="1:4">
      <c r="A668" s="895" t="s">
        <v>131</v>
      </c>
      <c r="B668" s="27">
        <v>45169</v>
      </c>
      <c r="C668" s="895" t="s">
        <v>390</v>
      </c>
      <c r="D668" s="433">
        <v>100557</v>
      </c>
    </row>
    <row r="669" spans="1:4">
      <c r="A669" s="895" t="s">
        <v>131</v>
      </c>
      <c r="B669" s="27">
        <v>45169</v>
      </c>
      <c r="C669" s="895" t="s">
        <v>410</v>
      </c>
      <c r="D669" s="433">
        <v>20948</v>
      </c>
    </row>
    <row r="670" spans="1:4">
      <c r="A670" s="895" t="s">
        <v>132</v>
      </c>
      <c r="B670" s="27">
        <v>45169</v>
      </c>
      <c r="C670" s="895" t="s">
        <v>390</v>
      </c>
      <c r="D670" s="433">
        <v>36139</v>
      </c>
    </row>
    <row r="671" spans="1:4">
      <c r="A671" s="895" t="s">
        <v>132</v>
      </c>
      <c r="B671" s="27">
        <v>45169</v>
      </c>
      <c r="C671" s="895" t="s">
        <v>410</v>
      </c>
      <c r="D671" s="433">
        <v>27602</v>
      </c>
    </row>
    <row r="672" spans="1:4">
      <c r="A672" s="895" t="s">
        <v>135</v>
      </c>
      <c r="B672" s="27">
        <v>45169</v>
      </c>
      <c r="C672" s="895" t="s">
        <v>390</v>
      </c>
      <c r="D672" s="433">
        <v>3209</v>
      </c>
    </row>
    <row r="673" spans="1:4">
      <c r="A673" s="895" t="s">
        <v>135</v>
      </c>
      <c r="B673" s="27">
        <v>45169</v>
      </c>
      <c r="C673" s="895" t="s">
        <v>410</v>
      </c>
      <c r="D673" s="433">
        <v>651</v>
      </c>
    </row>
    <row r="674" spans="1:4">
      <c r="A674" s="895" t="s">
        <v>136</v>
      </c>
      <c r="B674" s="27">
        <v>45169</v>
      </c>
      <c r="C674" s="895" t="s">
        <v>390</v>
      </c>
      <c r="D674" s="433">
        <v>38029</v>
      </c>
    </row>
    <row r="675" spans="1:4">
      <c r="A675" s="895" t="s">
        <v>136</v>
      </c>
      <c r="B675" s="27">
        <v>45169</v>
      </c>
      <c r="C675" s="895" t="s">
        <v>410</v>
      </c>
      <c r="D675" s="433">
        <v>19300</v>
      </c>
    </row>
    <row r="676" spans="1:4">
      <c r="A676" s="895" t="s">
        <v>137</v>
      </c>
      <c r="B676" s="27">
        <v>45169</v>
      </c>
      <c r="C676" s="895" t="s">
        <v>390</v>
      </c>
      <c r="D676" s="433">
        <v>29458</v>
      </c>
    </row>
    <row r="677" spans="1:4">
      <c r="A677" s="895" t="s">
        <v>137</v>
      </c>
      <c r="B677" s="27">
        <v>45169</v>
      </c>
      <c r="C677" s="895" t="s">
        <v>410</v>
      </c>
      <c r="D677" s="433">
        <v>6156</v>
      </c>
    </row>
    <row r="678" spans="1:4">
      <c r="A678" s="895" t="s">
        <v>138</v>
      </c>
      <c r="B678" s="27">
        <v>45169</v>
      </c>
      <c r="C678" s="895" t="s">
        <v>390</v>
      </c>
      <c r="D678" s="433">
        <v>88730</v>
      </c>
    </row>
    <row r="679" spans="1:4">
      <c r="A679" s="895" t="s">
        <v>138</v>
      </c>
      <c r="B679" s="27">
        <v>45169</v>
      </c>
      <c r="C679" s="895" t="s">
        <v>410</v>
      </c>
      <c r="D679" s="433">
        <v>66470</v>
      </c>
    </row>
    <row r="680" spans="1:4">
      <c r="A680" s="895" t="s">
        <v>139</v>
      </c>
      <c r="B680" s="27">
        <v>45169</v>
      </c>
      <c r="C680" s="895" t="s">
        <v>390</v>
      </c>
      <c r="D680" s="433">
        <v>23175</v>
      </c>
    </row>
    <row r="681" spans="1:4">
      <c r="A681" s="895" t="s">
        <v>139</v>
      </c>
      <c r="B681" s="27">
        <v>45169</v>
      </c>
      <c r="C681" s="895" t="s">
        <v>410</v>
      </c>
      <c r="D681" s="433">
        <v>747</v>
      </c>
    </row>
    <row r="682" spans="1:4">
      <c r="A682" s="895" t="s">
        <v>141</v>
      </c>
      <c r="B682" s="27">
        <v>45169</v>
      </c>
      <c r="C682" s="895" t="s">
        <v>390</v>
      </c>
      <c r="D682" s="433">
        <v>42715</v>
      </c>
    </row>
    <row r="683" spans="1:4">
      <c r="A683" s="895" t="s">
        <v>141</v>
      </c>
      <c r="B683" s="27">
        <v>45169</v>
      </c>
      <c r="C683" s="895" t="s">
        <v>410</v>
      </c>
      <c r="D683" s="433">
        <v>12381</v>
      </c>
    </row>
    <row r="684" spans="1:4">
      <c r="A684" s="895" t="s">
        <v>140</v>
      </c>
      <c r="B684" s="27">
        <v>45169</v>
      </c>
      <c r="C684" s="895" t="s">
        <v>390</v>
      </c>
      <c r="D684" s="433">
        <v>12354</v>
      </c>
    </row>
    <row r="685" spans="1:4">
      <c r="A685" s="895" t="s">
        <v>140</v>
      </c>
      <c r="B685" s="27">
        <v>45169</v>
      </c>
      <c r="C685" s="895" t="s">
        <v>410</v>
      </c>
      <c r="D685" s="433">
        <v>2358</v>
      </c>
    </row>
    <row r="686" spans="1:4">
      <c r="A686" s="898" t="s">
        <v>123</v>
      </c>
      <c r="B686" s="27">
        <v>45199</v>
      </c>
      <c r="C686" s="898" t="s">
        <v>390</v>
      </c>
      <c r="D686" s="778">
        <v>5437</v>
      </c>
    </row>
    <row r="687" spans="1:4">
      <c r="A687" s="898" t="s">
        <v>123</v>
      </c>
      <c r="B687" s="27">
        <v>45199</v>
      </c>
      <c r="C687" s="898" t="s">
        <v>410</v>
      </c>
      <c r="D687" s="778">
        <v>2893</v>
      </c>
    </row>
    <row r="688" spans="1:4">
      <c r="A688" s="898" t="s">
        <v>124</v>
      </c>
      <c r="B688" s="27">
        <v>45199</v>
      </c>
      <c r="C688" s="898" t="s">
        <v>390</v>
      </c>
      <c r="D688" s="778">
        <v>28068</v>
      </c>
    </row>
    <row r="689" spans="1:4">
      <c r="A689" s="898" t="s">
        <v>124</v>
      </c>
      <c r="B689" s="27">
        <v>45199</v>
      </c>
      <c r="C689" s="898" t="s">
        <v>410</v>
      </c>
      <c r="D689" s="778">
        <v>18008</v>
      </c>
    </row>
    <row r="690" spans="1:4">
      <c r="A690" s="898" t="s">
        <v>131</v>
      </c>
      <c r="B690" s="27">
        <v>45199</v>
      </c>
      <c r="C690" s="898" t="s">
        <v>390</v>
      </c>
      <c r="D690" s="778">
        <v>101506</v>
      </c>
    </row>
    <row r="691" spans="1:4">
      <c r="A691" s="898" t="s">
        <v>131</v>
      </c>
      <c r="B691" s="27">
        <v>45199</v>
      </c>
      <c r="C691" s="898" t="s">
        <v>410</v>
      </c>
      <c r="D691" s="778">
        <v>21087</v>
      </c>
    </row>
    <row r="692" spans="1:4">
      <c r="A692" s="898" t="s">
        <v>132</v>
      </c>
      <c r="B692" s="27">
        <v>45199</v>
      </c>
      <c r="C692" s="898" t="s">
        <v>390</v>
      </c>
      <c r="D692" s="778">
        <v>38346</v>
      </c>
    </row>
    <row r="693" spans="1:4">
      <c r="A693" s="898" t="s">
        <v>132</v>
      </c>
      <c r="B693" s="27">
        <v>45199</v>
      </c>
      <c r="C693" s="898" t="s">
        <v>410</v>
      </c>
      <c r="D693" s="778">
        <v>27806</v>
      </c>
    </row>
    <row r="694" spans="1:4">
      <c r="A694" s="898" t="s">
        <v>135</v>
      </c>
      <c r="B694" s="27">
        <v>45199</v>
      </c>
      <c r="C694" s="898" t="s">
        <v>390</v>
      </c>
      <c r="D694" s="778">
        <v>3198</v>
      </c>
    </row>
    <row r="695" spans="1:4">
      <c r="A695" s="898" t="s">
        <v>135</v>
      </c>
      <c r="B695" s="27">
        <v>45199</v>
      </c>
      <c r="C695" s="898" t="s">
        <v>410</v>
      </c>
      <c r="D695" s="778">
        <v>675</v>
      </c>
    </row>
    <row r="696" spans="1:4">
      <c r="A696" s="898" t="s">
        <v>136</v>
      </c>
      <c r="B696" s="27">
        <v>45199</v>
      </c>
      <c r="C696" s="898" t="s">
        <v>390</v>
      </c>
      <c r="D696" s="778">
        <v>38100</v>
      </c>
    </row>
    <row r="697" spans="1:4">
      <c r="A697" s="898" t="s">
        <v>136</v>
      </c>
      <c r="B697" s="27">
        <v>45199</v>
      </c>
      <c r="C697" s="898" t="s">
        <v>410</v>
      </c>
      <c r="D697" s="778">
        <v>19464</v>
      </c>
    </row>
    <row r="698" spans="1:4">
      <c r="A698" s="898" t="s">
        <v>137</v>
      </c>
      <c r="B698" s="27">
        <v>45199</v>
      </c>
      <c r="C698" s="898" t="s">
        <v>390</v>
      </c>
      <c r="D698" s="778">
        <v>29007</v>
      </c>
    </row>
    <row r="699" spans="1:4">
      <c r="A699" s="898" t="s">
        <v>137</v>
      </c>
      <c r="B699" s="27">
        <v>45199</v>
      </c>
      <c r="C699" s="898" t="s">
        <v>410</v>
      </c>
      <c r="D699" s="778">
        <v>6181</v>
      </c>
    </row>
    <row r="700" spans="1:4">
      <c r="A700" s="898" t="s">
        <v>138</v>
      </c>
      <c r="B700" s="27">
        <v>45199</v>
      </c>
      <c r="C700" s="898" t="s">
        <v>390</v>
      </c>
      <c r="D700" s="778">
        <v>88885</v>
      </c>
    </row>
    <row r="701" spans="1:4">
      <c r="A701" s="898" t="s">
        <v>138</v>
      </c>
      <c r="B701" s="27">
        <v>45199</v>
      </c>
      <c r="C701" s="898" t="s">
        <v>410</v>
      </c>
      <c r="D701" s="778">
        <v>67212</v>
      </c>
    </row>
    <row r="702" spans="1:4">
      <c r="A702" s="898" t="s">
        <v>139</v>
      </c>
      <c r="B702" s="27">
        <v>45199</v>
      </c>
      <c r="C702" s="898" t="s">
        <v>390</v>
      </c>
      <c r="D702" s="778">
        <v>23448</v>
      </c>
    </row>
    <row r="703" spans="1:4">
      <c r="A703" s="898" t="s">
        <v>139</v>
      </c>
      <c r="B703" s="27">
        <v>45199</v>
      </c>
      <c r="C703" s="898" t="s">
        <v>410</v>
      </c>
      <c r="D703" s="778">
        <v>564</v>
      </c>
    </row>
    <row r="704" spans="1:4">
      <c r="A704" s="898" t="s">
        <v>141</v>
      </c>
      <c r="B704" s="27">
        <v>45199</v>
      </c>
      <c r="C704" s="898" t="s">
        <v>390</v>
      </c>
      <c r="D704" s="778">
        <v>42812</v>
      </c>
    </row>
    <row r="705" spans="1:4">
      <c r="A705" s="898" t="s">
        <v>141</v>
      </c>
      <c r="B705" s="27">
        <v>45199</v>
      </c>
      <c r="C705" s="898" t="s">
        <v>410</v>
      </c>
      <c r="D705" s="778">
        <v>12349</v>
      </c>
    </row>
    <row r="706" spans="1:4">
      <c r="A706" s="898" t="s">
        <v>140</v>
      </c>
      <c r="B706" s="27">
        <v>45199</v>
      </c>
      <c r="C706" s="898" t="s">
        <v>390</v>
      </c>
      <c r="D706" s="778">
        <v>12739</v>
      </c>
    </row>
    <row r="707" spans="1:4">
      <c r="A707" s="898" t="s">
        <v>140</v>
      </c>
      <c r="B707" s="27">
        <v>45199</v>
      </c>
      <c r="C707" s="898" t="s">
        <v>410</v>
      </c>
      <c r="D707" s="778">
        <v>2374</v>
      </c>
    </row>
    <row r="708" spans="1:4">
      <c r="A708" s="899" t="s">
        <v>123</v>
      </c>
      <c r="B708" s="27">
        <v>45230</v>
      </c>
      <c r="C708" s="899" t="s">
        <v>390</v>
      </c>
      <c r="D708" s="433">
        <v>5293</v>
      </c>
    </row>
    <row r="709" spans="1:4">
      <c r="A709" s="899" t="s">
        <v>123</v>
      </c>
      <c r="B709" s="27">
        <v>45230</v>
      </c>
      <c r="C709" s="899" t="s">
        <v>410</v>
      </c>
      <c r="D709" s="433">
        <v>2834</v>
      </c>
    </row>
    <row r="710" spans="1:4">
      <c r="A710" s="899" t="s">
        <v>124</v>
      </c>
      <c r="B710" s="27">
        <v>45230</v>
      </c>
      <c r="C710" s="899" t="s">
        <v>390</v>
      </c>
      <c r="D710" s="433">
        <v>28889</v>
      </c>
    </row>
    <row r="711" spans="1:4">
      <c r="A711" s="899" t="s">
        <v>124</v>
      </c>
      <c r="B711" s="27">
        <v>45230</v>
      </c>
      <c r="C711" s="899" t="s">
        <v>410</v>
      </c>
      <c r="D711" s="433">
        <v>18017</v>
      </c>
    </row>
    <row r="712" spans="1:4">
      <c r="A712" s="899" t="s">
        <v>131</v>
      </c>
      <c r="B712" s="27">
        <v>45230</v>
      </c>
      <c r="C712" s="899" t="s">
        <v>390</v>
      </c>
      <c r="D712" s="433">
        <v>102261</v>
      </c>
    </row>
    <row r="713" spans="1:4">
      <c r="A713" s="899" t="s">
        <v>131</v>
      </c>
      <c r="B713" s="27">
        <v>45230</v>
      </c>
      <c r="C713" s="899" t="s">
        <v>410</v>
      </c>
      <c r="D713" s="433">
        <v>21268</v>
      </c>
    </row>
    <row r="714" spans="1:4">
      <c r="A714" s="899" t="s">
        <v>132</v>
      </c>
      <c r="B714" s="27">
        <v>45230</v>
      </c>
      <c r="C714" s="899" t="s">
        <v>390</v>
      </c>
      <c r="D714" s="433">
        <v>40083</v>
      </c>
    </row>
    <row r="715" spans="1:4">
      <c r="A715" s="899" t="s">
        <v>132</v>
      </c>
      <c r="B715" s="27">
        <v>45230</v>
      </c>
      <c r="C715" s="899" t="s">
        <v>410</v>
      </c>
      <c r="D715" s="433">
        <v>27881</v>
      </c>
    </row>
    <row r="716" spans="1:4">
      <c r="A716" s="899" t="s">
        <v>135</v>
      </c>
      <c r="B716" s="27">
        <v>45230</v>
      </c>
      <c r="C716" s="899" t="s">
        <v>390</v>
      </c>
      <c r="D716" s="433">
        <v>3274</v>
      </c>
    </row>
    <row r="717" spans="1:4">
      <c r="A717" s="899" t="s">
        <v>135</v>
      </c>
      <c r="B717" s="27">
        <v>45230</v>
      </c>
      <c r="C717" s="899" t="s">
        <v>410</v>
      </c>
      <c r="D717" s="433">
        <v>693</v>
      </c>
    </row>
    <row r="718" spans="1:4">
      <c r="A718" s="899" t="s">
        <v>136</v>
      </c>
      <c r="B718" s="27">
        <v>45230</v>
      </c>
      <c r="C718" s="899" t="s">
        <v>390</v>
      </c>
      <c r="D718" s="433">
        <v>38200</v>
      </c>
    </row>
    <row r="719" spans="1:4">
      <c r="A719" s="899" t="s">
        <v>136</v>
      </c>
      <c r="B719" s="27">
        <v>45230</v>
      </c>
      <c r="C719" s="899" t="s">
        <v>410</v>
      </c>
      <c r="D719" s="433">
        <v>19620</v>
      </c>
    </row>
    <row r="720" spans="1:4">
      <c r="A720" s="899" t="s">
        <v>137</v>
      </c>
      <c r="B720" s="27">
        <v>45230</v>
      </c>
      <c r="C720" s="899" t="s">
        <v>390</v>
      </c>
      <c r="D720" s="433">
        <v>28815</v>
      </c>
    </row>
    <row r="721" spans="1:4">
      <c r="A721" s="899" t="s">
        <v>137</v>
      </c>
      <c r="B721" s="27">
        <v>45230</v>
      </c>
      <c r="C721" s="899" t="s">
        <v>410</v>
      </c>
      <c r="D721" s="433">
        <v>6214</v>
      </c>
    </row>
    <row r="722" spans="1:4">
      <c r="A722" s="899" t="s">
        <v>138</v>
      </c>
      <c r="B722" s="27">
        <v>45230</v>
      </c>
      <c r="C722" s="899" t="s">
        <v>390</v>
      </c>
      <c r="D722" s="433">
        <v>89076</v>
      </c>
    </row>
    <row r="723" spans="1:4">
      <c r="A723" s="899" t="s">
        <v>138</v>
      </c>
      <c r="B723" s="27">
        <v>45230</v>
      </c>
      <c r="C723" s="899" t="s">
        <v>410</v>
      </c>
      <c r="D723" s="433">
        <v>67646</v>
      </c>
    </row>
    <row r="724" spans="1:4">
      <c r="A724" s="899" t="s">
        <v>139</v>
      </c>
      <c r="B724" s="27">
        <v>45230</v>
      </c>
      <c r="C724" s="899" t="s">
        <v>390</v>
      </c>
      <c r="D724" s="433">
        <v>23752</v>
      </c>
    </row>
    <row r="725" spans="1:4">
      <c r="A725" s="899" t="s">
        <v>139</v>
      </c>
      <c r="B725" s="27">
        <v>45230</v>
      </c>
      <c r="C725" s="899" t="s">
        <v>410</v>
      </c>
      <c r="D725" s="433">
        <v>523</v>
      </c>
    </row>
    <row r="726" spans="1:4">
      <c r="A726" s="899" t="s">
        <v>141</v>
      </c>
      <c r="B726" s="27">
        <v>45230</v>
      </c>
      <c r="C726" s="899" t="s">
        <v>390</v>
      </c>
      <c r="D726" s="433">
        <v>43006</v>
      </c>
    </row>
    <row r="727" spans="1:4">
      <c r="A727" s="899" t="s">
        <v>141</v>
      </c>
      <c r="B727" s="27">
        <v>45230</v>
      </c>
      <c r="C727" s="899" t="s">
        <v>410</v>
      </c>
      <c r="D727" s="433">
        <v>12326</v>
      </c>
    </row>
    <row r="728" spans="1:4">
      <c r="A728" s="899" t="s">
        <v>140</v>
      </c>
      <c r="B728" s="27">
        <v>45230</v>
      </c>
      <c r="C728" s="899" t="s">
        <v>390</v>
      </c>
      <c r="D728" s="433">
        <v>13428</v>
      </c>
    </row>
    <row r="729" spans="1:4">
      <c r="A729" s="899" t="s">
        <v>140</v>
      </c>
      <c r="B729" s="27">
        <v>45230</v>
      </c>
      <c r="C729" s="899" t="s">
        <v>410</v>
      </c>
      <c r="D729" s="433">
        <v>2399</v>
      </c>
    </row>
    <row r="730" spans="1:4">
      <c r="A730" s="905" t="s">
        <v>123</v>
      </c>
      <c r="B730" s="27">
        <v>45260</v>
      </c>
      <c r="C730" s="905" t="s">
        <v>390</v>
      </c>
      <c r="D730" s="433">
        <v>5109</v>
      </c>
    </row>
    <row r="731" spans="1:4">
      <c r="A731" s="905" t="s">
        <v>123</v>
      </c>
      <c r="B731" s="27">
        <v>45260</v>
      </c>
      <c r="C731" s="905" t="s">
        <v>410</v>
      </c>
      <c r="D731" s="433">
        <v>2825</v>
      </c>
    </row>
    <row r="732" spans="1:4">
      <c r="A732" s="905" t="s">
        <v>124</v>
      </c>
      <c r="B732" s="27">
        <v>45260</v>
      </c>
      <c r="C732" s="905" t="s">
        <v>390</v>
      </c>
      <c r="D732" s="433">
        <v>29237</v>
      </c>
    </row>
    <row r="733" spans="1:4">
      <c r="A733" s="905" t="s">
        <v>124</v>
      </c>
      <c r="B733" s="27">
        <v>45260</v>
      </c>
      <c r="C733" s="905" t="s">
        <v>410</v>
      </c>
      <c r="D733" s="433">
        <v>17771</v>
      </c>
    </row>
    <row r="734" spans="1:4">
      <c r="A734" s="905" t="s">
        <v>131</v>
      </c>
      <c r="B734" s="27">
        <v>45260</v>
      </c>
      <c r="C734" s="905" t="s">
        <v>390</v>
      </c>
      <c r="D734" s="433">
        <v>102616</v>
      </c>
    </row>
    <row r="735" spans="1:4">
      <c r="A735" s="905" t="s">
        <v>131</v>
      </c>
      <c r="B735" s="27">
        <v>45260</v>
      </c>
      <c r="C735" s="905" t="s">
        <v>410</v>
      </c>
      <c r="D735" s="433">
        <v>21318</v>
      </c>
    </row>
    <row r="736" spans="1:4">
      <c r="A736" s="905" t="s">
        <v>132</v>
      </c>
      <c r="B736" s="27">
        <v>45260</v>
      </c>
      <c r="C736" s="905" t="s">
        <v>390</v>
      </c>
      <c r="D736" s="433">
        <v>41448</v>
      </c>
    </row>
    <row r="737" spans="1:4">
      <c r="A737" s="905" t="s">
        <v>132</v>
      </c>
      <c r="B737" s="27">
        <v>45260</v>
      </c>
      <c r="C737" s="905" t="s">
        <v>410</v>
      </c>
      <c r="D737" s="433">
        <v>27915</v>
      </c>
    </row>
    <row r="738" spans="1:4">
      <c r="A738" s="905" t="s">
        <v>135</v>
      </c>
      <c r="B738" s="27">
        <v>45260</v>
      </c>
      <c r="C738" s="905" t="s">
        <v>390</v>
      </c>
      <c r="D738" s="433">
        <v>3311</v>
      </c>
    </row>
    <row r="739" spans="1:4">
      <c r="A739" s="905" t="s">
        <v>135</v>
      </c>
      <c r="B739" s="27">
        <v>45260</v>
      </c>
      <c r="C739" s="905" t="s">
        <v>410</v>
      </c>
      <c r="D739" s="433">
        <v>708</v>
      </c>
    </row>
    <row r="740" spans="1:4">
      <c r="A740" s="905" t="s">
        <v>136</v>
      </c>
      <c r="B740" s="27">
        <v>45260</v>
      </c>
      <c r="C740" s="905" t="s">
        <v>390</v>
      </c>
      <c r="D740" s="433">
        <v>38105</v>
      </c>
    </row>
    <row r="741" spans="1:4">
      <c r="A741" s="905" t="s">
        <v>136</v>
      </c>
      <c r="B741" s="27">
        <v>45260</v>
      </c>
      <c r="C741" s="905" t="s">
        <v>410</v>
      </c>
      <c r="D741" s="433">
        <v>19637</v>
      </c>
    </row>
    <row r="742" spans="1:4">
      <c r="A742" s="905" t="s">
        <v>137</v>
      </c>
      <c r="B742" s="27">
        <v>45260</v>
      </c>
      <c r="C742" s="905" t="s">
        <v>390</v>
      </c>
      <c r="D742" s="433">
        <v>28829</v>
      </c>
    </row>
    <row r="743" spans="1:4">
      <c r="A743" s="905" t="s">
        <v>137</v>
      </c>
      <c r="B743" s="27">
        <v>45260</v>
      </c>
      <c r="C743" s="905" t="s">
        <v>410</v>
      </c>
      <c r="D743" s="433">
        <v>6292</v>
      </c>
    </row>
    <row r="744" spans="1:4">
      <c r="A744" s="905" t="s">
        <v>138</v>
      </c>
      <c r="B744" s="27">
        <v>45260</v>
      </c>
      <c r="C744" s="905" t="s">
        <v>390</v>
      </c>
      <c r="D744" s="433">
        <v>87796</v>
      </c>
    </row>
    <row r="745" spans="1:4">
      <c r="A745" s="905" t="s">
        <v>138</v>
      </c>
      <c r="B745" s="27">
        <v>45260</v>
      </c>
      <c r="C745" s="905" t="s">
        <v>410</v>
      </c>
      <c r="D745" s="433">
        <v>67961</v>
      </c>
    </row>
    <row r="746" spans="1:4">
      <c r="A746" s="905" t="s">
        <v>139</v>
      </c>
      <c r="B746" s="27">
        <v>45260</v>
      </c>
      <c r="C746" s="905" t="s">
        <v>390</v>
      </c>
      <c r="D746" s="433">
        <v>23383</v>
      </c>
    </row>
    <row r="747" spans="1:4">
      <c r="A747" s="905" t="s">
        <v>139</v>
      </c>
      <c r="B747" s="27">
        <v>45260</v>
      </c>
      <c r="C747" s="905" t="s">
        <v>410</v>
      </c>
      <c r="D747" s="433">
        <v>501</v>
      </c>
    </row>
    <row r="748" spans="1:4">
      <c r="A748" s="905" t="s">
        <v>141</v>
      </c>
      <c r="B748" s="27">
        <v>45260</v>
      </c>
      <c r="C748" s="905" t="s">
        <v>390</v>
      </c>
      <c r="D748" s="433">
        <v>43328</v>
      </c>
    </row>
    <row r="749" spans="1:4">
      <c r="A749" s="905" t="s">
        <v>141</v>
      </c>
      <c r="B749" s="27">
        <v>45260</v>
      </c>
      <c r="C749" s="905" t="s">
        <v>410</v>
      </c>
      <c r="D749" s="433">
        <v>12353</v>
      </c>
    </row>
    <row r="750" spans="1:4">
      <c r="A750" s="905" t="s">
        <v>140</v>
      </c>
      <c r="B750" s="27">
        <v>45260</v>
      </c>
      <c r="C750" s="905" t="s">
        <v>390</v>
      </c>
      <c r="D750" s="433">
        <v>13824</v>
      </c>
    </row>
    <row r="751" spans="1:4">
      <c r="A751" s="905" t="s">
        <v>140</v>
      </c>
      <c r="B751" s="27">
        <v>45260</v>
      </c>
      <c r="C751" s="905" t="s">
        <v>410</v>
      </c>
      <c r="D751" s="433">
        <v>2407</v>
      </c>
    </row>
  </sheetData>
  <autoFilter ref="A1:D729" xr:uid="{00000000-0001-0000-0700-000000000000}"/>
  <pageMargins left="0.7" right="0.7" top="0.75" bottom="0.75" header="0.3" footer="0.3"/>
  <pageSetup paperSize="9" orientation="portrait" verticalDpi="0" r:id="rId2"/>
  <headerFooter>
    <oddFooter>&amp;R&amp;1#&amp;"Calibri"&amp;10&amp;K000000C2 - Confidential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AA1497"/>
  <sheetViews>
    <sheetView topLeftCell="M1" zoomScale="85" zoomScaleNormal="85" workbookViewId="0">
      <selection activeCell="T17" sqref="T17"/>
    </sheetView>
  </sheetViews>
  <sheetFormatPr baseColWidth="10" defaultColWidth="11.44140625" defaultRowHeight="14.4"/>
  <cols>
    <col min="3" max="3" width="15.109375" style="27" customWidth="1"/>
    <col min="4" max="4" width="20.77734375" customWidth="1"/>
    <col min="5" max="6" width="19.5546875" style="433" bestFit="1" customWidth="1"/>
    <col min="7" max="7" width="20.6640625" style="433" bestFit="1" customWidth="1"/>
    <col min="8" max="8" width="15.77734375" style="433" bestFit="1" customWidth="1"/>
    <col min="9" max="9" width="20.21875" style="433" customWidth="1"/>
    <col min="10" max="10" width="15.77734375" style="433" bestFit="1" customWidth="1"/>
    <col min="13" max="13" width="5.33203125" bestFit="1" customWidth="1"/>
    <col min="14" max="14" width="12.44140625" bestFit="1" customWidth="1"/>
    <col min="15" max="15" width="11.44140625" style="197"/>
    <col min="16" max="16" width="14.109375" bestFit="1" customWidth="1"/>
    <col min="17" max="17" width="21.5546875" customWidth="1"/>
    <col min="18" max="18" width="24" bestFit="1" customWidth="1"/>
    <col min="19" max="20" width="14.21875" bestFit="1" customWidth="1"/>
    <col min="21" max="21" width="14.33203125" bestFit="1" customWidth="1"/>
    <col min="22" max="22" width="13.77734375" customWidth="1"/>
    <col min="23" max="23" width="14.109375" style="199" bestFit="1" customWidth="1"/>
    <col min="24" max="24" width="21.5546875" style="199" bestFit="1" customWidth="1"/>
    <col min="25" max="25" width="24" style="199" bestFit="1" customWidth="1"/>
    <col min="26" max="27" width="14.21875" style="199" bestFit="1" customWidth="1"/>
    <col min="28" max="29" width="13.6640625" bestFit="1" customWidth="1"/>
  </cols>
  <sheetData>
    <row r="1" spans="1:27">
      <c r="B1" t="s">
        <v>269</v>
      </c>
      <c r="C1" s="27" t="s">
        <v>270</v>
      </c>
      <c r="D1" t="s">
        <v>271</v>
      </c>
      <c r="E1" s="433" t="s">
        <v>272</v>
      </c>
      <c r="F1" s="433" t="s">
        <v>273</v>
      </c>
      <c r="G1" s="433" t="s">
        <v>274</v>
      </c>
      <c r="H1" s="433" t="s">
        <v>275</v>
      </c>
      <c r="I1" s="433" t="s">
        <v>276</v>
      </c>
      <c r="J1" s="433" t="s">
        <v>277</v>
      </c>
      <c r="M1" s="197" t="s">
        <v>131</v>
      </c>
      <c r="N1" s="47" t="s">
        <v>13</v>
      </c>
      <c r="Q1" s="207" t="s">
        <v>282</v>
      </c>
      <c r="R1" s="207" t="s">
        <v>471</v>
      </c>
      <c r="X1" s="207" t="s">
        <v>271</v>
      </c>
      <c r="Y1" s="915" t="s">
        <v>475</v>
      </c>
      <c r="Z1"/>
      <c r="AA1"/>
    </row>
    <row r="2" spans="1:27" ht="18.600000000000001" customHeight="1">
      <c r="A2">
        <v>1</v>
      </c>
      <c r="B2" t="s">
        <v>123</v>
      </c>
      <c r="C2" s="27">
        <v>44165</v>
      </c>
      <c r="D2" t="s">
        <v>278</v>
      </c>
      <c r="E2" s="433">
        <v>914015108.20739996</v>
      </c>
      <c r="F2" s="433">
        <v>221181383</v>
      </c>
      <c r="G2" s="433">
        <v>1135196491.2074001</v>
      </c>
      <c r="H2" s="433">
        <v>1393407.0498635999</v>
      </c>
      <c r="I2" s="433">
        <v>337188.84469559998</v>
      </c>
      <c r="J2" s="433">
        <v>1730595.8945591999</v>
      </c>
      <c r="M2" s="197" t="s">
        <v>136</v>
      </c>
      <c r="N2" s="47" t="s">
        <v>14</v>
      </c>
      <c r="P2" t="s">
        <v>149</v>
      </c>
      <c r="Q2" s="207" t="s">
        <v>472</v>
      </c>
      <c r="R2" s="915" t="s">
        <v>488</v>
      </c>
      <c r="S2" s="915" t="s">
        <v>556</v>
      </c>
      <c r="T2" s="915" t="s">
        <v>473</v>
      </c>
      <c r="X2"/>
      <c r="Y2"/>
      <c r="Z2"/>
      <c r="AA2"/>
    </row>
    <row r="3" spans="1:27">
      <c r="A3">
        <v>2</v>
      </c>
      <c r="B3" t="s">
        <v>123</v>
      </c>
      <c r="C3" s="27">
        <v>44165</v>
      </c>
      <c r="D3" t="s">
        <v>279</v>
      </c>
      <c r="E3" s="433">
        <v>1339088276.6866</v>
      </c>
      <c r="F3" s="433">
        <v>564584831.05999994</v>
      </c>
      <c r="G3" s="433">
        <v>1903673107.7465999</v>
      </c>
      <c r="H3" s="433">
        <v>2041426.9177500999</v>
      </c>
      <c r="I3" s="433">
        <v>860704.02642250003</v>
      </c>
      <c r="J3" s="433">
        <v>2902130.9441725998</v>
      </c>
      <c r="M3" s="197" t="s">
        <v>141</v>
      </c>
      <c r="N3" s="47" t="s">
        <v>17</v>
      </c>
      <c r="P3" s="197" t="str">
        <f t="shared" ref="P3:P13" si="0">+VLOOKUP(Q3,$M$1:$N$11,2,0)</f>
        <v>BENIN</v>
      </c>
      <c r="Q3" s="208" t="s">
        <v>123</v>
      </c>
      <c r="R3" s="209">
        <v>5555829.4265029998</v>
      </c>
      <c r="S3" s="209">
        <v>4332608.0028147995</v>
      </c>
      <c r="T3" s="209">
        <v>9888437.4293177985</v>
      </c>
      <c r="X3" s="207" t="s">
        <v>282</v>
      </c>
      <c r="Y3" s="207" t="s">
        <v>471</v>
      </c>
      <c r="Z3"/>
      <c r="AA3"/>
    </row>
    <row r="4" spans="1:27">
      <c r="A4">
        <v>3</v>
      </c>
      <c r="B4" t="s">
        <v>123</v>
      </c>
      <c r="C4" s="27">
        <v>44165</v>
      </c>
      <c r="D4" t="s">
        <v>280</v>
      </c>
      <c r="E4" s="433">
        <v>28436.489000000001</v>
      </c>
      <c r="F4" s="433">
        <v>127303</v>
      </c>
      <c r="G4" s="433">
        <v>155739.489</v>
      </c>
      <c r="H4" s="433">
        <v>43.351148000000002</v>
      </c>
      <c r="I4" s="433">
        <v>194.0721724</v>
      </c>
      <c r="J4" s="433">
        <v>237.42332039999999</v>
      </c>
      <c r="M4" s="197" t="s">
        <v>124</v>
      </c>
      <c r="N4" s="47" t="s">
        <v>18</v>
      </c>
      <c r="P4" s="197" t="str">
        <f t="shared" si="0"/>
        <v>BURKINA FASO</v>
      </c>
      <c r="Q4" s="208" t="s">
        <v>124</v>
      </c>
      <c r="R4" s="209">
        <v>12744157.733445998</v>
      </c>
      <c r="S4" s="209">
        <v>16520934.3256502</v>
      </c>
      <c r="T4" s="209">
        <v>29265092.059096199</v>
      </c>
      <c r="W4" s="199" t="s">
        <v>149</v>
      </c>
      <c r="X4" s="207" t="s">
        <v>472</v>
      </c>
      <c r="Y4" s="915" t="s">
        <v>488</v>
      </c>
      <c r="Z4" s="915" t="s">
        <v>556</v>
      </c>
      <c r="AA4" s="915" t="s">
        <v>473</v>
      </c>
    </row>
    <row r="5" spans="1:27">
      <c r="A5">
        <v>4</v>
      </c>
      <c r="B5" t="s">
        <v>123</v>
      </c>
      <c r="C5" s="27">
        <v>44165</v>
      </c>
      <c r="D5" t="s">
        <v>281</v>
      </c>
      <c r="E5" s="433">
        <v>614125840.50769997</v>
      </c>
      <c r="F5" s="433">
        <v>85846856</v>
      </c>
      <c r="G5" s="433">
        <v>699972696.50769997</v>
      </c>
      <c r="H5" s="433">
        <v>936228.80845500005</v>
      </c>
      <c r="I5" s="433">
        <v>130872.6883012</v>
      </c>
      <c r="J5" s="433">
        <v>1067101.4967562</v>
      </c>
      <c r="M5" s="197" t="s">
        <v>137</v>
      </c>
      <c r="N5" s="47" t="s">
        <v>19</v>
      </c>
      <c r="P5" s="197" t="str">
        <f t="shared" si="0"/>
        <v>COTE D'IVOIRE</v>
      </c>
      <c r="Q5" s="208" t="s">
        <v>131</v>
      </c>
      <c r="R5" s="209">
        <v>125434064.6760211</v>
      </c>
      <c r="S5" s="209">
        <v>86197633.090357304</v>
      </c>
      <c r="T5" s="209">
        <v>211631697.7663784</v>
      </c>
      <c r="V5" s="48" t="s">
        <v>62</v>
      </c>
      <c r="W5" s="199" t="str">
        <f t="shared" ref="W5:W15" si="1">+VLOOKUP(X5,$M$1:$N$11,2,0)</f>
        <v>BENIN</v>
      </c>
      <c r="X5" s="208" t="s">
        <v>123</v>
      </c>
      <c r="Y5" s="209">
        <v>3358859.8412239002</v>
      </c>
      <c r="Z5" s="209">
        <v>1285540.7721580002</v>
      </c>
      <c r="AA5" s="209">
        <v>4644400.6133818999</v>
      </c>
    </row>
    <row r="6" spans="1:27">
      <c r="A6">
        <v>5</v>
      </c>
      <c r="B6" t="s">
        <v>123</v>
      </c>
      <c r="C6" s="27">
        <v>44530</v>
      </c>
      <c r="D6" t="s">
        <v>278</v>
      </c>
      <c r="E6" s="433">
        <v>1025466980.7285</v>
      </c>
      <c r="F6" s="433">
        <v>314450741.81999999</v>
      </c>
      <c r="G6" s="433">
        <v>1339917722.5485001</v>
      </c>
      <c r="H6" s="433">
        <v>1563314.3342146999</v>
      </c>
      <c r="I6" s="433">
        <v>479377.06560029997</v>
      </c>
      <c r="J6" s="433">
        <v>2042691.3998151</v>
      </c>
      <c r="M6" s="197" t="s">
        <v>123</v>
      </c>
      <c r="N6" s="47" t="s">
        <v>21</v>
      </c>
      <c r="P6" s="197" t="str">
        <f t="shared" si="0"/>
        <v>CAMEROUN</v>
      </c>
      <c r="Q6" s="208" t="s">
        <v>132</v>
      </c>
      <c r="R6" s="209">
        <v>39468211.388597995</v>
      </c>
      <c r="S6" s="209">
        <v>10309169.184592402</v>
      </c>
      <c r="T6" s="209">
        <v>49777380.573190399</v>
      </c>
      <c r="V6" s="48" t="s">
        <v>62</v>
      </c>
      <c r="W6" s="199" t="str">
        <f t="shared" si="1"/>
        <v>BURKINA FASO</v>
      </c>
      <c r="X6" s="208" t="s">
        <v>124</v>
      </c>
      <c r="Y6" s="209">
        <v>5036339.8956952002</v>
      </c>
      <c r="Z6" s="209">
        <v>581164.05606460012</v>
      </c>
      <c r="AA6" s="209">
        <v>5617503.9517598003</v>
      </c>
    </row>
    <row r="7" spans="1:27">
      <c r="A7">
        <v>6</v>
      </c>
      <c r="B7" t="s">
        <v>123</v>
      </c>
      <c r="C7" s="27">
        <v>44530</v>
      </c>
      <c r="D7" t="s">
        <v>279</v>
      </c>
      <c r="E7" s="433">
        <v>862876744.84949994</v>
      </c>
      <c r="F7" s="433">
        <v>509801415.04000002</v>
      </c>
      <c r="G7" s="433">
        <v>1372678159.8894999</v>
      </c>
      <c r="H7" s="433">
        <v>1315447.1174932001</v>
      </c>
      <c r="I7" s="433">
        <v>777187.24709089997</v>
      </c>
      <c r="J7" s="433">
        <v>2092634.3645841</v>
      </c>
      <c r="M7" s="197" t="s">
        <v>139</v>
      </c>
      <c r="N7" s="47" t="s">
        <v>22</v>
      </c>
      <c r="P7" s="197" t="str">
        <f t="shared" si="0"/>
        <v>CONGO</v>
      </c>
      <c r="Q7" s="208" t="s">
        <v>135</v>
      </c>
      <c r="R7" s="209">
        <v>8516143.148575101</v>
      </c>
      <c r="S7" s="209">
        <v>7569844.3198971003</v>
      </c>
      <c r="T7" s="209">
        <v>16085987.468472201</v>
      </c>
      <c r="V7" s="48" t="s">
        <v>62</v>
      </c>
      <c r="W7" s="199" t="str">
        <f t="shared" si="1"/>
        <v>COTE D'IVOIRE</v>
      </c>
      <c r="X7" s="208" t="s">
        <v>131</v>
      </c>
      <c r="Y7" s="209">
        <v>69346096.117209807</v>
      </c>
      <c r="Z7" s="209">
        <v>41468207.239551604</v>
      </c>
      <c r="AA7" s="209">
        <v>110814303.35676141</v>
      </c>
    </row>
    <row r="8" spans="1:27" ht="15" thickBot="1">
      <c r="A8">
        <v>7</v>
      </c>
      <c r="B8" t="s">
        <v>123</v>
      </c>
      <c r="C8" s="27">
        <v>44530</v>
      </c>
      <c r="D8" t="s">
        <v>280</v>
      </c>
      <c r="E8" s="433">
        <v>14658.1163</v>
      </c>
      <c r="F8" s="433">
        <v>6095</v>
      </c>
      <c r="G8" s="433">
        <v>20753.116300000002</v>
      </c>
      <c r="H8" s="433">
        <v>22.346154200000001</v>
      </c>
      <c r="I8" s="433">
        <v>9.2917676</v>
      </c>
      <c r="J8" s="433">
        <v>31.637921800000001</v>
      </c>
      <c r="M8" s="197" t="s">
        <v>138</v>
      </c>
      <c r="N8" s="47" t="s">
        <v>15</v>
      </c>
      <c r="P8" s="197" t="str">
        <f t="shared" si="0"/>
        <v>GHANA</v>
      </c>
      <c r="Q8" s="208" t="s">
        <v>136</v>
      </c>
      <c r="R8" s="209">
        <v>2294884.2028524997</v>
      </c>
      <c r="S8" s="209">
        <v>14983527.778629899</v>
      </c>
      <c r="T8" s="209">
        <v>17278411.981482398</v>
      </c>
      <c r="V8" s="49" t="s">
        <v>63</v>
      </c>
      <c r="W8" s="199" t="str">
        <f t="shared" si="1"/>
        <v>CAMEROUN</v>
      </c>
      <c r="X8" s="208" t="s">
        <v>132</v>
      </c>
      <c r="Y8" s="209">
        <v>19995933.136248101</v>
      </c>
      <c r="Z8" s="209">
        <v>17937677.023118399</v>
      </c>
      <c r="AA8" s="209">
        <v>37933610.159366503</v>
      </c>
    </row>
    <row r="9" spans="1:27" ht="15.6" thickTop="1" thickBot="1">
      <c r="A9">
        <v>8</v>
      </c>
      <c r="B9" t="s">
        <v>123</v>
      </c>
      <c r="C9" s="27">
        <v>44530</v>
      </c>
      <c r="D9" t="s">
        <v>281</v>
      </c>
      <c r="E9" s="433">
        <v>786550026.15330005</v>
      </c>
      <c r="F9" s="433">
        <v>151765437</v>
      </c>
      <c r="G9" s="433">
        <v>938315463.15330005</v>
      </c>
      <c r="H9" s="433">
        <v>1199087.7849512999</v>
      </c>
      <c r="I9" s="433">
        <v>231364.9172126</v>
      </c>
      <c r="J9" s="433">
        <v>1430452.7021639</v>
      </c>
      <c r="M9" s="197" t="s">
        <v>132</v>
      </c>
      <c r="N9" s="47" t="s">
        <v>16</v>
      </c>
      <c r="P9" s="197" t="str">
        <f t="shared" si="0"/>
        <v>GUINEE</v>
      </c>
      <c r="Q9" s="208" t="s">
        <v>137</v>
      </c>
      <c r="R9" s="209">
        <v>21155716.4703901</v>
      </c>
      <c r="S9" s="209">
        <v>28796441.6457261</v>
      </c>
      <c r="T9" s="209">
        <v>49952158.116116196</v>
      </c>
      <c r="V9" s="49" t="s">
        <v>63</v>
      </c>
      <c r="W9" s="199" t="str">
        <f t="shared" si="1"/>
        <v>CONGO</v>
      </c>
      <c r="X9" s="208" t="s">
        <v>135</v>
      </c>
      <c r="Y9" s="209">
        <v>7406282.2876088005</v>
      </c>
      <c r="Z9" s="209">
        <v>5399910.9889138006</v>
      </c>
      <c r="AA9" s="209">
        <v>12806193.276522601</v>
      </c>
    </row>
    <row r="10" spans="1:27" ht="15" thickTop="1">
      <c r="A10">
        <v>9</v>
      </c>
      <c r="B10" t="s">
        <v>124</v>
      </c>
      <c r="C10" s="27">
        <v>44165</v>
      </c>
      <c r="D10" t="s">
        <v>278</v>
      </c>
      <c r="E10" s="433">
        <v>606724871.14240003</v>
      </c>
      <c r="F10" s="433">
        <v>57282559</v>
      </c>
      <c r="G10" s="433">
        <v>664007430.14240003</v>
      </c>
      <c r="H10" s="433">
        <v>924946.10339149996</v>
      </c>
      <c r="I10" s="433">
        <v>87326.698243899998</v>
      </c>
      <c r="J10" s="433">
        <v>1012272.8016355</v>
      </c>
      <c r="M10" s="197" t="s">
        <v>140</v>
      </c>
      <c r="N10" s="47" t="s">
        <v>20</v>
      </c>
      <c r="P10" s="197" t="str">
        <f t="shared" si="0"/>
        <v>MADAGASCAR</v>
      </c>
      <c r="Q10" s="208" t="s">
        <v>138</v>
      </c>
      <c r="R10" s="209">
        <v>32319301.6255932</v>
      </c>
      <c r="S10" s="209">
        <v>40484252.562185399</v>
      </c>
      <c r="T10" s="209">
        <v>72803554.187778592</v>
      </c>
      <c r="W10" s="199" t="str">
        <f t="shared" si="1"/>
        <v>GHANA</v>
      </c>
      <c r="X10" s="208" t="s">
        <v>136</v>
      </c>
      <c r="Y10" s="209">
        <v>610189.37776209996</v>
      </c>
      <c r="Z10" s="209">
        <v>3088449.0475007999</v>
      </c>
      <c r="AA10" s="209">
        <v>3698638.4252629001</v>
      </c>
    </row>
    <row r="11" spans="1:27">
      <c r="A11">
        <v>10</v>
      </c>
      <c r="B11" t="s">
        <v>124</v>
      </c>
      <c r="C11" s="27">
        <v>44165</v>
      </c>
      <c r="D11" t="s">
        <v>279</v>
      </c>
      <c r="E11" s="433">
        <v>2708591070.6153002</v>
      </c>
      <c r="F11" s="433">
        <v>2277357121</v>
      </c>
      <c r="G11" s="433">
        <v>4985948191.6153002</v>
      </c>
      <c r="H11" s="433">
        <v>4129220.4681333001</v>
      </c>
      <c r="I11" s="433">
        <v>3471808.5499506998</v>
      </c>
      <c r="J11" s="433">
        <v>7601029.0180839999</v>
      </c>
      <c r="M11" s="197" t="s">
        <v>135</v>
      </c>
      <c r="N11" s="47" t="s">
        <v>23</v>
      </c>
      <c r="P11" s="197" t="str">
        <f t="shared" si="0"/>
        <v>MAURITANIE</v>
      </c>
      <c r="Q11" s="208" t="s">
        <v>139</v>
      </c>
      <c r="R11" s="209">
        <v>5819316.2424485004</v>
      </c>
      <c r="S11" s="209">
        <v>15634179.6075058</v>
      </c>
      <c r="T11" s="209">
        <v>21453495.8499543</v>
      </c>
      <c r="V11" s="48" t="s">
        <v>62</v>
      </c>
      <c r="W11" s="199" t="str">
        <f t="shared" si="1"/>
        <v>GUINEE</v>
      </c>
      <c r="X11" s="208" t="s">
        <v>137</v>
      </c>
      <c r="Y11" s="209">
        <v>13105224.893848501</v>
      </c>
      <c r="Z11" s="209">
        <v>7659993.2466903003</v>
      </c>
      <c r="AA11" s="209">
        <v>20765218.140538801</v>
      </c>
    </row>
    <row r="12" spans="1:27" ht="15" thickBot="1">
      <c r="A12">
        <v>11</v>
      </c>
      <c r="B12" t="s">
        <v>124</v>
      </c>
      <c r="C12" s="27">
        <v>44165</v>
      </c>
      <c r="D12" t="s">
        <v>280</v>
      </c>
      <c r="E12" s="433">
        <v>1685445.8688999999</v>
      </c>
      <c r="F12" s="433">
        <v>266663</v>
      </c>
      <c r="G12" s="433">
        <v>1952108.8688999999</v>
      </c>
      <c r="H12" s="433">
        <v>2569.4456632000001</v>
      </c>
      <c r="I12" s="433">
        <v>406.52512280000002</v>
      </c>
      <c r="J12" s="433">
        <v>2975.9707859999999</v>
      </c>
      <c r="P12" s="197" t="str">
        <f t="shared" si="0"/>
        <v>SENEGAL</v>
      </c>
      <c r="Q12" s="208" t="s">
        <v>141</v>
      </c>
      <c r="R12" s="209">
        <v>40189278.624207802</v>
      </c>
      <c r="S12" s="209">
        <v>27433240.386187401</v>
      </c>
      <c r="T12" s="209">
        <v>67622519.010395199</v>
      </c>
      <c r="V12" s="49" t="s">
        <v>63</v>
      </c>
      <c r="W12" s="199" t="str">
        <f t="shared" si="1"/>
        <v>MADAGASCAR</v>
      </c>
      <c r="X12" s="208" t="s">
        <v>138</v>
      </c>
      <c r="Y12" s="209">
        <v>11905428.369384099</v>
      </c>
      <c r="Z12" s="209">
        <v>8836505.9992714003</v>
      </c>
      <c r="AA12" s="209">
        <v>20741934.368655499</v>
      </c>
    </row>
    <row r="13" spans="1:27" ht="15" thickTop="1">
      <c r="A13">
        <v>12</v>
      </c>
      <c r="B13" t="s">
        <v>124</v>
      </c>
      <c r="C13" s="27">
        <v>44165</v>
      </c>
      <c r="D13" t="s">
        <v>281</v>
      </c>
      <c r="E13" s="433">
        <v>1591083943.2369001</v>
      </c>
      <c r="F13" s="433">
        <v>260266191</v>
      </c>
      <c r="G13" s="433">
        <v>1851350134.2369001</v>
      </c>
      <c r="H13" s="433">
        <v>2425591.8348869001</v>
      </c>
      <c r="I13" s="433">
        <v>396773.25038069999</v>
      </c>
      <c r="J13" s="433">
        <v>2822365.0852676001</v>
      </c>
      <c r="O13"/>
      <c r="P13" s="197" t="str">
        <f t="shared" si="0"/>
        <v>TCHAD</v>
      </c>
      <c r="Q13" s="208" t="s">
        <v>140</v>
      </c>
      <c r="R13" s="209">
        <v>9948223.1366176996</v>
      </c>
      <c r="S13" s="209">
        <v>12530075.116539802</v>
      </c>
      <c r="T13" s="209">
        <v>22478298.253157504</v>
      </c>
      <c r="V13" s="48" t="s">
        <v>62</v>
      </c>
      <c r="W13" s="199" t="str">
        <f t="shared" si="1"/>
        <v>MAURITANIE</v>
      </c>
      <c r="X13" s="208" t="s">
        <v>139</v>
      </c>
      <c r="Y13" s="209">
        <v>1749209.9062319</v>
      </c>
      <c r="Z13" s="209">
        <v>1758460.3209474999</v>
      </c>
      <c r="AA13" s="209">
        <v>3507670.2271793997</v>
      </c>
    </row>
    <row r="14" spans="1:27">
      <c r="A14">
        <v>13</v>
      </c>
      <c r="B14" t="s">
        <v>124</v>
      </c>
      <c r="C14" s="27">
        <v>44530</v>
      </c>
      <c r="D14" t="s">
        <v>278</v>
      </c>
      <c r="E14" s="433">
        <v>746443270.8247</v>
      </c>
      <c r="F14" s="433">
        <v>-11542784</v>
      </c>
      <c r="G14" s="433">
        <v>734900486.8247</v>
      </c>
      <c r="H14" s="433">
        <v>1137945.4306069999</v>
      </c>
      <c r="I14" s="433">
        <v>-17596.860769800001</v>
      </c>
      <c r="J14" s="433">
        <v>1120348.5698372</v>
      </c>
      <c r="O14"/>
      <c r="P14" s="197"/>
      <c r="Q14" s="208" t="s">
        <v>473</v>
      </c>
      <c r="R14" s="209">
        <v>303445126.67525303</v>
      </c>
      <c r="S14" s="209">
        <v>264791906.02008623</v>
      </c>
      <c r="T14" s="209">
        <v>568237032.6953392</v>
      </c>
      <c r="V14" s="48" t="s">
        <v>62</v>
      </c>
      <c r="W14" s="199" t="str">
        <f t="shared" si="1"/>
        <v>SENEGAL</v>
      </c>
      <c r="X14" s="208" t="s">
        <v>141</v>
      </c>
      <c r="Y14" s="209">
        <v>28188666.930933502</v>
      </c>
      <c r="Z14" s="209">
        <v>10229006.844262499</v>
      </c>
      <c r="AA14" s="209">
        <v>38417673.775196001</v>
      </c>
    </row>
    <row r="15" spans="1:27">
      <c r="A15">
        <v>14</v>
      </c>
      <c r="B15" t="s">
        <v>124</v>
      </c>
      <c r="C15" s="27">
        <v>44530</v>
      </c>
      <c r="D15" t="s">
        <v>279</v>
      </c>
      <c r="E15" s="433">
        <v>2533350848.6679001</v>
      </c>
      <c r="F15" s="433">
        <v>2485533958</v>
      </c>
      <c r="G15" s="433">
        <v>5018884806.6679001</v>
      </c>
      <c r="H15" s="433">
        <v>3862068.4719698001</v>
      </c>
      <c r="I15" s="433">
        <v>3789172.0920731002</v>
      </c>
      <c r="J15" s="433">
        <v>7651240.5640428998</v>
      </c>
      <c r="O15"/>
      <c r="W15" s="199" t="str">
        <f t="shared" si="1"/>
        <v>TCHAD</v>
      </c>
      <c r="X15" s="208" t="s">
        <v>140</v>
      </c>
      <c r="Y15" s="209">
        <v>5357557.9831536999</v>
      </c>
      <c r="Z15" s="209">
        <v>4687174.8194199</v>
      </c>
      <c r="AA15" s="209">
        <v>10044732.802573599</v>
      </c>
    </row>
    <row r="16" spans="1:27">
      <c r="A16">
        <v>15</v>
      </c>
      <c r="B16" t="s">
        <v>124</v>
      </c>
      <c r="C16" s="27">
        <v>44530</v>
      </c>
      <c r="D16" t="s">
        <v>280</v>
      </c>
      <c r="E16" s="433">
        <v>1968090.9177999999</v>
      </c>
      <c r="F16" s="433">
        <v>22000</v>
      </c>
      <c r="G16" s="433">
        <v>1990090.9177999999</v>
      </c>
      <c r="H16" s="433">
        <v>3000.3352625000002</v>
      </c>
      <c r="I16" s="433">
        <v>33.538783799999997</v>
      </c>
      <c r="J16" s="433">
        <v>3033.8740462999999</v>
      </c>
      <c r="O16"/>
      <c r="X16" s="208" t="s">
        <v>473</v>
      </c>
      <c r="Y16" s="209">
        <v>166059788.7392996</v>
      </c>
      <c r="Z16" s="209">
        <v>102932090.3578988</v>
      </c>
      <c r="AA16" s="209">
        <v>268991879.09719849</v>
      </c>
    </row>
    <row r="17" spans="1:26">
      <c r="A17">
        <v>16</v>
      </c>
      <c r="B17" t="s">
        <v>124</v>
      </c>
      <c r="C17" s="27">
        <v>44530</v>
      </c>
      <c r="D17" t="s">
        <v>281</v>
      </c>
      <c r="E17" s="433">
        <v>2016809785.5123999</v>
      </c>
      <c r="F17" s="433">
        <v>258551427</v>
      </c>
      <c r="G17" s="433">
        <v>2275361212.5124002</v>
      </c>
      <c r="H17" s="433">
        <v>3074606.6975615998</v>
      </c>
      <c r="I17" s="433">
        <v>394159.10951480002</v>
      </c>
      <c r="J17" s="433">
        <v>3468765.8070764001</v>
      </c>
      <c r="O17"/>
    </row>
    <row r="18" spans="1:26">
      <c r="A18">
        <v>17</v>
      </c>
      <c r="B18" t="s">
        <v>131</v>
      </c>
      <c r="C18" s="27">
        <v>44165</v>
      </c>
      <c r="D18" t="s">
        <v>278</v>
      </c>
      <c r="E18" s="433">
        <v>10992017068.896999</v>
      </c>
      <c r="F18" s="433">
        <v>3658344442</v>
      </c>
      <c r="G18" s="433">
        <v>14650361510.896999</v>
      </c>
      <c r="H18" s="433">
        <v>16757221.996101899</v>
      </c>
      <c r="I18" s="433">
        <v>5577110.1489883997</v>
      </c>
      <c r="J18" s="433">
        <v>22334332.145090301</v>
      </c>
      <c r="O18"/>
    </row>
    <row r="19" spans="1:26">
      <c r="A19">
        <v>18</v>
      </c>
      <c r="B19" t="s">
        <v>131</v>
      </c>
      <c r="C19" s="27">
        <v>44165</v>
      </c>
      <c r="D19" t="s">
        <v>279</v>
      </c>
      <c r="E19" s="433">
        <v>23134292995.7784</v>
      </c>
      <c r="F19" s="433">
        <v>13659886397</v>
      </c>
      <c r="G19" s="433">
        <v>36794179392.778397</v>
      </c>
      <c r="H19" s="433">
        <v>35268002.3168872</v>
      </c>
      <c r="I19" s="433">
        <v>20824362.5679732</v>
      </c>
      <c r="J19" s="433">
        <v>56092364.884860396</v>
      </c>
      <c r="O19"/>
      <c r="R19" s="65"/>
    </row>
    <row r="20" spans="1:26">
      <c r="A20">
        <v>19</v>
      </c>
      <c r="B20" t="s">
        <v>131</v>
      </c>
      <c r="C20" s="27">
        <v>44165</v>
      </c>
      <c r="D20" t="s">
        <v>280</v>
      </c>
      <c r="E20" s="433">
        <v>222881336.236</v>
      </c>
      <c r="F20" s="433">
        <v>130871168</v>
      </c>
      <c r="G20" s="433">
        <v>353752504.236</v>
      </c>
      <c r="H20" s="433">
        <v>339780.40669739997</v>
      </c>
      <c r="I20" s="433">
        <v>199511.80946310001</v>
      </c>
      <c r="J20" s="433">
        <v>539292.21616049996</v>
      </c>
      <c r="O20"/>
    </row>
    <row r="21" spans="1:26">
      <c r="A21">
        <v>20</v>
      </c>
      <c r="B21" t="s">
        <v>131</v>
      </c>
      <c r="C21" s="27">
        <v>44165</v>
      </c>
      <c r="D21" t="s">
        <v>281</v>
      </c>
      <c r="E21" s="433">
        <v>8542979430.7699003</v>
      </c>
      <c r="F21" s="433">
        <v>1319958242</v>
      </c>
      <c r="G21" s="433">
        <v>9862937672.7698994</v>
      </c>
      <c r="H21" s="433">
        <v>13023688.1850028</v>
      </c>
      <c r="I21" s="433">
        <v>2012263.3678732</v>
      </c>
      <c r="J21" s="433">
        <v>15035951.552875999</v>
      </c>
      <c r="O21"/>
    </row>
    <row r="22" spans="1:26">
      <c r="A22">
        <v>21</v>
      </c>
      <c r="B22" t="s">
        <v>131</v>
      </c>
      <c r="C22" s="27">
        <v>44530</v>
      </c>
      <c r="D22" t="s">
        <v>278</v>
      </c>
      <c r="E22" s="433">
        <v>14888398202.287201</v>
      </c>
      <c r="F22" s="433">
        <v>6347817309</v>
      </c>
      <c r="G22" s="433">
        <v>21236215511.287201</v>
      </c>
      <c r="H22" s="433">
        <v>22697216.7417791</v>
      </c>
      <c r="I22" s="433">
        <v>9677185.1035967004</v>
      </c>
      <c r="J22" s="433">
        <v>32374401.845375799</v>
      </c>
      <c r="O22"/>
    </row>
    <row r="23" spans="1:26">
      <c r="A23">
        <v>22</v>
      </c>
      <c r="B23" t="s">
        <v>131</v>
      </c>
      <c r="C23" s="27">
        <v>44530</v>
      </c>
      <c r="D23" t="s">
        <v>279</v>
      </c>
      <c r="E23" s="433">
        <v>17313531746.936401</v>
      </c>
      <c r="F23" s="433">
        <v>11053634300</v>
      </c>
      <c r="G23" s="433">
        <v>28367166046.936401</v>
      </c>
      <c r="H23" s="433">
        <v>26394308.997291598</v>
      </c>
      <c r="I23" s="433">
        <v>16851156.8593673</v>
      </c>
      <c r="J23" s="433">
        <v>43245465.856658898</v>
      </c>
      <c r="O23"/>
    </row>
    <row r="24" spans="1:26">
      <c r="A24">
        <v>23</v>
      </c>
      <c r="B24" t="s">
        <v>131</v>
      </c>
      <c r="C24" s="27">
        <v>44530</v>
      </c>
      <c r="D24" t="s">
        <v>280</v>
      </c>
      <c r="E24" s="433">
        <v>16791789.798300002</v>
      </c>
      <c r="F24" s="433">
        <v>158877477</v>
      </c>
      <c r="G24" s="433">
        <v>175669266.7983</v>
      </c>
      <c r="H24" s="433">
        <v>25598.918524100001</v>
      </c>
      <c r="I24" s="433">
        <v>242207.1522981</v>
      </c>
      <c r="J24" s="433">
        <v>267806.07082219998</v>
      </c>
      <c r="O24"/>
      <c r="Y24" s="66" t="e">
        <f>+GETPIVOTDATA("PNB en EUR",$X$3,"Entity","CIV","Date_Valid","31.8.2020")/GETPIVOTDATA("PNB en EUR",$Q$1,"Entity","CIV","Date_Valid","31.8.2020")</f>
        <v>#REF!</v>
      </c>
      <c r="Z24" s="199" t="e">
        <f>+GETPIVOTDATA("PNB en EUR",$X$3,"Entity","CIV","Date_Valid","31.8.2021")/GETPIVOTDATA("PNB en EUR",$Q$1,"Entity","CIV","Date_Valid","31.8.2021")</f>
        <v>#REF!</v>
      </c>
    </row>
    <row r="25" spans="1:26">
      <c r="A25">
        <v>24</v>
      </c>
      <c r="B25" t="s">
        <v>131</v>
      </c>
      <c r="C25" s="27">
        <v>44530</v>
      </c>
      <c r="D25" t="s">
        <v>281</v>
      </c>
      <c r="E25" s="433">
        <v>13767162518.8885</v>
      </c>
      <c r="F25" s="433">
        <v>2427738297</v>
      </c>
      <c r="G25" s="433">
        <v>16194900815.8885</v>
      </c>
      <c r="H25" s="433">
        <v>20987903.961522602</v>
      </c>
      <c r="I25" s="433">
        <v>3701063.1748727001</v>
      </c>
      <c r="J25" s="433">
        <v>24688967.136395399</v>
      </c>
      <c r="O25"/>
      <c r="V25" s="896"/>
    </row>
    <row r="26" spans="1:26">
      <c r="A26">
        <v>25</v>
      </c>
      <c r="B26" t="s">
        <v>132</v>
      </c>
      <c r="C26" s="27">
        <v>44165</v>
      </c>
      <c r="D26" t="s">
        <v>278</v>
      </c>
      <c r="E26" s="433">
        <v>5132467872.0342999</v>
      </c>
      <c r="F26" s="433">
        <v>2688726708</v>
      </c>
      <c r="G26" s="433">
        <v>7821194580.0342999</v>
      </c>
      <c r="H26" s="433">
        <v>7824396.8309420999</v>
      </c>
      <c r="I26" s="433">
        <v>4098937.4425458</v>
      </c>
      <c r="J26" s="433">
        <v>11923334.273487899</v>
      </c>
      <c r="O26"/>
    </row>
    <row r="27" spans="1:26">
      <c r="A27">
        <v>26</v>
      </c>
      <c r="B27" t="s">
        <v>132</v>
      </c>
      <c r="C27" s="27">
        <v>44165</v>
      </c>
      <c r="D27" t="s">
        <v>279</v>
      </c>
      <c r="E27" s="433">
        <v>5984039234.4198999</v>
      </c>
      <c r="F27" s="433">
        <v>5987052872</v>
      </c>
      <c r="G27" s="433">
        <v>11971092106.419901</v>
      </c>
      <c r="H27" s="433">
        <v>9122609.0039741993</v>
      </c>
      <c r="I27" s="433">
        <v>9127203.2648482006</v>
      </c>
      <c r="J27" s="433">
        <v>18249812.268822301</v>
      </c>
      <c r="O27"/>
    </row>
    <row r="28" spans="1:26">
      <c r="A28">
        <v>27</v>
      </c>
      <c r="B28" t="s">
        <v>132</v>
      </c>
      <c r="C28" s="27">
        <v>44165</v>
      </c>
      <c r="D28" t="s">
        <v>280</v>
      </c>
      <c r="E28" s="433">
        <v>-107951637.5415</v>
      </c>
      <c r="F28" s="433">
        <v>42001265</v>
      </c>
      <c r="G28" s="433">
        <v>-65950372.541500002</v>
      </c>
      <c r="H28" s="433">
        <v>-164571.21052369999</v>
      </c>
      <c r="I28" s="433">
        <v>64030.515719800002</v>
      </c>
      <c r="J28" s="433">
        <v>-100540.6948039</v>
      </c>
      <c r="O28"/>
    </row>
    <row r="29" spans="1:26">
      <c r="A29">
        <v>28</v>
      </c>
      <c r="B29" t="s">
        <v>132</v>
      </c>
      <c r="C29" s="27">
        <v>44165</v>
      </c>
      <c r="D29" t="s">
        <v>281</v>
      </c>
      <c r="E29" s="433">
        <v>2763244395.1591001</v>
      </c>
      <c r="F29" s="433">
        <v>679833433</v>
      </c>
      <c r="G29" s="433">
        <v>3443077828.1591001</v>
      </c>
      <c r="H29" s="433">
        <v>4212538.9242879003</v>
      </c>
      <c r="I29" s="433">
        <v>1036399.3874598</v>
      </c>
      <c r="J29" s="433">
        <v>5248938.3117477</v>
      </c>
      <c r="O29"/>
    </row>
    <row r="30" spans="1:26">
      <c r="A30">
        <v>29</v>
      </c>
      <c r="B30" t="s">
        <v>132</v>
      </c>
      <c r="C30" s="27">
        <v>44530</v>
      </c>
      <c r="D30" t="s">
        <v>278</v>
      </c>
      <c r="E30" s="433">
        <v>4923930124.8451996</v>
      </c>
      <c r="F30" s="433">
        <v>2715076091</v>
      </c>
      <c r="G30" s="433">
        <v>7639006215.8451996</v>
      </c>
      <c r="H30" s="433">
        <v>7506483.0847832998</v>
      </c>
      <c r="I30" s="433">
        <v>4139106.8179774</v>
      </c>
      <c r="J30" s="433">
        <v>11645589.902760699</v>
      </c>
      <c r="O30"/>
    </row>
    <row r="31" spans="1:26">
      <c r="A31">
        <v>30</v>
      </c>
      <c r="B31" t="s">
        <v>132</v>
      </c>
      <c r="C31" s="27">
        <v>44530</v>
      </c>
      <c r="D31" t="s">
        <v>279</v>
      </c>
      <c r="E31" s="433">
        <v>7041069249.1892996</v>
      </c>
      <c r="F31" s="433">
        <v>6727953358</v>
      </c>
      <c r="G31" s="433">
        <v>13769022607.189301</v>
      </c>
      <c r="H31" s="433">
        <v>10734040.873394599</v>
      </c>
      <c r="I31" s="433">
        <v>10256698.7744624</v>
      </c>
      <c r="J31" s="433">
        <v>20990739.647856899</v>
      </c>
      <c r="O31"/>
    </row>
    <row r="32" spans="1:26">
      <c r="A32">
        <v>31</v>
      </c>
      <c r="B32" t="s">
        <v>132</v>
      </c>
      <c r="C32" s="27">
        <v>44530</v>
      </c>
      <c r="D32" t="s">
        <v>280</v>
      </c>
      <c r="E32" s="433">
        <v>-149428778.2067</v>
      </c>
      <c r="F32" s="433">
        <v>35249397</v>
      </c>
      <c r="G32" s="433">
        <v>-114179381.2067</v>
      </c>
      <c r="H32" s="433">
        <v>-227802.70384599999</v>
      </c>
      <c r="I32" s="433">
        <v>53737.359308599996</v>
      </c>
      <c r="J32" s="433">
        <v>-174065.3445374</v>
      </c>
      <c r="O32"/>
    </row>
    <row r="33" spans="1:15">
      <c r="A33">
        <v>32</v>
      </c>
      <c r="B33" t="s">
        <v>132</v>
      </c>
      <c r="C33" s="27">
        <v>44530</v>
      </c>
      <c r="D33" t="s">
        <v>281</v>
      </c>
      <c r="E33" s="433">
        <v>2594503625.8846998</v>
      </c>
      <c r="F33" s="433">
        <v>635070197</v>
      </c>
      <c r="G33" s="433">
        <v>3229573822.8846998</v>
      </c>
      <c r="H33" s="433">
        <v>3955295.2798501998</v>
      </c>
      <c r="I33" s="433">
        <v>968158.27409419999</v>
      </c>
      <c r="J33" s="433">
        <v>4923453.5539443996</v>
      </c>
      <c r="O33"/>
    </row>
    <row r="34" spans="1:15">
      <c r="A34">
        <v>33</v>
      </c>
      <c r="B34" t="s">
        <v>135</v>
      </c>
      <c r="C34" s="27">
        <v>44165</v>
      </c>
      <c r="D34" t="s">
        <v>278</v>
      </c>
      <c r="E34" s="433">
        <v>1028116621.1719</v>
      </c>
      <c r="F34" s="433">
        <v>858234726</v>
      </c>
      <c r="G34" s="433">
        <v>1886351347.1719</v>
      </c>
      <c r="H34" s="433">
        <v>1567353.6850310001</v>
      </c>
      <c r="I34" s="433">
        <v>1308370.4053772001</v>
      </c>
      <c r="J34" s="433">
        <v>2875724.0904081999</v>
      </c>
      <c r="O34"/>
    </row>
    <row r="35" spans="1:15">
      <c r="A35">
        <v>34</v>
      </c>
      <c r="B35" t="s">
        <v>135</v>
      </c>
      <c r="C35" s="27">
        <v>44165</v>
      </c>
      <c r="D35" t="s">
        <v>279</v>
      </c>
      <c r="E35" s="433">
        <v>183567427.0519</v>
      </c>
      <c r="F35" s="433">
        <v>239337144</v>
      </c>
      <c r="G35" s="433">
        <v>422904571.05190003</v>
      </c>
      <c r="H35" s="433">
        <v>279846.73850859998</v>
      </c>
      <c r="I35" s="433">
        <v>364867.12391209998</v>
      </c>
      <c r="J35" s="433">
        <v>644713.86242070002</v>
      </c>
      <c r="O35"/>
    </row>
    <row r="36" spans="1:15">
      <c r="A36">
        <v>35</v>
      </c>
      <c r="B36" t="s">
        <v>135</v>
      </c>
      <c r="C36" s="27">
        <v>44165</v>
      </c>
      <c r="D36" t="s">
        <v>280</v>
      </c>
      <c r="E36" s="433">
        <v>-8093050.1530999998</v>
      </c>
      <c r="F36" s="433">
        <v>1600133</v>
      </c>
      <c r="G36" s="433">
        <v>-6492917.1530999998</v>
      </c>
      <c r="H36" s="433">
        <v>-12337.7754229</v>
      </c>
      <c r="I36" s="433">
        <v>2439.387033</v>
      </c>
      <c r="J36" s="433">
        <v>-9898.3883898999993</v>
      </c>
      <c r="O36"/>
    </row>
    <row r="37" spans="1:15">
      <c r="A37">
        <v>36</v>
      </c>
      <c r="B37" t="s">
        <v>135</v>
      </c>
      <c r="C37" s="27">
        <v>44165</v>
      </c>
      <c r="D37" t="s">
        <v>281</v>
      </c>
      <c r="E37" s="433">
        <v>1153417968.6923001</v>
      </c>
      <c r="F37" s="433">
        <v>601199703</v>
      </c>
      <c r="G37" s="433">
        <v>1754617671.6923001</v>
      </c>
      <c r="H37" s="433">
        <v>1758374.3579110999</v>
      </c>
      <c r="I37" s="433">
        <v>916523.03885769995</v>
      </c>
      <c r="J37" s="433">
        <v>2674897.3967688</v>
      </c>
      <c r="O37"/>
    </row>
    <row r="38" spans="1:15">
      <c r="A38">
        <v>37</v>
      </c>
      <c r="B38" t="s">
        <v>135</v>
      </c>
      <c r="C38" s="27">
        <v>44530</v>
      </c>
      <c r="D38" t="s">
        <v>278</v>
      </c>
      <c r="E38" s="433">
        <v>1298321829.9990001</v>
      </c>
      <c r="F38" s="433">
        <v>999459535</v>
      </c>
      <c r="G38" s="433">
        <v>2297781364.9990001</v>
      </c>
      <c r="H38" s="433">
        <v>1979278.8704122</v>
      </c>
      <c r="I38" s="433">
        <v>1523666.2387931</v>
      </c>
      <c r="J38" s="433">
        <v>3502945.1092053</v>
      </c>
      <c r="O38"/>
    </row>
    <row r="39" spans="1:15">
      <c r="A39">
        <v>38</v>
      </c>
      <c r="B39" t="s">
        <v>135</v>
      </c>
      <c r="C39" s="27">
        <v>44530</v>
      </c>
      <c r="D39" t="s">
        <v>279</v>
      </c>
      <c r="E39" s="433">
        <v>267020803.9228</v>
      </c>
      <c r="F39" s="433">
        <v>280107606</v>
      </c>
      <c r="G39" s="433">
        <v>547128409.92279994</v>
      </c>
      <c r="H39" s="433">
        <v>407070.59139969997</v>
      </c>
      <c r="I39" s="433">
        <v>427021.29255419999</v>
      </c>
      <c r="J39" s="433">
        <v>834091.88395399996</v>
      </c>
      <c r="O39"/>
    </row>
    <row r="40" spans="1:15">
      <c r="A40">
        <v>39</v>
      </c>
      <c r="B40" t="s">
        <v>135</v>
      </c>
      <c r="C40" s="27">
        <v>44530</v>
      </c>
      <c r="D40" t="s">
        <v>280</v>
      </c>
      <c r="E40" s="433">
        <v>-4990935.8733999999</v>
      </c>
      <c r="F40" s="433">
        <v>1287080</v>
      </c>
      <c r="G40" s="433">
        <v>-3703855.8733999999</v>
      </c>
      <c r="H40" s="433">
        <v>-7608.6326898999996</v>
      </c>
      <c r="I40" s="433">
        <v>1962.1408111000001</v>
      </c>
      <c r="J40" s="433">
        <v>-5646.4918789000003</v>
      </c>
      <c r="O40"/>
    </row>
    <row r="41" spans="1:15">
      <c r="A41">
        <v>40</v>
      </c>
      <c r="B41" t="s">
        <v>135</v>
      </c>
      <c r="C41" s="27">
        <v>44530</v>
      </c>
      <c r="D41" t="s">
        <v>281</v>
      </c>
      <c r="E41" s="433">
        <v>1251837042.2355001</v>
      </c>
      <c r="F41" s="433">
        <v>672935363</v>
      </c>
      <c r="G41" s="433">
        <v>1924772405.2355001</v>
      </c>
      <c r="H41" s="433">
        <v>1908413.2683019</v>
      </c>
      <c r="I41" s="433">
        <v>1025883.3475365</v>
      </c>
      <c r="J41" s="433">
        <v>2934296.6158384001</v>
      </c>
      <c r="O41"/>
    </row>
    <row r="42" spans="1:15">
      <c r="A42">
        <v>41</v>
      </c>
      <c r="B42" t="s">
        <v>136</v>
      </c>
      <c r="C42" s="27">
        <v>44165</v>
      </c>
      <c r="D42" t="s">
        <v>278</v>
      </c>
      <c r="E42" s="433">
        <v>-1491237.5427999999</v>
      </c>
      <c r="F42" s="433">
        <v>0</v>
      </c>
      <c r="G42" s="433">
        <v>-1491237.5427999999</v>
      </c>
      <c r="H42" s="433">
        <v>-218512.35149830001</v>
      </c>
      <c r="I42" s="433">
        <v>0</v>
      </c>
      <c r="J42" s="433">
        <v>-218512.35149830001</v>
      </c>
      <c r="O42"/>
    </row>
    <row r="43" spans="1:15">
      <c r="A43">
        <v>42</v>
      </c>
      <c r="B43" t="s">
        <v>136</v>
      </c>
      <c r="C43" s="27">
        <v>44165</v>
      </c>
      <c r="D43" t="s">
        <v>279</v>
      </c>
      <c r="E43" s="433">
        <v>12465770.5602</v>
      </c>
      <c r="F43" s="433">
        <v>0</v>
      </c>
      <c r="G43" s="433">
        <v>12465770.5602</v>
      </c>
      <c r="H43" s="433">
        <v>1826620.3473075</v>
      </c>
      <c r="I43" s="433">
        <v>0</v>
      </c>
      <c r="J43" s="433">
        <v>1826620.3473075</v>
      </c>
      <c r="O43"/>
    </row>
    <row r="44" spans="1:15">
      <c r="A44">
        <v>43</v>
      </c>
      <c r="B44" t="s">
        <v>136</v>
      </c>
      <c r="C44" s="27">
        <v>44165</v>
      </c>
      <c r="D44" t="s">
        <v>280</v>
      </c>
      <c r="E44" s="433">
        <v>2434.4630000000002</v>
      </c>
      <c r="F44" s="433">
        <v>0</v>
      </c>
      <c r="G44" s="433">
        <v>2434.4630000000002</v>
      </c>
      <c r="H44" s="433">
        <v>356.72400909999999</v>
      </c>
      <c r="I44" s="433">
        <v>0</v>
      </c>
      <c r="J44" s="433">
        <v>356.72400909999999</v>
      </c>
      <c r="O44"/>
    </row>
    <row r="45" spans="1:15">
      <c r="A45">
        <v>44</v>
      </c>
      <c r="B45" t="s">
        <v>136</v>
      </c>
      <c r="C45" s="27">
        <v>44165</v>
      </c>
      <c r="D45" t="s">
        <v>281</v>
      </c>
      <c r="E45" s="433">
        <v>513434.91690000001</v>
      </c>
      <c r="F45" s="433">
        <v>0</v>
      </c>
      <c r="G45" s="433">
        <v>513434.91690000001</v>
      </c>
      <c r="H45" s="433">
        <v>75234.070906299996</v>
      </c>
      <c r="I45" s="433">
        <v>0</v>
      </c>
      <c r="J45" s="433">
        <v>75234.070906299996</v>
      </c>
      <c r="O45"/>
    </row>
    <row r="46" spans="1:15">
      <c r="A46">
        <v>45</v>
      </c>
      <c r="B46" t="s">
        <v>136</v>
      </c>
      <c r="C46" s="27">
        <v>44530</v>
      </c>
      <c r="D46" t="s">
        <v>278</v>
      </c>
      <c r="E46" s="433">
        <v>-4085229.5159</v>
      </c>
      <c r="F46" s="433">
        <v>4982139.26</v>
      </c>
      <c r="G46" s="433">
        <v>896909.74410000001</v>
      </c>
      <c r="H46" s="433">
        <v>-606603.1413744</v>
      </c>
      <c r="I46" s="433">
        <v>739782.50527129997</v>
      </c>
      <c r="J46" s="433">
        <v>133179.3638969</v>
      </c>
      <c r="O46"/>
    </row>
    <row r="47" spans="1:15">
      <c r="A47">
        <v>46</v>
      </c>
      <c r="B47" t="s">
        <v>136</v>
      </c>
      <c r="C47" s="27">
        <v>44530</v>
      </c>
      <c r="D47" t="s">
        <v>279</v>
      </c>
      <c r="E47" s="433">
        <v>4643352.6579</v>
      </c>
      <c r="F47" s="433">
        <v>17118769.940000001</v>
      </c>
      <c r="G47" s="433">
        <v>21762122.597899999</v>
      </c>
      <c r="H47" s="433">
        <v>689477.12676330004</v>
      </c>
      <c r="I47" s="433">
        <v>2541913.3935199999</v>
      </c>
      <c r="J47" s="433">
        <v>3231390.5202833</v>
      </c>
      <c r="O47"/>
    </row>
    <row r="48" spans="1:15">
      <c r="A48">
        <v>47</v>
      </c>
      <c r="B48" t="s">
        <v>136</v>
      </c>
      <c r="C48" s="27">
        <v>44530</v>
      </c>
      <c r="D48" t="s">
        <v>280</v>
      </c>
      <c r="E48" s="433">
        <v>-17414.436600000001</v>
      </c>
      <c r="F48" s="433">
        <v>33054.129999999997</v>
      </c>
      <c r="G48" s="433">
        <v>15639.6934</v>
      </c>
      <c r="H48" s="433">
        <v>-2585.8160247000001</v>
      </c>
      <c r="I48" s="433">
        <v>4908.1059009000001</v>
      </c>
      <c r="J48" s="433">
        <v>2322.2898762</v>
      </c>
      <c r="O48"/>
    </row>
    <row r="49" spans="1:15">
      <c r="A49">
        <v>48</v>
      </c>
      <c r="B49" t="s">
        <v>136</v>
      </c>
      <c r="C49" s="27">
        <v>44530</v>
      </c>
      <c r="D49" t="s">
        <v>281</v>
      </c>
      <c r="E49" s="433">
        <v>2969167.9172999999</v>
      </c>
      <c r="F49" s="433">
        <v>2110491.65</v>
      </c>
      <c r="G49" s="433">
        <v>5079659.5673000002</v>
      </c>
      <c r="H49" s="433">
        <v>440882.59396249999</v>
      </c>
      <c r="I49" s="433">
        <v>313380.40121169999</v>
      </c>
      <c r="J49" s="433">
        <v>754262.99517420004</v>
      </c>
      <c r="O49"/>
    </row>
    <row r="50" spans="1:15">
      <c r="A50">
        <v>49</v>
      </c>
      <c r="B50" t="s">
        <v>137</v>
      </c>
      <c r="C50" s="27">
        <v>44165</v>
      </c>
      <c r="D50" t="s">
        <v>278</v>
      </c>
      <c r="E50" s="433">
        <v>38548742388.2827</v>
      </c>
      <c r="F50" s="433">
        <v>9589392311</v>
      </c>
      <c r="G50" s="433">
        <v>48138134699.2827</v>
      </c>
      <c r="H50" s="433">
        <v>3295719.8400960998</v>
      </c>
      <c r="I50" s="433">
        <v>819843.87909459998</v>
      </c>
      <c r="J50" s="433">
        <v>4115563.7191907</v>
      </c>
      <c r="O50"/>
    </row>
    <row r="51" spans="1:15">
      <c r="A51">
        <v>50</v>
      </c>
      <c r="B51" t="s">
        <v>137</v>
      </c>
      <c r="C51" s="27">
        <v>44165</v>
      </c>
      <c r="D51" t="s">
        <v>279</v>
      </c>
      <c r="E51" s="433">
        <v>64249819059.698898</v>
      </c>
      <c r="F51" s="433">
        <v>25072642338</v>
      </c>
      <c r="G51" s="433">
        <v>89322461397.698898</v>
      </c>
      <c r="H51" s="433">
        <v>5493030.1296158005</v>
      </c>
      <c r="I51" s="433">
        <v>2143582.3759090002</v>
      </c>
      <c r="J51" s="433">
        <v>7636612.5055248002</v>
      </c>
      <c r="O51"/>
    </row>
    <row r="52" spans="1:15">
      <c r="A52">
        <v>51</v>
      </c>
      <c r="B52" t="s">
        <v>137</v>
      </c>
      <c r="C52" s="27">
        <v>44165</v>
      </c>
      <c r="D52" t="s">
        <v>280</v>
      </c>
      <c r="E52" s="433">
        <v>109531908.0944</v>
      </c>
      <c r="F52" s="433">
        <v>2214652</v>
      </c>
      <c r="G52" s="433">
        <v>111746560.0944</v>
      </c>
      <c r="H52" s="433">
        <v>9364.4165869999997</v>
      </c>
      <c r="I52" s="433">
        <v>189.3413918</v>
      </c>
      <c r="J52" s="433">
        <v>9553.7579788000003</v>
      </c>
      <c r="O52"/>
    </row>
    <row r="53" spans="1:15">
      <c r="A53">
        <v>52</v>
      </c>
      <c r="B53" t="s">
        <v>137</v>
      </c>
      <c r="C53" s="27">
        <v>44165</v>
      </c>
      <c r="D53" t="s">
        <v>281</v>
      </c>
      <c r="E53" s="433">
        <v>29100544915.221802</v>
      </c>
      <c r="F53" s="433">
        <v>2039102158</v>
      </c>
      <c r="G53" s="433">
        <v>31139647073.221802</v>
      </c>
      <c r="H53" s="433">
        <v>2487947.3957588002</v>
      </c>
      <c r="I53" s="433">
        <v>174332.78031259999</v>
      </c>
      <c r="J53" s="433">
        <v>2662280.1760713998</v>
      </c>
      <c r="O53"/>
    </row>
    <row r="54" spans="1:15">
      <c r="A54">
        <v>53</v>
      </c>
      <c r="B54" t="s">
        <v>137</v>
      </c>
      <c r="C54" s="27">
        <v>44530</v>
      </c>
      <c r="D54" t="s">
        <v>278</v>
      </c>
      <c r="E54" s="433">
        <v>36982293172.256104</v>
      </c>
      <c r="F54" s="433">
        <v>11455106059</v>
      </c>
      <c r="G54" s="433">
        <v>48437399231.256104</v>
      </c>
      <c r="H54" s="433">
        <v>3516027.7400862998</v>
      </c>
      <c r="I54" s="433">
        <v>1089074.4519674999</v>
      </c>
      <c r="J54" s="433">
        <v>4605102.1920536999</v>
      </c>
      <c r="O54"/>
    </row>
    <row r="55" spans="1:15">
      <c r="A55">
        <v>54</v>
      </c>
      <c r="B55" t="s">
        <v>137</v>
      </c>
      <c r="C55" s="27">
        <v>44530</v>
      </c>
      <c r="D55" t="s">
        <v>279</v>
      </c>
      <c r="E55" s="433">
        <v>66178838282.0261</v>
      </c>
      <c r="F55" s="433">
        <v>32872635676</v>
      </c>
      <c r="G55" s="433">
        <v>99051473958.026093</v>
      </c>
      <c r="H55" s="433">
        <v>6291838.9111914001</v>
      </c>
      <c r="I55" s="433">
        <v>3125309.1415455001</v>
      </c>
      <c r="J55" s="433">
        <v>9417148.0527369007</v>
      </c>
      <c r="O55"/>
    </row>
    <row r="56" spans="1:15">
      <c r="A56">
        <v>55</v>
      </c>
      <c r="B56" t="s">
        <v>137</v>
      </c>
      <c r="C56" s="27">
        <v>44530</v>
      </c>
      <c r="D56" t="s">
        <v>280</v>
      </c>
      <c r="E56" s="433">
        <v>139167949.99380001</v>
      </c>
      <c r="F56" s="433">
        <v>11880449</v>
      </c>
      <c r="G56" s="433">
        <v>151048398.99380001</v>
      </c>
      <c r="H56" s="433">
        <v>13231.152823099999</v>
      </c>
      <c r="I56" s="433">
        <v>1129.5131985</v>
      </c>
      <c r="J56" s="433">
        <v>14360.6660216</v>
      </c>
      <c r="O56"/>
    </row>
    <row r="57" spans="1:15">
      <c r="A57">
        <v>56</v>
      </c>
      <c r="B57" t="s">
        <v>137</v>
      </c>
      <c r="C57" s="27">
        <v>44530</v>
      </c>
      <c r="D57" t="s">
        <v>281</v>
      </c>
      <c r="E57" s="433">
        <v>16970696004.549601</v>
      </c>
      <c r="F57" s="433">
        <v>1795215728</v>
      </c>
      <c r="G57" s="433">
        <v>18765911732.549599</v>
      </c>
      <c r="H57" s="433">
        <v>1613459.6533168</v>
      </c>
      <c r="I57" s="433">
        <v>170677.0391356</v>
      </c>
      <c r="J57" s="433">
        <v>1784136.6924524</v>
      </c>
      <c r="O57"/>
    </row>
    <row r="58" spans="1:15">
      <c r="A58">
        <v>57</v>
      </c>
      <c r="B58" t="s">
        <v>138</v>
      </c>
      <c r="C58" s="27">
        <v>44165</v>
      </c>
      <c r="D58" t="s">
        <v>278</v>
      </c>
      <c r="E58" s="433">
        <v>24855580986.6745</v>
      </c>
      <c r="F58" s="433">
        <v>7337400791.0799999</v>
      </c>
      <c r="G58" s="433">
        <v>32192981777.754501</v>
      </c>
      <c r="H58" s="433">
        <v>5520285.2106619999</v>
      </c>
      <c r="I58" s="433">
        <v>1629595.5863359</v>
      </c>
      <c r="J58" s="433">
        <v>7149880.7969977995</v>
      </c>
      <c r="O58"/>
    </row>
    <row r="59" spans="1:15">
      <c r="A59">
        <v>58</v>
      </c>
      <c r="B59" t="s">
        <v>138</v>
      </c>
      <c r="C59" s="27">
        <v>44165</v>
      </c>
      <c r="D59" t="s">
        <v>279</v>
      </c>
      <c r="E59" s="433">
        <v>42145017887.534401</v>
      </c>
      <c r="F59" s="433">
        <v>19342029996.16</v>
      </c>
      <c r="G59" s="433">
        <v>61487047883.694397</v>
      </c>
      <c r="H59" s="433">
        <v>9360172.2314343993</v>
      </c>
      <c r="I59" s="433">
        <v>4295756.4415503005</v>
      </c>
      <c r="J59" s="433">
        <v>13655928.672984701</v>
      </c>
      <c r="O59"/>
    </row>
    <row r="60" spans="1:15">
      <c r="A60">
        <v>59</v>
      </c>
      <c r="B60" t="s">
        <v>138</v>
      </c>
      <c r="C60" s="27">
        <v>44165</v>
      </c>
      <c r="D60" t="s">
        <v>280</v>
      </c>
      <c r="E60" s="433">
        <v>3740760.1666999999</v>
      </c>
      <c r="F60" s="433">
        <v>1408327.73</v>
      </c>
      <c r="G60" s="433">
        <v>5149087.8967000004</v>
      </c>
      <c r="H60" s="433">
        <v>830.8018644</v>
      </c>
      <c r="I60" s="433">
        <v>312.78169450000001</v>
      </c>
      <c r="J60" s="433">
        <v>1143.5835589999999</v>
      </c>
      <c r="O60"/>
    </row>
    <row r="61" spans="1:15">
      <c r="A61">
        <v>60</v>
      </c>
      <c r="B61" t="s">
        <v>138</v>
      </c>
      <c r="C61" s="27">
        <v>44165</v>
      </c>
      <c r="D61" t="s">
        <v>281</v>
      </c>
      <c r="E61" s="433">
        <v>7523903949.6968002</v>
      </c>
      <c r="F61" s="433">
        <v>1684631381.46</v>
      </c>
      <c r="G61" s="433">
        <v>9208535331.1567993</v>
      </c>
      <c r="H61" s="433">
        <v>1671016.8924322999</v>
      </c>
      <c r="I61" s="433">
        <v>374147.18672140001</v>
      </c>
      <c r="J61" s="433">
        <v>2045164.0791537</v>
      </c>
      <c r="O61"/>
    </row>
    <row r="62" spans="1:15">
      <c r="A62">
        <v>61</v>
      </c>
      <c r="B62" t="s">
        <v>138</v>
      </c>
      <c r="C62" s="27">
        <v>44530</v>
      </c>
      <c r="D62" t="s">
        <v>278</v>
      </c>
      <c r="E62" s="433">
        <v>29060921068.510101</v>
      </c>
      <c r="F62" s="433">
        <v>8715309973.5200005</v>
      </c>
      <c r="G62" s="433">
        <v>37776231042.030098</v>
      </c>
      <c r="H62" s="433">
        <v>6468245.4090513</v>
      </c>
      <c r="I62" s="433">
        <v>1939813.3869117</v>
      </c>
      <c r="J62" s="433">
        <v>8408058.7959630005</v>
      </c>
      <c r="O62"/>
    </row>
    <row r="63" spans="1:15">
      <c r="A63">
        <v>62</v>
      </c>
      <c r="B63" t="s">
        <v>138</v>
      </c>
      <c r="C63" s="27">
        <v>44530</v>
      </c>
      <c r="D63" t="s">
        <v>279</v>
      </c>
      <c r="E63" s="433">
        <v>54766532221.098198</v>
      </c>
      <c r="F63" s="433">
        <v>25526154174.200001</v>
      </c>
      <c r="G63" s="433">
        <v>80292686395.298203</v>
      </c>
      <c r="H63" s="433">
        <v>12189681.454818999</v>
      </c>
      <c r="I63" s="433">
        <v>5681493.3414796004</v>
      </c>
      <c r="J63" s="433">
        <v>17871174.796298601</v>
      </c>
      <c r="O63"/>
    </row>
    <row r="64" spans="1:15">
      <c r="A64">
        <v>63</v>
      </c>
      <c r="B64" t="s">
        <v>138</v>
      </c>
      <c r="C64" s="27">
        <v>44530</v>
      </c>
      <c r="D64" t="s">
        <v>280</v>
      </c>
      <c r="E64" s="433">
        <v>2727592.0523000001</v>
      </c>
      <c r="F64" s="433">
        <v>1784897.85</v>
      </c>
      <c r="G64" s="433">
        <v>4512489.9023000002</v>
      </c>
      <c r="H64" s="433">
        <v>607.09482430000003</v>
      </c>
      <c r="I64" s="433">
        <v>397.27430859999998</v>
      </c>
      <c r="J64" s="433">
        <v>1004.3691329</v>
      </c>
      <c r="O64"/>
    </row>
    <row r="65" spans="1:15">
      <c r="A65">
        <v>64</v>
      </c>
      <c r="B65" t="s">
        <v>138</v>
      </c>
      <c r="C65" s="27">
        <v>44530</v>
      </c>
      <c r="D65" t="s">
        <v>281</v>
      </c>
      <c r="E65" s="433">
        <v>8918987147.7985001</v>
      </c>
      <c r="F65" s="433">
        <v>2046329535.3599999</v>
      </c>
      <c r="G65" s="433">
        <v>10965316683.158501</v>
      </c>
      <c r="H65" s="433">
        <v>1985146.9103864001</v>
      </c>
      <c r="I65" s="433">
        <v>455462.56401490001</v>
      </c>
      <c r="J65" s="433">
        <v>2440609.4744012998</v>
      </c>
      <c r="O65"/>
    </row>
    <row r="66" spans="1:15">
      <c r="A66">
        <v>65</v>
      </c>
      <c r="B66" t="s">
        <v>139</v>
      </c>
      <c r="C66" s="27">
        <v>44165</v>
      </c>
      <c r="D66" t="s">
        <v>278</v>
      </c>
      <c r="E66" s="433">
        <v>30263805.7542</v>
      </c>
      <c r="F66" s="433">
        <v>27648719.120000001</v>
      </c>
      <c r="G66" s="433">
        <v>57912524.874200001</v>
      </c>
      <c r="H66" s="433">
        <v>688126.55193720001</v>
      </c>
      <c r="I66" s="433">
        <v>628665.73715329997</v>
      </c>
      <c r="J66" s="433">
        <v>1316792.2890905</v>
      </c>
      <c r="O66"/>
    </row>
    <row r="67" spans="1:15">
      <c r="A67">
        <v>66</v>
      </c>
      <c r="B67" t="s">
        <v>139</v>
      </c>
      <c r="C67" s="27">
        <v>44165</v>
      </c>
      <c r="D67" t="s">
        <v>279</v>
      </c>
      <c r="E67" s="433">
        <v>79276896.908099994</v>
      </c>
      <c r="F67" s="433">
        <v>82462610.719999999</v>
      </c>
      <c r="G67" s="433">
        <v>161739507.62810001</v>
      </c>
      <c r="H67" s="433">
        <v>1802567.0056412001</v>
      </c>
      <c r="I67" s="433">
        <v>1875002.5175079999</v>
      </c>
      <c r="J67" s="433">
        <v>3677569.5231491998</v>
      </c>
      <c r="O67"/>
    </row>
    <row r="68" spans="1:15">
      <c r="A68">
        <v>67</v>
      </c>
      <c r="B68" t="s">
        <v>139</v>
      </c>
      <c r="C68" s="27">
        <v>44165</v>
      </c>
      <c r="D68" t="s">
        <v>280</v>
      </c>
      <c r="E68" s="433">
        <v>-4762235.5379999997</v>
      </c>
      <c r="F68" s="433">
        <v>134018.79999999999</v>
      </c>
      <c r="G68" s="433">
        <v>-4628216.7379999999</v>
      </c>
      <c r="H68" s="433">
        <v>-108281.84488400001</v>
      </c>
      <c r="I68" s="433">
        <v>3047.2669394999998</v>
      </c>
      <c r="J68" s="433">
        <v>-105234.57794449999</v>
      </c>
      <c r="O68"/>
    </row>
    <row r="69" spans="1:15">
      <c r="A69">
        <v>68</v>
      </c>
      <c r="B69" t="s">
        <v>139</v>
      </c>
      <c r="C69" s="27">
        <v>44165</v>
      </c>
      <c r="D69" t="s">
        <v>281</v>
      </c>
      <c r="E69" s="433">
        <v>26814157.133200001</v>
      </c>
      <c r="F69" s="433">
        <v>8237549.5999999996</v>
      </c>
      <c r="G69" s="433">
        <v>35051706.733199999</v>
      </c>
      <c r="H69" s="433">
        <v>609689.79384269996</v>
      </c>
      <c r="I69" s="433">
        <v>187302.17371530001</v>
      </c>
      <c r="J69" s="433">
        <v>796991.967558</v>
      </c>
      <c r="O69"/>
    </row>
    <row r="70" spans="1:15">
      <c r="A70">
        <v>69</v>
      </c>
      <c r="B70" t="s">
        <v>139</v>
      </c>
      <c r="C70" s="27">
        <v>44530</v>
      </c>
      <c r="D70" t="s">
        <v>278</v>
      </c>
      <c r="E70" s="433">
        <v>19530015.4925</v>
      </c>
      <c r="F70" s="433">
        <v>29439356.68</v>
      </c>
      <c r="G70" s="433">
        <v>48969372.172499999</v>
      </c>
      <c r="H70" s="433">
        <v>478442.31975750002</v>
      </c>
      <c r="I70" s="433">
        <v>721199.33072019997</v>
      </c>
      <c r="J70" s="433">
        <v>1199641.6504776999</v>
      </c>
      <c r="O70"/>
    </row>
    <row r="71" spans="1:15">
      <c r="A71">
        <v>70</v>
      </c>
      <c r="B71" t="s">
        <v>139</v>
      </c>
      <c r="C71" s="27">
        <v>44530</v>
      </c>
      <c r="D71" t="s">
        <v>279</v>
      </c>
      <c r="E71" s="433">
        <v>74044675.845300004</v>
      </c>
      <c r="F71" s="433">
        <v>88599525.299999997</v>
      </c>
      <c r="G71" s="433">
        <v>162644201.1453</v>
      </c>
      <c r="H71" s="433">
        <v>1813931.3043925001</v>
      </c>
      <c r="I71" s="433">
        <v>2170493.0254776999</v>
      </c>
      <c r="J71" s="433">
        <v>3984424.3298701998</v>
      </c>
      <c r="O71"/>
    </row>
    <row r="72" spans="1:15">
      <c r="A72">
        <v>71</v>
      </c>
      <c r="B72" t="s">
        <v>139</v>
      </c>
      <c r="C72" s="27">
        <v>44530</v>
      </c>
      <c r="D72" t="s">
        <v>280</v>
      </c>
      <c r="E72" s="433">
        <v>-6437256.8075999999</v>
      </c>
      <c r="F72" s="433">
        <v>30177.35</v>
      </c>
      <c r="G72" s="433">
        <v>-6407079.4576000003</v>
      </c>
      <c r="H72" s="433">
        <v>-157698.59891229999</v>
      </c>
      <c r="I72" s="433">
        <v>739.27853990000006</v>
      </c>
      <c r="J72" s="433">
        <v>-156959.32037239999</v>
      </c>
      <c r="O72"/>
    </row>
    <row r="73" spans="1:15">
      <c r="A73">
        <v>72</v>
      </c>
      <c r="B73" t="s">
        <v>139</v>
      </c>
      <c r="C73" s="27">
        <v>44530</v>
      </c>
      <c r="D73" t="s">
        <v>281</v>
      </c>
      <c r="E73" s="433">
        <v>13881006.6633</v>
      </c>
      <c r="F73" s="433">
        <v>8706881.3399999999</v>
      </c>
      <c r="G73" s="433">
        <v>22587888.0033</v>
      </c>
      <c r="H73" s="433">
        <v>340054.05838559999</v>
      </c>
      <c r="I73" s="433">
        <v>213299.3958844</v>
      </c>
      <c r="J73" s="433">
        <v>553353.45426999999</v>
      </c>
      <c r="O73"/>
    </row>
    <row r="74" spans="1:15">
      <c r="A74">
        <v>73</v>
      </c>
      <c r="B74" t="s">
        <v>141</v>
      </c>
      <c r="C74" s="27">
        <v>44165</v>
      </c>
      <c r="D74" t="s">
        <v>278</v>
      </c>
      <c r="E74" s="433">
        <v>5487315521.2884998</v>
      </c>
      <c r="F74" s="433">
        <v>1495267423</v>
      </c>
      <c r="G74" s="433">
        <v>6982582944.2884998</v>
      </c>
      <c r="H74" s="433">
        <v>8365358.5849201996</v>
      </c>
      <c r="I74" s="433">
        <v>2279520.4914346999</v>
      </c>
      <c r="J74" s="433">
        <v>10644879.0763549</v>
      </c>
      <c r="O74"/>
    </row>
    <row r="75" spans="1:15">
      <c r="A75">
        <v>74</v>
      </c>
      <c r="B75" t="s">
        <v>141</v>
      </c>
      <c r="C75" s="27">
        <v>44165</v>
      </c>
      <c r="D75" t="s">
        <v>279</v>
      </c>
      <c r="E75" s="433">
        <v>6048168880.7473001</v>
      </c>
      <c r="F75" s="433">
        <v>4049211067</v>
      </c>
      <c r="G75" s="433">
        <v>10097379947.747299</v>
      </c>
      <c r="H75" s="433">
        <v>9220374.0195581</v>
      </c>
      <c r="I75" s="433">
        <v>6172982.4775099996</v>
      </c>
      <c r="J75" s="433">
        <v>15393356.4970681</v>
      </c>
      <c r="O75"/>
    </row>
    <row r="76" spans="1:15">
      <c r="A76">
        <v>75</v>
      </c>
      <c r="B76" t="s">
        <v>141</v>
      </c>
      <c r="C76" s="27">
        <v>44165</v>
      </c>
      <c r="D76" t="s">
        <v>280</v>
      </c>
      <c r="E76" s="433">
        <v>-578153831.23520005</v>
      </c>
      <c r="F76" s="433">
        <v>44540573</v>
      </c>
      <c r="G76" s="433">
        <v>-533613258.23519999</v>
      </c>
      <c r="H76" s="433">
        <v>-881389.83383849997</v>
      </c>
      <c r="I76" s="433">
        <v>67901.665810399994</v>
      </c>
      <c r="J76" s="433">
        <v>-813488.16802810004</v>
      </c>
      <c r="O76"/>
    </row>
    <row r="77" spans="1:15">
      <c r="A77">
        <v>76</v>
      </c>
      <c r="B77" t="s">
        <v>141</v>
      </c>
      <c r="C77" s="27">
        <v>44165</v>
      </c>
      <c r="D77" t="s">
        <v>281</v>
      </c>
      <c r="E77" s="433">
        <v>7323172935.8789997</v>
      </c>
      <c r="F77" s="433">
        <v>667937274</v>
      </c>
      <c r="G77" s="433">
        <v>7991110209.8789997</v>
      </c>
      <c r="H77" s="433">
        <v>11164105.1713435</v>
      </c>
      <c r="I77" s="433">
        <v>1018263.8099753</v>
      </c>
      <c r="J77" s="433">
        <v>12182368.9813189</v>
      </c>
      <c r="O77"/>
    </row>
    <row r="78" spans="1:15">
      <c r="A78">
        <v>77</v>
      </c>
      <c r="B78" t="s">
        <v>141</v>
      </c>
      <c r="C78" s="27">
        <v>44530</v>
      </c>
      <c r="D78" t="s">
        <v>278</v>
      </c>
      <c r="E78" s="433">
        <v>5653332994.0291004</v>
      </c>
      <c r="F78" s="433">
        <v>1562360787</v>
      </c>
      <c r="G78" s="433">
        <v>7215693781.0291004</v>
      </c>
      <c r="H78" s="433">
        <v>8618450.5905556008</v>
      </c>
      <c r="I78" s="433">
        <v>2381803.6654842002</v>
      </c>
      <c r="J78" s="433">
        <v>11000254.2560398</v>
      </c>
      <c r="O78"/>
    </row>
    <row r="79" spans="1:15">
      <c r="A79">
        <v>78</v>
      </c>
      <c r="B79" t="s">
        <v>141</v>
      </c>
      <c r="C79" s="27">
        <v>44530</v>
      </c>
      <c r="D79" t="s">
        <v>279</v>
      </c>
      <c r="E79" s="433">
        <v>5719984809.2098999</v>
      </c>
      <c r="F79" s="433">
        <v>3282515741</v>
      </c>
      <c r="G79" s="433">
        <v>9002500550.2098999</v>
      </c>
      <c r="H79" s="433">
        <v>8720060.6277696993</v>
      </c>
      <c r="I79" s="433">
        <v>5004162.9878177997</v>
      </c>
      <c r="J79" s="433">
        <v>13724223.615587501</v>
      </c>
      <c r="O79"/>
    </row>
    <row r="80" spans="1:15">
      <c r="A80">
        <v>79</v>
      </c>
      <c r="B80" t="s">
        <v>141</v>
      </c>
      <c r="C80" s="27">
        <v>44530</v>
      </c>
      <c r="D80" t="s">
        <v>280</v>
      </c>
      <c r="E80" s="433">
        <v>-601070862.29659998</v>
      </c>
      <c r="F80" s="433">
        <v>35741367</v>
      </c>
      <c r="G80" s="433">
        <v>-565329495.29659998</v>
      </c>
      <c r="H80" s="433">
        <v>-916326.62247159996</v>
      </c>
      <c r="I80" s="433">
        <v>54487.362738700002</v>
      </c>
      <c r="J80" s="433">
        <v>-861839.25973289995</v>
      </c>
      <c r="O80"/>
    </row>
    <row r="81" spans="1:15">
      <c r="A81">
        <v>80</v>
      </c>
      <c r="B81" t="s">
        <v>141</v>
      </c>
      <c r="C81" s="27">
        <v>44530</v>
      </c>
      <c r="D81" t="s">
        <v>281</v>
      </c>
      <c r="E81" s="433">
        <v>9141662816.3421993</v>
      </c>
      <c r="F81" s="433">
        <v>660227927</v>
      </c>
      <c r="G81" s="433">
        <v>9801890743.3421993</v>
      </c>
      <c r="H81" s="433">
        <v>13936375.1226715</v>
      </c>
      <c r="I81" s="433">
        <v>1006510.9862384</v>
      </c>
      <c r="J81" s="433">
        <v>14942886.108909899</v>
      </c>
      <c r="O81"/>
    </row>
    <row r="82" spans="1:15">
      <c r="A82">
        <v>81</v>
      </c>
      <c r="B82" t="s">
        <v>140</v>
      </c>
      <c r="C82" s="27">
        <v>44165</v>
      </c>
      <c r="D82" t="s">
        <v>278</v>
      </c>
      <c r="E82" s="433">
        <v>676144581.29879999</v>
      </c>
      <c r="F82" s="433">
        <v>420650190</v>
      </c>
      <c r="G82" s="433">
        <v>1096794771.2988</v>
      </c>
      <c r="H82" s="433">
        <v>1030775.769294</v>
      </c>
      <c r="I82" s="433">
        <v>641277.0806623</v>
      </c>
      <c r="J82" s="433">
        <v>1672052.8499563001</v>
      </c>
      <c r="O82"/>
    </row>
    <row r="83" spans="1:15">
      <c r="A83">
        <v>82</v>
      </c>
      <c r="B83" t="s">
        <v>140</v>
      </c>
      <c r="C83" s="27">
        <v>44165</v>
      </c>
      <c r="D83" t="s">
        <v>279</v>
      </c>
      <c r="E83" s="433">
        <v>18996927019.397202</v>
      </c>
      <c r="F83" s="433">
        <v>1496568336</v>
      </c>
      <c r="G83" s="433">
        <v>20493495355.397202</v>
      </c>
      <c r="H83" s="433">
        <v>28960628.546379101</v>
      </c>
      <c r="I83" s="433">
        <v>2281503.7205182998</v>
      </c>
      <c r="J83" s="433">
        <v>31242132.266897399</v>
      </c>
      <c r="O83"/>
    </row>
    <row r="84" spans="1:15">
      <c r="A84">
        <v>83</v>
      </c>
      <c r="B84" t="s">
        <v>140</v>
      </c>
      <c r="C84" s="27">
        <v>44165</v>
      </c>
      <c r="D84" t="s">
        <v>280</v>
      </c>
      <c r="E84" s="433">
        <v>482647.8836</v>
      </c>
      <c r="F84" s="433">
        <v>4111825</v>
      </c>
      <c r="G84" s="433">
        <v>4594472.8836000003</v>
      </c>
      <c r="H84" s="433">
        <v>735.79195530000004</v>
      </c>
      <c r="I84" s="433">
        <v>6268.4368029999996</v>
      </c>
      <c r="J84" s="433">
        <v>7004.2287582999998</v>
      </c>
      <c r="O84"/>
    </row>
    <row r="85" spans="1:15">
      <c r="A85">
        <v>84</v>
      </c>
      <c r="B85" t="s">
        <v>140</v>
      </c>
      <c r="C85" s="27">
        <v>44165</v>
      </c>
      <c r="D85" t="s">
        <v>281</v>
      </c>
      <c r="E85" s="433">
        <v>835920688.85930002</v>
      </c>
      <c r="F85" s="433">
        <v>258633455</v>
      </c>
      <c r="G85" s="433">
        <v>1094554143.8592999</v>
      </c>
      <c r="H85" s="433">
        <v>1274352.8750501999</v>
      </c>
      <c r="I85" s="433">
        <v>394284.16039470001</v>
      </c>
      <c r="J85" s="433">
        <v>1668637.0354448999</v>
      </c>
      <c r="O85"/>
    </row>
    <row r="86" spans="1:15">
      <c r="A86">
        <v>85</v>
      </c>
      <c r="B86" t="s">
        <v>140</v>
      </c>
      <c r="C86" s="27">
        <v>44530</v>
      </c>
      <c r="D86" t="s">
        <v>278</v>
      </c>
      <c r="E86" s="433">
        <v>987867796.1911</v>
      </c>
      <c r="F86" s="433">
        <v>538973860</v>
      </c>
      <c r="G86" s="433">
        <v>1526841656.1910999</v>
      </c>
      <c r="H86" s="433">
        <v>1505994.7468981999</v>
      </c>
      <c r="I86" s="433">
        <v>821660.35273649998</v>
      </c>
      <c r="J86" s="433">
        <v>2327655.0996347</v>
      </c>
      <c r="O86"/>
    </row>
    <row r="87" spans="1:15">
      <c r="A87">
        <v>86</v>
      </c>
      <c r="B87" t="s">
        <v>140</v>
      </c>
      <c r="C87" s="27">
        <v>44530</v>
      </c>
      <c r="D87" t="s">
        <v>279</v>
      </c>
      <c r="E87" s="433">
        <v>1739565330.9663</v>
      </c>
      <c r="F87" s="433">
        <v>1617214446</v>
      </c>
      <c r="G87" s="433">
        <v>3356779776.9663</v>
      </c>
      <c r="H87" s="433">
        <v>2651950.2512607998</v>
      </c>
      <c r="I87" s="433">
        <v>2465427.5295484001</v>
      </c>
      <c r="J87" s="433">
        <v>5117377.7808093</v>
      </c>
      <c r="O87"/>
    </row>
    <row r="88" spans="1:15">
      <c r="A88">
        <v>87</v>
      </c>
      <c r="B88" t="s">
        <v>140</v>
      </c>
      <c r="C88" s="27">
        <v>44530</v>
      </c>
      <c r="D88" t="s">
        <v>280</v>
      </c>
      <c r="E88" s="433">
        <v>-37169910.620300002</v>
      </c>
      <c r="F88" s="433">
        <v>30256445</v>
      </c>
      <c r="G88" s="433">
        <v>-6913465.6202999996</v>
      </c>
      <c r="H88" s="433">
        <v>-56665.163448699997</v>
      </c>
      <c r="I88" s="433">
        <v>46125.653053499998</v>
      </c>
      <c r="J88" s="433">
        <v>-10539.510395200001</v>
      </c>
      <c r="O88"/>
    </row>
    <row r="89" spans="1:15">
      <c r="A89">
        <v>88</v>
      </c>
      <c r="B89" t="s">
        <v>140</v>
      </c>
      <c r="C89" s="27">
        <v>44530</v>
      </c>
      <c r="D89" t="s">
        <v>281</v>
      </c>
      <c r="E89" s="433">
        <v>879612452.42760003</v>
      </c>
      <c r="F89" s="433">
        <v>162101905</v>
      </c>
      <c r="G89" s="433">
        <v>1041714357.4276</v>
      </c>
      <c r="H89" s="433">
        <v>1340960.5392237999</v>
      </c>
      <c r="I89" s="433">
        <v>247122.7610956</v>
      </c>
      <c r="J89" s="433">
        <v>1588083.3003193999</v>
      </c>
      <c r="O89"/>
    </row>
    <row r="90" spans="1:15">
      <c r="A90">
        <v>1</v>
      </c>
      <c r="B90" t="s">
        <v>123</v>
      </c>
      <c r="C90" s="27">
        <v>44196</v>
      </c>
      <c r="D90" t="s">
        <v>278</v>
      </c>
      <c r="H90" s="433">
        <v>1531656.1239090001</v>
      </c>
      <c r="I90" s="433">
        <v>369180.95545900002</v>
      </c>
      <c r="J90" s="433">
        <v>1900837.0793679999</v>
      </c>
    </row>
    <row r="91" spans="1:15">
      <c r="A91">
        <v>2</v>
      </c>
      <c r="B91" t="s">
        <v>123</v>
      </c>
      <c r="C91" s="27">
        <v>44196</v>
      </c>
      <c r="D91" t="s">
        <v>279</v>
      </c>
      <c r="H91" s="433">
        <v>2234728.4830533001</v>
      </c>
      <c r="I91" s="433">
        <v>944368.9396104</v>
      </c>
      <c r="J91" s="433">
        <v>3179097.4226636998</v>
      </c>
    </row>
    <row r="92" spans="1:15">
      <c r="A92">
        <v>3</v>
      </c>
      <c r="B92" t="s">
        <v>123</v>
      </c>
      <c r="C92" s="27">
        <v>44196</v>
      </c>
      <c r="D92" t="s">
        <v>280</v>
      </c>
      <c r="H92" s="433">
        <v>50.432800499999999</v>
      </c>
      <c r="I92" s="433">
        <v>201.71901510000001</v>
      </c>
      <c r="J92" s="433">
        <v>252.15181559999999</v>
      </c>
    </row>
    <row r="93" spans="1:15">
      <c r="A93">
        <v>4</v>
      </c>
      <c r="B93" t="s">
        <v>123</v>
      </c>
      <c r="C93" s="27">
        <v>44196</v>
      </c>
      <c r="D93" t="s">
        <v>281</v>
      </c>
      <c r="H93" s="433">
        <v>1007744.3165072</v>
      </c>
      <c r="I93" s="433">
        <v>150245.7325709</v>
      </c>
      <c r="J93" s="433">
        <v>1157990.0490780999</v>
      </c>
    </row>
    <row r="94" spans="1:15">
      <c r="A94">
        <v>5</v>
      </c>
      <c r="B94" t="s">
        <v>123</v>
      </c>
      <c r="C94" s="27">
        <v>44561</v>
      </c>
      <c r="D94" t="s">
        <v>278</v>
      </c>
      <c r="H94" s="433">
        <v>1700927.8240533001</v>
      </c>
      <c r="I94" s="433">
        <v>528918.18643600005</v>
      </c>
      <c r="J94" s="433">
        <v>2229846.0104892999</v>
      </c>
    </row>
    <row r="95" spans="1:15">
      <c r="A95">
        <v>6</v>
      </c>
      <c r="B95" t="s">
        <v>123</v>
      </c>
      <c r="C95" s="27">
        <v>44561</v>
      </c>
      <c r="D95" t="s">
        <v>279</v>
      </c>
      <c r="H95" s="433">
        <v>1424117.3188358</v>
      </c>
      <c r="I95" s="433">
        <v>843745.50417179998</v>
      </c>
      <c r="J95" s="433">
        <v>2267862.8230075999</v>
      </c>
    </row>
    <row r="96" spans="1:15">
      <c r="A96">
        <v>7</v>
      </c>
      <c r="B96" t="s">
        <v>123</v>
      </c>
      <c r="C96" s="27">
        <v>44561</v>
      </c>
      <c r="D96" t="s">
        <v>280</v>
      </c>
      <c r="H96" s="433">
        <v>26.4024328</v>
      </c>
      <c r="I96" s="433">
        <v>7.6300733000000003</v>
      </c>
      <c r="J96" s="433">
        <v>34.032506099999999</v>
      </c>
    </row>
    <row r="97" spans="1:10">
      <c r="A97">
        <v>8</v>
      </c>
      <c r="B97" t="s">
        <v>123</v>
      </c>
      <c r="C97" s="27">
        <v>44561</v>
      </c>
      <c r="D97" t="s">
        <v>281</v>
      </c>
      <c r="H97" s="433">
        <v>1313939.5334298001</v>
      </c>
      <c r="I97" s="433">
        <v>258554.2405981</v>
      </c>
      <c r="J97" s="433">
        <v>1572493.7740279001</v>
      </c>
    </row>
    <row r="98" spans="1:10">
      <c r="A98">
        <v>9</v>
      </c>
      <c r="B98" t="s">
        <v>124</v>
      </c>
      <c r="C98" s="27">
        <v>44196</v>
      </c>
      <c r="D98" t="s">
        <v>278</v>
      </c>
      <c r="H98" s="433">
        <v>1076074.3170910999</v>
      </c>
      <c r="I98" s="433">
        <v>156248.06656529999</v>
      </c>
      <c r="J98" s="433">
        <v>1232322.3836564</v>
      </c>
    </row>
    <row r="99" spans="1:10">
      <c r="A99">
        <v>10</v>
      </c>
      <c r="B99" t="s">
        <v>124</v>
      </c>
      <c r="C99" s="27">
        <v>44196</v>
      </c>
      <c r="D99" t="s">
        <v>279</v>
      </c>
      <c r="H99" s="433">
        <v>4461867.9419222996</v>
      </c>
      <c r="I99" s="433">
        <v>3807244.5266991998</v>
      </c>
      <c r="J99" s="433">
        <v>8269112.4686214002</v>
      </c>
    </row>
    <row r="100" spans="1:10">
      <c r="A100">
        <v>11</v>
      </c>
      <c r="B100" t="s">
        <v>124</v>
      </c>
      <c r="C100" s="27">
        <v>44196</v>
      </c>
      <c r="D100" t="s">
        <v>280</v>
      </c>
      <c r="H100" s="433">
        <v>2865.0968984000001</v>
      </c>
      <c r="I100" s="433">
        <v>414.94793099999998</v>
      </c>
      <c r="J100" s="433">
        <v>3280.0448295000001</v>
      </c>
    </row>
    <row r="101" spans="1:10">
      <c r="A101">
        <v>12</v>
      </c>
      <c r="B101" t="s">
        <v>124</v>
      </c>
      <c r="C101" s="27">
        <v>44196</v>
      </c>
      <c r="D101" t="s">
        <v>281</v>
      </c>
      <c r="H101" s="433">
        <v>2660653.9709766</v>
      </c>
      <c r="I101" s="433">
        <v>435762.43107400002</v>
      </c>
      <c r="J101" s="433">
        <v>3096416.4020505999</v>
      </c>
    </row>
    <row r="102" spans="1:10">
      <c r="A102">
        <v>13</v>
      </c>
      <c r="B102" t="s">
        <v>124</v>
      </c>
      <c r="C102" s="27">
        <v>44561</v>
      </c>
      <c r="D102" t="s">
        <v>278</v>
      </c>
      <c r="H102" s="433">
        <v>1260862.3709726001</v>
      </c>
      <c r="I102" s="433">
        <v>-50425.976092899997</v>
      </c>
      <c r="J102" s="433">
        <v>1210436.3948796999</v>
      </c>
    </row>
    <row r="103" spans="1:10">
      <c r="A103">
        <v>14</v>
      </c>
      <c r="B103" t="s">
        <v>124</v>
      </c>
      <c r="C103" s="27">
        <v>44561</v>
      </c>
      <c r="D103" t="s">
        <v>279</v>
      </c>
      <c r="H103" s="433">
        <v>4216013.3203042001</v>
      </c>
      <c r="I103" s="433">
        <v>4133298.7086044</v>
      </c>
      <c r="J103" s="433">
        <v>8349312.0289086001</v>
      </c>
    </row>
    <row r="104" spans="1:10">
      <c r="A104">
        <v>15</v>
      </c>
      <c r="B104" t="s">
        <v>124</v>
      </c>
      <c r="C104" s="27">
        <v>44561</v>
      </c>
      <c r="D104" t="s">
        <v>280</v>
      </c>
      <c r="H104" s="433">
        <v>3314.8291798</v>
      </c>
      <c r="I104" s="433">
        <v>36.587764100000001</v>
      </c>
      <c r="J104" s="433">
        <v>3351.4169439000002</v>
      </c>
    </row>
    <row r="105" spans="1:10">
      <c r="A105">
        <v>16</v>
      </c>
      <c r="B105" t="s">
        <v>124</v>
      </c>
      <c r="C105" s="27">
        <v>44561</v>
      </c>
      <c r="D105" t="s">
        <v>281</v>
      </c>
      <c r="H105" s="433">
        <v>3366123.3477699002</v>
      </c>
      <c r="I105" s="433">
        <v>428516.17102950002</v>
      </c>
      <c r="J105" s="433">
        <v>3794639.5187994</v>
      </c>
    </row>
    <row r="106" spans="1:10">
      <c r="A106">
        <v>17</v>
      </c>
      <c r="B106" t="s">
        <v>131</v>
      </c>
      <c r="C106" s="27">
        <v>44196</v>
      </c>
      <c r="D106" t="s">
        <v>278</v>
      </c>
      <c r="H106" s="433">
        <v>15190199.2873908</v>
      </c>
      <c r="I106" s="433">
        <v>6125244.6974421004</v>
      </c>
      <c r="J106" s="433">
        <v>21315443.984832801</v>
      </c>
    </row>
    <row r="107" spans="1:10">
      <c r="A107">
        <v>18</v>
      </c>
      <c r="B107" t="s">
        <v>131</v>
      </c>
      <c r="C107" s="27">
        <v>44196</v>
      </c>
      <c r="D107" t="s">
        <v>279</v>
      </c>
      <c r="H107" s="433">
        <v>27188477.4743312</v>
      </c>
      <c r="I107" s="433">
        <v>22796676.204385299</v>
      </c>
      <c r="J107" s="433">
        <v>49985153.6787166</v>
      </c>
    </row>
    <row r="108" spans="1:10">
      <c r="A108">
        <v>19</v>
      </c>
      <c r="B108" t="s">
        <v>131</v>
      </c>
      <c r="C108" s="27">
        <v>44196</v>
      </c>
      <c r="D108" t="s">
        <v>280</v>
      </c>
      <c r="H108" s="433">
        <v>299881.45372360002</v>
      </c>
      <c r="I108" s="433">
        <v>91078.326780599993</v>
      </c>
      <c r="J108" s="433">
        <v>390959.78050420003</v>
      </c>
    </row>
    <row r="109" spans="1:10">
      <c r="A109">
        <v>20</v>
      </c>
      <c r="B109" t="s">
        <v>131</v>
      </c>
      <c r="C109" s="27">
        <v>44196</v>
      </c>
      <c r="D109" t="s">
        <v>281</v>
      </c>
      <c r="H109" s="433">
        <v>12455010.145039501</v>
      </c>
      <c r="I109" s="433">
        <v>2196291.5892353002</v>
      </c>
      <c r="J109" s="433">
        <v>14651301.734274801</v>
      </c>
    </row>
    <row r="110" spans="1:10">
      <c r="A110">
        <v>21</v>
      </c>
      <c r="B110" t="s">
        <v>131</v>
      </c>
      <c r="C110" s="27">
        <v>44561</v>
      </c>
      <c r="D110" t="s">
        <v>278</v>
      </c>
      <c r="H110" s="433">
        <v>19864172.928674899</v>
      </c>
      <c r="I110" s="433">
        <v>10593018.2664412</v>
      </c>
      <c r="J110" s="433">
        <v>30457191.195116099</v>
      </c>
    </row>
    <row r="111" spans="1:10">
      <c r="A111">
        <v>22</v>
      </c>
      <c r="B111" t="s">
        <v>131</v>
      </c>
      <c r="C111" s="27">
        <v>44561</v>
      </c>
      <c r="D111" t="s">
        <v>279</v>
      </c>
      <c r="H111" s="433">
        <v>20369233.922719002</v>
      </c>
      <c r="I111" s="433">
        <v>18519322.013485599</v>
      </c>
      <c r="J111" s="433">
        <v>38888555.936204702</v>
      </c>
    </row>
    <row r="112" spans="1:10">
      <c r="A112">
        <v>23</v>
      </c>
      <c r="B112" t="s">
        <v>131</v>
      </c>
      <c r="C112" s="27">
        <v>44561</v>
      </c>
      <c r="D112" t="s">
        <v>280</v>
      </c>
      <c r="H112" s="433">
        <v>22980.995027299999</v>
      </c>
      <c r="I112" s="433">
        <v>417947.4721666</v>
      </c>
      <c r="J112" s="433">
        <v>440928.46719390003</v>
      </c>
    </row>
    <row r="113" spans="1:10">
      <c r="A113">
        <v>24</v>
      </c>
      <c r="B113" t="s">
        <v>131</v>
      </c>
      <c r="C113" s="27">
        <v>44561</v>
      </c>
      <c r="D113" t="s">
        <v>281</v>
      </c>
      <c r="H113" s="433">
        <v>19757631.036977999</v>
      </c>
      <c r="I113" s="433">
        <v>4077406.2430921998</v>
      </c>
      <c r="J113" s="433">
        <v>23835037.280070201</v>
      </c>
    </row>
    <row r="114" spans="1:10">
      <c r="A114">
        <v>25</v>
      </c>
      <c r="B114" t="s">
        <v>132</v>
      </c>
      <c r="C114" s="27">
        <v>44196</v>
      </c>
      <c r="D114" t="s">
        <v>278</v>
      </c>
      <c r="H114" s="433">
        <v>8468693.0915679</v>
      </c>
      <c r="I114" s="433">
        <v>4447577.3732120004</v>
      </c>
      <c r="J114" s="433">
        <v>12916270.4647799</v>
      </c>
    </row>
    <row r="115" spans="1:10">
      <c r="A115">
        <v>26</v>
      </c>
      <c r="B115" t="s">
        <v>132</v>
      </c>
      <c r="C115" s="27">
        <v>44196</v>
      </c>
      <c r="D115" t="s">
        <v>279</v>
      </c>
      <c r="H115" s="433">
        <v>10081780.7552524</v>
      </c>
      <c r="I115" s="433">
        <v>10125523.323937399</v>
      </c>
      <c r="J115" s="433">
        <v>20207304.0791898</v>
      </c>
    </row>
    <row r="116" spans="1:10">
      <c r="A116">
        <v>27</v>
      </c>
      <c r="B116" t="s">
        <v>132</v>
      </c>
      <c r="C116" s="27">
        <v>44196</v>
      </c>
      <c r="D116" t="s">
        <v>280</v>
      </c>
      <c r="H116" s="433">
        <v>-193340.04820329999</v>
      </c>
      <c r="I116" s="433">
        <v>70817.779214199996</v>
      </c>
      <c r="J116" s="433">
        <v>-122522.2689891</v>
      </c>
    </row>
    <row r="117" spans="1:10">
      <c r="A117">
        <v>28</v>
      </c>
      <c r="B117" t="s">
        <v>132</v>
      </c>
      <c r="C117" s="27">
        <v>44196</v>
      </c>
      <c r="D117" t="s">
        <v>281</v>
      </c>
      <c r="H117" s="433">
        <v>4495611.3897302998</v>
      </c>
      <c r="I117" s="433">
        <v>1108651.1570118</v>
      </c>
      <c r="J117" s="433">
        <v>5604262.5467421003</v>
      </c>
    </row>
    <row r="118" spans="1:10">
      <c r="A118">
        <v>29</v>
      </c>
      <c r="B118" t="s">
        <v>132</v>
      </c>
      <c r="C118" s="27">
        <v>44561</v>
      </c>
      <c r="D118" t="s">
        <v>278</v>
      </c>
      <c r="H118" s="433">
        <v>8092787.7857320001</v>
      </c>
      <c r="I118" s="433">
        <v>4449794.7594125997</v>
      </c>
      <c r="J118" s="433">
        <v>12542582.545144601</v>
      </c>
    </row>
    <row r="119" spans="1:10">
      <c r="A119">
        <v>30</v>
      </c>
      <c r="B119" t="s">
        <v>132</v>
      </c>
      <c r="C119" s="27">
        <v>44561</v>
      </c>
      <c r="D119" t="s">
        <v>279</v>
      </c>
      <c r="H119" s="433">
        <v>11875631.8549992</v>
      </c>
      <c r="I119" s="433">
        <v>11344444.651097599</v>
      </c>
      <c r="J119" s="433">
        <v>23220076.506096698</v>
      </c>
    </row>
    <row r="120" spans="1:10">
      <c r="A120">
        <v>31</v>
      </c>
      <c r="B120" t="s">
        <v>132</v>
      </c>
      <c r="C120" s="27">
        <v>44561</v>
      </c>
      <c r="D120" t="s">
        <v>280</v>
      </c>
      <c r="H120" s="433">
        <v>-244364.44011299999</v>
      </c>
      <c r="I120" s="433">
        <v>65376.491141899998</v>
      </c>
      <c r="J120" s="433">
        <v>-178987.94897100001</v>
      </c>
    </row>
    <row r="121" spans="1:10">
      <c r="A121">
        <v>32</v>
      </c>
      <c r="B121" t="s">
        <v>132</v>
      </c>
      <c r="C121" s="27">
        <v>44561</v>
      </c>
      <c r="D121" t="s">
        <v>281</v>
      </c>
      <c r="H121" s="433">
        <v>4330854.2134472001</v>
      </c>
      <c r="I121" s="433">
        <v>1075008.4197592</v>
      </c>
      <c r="J121" s="433">
        <v>5405862.6332064001</v>
      </c>
    </row>
    <row r="122" spans="1:10">
      <c r="A122">
        <v>33</v>
      </c>
      <c r="B122" t="s">
        <v>135</v>
      </c>
      <c r="C122" s="27">
        <v>44196</v>
      </c>
      <c r="D122" t="s">
        <v>278</v>
      </c>
      <c r="H122" s="433">
        <v>1720643.3119921</v>
      </c>
      <c r="I122" s="433">
        <v>1449988.5876666</v>
      </c>
      <c r="J122" s="433">
        <v>3170631.8996587</v>
      </c>
    </row>
    <row r="123" spans="1:10">
      <c r="A123">
        <v>34</v>
      </c>
      <c r="B123" t="s">
        <v>135</v>
      </c>
      <c r="C123" s="27">
        <v>44196</v>
      </c>
      <c r="D123" t="s">
        <v>279</v>
      </c>
      <c r="H123" s="433">
        <v>312849.77102659998</v>
      </c>
      <c r="I123" s="433">
        <v>414688.82411500002</v>
      </c>
      <c r="J123" s="433">
        <v>727538.5951416</v>
      </c>
    </row>
    <row r="124" spans="1:10">
      <c r="A124">
        <v>35</v>
      </c>
      <c r="B124" t="s">
        <v>135</v>
      </c>
      <c r="C124" s="27">
        <v>44196</v>
      </c>
      <c r="D124" t="s">
        <v>280</v>
      </c>
      <c r="H124" s="433">
        <v>-8936.2226343000002</v>
      </c>
      <c r="I124" s="433">
        <v>1752.4761532</v>
      </c>
      <c r="J124" s="433">
        <v>-7183.7464811</v>
      </c>
    </row>
    <row r="125" spans="1:10">
      <c r="A125">
        <v>36</v>
      </c>
      <c r="B125" t="s">
        <v>135</v>
      </c>
      <c r="C125" s="27">
        <v>44196</v>
      </c>
      <c r="D125" t="s">
        <v>281</v>
      </c>
      <c r="H125" s="433">
        <v>1906178.9259766</v>
      </c>
      <c r="I125" s="433">
        <v>1009907.5168037</v>
      </c>
      <c r="J125" s="433">
        <v>2916086.4427801999</v>
      </c>
    </row>
    <row r="126" spans="1:10">
      <c r="A126">
        <v>37</v>
      </c>
      <c r="B126" t="s">
        <v>135</v>
      </c>
      <c r="C126" s="27">
        <v>44561</v>
      </c>
      <c r="D126" t="s">
        <v>278</v>
      </c>
      <c r="H126" s="433">
        <v>2181100.2343333</v>
      </c>
      <c r="I126" s="433">
        <v>1676279.1722627999</v>
      </c>
      <c r="J126" s="433">
        <v>3857379.4065962001</v>
      </c>
    </row>
    <row r="127" spans="1:10">
      <c r="A127">
        <v>38</v>
      </c>
      <c r="B127" t="s">
        <v>135</v>
      </c>
      <c r="C127" s="27">
        <v>44561</v>
      </c>
      <c r="D127" t="s">
        <v>279</v>
      </c>
      <c r="H127" s="433">
        <v>451774.66076970001</v>
      </c>
      <c r="I127" s="433">
        <v>476477.52367909998</v>
      </c>
      <c r="J127" s="433">
        <v>928252.18444880005</v>
      </c>
    </row>
    <row r="128" spans="1:10">
      <c r="A128">
        <v>39</v>
      </c>
      <c r="B128" t="s">
        <v>135</v>
      </c>
      <c r="C128" s="27">
        <v>44561</v>
      </c>
      <c r="D128" t="s">
        <v>280</v>
      </c>
      <c r="H128" s="433">
        <v>-8419.2077339000007</v>
      </c>
      <c r="I128" s="433">
        <v>2106.6258916000002</v>
      </c>
      <c r="J128" s="433">
        <v>-6312.5818423000001</v>
      </c>
    </row>
    <row r="129" spans="1:10">
      <c r="A129">
        <v>40</v>
      </c>
      <c r="B129" t="s">
        <v>135</v>
      </c>
      <c r="C129" s="27">
        <v>44561</v>
      </c>
      <c r="D129" t="s">
        <v>281</v>
      </c>
      <c r="H129" s="433">
        <v>2099917.5463498002</v>
      </c>
      <c r="I129" s="433">
        <v>1113782.3439646</v>
      </c>
      <c r="J129" s="433">
        <v>3213699.8903144998</v>
      </c>
    </row>
    <row r="130" spans="1:10">
      <c r="A130">
        <v>41</v>
      </c>
      <c r="B130" t="s">
        <v>136</v>
      </c>
      <c r="C130" s="27">
        <v>44196</v>
      </c>
      <c r="D130" t="s">
        <v>278</v>
      </c>
      <c r="H130" s="433">
        <v>-229922.32849680001</v>
      </c>
      <c r="I130" s="433">
        <v>0</v>
      </c>
      <c r="J130" s="433">
        <v>-229922.32849680001</v>
      </c>
    </row>
    <row r="131" spans="1:10">
      <c r="A131">
        <v>42</v>
      </c>
      <c r="B131" t="s">
        <v>136</v>
      </c>
      <c r="C131" s="27">
        <v>44196</v>
      </c>
      <c r="D131" t="s">
        <v>279</v>
      </c>
      <c r="H131" s="433">
        <v>1812489.1225316001</v>
      </c>
      <c r="I131" s="433">
        <v>0</v>
      </c>
      <c r="J131" s="433">
        <v>1812489.1225316001</v>
      </c>
    </row>
    <row r="132" spans="1:10">
      <c r="A132">
        <v>43</v>
      </c>
      <c r="B132" t="s">
        <v>136</v>
      </c>
      <c r="C132" s="27">
        <v>44196</v>
      </c>
      <c r="D132" t="s">
        <v>280</v>
      </c>
      <c r="H132" s="433">
        <v>375.19424429999998</v>
      </c>
      <c r="I132" s="433">
        <v>0</v>
      </c>
      <c r="J132" s="433">
        <v>375.19424429999998</v>
      </c>
    </row>
    <row r="133" spans="1:10">
      <c r="A133">
        <v>44</v>
      </c>
      <c r="B133" t="s">
        <v>136</v>
      </c>
      <c r="C133" s="27">
        <v>44196</v>
      </c>
      <c r="D133" t="s">
        <v>281</v>
      </c>
      <c r="H133" s="433">
        <v>133153.8687627</v>
      </c>
      <c r="I133" s="433">
        <v>0</v>
      </c>
      <c r="J133" s="433">
        <v>133153.8687627</v>
      </c>
    </row>
    <row r="134" spans="1:10">
      <c r="A134">
        <v>45</v>
      </c>
      <c r="B134" t="s">
        <v>136</v>
      </c>
      <c r="C134" s="27">
        <v>44561</v>
      </c>
      <c r="D134" t="s">
        <v>278</v>
      </c>
      <c r="H134" s="433">
        <v>-672700.35315830004</v>
      </c>
      <c r="I134" s="433">
        <v>790789.93277780002</v>
      </c>
      <c r="J134" s="433">
        <v>118089.5796195</v>
      </c>
    </row>
    <row r="135" spans="1:10">
      <c r="A135">
        <v>46</v>
      </c>
      <c r="B135" t="s">
        <v>136</v>
      </c>
      <c r="C135" s="27">
        <v>44561</v>
      </c>
      <c r="D135" t="s">
        <v>279</v>
      </c>
      <c r="H135" s="433">
        <v>689362.7271276</v>
      </c>
      <c r="I135" s="433">
        <v>2625246.6820931002</v>
      </c>
      <c r="J135" s="433">
        <v>3314609.4092207002</v>
      </c>
    </row>
    <row r="136" spans="1:10">
      <c r="A136">
        <v>47</v>
      </c>
      <c r="B136" t="s">
        <v>136</v>
      </c>
      <c r="C136" s="27">
        <v>44561</v>
      </c>
      <c r="D136" t="s">
        <v>280</v>
      </c>
      <c r="H136" s="433">
        <v>-2974.1243684000001</v>
      </c>
      <c r="I136" s="433">
        <v>5019.9704164000004</v>
      </c>
      <c r="J136" s="433">
        <v>2045.8460479</v>
      </c>
    </row>
    <row r="137" spans="1:10">
      <c r="A137">
        <v>48</v>
      </c>
      <c r="B137" t="s">
        <v>136</v>
      </c>
      <c r="C137" s="27">
        <v>44561</v>
      </c>
      <c r="D137" t="s">
        <v>281</v>
      </c>
      <c r="H137" s="433">
        <v>477060.39580559998</v>
      </c>
      <c r="I137" s="433">
        <v>362285.83207629999</v>
      </c>
      <c r="J137" s="433">
        <v>839346.22788180003</v>
      </c>
    </row>
    <row r="138" spans="1:10">
      <c r="A138">
        <v>49</v>
      </c>
      <c r="B138" t="s">
        <v>137</v>
      </c>
      <c r="C138" s="27">
        <v>44196</v>
      </c>
      <c r="D138" t="s">
        <v>278</v>
      </c>
      <c r="H138" s="433">
        <v>3462101.7292935001</v>
      </c>
      <c r="I138" s="433">
        <v>879279.71554739994</v>
      </c>
      <c r="J138" s="433">
        <v>4341381.4448408997</v>
      </c>
    </row>
    <row r="139" spans="1:10">
      <c r="A139">
        <v>50</v>
      </c>
      <c r="B139" t="s">
        <v>137</v>
      </c>
      <c r="C139" s="27">
        <v>44196</v>
      </c>
      <c r="D139" t="s">
        <v>279</v>
      </c>
      <c r="H139" s="433">
        <v>5782174.2289282996</v>
      </c>
      <c r="I139" s="433">
        <v>2267712.3496114998</v>
      </c>
      <c r="J139" s="433">
        <v>8049886.5785398996</v>
      </c>
    </row>
    <row r="140" spans="1:10">
      <c r="A140">
        <v>51</v>
      </c>
      <c r="B140" t="s">
        <v>137</v>
      </c>
      <c r="C140" s="27">
        <v>44196</v>
      </c>
      <c r="D140" t="s">
        <v>280</v>
      </c>
      <c r="H140" s="433">
        <v>10010.4204202</v>
      </c>
      <c r="I140" s="433">
        <v>192.96228429999999</v>
      </c>
      <c r="J140" s="433">
        <v>10203.3827045</v>
      </c>
    </row>
    <row r="141" spans="1:10">
      <c r="A141">
        <v>52</v>
      </c>
      <c r="B141" t="s">
        <v>137</v>
      </c>
      <c r="C141" s="27">
        <v>44196</v>
      </c>
      <c r="D141" t="s">
        <v>281</v>
      </c>
      <c r="H141" s="433">
        <v>2627256.5137624</v>
      </c>
      <c r="I141" s="433">
        <v>197515.8292752</v>
      </c>
      <c r="J141" s="433">
        <v>2824772.3430376002</v>
      </c>
    </row>
    <row r="142" spans="1:10">
      <c r="A142">
        <v>53</v>
      </c>
      <c r="B142" t="s">
        <v>137</v>
      </c>
      <c r="C142" s="27">
        <v>44561</v>
      </c>
      <c r="D142" t="s">
        <v>278</v>
      </c>
      <c r="H142" s="433">
        <v>3930911.7679309002</v>
      </c>
      <c r="I142" s="433">
        <v>1208355.9578519999</v>
      </c>
      <c r="J142" s="433">
        <v>5139267.7257829001</v>
      </c>
    </row>
    <row r="143" spans="1:10">
      <c r="A143">
        <v>54</v>
      </c>
      <c r="B143" t="s">
        <v>137</v>
      </c>
      <c r="C143" s="27">
        <v>44561</v>
      </c>
      <c r="D143" t="s">
        <v>279</v>
      </c>
      <c r="H143" s="433">
        <v>7029048.6352701997</v>
      </c>
      <c r="I143" s="433">
        <v>3450197.1582175</v>
      </c>
      <c r="J143" s="433">
        <v>10479245.7934878</v>
      </c>
    </row>
    <row r="144" spans="1:10">
      <c r="A144">
        <v>55</v>
      </c>
      <c r="B144" t="s">
        <v>137</v>
      </c>
      <c r="C144" s="27">
        <v>44561</v>
      </c>
      <c r="D144" t="s">
        <v>280</v>
      </c>
      <c r="H144" s="433">
        <v>15073.6497215</v>
      </c>
      <c r="I144" s="433">
        <v>1246.9936831</v>
      </c>
      <c r="J144" s="433">
        <v>16320.643404599999</v>
      </c>
    </row>
    <row r="145" spans="1:10">
      <c r="A145">
        <v>56</v>
      </c>
      <c r="B145" t="s">
        <v>137</v>
      </c>
      <c r="C145" s="27">
        <v>44561</v>
      </c>
      <c r="D145" t="s">
        <v>281</v>
      </c>
      <c r="H145" s="433">
        <v>1892183.2413444</v>
      </c>
      <c r="I145" s="433">
        <v>192401.12260599999</v>
      </c>
      <c r="J145" s="433">
        <v>2084584.3639503999</v>
      </c>
    </row>
    <row r="146" spans="1:10">
      <c r="A146">
        <v>57</v>
      </c>
      <c r="B146" t="s">
        <v>138</v>
      </c>
      <c r="C146" s="27">
        <v>44196</v>
      </c>
      <c r="D146" t="s">
        <v>278</v>
      </c>
      <c r="H146" s="433">
        <v>5824150.3872982999</v>
      </c>
      <c r="I146" s="433">
        <v>1715001.1771034</v>
      </c>
      <c r="J146" s="433">
        <v>7539151.5644017002</v>
      </c>
    </row>
    <row r="147" spans="1:10">
      <c r="A147">
        <v>58</v>
      </c>
      <c r="B147" t="s">
        <v>138</v>
      </c>
      <c r="C147" s="27">
        <v>44196</v>
      </c>
      <c r="D147" t="s">
        <v>279</v>
      </c>
      <c r="H147" s="433">
        <v>9908432.9392540008</v>
      </c>
      <c r="I147" s="433">
        <v>4550097.7675347002</v>
      </c>
      <c r="J147" s="433">
        <v>14458530.7067887</v>
      </c>
    </row>
    <row r="148" spans="1:10">
      <c r="A148">
        <v>59</v>
      </c>
      <c r="B148" t="s">
        <v>138</v>
      </c>
      <c r="C148" s="27">
        <v>44196</v>
      </c>
      <c r="D148" t="s">
        <v>280</v>
      </c>
      <c r="H148" s="433">
        <v>846.59309789999998</v>
      </c>
      <c r="I148" s="433">
        <v>324.03474949999998</v>
      </c>
      <c r="J148" s="433">
        <v>1170.6278474000001</v>
      </c>
    </row>
    <row r="149" spans="1:10">
      <c r="A149">
        <v>60</v>
      </c>
      <c r="B149" t="s">
        <v>138</v>
      </c>
      <c r="C149" s="27">
        <v>44196</v>
      </c>
      <c r="D149" t="s">
        <v>281</v>
      </c>
      <c r="H149" s="433">
        <v>1761222.7057415999</v>
      </c>
      <c r="I149" s="433">
        <v>395013.69553740002</v>
      </c>
      <c r="J149" s="433">
        <v>2156236.4012790001</v>
      </c>
    </row>
    <row r="150" spans="1:10">
      <c r="A150">
        <v>61</v>
      </c>
      <c r="B150" t="s">
        <v>138</v>
      </c>
      <c r="C150" s="27">
        <v>44561</v>
      </c>
      <c r="D150" t="s">
        <v>278</v>
      </c>
      <c r="H150" s="433">
        <v>7061402.3200812005</v>
      </c>
      <c r="I150" s="433">
        <v>2100531.5530816</v>
      </c>
      <c r="J150" s="433">
        <v>9161933.8731628004</v>
      </c>
    </row>
    <row r="151" spans="1:10">
      <c r="A151">
        <v>62</v>
      </c>
      <c r="B151" t="s">
        <v>138</v>
      </c>
      <c r="C151" s="27">
        <v>44561</v>
      </c>
      <c r="D151" t="s">
        <v>279</v>
      </c>
      <c r="H151" s="433">
        <v>13423820.590636799</v>
      </c>
      <c r="I151" s="433">
        <v>6213913.4966666996</v>
      </c>
      <c r="J151" s="433">
        <v>19637734.087303501</v>
      </c>
    </row>
    <row r="152" spans="1:10">
      <c r="A152">
        <v>63</v>
      </c>
      <c r="B152" t="s">
        <v>138</v>
      </c>
      <c r="C152" s="27">
        <v>44561</v>
      </c>
      <c r="D152" t="s">
        <v>280</v>
      </c>
      <c r="H152" s="433">
        <v>669.85509079999997</v>
      </c>
      <c r="I152" s="433">
        <v>427.7488065</v>
      </c>
      <c r="J152" s="433">
        <v>1097.6038974000001</v>
      </c>
    </row>
    <row r="153" spans="1:10">
      <c r="A153">
        <v>64</v>
      </c>
      <c r="B153" t="s">
        <v>138</v>
      </c>
      <c r="C153" s="27">
        <v>44561</v>
      </c>
      <c r="D153" t="s">
        <v>281</v>
      </c>
      <c r="H153" s="433">
        <v>2171081.6068174001</v>
      </c>
      <c r="I153" s="433">
        <v>524984.69701350003</v>
      </c>
      <c r="J153" s="433">
        <v>2696066.3038309002</v>
      </c>
    </row>
    <row r="154" spans="1:10">
      <c r="A154">
        <v>65</v>
      </c>
      <c r="B154" t="s">
        <v>139</v>
      </c>
      <c r="C154" s="27">
        <v>44196</v>
      </c>
      <c r="D154" t="s">
        <v>278</v>
      </c>
      <c r="H154" s="433">
        <v>723644.90136130003</v>
      </c>
      <c r="I154" s="433">
        <v>656959.15743440005</v>
      </c>
      <c r="J154" s="433">
        <v>1380604.0587957001</v>
      </c>
    </row>
    <row r="155" spans="1:10">
      <c r="A155">
        <v>66</v>
      </c>
      <c r="B155" t="s">
        <v>139</v>
      </c>
      <c r="C155" s="27">
        <v>44196</v>
      </c>
      <c r="D155" t="s">
        <v>279</v>
      </c>
      <c r="H155" s="433">
        <v>1938955.9918837999</v>
      </c>
      <c r="I155" s="433">
        <v>2047294.5768108999</v>
      </c>
      <c r="J155" s="433">
        <v>3986250.5686948001</v>
      </c>
    </row>
    <row r="156" spans="1:10">
      <c r="A156">
        <v>67</v>
      </c>
      <c r="B156" t="s">
        <v>139</v>
      </c>
      <c r="C156" s="27">
        <v>44196</v>
      </c>
      <c r="D156" t="s">
        <v>280</v>
      </c>
      <c r="H156" s="433">
        <v>-118005.4291702</v>
      </c>
      <c r="I156" s="433">
        <v>3093.2805561999999</v>
      </c>
      <c r="J156" s="433">
        <v>-114912.14861400001</v>
      </c>
    </row>
    <row r="157" spans="1:10">
      <c r="A157">
        <v>68</v>
      </c>
      <c r="B157" t="s">
        <v>139</v>
      </c>
      <c r="C157" s="27">
        <v>44196</v>
      </c>
      <c r="D157" t="s">
        <v>281</v>
      </c>
      <c r="H157" s="433">
        <v>655761.37226960005</v>
      </c>
      <c r="I157" s="433">
        <v>200619.93429020001</v>
      </c>
      <c r="J157" s="433">
        <v>856381.30655980005</v>
      </c>
    </row>
    <row r="158" spans="1:10">
      <c r="A158">
        <v>69</v>
      </c>
      <c r="B158" t="s">
        <v>139</v>
      </c>
      <c r="C158" s="27">
        <v>44561</v>
      </c>
      <c r="D158" t="s">
        <v>278</v>
      </c>
      <c r="H158" s="433">
        <v>531457.81646500004</v>
      </c>
      <c r="I158" s="433">
        <v>815827.32837280002</v>
      </c>
      <c r="J158" s="433">
        <v>1347285.1448377999</v>
      </c>
    </row>
    <row r="159" spans="1:10">
      <c r="A159">
        <v>70</v>
      </c>
      <c r="B159" t="s">
        <v>139</v>
      </c>
      <c r="C159" s="27">
        <v>44561</v>
      </c>
      <c r="D159" t="s">
        <v>279</v>
      </c>
      <c r="H159" s="433">
        <v>1970500.7571505001</v>
      </c>
      <c r="I159" s="433">
        <v>2351686.1949256002</v>
      </c>
      <c r="J159" s="433">
        <v>4322186.9520760998</v>
      </c>
    </row>
    <row r="160" spans="1:10">
      <c r="A160">
        <v>71</v>
      </c>
      <c r="B160" t="s">
        <v>139</v>
      </c>
      <c r="C160" s="27">
        <v>44561</v>
      </c>
      <c r="D160" t="s">
        <v>280</v>
      </c>
      <c r="H160" s="433">
        <v>-172038.54420589999</v>
      </c>
      <c r="I160" s="433">
        <v>869.52671380000004</v>
      </c>
      <c r="J160" s="433">
        <v>-171169.01749210001</v>
      </c>
    </row>
    <row r="161" spans="1:10">
      <c r="A161">
        <v>72</v>
      </c>
      <c r="B161" t="s">
        <v>139</v>
      </c>
      <c r="C161" s="27">
        <v>44561</v>
      </c>
      <c r="D161" t="s">
        <v>281</v>
      </c>
      <c r="H161" s="433">
        <v>354387.77086360002</v>
      </c>
      <c r="I161" s="433">
        <v>230574.30861189999</v>
      </c>
      <c r="J161" s="433">
        <v>584962.07947550004</v>
      </c>
    </row>
    <row r="162" spans="1:10">
      <c r="A162">
        <v>73</v>
      </c>
      <c r="B162" t="s">
        <v>141</v>
      </c>
      <c r="C162" s="27">
        <v>44196</v>
      </c>
      <c r="D162" t="s">
        <v>278</v>
      </c>
      <c r="H162" s="433">
        <v>9072863.8651707005</v>
      </c>
      <c r="I162" s="433">
        <v>2649766.5807361999</v>
      </c>
      <c r="J162" s="433">
        <v>11722630.445907</v>
      </c>
    </row>
    <row r="163" spans="1:10">
      <c r="A163">
        <v>74</v>
      </c>
      <c r="B163" t="s">
        <v>141</v>
      </c>
      <c r="C163" s="27">
        <v>44196</v>
      </c>
      <c r="D163" t="s">
        <v>279</v>
      </c>
      <c r="H163" s="433">
        <v>10494943.687882699</v>
      </c>
      <c r="I163" s="433">
        <v>6756933.7456571003</v>
      </c>
      <c r="J163" s="433">
        <v>17251877.433539901</v>
      </c>
    </row>
    <row r="164" spans="1:10">
      <c r="A164">
        <v>75</v>
      </c>
      <c r="B164" t="s">
        <v>141</v>
      </c>
      <c r="C164" s="27">
        <v>44196</v>
      </c>
      <c r="D164" t="s">
        <v>280</v>
      </c>
      <c r="H164" s="433">
        <v>-961475.22285969998</v>
      </c>
      <c r="I164" s="433">
        <v>72229.925132300006</v>
      </c>
      <c r="J164" s="433">
        <v>-889245.29772739997</v>
      </c>
    </row>
    <row r="165" spans="1:10">
      <c r="A165">
        <v>76</v>
      </c>
      <c r="B165" t="s">
        <v>141</v>
      </c>
      <c r="C165" s="27">
        <v>44196</v>
      </c>
      <c r="D165" t="s">
        <v>281</v>
      </c>
      <c r="H165" s="433">
        <v>11871267.7778893</v>
      </c>
      <c r="I165" s="433">
        <v>1081836.3475045001</v>
      </c>
      <c r="J165" s="433">
        <v>12953104.1253937</v>
      </c>
    </row>
    <row r="166" spans="1:10">
      <c r="A166">
        <v>77</v>
      </c>
      <c r="B166" t="s">
        <v>141</v>
      </c>
      <c r="C166" s="27">
        <v>44561</v>
      </c>
      <c r="D166" t="s">
        <v>278</v>
      </c>
      <c r="H166" s="433">
        <v>9439712.2565918006</v>
      </c>
      <c r="I166" s="433">
        <v>2621307.1253145998</v>
      </c>
      <c r="J166" s="433">
        <v>12061019.3819064</v>
      </c>
    </row>
    <row r="167" spans="1:10">
      <c r="A167">
        <v>78</v>
      </c>
      <c r="B167" t="s">
        <v>141</v>
      </c>
      <c r="C167" s="27">
        <v>44561</v>
      </c>
      <c r="D167" t="s">
        <v>279</v>
      </c>
      <c r="H167" s="433">
        <v>10065142.8479403</v>
      </c>
      <c r="I167" s="433">
        <v>5484169.9288216</v>
      </c>
      <c r="J167" s="433">
        <v>15549312.776761901</v>
      </c>
    </row>
    <row r="168" spans="1:10">
      <c r="A168">
        <v>79</v>
      </c>
      <c r="B168" t="s">
        <v>141</v>
      </c>
      <c r="C168" s="27">
        <v>44561</v>
      </c>
      <c r="D168" t="s">
        <v>280</v>
      </c>
      <c r="H168" s="433">
        <v>-995692.63660930004</v>
      </c>
      <c r="I168" s="433">
        <v>58670.556149299999</v>
      </c>
      <c r="J168" s="433">
        <v>-937022.08045999997</v>
      </c>
    </row>
    <row r="169" spans="1:10">
      <c r="A169">
        <v>80</v>
      </c>
      <c r="B169" t="s">
        <v>141</v>
      </c>
      <c r="C169" s="27">
        <v>44561</v>
      </c>
      <c r="D169" t="s">
        <v>281</v>
      </c>
      <c r="H169" s="433">
        <v>15147174.479046799</v>
      </c>
      <c r="I169" s="433">
        <v>1121131.2067712001</v>
      </c>
      <c r="J169" s="433">
        <v>16268305.685818</v>
      </c>
    </row>
    <row r="170" spans="1:10">
      <c r="A170">
        <v>81</v>
      </c>
      <c r="B170" t="s">
        <v>140</v>
      </c>
      <c r="C170" s="393">
        <v>44196</v>
      </c>
      <c r="D170" s="394" t="s">
        <v>279</v>
      </c>
      <c r="E170" s="444"/>
      <c r="F170" s="444"/>
      <c r="G170" s="444"/>
      <c r="H170" s="444">
        <v>2556983.0049835588</v>
      </c>
      <c r="I170" s="444">
        <v>2675469.827900304</v>
      </c>
      <c r="J170" s="444">
        <v>5232452.8328838628</v>
      </c>
    </row>
    <row r="171" spans="1:10">
      <c r="A171">
        <v>82</v>
      </c>
      <c r="B171" t="s">
        <v>140</v>
      </c>
      <c r="C171" s="393">
        <v>44196</v>
      </c>
      <c r="D171" s="394" t="s">
        <v>278</v>
      </c>
      <c r="E171" s="444"/>
      <c r="F171" s="444"/>
      <c r="G171" s="444"/>
      <c r="H171" s="444">
        <v>684671.44187804998</v>
      </c>
      <c r="I171" s="444">
        <v>1150272.6079605827</v>
      </c>
      <c r="J171" s="444">
        <v>1834944.0498386328</v>
      </c>
    </row>
    <row r="172" spans="1:10">
      <c r="A172">
        <v>83</v>
      </c>
      <c r="B172" t="s">
        <v>140</v>
      </c>
      <c r="C172" s="393">
        <v>44196</v>
      </c>
      <c r="D172" s="394" t="s">
        <v>281</v>
      </c>
      <c r="E172" s="444"/>
      <c r="F172" s="444"/>
      <c r="G172" s="444"/>
      <c r="H172" s="444">
        <v>424865.41190962214</v>
      </c>
      <c r="I172" s="444">
        <v>1410194.2601420521</v>
      </c>
      <c r="J172" s="444">
        <v>1835059.6720516742</v>
      </c>
    </row>
    <row r="173" spans="1:10">
      <c r="A173">
        <v>84</v>
      </c>
      <c r="B173" t="s">
        <v>140</v>
      </c>
      <c r="C173" s="393">
        <v>44196</v>
      </c>
      <c r="D173" s="394" t="s">
        <v>280</v>
      </c>
      <c r="E173" s="444"/>
      <c r="F173" s="444"/>
      <c r="G173" s="444"/>
      <c r="H173" s="444">
        <v>6643.0787383929119</v>
      </c>
      <c r="I173" s="444">
        <v>866.2974859632568</v>
      </c>
      <c r="J173" s="444">
        <v>7509.3762243561687</v>
      </c>
    </row>
    <row r="174" spans="1:10">
      <c r="A174">
        <v>85</v>
      </c>
      <c r="B174" t="s">
        <v>140</v>
      </c>
      <c r="C174" s="27">
        <v>44561</v>
      </c>
      <c r="D174" t="s">
        <v>278</v>
      </c>
      <c r="H174" s="433">
        <v>1681693.2445280999</v>
      </c>
      <c r="I174" s="433">
        <v>905358.52502529998</v>
      </c>
      <c r="J174" s="433">
        <v>2587051.7695533</v>
      </c>
    </row>
    <row r="175" spans="1:10">
      <c r="A175">
        <v>86</v>
      </c>
      <c r="B175" t="s">
        <v>140</v>
      </c>
      <c r="C175" s="27">
        <v>44561</v>
      </c>
      <c r="D175" t="s">
        <v>279</v>
      </c>
      <c r="H175" s="433">
        <v>2892951.5066477</v>
      </c>
      <c r="I175" s="433">
        <v>2684898.7037260002</v>
      </c>
      <c r="J175" s="433">
        <v>5577850.2103736997</v>
      </c>
    </row>
    <row r="176" spans="1:10">
      <c r="A176">
        <v>87</v>
      </c>
      <c r="B176" t="s">
        <v>140</v>
      </c>
      <c r="C176" s="27">
        <v>44561</v>
      </c>
      <c r="D176" t="s">
        <v>280</v>
      </c>
      <c r="H176" s="433">
        <v>-58778.011734</v>
      </c>
      <c r="I176" s="433">
        <v>45141.817222799997</v>
      </c>
      <c r="J176" s="433">
        <v>-13636.194511199999</v>
      </c>
    </row>
    <row r="177" spans="1:10">
      <c r="A177">
        <v>88</v>
      </c>
      <c r="B177" t="s">
        <v>140</v>
      </c>
      <c r="C177" s="27">
        <v>44561</v>
      </c>
      <c r="D177" t="s">
        <v>281</v>
      </c>
      <c r="H177" s="433">
        <v>1448577.4206172</v>
      </c>
      <c r="I177" s="433">
        <v>272294.35466040001</v>
      </c>
      <c r="J177" s="433">
        <v>1720871.7752775999</v>
      </c>
    </row>
    <row r="178" spans="1:10">
      <c r="A178" s="422">
        <v>89</v>
      </c>
      <c r="B178" s="422" t="s">
        <v>123</v>
      </c>
      <c r="C178" s="27">
        <v>44227</v>
      </c>
      <c r="D178" s="422" t="s">
        <v>278</v>
      </c>
      <c r="E178" s="433">
        <v>82886992.3873</v>
      </c>
      <c r="F178" s="433">
        <v>17028436</v>
      </c>
      <c r="G178" s="433">
        <v>99915428.3873</v>
      </c>
      <c r="H178" s="433">
        <v>126360.4053121</v>
      </c>
      <c r="I178" s="433">
        <v>25959.6833329</v>
      </c>
      <c r="J178" s="433">
        <v>152320.08864500001</v>
      </c>
    </row>
    <row r="179" spans="1:10">
      <c r="A179" s="422">
        <v>90</v>
      </c>
      <c r="B179" s="422" t="s">
        <v>123</v>
      </c>
      <c r="C179" s="27">
        <v>44227</v>
      </c>
      <c r="D179" s="422" t="s">
        <v>279</v>
      </c>
      <c r="E179" s="433">
        <v>110329236.20020001</v>
      </c>
      <c r="F179" s="433">
        <v>43672942.460000001</v>
      </c>
      <c r="G179" s="433">
        <v>154002178.6602</v>
      </c>
      <c r="H179" s="433">
        <v>168195.8363127</v>
      </c>
      <c r="I179" s="433">
        <v>66578.971578900004</v>
      </c>
      <c r="J179" s="433">
        <v>234774.80789170001</v>
      </c>
    </row>
    <row r="180" spans="1:10">
      <c r="A180" s="422">
        <v>91</v>
      </c>
      <c r="B180" s="422" t="s">
        <v>123</v>
      </c>
      <c r="C180" s="27">
        <v>44227</v>
      </c>
      <c r="D180" s="422" t="s">
        <v>280</v>
      </c>
      <c r="E180" s="433">
        <v>-1269.8541</v>
      </c>
      <c r="F180" s="433">
        <v>0</v>
      </c>
      <c r="G180" s="433">
        <v>-1269.8541</v>
      </c>
      <c r="H180" s="433">
        <v>-1.9358801000000001</v>
      </c>
      <c r="I180" s="433">
        <v>0</v>
      </c>
      <c r="J180" s="433">
        <v>-1.9358801000000001</v>
      </c>
    </row>
    <row r="181" spans="1:10">
      <c r="A181" s="422">
        <v>92</v>
      </c>
      <c r="B181" s="422" t="s">
        <v>123</v>
      </c>
      <c r="C181" s="27">
        <v>44227</v>
      </c>
      <c r="D181" s="422" t="s">
        <v>281</v>
      </c>
      <c r="E181" s="433">
        <v>55436238.983000003</v>
      </c>
      <c r="F181" s="433">
        <v>8705287</v>
      </c>
      <c r="G181" s="433">
        <v>64141525.983000003</v>
      </c>
      <c r="H181" s="433">
        <v>84512.001522999999</v>
      </c>
      <c r="I181" s="433">
        <v>13271.1244792</v>
      </c>
      <c r="J181" s="433">
        <v>97783.126002200006</v>
      </c>
    </row>
    <row r="182" spans="1:10">
      <c r="A182" s="422">
        <v>93</v>
      </c>
      <c r="B182" s="422" t="s">
        <v>123</v>
      </c>
      <c r="C182" s="27">
        <v>44592</v>
      </c>
      <c r="D182" s="422" t="s">
        <v>278</v>
      </c>
      <c r="E182" s="433">
        <v>87298542.954699993</v>
      </c>
      <c r="F182" s="433">
        <v>27919969</v>
      </c>
      <c r="G182" s="433">
        <v>115218511.95469999</v>
      </c>
      <c r="H182" s="433">
        <v>133085.770797</v>
      </c>
      <c r="I182" s="433">
        <v>42563.7183535</v>
      </c>
      <c r="J182" s="433">
        <v>175649.48915050001</v>
      </c>
    </row>
    <row r="183" spans="1:10">
      <c r="A183" s="422">
        <v>94</v>
      </c>
      <c r="B183" s="422" t="s">
        <v>123</v>
      </c>
      <c r="C183" s="27">
        <v>44592</v>
      </c>
      <c r="D183" s="422" t="s">
        <v>279</v>
      </c>
      <c r="E183" s="433">
        <v>76926651.526099995</v>
      </c>
      <c r="F183" s="433">
        <v>37795538.640000001</v>
      </c>
      <c r="G183" s="433">
        <v>114722190.1661</v>
      </c>
      <c r="H183" s="433">
        <v>117273.9242452</v>
      </c>
      <c r="I183" s="433">
        <v>57618.927216299999</v>
      </c>
      <c r="J183" s="433">
        <v>174892.85146149999</v>
      </c>
    </row>
    <row r="184" spans="1:10">
      <c r="A184" s="422">
        <v>95</v>
      </c>
      <c r="B184" s="422" t="s">
        <v>123</v>
      </c>
      <c r="C184" s="27">
        <v>44592</v>
      </c>
      <c r="D184" s="422" t="s">
        <v>280</v>
      </c>
      <c r="E184" s="433">
        <v>925.41160000000002</v>
      </c>
      <c r="F184" s="433">
        <v>1365</v>
      </c>
      <c r="G184" s="433">
        <v>2290.4115999999999</v>
      </c>
      <c r="H184" s="433">
        <v>1.4107809</v>
      </c>
      <c r="I184" s="433">
        <v>2.0809291000000001</v>
      </c>
      <c r="J184" s="433">
        <v>3.4917099999999999</v>
      </c>
    </row>
    <row r="185" spans="1:10">
      <c r="A185" s="422">
        <v>96</v>
      </c>
      <c r="B185" s="422" t="s">
        <v>123</v>
      </c>
      <c r="C185" s="27">
        <v>44592</v>
      </c>
      <c r="D185" s="422" t="s">
        <v>281</v>
      </c>
      <c r="E185" s="433">
        <v>73861161.333399996</v>
      </c>
      <c r="F185" s="433">
        <v>15878554</v>
      </c>
      <c r="G185" s="433">
        <v>89739715.333399996</v>
      </c>
      <c r="H185" s="433">
        <v>112600.6145729</v>
      </c>
      <c r="I185" s="433">
        <v>24206.6995245</v>
      </c>
      <c r="J185" s="433">
        <v>136807.3140974</v>
      </c>
    </row>
    <row r="186" spans="1:10">
      <c r="A186" s="422">
        <v>97</v>
      </c>
      <c r="B186" s="422" t="s">
        <v>124</v>
      </c>
      <c r="C186" s="27">
        <v>44227</v>
      </c>
      <c r="D186" s="422" t="s">
        <v>278</v>
      </c>
      <c r="E186" s="433">
        <v>62326023.521700002</v>
      </c>
      <c r="F186" s="433">
        <v>-3512455</v>
      </c>
      <c r="G186" s="433">
        <v>58813568.521700002</v>
      </c>
      <c r="H186" s="433">
        <v>95015.410342000003</v>
      </c>
      <c r="I186" s="433">
        <v>-5354.7031284000004</v>
      </c>
      <c r="J186" s="433">
        <v>89660.707213600006</v>
      </c>
    </row>
    <row r="187" spans="1:10">
      <c r="A187" s="422">
        <v>98</v>
      </c>
      <c r="B187" s="422" t="s">
        <v>124</v>
      </c>
      <c r="C187" s="27">
        <v>44227</v>
      </c>
      <c r="D187" s="422" t="s">
        <v>279</v>
      </c>
      <c r="E187" s="433">
        <v>223880701.76320001</v>
      </c>
      <c r="F187" s="433">
        <v>206698045</v>
      </c>
      <c r="G187" s="433">
        <v>430578746.76319999</v>
      </c>
      <c r="H187" s="433">
        <v>341303.92962220003</v>
      </c>
      <c r="I187" s="433">
        <v>315109.13825140003</v>
      </c>
      <c r="J187" s="433">
        <v>656413.06787370006</v>
      </c>
    </row>
    <row r="188" spans="1:10">
      <c r="A188" s="422">
        <v>99</v>
      </c>
      <c r="B188" s="422" t="s">
        <v>124</v>
      </c>
      <c r="C188" s="27">
        <v>44227</v>
      </c>
      <c r="D188" s="422" t="s">
        <v>280</v>
      </c>
      <c r="E188" s="433">
        <v>196879.66880000001</v>
      </c>
      <c r="F188" s="433">
        <v>5525</v>
      </c>
      <c r="G188" s="433">
        <v>202404.66880000001</v>
      </c>
      <c r="H188" s="433">
        <v>300.14112019999999</v>
      </c>
      <c r="I188" s="433">
        <v>8.4228082000000004</v>
      </c>
      <c r="J188" s="433">
        <v>308.56392840000001</v>
      </c>
    </row>
    <row r="189" spans="1:10">
      <c r="A189" s="422">
        <v>100</v>
      </c>
      <c r="B189" s="422" t="s">
        <v>124</v>
      </c>
      <c r="C189" s="27">
        <v>44227</v>
      </c>
      <c r="D189" s="422" t="s">
        <v>281</v>
      </c>
      <c r="E189" s="433">
        <v>166508739.0722</v>
      </c>
      <c r="F189" s="433">
        <v>24069207</v>
      </c>
      <c r="G189" s="433">
        <v>190577946.0722</v>
      </c>
      <c r="H189" s="433">
        <v>253840.93633</v>
      </c>
      <c r="I189" s="433">
        <v>36693.269528299999</v>
      </c>
      <c r="J189" s="433">
        <v>290534.20585829997</v>
      </c>
    </row>
    <row r="190" spans="1:10">
      <c r="A190" s="422">
        <v>101</v>
      </c>
      <c r="B190" s="422" t="s">
        <v>124</v>
      </c>
      <c r="C190" s="27">
        <v>44592</v>
      </c>
      <c r="D190" s="422" t="s">
        <v>278</v>
      </c>
      <c r="E190" s="433">
        <v>72730629.901600003</v>
      </c>
      <c r="F190" s="433">
        <v>-14468116</v>
      </c>
      <c r="G190" s="433">
        <v>58262513.901600003</v>
      </c>
      <c r="H190" s="433">
        <v>110877.1305156</v>
      </c>
      <c r="I190" s="433">
        <v>-22056.500654799998</v>
      </c>
      <c r="J190" s="433">
        <v>88820.629860800007</v>
      </c>
    </row>
    <row r="191" spans="1:10">
      <c r="A191" s="422">
        <v>102</v>
      </c>
      <c r="B191" s="422" t="s">
        <v>124</v>
      </c>
      <c r="C191" s="27">
        <v>44592</v>
      </c>
      <c r="D191" s="422" t="s">
        <v>279</v>
      </c>
      <c r="E191" s="433">
        <v>237549376.70969999</v>
      </c>
      <c r="F191" s="433">
        <v>224849553</v>
      </c>
      <c r="G191" s="433">
        <v>462398929.70969999</v>
      </c>
      <c r="H191" s="433">
        <v>362141.69024750002</v>
      </c>
      <c r="I191" s="433">
        <v>342780.93381120003</v>
      </c>
      <c r="J191" s="433">
        <v>704922.62405870005</v>
      </c>
    </row>
    <row r="192" spans="1:10">
      <c r="A192" s="422">
        <v>103</v>
      </c>
      <c r="B192" s="422" t="s">
        <v>124</v>
      </c>
      <c r="C192" s="27">
        <v>44592</v>
      </c>
      <c r="D192" s="422" t="s">
        <v>280</v>
      </c>
      <c r="E192" s="433">
        <v>194937.65040000001</v>
      </c>
      <c r="F192" s="433">
        <v>2000</v>
      </c>
      <c r="G192" s="433">
        <v>196937.65040000001</v>
      </c>
      <c r="H192" s="433">
        <v>297.18053229999998</v>
      </c>
      <c r="I192" s="433">
        <v>3.0489803000000002</v>
      </c>
      <c r="J192" s="433">
        <v>300.22951260000002</v>
      </c>
    </row>
    <row r="193" spans="1:10">
      <c r="A193" s="422">
        <v>104</v>
      </c>
      <c r="B193" s="422" t="s">
        <v>124</v>
      </c>
      <c r="C193" s="27">
        <v>44592</v>
      </c>
      <c r="D193" s="422" t="s">
        <v>281</v>
      </c>
      <c r="E193" s="433">
        <v>208663237.7554</v>
      </c>
      <c r="F193" s="433">
        <v>28858944</v>
      </c>
      <c r="G193" s="433">
        <v>237522181.7554</v>
      </c>
      <c r="H193" s="433">
        <v>318105.05529390002</v>
      </c>
      <c r="I193" s="433">
        <v>43995.176513099999</v>
      </c>
      <c r="J193" s="433">
        <v>362100.231807</v>
      </c>
    </row>
    <row r="194" spans="1:10">
      <c r="A194" s="422">
        <v>105</v>
      </c>
      <c r="B194" s="422" t="s">
        <v>131</v>
      </c>
      <c r="C194" s="27">
        <v>44227</v>
      </c>
      <c r="D194" s="422" t="s">
        <v>278</v>
      </c>
      <c r="E194" s="433">
        <v>1124843852.9672999</v>
      </c>
      <c r="F194" s="433">
        <v>315761285</v>
      </c>
      <c r="G194" s="433">
        <v>1440605137.9672999</v>
      </c>
      <c r="H194" s="433">
        <v>1714813.3993041001</v>
      </c>
      <c r="I194" s="433">
        <v>481374.9757987</v>
      </c>
      <c r="J194" s="433">
        <v>2196188.3751027999</v>
      </c>
    </row>
    <row r="195" spans="1:10">
      <c r="A195" s="422">
        <v>106</v>
      </c>
      <c r="B195" s="422" t="s">
        <v>131</v>
      </c>
      <c r="C195" s="27">
        <v>44227</v>
      </c>
      <c r="D195" s="422" t="s">
        <v>279</v>
      </c>
      <c r="E195" s="433">
        <v>2303841366.2412</v>
      </c>
      <c r="F195" s="433">
        <v>1223686331</v>
      </c>
      <c r="G195" s="433">
        <v>3527527697.2412</v>
      </c>
      <c r="H195" s="433">
        <v>3512183.5215436001</v>
      </c>
      <c r="I195" s="433">
        <v>1865497.785678</v>
      </c>
      <c r="J195" s="433">
        <v>5377681.3072217004</v>
      </c>
    </row>
    <row r="196" spans="1:10">
      <c r="A196" s="422">
        <v>107</v>
      </c>
      <c r="B196" s="422" t="s">
        <v>131</v>
      </c>
      <c r="C196" s="27">
        <v>44227</v>
      </c>
      <c r="D196" s="422" t="s">
        <v>280</v>
      </c>
      <c r="E196" s="433">
        <v>18374223.785700001</v>
      </c>
      <c r="F196" s="433">
        <v>39040774</v>
      </c>
      <c r="G196" s="433">
        <v>57414997.785700001</v>
      </c>
      <c r="H196" s="433">
        <v>28011.323586300001</v>
      </c>
      <c r="I196" s="433">
        <v>59517.276284899999</v>
      </c>
      <c r="J196" s="433">
        <v>87528.5998712</v>
      </c>
    </row>
    <row r="197" spans="1:10">
      <c r="A197" s="422">
        <v>108</v>
      </c>
      <c r="B197" s="422" t="s">
        <v>131</v>
      </c>
      <c r="C197" s="27">
        <v>44227</v>
      </c>
      <c r="D197" s="422" t="s">
        <v>281</v>
      </c>
      <c r="E197" s="433">
        <v>838222870.58299994</v>
      </c>
      <c r="F197" s="433">
        <v>99689976</v>
      </c>
      <c r="G197" s="433">
        <v>937912846.58299994</v>
      </c>
      <c r="H197" s="433">
        <v>1277862.528463</v>
      </c>
      <c r="I197" s="433">
        <v>151976.38869620001</v>
      </c>
      <c r="J197" s="433">
        <v>1429838.9171591999</v>
      </c>
    </row>
    <row r="198" spans="1:10">
      <c r="A198" s="422">
        <v>109</v>
      </c>
      <c r="B198" s="422" t="s">
        <v>131</v>
      </c>
      <c r="C198" s="27">
        <v>44592</v>
      </c>
      <c r="D198" s="422" t="s">
        <v>278</v>
      </c>
      <c r="E198" s="433">
        <v>1592497407.1617</v>
      </c>
      <c r="F198" s="433">
        <v>568861663</v>
      </c>
      <c r="G198" s="433">
        <v>2161359070.1616998</v>
      </c>
      <c r="H198" s="433">
        <v>2427746.6467493</v>
      </c>
      <c r="I198" s="433">
        <v>867224.01468390005</v>
      </c>
      <c r="J198" s="433">
        <v>3294970.6614330998</v>
      </c>
    </row>
    <row r="199" spans="1:10">
      <c r="A199" s="422">
        <v>110</v>
      </c>
      <c r="B199" s="422" t="s">
        <v>131</v>
      </c>
      <c r="C199" s="27">
        <v>44592</v>
      </c>
      <c r="D199" s="422" t="s">
        <v>279</v>
      </c>
      <c r="E199" s="433">
        <v>1884973061.0216999</v>
      </c>
      <c r="F199" s="433">
        <v>1045369128</v>
      </c>
      <c r="G199" s="433">
        <v>2930342189.0216999</v>
      </c>
      <c r="H199" s="433">
        <v>2873622.9067175002</v>
      </c>
      <c r="I199" s="433">
        <v>1593654.9621393001</v>
      </c>
      <c r="J199" s="433">
        <v>4467277.8688567998</v>
      </c>
    </row>
    <row r="200" spans="1:10">
      <c r="A200" s="422">
        <v>111</v>
      </c>
      <c r="B200" s="422" t="s">
        <v>131</v>
      </c>
      <c r="C200" s="27">
        <v>44592</v>
      </c>
      <c r="D200" s="422" t="s">
        <v>280</v>
      </c>
      <c r="E200" s="433">
        <v>1815250.3463999999</v>
      </c>
      <c r="F200" s="433">
        <v>-49905244</v>
      </c>
      <c r="G200" s="433">
        <v>-48089993.6536</v>
      </c>
      <c r="H200" s="433">
        <v>2767.3313134999999</v>
      </c>
      <c r="I200" s="433">
        <v>-76080.054027899998</v>
      </c>
      <c r="J200" s="433">
        <v>-73312.722714400006</v>
      </c>
    </row>
    <row r="201" spans="1:10">
      <c r="A201" s="422">
        <v>112</v>
      </c>
      <c r="B201" s="422" t="s">
        <v>131</v>
      </c>
      <c r="C201" s="27">
        <v>44592</v>
      </c>
      <c r="D201" s="422" t="s">
        <v>281</v>
      </c>
      <c r="E201" s="433">
        <v>1449416412.3857999</v>
      </c>
      <c r="F201" s="433">
        <v>218899176</v>
      </c>
      <c r="G201" s="433">
        <v>1668315588.3857999</v>
      </c>
      <c r="H201" s="433">
        <v>2209621.0763599002</v>
      </c>
      <c r="I201" s="433">
        <v>333709.64255280001</v>
      </c>
      <c r="J201" s="433">
        <v>2543330.7189127002</v>
      </c>
    </row>
    <row r="202" spans="1:10">
      <c r="A202" s="422">
        <v>113</v>
      </c>
      <c r="B202" s="422" t="s">
        <v>132</v>
      </c>
      <c r="C202" s="27">
        <v>44227</v>
      </c>
      <c r="D202" s="422" t="s">
        <v>278</v>
      </c>
      <c r="E202" s="433">
        <v>462620346.94779998</v>
      </c>
      <c r="F202" s="433">
        <v>239113317</v>
      </c>
      <c r="G202" s="433">
        <v>701733663.94780004</v>
      </c>
      <c r="H202" s="433">
        <v>705260.17246220005</v>
      </c>
      <c r="I202" s="433">
        <v>364525.90185030003</v>
      </c>
      <c r="J202" s="433">
        <v>1069786.0743125</v>
      </c>
    </row>
    <row r="203" spans="1:10">
      <c r="A203" s="422">
        <v>114</v>
      </c>
      <c r="B203" s="422" t="s">
        <v>132</v>
      </c>
      <c r="C203" s="27">
        <v>44227</v>
      </c>
      <c r="D203" s="422" t="s">
        <v>279</v>
      </c>
      <c r="E203" s="433">
        <v>578054015.44599998</v>
      </c>
      <c r="F203" s="433">
        <v>541818640</v>
      </c>
      <c r="G203" s="433">
        <v>1119872655.4460001</v>
      </c>
      <c r="H203" s="433">
        <v>881237.66564879997</v>
      </c>
      <c r="I203" s="433">
        <v>825997.19188910001</v>
      </c>
      <c r="J203" s="433">
        <v>1707234.8575379001</v>
      </c>
    </row>
    <row r="204" spans="1:10">
      <c r="A204" s="422">
        <v>115</v>
      </c>
      <c r="B204" s="422" t="s">
        <v>132</v>
      </c>
      <c r="C204" s="27">
        <v>44227</v>
      </c>
      <c r="D204" s="422" t="s">
        <v>280</v>
      </c>
      <c r="E204" s="433">
        <v>-14823482.847999999</v>
      </c>
      <c r="F204" s="433">
        <v>4091006</v>
      </c>
      <c r="G204" s="433">
        <v>-10732476.847999999</v>
      </c>
      <c r="H204" s="433">
        <v>-22598.253922100001</v>
      </c>
      <c r="I204" s="433">
        <v>6236.6984420999997</v>
      </c>
      <c r="J204" s="433">
        <v>-16361.555480000001</v>
      </c>
    </row>
    <row r="205" spans="1:10">
      <c r="A205" s="422">
        <v>116</v>
      </c>
      <c r="B205" s="422" t="s">
        <v>132</v>
      </c>
      <c r="C205" s="27">
        <v>44227</v>
      </c>
      <c r="D205" s="422" t="s">
        <v>281</v>
      </c>
      <c r="E205" s="433">
        <v>226637209.1613</v>
      </c>
      <c r="F205" s="433">
        <v>50190063</v>
      </c>
      <c r="G205" s="433">
        <v>276827272.1613</v>
      </c>
      <c r="H205" s="433">
        <v>345506.19806069997</v>
      </c>
      <c r="I205" s="433">
        <v>76514.257794300007</v>
      </c>
      <c r="J205" s="433">
        <v>422020.45585500001</v>
      </c>
    </row>
    <row r="206" spans="1:10">
      <c r="A206" s="422">
        <v>117</v>
      </c>
      <c r="B206" s="422" t="s">
        <v>132</v>
      </c>
      <c r="C206" s="27">
        <v>44592</v>
      </c>
      <c r="D206" s="422" t="s">
        <v>278</v>
      </c>
      <c r="E206" s="433">
        <v>457029853.49620003</v>
      </c>
      <c r="F206" s="433">
        <v>213897038</v>
      </c>
      <c r="G206" s="433">
        <v>670926891.49619997</v>
      </c>
      <c r="H206" s="433">
        <v>696737.52013650001</v>
      </c>
      <c r="I206" s="433">
        <v>326083.93233089999</v>
      </c>
      <c r="J206" s="433">
        <v>1022821.4524675</v>
      </c>
    </row>
    <row r="207" spans="1:10">
      <c r="A207" s="422">
        <v>118</v>
      </c>
      <c r="B207" s="422" t="s">
        <v>132</v>
      </c>
      <c r="C207" s="27">
        <v>44592</v>
      </c>
      <c r="D207" s="422" t="s">
        <v>279</v>
      </c>
      <c r="E207" s="433">
        <v>704543344.18570006</v>
      </c>
      <c r="F207" s="433">
        <v>555936347</v>
      </c>
      <c r="G207" s="433">
        <v>1260479691.1856999</v>
      </c>
      <c r="H207" s="433">
        <v>1074069.4042227</v>
      </c>
      <c r="I207" s="433">
        <v>847519.49746710004</v>
      </c>
      <c r="J207" s="433">
        <v>1921588.9016897001</v>
      </c>
    </row>
    <row r="208" spans="1:10">
      <c r="A208" s="422">
        <v>119</v>
      </c>
      <c r="B208" s="422" t="s">
        <v>132</v>
      </c>
      <c r="C208" s="27">
        <v>44592</v>
      </c>
      <c r="D208" s="422" t="s">
        <v>280</v>
      </c>
      <c r="E208" s="433">
        <v>-10238416.122199999</v>
      </c>
      <c r="F208" s="433">
        <v>4110051</v>
      </c>
      <c r="G208" s="433">
        <v>-6128365.1222000001</v>
      </c>
      <c r="H208" s="433">
        <v>-15608.364759</v>
      </c>
      <c r="I208" s="433">
        <v>6265.7323575</v>
      </c>
      <c r="J208" s="433">
        <v>-9342.6324014999991</v>
      </c>
    </row>
    <row r="209" spans="1:10">
      <c r="A209" s="422">
        <v>120</v>
      </c>
      <c r="B209" s="422" t="s">
        <v>132</v>
      </c>
      <c r="C209" s="27">
        <v>44592</v>
      </c>
      <c r="D209" s="422" t="s">
        <v>281</v>
      </c>
      <c r="E209" s="433">
        <v>253822737.90959999</v>
      </c>
      <c r="F209" s="433">
        <v>58591081</v>
      </c>
      <c r="G209" s="433">
        <v>312413818.90960002</v>
      </c>
      <c r="H209" s="433">
        <v>386950.26946829999</v>
      </c>
      <c r="I209" s="433">
        <v>89321.527173299997</v>
      </c>
      <c r="J209" s="433">
        <v>476271.79664150003</v>
      </c>
    </row>
    <row r="210" spans="1:10">
      <c r="A210" s="422">
        <v>121</v>
      </c>
      <c r="B210" s="422" t="s">
        <v>135</v>
      </c>
      <c r="C210" s="27">
        <v>44227</v>
      </c>
      <c r="D210" s="422" t="s">
        <v>278</v>
      </c>
      <c r="E210" s="433">
        <v>98111337.1752</v>
      </c>
      <c r="F210" s="433">
        <v>75650855</v>
      </c>
      <c r="G210" s="433">
        <v>173762192.17519999</v>
      </c>
      <c r="H210" s="433">
        <v>149569.76932210001</v>
      </c>
      <c r="I210" s="433">
        <v>115328.9849792</v>
      </c>
      <c r="J210" s="433">
        <v>264898.75430129998</v>
      </c>
    </row>
    <row r="211" spans="1:10">
      <c r="A211" s="422">
        <v>122</v>
      </c>
      <c r="B211" s="422" t="s">
        <v>135</v>
      </c>
      <c r="C211" s="27">
        <v>44227</v>
      </c>
      <c r="D211" s="422" t="s">
        <v>279</v>
      </c>
      <c r="E211" s="433">
        <v>20528746.9998</v>
      </c>
      <c r="F211" s="433">
        <v>23679452</v>
      </c>
      <c r="G211" s="433">
        <v>44208198.999799997</v>
      </c>
      <c r="H211" s="433">
        <v>31295.873052300001</v>
      </c>
      <c r="I211" s="433">
        <v>36099.091861200002</v>
      </c>
      <c r="J211" s="433">
        <v>67394.964913599993</v>
      </c>
    </row>
    <row r="212" spans="1:10">
      <c r="A212" s="422">
        <v>123</v>
      </c>
      <c r="B212" s="422" t="s">
        <v>135</v>
      </c>
      <c r="C212" s="27">
        <v>44227</v>
      </c>
      <c r="D212" s="422" t="s">
        <v>280</v>
      </c>
      <c r="E212" s="433">
        <v>-380454.3689</v>
      </c>
      <c r="F212" s="433">
        <v>42011</v>
      </c>
      <c r="G212" s="433">
        <v>-338443.3689</v>
      </c>
      <c r="H212" s="433">
        <v>-579.99894640000002</v>
      </c>
      <c r="I212" s="433">
        <v>64.045356600000005</v>
      </c>
      <c r="J212" s="433">
        <v>-515.95358980000003</v>
      </c>
    </row>
    <row r="213" spans="1:10">
      <c r="A213" s="422">
        <v>124</v>
      </c>
      <c r="B213" s="422" t="s">
        <v>135</v>
      </c>
      <c r="C213" s="27">
        <v>44227</v>
      </c>
      <c r="D213" s="422" t="s">
        <v>281</v>
      </c>
      <c r="E213" s="433">
        <v>105590266.9672</v>
      </c>
      <c r="F213" s="433">
        <v>50550811</v>
      </c>
      <c r="G213" s="433">
        <v>156141077.96720001</v>
      </c>
      <c r="H213" s="433">
        <v>160971.32428989999</v>
      </c>
      <c r="I213" s="433">
        <v>77064.214575000005</v>
      </c>
      <c r="J213" s="433">
        <v>238035.53886490001</v>
      </c>
    </row>
    <row r="214" spans="1:10">
      <c r="A214" s="422">
        <v>125</v>
      </c>
      <c r="B214" s="422" t="s">
        <v>135</v>
      </c>
      <c r="C214" s="27">
        <v>44592</v>
      </c>
      <c r="D214" s="422" t="s">
        <v>278</v>
      </c>
      <c r="E214" s="433">
        <v>133249343.5772</v>
      </c>
      <c r="F214" s="433">
        <v>82918512</v>
      </c>
      <c r="G214" s="433">
        <v>216167855.5772</v>
      </c>
      <c r="H214" s="433">
        <v>203137.3147587</v>
      </c>
      <c r="I214" s="433">
        <v>126408.45665189999</v>
      </c>
      <c r="J214" s="433">
        <v>329545.77141059999</v>
      </c>
    </row>
    <row r="215" spans="1:10">
      <c r="A215" s="422">
        <v>126</v>
      </c>
      <c r="B215" s="422" t="s">
        <v>135</v>
      </c>
      <c r="C215" s="27">
        <v>44592</v>
      </c>
      <c r="D215" s="422" t="s">
        <v>279</v>
      </c>
      <c r="E215" s="433">
        <v>28786433.828899998</v>
      </c>
      <c r="F215" s="433">
        <v>23434458</v>
      </c>
      <c r="G215" s="433">
        <v>52220891.828900002</v>
      </c>
      <c r="H215" s="433">
        <v>43884.6354699</v>
      </c>
      <c r="I215" s="433">
        <v>35725.600915900002</v>
      </c>
      <c r="J215" s="433">
        <v>79610.236385800003</v>
      </c>
    </row>
    <row r="216" spans="1:10">
      <c r="A216" s="422">
        <v>127</v>
      </c>
      <c r="B216" s="422" t="s">
        <v>135</v>
      </c>
      <c r="C216" s="27">
        <v>44592</v>
      </c>
      <c r="D216" s="422" t="s">
        <v>280</v>
      </c>
      <c r="E216" s="433">
        <v>-560138.69880000001</v>
      </c>
      <c r="F216" s="433">
        <v>84598</v>
      </c>
      <c r="G216" s="433">
        <v>-475540.69880000001</v>
      </c>
      <c r="H216" s="433">
        <v>-853.92594150000002</v>
      </c>
      <c r="I216" s="433">
        <v>128.96881959999999</v>
      </c>
      <c r="J216" s="433">
        <v>-724.95712189999995</v>
      </c>
    </row>
    <row r="217" spans="1:10">
      <c r="A217" s="422">
        <v>128</v>
      </c>
      <c r="B217" s="422" t="s">
        <v>135</v>
      </c>
      <c r="C217" s="27">
        <v>44592</v>
      </c>
      <c r="D217" s="422" t="s">
        <v>281</v>
      </c>
      <c r="E217" s="433">
        <v>127638807.5342</v>
      </c>
      <c r="F217" s="433">
        <v>49516676</v>
      </c>
      <c r="G217" s="433">
        <v>177155483.53420001</v>
      </c>
      <c r="H217" s="433">
        <v>194584.10769939999</v>
      </c>
      <c r="I217" s="433">
        <v>75487.685930599997</v>
      </c>
      <c r="J217" s="433">
        <v>270071.79363009997</v>
      </c>
    </row>
    <row r="218" spans="1:10">
      <c r="A218" s="422">
        <v>129</v>
      </c>
      <c r="B218" s="422" t="s">
        <v>136</v>
      </c>
      <c r="C218" s="27">
        <v>44227</v>
      </c>
      <c r="D218" s="422" t="s">
        <v>278</v>
      </c>
      <c r="E218" s="433">
        <v>-429533.6151</v>
      </c>
      <c r="F218" s="433">
        <v>422500.71</v>
      </c>
      <c r="G218" s="433">
        <v>-7032.9050999999999</v>
      </c>
      <c r="H218" s="433">
        <v>-61424.246750300001</v>
      </c>
      <c r="I218" s="433">
        <v>60418.5259334</v>
      </c>
      <c r="J218" s="433">
        <v>-1005.7208168</v>
      </c>
    </row>
    <row r="219" spans="1:10">
      <c r="A219" s="422">
        <v>130</v>
      </c>
      <c r="B219" s="422" t="s">
        <v>136</v>
      </c>
      <c r="C219" s="27">
        <v>44227</v>
      </c>
      <c r="D219" s="422" t="s">
        <v>279</v>
      </c>
      <c r="E219" s="433">
        <v>415891.33559999999</v>
      </c>
      <c r="F219" s="433">
        <v>1933496.93</v>
      </c>
      <c r="G219" s="433">
        <v>2349388.2656</v>
      </c>
      <c r="H219" s="433">
        <v>59473.370933400001</v>
      </c>
      <c r="I219" s="433">
        <v>276494.29135269998</v>
      </c>
      <c r="J219" s="433">
        <v>335967.66228599998</v>
      </c>
    </row>
    <row r="220" spans="1:10">
      <c r="A220" s="422">
        <v>131</v>
      </c>
      <c r="B220" s="422" t="s">
        <v>136</v>
      </c>
      <c r="C220" s="27">
        <v>44227</v>
      </c>
      <c r="D220" s="422" t="s">
        <v>280</v>
      </c>
      <c r="E220" s="433">
        <v>109.8556</v>
      </c>
      <c r="F220" s="433">
        <v>221.64</v>
      </c>
      <c r="G220" s="433">
        <v>331.49560000000002</v>
      </c>
      <c r="H220" s="433">
        <v>15.7095912</v>
      </c>
      <c r="I220" s="433">
        <v>31.695004900000001</v>
      </c>
      <c r="J220" s="433">
        <v>47.404596099999999</v>
      </c>
    </row>
    <row r="221" spans="1:10">
      <c r="A221" s="422">
        <v>132</v>
      </c>
      <c r="B221" s="422" t="s">
        <v>136</v>
      </c>
      <c r="C221" s="27">
        <v>44227</v>
      </c>
      <c r="D221" s="422" t="s">
        <v>281</v>
      </c>
      <c r="E221" s="433">
        <v>184500.9178</v>
      </c>
      <c r="F221" s="433">
        <v>181456.62</v>
      </c>
      <c r="G221" s="433">
        <v>365957.53779999999</v>
      </c>
      <c r="H221" s="433">
        <v>26384.034921099999</v>
      </c>
      <c r="I221" s="433">
        <v>25948.693674999999</v>
      </c>
      <c r="J221" s="433">
        <v>52332.728596100002</v>
      </c>
    </row>
    <row r="222" spans="1:10">
      <c r="A222" s="422">
        <v>133</v>
      </c>
      <c r="B222" s="422" t="s">
        <v>136</v>
      </c>
      <c r="C222" s="27">
        <v>44592</v>
      </c>
      <c r="D222" s="422" t="s">
        <v>278</v>
      </c>
      <c r="E222" s="433">
        <v>-522906.60159999999</v>
      </c>
      <c r="F222" s="433">
        <v>433490.23</v>
      </c>
      <c r="G222" s="433">
        <v>-89416.371599999999</v>
      </c>
      <c r="H222" s="433">
        <v>-77460.759280700004</v>
      </c>
      <c r="I222" s="433">
        <v>64215.066808900003</v>
      </c>
      <c r="J222" s="433">
        <v>-13245.692471799999</v>
      </c>
    </row>
    <row r="223" spans="1:10">
      <c r="A223" s="422">
        <v>134</v>
      </c>
      <c r="B223" s="422" t="s">
        <v>136</v>
      </c>
      <c r="C223" s="27">
        <v>44592</v>
      </c>
      <c r="D223" s="422" t="s">
        <v>279</v>
      </c>
      <c r="E223" s="433">
        <v>93533.136400000003</v>
      </c>
      <c r="F223" s="433">
        <v>1537620.05</v>
      </c>
      <c r="G223" s="433">
        <v>1631153.1864</v>
      </c>
      <c r="H223" s="433">
        <v>13855.529345499999</v>
      </c>
      <c r="I223" s="433">
        <v>227775.3162682</v>
      </c>
      <c r="J223" s="433">
        <v>241630.84561369999</v>
      </c>
    </row>
    <row r="224" spans="1:10">
      <c r="A224" s="422">
        <v>135</v>
      </c>
      <c r="B224" s="422" t="s">
        <v>136</v>
      </c>
      <c r="C224" s="27">
        <v>44592</v>
      </c>
      <c r="D224" s="422" t="s">
        <v>280</v>
      </c>
      <c r="E224" s="433">
        <v>-2933.2826</v>
      </c>
      <c r="F224" s="433">
        <v>1261.8699999999999</v>
      </c>
      <c r="G224" s="433">
        <v>-1671.4126000000001</v>
      </c>
      <c r="H224" s="433">
        <v>-434.52176100000003</v>
      </c>
      <c r="I224" s="433">
        <v>186.927088</v>
      </c>
      <c r="J224" s="433">
        <v>-247.59467309999999</v>
      </c>
    </row>
    <row r="225" spans="1:10">
      <c r="A225" s="422">
        <v>136</v>
      </c>
      <c r="B225" s="422" t="s">
        <v>136</v>
      </c>
      <c r="C225" s="27">
        <v>44592</v>
      </c>
      <c r="D225" s="422" t="s">
        <v>281</v>
      </c>
      <c r="E225" s="433">
        <v>291281.06410000002</v>
      </c>
      <c r="F225" s="433">
        <v>236829.82</v>
      </c>
      <c r="G225" s="433">
        <v>528110.88410000002</v>
      </c>
      <c r="H225" s="433">
        <v>43148.914777899998</v>
      </c>
      <c r="I225" s="433">
        <v>35082.780789900004</v>
      </c>
      <c r="J225" s="433">
        <v>78231.695567799994</v>
      </c>
    </row>
    <row r="226" spans="1:10">
      <c r="A226" s="422">
        <v>137</v>
      </c>
      <c r="B226" s="422" t="s">
        <v>137</v>
      </c>
      <c r="C226" s="27">
        <v>44227</v>
      </c>
      <c r="D226" s="422" t="s">
        <v>278</v>
      </c>
      <c r="E226" s="433">
        <v>1680794375.8864</v>
      </c>
      <c r="F226" s="433">
        <v>986271353</v>
      </c>
      <c r="G226" s="433">
        <v>2667065728.8864002</v>
      </c>
      <c r="H226" s="433">
        <v>138180.6152539</v>
      </c>
      <c r="I226" s="433">
        <v>81082.840542599995</v>
      </c>
      <c r="J226" s="433">
        <v>219263.4557965</v>
      </c>
    </row>
    <row r="227" spans="1:10">
      <c r="A227" s="422">
        <v>138</v>
      </c>
      <c r="B227" s="422" t="s">
        <v>137</v>
      </c>
      <c r="C227" s="27">
        <v>44227</v>
      </c>
      <c r="D227" s="422" t="s">
        <v>279</v>
      </c>
      <c r="E227" s="433">
        <v>2074527203.743</v>
      </c>
      <c r="F227" s="433">
        <v>2514183086</v>
      </c>
      <c r="G227" s="433">
        <v>4588710289.743</v>
      </c>
      <c r="H227" s="433">
        <v>170549.97891880001</v>
      </c>
      <c r="I227" s="433">
        <v>206694.74545409999</v>
      </c>
      <c r="J227" s="433">
        <v>377244.72437279997</v>
      </c>
    </row>
    <row r="228" spans="1:10">
      <c r="A228" s="422">
        <v>139</v>
      </c>
      <c r="B228" s="422" t="s">
        <v>137</v>
      </c>
      <c r="C228" s="27">
        <v>44227</v>
      </c>
      <c r="D228" s="422" t="s">
        <v>280</v>
      </c>
      <c r="E228" s="433">
        <v>12366075.4244</v>
      </c>
      <c r="F228" s="433">
        <v>348513</v>
      </c>
      <c r="G228" s="433">
        <v>12714588.4244</v>
      </c>
      <c r="H228" s="433">
        <v>1016.6335246</v>
      </c>
      <c r="I228" s="433">
        <v>28.651774100000001</v>
      </c>
      <c r="J228" s="433">
        <v>1045.2852987000001</v>
      </c>
    </row>
    <row r="229" spans="1:10">
      <c r="A229" s="422">
        <v>140</v>
      </c>
      <c r="B229" s="422" t="s">
        <v>137</v>
      </c>
      <c r="C229" s="27">
        <v>44227</v>
      </c>
      <c r="D229" s="422" t="s">
        <v>281</v>
      </c>
      <c r="E229" s="433">
        <v>1573273945.4291999</v>
      </c>
      <c r="F229" s="433">
        <v>158307248</v>
      </c>
      <c r="G229" s="433">
        <v>1731581193.4291999</v>
      </c>
      <c r="H229" s="433">
        <v>129341.2001261</v>
      </c>
      <c r="I229" s="433">
        <v>13014.675228300001</v>
      </c>
      <c r="J229" s="433">
        <v>142355.87535449999</v>
      </c>
    </row>
    <row r="230" spans="1:10">
      <c r="A230" s="422">
        <v>141</v>
      </c>
      <c r="B230" s="422" t="s">
        <v>137</v>
      </c>
      <c r="C230" s="27">
        <v>44592</v>
      </c>
      <c r="D230" s="422" t="s">
        <v>278</v>
      </c>
      <c r="E230" s="433">
        <v>3470146740.7438998</v>
      </c>
      <c r="F230" s="433">
        <v>917891861</v>
      </c>
      <c r="G230" s="433">
        <v>4388038601.7439003</v>
      </c>
      <c r="H230" s="433">
        <v>345826.93147820001</v>
      </c>
      <c r="I230" s="433">
        <v>91475.015160399998</v>
      </c>
      <c r="J230" s="433">
        <v>437301.94663870003</v>
      </c>
    </row>
    <row r="231" spans="1:10">
      <c r="A231" s="422">
        <v>142</v>
      </c>
      <c r="B231" s="422" t="s">
        <v>137</v>
      </c>
      <c r="C231" s="27">
        <v>44592</v>
      </c>
      <c r="D231" s="422" t="s">
        <v>279</v>
      </c>
      <c r="E231" s="433">
        <v>6146781881.9813995</v>
      </c>
      <c r="F231" s="433">
        <v>2550439702</v>
      </c>
      <c r="G231" s="433">
        <v>8697221583.9813995</v>
      </c>
      <c r="H231" s="433">
        <v>612574.30175870005</v>
      </c>
      <c r="I231" s="433">
        <v>254171.01983239999</v>
      </c>
      <c r="J231" s="433">
        <v>866745.32159109996</v>
      </c>
    </row>
    <row r="232" spans="1:10">
      <c r="A232" s="422">
        <v>143</v>
      </c>
      <c r="B232" s="422" t="s">
        <v>137</v>
      </c>
      <c r="C232" s="27">
        <v>44592</v>
      </c>
      <c r="D232" s="422" t="s">
        <v>280</v>
      </c>
      <c r="E232" s="433">
        <v>16551474.228700001</v>
      </c>
      <c r="F232" s="433">
        <v>1774220</v>
      </c>
      <c r="G232" s="433">
        <v>18325694.228700001</v>
      </c>
      <c r="H232" s="433">
        <v>1649.482276</v>
      </c>
      <c r="I232" s="433">
        <v>176.81472980000001</v>
      </c>
      <c r="J232" s="433">
        <v>1826.2970058000001</v>
      </c>
    </row>
    <row r="233" spans="1:10">
      <c r="A233" s="422">
        <v>144</v>
      </c>
      <c r="B233" s="422" t="s">
        <v>137</v>
      </c>
      <c r="C233" s="27">
        <v>44592</v>
      </c>
      <c r="D233" s="422" t="s">
        <v>281</v>
      </c>
      <c r="E233" s="433">
        <v>2577052951.1602001</v>
      </c>
      <c r="F233" s="433">
        <v>171267108</v>
      </c>
      <c r="G233" s="433">
        <v>2748320059.1602001</v>
      </c>
      <c r="H233" s="433">
        <v>256823.235713</v>
      </c>
      <c r="I233" s="433">
        <v>17068.0904434</v>
      </c>
      <c r="J233" s="433">
        <v>273891.32615630003</v>
      </c>
    </row>
    <row r="234" spans="1:10">
      <c r="A234" s="422">
        <v>145</v>
      </c>
      <c r="B234" s="422" t="s">
        <v>138</v>
      </c>
      <c r="C234" s="27">
        <v>44227</v>
      </c>
      <c r="D234" s="422" t="s">
        <v>278</v>
      </c>
      <c r="E234" s="433">
        <v>2421158386.6062002</v>
      </c>
      <c r="F234" s="433">
        <v>640891734.80999994</v>
      </c>
      <c r="G234" s="433">
        <v>3062050121.4162002</v>
      </c>
      <c r="H234" s="433">
        <v>531547.94960309996</v>
      </c>
      <c r="I234" s="433">
        <v>140703.18135329999</v>
      </c>
      <c r="J234" s="433">
        <v>672251.13095649995</v>
      </c>
    </row>
    <row r="235" spans="1:10">
      <c r="A235" s="422">
        <v>146</v>
      </c>
      <c r="B235" s="422" t="s">
        <v>138</v>
      </c>
      <c r="C235" s="27">
        <v>44227</v>
      </c>
      <c r="D235" s="422" t="s">
        <v>279</v>
      </c>
      <c r="E235" s="433">
        <v>4343983751.4628</v>
      </c>
      <c r="F235" s="433">
        <v>1970792794.5</v>
      </c>
      <c r="G235" s="433">
        <v>6314776545.9628</v>
      </c>
      <c r="H235" s="433">
        <v>953690.46030729997</v>
      </c>
      <c r="I235" s="433">
        <v>432673.41566920001</v>
      </c>
      <c r="J235" s="433">
        <v>1386363.8759765001</v>
      </c>
    </row>
    <row r="236" spans="1:10">
      <c r="A236" s="422">
        <v>147</v>
      </c>
      <c r="B236" s="422" t="s">
        <v>138</v>
      </c>
      <c r="C236" s="27">
        <v>44227</v>
      </c>
      <c r="D236" s="422" t="s">
        <v>280</v>
      </c>
      <c r="E236" s="433">
        <v>245423.4737</v>
      </c>
      <c r="F236" s="433">
        <v>361533.34</v>
      </c>
      <c r="G236" s="433">
        <v>606956.81370000006</v>
      </c>
      <c r="H236" s="433">
        <v>53.880962500000003</v>
      </c>
      <c r="I236" s="433">
        <v>79.372050400000006</v>
      </c>
      <c r="J236" s="433">
        <v>133.25301289999999</v>
      </c>
    </row>
    <row r="237" spans="1:10">
      <c r="A237" s="422">
        <v>148</v>
      </c>
      <c r="B237" s="422" t="s">
        <v>138</v>
      </c>
      <c r="C237" s="27">
        <v>44227</v>
      </c>
      <c r="D237" s="422" t="s">
        <v>281</v>
      </c>
      <c r="E237" s="433">
        <v>732635815.13940001</v>
      </c>
      <c r="F237" s="433">
        <v>161310558.08000001</v>
      </c>
      <c r="G237" s="433">
        <v>893946373.21940005</v>
      </c>
      <c r="H237" s="433">
        <v>160844.93583629999</v>
      </c>
      <c r="I237" s="433">
        <v>35414.5754657</v>
      </c>
      <c r="J237" s="433">
        <v>196259.5113019</v>
      </c>
    </row>
    <row r="238" spans="1:10">
      <c r="A238" s="422">
        <v>149</v>
      </c>
      <c r="B238" s="422" t="s">
        <v>138</v>
      </c>
      <c r="C238" s="27">
        <v>44592</v>
      </c>
      <c r="D238" s="422" t="s">
        <v>278</v>
      </c>
      <c r="E238" s="433">
        <v>2574379215.4905</v>
      </c>
      <c r="F238" s="433">
        <v>604117612.82000005</v>
      </c>
      <c r="G238" s="433">
        <v>3178496828.3105001</v>
      </c>
      <c r="H238" s="433">
        <v>580851.25166750001</v>
      </c>
      <c r="I238" s="433">
        <v>136305.66524520001</v>
      </c>
      <c r="J238" s="433">
        <v>717156.91691270005</v>
      </c>
    </row>
    <row r="239" spans="1:10">
      <c r="A239" s="422">
        <v>150</v>
      </c>
      <c r="B239" s="422" t="s">
        <v>138</v>
      </c>
      <c r="C239" s="27">
        <v>44592</v>
      </c>
      <c r="D239" s="422" t="s">
        <v>279</v>
      </c>
      <c r="E239" s="433">
        <v>5430601203.4041004</v>
      </c>
      <c r="F239" s="433">
        <v>1941548611.77</v>
      </c>
      <c r="G239" s="433">
        <v>7372149815.1740999</v>
      </c>
      <c r="H239" s="433">
        <v>1225294.0387818001</v>
      </c>
      <c r="I239" s="433">
        <v>438067.14043289999</v>
      </c>
      <c r="J239" s="433">
        <v>1663361.1792146999</v>
      </c>
    </row>
    <row r="240" spans="1:10">
      <c r="A240" s="422">
        <v>151</v>
      </c>
      <c r="B240" s="422" t="s">
        <v>138</v>
      </c>
      <c r="C240" s="27">
        <v>44592</v>
      </c>
      <c r="D240" s="422" t="s">
        <v>280</v>
      </c>
      <c r="E240" s="433">
        <v>227508.80319999999</v>
      </c>
      <c r="F240" s="433">
        <v>72216.67</v>
      </c>
      <c r="G240" s="433">
        <v>299725.47320000001</v>
      </c>
      <c r="H240" s="433">
        <v>51.332287100000002</v>
      </c>
      <c r="I240" s="433">
        <v>16.294080900000001</v>
      </c>
      <c r="J240" s="433">
        <v>67.626367999999999</v>
      </c>
    </row>
    <row r="241" spans="1:10">
      <c r="A241" s="422">
        <v>152</v>
      </c>
      <c r="B241" s="422" t="s">
        <v>138</v>
      </c>
      <c r="C241" s="27">
        <v>44592</v>
      </c>
      <c r="D241" s="422" t="s">
        <v>281</v>
      </c>
      <c r="E241" s="433">
        <v>751057457.95410001</v>
      </c>
      <c r="F241" s="433">
        <v>201380854.83000001</v>
      </c>
      <c r="G241" s="433">
        <v>952438312.78410006</v>
      </c>
      <c r="H241" s="433">
        <v>169459.36399029999</v>
      </c>
      <c r="I241" s="433">
        <v>45437.0983443</v>
      </c>
      <c r="J241" s="433">
        <v>214896.46233459999</v>
      </c>
    </row>
    <row r="242" spans="1:10">
      <c r="A242" s="422">
        <v>153</v>
      </c>
      <c r="B242" s="422" t="s">
        <v>139</v>
      </c>
      <c r="C242" s="27">
        <v>44227</v>
      </c>
      <c r="D242" s="422" t="s">
        <v>278</v>
      </c>
      <c r="E242" s="433">
        <v>2343745.9611</v>
      </c>
      <c r="F242" s="433">
        <v>2188847.35</v>
      </c>
      <c r="G242" s="433">
        <v>4532593.3110999996</v>
      </c>
      <c r="H242" s="433">
        <v>53792.654604099997</v>
      </c>
      <c r="I242" s="433">
        <v>50237.487950399998</v>
      </c>
      <c r="J242" s="433">
        <v>104030.14255449999</v>
      </c>
    </row>
    <row r="243" spans="1:10">
      <c r="A243" s="422">
        <v>154</v>
      </c>
      <c r="B243" s="422" t="s">
        <v>139</v>
      </c>
      <c r="C243" s="27">
        <v>44227</v>
      </c>
      <c r="D243" s="422" t="s">
        <v>279</v>
      </c>
      <c r="E243" s="433">
        <v>6365452.6465999996</v>
      </c>
      <c r="F243" s="433">
        <v>7450452.79</v>
      </c>
      <c r="G243" s="433">
        <v>13815905.4366</v>
      </c>
      <c r="H243" s="433">
        <v>146097.14589399999</v>
      </c>
      <c r="I243" s="433">
        <v>170999.60500340001</v>
      </c>
      <c r="J243" s="433">
        <v>317096.75089740002</v>
      </c>
    </row>
    <row r="244" spans="1:10">
      <c r="A244" s="422">
        <v>155</v>
      </c>
      <c r="B244" s="422" t="s">
        <v>139</v>
      </c>
      <c r="C244" s="27">
        <v>44227</v>
      </c>
      <c r="D244" s="422" t="s">
        <v>280</v>
      </c>
      <c r="E244" s="433">
        <v>-541578.0747</v>
      </c>
      <c r="F244" s="433">
        <v>2908.31</v>
      </c>
      <c r="G244" s="433">
        <v>-538669.76470000006</v>
      </c>
      <c r="H244" s="433">
        <v>-12430.068273999999</v>
      </c>
      <c r="I244" s="433">
        <v>66.750286900000006</v>
      </c>
      <c r="J244" s="433">
        <v>-12363.317987099999</v>
      </c>
    </row>
    <row r="245" spans="1:10">
      <c r="A245" s="422">
        <v>156</v>
      </c>
      <c r="B245" s="422" t="s">
        <v>139</v>
      </c>
      <c r="C245" s="27">
        <v>44227</v>
      </c>
      <c r="D245" s="422" t="s">
        <v>281</v>
      </c>
      <c r="E245" s="433">
        <v>2759612.3739</v>
      </c>
      <c r="F245" s="433">
        <v>737328.01</v>
      </c>
      <c r="G245" s="433">
        <v>3496940.3838999998</v>
      </c>
      <c r="H245" s="433">
        <v>63337.442595799999</v>
      </c>
      <c r="I245" s="433">
        <v>16922.837043799998</v>
      </c>
      <c r="J245" s="433">
        <v>80260.279639700006</v>
      </c>
    </row>
    <row r="246" spans="1:10">
      <c r="A246" s="422">
        <v>157</v>
      </c>
      <c r="B246" s="422" t="s">
        <v>139</v>
      </c>
      <c r="C246" s="27">
        <v>44592</v>
      </c>
      <c r="D246" s="422" t="s">
        <v>278</v>
      </c>
      <c r="E246" s="433">
        <v>2005923.8104999999</v>
      </c>
      <c r="F246" s="433">
        <v>3935026.33</v>
      </c>
      <c r="G246" s="433">
        <v>5940950.1404999997</v>
      </c>
      <c r="H246" s="433">
        <v>49467.9114797</v>
      </c>
      <c r="I246" s="433">
        <v>97041.339827400006</v>
      </c>
      <c r="J246" s="433">
        <v>146509.251307</v>
      </c>
    </row>
    <row r="247" spans="1:10">
      <c r="A247" s="422">
        <v>158</v>
      </c>
      <c r="B247" s="422" t="s">
        <v>139</v>
      </c>
      <c r="C247" s="27">
        <v>44592</v>
      </c>
      <c r="D247" s="422" t="s">
        <v>279</v>
      </c>
      <c r="E247" s="433">
        <v>6917445.6582000004</v>
      </c>
      <c r="F247" s="433">
        <v>7015613.6299999999</v>
      </c>
      <c r="G247" s="433">
        <v>13933059.2882</v>
      </c>
      <c r="H247" s="433">
        <v>170590.52178050001</v>
      </c>
      <c r="I247" s="433">
        <v>173011.43353879999</v>
      </c>
      <c r="J247" s="433">
        <v>343601.9553194</v>
      </c>
    </row>
    <row r="248" spans="1:10">
      <c r="A248" s="422">
        <v>159</v>
      </c>
      <c r="B248" s="422" t="s">
        <v>139</v>
      </c>
      <c r="C248" s="27">
        <v>44592</v>
      </c>
      <c r="D248" s="422" t="s">
        <v>280</v>
      </c>
      <c r="E248" s="433">
        <v>-618076.39130000002</v>
      </c>
      <c r="F248" s="433">
        <v>3332.35</v>
      </c>
      <c r="G248" s="433">
        <v>-614744.04130000004</v>
      </c>
      <c r="H248" s="433">
        <v>-15242.327775600001</v>
      </c>
      <c r="I248" s="433">
        <v>82.178791599999997</v>
      </c>
      <c r="J248" s="433">
        <v>-15160.148983999999</v>
      </c>
    </row>
    <row r="249" spans="1:10">
      <c r="A249" s="422">
        <v>160</v>
      </c>
      <c r="B249" s="422" t="s">
        <v>139</v>
      </c>
      <c r="C249" s="27">
        <v>44592</v>
      </c>
      <c r="D249" s="422" t="s">
        <v>281</v>
      </c>
      <c r="E249" s="433">
        <v>671387.72230000002</v>
      </c>
      <c r="F249" s="433">
        <v>906395.35</v>
      </c>
      <c r="G249" s="433">
        <v>1577783.0723000001</v>
      </c>
      <c r="H249" s="433">
        <v>16557.033842199999</v>
      </c>
      <c r="I249" s="433">
        <v>22352.536374800002</v>
      </c>
      <c r="J249" s="433">
        <v>38909.570217</v>
      </c>
    </row>
    <row r="250" spans="1:10">
      <c r="A250" s="422">
        <v>161</v>
      </c>
      <c r="B250" s="422" t="s">
        <v>141</v>
      </c>
      <c r="C250" s="27">
        <v>44227</v>
      </c>
      <c r="D250" s="422" t="s">
        <v>278</v>
      </c>
      <c r="E250" s="433">
        <v>510644354.00870001</v>
      </c>
      <c r="F250" s="433">
        <v>120086932</v>
      </c>
      <c r="G250" s="433">
        <v>630731286.00870001</v>
      </c>
      <c r="H250" s="433">
        <v>778472.29926460003</v>
      </c>
      <c r="I250" s="433">
        <v>183071.34766460001</v>
      </c>
      <c r="J250" s="433">
        <v>961543.64692910004</v>
      </c>
    </row>
    <row r="251" spans="1:10">
      <c r="A251" s="422">
        <v>162</v>
      </c>
      <c r="B251" s="422" t="s">
        <v>141</v>
      </c>
      <c r="C251" s="27">
        <v>44227</v>
      </c>
      <c r="D251" s="422" t="s">
        <v>279</v>
      </c>
      <c r="E251" s="433">
        <v>637044856.19550002</v>
      </c>
      <c r="F251" s="433">
        <v>334954994</v>
      </c>
      <c r="G251" s="433">
        <v>971999850.19550002</v>
      </c>
      <c r="H251" s="433">
        <v>971168.62263150001</v>
      </c>
      <c r="I251" s="433">
        <v>510635.5965406</v>
      </c>
      <c r="J251" s="433">
        <v>1481804.2191721001</v>
      </c>
    </row>
    <row r="252" spans="1:10">
      <c r="A252" s="422">
        <v>163</v>
      </c>
      <c r="B252" s="422" t="s">
        <v>141</v>
      </c>
      <c r="C252" s="27">
        <v>44227</v>
      </c>
      <c r="D252" s="422" t="s">
        <v>280</v>
      </c>
      <c r="E252" s="433">
        <v>-54183177.670599997</v>
      </c>
      <c r="F252" s="433">
        <v>3302797</v>
      </c>
      <c r="G252" s="433">
        <v>-50880380.670599997</v>
      </c>
      <c r="H252" s="433">
        <v>-82601.721866799999</v>
      </c>
      <c r="I252" s="433">
        <v>5035.0815677999999</v>
      </c>
      <c r="J252" s="433">
        <v>-77566.640299000006</v>
      </c>
    </row>
    <row r="253" spans="1:10">
      <c r="A253" s="422">
        <v>164</v>
      </c>
      <c r="B253" s="422" t="s">
        <v>141</v>
      </c>
      <c r="C253" s="27">
        <v>44227</v>
      </c>
      <c r="D253" s="422" t="s">
        <v>281</v>
      </c>
      <c r="E253" s="433">
        <v>670624275.5165</v>
      </c>
      <c r="F253" s="433">
        <v>48883314</v>
      </c>
      <c r="G253" s="433">
        <v>719507589.5165</v>
      </c>
      <c r="H253" s="433">
        <v>1022360.1173804</v>
      </c>
      <c r="I253" s="433">
        <v>74522.131786099999</v>
      </c>
      <c r="J253" s="433">
        <v>1096882.2491665001</v>
      </c>
    </row>
    <row r="254" spans="1:10">
      <c r="A254" s="422">
        <v>165</v>
      </c>
      <c r="B254" s="422" t="s">
        <v>141</v>
      </c>
      <c r="C254" s="27">
        <v>44592</v>
      </c>
      <c r="D254" s="422" t="s">
        <v>278</v>
      </c>
      <c r="E254" s="433">
        <v>549999902.55649996</v>
      </c>
      <c r="F254" s="433">
        <v>127312501</v>
      </c>
      <c r="G254" s="433">
        <v>677312403.55649996</v>
      </c>
      <c r="H254" s="433">
        <v>838469.44625409995</v>
      </c>
      <c r="I254" s="433">
        <v>194086.65659490001</v>
      </c>
      <c r="J254" s="433">
        <v>1032556.102849</v>
      </c>
    </row>
    <row r="255" spans="1:10">
      <c r="A255" s="422">
        <v>166</v>
      </c>
      <c r="B255" s="422" t="s">
        <v>141</v>
      </c>
      <c r="C255" s="27">
        <v>44592</v>
      </c>
      <c r="D255" s="422" t="s">
        <v>279</v>
      </c>
      <c r="E255" s="433">
        <v>553511822.75450003</v>
      </c>
      <c r="F255" s="433">
        <v>266452002.62</v>
      </c>
      <c r="G255" s="433">
        <v>819963825.37450004</v>
      </c>
      <c r="H255" s="433">
        <v>843823.33408209996</v>
      </c>
      <c r="I255" s="433">
        <v>406203.45940360002</v>
      </c>
      <c r="J255" s="433">
        <v>1250026.7934856999</v>
      </c>
    </row>
    <row r="256" spans="1:10">
      <c r="A256" s="422">
        <v>167</v>
      </c>
      <c r="B256" s="422" t="s">
        <v>141</v>
      </c>
      <c r="C256" s="27">
        <v>44592</v>
      </c>
      <c r="D256" s="422" t="s">
        <v>280</v>
      </c>
      <c r="E256" s="433">
        <v>-55833579.442000002</v>
      </c>
      <c r="F256" s="433">
        <v>2678171</v>
      </c>
      <c r="G256" s="433">
        <v>-53155408.442000002</v>
      </c>
      <c r="H256" s="433">
        <v>-85117.743147800007</v>
      </c>
      <c r="I256" s="433">
        <v>4082.8453694</v>
      </c>
      <c r="J256" s="433">
        <v>-81034.897778400002</v>
      </c>
    </row>
    <row r="257" spans="1:10">
      <c r="A257" s="422">
        <v>168</v>
      </c>
      <c r="B257" s="422" t="s">
        <v>141</v>
      </c>
      <c r="C257" s="27">
        <v>44592</v>
      </c>
      <c r="D257" s="422" t="s">
        <v>281</v>
      </c>
      <c r="E257" s="433">
        <v>832554565.59790003</v>
      </c>
      <c r="F257" s="433">
        <v>72323364.090000004</v>
      </c>
      <c r="G257" s="433">
        <v>904877929.68789995</v>
      </c>
      <c r="H257" s="433">
        <v>1269221.2532192001</v>
      </c>
      <c r="I257" s="433">
        <v>110256.2577882</v>
      </c>
      <c r="J257" s="433">
        <v>1379477.5110074</v>
      </c>
    </row>
    <row r="258" spans="1:10">
      <c r="A258" s="422">
        <v>169</v>
      </c>
      <c r="B258" s="422" t="s">
        <v>140</v>
      </c>
      <c r="C258" s="27">
        <v>44227</v>
      </c>
      <c r="D258" s="422" t="s">
        <v>278</v>
      </c>
      <c r="E258" s="433">
        <v>72133440.680899993</v>
      </c>
      <c r="F258" s="433">
        <v>42554698</v>
      </c>
      <c r="G258" s="433">
        <v>114688138.68089999</v>
      </c>
      <c r="H258" s="433">
        <v>109966.7214176</v>
      </c>
      <c r="I258" s="433">
        <v>64874.218889299998</v>
      </c>
      <c r="J258" s="433">
        <v>174840.94030690001</v>
      </c>
    </row>
    <row r="259" spans="1:10">
      <c r="A259" s="422">
        <v>170</v>
      </c>
      <c r="B259" s="422" t="s">
        <v>140</v>
      </c>
      <c r="C259" s="27">
        <v>44227</v>
      </c>
      <c r="D259" s="422" t="s">
        <v>279</v>
      </c>
      <c r="E259" s="433">
        <v>161884305.1045</v>
      </c>
      <c r="F259" s="433">
        <v>146803098</v>
      </c>
      <c r="G259" s="433">
        <v>308687403.1045</v>
      </c>
      <c r="H259" s="433">
        <v>246791.03219339999</v>
      </c>
      <c r="I259" s="433">
        <v>223799.8801751</v>
      </c>
      <c r="J259" s="433">
        <v>470590.91236850002</v>
      </c>
    </row>
    <row r="260" spans="1:10">
      <c r="A260" s="422">
        <v>171</v>
      </c>
      <c r="B260" s="422" t="s">
        <v>140</v>
      </c>
      <c r="C260" s="27">
        <v>44227</v>
      </c>
      <c r="D260" s="422" t="s">
        <v>280</v>
      </c>
      <c r="E260" s="433">
        <v>-2780660.8794</v>
      </c>
      <c r="F260" s="433">
        <v>129302</v>
      </c>
      <c r="G260" s="433">
        <v>-2651358.8794</v>
      </c>
      <c r="H260" s="433">
        <v>-4239.0901833999997</v>
      </c>
      <c r="I260" s="433">
        <v>197.11962829999999</v>
      </c>
      <c r="J260" s="433">
        <v>-4041.9705551000002</v>
      </c>
    </row>
    <row r="261" spans="1:10">
      <c r="A261" s="422">
        <v>172</v>
      </c>
      <c r="B261" s="422" t="s">
        <v>140</v>
      </c>
      <c r="C261" s="27">
        <v>44227</v>
      </c>
      <c r="D261" s="422" t="s">
        <v>281</v>
      </c>
      <c r="E261" s="433">
        <v>81619719.296399996</v>
      </c>
      <c r="F261" s="433">
        <v>19841034</v>
      </c>
      <c r="G261" s="433">
        <v>101460753.2964</v>
      </c>
      <c r="H261" s="433">
        <v>124428.4599393</v>
      </c>
      <c r="I261" s="433">
        <v>30247.4613427</v>
      </c>
      <c r="J261" s="433">
        <v>154675.921282</v>
      </c>
    </row>
    <row r="262" spans="1:10">
      <c r="A262" s="422">
        <v>173</v>
      </c>
      <c r="B262" s="422" t="s">
        <v>140</v>
      </c>
      <c r="C262" s="27">
        <v>44592</v>
      </c>
      <c r="D262" s="422" t="s">
        <v>278</v>
      </c>
      <c r="E262" s="433">
        <v>110242971.03820001</v>
      </c>
      <c r="F262" s="433">
        <v>49438160</v>
      </c>
      <c r="G262" s="433">
        <v>159681131.03819999</v>
      </c>
      <c r="H262" s="433">
        <v>168064.32592110001</v>
      </c>
      <c r="I262" s="433">
        <v>75367.989060299995</v>
      </c>
      <c r="J262" s="433">
        <v>243432.31498130001</v>
      </c>
    </row>
    <row r="263" spans="1:10">
      <c r="A263" s="422">
        <v>174</v>
      </c>
      <c r="B263" s="422" t="s">
        <v>140</v>
      </c>
      <c r="C263" s="27">
        <v>44592</v>
      </c>
      <c r="D263" s="422" t="s">
        <v>279</v>
      </c>
      <c r="E263" s="433">
        <v>164207410.11210001</v>
      </c>
      <c r="F263" s="433">
        <v>143141077</v>
      </c>
      <c r="G263" s="433">
        <v>307348487.11210001</v>
      </c>
      <c r="H263" s="433">
        <v>250332.58294689999</v>
      </c>
      <c r="I263" s="433">
        <v>218217.16514950001</v>
      </c>
      <c r="J263" s="433">
        <v>468549.7480964</v>
      </c>
    </row>
    <row r="264" spans="1:10">
      <c r="A264" s="422">
        <v>175</v>
      </c>
      <c r="B264" s="422" t="s">
        <v>140</v>
      </c>
      <c r="C264" s="27">
        <v>44592</v>
      </c>
      <c r="D264" s="422" t="s">
        <v>280</v>
      </c>
      <c r="E264" s="433">
        <v>-1990469.9856</v>
      </c>
      <c r="F264" s="433">
        <v>194726</v>
      </c>
      <c r="G264" s="433">
        <v>-1795743.9856</v>
      </c>
      <c r="H264" s="433">
        <v>-3034.4519314999998</v>
      </c>
      <c r="I264" s="433">
        <v>296.85787329999999</v>
      </c>
      <c r="J264" s="433">
        <v>-2737.5940581</v>
      </c>
    </row>
    <row r="265" spans="1:10">
      <c r="A265" s="422">
        <v>176</v>
      </c>
      <c r="B265" s="422" t="s">
        <v>140</v>
      </c>
      <c r="C265" s="27">
        <v>44592</v>
      </c>
      <c r="D265" s="422" t="s">
        <v>281</v>
      </c>
      <c r="E265" s="433">
        <v>81943588.553900003</v>
      </c>
      <c r="F265" s="433">
        <v>14193536</v>
      </c>
      <c r="G265" s="433">
        <v>96137124.553900003</v>
      </c>
      <c r="H265" s="433">
        <v>124922.19543950001</v>
      </c>
      <c r="I265" s="433">
        <v>21637.906143200002</v>
      </c>
      <c r="J265" s="433">
        <v>146560.10158270001</v>
      </c>
    </row>
    <row r="266" spans="1:10">
      <c r="B266" t="s">
        <v>123</v>
      </c>
      <c r="C266" s="27">
        <v>44255</v>
      </c>
      <c r="D266" t="s">
        <v>278</v>
      </c>
      <c r="E266" s="433">
        <v>167932013.33539999</v>
      </c>
      <c r="F266" s="433">
        <v>37349769</v>
      </c>
      <c r="G266" s="433">
        <v>205281782.33539999</v>
      </c>
      <c r="H266" s="433">
        <v>256010.70395679999</v>
      </c>
      <c r="I266" s="433">
        <v>56939.355780899998</v>
      </c>
      <c r="J266" s="433">
        <v>312950.05973779998</v>
      </c>
    </row>
    <row r="267" spans="1:10">
      <c r="B267" t="s">
        <v>123</v>
      </c>
      <c r="C267" s="27">
        <v>44255</v>
      </c>
      <c r="D267" t="s">
        <v>279</v>
      </c>
      <c r="E267" s="433">
        <v>215657856.35690001</v>
      </c>
      <c r="F267" s="433">
        <v>92845140.099999994</v>
      </c>
      <c r="G267" s="433">
        <v>308502996.4569</v>
      </c>
      <c r="H267" s="433">
        <v>328768.28261140001</v>
      </c>
      <c r="I267" s="433">
        <v>141541.5036351</v>
      </c>
      <c r="J267" s="433">
        <v>470309.78624649998</v>
      </c>
    </row>
    <row r="268" spans="1:10">
      <c r="B268" t="s">
        <v>123</v>
      </c>
      <c r="C268" s="27">
        <v>44255</v>
      </c>
      <c r="D268" t="s">
        <v>280</v>
      </c>
      <c r="E268" s="433">
        <v>-3910.4396000000002</v>
      </c>
      <c r="F268" s="433">
        <v>0</v>
      </c>
      <c r="G268" s="433">
        <v>-3910.4396000000002</v>
      </c>
      <c r="H268" s="433">
        <v>-5.9614266999999996</v>
      </c>
      <c r="I268" s="433">
        <v>0</v>
      </c>
      <c r="J268" s="433">
        <v>-5.9614266999999996</v>
      </c>
    </row>
    <row r="269" spans="1:10">
      <c r="B269" t="s">
        <v>123</v>
      </c>
      <c r="C269" s="27">
        <v>44255</v>
      </c>
      <c r="D269" t="s">
        <v>281</v>
      </c>
      <c r="E269" s="433">
        <v>111990118.69220001</v>
      </c>
      <c r="F269" s="433">
        <v>15147615</v>
      </c>
      <c r="G269" s="433">
        <v>127137733.69220001</v>
      </c>
      <c r="H269" s="433">
        <v>170727.8353493</v>
      </c>
      <c r="I269" s="433">
        <v>23092.390202400002</v>
      </c>
      <c r="J269" s="433">
        <v>193820.22555169999</v>
      </c>
    </row>
    <row r="270" spans="1:10">
      <c r="B270" t="s">
        <v>123</v>
      </c>
      <c r="C270" s="27">
        <v>44620</v>
      </c>
      <c r="D270" t="s">
        <v>278</v>
      </c>
      <c r="E270" s="433">
        <v>173015965.3594</v>
      </c>
      <c r="F270" s="433">
        <v>56321468</v>
      </c>
      <c r="G270" s="433">
        <v>229337433.3594</v>
      </c>
      <c r="H270" s="433">
        <v>263761.13885420002</v>
      </c>
      <c r="I270" s="433">
        <v>85861.524459699998</v>
      </c>
      <c r="J270" s="433">
        <v>349622.6633139</v>
      </c>
    </row>
    <row r="271" spans="1:10">
      <c r="B271" t="s">
        <v>123</v>
      </c>
      <c r="C271" s="27">
        <v>44620</v>
      </c>
      <c r="D271" t="s">
        <v>279</v>
      </c>
      <c r="E271" s="433">
        <v>152940870.5138</v>
      </c>
      <c r="F271" s="433">
        <v>79986586.280000001</v>
      </c>
      <c r="G271" s="433">
        <v>232927456.7938</v>
      </c>
      <c r="H271" s="433">
        <v>233156.85405260001</v>
      </c>
      <c r="I271" s="433">
        <v>121938.7647056</v>
      </c>
      <c r="J271" s="433">
        <v>355095.61875820003</v>
      </c>
    </row>
    <row r="272" spans="1:10">
      <c r="B272" t="s">
        <v>123</v>
      </c>
      <c r="C272" s="27">
        <v>44620</v>
      </c>
      <c r="D272" t="s">
        <v>280</v>
      </c>
      <c r="E272" s="433">
        <v>-49.324199999999998</v>
      </c>
      <c r="F272" s="433">
        <v>1820</v>
      </c>
      <c r="G272" s="433">
        <v>1770.6758</v>
      </c>
      <c r="H272" s="433">
        <v>-7.5194300000000006E-2</v>
      </c>
      <c r="I272" s="433">
        <v>2.7745720999999999</v>
      </c>
      <c r="J272" s="433">
        <v>2.6993779</v>
      </c>
    </row>
    <row r="273" spans="2:10">
      <c r="B273" t="s">
        <v>123</v>
      </c>
      <c r="C273" s="27">
        <v>44620</v>
      </c>
      <c r="D273" t="s">
        <v>281</v>
      </c>
      <c r="E273" s="433">
        <v>144505561.42109999</v>
      </c>
      <c r="F273" s="433">
        <v>27861707</v>
      </c>
      <c r="G273" s="433">
        <v>172367268.42109999</v>
      </c>
      <c r="H273" s="433">
        <v>220297.30823990001</v>
      </c>
      <c r="I273" s="433">
        <v>42474.898507099999</v>
      </c>
      <c r="J273" s="433">
        <v>262772.20674689999</v>
      </c>
    </row>
    <row r="274" spans="2:10">
      <c r="B274" t="s">
        <v>124</v>
      </c>
      <c r="C274" s="27">
        <v>44255</v>
      </c>
      <c r="D274" t="s">
        <v>278</v>
      </c>
      <c r="E274" s="433">
        <v>124895852.729</v>
      </c>
      <c r="F274" s="433">
        <v>-11657312</v>
      </c>
      <c r="G274" s="433">
        <v>113238540.729</v>
      </c>
      <c r="H274" s="433">
        <v>190402.50005559999</v>
      </c>
      <c r="I274" s="433">
        <v>-17771.457580300001</v>
      </c>
      <c r="J274" s="433">
        <v>172631.0424753</v>
      </c>
    </row>
    <row r="275" spans="2:10">
      <c r="B275" t="s">
        <v>124</v>
      </c>
      <c r="C275" s="27">
        <v>44255</v>
      </c>
      <c r="D275" t="s">
        <v>279</v>
      </c>
      <c r="E275" s="433">
        <v>451542013.9551</v>
      </c>
      <c r="F275" s="433">
        <v>428398806</v>
      </c>
      <c r="G275" s="433">
        <v>879940819.95510006</v>
      </c>
      <c r="H275" s="433">
        <v>688371.36268859997</v>
      </c>
      <c r="I275" s="433">
        <v>653089.76960380003</v>
      </c>
      <c r="J275" s="433">
        <v>1341461.1322924001</v>
      </c>
    </row>
    <row r="276" spans="2:10">
      <c r="B276" t="s">
        <v>124</v>
      </c>
      <c r="C276" s="27">
        <v>44255</v>
      </c>
      <c r="D276" t="s">
        <v>280</v>
      </c>
      <c r="E276" s="433">
        <v>382499.19140000001</v>
      </c>
      <c r="F276" s="433">
        <v>9525</v>
      </c>
      <c r="G276" s="433">
        <v>392024.19140000001</v>
      </c>
      <c r="H276" s="433">
        <v>583.11625819999995</v>
      </c>
      <c r="I276" s="433">
        <v>14.5207689</v>
      </c>
      <c r="J276" s="433">
        <v>597.63702709999995</v>
      </c>
    </row>
    <row r="277" spans="2:10">
      <c r="B277" t="s">
        <v>124</v>
      </c>
      <c r="C277" s="27">
        <v>44255</v>
      </c>
      <c r="D277" t="s">
        <v>281</v>
      </c>
      <c r="E277" s="433">
        <v>335884743.17949998</v>
      </c>
      <c r="F277" s="433">
        <v>44461221</v>
      </c>
      <c r="G277" s="433">
        <v>380345964.17949998</v>
      </c>
      <c r="H277" s="433">
        <v>512052.99002750003</v>
      </c>
      <c r="I277" s="433">
        <v>67780.694466300003</v>
      </c>
      <c r="J277" s="433">
        <v>579833.68449380004</v>
      </c>
    </row>
    <row r="278" spans="2:10">
      <c r="B278" t="s">
        <v>124</v>
      </c>
      <c r="C278" s="27">
        <v>44620</v>
      </c>
      <c r="D278" t="s">
        <v>278</v>
      </c>
      <c r="E278" s="433">
        <v>148062939.68740001</v>
      </c>
      <c r="F278" s="433">
        <v>-60101689</v>
      </c>
      <c r="G278" s="433">
        <v>87961250.687399998</v>
      </c>
      <c r="H278" s="433">
        <v>225720.49644630001</v>
      </c>
      <c r="I278" s="433">
        <v>-91624.434223599994</v>
      </c>
      <c r="J278" s="433">
        <v>134096.06222270001</v>
      </c>
    </row>
    <row r="279" spans="2:10">
      <c r="B279" t="s">
        <v>124</v>
      </c>
      <c r="C279" s="27">
        <v>44620</v>
      </c>
      <c r="D279" t="s">
        <v>279</v>
      </c>
      <c r="E279" s="433">
        <v>477160402.93229997</v>
      </c>
      <c r="F279" s="433">
        <v>455503879</v>
      </c>
      <c r="G279" s="433">
        <v>932664281.93229997</v>
      </c>
      <c r="H279" s="433">
        <v>727426.34491640003</v>
      </c>
      <c r="I279" s="433">
        <v>694411.18701380002</v>
      </c>
      <c r="J279" s="433">
        <v>1421837.5319300999</v>
      </c>
    </row>
    <row r="280" spans="2:10">
      <c r="B280" t="s">
        <v>124</v>
      </c>
      <c r="C280" s="27">
        <v>44620</v>
      </c>
      <c r="D280" t="s">
        <v>280</v>
      </c>
      <c r="E280" s="433">
        <v>393584.0883</v>
      </c>
      <c r="F280" s="433">
        <v>4000</v>
      </c>
      <c r="G280" s="433">
        <v>397584.0883</v>
      </c>
      <c r="H280" s="433">
        <v>600.01507460000005</v>
      </c>
      <c r="I280" s="433">
        <v>6.0979606999999998</v>
      </c>
      <c r="J280" s="433">
        <v>606.11303529999998</v>
      </c>
    </row>
    <row r="281" spans="2:10">
      <c r="B281" t="s">
        <v>124</v>
      </c>
      <c r="C281" s="27">
        <v>44620</v>
      </c>
      <c r="D281" t="s">
        <v>281</v>
      </c>
      <c r="E281" s="433">
        <v>408857280.2518</v>
      </c>
      <c r="F281" s="433">
        <v>51919210</v>
      </c>
      <c r="G281" s="433">
        <v>460776490.2518</v>
      </c>
      <c r="H281" s="433">
        <v>623298.90564749995</v>
      </c>
      <c r="I281" s="433">
        <v>79150.325402400005</v>
      </c>
      <c r="J281" s="433">
        <v>702449.23104989994</v>
      </c>
    </row>
    <row r="282" spans="2:10">
      <c r="B282" t="s">
        <v>131</v>
      </c>
      <c r="C282" s="27">
        <v>44255</v>
      </c>
      <c r="D282" t="s">
        <v>278</v>
      </c>
      <c r="E282" s="433">
        <v>2608411668.7818999</v>
      </c>
      <c r="F282" s="433">
        <v>1083192900</v>
      </c>
      <c r="G282" s="433">
        <v>3691604568.7818999</v>
      </c>
      <c r="H282" s="433">
        <v>3976497.9545638999</v>
      </c>
      <c r="I282" s="433">
        <v>1651316.9308354</v>
      </c>
      <c r="J282" s="433">
        <v>5627814.8853992997</v>
      </c>
    </row>
    <row r="283" spans="2:10">
      <c r="B283" t="s">
        <v>131</v>
      </c>
      <c r="C283" s="27">
        <v>44255</v>
      </c>
      <c r="D283" t="s">
        <v>279</v>
      </c>
      <c r="E283" s="433">
        <v>3300144578.9207001</v>
      </c>
      <c r="F283" s="433">
        <v>1989232747</v>
      </c>
      <c r="G283" s="433">
        <v>5289377325.9207001</v>
      </c>
      <c r="H283" s="433">
        <v>5031037.9779783003</v>
      </c>
      <c r="I283" s="433">
        <v>3032565.7733661998</v>
      </c>
      <c r="J283" s="433">
        <v>8063603.7513445001</v>
      </c>
    </row>
    <row r="284" spans="2:10">
      <c r="B284" t="s">
        <v>131</v>
      </c>
      <c r="C284" s="27">
        <v>44255</v>
      </c>
      <c r="D284" t="s">
        <v>280</v>
      </c>
      <c r="E284" s="433">
        <v>3213077.8125</v>
      </c>
      <c r="F284" s="433">
        <v>-102733061</v>
      </c>
      <c r="G284" s="433">
        <v>-99519983.1875</v>
      </c>
      <c r="H284" s="433">
        <v>4898.3055482</v>
      </c>
      <c r="I284" s="433">
        <v>-156615.5418724</v>
      </c>
      <c r="J284" s="433">
        <v>-151717.2363242</v>
      </c>
    </row>
    <row r="285" spans="2:10">
      <c r="B285" t="s">
        <v>131</v>
      </c>
      <c r="C285" s="27">
        <v>44255</v>
      </c>
      <c r="D285" t="s">
        <v>281</v>
      </c>
      <c r="E285" s="433">
        <v>2690922482.9995999</v>
      </c>
      <c r="F285" s="433">
        <v>443966545</v>
      </c>
      <c r="G285" s="433">
        <v>3134889027.9995999</v>
      </c>
      <c r="H285" s="433">
        <v>4102284.8799534002</v>
      </c>
      <c r="I285" s="433">
        <v>676822.63471540005</v>
      </c>
      <c r="J285" s="433">
        <v>4779107.5146687999</v>
      </c>
    </row>
    <row r="286" spans="2:10">
      <c r="B286" t="s">
        <v>131</v>
      </c>
      <c r="C286" s="27">
        <v>44620</v>
      </c>
      <c r="D286" t="s">
        <v>278</v>
      </c>
      <c r="E286" s="433">
        <v>3188704457.9945002</v>
      </c>
      <c r="F286" s="433">
        <v>1211856450</v>
      </c>
      <c r="G286" s="433">
        <v>4400560907.9945002</v>
      </c>
      <c r="H286" s="433">
        <v>4861148.6088180998</v>
      </c>
      <c r="I286" s="433">
        <v>1847463.2483532</v>
      </c>
      <c r="J286" s="433">
        <v>6708611.8571712999</v>
      </c>
    </row>
    <row r="287" spans="2:10">
      <c r="B287" t="s">
        <v>131</v>
      </c>
      <c r="C287" s="27">
        <v>44620</v>
      </c>
      <c r="D287" t="s">
        <v>279</v>
      </c>
      <c r="E287" s="433">
        <v>3783571942.2013998</v>
      </c>
      <c r="F287" s="433">
        <v>2264149210</v>
      </c>
      <c r="G287" s="433">
        <v>6047721152.2013998</v>
      </c>
      <c r="H287" s="433">
        <v>5768018.2423564</v>
      </c>
      <c r="I287" s="433">
        <v>3451673.2194336001</v>
      </c>
      <c r="J287" s="433">
        <v>9219691.4617899992</v>
      </c>
    </row>
    <row r="288" spans="2:10">
      <c r="B288" t="s">
        <v>131</v>
      </c>
      <c r="C288" s="27">
        <v>44620</v>
      </c>
      <c r="D288" t="s">
        <v>280</v>
      </c>
      <c r="E288" s="433">
        <v>3763098.7004</v>
      </c>
      <c r="F288" s="433">
        <v>-25584707</v>
      </c>
      <c r="G288" s="433">
        <v>-21821608.299600001</v>
      </c>
      <c r="H288" s="433">
        <v>5736.8069863999999</v>
      </c>
      <c r="I288" s="433">
        <v>-39003.634384600002</v>
      </c>
      <c r="J288" s="433">
        <v>-33266.827398100002</v>
      </c>
    </row>
    <row r="289" spans="2:10">
      <c r="B289" t="s">
        <v>131</v>
      </c>
      <c r="C289" s="27">
        <v>44620</v>
      </c>
      <c r="D289" t="s">
        <v>281</v>
      </c>
      <c r="E289" s="433">
        <v>2891562591.0969</v>
      </c>
      <c r="F289" s="433">
        <v>467886467</v>
      </c>
      <c r="G289" s="433">
        <v>3359449058.0969</v>
      </c>
      <c r="H289" s="433">
        <v>4408158.7529317997</v>
      </c>
      <c r="I289" s="433">
        <v>713288.32072830002</v>
      </c>
      <c r="J289" s="433">
        <v>5121447.0736602005</v>
      </c>
    </row>
    <row r="290" spans="2:10">
      <c r="B290" t="s">
        <v>132</v>
      </c>
      <c r="C290" s="27">
        <v>44255</v>
      </c>
      <c r="D290" t="s">
        <v>278</v>
      </c>
      <c r="E290" s="433">
        <v>922371903.40110004</v>
      </c>
      <c r="F290" s="433">
        <v>471368004</v>
      </c>
      <c r="G290" s="433">
        <v>1393739907.4010999</v>
      </c>
      <c r="H290" s="433">
        <v>1406146.9020090001</v>
      </c>
      <c r="I290" s="433">
        <v>718595.88966959994</v>
      </c>
      <c r="J290" s="433">
        <v>2124742.7916786</v>
      </c>
    </row>
    <row r="291" spans="2:10">
      <c r="B291" t="s">
        <v>132</v>
      </c>
      <c r="C291" s="27">
        <v>44255</v>
      </c>
      <c r="D291" t="s">
        <v>279</v>
      </c>
      <c r="E291" s="433">
        <v>1156041007.4142001</v>
      </c>
      <c r="F291" s="433">
        <v>1020301411</v>
      </c>
      <c r="G291" s="433">
        <v>2176342418.4141998</v>
      </c>
      <c r="H291" s="433">
        <v>1762373.1546644</v>
      </c>
      <c r="I291" s="433">
        <v>1555439.4739289</v>
      </c>
      <c r="J291" s="433">
        <v>3317812.6285933</v>
      </c>
    </row>
    <row r="292" spans="2:10">
      <c r="B292" t="s">
        <v>132</v>
      </c>
      <c r="C292" s="27">
        <v>44255</v>
      </c>
      <c r="D292" t="s">
        <v>280</v>
      </c>
      <c r="E292" s="433">
        <v>-30174427.4947</v>
      </c>
      <c r="F292" s="433">
        <v>8553085</v>
      </c>
      <c r="G292" s="433">
        <v>-21621342.4947</v>
      </c>
      <c r="H292" s="433">
        <v>-46000.6181727</v>
      </c>
      <c r="I292" s="433">
        <v>13039.094026000001</v>
      </c>
      <c r="J292" s="433">
        <v>-32961.524146700001</v>
      </c>
    </row>
    <row r="293" spans="2:10">
      <c r="B293" t="s">
        <v>132</v>
      </c>
      <c r="C293" s="27">
        <v>44255</v>
      </c>
      <c r="D293" t="s">
        <v>281</v>
      </c>
      <c r="E293" s="433">
        <v>453590131.81980002</v>
      </c>
      <c r="F293" s="433">
        <v>106286220</v>
      </c>
      <c r="G293" s="433">
        <v>559876351.81980002</v>
      </c>
      <c r="H293" s="433">
        <v>691493.69824519998</v>
      </c>
      <c r="I293" s="433">
        <v>162032.29784879999</v>
      </c>
      <c r="J293" s="433">
        <v>853525.99609399994</v>
      </c>
    </row>
    <row r="294" spans="2:10">
      <c r="B294" t="s">
        <v>132</v>
      </c>
      <c r="C294" s="27">
        <v>44620</v>
      </c>
      <c r="D294" t="s">
        <v>278</v>
      </c>
      <c r="E294" s="433">
        <v>907186948.89880002</v>
      </c>
      <c r="F294" s="433">
        <v>416704304</v>
      </c>
      <c r="G294" s="433">
        <v>1323891252.8987999</v>
      </c>
      <c r="H294" s="433">
        <v>1382997.5881023</v>
      </c>
      <c r="I294" s="433">
        <v>635261.61623399996</v>
      </c>
      <c r="J294" s="433">
        <v>2018259.2043363</v>
      </c>
    </row>
    <row r="295" spans="2:10">
      <c r="B295" t="s">
        <v>132</v>
      </c>
      <c r="C295" s="27">
        <v>44620</v>
      </c>
      <c r="D295" t="s">
        <v>279</v>
      </c>
      <c r="E295" s="433">
        <v>1424981881.1501999</v>
      </c>
      <c r="F295" s="433">
        <v>1107477041</v>
      </c>
      <c r="G295" s="433">
        <v>2532458922.1501999</v>
      </c>
      <c r="H295" s="433">
        <v>2172370.8736246</v>
      </c>
      <c r="I295" s="433">
        <v>1688337.8651345</v>
      </c>
      <c r="J295" s="433">
        <v>3860708.7387591</v>
      </c>
    </row>
    <row r="296" spans="2:10">
      <c r="B296" t="s">
        <v>132</v>
      </c>
      <c r="C296" s="27">
        <v>44620</v>
      </c>
      <c r="D296" t="s">
        <v>280</v>
      </c>
      <c r="E296" s="433">
        <v>-20074528.9461</v>
      </c>
      <c r="F296" s="433">
        <v>6978609</v>
      </c>
      <c r="G296" s="433">
        <v>-13095919.9461</v>
      </c>
      <c r="H296" s="433">
        <v>-30603.4220934</v>
      </c>
      <c r="I296" s="433">
        <v>10638.8208373</v>
      </c>
      <c r="J296" s="433">
        <v>-19964.601256000002</v>
      </c>
    </row>
    <row r="297" spans="2:10">
      <c r="B297" t="s">
        <v>132</v>
      </c>
      <c r="C297" s="27">
        <v>44620</v>
      </c>
      <c r="D297" t="s">
        <v>281</v>
      </c>
      <c r="E297" s="433">
        <v>547073793.32710004</v>
      </c>
      <c r="F297" s="433">
        <v>122172289</v>
      </c>
      <c r="G297" s="433">
        <v>669246082.32710004</v>
      </c>
      <c r="H297" s="433">
        <v>834008.62149060005</v>
      </c>
      <c r="I297" s="433">
        <v>186250.45391690001</v>
      </c>
      <c r="J297" s="433">
        <v>1020259.0754075</v>
      </c>
    </row>
    <row r="298" spans="2:10">
      <c r="B298" t="s">
        <v>135</v>
      </c>
      <c r="C298" s="27">
        <v>44255</v>
      </c>
      <c r="D298" t="s">
        <v>278</v>
      </c>
      <c r="E298" s="433">
        <v>203382365.85139999</v>
      </c>
      <c r="F298" s="433">
        <v>147485542</v>
      </c>
      <c r="G298" s="433">
        <v>350867907.85140002</v>
      </c>
      <c r="H298" s="433">
        <v>310054.41797469999</v>
      </c>
      <c r="I298" s="433">
        <v>224840.25934630001</v>
      </c>
      <c r="J298" s="433">
        <v>534894.67732090002</v>
      </c>
    </row>
    <row r="299" spans="2:10">
      <c r="B299" t="s">
        <v>135</v>
      </c>
      <c r="C299" s="27">
        <v>44255</v>
      </c>
      <c r="D299" t="s">
        <v>279</v>
      </c>
      <c r="E299" s="433">
        <v>43076455.430799998</v>
      </c>
      <c r="F299" s="433">
        <v>42215271</v>
      </c>
      <c r="G299" s="433">
        <v>85291726.430800006</v>
      </c>
      <c r="H299" s="433">
        <v>65669.632964999997</v>
      </c>
      <c r="I299" s="433">
        <v>64356.7657636</v>
      </c>
      <c r="J299" s="433">
        <v>130026.3987286</v>
      </c>
    </row>
    <row r="300" spans="2:10">
      <c r="B300" t="s">
        <v>135</v>
      </c>
      <c r="C300" s="27">
        <v>44255</v>
      </c>
      <c r="D300" t="s">
        <v>280</v>
      </c>
      <c r="E300" s="433">
        <v>-809040.75730000006</v>
      </c>
      <c r="F300" s="433">
        <v>115451</v>
      </c>
      <c r="G300" s="433">
        <v>-693589.75730000006</v>
      </c>
      <c r="H300" s="433">
        <v>-1233.3746836</v>
      </c>
      <c r="I300" s="433">
        <v>176.00391490000001</v>
      </c>
      <c r="J300" s="433">
        <v>-1057.3707687000001</v>
      </c>
    </row>
    <row r="301" spans="2:10">
      <c r="B301" t="s">
        <v>135</v>
      </c>
      <c r="C301" s="27">
        <v>44255</v>
      </c>
      <c r="D301" t="s">
        <v>281</v>
      </c>
      <c r="E301" s="433">
        <v>221827960.90259999</v>
      </c>
      <c r="F301" s="433">
        <v>95683595</v>
      </c>
      <c r="G301" s="433">
        <v>317511555.90259999</v>
      </c>
      <c r="H301" s="433">
        <v>338174.54635379999</v>
      </c>
      <c r="I301" s="433">
        <v>145868.7002349</v>
      </c>
      <c r="J301" s="433">
        <v>484043.24658869999</v>
      </c>
    </row>
    <row r="302" spans="2:10">
      <c r="B302" t="s">
        <v>135</v>
      </c>
      <c r="C302" s="27">
        <v>44620</v>
      </c>
      <c r="D302" t="s">
        <v>278</v>
      </c>
      <c r="E302" s="433">
        <v>266504185.66780001</v>
      </c>
      <c r="F302" s="433">
        <v>157263852</v>
      </c>
      <c r="G302" s="433">
        <v>423768037.66780001</v>
      </c>
      <c r="H302" s="433">
        <v>406283.01194709999</v>
      </c>
      <c r="I302" s="433">
        <v>239747.19684369999</v>
      </c>
      <c r="J302" s="433">
        <v>646030.20879079995</v>
      </c>
    </row>
    <row r="303" spans="2:10">
      <c r="B303" t="s">
        <v>135</v>
      </c>
      <c r="C303" s="27">
        <v>44620</v>
      </c>
      <c r="D303" t="s">
        <v>279</v>
      </c>
      <c r="E303" s="433">
        <v>56956125.802699998</v>
      </c>
      <c r="F303" s="433">
        <v>43451295</v>
      </c>
      <c r="G303" s="433">
        <v>100407420.8027</v>
      </c>
      <c r="H303" s="433">
        <v>86829.054042699994</v>
      </c>
      <c r="I303" s="433">
        <v>66241.072204399999</v>
      </c>
      <c r="J303" s="433">
        <v>153070.12624710001</v>
      </c>
    </row>
    <row r="304" spans="2:10">
      <c r="B304" t="s">
        <v>135</v>
      </c>
      <c r="C304" s="27">
        <v>44620</v>
      </c>
      <c r="D304" t="s">
        <v>280</v>
      </c>
      <c r="E304" s="433">
        <v>-1158941.905</v>
      </c>
      <c r="F304" s="433">
        <v>321017</v>
      </c>
      <c r="G304" s="433">
        <v>-837924.90500000003</v>
      </c>
      <c r="H304" s="433">
        <v>-1766.7955445</v>
      </c>
      <c r="I304" s="433">
        <v>489.38726170000001</v>
      </c>
      <c r="J304" s="433">
        <v>-1277.4082828999999</v>
      </c>
    </row>
    <row r="305" spans="2:10">
      <c r="B305" t="s">
        <v>135</v>
      </c>
      <c r="C305" s="27">
        <v>44620</v>
      </c>
      <c r="D305" t="s">
        <v>281</v>
      </c>
      <c r="E305" s="433">
        <v>254115849.43979999</v>
      </c>
      <c r="F305" s="433">
        <v>95053636</v>
      </c>
      <c r="G305" s="433">
        <v>349169485.43980002</v>
      </c>
      <c r="H305" s="433">
        <v>387397.1151155</v>
      </c>
      <c r="I305" s="433">
        <v>144908.3339304</v>
      </c>
      <c r="J305" s="433">
        <v>532305.44904590002</v>
      </c>
    </row>
    <row r="306" spans="2:10">
      <c r="B306" t="s">
        <v>136</v>
      </c>
      <c r="C306" s="27">
        <v>44255</v>
      </c>
      <c r="D306" t="s">
        <v>278</v>
      </c>
      <c r="E306" s="433">
        <v>-882588.62269999995</v>
      </c>
      <c r="F306" s="433">
        <v>887228.04</v>
      </c>
      <c r="G306" s="433">
        <v>4639.4173000000001</v>
      </c>
      <c r="H306" s="433">
        <v>-126908.9974405</v>
      </c>
      <c r="I306" s="433">
        <v>127576.1075563</v>
      </c>
      <c r="J306" s="433">
        <v>667.11011580000002</v>
      </c>
    </row>
    <row r="307" spans="2:10">
      <c r="B307" t="s">
        <v>136</v>
      </c>
      <c r="C307" s="27">
        <v>44255</v>
      </c>
      <c r="D307" t="s">
        <v>279</v>
      </c>
      <c r="E307" s="433">
        <v>985290.00540000002</v>
      </c>
      <c r="F307" s="433">
        <v>3482295.32</v>
      </c>
      <c r="G307" s="433">
        <v>4467585.3254000004</v>
      </c>
      <c r="H307" s="433">
        <v>141676.61304190001</v>
      </c>
      <c r="I307" s="433">
        <v>500725.4755913</v>
      </c>
      <c r="J307" s="433">
        <v>642402.08863330004</v>
      </c>
    </row>
    <row r="308" spans="2:10">
      <c r="B308" t="s">
        <v>136</v>
      </c>
      <c r="C308" s="27">
        <v>44255</v>
      </c>
      <c r="D308" t="s">
        <v>280</v>
      </c>
      <c r="E308" s="433">
        <v>212.9803</v>
      </c>
      <c r="F308" s="433">
        <v>477.27</v>
      </c>
      <c r="G308" s="433">
        <v>690.25030000000004</v>
      </c>
      <c r="H308" s="433">
        <v>30.6248185</v>
      </c>
      <c r="I308" s="433">
        <v>68.627507399999999</v>
      </c>
      <c r="J308" s="433">
        <v>99.252325799999994</v>
      </c>
    </row>
    <row r="309" spans="2:10">
      <c r="B309" t="s">
        <v>136</v>
      </c>
      <c r="C309" s="27">
        <v>44255</v>
      </c>
      <c r="D309" t="s">
        <v>281</v>
      </c>
      <c r="E309" s="433">
        <v>402621.45850000001</v>
      </c>
      <c r="F309" s="433">
        <v>326930.27</v>
      </c>
      <c r="G309" s="433">
        <v>729551.72849999997</v>
      </c>
      <c r="H309" s="433">
        <v>57893.6600043</v>
      </c>
      <c r="I309" s="433">
        <v>47009.888561400003</v>
      </c>
      <c r="J309" s="433">
        <v>104903.5485657</v>
      </c>
    </row>
    <row r="310" spans="2:10">
      <c r="B310" t="s">
        <v>136</v>
      </c>
      <c r="C310" s="27">
        <v>44620</v>
      </c>
      <c r="D310" t="s">
        <v>278</v>
      </c>
      <c r="E310" s="433">
        <v>-1213869.6044999999</v>
      </c>
      <c r="F310" s="433">
        <v>929194.03</v>
      </c>
      <c r="G310" s="433">
        <v>-284675.57449999999</v>
      </c>
      <c r="H310" s="433">
        <v>-163815.06133600001</v>
      </c>
      <c r="I310" s="433">
        <v>125397.3049933</v>
      </c>
      <c r="J310" s="433">
        <v>-38417.756342799999</v>
      </c>
    </row>
    <row r="311" spans="2:10">
      <c r="B311" t="s">
        <v>136</v>
      </c>
      <c r="C311" s="27">
        <v>44620</v>
      </c>
      <c r="D311" t="s">
        <v>279</v>
      </c>
      <c r="E311" s="433">
        <v>236986.77530000001</v>
      </c>
      <c r="F311" s="433">
        <v>3154371.69</v>
      </c>
      <c r="G311" s="433">
        <v>3391358.4652999998</v>
      </c>
      <c r="H311" s="433">
        <v>31982.020958199999</v>
      </c>
      <c r="I311" s="433">
        <v>425691.18623480003</v>
      </c>
      <c r="J311" s="433">
        <v>457673.20719300001</v>
      </c>
    </row>
    <row r="312" spans="2:10">
      <c r="B312" t="s">
        <v>136</v>
      </c>
      <c r="C312" s="27">
        <v>44620</v>
      </c>
      <c r="D312" t="s">
        <v>280</v>
      </c>
      <c r="E312" s="433">
        <v>-5413.3026</v>
      </c>
      <c r="F312" s="433">
        <v>3034.02</v>
      </c>
      <c r="G312" s="433">
        <v>-2379.2826</v>
      </c>
      <c r="H312" s="433">
        <v>-730.54016190000004</v>
      </c>
      <c r="I312" s="433">
        <v>409.44939269999998</v>
      </c>
      <c r="J312" s="433">
        <v>-321.09076920000001</v>
      </c>
    </row>
    <row r="313" spans="2:10">
      <c r="B313" t="s">
        <v>136</v>
      </c>
      <c r="C313" s="27">
        <v>44620</v>
      </c>
      <c r="D313" t="s">
        <v>281</v>
      </c>
      <c r="E313" s="433">
        <v>579061.0638</v>
      </c>
      <c r="F313" s="433">
        <v>442062.62</v>
      </c>
      <c r="G313" s="433">
        <v>1021123.6838</v>
      </c>
      <c r="H313" s="433">
        <v>78145.892550599994</v>
      </c>
      <c r="I313" s="433">
        <v>59657.573549300003</v>
      </c>
      <c r="J313" s="433">
        <v>137803.46609989999</v>
      </c>
    </row>
    <row r="314" spans="2:10">
      <c r="B314" t="s">
        <v>137</v>
      </c>
      <c r="C314" s="27">
        <v>44255</v>
      </c>
      <c r="D314" t="s">
        <v>278</v>
      </c>
      <c r="E314" s="433">
        <v>3282182520.7564998</v>
      </c>
      <c r="F314" s="433">
        <v>1972557521</v>
      </c>
      <c r="G314" s="433">
        <v>5254740041.7565002</v>
      </c>
      <c r="H314" s="433">
        <v>265718.46562969999</v>
      </c>
      <c r="I314" s="433">
        <v>159694.03119169999</v>
      </c>
      <c r="J314" s="433">
        <v>425412.49682140001</v>
      </c>
    </row>
    <row r="315" spans="2:10">
      <c r="B315" t="s">
        <v>137</v>
      </c>
      <c r="C315" s="27">
        <v>44255</v>
      </c>
      <c r="D315" t="s">
        <v>279</v>
      </c>
      <c r="E315" s="433">
        <v>4135811084.0981002</v>
      </c>
      <c r="F315" s="433">
        <v>4987916858</v>
      </c>
      <c r="G315" s="433">
        <v>9123727942.0981007</v>
      </c>
      <c r="H315" s="433">
        <v>334826.40543330001</v>
      </c>
      <c r="I315" s="433">
        <v>403811.06346610002</v>
      </c>
      <c r="J315" s="433">
        <v>738637.46889939997</v>
      </c>
    </row>
    <row r="316" spans="2:10">
      <c r="B316" t="s">
        <v>137</v>
      </c>
      <c r="C316" s="27">
        <v>44255</v>
      </c>
      <c r="D316" t="s">
        <v>280</v>
      </c>
      <c r="E316" s="433">
        <v>25428075.028700002</v>
      </c>
      <c r="F316" s="433">
        <v>689247</v>
      </c>
      <c r="G316" s="433">
        <v>26117322.028700002</v>
      </c>
      <c r="H316" s="433">
        <v>2058.6024811000002</v>
      </c>
      <c r="I316" s="433">
        <v>55.799960599999999</v>
      </c>
      <c r="J316" s="433">
        <v>2114.4024416000002</v>
      </c>
    </row>
    <row r="317" spans="2:10">
      <c r="B317" t="s">
        <v>137</v>
      </c>
      <c r="C317" s="27">
        <v>44255</v>
      </c>
      <c r="D317" t="s">
        <v>281</v>
      </c>
      <c r="E317" s="433">
        <v>3071940284.4302001</v>
      </c>
      <c r="F317" s="433">
        <v>342911003</v>
      </c>
      <c r="G317" s="433">
        <v>3414851287.4302001</v>
      </c>
      <c r="H317" s="433">
        <v>248697.70456789999</v>
      </c>
      <c r="I317" s="433">
        <v>27761.340202300002</v>
      </c>
      <c r="J317" s="433">
        <v>276459.04477019998</v>
      </c>
    </row>
    <row r="318" spans="2:10">
      <c r="B318" t="s">
        <v>137</v>
      </c>
      <c r="C318" s="27">
        <v>44620</v>
      </c>
      <c r="D318" t="s">
        <v>278</v>
      </c>
      <c r="E318" s="433">
        <v>6983752037.3451996</v>
      </c>
      <c r="F318" s="433">
        <v>1934187890</v>
      </c>
      <c r="G318" s="433">
        <v>8917939927.3451996</v>
      </c>
      <c r="H318" s="433">
        <v>700568.26262379996</v>
      </c>
      <c r="I318" s="433">
        <v>194026.16851789999</v>
      </c>
      <c r="J318" s="433">
        <v>894594.43114180001</v>
      </c>
    </row>
    <row r="319" spans="2:10">
      <c r="B319" t="s">
        <v>137</v>
      </c>
      <c r="C319" s="27">
        <v>44620</v>
      </c>
      <c r="D319" t="s">
        <v>279</v>
      </c>
      <c r="E319" s="433">
        <v>12226668302.8703</v>
      </c>
      <c r="F319" s="433">
        <v>5466950152</v>
      </c>
      <c r="G319" s="433">
        <v>17693618454.8703</v>
      </c>
      <c r="H319" s="433">
        <v>1226506.2855634</v>
      </c>
      <c r="I319" s="433">
        <v>548411.76338410005</v>
      </c>
      <c r="J319" s="433">
        <v>1774918.0489475001</v>
      </c>
    </row>
    <row r="320" spans="2:10">
      <c r="B320" t="s">
        <v>137</v>
      </c>
      <c r="C320" s="27">
        <v>44620</v>
      </c>
      <c r="D320" t="s">
        <v>280</v>
      </c>
      <c r="E320" s="433">
        <v>33751815.000799999</v>
      </c>
      <c r="F320" s="433">
        <v>2743794</v>
      </c>
      <c r="G320" s="433">
        <v>36495609.000799999</v>
      </c>
      <c r="H320" s="433">
        <v>3385.7803469</v>
      </c>
      <c r="I320" s="433">
        <v>275.24101450000001</v>
      </c>
      <c r="J320" s="433">
        <v>3661.0213613000001</v>
      </c>
    </row>
    <row r="321" spans="2:10">
      <c r="B321" t="s">
        <v>137</v>
      </c>
      <c r="C321" s="27">
        <v>44620</v>
      </c>
      <c r="D321" t="s">
        <v>281</v>
      </c>
      <c r="E321" s="433">
        <v>4950298469.7614002</v>
      </c>
      <c r="F321" s="433">
        <v>315769194</v>
      </c>
      <c r="G321" s="433">
        <v>5266067663.7614002</v>
      </c>
      <c r="H321" s="433">
        <v>496584.35463989998</v>
      </c>
      <c r="I321" s="433">
        <v>31676.0781952</v>
      </c>
      <c r="J321" s="433">
        <v>528260.43283509999</v>
      </c>
    </row>
    <row r="322" spans="2:10">
      <c r="B322" t="s">
        <v>138</v>
      </c>
      <c r="C322" s="27">
        <v>44255</v>
      </c>
      <c r="D322" t="s">
        <v>278</v>
      </c>
      <c r="E322" s="433">
        <v>3914364313.1429</v>
      </c>
      <c r="F322" s="433">
        <v>1336667567.5699999</v>
      </c>
      <c r="G322" s="433">
        <v>5251031880.7129002</v>
      </c>
      <c r="H322" s="433">
        <v>862329.6403497</v>
      </c>
      <c r="I322" s="433">
        <v>294466.21995290002</v>
      </c>
      <c r="J322" s="433">
        <v>1156795.8603026001</v>
      </c>
    </row>
    <row r="323" spans="2:10">
      <c r="B323" t="s">
        <v>138</v>
      </c>
      <c r="C323" s="27">
        <v>44255</v>
      </c>
      <c r="D323" t="s">
        <v>279</v>
      </c>
      <c r="E323" s="433">
        <v>8050250601.1321001</v>
      </c>
      <c r="F323" s="433">
        <v>3888542125.75</v>
      </c>
      <c r="G323" s="433">
        <v>11938792726.882099</v>
      </c>
      <c r="H323" s="433">
        <v>1773460.2991067001</v>
      </c>
      <c r="I323" s="433">
        <v>856641.04424920003</v>
      </c>
      <c r="J323" s="433">
        <v>2630101.3433559001</v>
      </c>
    </row>
    <row r="324" spans="2:10">
      <c r="B324" t="s">
        <v>138</v>
      </c>
      <c r="C324" s="27">
        <v>44255</v>
      </c>
      <c r="D324" t="s">
        <v>280</v>
      </c>
      <c r="E324" s="433">
        <v>21994.134300000002</v>
      </c>
      <c r="F324" s="433">
        <v>490222.69</v>
      </c>
      <c r="G324" s="433">
        <v>512216.82429999998</v>
      </c>
      <c r="H324" s="433">
        <v>4.8452807</v>
      </c>
      <c r="I324" s="433">
        <v>107.99545519999999</v>
      </c>
      <c r="J324" s="433">
        <v>112.84073600000001</v>
      </c>
    </row>
    <row r="325" spans="2:10">
      <c r="B325" t="s">
        <v>138</v>
      </c>
      <c r="C325" s="27">
        <v>44255</v>
      </c>
      <c r="D325" t="s">
        <v>281</v>
      </c>
      <c r="E325" s="433">
        <v>810987986.05480003</v>
      </c>
      <c r="F325" s="433">
        <v>331563755.88999999</v>
      </c>
      <c r="G325" s="433">
        <v>1142551741.9447999</v>
      </c>
      <c r="H325" s="433">
        <v>178659.6551564</v>
      </c>
      <c r="I325" s="433">
        <v>73043.087330800001</v>
      </c>
      <c r="J325" s="433">
        <v>251702.74248720001</v>
      </c>
    </row>
    <row r="326" spans="2:10">
      <c r="B326" t="s">
        <v>138</v>
      </c>
      <c r="C326" s="27">
        <v>44620</v>
      </c>
      <c r="D326" t="s">
        <v>278</v>
      </c>
      <c r="E326" s="433">
        <v>5087655064.6529999</v>
      </c>
      <c r="F326" s="433">
        <v>1229860846.21</v>
      </c>
      <c r="G326" s="433">
        <v>6317515910.8629999</v>
      </c>
      <c r="H326" s="433">
        <v>1144262.6820143999</v>
      </c>
      <c r="I326" s="433">
        <v>276607.56330869999</v>
      </c>
      <c r="J326" s="433">
        <v>1420870.2453230999</v>
      </c>
    </row>
    <row r="327" spans="2:10">
      <c r="B327" t="s">
        <v>138</v>
      </c>
      <c r="C327" s="27">
        <v>44620</v>
      </c>
      <c r="D327" t="s">
        <v>279</v>
      </c>
      <c r="E327" s="433">
        <v>10738257970.388201</v>
      </c>
      <c r="F327" s="433">
        <v>3922312242.4499998</v>
      </c>
      <c r="G327" s="433">
        <v>14660570212.8382</v>
      </c>
      <c r="H327" s="433">
        <v>2415137.7617416</v>
      </c>
      <c r="I327" s="433">
        <v>882165.8444233</v>
      </c>
      <c r="J327" s="433">
        <v>3297303.6061648</v>
      </c>
    </row>
    <row r="328" spans="2:10">
      <c r="B328" t="s">
        <v>138</v>
      </c>
      <c r="C328" s="27">
        <v>44620</v>
      </c>
      <c r="D328" t="s">
        <v>280</v>
      </c>
      <c r="E328" s="433">
        <v>465026.3664</v>
      </c>
      <c r="F328" s="433">
        <v>164791.74</v>
      </c>
      <c r="G328" s="433">
        <v>629818.10640000005</v>
      </c>
      <c r="H328" s="433">
        <v>104.5889138</v>
      </c>
      <c r="I328" s="433">
        <v>37.063251299999997</v>
      </c>
      <c r="J328" s="433">
        <v>141.65216520000001</v>
      </c>
    </row>
    <row r="329" spans="2:10">
      <c r="B329" t="s">
        <v>138</v>
      </c>
      <c r="C329" s="27">
        <v>44620</v>
      </c>
      <c r="D329" t="s">
        <v>281</v>
      </c>
      <c r="E329" s="433">
        <v>1534361513.1410999</v>
      </c>
      <c r="F329" s="433">
        <v>390290122.14999998</v>
      </c>
      <c r="G329" s="433">
        <v>1924651635.2911</v>
      </c>
      <c r="H329" s="433">
        <v>345092.69946470001</v>
      </c>
      <c r="I329" s="433">
        <v>87780.011864</v>
      </c>
      <c r="J329" s="433">
        <v>432872.71132870001</v>
      </c>
    </row>
    <row r="330" spans="2:10">
      <c r="B330" t="s">
        <v>139</v>
      </c>
      <c r="C330" s="27">
        <v>44255</v>
      </c>
      <c r="D330" t="s">
        <v>278</v>
      </c>
      <c r="E330" s="433">
        <v>4671571.5165999997</v>
      </c>
      <c r="F330" s="433">
        <v>4234888.88</v>
      </c>
      <c r="G330" s="433">
        <v>8906460.3966000006</v>
      </c>
      <c r="H330" s="433">
        <v>106876.4931732</v>
      </c>
      <c r="I330" s="433">
        <v>96886.041638099996</v>
      </c>
      <c r="J330" s="433">
        <v>203762.53481129999</v>
      </c>
    </row>
    <row r="331" spans="2:10">
      <c r="B331" t="s">
        <v>139</v>
      </c>
      <c r="C331" s="27">
        <v>44255</v>
      </c>
      <c r="D331" t="s">
        <v>279</v>
      </c>
      <c r="E331" s="433">
        <v>12815886.555600001</v>
      </c>
      <c r="F331" s="433">
        <v>15104890.6</v>
      </c>
      <c r="G331" s="433">
        <v>27920777.1556</v>
      </c>
      <c r="H331" s="433">
        <v>293202.62080989999</v>
      </c>
      <c r="I331" s="433">
        <v>345570.5925418</v>
      </c>
      <c r="J331" s="433">
        <v>638773.21335159999</v>
      </c>
    </row>
    <row r="332" spans="2:10">
      <c r="B332" t="s">
        <v>139</v>
      </c>
      <c r="C332" s="27">
        <v>44255</v>
      </c>
      <c r="D332" t="s">
        <v>280</v>
      </c>
      <c r="E332" s="433">
        <v>-1085996.6617999999</v>
      </c>
      <c r="F332" s="433">
        <v>5184.7700000000004</v>
      </c>
      <c r="G332" s="433">
        <v>-1080811.8918000001</v>
      </c>
      <c r="H332" s="433">
        <v>-24845.4967239</v>
      </c>
      <c r="I332" s="433">
        <v>118.6174788</v>
      </c>
      <c r="J332" s="433">
        <v>-24726.879245</v>
      </c>
    </row>
    <row r="333" spans="2:10">
      <c r="B333" t="s">
        <v>139</v>
      </c>
      <c r="C333" s="27">
        <v>44255</v>
      </c>
      <c r="D333" t="s">
        <v>281</v>
      </c>
      <c r="E333" s="433">
        <v>4143047.6003</v>
      </c>
      <c r="F333" s="433">
        <v>1404761.04</v>
      </c>
      <c r="G333" s="433">
        <v>5547808.6403000001</v>
      </c>
      <c r="H333" s="433">
        <v>94784.891336100001</v>
      </c>
      <c r="I333" s="433">
        <v>32138.207275199999</v>
      </c>
      <c r="J333" s="433">
        <v>126923.0986113</v>
      </c>
    </row>
    <row r="334" spans="2:10">
      <c r="B334" t="s">
        <v>139</v>
      </c>
      <c r="C334" s="27">
        <v>44620</v>
      </c>
      <c r="D334" t="s">
        <v>278</v>
      </c>
      <c r="E334" s="433">
        <v>3881128.5188000002</v>
      </c>
      <c r="F334" s="433">
        <v>7730099.6399999997</v>
      </c>
      <c r="G334" s="433">
        <v>11611228.1588</v>
      </c>
      <c r="H334" s="433">
        <v>95641.412488899994</v>
      </c>
      <c r="I334" s="433">
        <v>190490.38048299999</v>
      </c>
      <c r="J334" s="433">
        <v>286131.79297190002</v>
      </c>
    </row>
    <row r="335" spans="2:10">
      <c r="B335" t="s">
        <v>139</v>
      </c>
      <c r="C335" s="27">
        <v>44620</v>
      </c>
      <c r="D335" t="s">
        <v>279</v>
      </c>
      <c r="E335" s="433">
        <v>13851474.9846</v>
      </c>
      <c r="F335" s="433">
        <v>15764281.939999999</v>
      </c>
      <c r="G335" s="433">
        <v>29615756.924600001</v>
      </c>
      <c r="H335" s="433">
        <v>341337.48113849998</v>
      </c>
      <c r="I335" s="433">
        <v>388474.1729916</v>
      </c>
      <c r="J335" s="433">
        <v>729811.65413010004</v>
      </c>
    </row>
    <row r="336" spans="2:10">
      <c r="B336" t="s">
        <v>139</v>
      </c>
      <c r="C336" s="27">
        <v>44620</v>
      </c>
      <c r="D336" t="s">
        <v>280</v>
      </c>
      <c r="E336" s="433">
        <v>-1218273.2228000001</v>
      </c>
      <c r="F336" s="433">
        <v>11522.21</v>
      </c>
      <c r="G336" s="433">
        <v>-1206751.0127999999</v>
      </c>
      <c r="H336" s="433">
        <v>-30021.518551000001</v>
      </c>
      <c r="I336" s="433">
        <v>283.93814689999999</v>
      </c>
      <c r="J336" s="433">
        <v>-29737.580404100001</v>
      </c>
    </row>
    <row r="337" spans="2:10">
      <c r="B337" t="s">
        <v>139</v>
      </c>
      <c r="C337" s="27">
        <v>44620</v>
      </c>
      <c r="D337" t="s">
        <v>281</v>
      </c>
      <c r="E337" s="433">
        <v>1130893.9775</v>
      </c>
      <c r="F337" s="433">
        <v>1702330.95</v>
      </c>
      <c r="G337" s="433">
        <v>2833224.9275000002</v>
      </c>
      <c r="H337" s="433">
        <v>27868.259672299999</v>
      </c>
      <c r="I337" s="433">
        <v>41949.998767899997</v>
      </c>
      <c r="J337" s="433">
        <v>69818.258440100006</v>
      </c>
    </row>
    <row r="338" spans="2:10">
      <c r="B338" t="s">
        <v>141</v>
      </c>
      <c r="C338" s="27">
        <v>44255</v>
      </c>
      <c r="D338" t="s">
        <v>278</v>
      </c>
      <c r="E338" s="433">
        <v>1026147879.8827</v>
      </c>
      <c r="F338" s="433">
        <v>227430111</v>
      </c>
      <c r="G338" s="433">
        <v>1253577990.8827</v>
      </c>
      <c r="H338" s="433">
        <v>1564352.3582837</v>
      </c>
      <c r="I338" s="433">
        <v>346714.96912149998</v>
      </c>
      <c r="J338" s="433">
        <v>1911067.3274052001</v>
      </c>
    </row>
    <row r="339" spans="2:10">
      <c r="B339" t="s">
        <v>141</v>
      </c>
      <c r="C339" s="27">
        <v>44255</v>
      </c>
      <c r="D339" t="s">
        <v>279</v>
      </c>
      <c r="E339" s="433">
        <v>1296234120.4321001</v>
      </c>
      <c r="F339" s="433">
        <v>660657472</v>
      </c>
      <c r="G339" s="433">
        <v>1956891592.4321001</v>
      </c>
      <c r="H339" s="433">
        <v>1976096.1776947</v>
      </c>
      <c r="I339" s="433">
        <v>1007165.8233695</v>
      </c>
      <c r="J339" s="433">
        <v>2983262.0010642</v>
      </c>
    </row>
    <row r="340" spans="2:10">
      <c r="B340" t="s">
        <v>141</v>
      </c>
      <c r="C340" s="27">
        <v>44255</v>
      </c>
      <c r="D340" t="s">
        <v>280</v>
      </c>
      <c r="E340" s="433">
        <v>-108175383.0905</v>
      </c>
      <c r="F340" s="433">
        <v>6090908</v>
      </c>
      <c r="G340" s="433">
        <v>-102084475.0905</v>
      </c>
      <c r="H340" s="433">
        <v>-164912.3084143</v>
      </c>
      <c r="I340" s="433">
        <v>9285.5293868000008</v>
      </c>
      <c r="J340" s="433">
        <v>-155626.77902740001</v>
      </c>
    </row>
    <row r="341" spans="2:10">
      <c r="B341" t="s">
        <v>141</v>
      </c>
      <c r="C341" s="27">
        <v>44255</v>
      </c>
      <c r="D341" t="s">
        <v>281</v>
      </c>
      <c r="E341" s="433">
        <v>1353478339.0940001</v>
      </c>
      <c r="F341" s="433">
        <v>93468976</v>
      </c>
      <c r="G341" s="433">
        <v>1446947315.0940001</v>
      </c>
      <c r="H341" s="433">
        <v>2063364.4264700001</v>
      </c>
      <c r="I341" s="433">
        <v>142492.53533390001</v>
      </c>
      <c r="J341" s="433">
        <v>2205856.9618039001</v>
      </c>
    </row>
    <row r="342" spans="2:10">
      <c r="B342" t="s">
        <v>141</v>
      </c>
      <c r="C342" s="27">
        <v>44620</v>
      </c>
      <c r="D342" t="s">
        <v>278</v>
      </c>
      <c r="E342" s="433">
        <v>1108959102.1215999</v>
      </c>
      <c r="F342" s="433">
        <v>266631876</v>
      </c>
      <c r="G342" s="433">
        <v>1375590978.1215999</v>
      </c>
      <c r="H342" s="433">
        <v>1690597.2527492</v>
      </c>
      <c r="I342" s="433">
        <v>406477.6746037</v>
      </c>
      <c r="J342" s="433">
        <v>2097074.9273528999</v>
      </c>
    </row>
    <row r="343" spans="2:10">
      <c r="B343" t="s">
        <v>141</v>
      </c>
      <c r="C343" s="27">
        <v>44620</v>
      </c>
      <c r="D343" t="s">
        <v>279</v>
      </c>
      <c r="E343" s="433">
        <v>1139785646.0479</v>
      </c>
      <c r="F343" s="433">
        <v>553858073.62</v>
      </c>
      <c r="G343" s="433">
        <v>1693643719.6679001</v>
      </c>
      <c r="H343" s="433">
        <v>1737592.0160131</v>
      </c>
      <c r="I343" s="433">
        <v>844351.19012369995</v>
      </c>
      <c r="J343" s="433">
        <v>2581943.2061367999</v>
      </c>
    </row>
    <row r="344" spans="2:10">
      <c r="B344" t="s">
        <v>141</v>
      </c>
      <c r="C344" s="27">
        <v>44620</v>
      </c>
      <c r="D344" t="s">
        <v>280</v>
      </c>
      <c r="E344" s="433">
        <v>-113627637.86669999</v>
      </c>
      <c r="F344" s="433">
        <v>4835316</v>
      </c>
      <c r="G344" s="433">
        <v>-108792321.86669999</v>
      </c>
      <c r="H344" s="433">
        <v>-173224.21723790001</v>
      </c>
      <c r="I344" s="433">
        <v>7371.3917222999999</v>
      </c>
      <c r="J344" s="433">
        <v>-165852.82551550001</v>
      </c>
    </row>
    <row r="345" spans="2:10">
      <c r="B345" t="s">
        <v>141</v>
      </c>
      <c r="C345" s="27">
        <v>44620</v>
      </c>
      <c r="D345" t="s">
        <v>281</v>
      </c>
      <c r="E345" s="433">
        <v>1652846416.0629001</v>
      </c>
      <c r="F345" s="433">
        <v>130570534.09</v>
      </c>
      <c r="G345" s="433">
        <v>1783416950.1529</v>
      </c>
      <c r="H345" s="433">
        <v>2519748.1177317002</v>
      </c>
      <c r="I345" s="433">
        <v>199053.49602180001</v>
      </c>
      <c r="J345" s="433">
        <v>2718801.6137534999</v>
      </c>
    </row>
    <row r="346" spans="2:10">
      <c r="B346" t="s">
        <v>140</v>
      </c>
      <c r="C346" s="27">
        <v>44255</v>
      </c>
      <c r="D346" t="s">
        <v>278</v>
      </c>
      <c r="E346" s="433">
        <v>147893858.4332</v>
      </c>
      <c r="F346" s="433">
        <v>83198495</v>
      </c>
      <c r="G346" s="433">
        <v>231092353.4332</v>
      </c>
      <c r="H346" s="433">
        <v>225462.73373589999</v>
      </c>
      <c r="I346" s="433">
        <v>126835.28798379999</v>
      </c>
      <c r="J346" s="433">
        <v>352298.02171970002</v>
      </c>
    </row>
    <row r="347" spans="2:10">
      <c r="B347" t="s">
        <v>140</v>
      </c>
      <c r="C347" s="27">
        <v>44255</v>
      </c>
      <c r="D347" t="s">
        <v>279</v>
      </c>
      <c r="E347" s="433">
        <v>319326945.94999999</v>
      </c>
      <c r="F347" s="433">
        <v>273712463</v>
      </c>
      <c r="G347" s="433">
        <v>593039408.95000005</v>
      </c>
      <c r="H347" s="433">
        <v>486810.79087500001</v>
      </c>
      <c r="I347" s="433">
        <v>417271.95989980001</v>
      </c>
      <c r="J347" s="433">
        <v>904082.75077479996</v>
      </c>
    </row>
    <row r="348" spans="2:10">
      <c r="B348" t="s">
        <v>140</v>
      </c>
      <c r="C348" s="27">
        <v>44255</v>
      </c>
      <c r="D348" t="s">
        <v>280</v>
      </c>
      <c r="E348" s="433">
        <v>-5573898.6111000003</v>
      </c>
      <c r="F348" s="433">
        <v>262601</v>
      </c>
      <c r="G348" s="433">
        <v>-5311297.6111000003</v>
      </c>
      <c r="H348" s="433">
        <v>-8497.3536543999999</v>
      </c>
      <c r="I348" s="433">
        <v>400.33264380000003</v>
      </c>
      <c r="J348" s="433">
        <v>-8097.0210107000003</v>
      </c>
    </row>
    <row r="349" spans="2:10">
      <c r="B349" t="s">
        <v>140</v>
      </c>
      <c r="C349" s="27">
        <v>44255</v>
      </c>
      <c r="D349" t="s">
        <v>281</v>
      </c>
      <c r="E349" s="433">
        <v>162954745.0316</v>
      </c>
      <c r="F349" s="433">
        <v>37161263</v>
      </c>
      <c r="G349" s="433">
        <v>200116008.0316</v>
      </c>
      <c r="H349" s="433">
        <v>248422.90734239999</v>
      </c>
      <c r="I349" s="433">
        <v>56651.9802365</v>
      </c>
      <c r="J349" s="433">
        <v>305074.88757889997</v>
      </c>
    </row>
    <row r="350" spans="2:10">
      <c r="B350" t="s">
        <v>140</v>
      </c>
      <c r="C350" s="27">
        <v>44620</v>
      </c>
      <c r="D350" t="s">
        <v>278</v>
      </c>
      <c r="E350" s="433">
        <v>223624651.4463</v>
      </c>
      <c r="F350" s="433">
        <v>101751616</v>
      </c>
      <c r="G350" s="433">
        <v>325376267.44630003</v>
      </c>
      <c r="H350" s="433">
        <v>340913.5834305</v>
      </c>
      <c r="I350" s="433">
        <v>155119.33861519999</v>
      </c>
      <c r="J350" s="433">
        <v>496032.92204570002</v>
      </c>
    </row>
    <row r="351" spans="2:10">
      <c r="B351" t="s">
        <v>140</v>
      </c>
      <c r="C351" s="27">
        <v>44620</v>
      </c>
      <c r="D351" t="s">
        <v>279</v>
      </c>
      <c r="E351" s="433">
        <v>330083431.18540001</v>
      </c>
      <c r="F351" s="433">
        <v>286640103</v>
      </c>
      <c r="G351" s="433">
        <v>616723534.18540001</v>
      </c>
      <c r="H351" s="433">
        <v>503208.94690570002</v>
      </c>
      <c r="I351" s="433">
        <v>436980.02003180003</v>
      </c>
      <c r="J351" s="433">
        <v>940188.96693750005</v>
      </c>
    </row>
    <row r="352" spans="2:10">
      <c r="B352" t="s">
        <v>140</v>
      </c>
      <c r="C352" s="27">
        <v>44620</v>
      </c>
      <c r="D352" t="s">
        <v>280</v>
      </c>
      <c r="E352" s="433">
        <v>-4180376.0885999999</v>
      </c>
      <c r="F352" s="433">
        <v>-832233</v>
      </c>
      <c r="G352" s="433">
        <v>-5012609.0886000004</v>
      </c>
      <c r="H352" s="433">
        <v>-6372.9422639000004</v>
      </c>
      <c r="I352" s="433">
        <v>-1268.7310296000001</v>
      </c>
      <c r="J352" s="433">
        <v>-7641.6732935</v>
      </c>
    </row>
    <row r="353" spans="2:10">
      <c r="B353" t="s">
        <v>140</v>
      </c>
      <c r="C353" s="27">
        <v>44620</v>
      </c>
      <c r="D353" t="s">
        <v>281</v>
      </c>
      <c r="E353" s="433">
        <v>161346130.8064</v>
      </c>
      <c r="F353" s="433">
        <v>28348383</v>
      </c>
      <c r="G353" s="433">
        <v>189694513.8064</v>
      </c>
      <c r="H353" s="433">
        <v>245970.5907649</v>
      </c>
      <c r="I353" s="433">
        <v>43216.831286200002</v>
      </c>
      <c r="J353" s="433">
        <v>289187.4220511</v>
      </c>
    </row>
    <row r="354" spans="2:10">
      <c r="B354" s="451" t="s">
        <v>123</v>
      </c>
      <c r="C354" s="27">
        <v>44286</v>
      </c>
      <c r="D354" s="451" t="s">
        <v>278</v>
      </c>
      <c r="E354" s="451">
        <v>256908374.56110001</v>
      </c>
      <c r="F354" s="451">
        <v>66542025</v>
      </c>
      <c r="G354" s="451">
        <v>323450399.56110001</v>
      </c>
      <c r="H354" s="451">
        <v>391654.292219</v>
      </c>
      <c r="I354" s="451">
        <v>101442.6631624</v>
      </c>
      <c r="J354" s="451">
        <v>493096.95538140001</v>
      </c>
    </row>
    <row r="355" spans="2:10">
      <c r="B355" s="451" t="s">
        <v>123</v>
      </c>
      <c r="C355" s="27">
        <v>44286</v>
      </c>
      <c r="D355" s="451" t="s">
        <v>279</v>
      </c>
      <c r="E355" s="451">
        <v>322302974.60070002</v>
      </c>
      <c r="F355" s="451">
        <v>157211239.74000001</v>
      </c>
      <c r="G355" s="451">
        <v>479514214.34069997</v>
      </c>
      <c r="H355" s="451">
        <v>491347.7173057</v>
      </c>
      <c r="I355" s="451">
        <v>239666.9899704</v>
      </c>
      <c r="J355" s="451">
        <v>731014.70727609994</v>
      </c>
    </row>
    <row r="356" spans="2:10">
      <c r="B356" s="451" t="s">
        <v>123</v>
      </c>
      <c r="C356" s="27">
        <v>44286</v>
      </c>
      <c r="D356" s="451" t="s">
        <v>280</v>
      </c>
      <c r="E356" s="451">
        <v>-6388.1165000000001</v>
      </c>
      <c r="F356" s="451">
        <v>0</v>
      </c>
      <c r="G356" s="451">
        <v>-6388.1165000000001</v>
      </c>
      <c r="H356" s="451">
        <v>-9.7386207999999996</v>
      </c>
      <c r="I356" s="451">
        <v>0</v>
      </c>
      <c r="J356" s="451">
        <v>-9.7386207999999996</v>
      </c>
    </row>
    <row r="357" spans="2:10">
      <c r="B357" s="451" t="s">
        <v>123</v>
      </c>
      <c r="C357" s="27">
        <v>44286</v>
      </c>
      <c r="D357" s="451" t="s">
        <v>281</v>
      </c>
      <c r="E357" s="451">
        <v>169566618.2326</v>
      </c>
      <c r="F357" s="451">
        <v>25542231</v>
      </c>
      <c r="G357" s="451">
        <v>195108849.2326</v>
      </c>
      <c r="H357" s="451">
        <v>258502.64305829999</v>
      </c>
      <c r="I357" s="451">
        <v>38938.880140000001</v>
      </c>
      <c r="J357" s="451">
        <v>297441.52319829998</v>
      </c>
    </row>
    <row r="358" spans="2:10">
      <c r="B358" s="451" t="s">
        <v>123</v>
      </c>
      <c r="C358" s="27">
        <v>44651</v>
      </c>
      <c r="D358" s="451" t="s">
        <v>278</v>
      </c>
      <c r="E358" s="451">
        <v>254901878.06060001</v>
      </c>
      <c r="F358" s="451">
        <v>87881717</v>
      </c>
      <c r="G358" s="451">
        <v>342783595.06059998</v>
      </c>
      <c r="H358" s="451">
        <v>388595.4080231</v>
      </c>
      <c r="I358" s="451">
        <v>133974.81389789999</v>
      </c>
      <c r="J358" s="451">
        <v>522570.22192089999</v>
      </c>
    </row>
    <row r="359" spans="2:10">
      <c r="B359" s="451" t="s">
        <v>123</v>
      </c>
      <c r="C359" s="27">
        <v>44651</v>
      </c>
      <c r="D359" s="451" t="s">
        <v>279</v>
      </c>
      <c r="E359" s="451">
        <v>231813391.07159999</v>
      </c>
      <c r="F359" s="451">
        <v>131757141.92</v>
      </c>
      <c r="G359" s="451">
        <v>363570532.99159998</v>
      </c>
      <c r="H359" s="451">
        <v>353397.23651339998</v>
      </c>
      <c r="I359" s="451">
        <v>200862.4679971</v>
      </c>
      <c r="J359" s="451">
        <v>554259.70451049996</v>
      </c>
    </row>
    <row r="360" spans="2:10">
      <c r="B360" s="451" t="s">
        <v>123</v>
      </c>
      <c r="C360" s="27">
        <v>44651</v>
      </c>
      <c r="D360" s="451" t="s">
        <v>280</v>
      </c>
      <c r="E360" s="451">
        <v>-941.70709999999997</v>
      </c>
      <c r="F360" s="451">
        <v>4550</v>
      </c>
      <c r="G360" s="451">
        <v>3608.2928999999999</v>
      </c>
      <c r="H360" s="451">
        <v>-1.4356232</v>
      </c>
      <c r="I360" s="451">
        <v>6.9364302999999996</v>
      </c>
      <c r="J360" s="451">
        <v>5.5008071000000003</v>
      </c>
    </row>
    <row r="361" spans="2:10">
      <c r="B361" s="451" t="s">
        <v>123</v>
      </c>
      <c r="C361" s="27">
        <v>44651</v>
      </c>
      <c r="D361" s="451" t="s">
        <v>281</v>
      </c>
      <c r="E361" s="451">
        <v>214698887.69569999</v>
      </c>
      <c r="F361" s="451">
        <v>41977643</v>
      </c>
      <c r="G361" s="451">
        <v>256676530.69569999</v>
      </c>
      <c r="H361" s="451">
        <v>327306.34431170003</v>
      </c>
      <c r="I361" s="451">
        <v>63994.504212899999</v>
      </c>
      <c r="J361" s="451">
        <v>391300.84852469998</v>
      </c>
    </row>
    <row r="362" spans="2:10">
      <c r="B362" s="451" t="s">
        <v>124</v>
      </c>
      <c r="C362" s="27">
        <v>44286</v>
      </c>
      <c r="D362" s="451" t="s">
        <v>278</v>
      </c>
      <c r="E362" s="451">
        <v>188875407.86469999</v>
      </c>
      <c r="F362" s="451">
        <v>11490223</v>
      </c>
      <c r="G362" s="451">
        <v>200365630.86469999</v>
      </c>
      <c r="H362" s="451">
        <v>287938.70309289999</v>
      </c>
      <c r="I362" s="451">
        <v>17516.732041899999</v>
      </c>
      <c r="J362" s="451">
        <v>305455.43513479998</v>
      </c>
    </row>
    <row r="363" spans="2:10">
      <c r="B363" s="451" t="s">
        <v>124</v>
      </c>
      <c r="C363" s="27">
        <v>44286</v>
      </c>
      <c r="D363" s="451" t="s">
        <v>279</v>
      </c>
      <c r="E363" s="451">
        <v>675208788.84130001</v>
      </c>
      <c r="F363" s="451">
        <v>661703730</v>
      </c>
      <c r="G363" s="451">
        <v>1336912518.8413</v>
      </c>
      <c r="H363" s="451">
        <v>1029349.1628892</v>
      </c>
      <c r="I363" s="451">
        <v>1008760.8334082999</v>
      </c>
      <c r="J363" s="451">
        <v>2038109.9962975001</v>
      </c>
    </row>
    <row r="364" spans="2:10">
      <c r="B364" s="451" t="s">
        <v>124</v>
      </c>
      <c r="C364" s="27">
        <v>44286</v>
      </c>
      <c r="D364" s="451" t="s">
        <v>280</v>
      </c>
      <c r="E364" s="451">
        <v>555940.14549999998</v>
      </c>
      <c r="F364" s="451">
        <v>13779</v>
      </c>
      <c r="G364" s="451">
        <v>569719.14549999998</v>
      </c>
      <c r="H364" s="451">
        <v>847.52528819999998</v>
      </c>
      <c r="I364" s="451">
        <v>21.0059501</v>
      </c>
      <c r="J364" s="451">
        <v>868.53123830000004</v>
      </c>
    </row>
    <row r="365" spans="2:10">
      <c r="B365" s="451" t="s">
        <v>124</v>
      </c>
      <c r="C365" s="27">
        <v>44286</v>
      </c>
      <c r="D365" s="451" t="s">
        <v>281</v>
      </c>
      <c r="E365" s="451">
        <v>506755631.01090002</v>
      </c>
      <c r="F365" s="451">
        <v>68049045</v>
      </c>
      <c r="G365" s="451">
        <v>574804676.01090002</v>
      </c>
      <c r="H365" s="451">
        <v>772543.97927140002</v>
      </c>
      <c r="I365" s="451">
        <v>103740.1003419</v>
      </c>
      <c r="J365" s="451">
        <v>876284.07961330004</v>
      </c>
    </row>
    <row r="366" spans="2:10">
      <c r="B366" s="451" t="s">
        <v>124</v>
      </c>
      <c r="C366" s="27">
        <v>44651</v>
      </c>
      <c r="D366" s="451" t="s">
        <v>278</v>
      </c>
      <c r="E366" s="451">
        <v>271188235.35579997</v>
      </c>
      <c r="F366" s="451">
        <v>-43827261</v>
      </c>
      <c r="G366" s="451">
        <v>227360974.3558</v>
      </c>
      <c r="H366" s="451">
        <v>413423.79966339999</v>
      </c>
      <c r="I366" s="451">
        <v>-66814.228676600003</v>
      </c>
      <c r="J366" s="451">
        <v>346609.57098680001</v>
      </c>
    </row>
    <row r="367" spans="2:10">
      <c r="B367" s="451" t="s">
        <v>124</v>
      </c>
      <c r="C367" s="27">
        <v>44651</v>
      </c>
      <c r="D367" s="451" t="s">
        <v>279</v>
      </c>
      <c r="E367" s="451">
        <v>617512485.65820003</v>
      </c>
      <c r="F367" s="451">
        <v>647802066</v>
      </c>
      <c r="G367" s="451">
        <v>1265314551.6582</v>
      </c>
      <c r="H367" s="451">
        <v>941391.71570419997</v>
      </c>
      <c r="I367" s="451">
        <v>987567.88326060004</v>
      </c>
      <c r="J367" s="451">
        <v>1928959.5989649</v>
      </c>
    </row>
    <row r="368" spans="2:10">
      <c r="B368" s="451" t="s">
        <v>124</v>
      </c>
      <c r="C368" s="27">
        <v>44651</v>
      </c>
      <c r="D368" s="451" t="s">
        <v>280</v>
      </c>
      <c r="E368" s="451">
        <v>35.828299999999999</v>
      </c>
      <c r="F368" s="451">
        <v>0</v>
      </c>
      <c r="G368" s="451">
        <v>35.828299999999999</v>
      </c>
      <c r="H368" s="451">
        <v>5.4619899999999999E-2</v>
      </c>
      <c r="I368" s="451">
        <v>0</v>
      </c>
      <c r="J368" s="451">
        <v>5.4619899999999999E-2</v>
      </c>
    </row>
    <row r="369" spans="2:10">
      <c r="B369" s="451" t="s">
        <v>124</v>
      </c>
      <c r="C369" s="27">
        <v>44651</v>
      </c>
      <c r="D369" s="451" t="s">
        <v>281</v>
      </c>
      <c r="E369" s="451">
        <v>656322122.81210005</v>
      </c>
      <c r="F369" s="451">
        <v>87832836</v>
      </c>
      <c r="G369" s="451">
        <v>744154958.81210005</v>
      </c>
      <c r="H369" s="451">
        <v>1000556.6261388001</v>
      </c>
      <c r="I369" s="451">
        <v>133900.29529370001</v>
      </c>
      <c r="J369" s="451">
        <v>1134456.9214325</v>
      </c>
    </row>
    <row r="370" spans="2:10">
      <c r="B370" s="451" t="s">
        <v>131</v>
      </c>
      <c r="C370" s="27">
        <v>44286</v>
      </c>
      <c r="D370" s="451" t="s">
        <v>278</v>
      </c>
      <c r="E370" s="451">
        <v>3950113744.5637002</v>
      </c>
      <c r="F370" s="451">
        <v>1690116434</v>
      </c>
      <c r="G370" s="451">
        <v>5640230178.5636997</v>
      </c>
      <c r="H370" s="451">
        <v>6021909.5833472004</v>
      </c>
      <c r="I370" s="451">
        <v>2576565.893801</v>
      </c>
      <c r="J370" s="451">
        <v>8598475.4771481995</v>
      </c>
    </row>
    <row r="371" spans="2:10">
      <c r="B371" s="451" t="s">
        <v>131</v>
      </c>
      <c r="C371" s="27">
        <v>44286</v>
      </c>
      <c r="D371" s="451" t="s">
        <v>279</v>
      </c>
      <c r="E371" s="451">
        <v>5012171670.9513998</v>
      </c>
      <c r="F371" s="451">
        <v>3100579552</v>
      </c>
      <c r="G371" s="451">
        <v>8112751222.9513998</v>
      </c>
      <c r="H371" s="451">
        <v>7641006.4546173001</v>
      </c>
      <c r="I371" s="451">
        <v>4726803.0556880999</v>
      </c>
      <c r="J371" s="451">
        <v>12367809.510305399</v>
      </c>
    </row>
    <row r="372" spans="2:10">
      <c r="B372" s="451" t="s">
        <v>131</v>
      </c>
      <c r="C372" s="27">
        <v>44286</v>
      </c>
      <c r="D372" s="451" t="s">
        <v>280</v>
      </c>
      <c r="E372" s="451">
        <v>4771989.9505000003</v>
      </c>
      <c r="F372" s="451">
        <v>21838676</v>
      </c>
      <c r="G372" s="451">
        <v>26610665.9505</v>
      </c>
      <c r="H372" s="451">
        <v>7274.8517822000003</v>
      </c>
      <c r="I372" s="451">
        <v>33292.846939700001</v>
      </c>
      <c r="J372" s="451">
        <v>40567.6987219</v>
      </c>
    </row>
    <row r="373" spans="2:10">
      <c r="B373" s="451" t="s">
        <v>131</v>
      </c>
      <c r="C373" s="27">
        <v>44286</v>
      </c>
      <c r="D373" s="451" t="s">
        <v>281</v>
      </c>
      <c r="E373" s="451">
        <v>4014574715.5356998</v>
      </c>
      <c r="F373" s="451">
        <v>686912478</v>
      </c>
      <c r="G373" s="451">
        <v>4701487193.5356998</v>
      </c>
      <c r="H373" s="451">
        <v>6120179.7000957001</v>
      </c>
      <c r="I373" s="451">
        <v>1047191.3219921</v>
      </c>
      <c r="J373" s="451">
        <v>7167371.0220879</v>
      </c>
    </row>
    <row r="374" spans="2:10">
      <c r="B374" s="451" t="s">
        <v>131</v>
      </c>
      <c r="C374" s="27">
        <v>44651</v>
      </c>
      <c r="D374" s="451" t="s">
        <v>278</v>
      </c>
      <c r="E374" s="451">
        <v>4815773760.3585997</v>
      </c>
      <c r="F374" s="451">
        <v>1866250746</v>
      </c>
      <c r="G374" s="451">
        <v>6682024506.3585997</v>
      </c>
      <c r="H374" s="451">
        <v>7341599.7700437997</v>
      </c>
      <c r="I374" s="451">
        <v>2845080.9214627999</v>
      </c>
      <c r="J374" s="451">
        <v>10186680.6915066</v>
      </c>
    </row>
    <row r="375" spans="2:10">
      <c r="B375" s="451" t="s">
        <v>131</v>
      </c>
      <c r="C375" s="27">
        <v>44651</v>
      </c>
      <c r="D375" s="451" t="s">
        <v>279</v>
      </c>
      <c r="E375" s="451">
        <v>5715179279.0115004</v>
      </c>
      <c r="F375" s="451">
        <v>3471286947</v>
      </c>
      <c r="G375" s="451">
        <v>9186466226.0114994</v>
      </c>
      <c r="H375" s="451">
        <v>8712734.6442090999</v>
      </c>
      <c r="I375" s="451">
        <v>5291942.8361919997</v>
      </c>
      <c r="J375" s="451">
        <v>14004677.480401199</v>
      </c>
    </row>
    <row r="376" spans="2:10">
      <c r="B376" s="451" t="s">
        <v>131</v>
      </c>
      <c r="C376" s="27">
        <v>44651</v>
      </c>
      <c r="D376" s="451" t="s">
        <v>280</v>
      </c>
      <c r="E376" s="451">
        <v>5624728.8737000003</v>
      </c>
      <c r="F376" s="451">
        <v>-7811764</v>
      </c>
      <c r="G376" s="451">
        <v>-2187035.1263000001</v>
      </c>
      <c r="H376" s="451">
        <v>8574.8438901999998</v>
      </c>
      <c r="I376" s="451">
        <v>-11908.9574469</v>
      </c>
      <c r="J376" s="451">
        <v>-3334.1135567000001</v>
      </c>
    </row>
    <row r="377" spans="2:10">
      <c r="B377" s="451" t="s">
        <v>131</v>
      </c>
      <c r="C377" s="27">
        <v>44651</v>
      </c>
      <c r="D377" s="451" t="s">
        <v>281</v>
      </c>
      <c r="E377" s="451">
        <v>4350246344.8536997</v>
      </c>
      <c r="F377" s="451">
        <v>725552301</v>
      </c>
      <c r="G377" s="451">
        <v>5075798645.8536997</v>
      </c>
      <c r="H377" s="451">
        <v>6631907.8001357997</v>
      </c>
      <c r="I377" s="451">
        <v>1106097.3524179</v>
      </c>
      <c r="J377" s="451">
        <v>7738005.1525536999</v>
      </c>
    </row>
    <row r="378" spans="2:10">
      <c r="B378" s="451" t="s">
        <v>132</v>
      </c>
      <c r="C378" s="27">
        <v>44286</v>
      </c>
      <c r="D378" s="451" t="s">
        <v>278</v>
      </c>
      <c r="E378" s="451">
        <v>1385325176.1113</v>
      </c>
      <c r="F378" s="451">
        <v>736761639</v>
      </c>
      <c r="G378" s="451">
        <v>2122086815.1113</v>
      </c>
      <c r="H378" s="451">
        <v>2111914.6165240998</v>
      </c>
      <c r="I378" s="451">
        <v>1123185.8780377</v>
      </c>
      <c r="J378" s="451">
        <v>3235100.4945617998</v>
      </c>
    </row>
    <row r="379" spans="2:10">
      <c r="B379" s="451" t="s">
        <v>132</v>
      </c>
      <c r="C379" s="27">
        <v>44286</v>
      </c>
      <c r="D379" s="451" t="s">
        <v>279</v>
      </c>
      <c r="E379" s="451">
        <v>1740434378.9075999</v>
      </c>
      <c r="F379" s="451">
        <v>1613884555</v>
      </c>
      <c r="G379" s="451">
        <v>3354318933.9075999</v>
      </c>
      <c r="H379" s="451">
        <v>2653275.1063067</v>
      </c>
      <c r="I379" s="451">
        <v>2460351.1434439002</v>
      </c>
      <c r="J379" s="451">
        <v>5113626.2497504996</v>
      </c>
    </row>
    <row r="380" spans="2:10">
      <c r="B380" s="451" t="s">
        <v>132</v>
      </c>
      <c r="C380" s="27">
        <v>44286</v>
      </c>
      <c r="D380" s="451" t="s">
        <v>280</v>
      </c>
      <c r="E380" s="451">
        <v>-45673307.158699997</v>
      </c>
      <c r="F380" s="451">
        <v>13853698</v>
      </c>
      <c r="G380" s="451">
        <v>-31819609.1587</v>
      </c>
      <c r="H380" s="451">
        <v>-69628.507903299993</v>
      </c>
      <c r="I380" s="451">
        <v>21119.826452000001</v>
      </c>
      <c r="J380" s="451">
        <v>-48508.681451199998</v>
      </c>
    </row>
    <row r="381" spans="2:10">
      <c r="B381" s="451" t="s">
        <v>132</v>
      </c>
      <c r="C381" s="27">
        <v>44286</v>
      </c>
      <c r="D381" s="451" t="s">
        <v>281</v>
      </c>
      <c r="E381" s="451">
        <v>691856450.60450006</v>
      </c>
      <c r="F381" s="451">
        <v>166960323</v>
      </c>
      <c r="G381" s="451">
        <v>858816773.60450006</v>
      </c>
      <c r="H381" s="451">
        <v>1054728.3596401999</v>
      </c>
      <c r="I381" s="451">
        <v>254529.37158989999</v>
      </c>
      <c r="J381" s="451">
        <v>1309257.7312300999</v>
      </c>
    </row>
    <row r="382" spans="2:10">
      <c r="B382" s="451" t="s">
        <v>132</v>
      </c>
      <c r="C382" s="27">
        <v>44651</v>
      </c>
      <c r="D382" s="451" t="s">
        <v>278</v>
      </c>
      <c r="E382" s="451">
        <v>1568476653.7828</v>
      </c>
      <c r="F382" s="451">
        <v>995784418</v>
      </c>
      <c r="G382" s="451">
        <v>2564261071.7828002</v>
      </c>
      <c r="H382" s="451">
        <v>2391127.2442900999</v>
      </c>
      <c r="I382" s="451">
        <v>1518063.5590443001</v>
      </c>
      <c r="J382" s="451">
        <v>3909190.8033344001</v>
      </c>
    </row>
    <row r="383" spans="2:10">
      <c r="B383" s="451" t="s">
        <v>132</v>
      </c>
      <c r="C383" s="27">
        <v>44651</v>
      </c>
      <c r="D383" s="451" t="s">
        <v>279</v>
      </c>
      <c r="E383" s="451">
        <v>2047454404.5486</v>
      </c>
      <c r="F383" s="451">
        <v>1370730635</v>
      </c>
      <c r="G383" s="451">
        <v>3418185039.5486002</v>
      </c>
      <c r="H383" s="451">
        <v>3121324.1181184002</v>
      </c>
      <c r="I383" s="451">
        <v>2089665.3820296</v>
      </c>
      <c r="J383" s="451">
        <v>5210989.5001480002</v>
      </c>
    </row>
    <row r="384" spans="2:10">
      <c r="B384" s="451" t="s">
        <v>132</v>
      </c>
      <c r="C384" s="27">
        <v>44651</v>
      </c>
      <c r="D384" s="451" t="s">
        <v>280</v>
      </c>
      <c r="E384" s="451">
        <v>-48744278.666299999</v>
      </c>
      <c r="F384" s="451">
        <v>6842641</v>
      </c>
      <c r="G384" s="451">
        <v>-41901637.666299999</v>
      </c>
      <c r="H384" s="451">
        <v>-74310.173786200001</v>
      </c>
      <c r="I384" s="451">
        <v>10431.5389576</v>
      </c>
      <c r="J384" s="451">
        <v>-63878.6348287</v>
      </c>
    </row>
    <row r="385" spans="2:10">
      <c r="B385" s="451" t="s">
        <v>132</v>
      </c>
      <c r="C385" s="27">
        <v>44651</v>
      </c>
      <c r="D385" s="451" t="s">
        <v>281</v>
      </c>
      <c r="E385" s="451">
        <v>706845263.99189997</v>
      </c>
      <c r="F385" s="451">
        <v>246968210</v>
      </c>
      <c r="G385" s="451">
        <v>953813473.99189997</v>
      </c>
      <c r="H385" s="451">
        <v>1077578.6583447999</v>
      </c>
      <c r="I385" s="451">
        <v>376500.60903380002</v>
      </c>
      <c r="J385" s="451">
        <v>1454079.2673787</v>
      </c>
    </row>
    <row r="386" spans="2:10">
      <c r="B386" s="451" t="s">
        <v>135</v>
      </c>
      <c r="C386" s="27">
        <v>44286</v>
      </c>
      <c r="D386" s="451" t="s">
        <v>278</v>
      </c>
      <c r="E386" s="451">
        <v>313289154.12269998</v>
      </c>
      <c r="F386" s="451">
        <v>232370782</v>
      </c>
      <c r="G386" s="451">
        <v>545659936.12269998</v>
      </c>
      <c r="H386" s="451">
        <v>477606.23657150002</v>
      </c>
      <c r="I386" s="451">
        <v>354246.97350590001</v>
      </c>
      <c r="J386" s="451">
        <v>831853.21007729997</v>
      </c>
    </row>
    <row r="387" spans="2:10">
      <c r="B387" s="451" t="s">
        <v>135</v>
      </c>
      <c r="C387" s="27">
        <v>44286</v>
      </c>
      <c r="D387" s="451" t="s">
        <v>279</v>
      </c>
      <c r="E387" s="451">
        <v>66036071.471900001</v>
      </c>
      <c r="F387" s="451">
        <v>63956419</v>
      </c>
      <c r="G387" s="451">
        <v>129992490.4719</v>
      </c>
      <c r="H387" s="451">
        <v>100671.34198110001</v>
      </c>
      <c r="I387" s="451">
        <v>97500.932225700002</v>
      </c>
      <c r="J387" s="451">
        <v>198172.27420680001</v>
      </c>
    </row>
    <row r="388" spans="2:10">
      <c r="B388" s="451" t="s">
        <v>135</v>
      </c>
      <c r="C388" s="27">
        <v>44286</v>
      </c>
      <c r="D388" s="451" t="s">
        <v>280</v>
      </c>
      <c r="E388" s="451">
        <v>-1217244.5112000001</v>
      </c>
      <c r="F388" s="451">
        <v>362956</v>
      </c>
      <c r="G388" s="451">
        <v>-854288.51119999995</v>
      </c>
      <c r="H388" s="451">
        <v>-1855.6772946999999</v>
      </c>
      <c r="I388" s="451">
        <v>553.322855</v>
      </c>
      <c r="J388" s="451">
        <v>-1302.3544397000001</v>
      </c>
    </row>
    <row r="389" spans="2:10">
      <c r="B389" s="451" t="s">
        <v>135</v>
      </c>
      <c r="C389" s="27">
        <v>44286</v>
      </c>
      <c r="D389" s="451" t="s">
        <v>281</v>
      </c>
      <c r="E389" s="451">
        <v>337690743.426</v>
      </c>
      <c r="F389" s="451">
        <v>160350335</v>
      </c>
      <c r="G389" s="451">
        <v>498041078.426</v>
      </c>
      <c r="H389" s="451">
        <v>514806.21965460002</v>
      </c>
      <c r="I389" s="451">
        <v>244452.50984439999</v>
      </c>
      <c r="J389" s="451">
        <v>759258.72949900001</v>
      </c>
    </row>
    <row r="390" spans="2:10">
      <c r="B390" s="451" t="s">
        <v>135</v>
      </c>
      <c r="C390" s="27">
        <v>44651</v>
      </c>
      <c r="D390" s="451" t="s">
        <v>278</v>
      </c>
      <c r="E390" s="451">
        <v>314457622.26410002</v>
      </c>
      <c r="F390" s="451">
        <v>234331596</v>
      </c>
      <c r="G390" s="451">
        <v>548789218.26409996</v>
      </c>
      <c r="H390" s="451">
        <v>479387.55476969999</v>
      </c>
      <c r="I390" s="451">
        <v>357236.21517869999</v>
      </c>
      <c r="J390" s="451">
        <v>836623.76994849998</v>
      </c>
    </row>
    <row r="391" spans="2:10">
      <c r="B391" s="451" t="s">
        <v>135</v>
      </c>
      <c r="C391" s="27">
        <v>44651</v>
      </c>
      <c r="D391" s="451" t="s">
        <v>279</v>
      </c>
      <c r="E391" s="451">
        <v>77622433.586300001</v>
      </c>
      <c r="F391" s="451">
        <v>77926665</v>
      </c>
      <c r="G391" s="451">
        <v>155549098.58629999</v>
      </c>
      <c r="H391" s="451">
        <v>118334.6371581</v>
      </c>
      <c r="I391" s="451">
        <v>118798.4349584</v>
      </c>
      <c r="J391" s="451">
        <v>237133.0721165</v>
      </c>
    </row>
    <row r="392" spans="2:10">
      <c r="B392" s="451" t="s">
        <v>135</v>
      </c>
      <c r="C392" s="27">
        <v>44651</v>
      </c>
      <c r="D392" s="451" t="s">
        <v>280</v>
      </c>
      <c r="E392" s="451">
        <v>-556805.55909999995</v>
      </c>
      <c r="F392" s="451">
        <v>86200</v>
      </c>
      <c r="G392" s="451">
        <v>-470605.55910000001</v>
      </c>
      <c r="H392" s="451">
        <v>-848.84460279999996</v>
      </c>
      <c r="I392" s="451">
        <v>131.41105289999999</v>
      </c>
      <c r="J392" s="451">
        <v>-717.4335499</v>
      </c>
    </row>
    <row r="393" spans="2:10">
      <c r="B393" s="451" t="s">
        <v>135</v>
      </c>
      <c r="C393" s="27">
        <v>44651</v>
      </c>
      <c r="D393" s="451" t="s">
        <v>281</v>
      </c>
      <c r="E393" s="451">
        <v>472819161.95550001</v>
      </c>
      <c r="F393" s="451">
        <v>172691455</v>
      </c>
      <c r="G393" s="451">
        <v>645510616.95550001</v>
      </c>
      <c r="H393" s="451">
        <v>720808.16571129998</v>
      </c>
      <c r="I393" s="451">
        <v>263266.42600049998</v>
      </c>
      <c r="J393" s="451">
        <v>984074.59171179996</v>
      </c>
    </row>
    <row r="394" spans="2:10">
      <c r="B394" s="451" t="s">
        <v>136</v>
      </c>
      <c r="C394" s="27">
        <v>44286</v>
      </c>
      <c r="D394" s="451" t="s">
        <v>278</v>
      </c>
      <c r="E394" s="451">
        <v>-1301864.8832</v>
      </c>
      <c r="F394" s="451">
        <v>1421038.69</v>
      </c>
      <c r="G394" s="451">
        <v>119173.80680000001</v>
      </c>
      <c r="H394" s="451">
        <v>-193955.0196955</v>
      </c>
      <c r="I394" s="451">
        <v>211709.8253926</v>
      </c>
      <c r="J394" s="451">
        <v>17754.805697100001</v>
      </c>
    </row>
    <row r="395" spans="2:10">
      <c r="B395" s="451" t="s">
        <v>136</v>
      </c>
      <c r="C395" s="27">
        <v>44286</v>
      </c>
      <c r="D395" s="451" t="s">
        <v>279</v>
      </c>
      <c r="E395" s="451">
        <v>1454380.5965</v>
      </c>
      <c r="F395" s="451">
        <v>5228107.8499999996</v>
      </c>
      <c r="G395" s="451">
        <v>6682488.4464999996</v>
      </c>
      <c r="H395" s="451">
        <v>216677.18430620001</v>
      </c>
      <c r="I395" s="451">
        <v>778896.31566399999</v>
      </c>
      <c r="J395" s="451">
        <v>995573.49997020001</v>
      </c>
    </row>
    <row r="396" spans="2:10">
      <c r="B396" s="451" t="s">
        <v>136</v>
      </c>
      <c r="C396" s="27">
        <v>44286</v>
      </c>
      <c r="D396" s="451" t="s">
        <v>280</v>
      </c>
      <c r="E396" s="451">
        <v>4181.4254000000001</v>
      </c>
      <c r="F396" s="451">
        <v>859.76</v>
      </c>
      <c r="G396" s="451">
        <v>5041.1854000000003</v>
      </c>
      <c r="H396" s="451">
        <v>622.95899999999995</v>
      </c>
      <c r="I396" s="451">
        <v>128.08915110000001</v>
      </c>
      <c r="J396" s="451">
        <v>751.04815110000004</v>
      </c>
    </row>
    <row r="397" spans="2:10">
      <c r="B397" s="451" t="s">
        <v>136</v>
      </c>
      <c r="C397" s="27">
        <v>44286</v>
      </c>
      <c r="D397" s="451" t="s">
        <v>281</v>
      </c>
      <c r="E397" s="451">
        <v>511296.27340000001</v>
      </c>
      <c r="F397" s="451">
        <v>525921.75</v>
      </c>
      <c r="G397" s="451">
        <v>1037218.0233999999</v>
      </c>
      <c r="H397" s="451">
        <v>76174.171419200007</v>
      </c>
      <c r="I397" s="451">
        <v>78353.110753600005</v>
      </c>
      <c r="J397" s="451">
        <v>154527.28217280001</v>
      </c>
    </row>
    <row r="398" spans="2:10">
      <c r="B398" s="451" t="s">
        <v>136</v>
      </c>
      <c r="C398" s="27">
        <v>44651</v>
      </c>
      <c r="D398" s="451" t="s">
        <v>278</v>
      </c>
      <c r="E398" s="451">
        <v>-1866995.8167999999</v>
      </c>
      <c r="F398" s="451">
        <v>1299097.8899999999</v>
      </c>
      <c r="G398" s="451">
        <v>-567897.92680000002</v>
      </c>
      <c r="H398" s="451">
        <v>-236370.4728433</v>
      </c>
      <c r="I398" s="451">
        <v>164471.9178082</v>
      </c>
      <c r="J398" s="451">
        <v>-71898.555035099998</v>
      </c>
    </row>
    <row r="399" spans="2:10">
      <c r="B399" s="451" t="s">
        <v>136</v>
      </c>
      <c r="C399" s="27">
        <v>44651</v>
      </c>
      <c r="D399" s="451" t="s">
        <v>279</v>
      </c>
      <c r="E399" s="451">
        <v>287132.97440000001</v>
      </c>
      <c r="F399" s="451">
        <v>5019335.8499999996</v>
      </c>
      <c r="G399" s="451">
        <v>5306468.8244000003</v>
      </c>
      <c r="H399" s="451">
        <v>36352.388321999999</v>
      </c>
      <c r="I399" s="451">
        <v>635471.58357180003</v>
      </c>
      <c r="J399" s="451">
        <v>671823.97189379996</v>
      </c>
    </row>
    <row r="400" spans="2:10">
      <c r="B400" s="451" t="s">
        <v>136</v>
      </c>
      <c r="C400" s="27">
        <v>44651</v>
      </c>
      <c r="D400" s="451" t="s">
        <v>280</v>
      </c>
      <c r="E400" s="451">
        <v>-7405.8562000000002</v>
      </c>
      <c r="F400" s="451">
        <v>3545.48</v>
      </c>
      <c r="G400" s="451">
        <v>-3860.3762000000002</v>
      </c>
      <c r="H400" s="451">
        <v>-937.61631179999995</v>
      </c>
      <c r="I400" s="451">
        <v>448.87448410000002</v>
      </c>
      <c r="J400" s="451">
        <v>-488.74182769999999</v>
      </c>
    </row>
    <row r="401" spans="2:10">
      <c r="B401" s="451" t="s">
        <v>136</v>
      </c>
      <c r="C401" s="27">
        <v>44651</v>
      </c>
      <c r="D401" s="451" t="s">
        <v>281</v>
      </c>
      <c r="E401" s="451">
        <v>938454.06889999995</v>
      </c>
      <c r="F401" s="451">
        <v>1869772.25</v>
      </c>
      <c r="G401" s="451">
        <v>2808226.3188999998</v>
      </c>
      <c r="H401" s="451">
        <v>118812.70970799999</v>
      </c>
      <c r="I401" s="451">
        <v>236721.9823766</v>
      </c>
      <c r="J401" s="451">
        <v>355534.69208469999</v>
      </c>
    </row>
    <row r="402" spans="2:10">
      <c r="B402" s="451" t="s">
        <v>137</v>
      </c>
      <c r="C402" s="27">
        <v>44286</v>
      </c>
      <c r="D402" s="451" t="s">
        <v>278</v>
      </c>
      <c r="E402" s="451">
        <v>4891283183.0354996</v>
      </c>
      <c r="F402" s="451">
        <v>3155089048</v>
      </c>
      <c r="G402" s="451">
        <v>8046372231.0354996</v>
      </c>
      <c r="H402" s="451">
        <v>418356.75516850001</v>
      </c>
      <c r="I402" s="451">
        <v>269858.18792240001</v>
      </c>
      <c r="J402" s="451">
        <v>688214.94309089996</v>
      </c>
    </row>
    <row r="403" spans="2:10">
      <c r="B403" s="451" t="s">
        <v>137</v>
      </c>
      <c r="C403" s="27">
        <v>44286</v>
      </c>
      <c r="D403" s="451" t="s">
        <v>279</v>
      </c>
      <c r="E403" s="451">
        <v>6262246535.1063004</v>
      </c>
      <c r="F403" s="451">
        <v>8186443009</v>
      </c>
      <c r="G403" s="451">
        <v>14448689544.1063</v>
      </c>
      <c r="H403" s="451">
        <v>535616.73746039998</v>
      </c>
      <c r="I403" s="451">
        <v>700195.34863489994</v>
      </c>
      <c r="J403" s="451">
        <v>1235812.0860953</v>
      </c>
    </row>
    <row r="404" spans="2:10">
      <c r="B404" s="451" t="s">
        <v>137</v>
      </c>
      <c r="C404" s="27">
        <v>44286</v>
      </c>
      <c r="D404" s="451" t="s">
        <v>280</v>
      </c>
      <c r="E404" s="451">
        <v>38191902.7245</v>
      </c>
      <c r="F404" s="451">
        <v>1894559</v>
      </c>
      <c r="G404" s="451">
        <v>40086461.7245</v>
      </c>
      <c r="H404" s="451">
        <v>3266.5948586</v>
      </c>
      <c r="I404" s="451">
        <v>162.04368590000001</v>
      </c>
      <c r="J404" s="451">
        <v>3428.6385445000001</v>
      </c>
    </row>
    <row r="405" spans="2:10">
      <c r="B405" s="451" t="s">
        <v>137</v>
      </c>
      <c r="C405" s="27">
        <v>44286</v>
      </c>
      <c r="D405" s="451" t="s">
        <v>281</v>
      </c>
      <c r="E405" s="451">
        <v>4538926461.1322002</v>
      </c>
      <c r="F405" s="451">
        <v>553249285</v>
      </c>
      <c r="G405" s="451">
        <v>5092175746.1322002</v>
      </c>
      <c r="H405" s="451">
        <v>388219.30261860002</v>
      </c>
      <c r="I405" s="451">
        <v>47320.011336600001</v>
      </c>
      <c r="J405" s="451">
        <v>435539.31395520002</v>
      </c>
    </row>
    <row r="406" spans="2:10">
      <c r="B406" s="451" t="s">
        <v>137</v>
      </c>
      <c r="C406" s="27">
        <v>44651</v>
      </c>
      <c r="D406" s="451" t="s">
        <v>278</v>
      </c>
      <c r="E406" s="451">
        <v>10520187383.6112</v>
      </c>
      <c r="F406" s="451">
        <v>3092592199</v>
      </c>
      <c r="G406" s="451">
        <v>13612779582.6112</v>
      </c>
      <c r="H406" s="451">
        <v>1074330.4766738999</v>
      </c>
      <c r="I406" s="451">
        <v>315818.14374199999</v>
      </c>
      <c r="J406" s="451">
        <v>1390148.6204158999</v>
      </c>
    </row>
    <row r="407" spans="2:10">
      <c r="B407" s="451" t="s">
        <v>137</v>
      </c>
      <c r="C407" s="27">
        <v>44651</v>
      </c>
      <c r="D407" s="451" t="s">
        <v>279</v>
      </c>
      <c r="E407" s="451">
        <v>18416724832.320801</v>
      </c>
      <c r="F407" s="451">
        <v>8729895777</v>
      </c>
      <c r="G407" s="451">
        <v>27146620609.320801</v>
      </c>
      <c r="H407" s="451">
        <v>1880731.5921674999</v>
      </c>
      <c r="I407" s="451">
        <v>891504.37624609994</v>
      </c>
      <c r="J407" s="451">
        <v>2772235.9684135001</v>
      </c>
    </row>
    <row r="408" spans="2:10">
      <c r="B408" s="451" t="s">
        <v>137</v>
      </c>
      <c r="C408" s="27">
        <v>44651</v>
      </c>
      <c r="D408" s="451" t="s">
        <v>280</v>
      </c>
      <c r="E408" s="451">
        <v>49484882.934799999</v>
      </c>
      <c r="F408" s="451">
        <v>3324242</v>
      </c>
      <c r="G408" s="451">
        <v>52809124.934799999</v>
      </c>
      <c r="H408" s="451">
        <v>5053.4383023</v>
      </c>
      <c r="I408" s="451">
        <v>339.47441830000002</v>
      </c>
      <c r="J408" s="451">
        <v>5392.9127206000003</v>
      </c>
    </row>
    <row r="409" spans="2:10">
      <c r="B409" s="451" t="s">
        <v>137</v>
      </c>
      <c r="C409" s="27">
        <v>44651</v>
      </c>
      <c r="D409" s="451" t="s">
        <v>281</v>
      </c>
      <c r="E409" s="451">
        <v>7338568904.5942001</v>
      </c>
      <c r="F409" s="451">
        <v>509736521</v>
      </c>
      <c r="G409" s="451">
        <v>7848305425.5942001</v>
      </c>
      <c r="H409" s="451">
        <v>749420.89355359995</v>
      </c>
      <c r="I409" s="451">
        <v>52054.726747300003</v>
      </c>
      <c r="J409" s="451">
        <v>801475.62030089996</v>
      </c>
    </row>
    <row r="410" spans="2:10">
      <c r="B410" s="451" t="s">
        <v>138</v>
      </c>
      <c r="C410" s="27">
        <v>44286</v>
      </c>
      <c r="D410" s="451" t="s">
        <v>278</v>
      </c>
      <c r="E410" s="451">
        <v>6764184853.5362997</v>
      </c>
      <c r="F410" s="451">
        <v>2150083658.0599999</v>
      </c>
      <c r="G410" s="451">
        <v>8914268511.5963001</v>
      </c>
      <c r="H410" s="451">
        <v>1528449.7310003</v>
      </c>
      <c r="I410" s="451">
        <v>485837.51922030002</v>
      </c>
      <c r="J410" s="451">
        <v>2014287.2502206</v>
      </c>
    </row>
    <row r="411" spans="2:10">
      <c r="B411" s="451" t="s">
        <v>138</v>
      </c>
      <c r="C411" s="27">
        <v>44286</v>
      </c>
      <c r="D411" s="451" t="s">
        <v>279</v>
      </c>
      <c r="E411" s="451">
        <v>12730672943.076799</v>
      </c>
      <c r="F411" s="451">
        <v>6259052517.4799995</v>
      </c>
      <c r="G411" s="451">
        <v>18989725460.556801</v>
      </c>
      <c r="H411" s="451">
        <v>2876650.1886956999</v>
      </c>
      <c r="I411" s="451">
        <v>1414308.9439162</v>
      </c>
      <c r="J411" s="451">
        <v>4290959.1326118996</v>
      </c>
    </row>
    <row r="412" spans="2:10">
      <c r="B412" s="451" t="s">
        <v>138</v>
      </c>
      <c r="C412" s="27">
        <v>44286</v>
      </c>
      <c r="D412" s="451" t="s">
        <v>280</v>
      </c>
      <c r="E412" s="451">
        <v>376554.3627</v>
      </c>
      <c r="F412" s="451">
        <v>724559.2</v>
      </c>
      <c r="G412" s="451">
        <v>1101113.5626999999</v>
      </c>
      <c r="H412" s="451">
        <v>85.087032199999996</v>
      </c>
      <c r="I412" s="451">
        <v>163.7229523</v>
      </c>
      <c r="J412" s="451">
        <v>248.80998450000001</v>
      </c>
    </row>
    <row r="413" spans="2:10">
      <c r="B413" s="451" t="s">
        <v>138</v>
      </c>
      <c r="C413" s="27">
        <v>44286</v>
      </c>
      <c r="D413" s="451" t="s">
        <v>281</v>
      </c>
      <c r="E413" s="451">
        <v>1847050630.2107999</v>
      </c>
      <c r="F413" s="451">
        <v>516188497.06999999</v>
      </c>
      <c r="G413" s="451">
        <v>2363239127.2807999</v>
      </c>
      <c r="H413" s="451">
        <v>417363.52568979998</v>
      </c>
      <c r="I413" s="451">
        <v>116639.06096230001</v>
      </c>
      <c r="J413" s="451">
        <v>534002.58665209997</v>
      </c>
    </row>
    <row r="414" spans="2:10">
      <c r="B414" s="451" t="s">
        <v>138</v>
      </c>
      <c r="C414" s="27">
        <v>44651</v>
      </c>
      <c r="D414" s="451" t="s">
        <v>278</v>
      </c>
      <c r="E414" s="451">
        <v>7480395825.9708004</v>
      </c>
      <c r="F414" s="451">
        <v>1985423015.4400001</v>
      </c>
      <c r="G414" s="451">
        <v>9465818841.4108009</v>
      </c>
      <c r="H414" s="451">
        <v>1688992.5119207001</v>
      </c>
      <c r="I414" s="451">
        <v>448287.05379879999</v>
      </c>
      <c r="J414" s="451">
        <v>2137279.5657195002</v>
      </c>
    </row>
    <row r="415" spans="2:10">
      <c r="B415" s="451" t="s">
        <v>138</v>
      </c>
      <c r="C415" s="27">
        <v>44651</v>
      </c>
      <c r="D415" s="451" t="s">
        <v>279</v>
      </c>
      <c r="E415" s="451">
        <v>16004896447.799801</v>
      </c>
      <c r="F415" s="451">
        <v>6414260552.46</v>
      </c>
      <c r="G415" s="451">
        <v>22419157000.2598</v>
      </c>
      <c r="H415" s="451">
        <v>3613732.5996237998</v>
      </c>
      <c r="I415" s="451">
        <v>1448270.6924413</v>
      </c>
      <c r="J415" s="451">
        <v>5062003.2920650002</v>
      </c>
    </row>
    <row r="416" spans="2:10">
      <c r="B416" s="451" t="s">
        <v>138</v>
      </c>
      <c r="C416" s="27">
        <v>44651</v>
      </c>
      <c r="D416" s="451" t="s">
        <v>280</v>
      </c>
      <c r="E416" s="451">
        <v>749112.35490000003</v>
      </c>
      <c r="F416" s="451">
        <v>277512.25</v>
      </c>
      <c r="G416" s="451">
        <v>1026624.6049</v>
      </c>
      <c r="H416" s="451">
        <v>169.14147159999999</v>
      </c>
      <c r="I416" s="451">
        <v>62.659266000000002</v>
      </c>
      <c r="J416" s="451">
        <v>231.80073759999999</v>
      </c>
    </row>
    <row r="417" spans="2:10">
      <c r="B417" s="451" t="s">
        <v>138</v>
      </c>
      <c r="C417" s="27">
        <v>44651</v>
      </c>
      <c r="D417" s="451" t="s">
        <v>281</v>
      </c>
      <c r="E417" s="451">
        <v>2394655293.9633999</v>
      </c>
      <c r="F417" s="451">
        <v>616571526.20000005</v>
      </c>
      <c r="G417" s="451">
        <v>3011226820.1634002</v>
      </c>
      <c r="H417" s="451">
        <v>540687.27835140005</v>
      </c>
      <c r="I417" s="451">
        <v>139215.1852713</v>
      </c>
      <c r="J417" s="451">
        <v>679902.46362269996</v>
      </c>
    </row>
    <row r="418" spans="2:10">
      <c r="B418" s="451" t="s">
        <v>139</v>
      </c>
      <c r="C418" s="27">
        <v>44286</v>
      </c>
      <c r="D418" s="451" t="s">
        <v>278</v>
      </c>
      <c r="E418" s="451">
        <v>6886560.8397000004</v>
      </c>
      <c r="F418" s="451">
        <v>6403820</v>
      </c>
      <c r="G418" s="451">
        <v>13290380.8397</v>
      </c>
      <c r="H418" s="451">
        <v>163343.47342739999</v>
      </c>
      <c r="I418" s="451">
        <v>151893.26375710001</v>
      </c>
      <c r="J418" s="451">
        <v>315236.73718449997</v>
      </c>
    </row>
    <row r="419" spans="2:10">
      <c r="B419" s="451" t="s">
        <v>139</v>
      </c>
      <c r="C419" s="27">
        <v>44286</v>
      </c>
      <c r="D419" s="451" t="s">
        <v>279</v>
      </c>
      <c r="E419" s="451">
        <v>19269228.2245</v>
      </c>
      <c r="F419" s="451">
        <v>24245247.91</v>
      </c>
      <c r="G419" s="451">
        <v>43514476.134499997</v>
      </c>
      <c r="H419" s="451">
        <v>457050.00532499998</v>
      </c>
      <c r="I419" s="451">
        <v>575077.03771349997</v>
      </c>
      <c r="J419" s="451">
        <v>1032127.0430384</v>
      </c>
    </row>
    <row r="420" spans="2:10">
      <c r="B420" s="451" t="s">
        <v>139</v>
      </c>
      <c r="C420" s="27">
        <v>44286</v>
      </c>
      <c r="D420" s="451" t="s">
        <v>280</v>
      </c>
      <c r="E420" s="451">
        <v>-1621456.0512999999</v>
      </c>
      <c r="F420" s="451">
        <v>9598.0300000000007</v>
      </c>
      <c r="G420" s="451">
        <v>-1611858.0212999999</v>
      </c>
      <c r="H420" s="451">
        <v>-38459.583759499998</v>
      </c>
      <c r="I420" s="451">
        <v>227.65725810000001</v>
      </c>
      <c r="J420" s="451">
        <v>-38231.926501399998</v>
      </c>
    </row>
    <row r="421" spans="2:10">
      <c r="B421" s="451" t="s">
        <v>139</v>
      </c>
      <c r="C421" s="27">
        <v>44286</v>
      </c>
      <c r="D421" s="451" t="s">
        <v>281</v>
      </c>
      <c r="E421" s="451">
        <v>5453824.2017999999</v>
      </c>
      <c r="F421" s="451">
        <v>2027542.49</v>
      </c>
      <c r="G421" s="451">
        <v>7481366.6918000001</v>
      </c>
      <c r="H421" s="451">
        <v>129360.15658920001</v>
      </c>
      <c r="I421" s="451">
        <v>48091.615038000004</v>
      </c>
      <c r="J421" s="451">
        <v>177451.77162710001</v>
      </c>
    </row>
    <row r="422" spans="2:10">
      <c r="B422" s="451" t="s">
        <v>139</v>
      </c>
      <c r="C422" s="27">
        <v>44651</v>
      </c>
      <c r="D422" s="451" t="s">
        <v>278</v>
      </c>
      <c r="E422" s="451">
        <v>5783759.2215999998</v>
      </c>
      <c r="F422" s="451">
        <v>11114773.74</v>
      </c>
      <c r="G422" s="451">
        <v>16898532.961599998</v>
      </c>
      <c r="H422" s="451">
        <v>143197.80197080001</v>
      </c>
      <c r="I422" s="451">
        <v>275186.27729639999</v>
      </c>
      <c r="J422" s="451">
        <v>418384.07926710002</v>
      </c>
    </row>
    <row r="423" spans="2:10">
      <c r="B423" s="451" t="s">
        <v>139</v>
      </c>
      <c r="C423" s="27">
        <v>44651</v>
      </c>
      <c r="D423" s="451" t="s">
        <v>279</v>
      </c>
      <c r="E423" s="451">
        <v>20914894.5546</v>
      </c>
      <c r="F423" s="451">
        <v>24912891.510000002</v>
      </c>
      <c r="G423" s="451">
        <v>45827786.064599998</v>
      </c>
      <c r="H423" s="451">
        <v>517823.58392180002</v>
      </c>
      <c r="I423" s="451">
        <v>616808.40579350002</v>
      </c>
      <c r="J423" s="451">
        <v>1134631.9897153</v>
      </c>
    </row>
    <row r="424" spans="2:10">
      <c r="B424" s="451" t="s">
        <v>139</v>
      </c>
      <c r="C424" s="27">
        <v>44651</v>
      </c>
      <c r="D424" s="451" t="s">
        <v>280</v>
      </c>
      <c r="E424" s="451">
        <v>-1820366.1457</v>
      </c>
      <c r="F424" s="451">
        <v>26905.72</v>
      </c>
      <c r="G424" s="451">
        <v>-1793460.4257</v>
      </c>
      <c r="H424" s="451">
        <v>-45069.723835099998</v>
      </c>
      <c r="I424" s="451">
        <v>666.14805639999997</v>
      </c>
      <c r="J424" s="451">
        <v>-44403.575778699997</v>
      </c>
    </row>
    <row r="425" spans="2:10">
      <c r="B425" s="451" t="s">
        <v>139</v>
      </c>
      <c r="C425" s="27">
        <v>44651</v>
      </c>
      <c r="D425" s="451" t="s">
        <v>281</v>
      </c>
      <c r="E425" s="451">
        <v>1643985.8758</v>
      </c>
      <c r="F425" s="451">
        <v>2622165.84</v>
      </c>
      <c r="G425" s="451">
        <v>4266151.7158000004</v>
      </c>
      <c r="H425" s="451">
        <v>40702.794647199997</v>
      </c>
      <c r="I425" s="451">
        <v>64921.164644700002</v>
      </c>
      <c r="J425" s="451">
        <v>105623.9592919</v>
      </c>
    </row>
    <row r="426" spans="2:10">
      <c r="B426" s="451" t="s">
        <v>141</v>
      </c>
      <c r="C426" s="27">
        <v>44286</v>
      </c>
      <c r="D426" s="451" t="s">
        <v>278</v>
      </c>
      <c r="E426" s="451">
        <v>1552368207.3833001</v>
      </c>
      <c r="F426" s="451">
        <v>353590635</v>
      </c>
      <c r="G426" s="451">
        <v>1905958842.3833001</v>
      </c>
      <c r="H426" s="451">
        <v>2366570.0760618001</v>
      </c>
      <c r="I426" s="451">
        <v>539045.44810100005</v>
      </c>
      <c r="J426" s="451">
        <v>2905615.5241629002</v>
      </c>
    </row>
    <row r="427" spans="2:10">
      <c r="B427" s="451" t="s">
        <v>141</v>
      </c>
      <c r="C427" s="27">
        <v>44286</v>
      </c>
      <c r="D427" s="451" t="s">
        <v>279</v>
      </c>
      <c r="E427" s="451">
        <v>1991882487.092</v>
      </c>
      <c r="F427" s="451">
        <v>1029601500</v>
      </c>
      <c r="G427" s="451">
        <v>3021483987.092</v>
      </c>
      <c r="H427" s="451">
        <v>3036605.2760958001</v>
      </c>
      <c r="I427" s="451">
        <v>1569617.3682116</v>
      </c>
      <c r="J427" s="451">
        <v>4606222.6443074998</v>
      </c>
    </row>
    <row r="428" spans="2:10">
      <c r="B428" s="451" t="s">
        <v>141</v>
      </c>
      <c r="C428" s="27">
        <v>44286</v>
      </c>
      <c r="D428" s="451" t="s">
        <v>280</v>
      </c>
      <c r="E428" s="451">
        <v>-163686543.59060001</v>
      </c>
      <c r="F428" s="451">
        <v>9605292</v>
      </c>
      <c r="G428" s="451">
        <v>-154081251.59060001</v>
      </c>
      <c r="H428" s="451">
        <v>-249538.5270538</v>
      </c>
      <c r="I428" s="451">
        <v>14643.173256800001</v>
      </c>
      <c r="J428" s="451">
        <v>-234895.35379699999</v>
      </c>
    </row>
    <row r="429" spans="2:10">
      <c r="B429" s="451" t="s">
        <v>141</v>
      </c>
      <c r="C429" s="27">
        <v>44286</v>
      </c>
      <c r="D429" s="451" t="s">
        <v>281</v>
      </c>
      <c r="E429" s="451">
        <v>1989686396.0192001</v>
      </c>
      <c r="F429" s="451">
        <v>150633233</v>
      </c>
      <c r="G429" s="451">
        <v>2140319629.0192001</v>
      </c>
      <c r="H429" s="451">
        <v>3033257.3568377001</v>
      </c>
      <c r="I429" s="451">
        <v>229638.88334140001</v>
      </c>
      <c r="J429" s="451">
        <v>3262896.2401792002</v>
      </c>
    </row>
    <row r="430" spans="2:10">
      <c r="B430" s="451" t="s">
        <v>141</v>
      </c>
      <c r="C430" s="27">
        <v>44651</v>
      </c>
      <c r="D430" s="451" t="s">
        <v>278</v>
      </c>
      <c r="E430" s="451">
        <v>1678577589.4277</v>
      </c>
      <c r="F430" s="451">
        <v>412019323</v>
      </c>
      <c r="G430" s="451">
        <v>2090596912.4277</v>
      </c>
      <c r="H430" s="451">
        <v>2558975.0386498999</v>
      </c>
      <c r="I430" s="451">
        <v>628119.4087417</v>
      </c>
      <c r="J430" s="451">
        <v>3187094.4473917</v>
      </c>
    </row>
    <row r="431" spans="2:10">
      <c r="B431" s="451" t="s">
        <v>141</v>
      </c>
      <c r="C431" s="27">
        <v>44651</v>
      </c>
      <c r="D431" s="451" t="s">
        <v>279</v>
      </c>
      <c r="E431" s="451">
        <v>1729847308.3289001</v>
      </c>
      <c r="F431" s="451">
        <v>845563178.62</v>
      </c>
      <c r="G431" s="451">
        <v>2575410486.9489002</v>
      </c>
      <c r="H431" s="451">
        <v>2637135.2212552</v>
      </c>
      <c r="I431" s="451">
        <v>1289052.7559276</v>
      </c>
      <c r="J431" s="451">
        <v>3926187.9771828</v>
      </c>
    </row>
    <row r="432" spans="2:10">
      <c r="B432" s="451" t="s">
        <v>141</v>
      </c>
      <c r="C432" s="27">
        <v>44651</v>
      </c>
      <c r="D432" s="451" t="s">
        <v>280</v>
      </c>
      <c r="E432" s="451">
        <v>-168441994.61930001</v>
      </c>
      <c r="F432" s="451">
        <v>7390213</v>
      </c>
      <c r="G432" s="451">
        <v>-161051781.61930001</v>
      </c>
      <c r="H432" s="451">
        <v>-256788.1654122</v>
      </c>
      <c r="I432" s="451">
        <v>11266.307090300001</v>
      </c>
      <c r="J432" s="451">
        <v>-245521.85832199999</v>
      </c>
    </row>
    <row r="433" spans="2:10">
      <c r="B433" s="451" t="s">
        <v>141</v>
      </c>
      <c r="C433" s="27">
        <v>44651</v>
      </c>
      <c r="D433" s="451" t="s">
        <v>281</v>
      </c>
      <c r="E433" s="451">
        <v>2465028241.4366002</v>
      </c>
      <c r="F433" s="451">
        <v>195774818.09</v>
      </c>
      <c r="G433" s="451">
        <v>2660803059.5265999</v>
      </c>
      <c r="H433" s="451">
        <v>3757911.3286946998</v>
      </c>
      <c r="I433" s="451">
        <v>298456.78617650003</v>
      </c>
      <c r="J433" s="451">
        <v>4056368.1148712002</v>
      </c>
    </row>
    <row r="434" spans="2:10">
      <c r="B434" s="451" t="s">
        <v>140</v>
      </c>
      <c r="C434" s="27">
        <v>44286</v>
      </c>
      <c r="D434" s="451" t="s">
        <v>278</v>
      </c>
      <c r="E434" s="451">
        <v>227857693.8247</v>
      </c>
      <c r="F434" s="451">
        <v>132674933</v>
      </c>
      <c r="G434" s="451">
        <v>360532626.8247</v>
      </c>
      <c r="H434" s="451">
        <v>347366.81493559998</v>
      </c>
      <c r="I434" s="451">
        <v>202261.6314789</v>
      </c>
      <c r="J434" s="451">
        <v>549628.44641450001</v>
      </c>
    </row>
    <row r="435" spans="2:10">
      <c r="B435" s="451" t="s">
        <v>140</v>
      </c>
      <c r="C435" s="27">
        <v>44286</v>
      </c>
      <c r="D435" s="451" t="s">
        <v>279</v>
      </c>
      <c r="E435" s="451">
        <v>479056783.15710002</v>
      </c>
      <c r="F435" s="451">
        <v>454663229</v>
      </c>
      <c r="G435" s="451">
        <v>933720012.15709996</v>
      </c>
      <c r="H435" s="451">
        <v>730317.35793219996</v>
      </c>
      <c r="I435" s="451">
        <v>693129.62435039994</v>
      </c>
      <c r="J435" s="451">
        <v>1423446.9822825</v>
      </c>
    </row>
    <row r="436" spans="2:10">
      <c r="B436" s="451" t="s">
        <v>140</v>
      </c>
      <c r="C436" s="27">
        <v>44286</v>
      </c>
      <c r="D436" s="451" t="s">
        <v>280</v>
      </c>
      <c r="E436" s="451">
        <v>-8375586.0411</v>
      </c>
      <c r="F436" s="451">
        <v>430812</v>
      </c>
      <c r="G436" s="451">
        <v>-7944774.0411</v>
      </c>
      <c r="H436" s="451">
        <v>-12768.4986075</v>
      </c>
      <c r="I436" s="451">
        <v>656.76866010000003</v>
      </c>
      <c r="J436" s="451">
        <v>-12111.729947399999</v>
      </c>
    </row>
    <row r="437" spans="2:10">
      <c r="B437" s="451" t="s">
        <v>140</v>
      </c>
      <c r="C437" s="27">
        <v>44286</v>
      </c>
      <c r="D437" s="451" t="s">
        <v>281</v>
      </c>
      <c r="E437" s="451">
        <v>245656216.68360001</v>
      </c>
      <c r="F437" s="451">
        <v>51631110</v>
      </c>
      <c r="G437" s="451">
        <v>297287326.68360001</v>
      </c>
      <c r="H437" s="451">
        <v>374500.48811680003</v>
      </c>
      <c r="I437" s="451">
        <v>78711.119783799993</v>
      </c>
      <c r="J437" s="451">
        <v>453211.60790050001</v>
      </c>
    </row>
    <row r="438" spans="2:10">
      <c r="B438" s="451" t="s">
        <v>140</v>
      </c>
      <c r="C438" s="27">
        <v>44651</v>
      </c>
      <c r="D438" s="451" t="s">
        <v>278</v>
      </c>
      <c r="E438" s="451">
        <v>365089230.31459999</v>
      </c>
      <c r="F438" s="451">
        <v>211200307</v>
      </c>
      <c r="G438" s="451">
        <v>576289537.31459999</v>
      </c>
      <c r="H438" s="451">
        <v>556574.94365419995</v>
      </c>
      <c r="I438" s="451">
        <v>321972.79242389998</v>
      </c>
      <c r="J438" s="451">
        <v>878547.73607810005</v>
      </c>
    </row>
    <row r="439" spans="2:10">
      <c r="B439" s="451" t="s">
        <v>140</v>
      </c>
      <c r="C439" s="27">
        <v>44651</v>
      </c>
      <c r="D439" s="451" t="s">
        <v>279</v>
      </c>
      <c r="E439" s="451">
        <v>439647678.39579999</v>
      </c>
      <c r="F439" s="451">
        <v>386044540</v>
      </c>
      <c r="G439" s="451">
        <v>825692218.39579999</v>
      </c>
      <c r="H439" s="451">
        <v>670238.56502149999</v>
      </c>
      <c r="I439" s="451">
        <v>588521.10732870002</v>
      </c>
      <c r="J439" s="451">
        <v>1258759.6723501999</v>
      </c>
    </row>
    <row r="440" spans="2:10">
      <c r="B440" s="451" t="s">
        <v>140</v>
      </c>
      <c r="C440" s="27">
        <v>44651</v>
      </c>
      <c r="D440" s="451" t="s">
        <v>280</v>
      </c>
      <c r="E440" s="451">
        <v>-7489560.5004000003</v>
      </c>
      <c r="F440" s="451">
        <v>103527</v>
      </c>
      <c r="G440" s="451">
        <v>-7386033.5004000003</v>
      </c>
      <c r="H440" s="451">
        <v>-11417.7613783</v>
      </c>
      <c r="I440" s="451">
        <v>157.8258941</v>
      </c>
      <c r="J440" s="451">
        <v>-11259.935484199999</v>
      </c>
    </row>
    <row r="441" spans="2:10">
      <c r="B441" s="451" t="s">
        <v>140</v>
      </c>
      <c r="C441" s="27">
        <v>44651</v>
      </c>
      <c r="D441" s="451" t="s">
        <v>281</v>
      </c>
      <c r="E441" s="451">
        <v>275206238.88639998</v>
      </c>
      <c r="F441" s="451">
        <v>55478610</v>
      </c>
      <c r="G441" s="451">
        <v>330684848.88639998</v>
      </c>
      <c r="H441" s="451">
        <v>419549.20655840001</v>
      </c>
      <c r="I441" s="451">
        <v>84576.595721999998</v>
      </c>
      <c r="J441" s="451">
        <v>504125.80228030001</v>
      </c>
    </row>
    <row r="442" spans="2:10">
      <c r="B442" t="s">
        <v>123</v>
      </c>
      <c r="C442" s="27">
        <v>44316</v>
      </c>
      <c r="D442" t="s">
        <v>278</v>
      </c>
      <c r="E442" s="433">
        <v>341316373.68690002</v>
      </c>
      <c r="F442" s="433">
        <v>88710189</v>
      </c>
      <c r="G442" s="433">
        <v>430026562.68690002</v>
      </c>
      <c r="H442" s="433">
        <v>520333.45735600003</v>
      </c>
      <c r="I442" s="433">
        <v>135237.81131990001</v>
      </c>
      <c r="J442" s="433">
        <v>655571.26867599995</v>
      </c>
    </row>
    <row r="443" spans="2:10">
      <c r="B443" t="s">
        <v>123</v>
      </c>
      <c r="C443" s="27">
        <v>44316</v>
      </c>
      <c r="D443" t="s">
        <v>279</v>
      </c>
      <c r="E443" s="433">
        <v>429953992.45370001</v>
      </c>
      <c r="F443" s="433">
        <v>214301878.38</v>
      </c>
      <c r="G443" s="433">
        <v>644255870.83369994</v>
      </c>
      <c r="H443" s="433">
        <v>655460.6360687</v>
      </c>
      <c r="I443" s="433">
        <v>326701.10751160001</v>
      </c>
      <c r="J443" s="433">
        <v>982161.74358030001</v>
      </c>
    </row>
    <row r="444" spans="2:10">
      <c r="B444" t="s">
        <v>123</v>
      </c>
      <c r="C444" s="27">
        <v>44316</v>
      </c>
      <c r="D444" t="s">
        <v>280</v>
      </c>
      <c r="E444" s="433">
        <v>-8030.1614</v>
      </c>
      <c r="F444" s="433">
        <v>0</v>
      </c>
      <c r="G444" s="433">
        <v>-8030.1614</v>
      </c>
      <c r="H444" s="433">
        <v>-12.241902100000001</v>
      </c>
      <c r="I444" s="433">
        <v>0</v>
      </c>
      <c r="J444" s="433">
        <v>-12.241902100000001</v>
      </c>
    </row>
    <row r="445" spans="2:10">
      <c r="B445" t="s">
        <v>123</v>
      </c>
      <c r="C445" s="27">
        <v>44316</v>
      </c>
      <c r="D445" t="s">
        <v>281</v>
      </c>
      <c r="E445" s="433">
        <v>225123041.8143</v>
      </c>
      <c r="F445" s="433">
        <v>35683743</v>
      </c>
      <c r="G445" s="433">
        <v>260806784.8143</v>
      </c>
      <c r="H445" s="433">
        <v>343197.86482090002</v>
      </c>
      <c r="I445" s="433">
        <v>54399.515517</v>
      </c>
      <c r="J445" s="433">
        <v>397597.38033790002</v>
      </c>
    </row>
    <row r="446" spans="2:10">
      <c r="B446" t="s">
        <v>123</v>
      </c>
      <c r="C446" s="27">
        <v>44681</v>
      </c>
      <c r="D446" t="s">
        <v>278</v>
      </c>
      <c r="E446" s="433">
        <v>340593465.83560002</v>
      </c>
      <c r="F446" s="433">
        <v>117481459</v>
      </c>
      <c r="G446" s="433">
        <v>458074924.83560002</v>
      </c>
      <c r="H446" s="433">
        <v>519231.39144119999</v>
      </c>
      <c r="I446" s="433">
        <v>179099.32968170001</v>
      </c>
      <c r="J446" s="433">
        <v>698330.72112290002</v>
      </c>
    </row>
    <row r="447" spans="2:10">
      <c r="B447" t="s">
        <v>123</v>
      </c>
      <c r="C447" s="27">
        <v>44681</v>
      </c>
      <c r="D447" t="s">
        <v>279</v>
      </c>
      <c r="E447" s="433">
        <v>284882774.81770003</v>
      </c>
      <c r="F447" s="433">
        <v>173029505.56</v>
      </c>
      <c r="G447" s="433">
        <v>457912280.37769997</v>
      </c>
      <c r="H447" s="433">
        <v>434300.99048819998</v>
      </c>
      <c r="I447" s="433">
        <v>263781.78075699997</v>
      </c>
      <c r="J447" s="433">
        <v>698082.77124519995</v>
      </c>
    </row>
    <row r="448" spans="2:10">
      <c r="B448" t="s">
        <v>123</v>
      </c>
      <c r="C448" s="27">
        <v>44681</v>
      </c>
      <c r="D448" t="s">
        <v>280</v>
      </c>
      <c r="E448" s="433">
        <v>468.61840000000001</v>
      </c>
      <c r="F448" s="433">
        <v>0</v>
      </c>
      <c r="G448" s="433">
        <v>468.61840000000001</v>
      </c>
      <c r="H448" s="433">
        <v>0.71440409999999999</v>
      </c>
      <c r="I448" s="433">
        <v>0</v>
      </c>
      <c r="J448" s="433">
        <v>0.71440409999999999</v>
      </c>
    </row>
    <row r="449" spans="2:10">
      <c r="B449" t="s">
        <v>123</v>
      </c>
      <c r="C449" s="27">
        <v>44681</v>
      </c>
      <c r="D449" t="s">
        <v>281</v>
      </c>
      <c r="E449" s="433">
        <v>308560857.04650003</v>
      </c>
      <c r="F449" s="433">
        <v>59726932</v>
      </c>
      <c r="G449" s="433">
        <v>368287789.04650003</v>
      </c>
      <c r="H449" s="433">
        <v>470397.99414670002</v>
      </c>
      <c r="I449" s="433">
        <v>91053.120860099996</v>
      </c>
      <c r="J449" s="433">
        <v>561451.11500680004</v>
      </c>
    </row>
    <row r="450" spans="2:10">
      <c r="B450" t="s">
        <v>124</v>
      </c>
      <c r="C450" s="27">
        <v>44316</v>
      </c>
      <c r="D450" t="s">
        <v>278</v>
      </c>
      <c r="E450" s="433">
        <v>254559635.11390001</v>
      </c>
      <c r="F450" s="433">
        <v>15146849</v>
      </c>
      <c r="G450" s="433">
        <v>269706484.11390001</v>
      </c>
      <c r="H450" s="433">
        <v>388073.6620143</v>
      </c>
      <c r="I450" s="433">
        <v>23091.222442900002</v>
      </c>
      <c r="J450" s="433">
        <v>411164.88445720001</v>
      </c>
    </row>
    <row r="451" spans="2:10">
      <c r="B451" t="s">
        <v>124</v>
      </c>
      <c r="C451" s="27">
        <v>44316</v>
      </c>
      <c r="D451" t="s">
        <v>279</v>
      </c>
      <c r="E451" s="433">
        <v>902558084.52349997</v>
      </c>
      <c r="F451" s="433">
        <v>893949096</v>
      </c>
      <c r="G451" s="433">
        <v>1796507180.5235</v>
      </c>
      <c r="H451" s="433">
        <v>1375940.9298529001</v>
      </c>
      <c r="I451" s="433">
        <v>1362816.6114546999</v>
      </c>
      <c r="J451" s="433">
        <v>2738757.5413076002</v>
      </c>
    </row>
    <row r="452" spans="2:10">
      <c r="B452" t="s">
        <v>124</v>
      </c>
      <c r="C452" s="27">
        <v>44316</v>
      </c>
      <c r="D452" t="s">
        <v>280</v>
      </c>
      <c r="E452" s="433">
        <v>711908.72420000006</v>
      </c>
      <c r="F452" s="433">
        <v>17779</v>
      </c>
      <c r="G452" s="433">
        <v>729687.72420000006</v>
      </c>
      <c r="H452" s="433">
        <v>1085.2978536999999</v>
      </c>
      <c r="I452" s="433">
        <v>27.103910800000001</v>
      </c>
      <c r="J452" s="433">
        <v>1112.4017644</v>
      </c>
    </row>
    <row r="453" spans="2:10">
      <c r="B453" t="s">
        <v>124</v>
      </c>
      <c r="C453" s="27">
        <v>44316</v>
      </c>
      <c r="D453" t="s">
        <v>281</v>
      </c>
      <c r="E453" s="433">
        <v>682013951.48679996</v>
      </c>
      <c r="F453" s="433">
        <v>88184686</v>
      </c>
      <c r="G453" s="433">
        <v>770198637.48679996</v>
      </c>
      <c r="H453" s="433">
        <v>1039723.5664637</v>
      </c>
      <c r="I453" s="433">
        <v>134436.68716090001</v>
      </c>
      <c r="J453" s="433">
        <v>1174160.2536245999</v>
      </c>
    </row>
    <row r="454" spans="2:10">
      <c r="B454" t="s">
        <v>124</v>
      </c>
      <c r="C454" s="27">
        <v>44681</v>
      </c>
      <c r="D454" t="s">
        <v>278</v>
      </c>
      <c r="E454" s="433">
        <v>363889479.9684</v>
      </c>
      <c r="F454" s="433">
        <v>-42936860</v>
      </c>
      <c r="G454" s="433">
        <v>320952619.9684</v>
      </c>
      <c r="H454" s="433">
        <v>554745.93604209996</v>
      </c>
      <c r="I454" s="433">
        <v>-65456.821102599999</v>
      </c>
      <c r="J454" s="433">
        <v>489289.1149395</v>
      </c>
    </row>
    <row r="455" spans="2:10">
      <c r="B455" t="s">
        <v>124</v>
      </c>
      <c r="C455" s="27">
        <v>44681</v>
      </c>
      <c r="D455" t="s">
        <v>279</v>
      </c>
      <c r="E455" s="433">
        <v>825203969.21469998</v>
      </c>
      <c r="F455" s="433">
        <v>834463525</v>
      </c>
      <c r="G455" s="433">
        <v>1659667494.2147</v>
      </c>
      <c r="H455" s="433">
        <v>1258015.3412719001</v>
      </c>
      <c r="I455" s="433">
        <v>1272131.4430672</v>
      </c>
      <c r="J455" s="433">
        <v>2530146.7843391001</v>
      </c>
    </row>
    <row r="456" spans="2:10">
      <c r="B456" t="s">
        <v>124</v>
      </c>
      <c r="C456" s="27">
        <v>44681</v>
      </c>
      <c r="D456" t="s">
        <v>280</v>
      </c>
      <c r="E456" s="433">
        <v>35.828299999999999</v>
      </c>
      <c r="F456" s="433">
        <v>0</v>
      </c>
      <c r="G456" s="433">
        <v>35.828299999999999</v>
      </c>
      <c r="H456" s="433">
        <v>5.4619899999999999E-2</v>
      </c>
      <c r="I456" s="433">
        <v>0</v>
      </c>
      <c r="J456" s="433">
        <v>5.4619899999999999E-2</v>
      </c>
    </row>
    <row r="457" spans="2:10">
      <c r="B457" t="s">
        <v>124</v>
      </c>
      <c r="C457" s="27">
        <v>44681</v>
      </c>
      <c r="D457" t="s">
        <v>281</v>
      </c>
      <c r="E457" s="433">
        <v>869730278.17349994</v>
      </c>
      <c r="F457" s="433">
        <v>112225485</v>
      </c>
      <c r="G457" s="433">
        <v>981955763.17349994</v>
      </c>
      <c r="H457" s="433">
        <v>1325895.2616917</v>
      </c>
      <c r="I457" s="433">
        <v>171086.6489724</v>
      </c>
      <c r="J457" s="433">
        <v>1496981.9106641</v>
      </c>
    </row>
    <row r="458" spans="2:10">
      <c r="B458" t="s">
        <v>131</v>
      </c>
      <c r="C458" s="27">
        <v>44316</v>
      </c>
      <c r="D458" t="s">
        <v>278</v>
      </c>
      <c r="E458" s="433">
        <v>5324200924.9195995</v>
      </c>
      <c r="F458" s="433">
        <v>2240298062</v>
      </c>
      <c r="G458" s="433">
        <v>7564498986.9195995</v>
      </c>
      <c r="H458" s="433">
        <v>8116691.985785</v>
      </c>
      <c r="I458" s="433">
        <v>3415312.3787078001</v>
      </c>
      <c r="J458" s="433">
        <v>11532004.3644928</v>
      </c>
    </row>
    <row r="459" spans="2:10">
      <c r="B459" t="s">
        <v>131</v>
      </c>
      <c r="C459" s="27">
        <v>44316</v>
      </c>
      <c r="D459" t="s">
        <v>279</v>
      </c>
      <c r="E459" s="433">
        <v>6727723250.9681997</v>
      </c>
      <c r="F459" s="433">
        <v>4172381830</v>
      </c>
      <c r="G459" s="433">
        <v>10900105080.968201</v>
      </c>
      <c r="H459" s="433">
        <v>10256347.9785538</v>
      </c>
      <c r="I459" s="433">
        <v>6360755.0952273002</v>
      </c>
      <c r="J459" s="433">
        <v>16617103.073781099</v>
      </c>
    </row>
    <row r="460" spans="2:10">
      <c r="B460" t="s">
        <v>131</v>
      </c>
      <c r="C460" s="27">
        <v>44316</v>
      </c>
      <c r="D460" t="s">
        <v>280</v>
      </c>
      <c r="E460" s="433">
        <v>6373318.2549999999</v>
      </c>
      <c r="F460" s="433">
        <v>-7542457</v>
      </c>
      <c r="G460" s="433">
        <v>-1169138.7450000001</v>
      </c>
      <c r="H460" s="433">
        <v>9716.0610452000001</v>
      </c>
      <c r="I460" s="433">
        <v>-11498.4015721</v>
      </c>
      <c r="J460" s="433">
        <v>-1782.3405269</v>
      </c>
    </row>
    <row r="461" spans="2:10">
      <c r="B461" t="s">
        <v>131</v>
      </c>
      <c r="C461" s="27">
        <v>44316</v>
      </c>
      <c r="D461" t="s">
        <v>281</v>
      </c>
      <c r="E461" s="433">
        <v>5323699892.8459997</v>
      </c>
      <c r="F461" s="433">
        <v>902066175</v>
      </c>
      <c r="G461" s="433">
        <v>6225766067.8459997</v>
      </c>
      <c r="H461" s="433">
        <v>8115928.1673128</v>
      </c>
      <c r="I461" s="433">
        <v>1375191.0186186</v>
      </c>
      <c r="J461" s="433">
        <v>9491119.1859313995</v>
      </c>
    </row>
    <row r="462" spans="2:10">
      <c r="B462" t="s">
        <v>131</v>
      </c>
      <c r="C462" s="27">
        <v>44681</v>
      </c>
      <c r="D462" t="s">
        <v>278</v>
      </c>
      <c r="E462" s="433">
        <v>6473177091.9878998</v>
      </c>
      <c r="F462" s="433">
        <v>2505216720</v>
      </c>
      <c r="G462" s="433">
        <v>8977727921.9878998</v>
      </c>
      <c r="H462" s="433">
        <v>9868294.8607726991</v>
      </c>
      <c r="I462" s="433">
        <v>3819178.2693073</v>
      </c>
      <c r="J462" s="433">
        <v>13686457.987319101</v>
      </c>
    </row>
    <row r="463" spans="2:10">
      <c r="B463" t="s">
        <v>131</v>
      </c>
      <c r="C463" s="27">
        <v>44681</v>
      </c>
      <c r="D463" t="s">
        <v>279</v>
      </c>
      <c r="E463" s="433">
        <v>7678433128.2088003</v>
      </c>
      <c r="F463" s="433">
        <v>4692631711</v>
      </c>
      <c r="G463" s="433">
        <v>12368320054.208799</v>
      </c>
      <c r="H463" s="433">
        <v>11705695.843186099</v>
      </c>
      <c r="I463" s="433">
        <v>7153870.9259906001</v>
      </c>
      <c r="J463" s="433">
        <v>18855382.371418901</v>
      </c>
    </row>
    <row r="464" spans="2:10">
      <c r="B464" t="s">
        <v>131</v>
      </c>
      <c r="C464" s="27">
        <v>44681</v>
      </c>
      <c r="D464" t="s">
        <v>280</v>
      </c>
      <c r="E464" s="433">
        <v>7536051.3978000004</v>
      </c>
      <c r="F464" s="433">
        <v>62627663</v>
      </c>
      <c r="G464" s="433">
        <v>70163714.397799999</v>
      </c>
      <c r="H464" s="433">
        <v>11488.6362945</v>
      </c>
      <c r="I464" s="433">
        <v>95475.256762300007</v>
      </c>
      <c r="J464" s="433">
        <v>106963.89305670001</v>
      </c>
    </row>
    <row r="465" spans="2:10">
      <c r="B465" t="s">
        <v>131</v>
      </c>
      <c r="C465" s="27">
        <v>44681</v>
      </c>
      <c r="D465" t="s">
        <v>281</v>
      </c>
      <c r="E465" s="433">
        <v>5838783761.6199999</v>
      </c>
      <c r="F465" s="433">
        <v>995586215</v>
      </c>
      <c r="G465" s="433">
        <v>6834142401.6199999</v>
      </c>
      <c r="H465" s="433">
        <v>8901168.4632072002</v>
      </c>
      <c r="I465" s="433">
        <v>1517761.4005185999</v>
      </c>
      <c r="J465" s="433">
        <v>10418582.9278748</v>
      </c>
    </row>
    <row r="466" spans="2:10">
      <c r="B466" t="s">
        <v>132</v>
      </c>
      <c r="C466" s="27">
        <v>44316</v>
      </c>
      <c r="D466" t="s">
        <v>278</v>
      </c>
      <c r="E466" s="433">
        <v>1855045710.2774999</v>
      </c>
      <c r="F466" s="433">
        <v>1001185523</v>
      </c>
      <c r="G466" s="433">
        <v>2856231233.2775002</v>
      </c>
      <c r="H466" s="433">
        <v>2827998.9546228</v>
      </c>
      <c r="I466" s="433">
        <v>1526297.4905367</v>
      </c>
      <c r="J466" s="433">
        <v>4354296.4451595005</v>
      </c>
    </row>
    <row r="467" spans="2:10">
      <c r="B467" t="s">
        <v>132</v>
      </c>
      <c r="C467" s="27">
        <v>44316</v>
      </c>
      <c r="D467" t="s">
        <v>279</v>
      </c>
      <c r="E467" s="433">
        <v>2352023167.4744</v>
      </c>
      <c r="F467" s="433">
        <v>2163038085</v>
      </c>
      <c r="G467" s="433">
        <v>4515061252.4743996</v>
      </c>
      <c r="H467" s="433">
        <v>3585636.2040109001</v>
      </c>
      <c r="I467" s="433">
        <v>3297530.3030534</v>
      </c>
      <c r="J467" s="433">
        <v>6883166.5070642997</v>
      </c>
    </row>
    <row r="468" spans="2:10">
      <c r="B468" t="s">
        <v>132</v>
      </c>
      <c r="C468" s="27">
        <v>44316</v>
      </c>
      <c r="D468" t="s">
        <v>280</v>
      </c>
      <c r="E468" s="433">
        <v>-60546445.0986</v>
      </c>
      <c r="F468" s="433">
        <v>16779564</v>
      </c>
      <c r="G468" s="433">
        <v>-43766881.0986</v>
      </c>
      <c r="H468" s="433">
        <v>-92302.460525000002</v>
      </c>
      <c r="I468" s="433">
        <v>25580.280414699999</v>
      </c>
      <c r="J468" s="433">
        <v>-66722.180110300003</v>
      </c>
    </row>
    <row r="469" spans="2:10">
      <c r="B469" t="s">
        <v>132</v>
      </c>
      <c r="C469" s="27">
        <v>44316</v>
      </c>
      <c r="D469" t="s">
        <v>281</v>
      </c>
      <c r="E469" s="433">
        <v>928888657.21700001</v>
      </c>
      <c r="F469" s="433">
        <v>223719899</v>
      </c>
      <c r="G469" s="433">
        <v>1152608556.217</v>
      </c>
      <c r="H469" s="433">
        <v>1416081.6291571001</v>
      </c>
      <c r="I469" s="433">
        <v>341058.78739000001</v>
      </c>
      <c r="J469" s="433">
        <v>1757140.4165471001</v>
      </c>
    </row>
    <row r="470" spans="2:10">
      <c r="B470" t="s">
        <v>132</v>
      </c>
      <c r="C470" s="27">
        <v>44681</v>
      </c>
      <c r="D470" t="s">
        <v>278</v>
      </c>
      <c r="E470" s="433">
        <v>2097762365.4460001</v>
      </c>
      <c r="F470" s="433">
        <v>1320749236</v>
      </c>
      <c r="G470" s="433">
        <v>3418511601.4460001</v>
      </c>
      <c r="H470" s="433">
        <v>3198018.1100987</v>
      </c>
      <c r="I470" s="433">
        <v>2013469.2304525999</v>
      </c>
      <c r="J470" s="433">
        <v>5211487.3405513</v>
      </c>
    </row>
    <row r="471" spans="2:10">
      <c r="B471" t="s">
        <v>132</v>
      </c>
      <c r="C471" s="27">
        <v>44681</v>
      </c>
      <c r="D471" t="s">
        <v>279</v>
      </c>
      <c r="E471" s="433">
        <v>2734660015.6377001</v>
      </c>
      <c r="F471" s="433">
        <v>1812798482</v>
      </c>
      <c r="G471" s="433">
        <v>4547458497.6377001</v>
      </c>
      <c r="H471" s="433">
        <v>4168962.3186241002</v>
      </c>
      <c r="I471" s="433">
        <v>2763593.4703036998</v>
      </c>
      <c r="J471" s="433">
        <v>6932555.7889278</v>
      </c>
    </row>
    <row r="472" spans="2:10">
      <c r="B472" t="s">
        <v>132</v>
      </c>
      <c r="C472" s="27">
        <v>44681</v>
      </c>
      <c r="D472" t="s">
        <v>280</v>
      </c>
      <c r="E472" s="433">
        <v>-65328617.938900001</v>
      </c>
      <c r="F472" s="433">
        <v>8648816</v>
      </c>
      <c r="G472" s="433">
        <v>-56679801.938900001</v>
      </c>
      <c r="H472" s="433">
        <v>-99592.836022599993</v>
      </c>
      <c r="I472" s="433">
        <v>13185.0349947</v>
      </c>
      <c r="J472" s="433">
        <v>-86407.801028000002</v>
      </c>
    </row>
    <row r="473" spans="2:10">
      <c r="B473" t="s">
        <v>132</v>
      </c>
      <c r="C473" s="27">
        <v>44681</v>
      </c>
      <c r="D473" t="s">
        <v>281</v>
      </c>
      <c r="E473" s="433">
        <v>929662412.64750004</v>
      </c>
      <c r="F473" s="433">
        <v>327457117</v>
      </c>
      <c r="G473" s="433">
        <v>1257119529.6475</v>
      </c>
      <c r="H473" s="433">
        <v>1417261.2117067</v>
      </c>
      <c r="I473" s="433">
        <v>499205.15674050001</v>
      </c>
      <c r="J473" s="433">
        <v>1916466.3684471999</v>
      </c>
    </row>
    <row r="474" spans="2:10">
      <c r="B474" t="s">
        <v>135</v>
      </c>
      <c r="C474" s="27">
        <v>44316</v>
      </c>
      <c r="D474" t="s">
        <v>278</v>
      </c>
      <c r="E474" s="433">
        <v>424110239.34960002</v>
      </c>
      <c r="F474" s="433">
        <v>295792609</v>
      </c>
      <c r="G474" s="433">
        <v>719902848.34959996</v>
      </c>
      <c r="H474" s="433">
        <v>646551.89189169998</v>
      </c>
      <c r="I474" s="433">
        <v>450932.92548139999</v>
      </c>
      <c r="J474" s="433">
        <v>1097484.8173731</v>
      </c>
    </row>
    <row r="475" spans="2:10">
      <c r="B475" t="s">
        <v>135</v>
      </c>
      <c r="C475" s="27">
        <v>44316</v>
      </c>
      <c r="D475" t="s">
        <v>279</v>
      </c>
      <c r="E475" s="433">
        <v>89635259.761899993</v>
      </c>
      <c r="F475" s="433">
        <v>80469575</v>
      </c>
      <c r="G475" s="433">
        <v>170104834.76190001</v>
      </c>
      <c r="H475" s="433">
        <v>136648.0726052</v>
      </c>
      <c r="I475" s="433">
        <v>122675.07626260001</v>
      </c>
      <c r="J475" s="433">
        <v>259323.14886779999</v>
      </c>
    </row>
    <row r="476" spans="2:10">
      <c r="B476" t="s">
        <v>135</v>
      </c>
      <c r="C476" s="27">
        <v>44316</v>
      </c>
      <c r="D476" t="s">
        <v>280</v>
      </c>
      <c r="E476" s="433">
        <v>-1612405.4598999999</v>
      </c>
      <c r="F476" s="433">
        <v>441665</v>
      </c>
      <c r="G476" s="433">
        <v>-1170740.4598999999</v>
      </c>
      <c r="H476" s="433">
        <v>-2458.0962774999998</v>
      </c>
      <c r="I476" s="433">
        <v>673.31395199999997</v>
      </c>
      <c r="J476" s="433">
        <v>-1784.7823255000001</v>
      </c>
    </row>
    <row r="477" spans="2:10">
      <c r="B477" t="s">
        <v>135</v>
      </c>
      <c r="C477" s="27">
        <v>44316</v>
      </c>
      <c r="D477" t="s">
        <v>281</v>
      </c>
      <c r="E477" s="433">
        <v>451507076.17570001</v>
      </c>
      <c r="F477" s="433">
        <v>210210224</v>
      </c>
      <c r="G477" s="433">
        <v>661717300.17569995</v>
      </c>
      <c r="H477" s="433">
        <v>688318.10038720001</v>
      </c>
      <c r="I477" s="433">
        <v>320463.42062059999</v>
      </c>
      <c r="J477" s="433">
        <v>1008781.5210078</v>
      </c>
    </row>
    <row r="478" spans="2:10">
      <c r="B478" t="s">
        <v>135</v>
      </c>
      <c r="C478" s="27">
        <v>44681</v>
      </c>
      <c r="D478" t="s">
        <v>278</v>
      </c>
      <c r="E478" s="433">
        <v>423450773.704</v>
      </c>
      <c r="F478" s="433">
        <v>313813793</v>
      </c>
      <c r="G478" s="433">
        <v>737264566.704</v>
      </c>
      <c r="H478" s="433">
        <v>645546.54299600003</v>
      </c>
      <c r="I478" s="433">
        <v>478406.04338390002</v>
      </c>
      <c r="J478" s="433">
        <v>1123952.5863799001</v>
      </c>
    </row>
    <row r="479" spans="2:10">
      <c r="B479" t="s">
        <v>135</v>
      </c>
      <c r="C479" s="27">
        <v>44681</v>
      </c>
      <c r="D479" t="s">
        <v>279</v>
      </c>
      <c r="E479" s="433">
        <v>103428974.5297</v>
      </c>
      <c r="F479" s="433">
        <v>98542962</v>
      </c>
      <c r="G479" s="433">
        <v>201971936.52970001</v>
      </c>
      <c r="H479" s="433">
        <v>157676.45520930001</v>
      </c>
      <c r="I479" s="433">
        <v>150227.7771256</v>
      </c>
      <c r="J479" s="433">
        <v>307904.23233490001</v>
      </c>
    </row>
    <row r="480" spans="2:10">
      <c r="B480" t="s">
        <v>135</v>
      </c>
      <c r="C480" s="27">
        <v>44681</v>
      </c>
      <c r="D480" t="s">
        <v>280</v>
      </c>
      <c r="E480" s="433">
        <v>-748062.98580000002</v>
      </c>
      <c r="F480" s="433">
        <v>102604</v>
      </c>
      <c r="G480" s="433">
        <v>-645458.98580000002</v>
      </c>
      <c r="H480" s="433">
        <v>-1140.4146702</v>
      </c>
      <c r="I480" s="433">
        <v>156.4187896</v>
      </c>
      <c r="J480" s="433">
        <v>-983.9958805</v>
      </c>
    </row>
    <row r="481" spans="2:10">
      <c r="B481" t="s">
        <v>135</v>
      </c>
      <c r="C481" s="27">
        <v>44681</v>
      </c>
      <c r="D481" t="s">
        <v>281</v>
      </c>
      <c r="E481" s="433">
        <v>627666964.3477</v>
      </c>
      <c r="F481" s="433">
        <v>229374661</v>
      </c>
      <c r="G481" s="433">
        <v>857041625.3477</v>
      </c>
      <c r="H481" s="433">
        <v>956872.11867200001</v>
      </c>
      <c r="I481" s="433">
        <v>349679.4164861</v>
      </c>
      <c r="J481" s="433">
        <v>1306551.5351581001</v>
      </c>
    </row>
    <row r="482" spans="2:10">
      <c r="B482" t="s">
        <v>136</v>
      </c>
      <c r="C482" s="27">
        <v>44316</v>
      </c>
      <c r="D482" t="s">
        <v>278</v>
      </c>
      <c r="E482" s="433">
        <v>-1810812.5915000001</v>
      </c>
      <c r="F482" s="433">
        <v>1889811.98</v>
      </c>
      <c r="G482" s="433">
        <v>78999.388500000001</v>
      </c>
      <c r="H482" s="433">
        <v>-262596.44878039998</v>
      </c>
      <c r="I482" s="433">
        <v>274052.60883440002</v>
      </c>
      <c r="J482" s="433">
        <v>11456.160053899999</v>
      </c>
    </row>
    <row r="483" spans="2:10">
      <c r="B483" t="s">
        <v>136</v>
      </c>
      <c r="C483" s="27">
        <v>44316</v>
      </c>
      <c r="D483" t="s">
        <v>279</v>
      </c>
      <c r="E483" s="433">
        <v>1971407.4188999999</v>
      </c>
      <c r="F483" s="433">
        <v>6928869.96</v>
      </c>
      <c r="G483" s="433">
        <v>8900277.3789000008</v>
      </c>
      <c r="H483" s="433">
        <v>285885.23723139998</v>
      </c>
      <c r="I483" s="433">
        <v>1004795.6669277</v>
      </c>
      <c r="J483" s="433">
        <v>1290680.9041591</v>
      </c>
    </row>
    <row r="484" spans="2:10">
      <c r="B484" t="s">
        <v>136</v>
      </c>
      <c r="C484" s="27">
        <v>44316</v>
      </c>
      <c r="D484" t="s">
        <v>280</v>
      </c>
      <c r="E484" s="433">
        <v>3369.1927000000001</v>
      </c>
      <c r="F484" s="433">
        <v>10056.58</v>
      </c>
      <c r="G484" s="433">
        <v>13425.7727</v>
      </c>
      <c r="H484" s="433">
        <v>488.5861974</v>
      </c>
      <c r="I484" s="433">
        <v>1458.3630616</v>
      </c>
      <c r="J484" s="433">
        <v>1946.949259</v>
      </c>
    </row>
    <row r="485" spans="2:10">
      <c r="B485" t="s">
        <v>136</v>
      </c>
      <c r="C485" s="27">
        <v>44316</v>
      </c>
      <c r="D485" t="s">
        <v>281</v>
      </c>
      <c r="E485" s="433">
        <v>679897.95770000003</v>
      </c>
      <c r="F485" s="433">
        <v>663214.64</v>
      </c>
      <c r="G485" s="433">
        <v>1343112.5977</v>
      </c>
      <c r="H485" s="433">
        <v>98595.950825099993</v>
      </c>
      <c r="I485" s="433">
        <v>96176.606050100003</v>
      </c>
      <c r="J485" s="433">
        <v>194772.55687520001</v>
      </c>
    </row>
    <row r="486" spans="2:10">
      <c r="B486" t="s">
        <v>136</v>
      </c>
      <c r="C486" s="27">
        <v>44681</v>
      </c>
      <c r="D486" t="s">
        <v>278</v>
      </c>
      <c r="E486" s="433">
        <v>-2605201.6132999999</v>
      </c>
      <c r="F486" s="433">
        <v>1946402.46</v>
      </c>
      <c r="G486" s="433">
        <v>-658799.15330000001</v>
      </c>
      <c r="H486" s="433">
        <v>-347531.66406089999</v>
      </c>
      <c r="I486" s="433">
        <v>259648.4212211</v>
      </c>
      <c r="J486" s="433">
        <v>-87883.242839800005</v>
      </c>
    </row>
    <row r="487" spans="2:10">
      <c r="B487" t="s">
        <v>136</v>
      </c>
      <c r="C487" s="27">
        <v>44681</v>
      </c>
      <c r="D487" t="s">
        <v>279</v>
      </c>
      <c r="E487" s="433">
        <v>300363.63179999997</v>
      </c>
      <c r="F487" s="433">
        <v>6703518.2400000002</v>
      </c>
      <c r="G487" s="433">
        <v>7003881.8717999998</v>
      </c>
      <c r="H487" s="433">
        <v>40068.251243899998</v>
      </c>
      <c r="I487" s="433">
        <v>894243.59217209998</v>
      </c>
      <c r="J487" s="433">
        <v>934311.84341610002</v>
      </c>
    </row>
    <row r="488" spans="2:10">
      <c r="B488" t="s">
        <v>136</v>
      </c>
      <c r="C488" s="27">
        <v>44681</v>
      </c>
      <c r="D488" t="s">
        <v>280</v>
      </c>
      <c r="E488" s="433">
        <v>-10274.989799999999</v>
      </c>
      <c r="F488" s="433">
        <v>4800.01</v>
      </c>
      <c r="G488" s="433">
        <v>-5474.9798000000001</v>
      </c>
      <c r="H488" s="433">
        <v>-1370.6748396</v>
      </c>
      <c r="I488" s="433">
        <v>640.31722319999994</v>
      </c>
      <c r="J488" s="433">
        <v>-730.35761639999998</v>
      </c>
    </row>
    <row r="489" spans="2:10">
      <c r="B489" t="s">
        <v>136</v>
      </c>
      <c r="C489" s="27">
        <v>44681</v>
      </c>
      <c r="D489" t="s">
        <v>281</v>
      </c>
      <c r="E489" s="433">
        <v>1184434.5430000001</v>
      </c>
      <c r="F489" s="433">
        <v>2373089.39</v>
      </c>
      <c r="G489" s="433">
        <v>3557523.9330000002</v>
      </c>
      <c r="H489" s="433">
        <v>158002.5536598</v>
      </c>
      <c r="I489" s="433">
        <v>316568.0922588</v>
      </c>
      <c r="J489" s="433">
        <v>474570.64591869997</v>
      </c>
    </row>
    <row r="490" spans="2:10">
      <c r="B490" t="s">
        <v>137</v>
      </c>
      <c r="C490" s="27">
        <v>44316</v>
      </c>
      <c r="D490" t="s">
        <v>278</v>
      </c>
      <c r="E490" s="433">
        <v>6454483311.8418999</v>
      </c>
      <c r="F490" s="433">
        <v>4111260695</v>
      </c>
      <c r="G490" s="433">
        <v>10565744006.8419</v>
      </c>
      <c r="H490" s="433">
        <v>539580.20708860003</v>
      </c>
      <c r="I490" s="433">
        <v>343692.09586980002</v>
      </c>
      <c r="J490" s="433">
        <v>883272.30295839999</v>
      </c>
    </row>
    <row r="491" spans="2:10">
      <c r="B491" t="s">
        <v>137</v>
      </c>
      <c r="C491" s="27">
        <v>44316</v>
      </c>
      <c r="D491" t="s">
        <v>279</v>
      </c>
      <c r="E491" s="433">
        <v>8616151460.2049007</v>
      </c>
      <c r="F491" s="433">
        <v>11163218414</v>
      </c>
      <c r="G491" s="433">
        <v>19779369874.204899</v>
      </c>
      <c r="H491" s="433">
        <v>720290.77535530005</v>
      </c>
      <c r="I491" s="433">
        <v>933219.81211890001</v>
      </c>
      <c r="J491" s="433">
        <v>1653510.5874741999</v>
      </c>
    </row>
    <row r="492" spans="2:10">
      <c r="B492" t="s">
        <v>137</v>
      </c>
      <c r="C492" s="27">
        <v>44316</v>
      </c>
      <c r="D492" t="s">
        <v>280</v>
      </c>
      <c r="E492" s="433">
        <v>52537473.193899997</v>
      </c>
      <c r="F492" s="433">
        <v>4786958</v>
      </c>
      <c r="G492" s="433">
        <v>57324431.193899997</v>
      </c>
      <c r="H492" s="433">
        <v>4392.0139375999997</v>
      </c>
      <c r="I492" s="433">
        <v>400.17886240000001</v>
      </c>
      <c r="J492" s="433">
        <v>4792.1927999999998</v>
      </c>
    </row>
    <row r="493" spans="2:10">
      <c r="B493" t="s">
        <v>137</v>
      </c>
      <c r="C493" s="27">
        <v>44316</v>
      </c>
      <c r="D493" t="s">
        <v>281</v>
      </c>
      <c r="E493" s="433">
        <v>5746818117.1575003</v>
      </c>
      <c r="F493" s="433">
        <v>726697713</v>
      </c>
      <c r="G493" s="433">
        <v>6473515830.1575003</v>
      </c>
      <c r="H493" s="433">
        <v>480420.99730390002</v>
      </c>
      <c r="I493" s="433">
        <v>60750.285271000001</v>
      </c>
      <c r="J493" s="433">
        <v>541171.28257489996</v>
      </c>
    </row>
    <row r="494" spans="2:10">
      <c r="B494" t="s">
        <v>137</v>
      </c>
      <c r="C494" s="27">
        <v>44681</v>
      </c>
      <c r="D494" t="s">
        <v>278</v>
      </c>
      <c r="E494" s="433">
        <v>13947642408.348301</v>
      </c>
      <c r="F494" s="433">
        <v>4096059653</v>
      </c>
      <c r="G494" s="433">
        <v>18043451343.348301</v>
      </c>
      <c r="H494" s="433">
        <v>1531435.2333086999</v>
      </c>
      <c r="I494" s="433">
        <v>449742.67956449999</v>
      </c>
      <c r="J494" s="433">
        <v>1981150.3843227001</v>
      </c>
    </row>
    <row r="495" spans="2:10">
      <c r="B495" t="s">
        <v>137</v>
      </c>
      <c r="C495" s="27">
        <v>44681</v>
      </c>
      <c r="D495" t="s">
        <v>279</v>
      </c>
      <c r="E495" s="433">
        <v>24492064095.5835</v>
      </c>
      <c r="F495" s="433">
        <v>11690012400</v>
      </c>
      <c r="G495" s="433">
        <v>36180990473.583504</v>
      </c>
      <c r="H495" s="433">
        <v>2689200.7117977999</v>
      </c>
      <c r="I495" s="433">
        <v>1283550.0325460001</v>
      </c>
      <c r="J495" s="433">
        <v>3972631.5003666002</v>
      </c>
    </row>
    <row r="496" spans="2:10">
      <c r="B496" t="s">
        <v>137</v>
      </c>
      <c r="C496" s="27">
        <v>44681</v>
      </c>
      <c r="D496" t="s">
        <v>280</v>
      </c>
      <c r="E496" s="433">
        <v>65864351.597199999</v>
      </c>
      <c r="F496" s="433">
        <v>4158550</v>
      </c>
      <c r="G496" s="433">
        <v>70022901.597200006</v>
      </c>
      <c r="H496" s="433">
        <v>7231.8307066999996</v>
      </c>
      <c r="I496" s="433">
        <v>456.60404840000001</v>
      </c>
      <c r="J496" s="433">
        <v>7688.4347551000001</v>
      </c>
    </row>
    <row r="497" spans="2:10">
      <c r="B497" t="s">
        <v>137</v>
      </c>
      <c r="C497" s="27">
        <v>44681</v>
      </c>
      <c r="D497" t="s">
        <v>281</v>
      </c>
      <c r="E497" s="433">
        <v>9675423554.4454002</v>
      </c>
      <c r="F497" s="433">
        <v>696241341</v>
      </c>
      <c r="G497" s="433">
        <v>10371638872.4454</v>
      </c>
      <c r="H497" s="433">
        <v>1062350.4743421001</v>
      </c>
      <c r="I497" s="433">
        <v>76446.505386100005</v>
      </c>
      <c r="J497" s="433">
        <v>1138794.1224324999</v>
      </c>
    </row>
    <row r="498" spans="2:10">
      <c r="B498" t="s">
        <v>138</v>
      </c>
      <c r="C498" s="27">
        <v>44316</v>
      </c>
      <c r="D498" t="s">
        <v>278</v>
      </c>
      <c r="E498" s="433">
        <v>9602169982.1578999</v>
      </c>
      <c r="F498" s="433">
        <v>2925669197.8899999</v>
      </c>
      <c r="G498" s="433">
        <v>12527839180.047899</v>
      </c>
      <c r="H498" s="433">
        <v>2101439.3756104</v>
      </c>
      <c r="I498" s="433">
        <v>640284.06744310004</v>
      </c>
      <c r="J498" s="433">
        <v>2741723.4430535999</v>
      </c>
    </row>
    <row r="499" spans="2:10">
      <c r="B499" t="s">
        <v>138</v>
      </c>
      <c r="C499" s="27">
        <v>44316</v>
      </c>
      <c r="D499" t="s">
        <v>279</v>
      </c>
      <c r="E499" s="433">
        <v>17504826531.4095</v>
      </c>
      <c r="F499" s="433">
        <v>8510330689.9799995</v>
      </c>
      <c r="G499" s="433">
        <v>26015157221.3895</v>
      </c>
      <c r="H499" s="433">
        <v>3830939.4443844999</v>
      </c>
      <c r="I499" s="433">
        <v>1862489.8376742001</v>
      </c>
      <c r="J499" s="433">
        <v>5693429.2820587</v>
      </c>
    </row>
    <row r="500" spans="2:10">
      <c r="B500" t="s">
        <v>138</v>
      </c>
      <c r="C500" s="27">
        <v>44316</v>
      </c>
      <c r="D500" t="s">
        <v>280</v>
      </c>
      <c r="E500" s="433">
        <v>727625.59420000005</v>
      </c>
      <c r="F500" s="433">
        <v>968057.89</v>
      </c>
      <c r="G500" s="433">
        <v>1695683.4842000001</v>
      </c>
      <c r="H500" s="433">
        <v>159.2412004</v>
      </c>
      <c r="I500" s="433">
        <v>211.85992039999999</v>
      </c>
      <c r="J500" s="433">
        <v>371.10112079999999</v>
      </c>
    </row>
    <row r="501" spans="2:10">
      <c r="B501" t="s">
        <v>138</v>
      </c>
      <c r="C501" s="27">
        <v>44316</v>
      </c>
      <c r="D501" t="s">
        <v>281</v>
      </c>
      <c r="E501" s="433">
        <v>2885486464.4892001</v>
      </c>
      <c r="F501" s="433">
        <v>726405766.37</v>
      </c>
      <c r="G501" s="433">
        <v>3611892230.8592</v>
      </c>
      <c r="H501" s="433">
        <v>631490.05751149997</v>
      </c>
      <c r="I501" s="433">
        <v>158974.2405057</v>
      </c>
      <c r="J501" s="433">
        <v>790464.29801729997</v>
      </c>
    </row>
    <row r="502" spans="2:10">
      <c r="B502" t="s">
        <v>138</v>
      </c>
      <c r="C502" s="27">
        <v>44681</v>
      </c>
      <c r="D502" t="s">
        <v>278</v>
      </c>
      <c r="E502" s="433">
        <v>9921370874.2635002</v>
      </c>
      <c r="F502" s="433">
        <v>2898720836.9099998</v>
      </c>
      <c r="G502" s="433">
        <v>12820091711.1735</v>
      </c>
      <c r="H502" s="433">
        <v>2361590.1574961999</v>
      </c>
      <c r="I502" s="433">
        <v>689984.34637030005</v>
      </c>
      <c r="J502" s="433">
        <v>3051574.5038665002</v>
      </c>
    </row>
    <row r="503" spans="2:10">
      <c r="B503" t="s">
        <v>138</v>
      </c>
      <c r="C503" s="27">
        <v>44681</v>
      </c>
      <c r="D503" t="s">
        <v>279</v>
      </c>
      <c r="E503" s="433">
        <v>21288338900.394798</v>
      </c>
      <c r="F503" s="433">
        <v>9069522688.0699997</v>
      </c>
      <c r="G503" s="433">
        <v>30357861588.464802</v>
      </c>
      <c r="H503" s="433">
        <v>5067276.7154617002</v>
      </c>
      <c r="I503" s="433">
        <v>2158824.1972583998</v>
      </c>
      <c r="J503" s="433">
        <v>7226100.9127201</v>
      </c>
    </row>
    <row r="504" spans="2:10">
      <c r="B504" t="s">
        <v>138</v>
      </c>
      <c r="C504" s="27">
        <v>44681</v>
      </c>
      <c r="D504" t="s">
        <v>280</v>
      </c>
      <c r="E504" s="433">
        <v>1023822.616</v>
      </c>
      <c r="F504" s="433">
        <v>434728.92</v>
      </c>
      <c r="G504" s="433">
        <v>1458551.5360000001</v>
      </c>
      <c r="H504" s="433">
        <v>243.7011421</v>
      </c>
      <c r="I504" s="433">
        <v>103.4787986</v>
      </c>
      <c r="J504" s="433">
        <v>347.17994069999997</v>
      </c>
    </row>
    <row r="505" spans="2:10">
      <c r="B505" t="s">
        <v>138</v>
      </c>
      <c r="C505" s="27">
        <v>44681</v>
      </c>
      <c r="D505" t="s">
        <v>281</v>
      </c>
      <c r="E505" s="433">
        <v>3255543227.1466999</v>
      </c>
      <c r="F505" s="433">
        <v>857016466.24000001</v>
      </c>
      <c r="G505" s="433">
        <v>4112559693.3867002</v>
      </c>
      <c r="H505" s="433">
        <v>774919.00463840005</v>
      </c>
      <c r="I505" s="433">
        <v>203996.1691922</v>
      </c>
      <c r="J505" s="433">
        <v>978915.17383059999</v>
      </c>
    </row>
    <row r="506" spans="2:10">
      <c r="B506" t="s">
        <v>139</v>
      </c>
      <c r="C506" s="27">
        <v>44316</v>
      </c>
      <c r="D506" t="s">
        <v>278</v>
      </c>
      <c r="E506" s="433">
        <v>11342633.995100001</v>
      </c>
      <c r="F506" s="433">
        <v>10068635.699999999</v>
      </c>
      <c r="G506" s="433">
        <v>21411269.695099998</v>
      </c>
      <c r="H506" s="433">
        <v>260450.83800459999</v>
      </c>
      <c r="I506" s="433">
        <v>231197.14580940001</v>
      </c>
      <c r="J506" s="433">
        <v>491647.98381399998</v>
      </c>
    </row>
    <row r="507" spans="2:10">
      <c r="B507" t="s">
        <v>139</v>
      </c>
      <c r="C507" s="27">
        <v>44316</v>
      </c>
      <c r="D507" t="s">
        <v>279</v>
      </c>
      <c r="E507" s="433">
        <v>25379223.771499999</v>
      </c>
      <c r="F507" s="433">
        <v>33275031.609999999</v>
      </c>
      <c r="G507" s="433">
        <v>58654255.381499998</v>
      </c>
      <c r="H507" s="433">
        <v>582760.59176810004</v>
      </c>
      <c r="I507" s="433">
        <v>764065.01974739996</v>
      </c>
      <c r="J507" s="433">
        <v>1346825.6115154999</v>
      </c>
    </row>
    <row r="508" spans="2:10">
      <c r="B508" t="s">
        <v>139</v>
      </c>
      <c r="C508" s="27">
        <v>44316</v>
      </c>
      <c r="D508" t="s">
        <v>280</v>
      </c>
      <c r="E508" s="433">
        <v>-2147785.1623</v>
      </c>
      <c r="F508" s="433">
        <v>15804.18</v>
      </c>
      <c r="G508" s="433">
        <v>-2131980.9822999998</v>
      </c>
      <c r="H508" s="433">
        <v>-49317.684553400002</v>
      </c>
      <c r="I508" s="433">
        <v>362.89735940000003</v>
      </c>
      <c r="J508" s="433">
        <v>-48954.787193999997</v>
      </c>
    </row>
    <row r="509" spans="2:10">
      <c r="B509" t="s">
        <v>139</v>
      </c>
      <c r="C509" s="27">
        <v>44316</v>
      </c>
      <c r="D509" t="s">
        <v>281</v>
      </c>
      <c r="E509" s="433">
        <v>4375654.0844999999</v>
      </c>
      <c r="F509" s="433">
        <v>1045768.21</v>
      </c>
      <c r="G509" s="433">
        <v>5421422.2944999998</v>
      </c>
      <c r="H509" s="433">
        <v>100474.26141219999</v>
      </c>
      <c r="I509" s="433">
        <v>24013.047301999999</v>
      </c>
      <c r="J509" s="433">
        <v>124487.3087141</v>
      </c>
    </row>
    <row r="510" spans="2:10">
      <c r="B510" t="s">
        <v>139</v>
      </c>
      <c r="C510" s="27">
        <v>44681</v>
      </c>
      <c r="D510" t="s">
        <v>278</v>
      </c>
      <c r="E510" s="433">
        <v>7712132.2308</v>
      </c>
      <c r="F510" s="433">
        <v>13898104.689999999</v>
      </c>
      <c r="G510" s="433">
        <v>21610236.9208</v>
      </c>
      <c r="H510" s="433">
        <v>202046.95391139999</v>
      </c>
      <c r="I510" s="433">
        <v>364110.68090119999</v>
      </c>
      <c r="J510" s="433">
        <v>566157.63481269998</v>
      </c>
    </row>
    <row r="511" spans="2:10">
      <c r="B511" t="s">
        <v>139</v>
      </c>
      <c r="C511" s="27">
        <v>44681</v>
      </c>
      <c r="D511" t="s">
        <v>279</v>
      </c>
      <c r="E511" s="433">
        <v>27937467.987100001</v>
      </c>
      <c r="F511" s="433">
        <v>32386493.32</v>
      </c>
      <c r="G511" s="433">
        <v>60323961.307099998</v>
      </c>
      <c r="H511" s="433">
        <v>731922.13746660005</v>
      </c>
      <c r="I511" s="433">
        <v>848480.30704740004</v>
      </c>
      <c r="J511" s="433">
        <v>1580402.4445140001</v>
      </c>
    </row>
    <row r="512" spans="2:10">
      <c r="B512" t="s">
        <v>139</v>
      </c>
      <c r="C512" s="27">
        <v>44681</v>
      </c>
      <c r="D512" t="s">
        <v>280</v>
      </c>
      <c r="E512" s="433">
        <v>-2390605.1143999998</v>
      </c>
      <c r="F512" s="433">
        <v>44992.05</v>
      </c>
      <c r="G512" s="433">
        <v>-2345613.0644</v>
      </c>
      <c r="H512" s="433">
        <v>-62630.471951799998</v>
      </c>
      <c r="I512" s="433">
        <v>1178.7280587</v>
      </c>
      <c r="J512" s="433">
        <v>-61451.7438931</v>
      </c>
    </row>
    <row r="513" spans="2:10">
      <c r="B513" t="s">
        <v>139</v>
      </c>
      <c r="C513" s="27">
        <v>44681</v>
      </c>
      <c r="D513" t="s">
        <v>281</v>
      </c>
      <c r="E513" s="433">
        <v>2067731.0917</v>
      </c>
      <c r="F513" s="433">
        <v>3435280.95</v>
      </c>
      <c r="G513" s="433">
        <v>5503012.0416999999</v>
      </c>
      <c r="H513" s="433">
        <v>54171.629334600002</v>
      </c>
      <c r="I513" s="433">
        <v>89999.500916999998</v>
      </c>
      <c r="J513" s="433">
        <v>144171.1302515</v>
      </c>
    </row>
    <row r="514" spans="2:10">
      <c r="B514" t="s">
        <v>141</v>
      </c>
      <c r="C514" s="27">
        <v>44316</v>
      </c>
      <c r="D514" t="s">
        <v>278</v>
      </c>
      <c r="E514" s="433">
        <v>2059891360.3383999</v>
      </c>
      <c r="F514" s="433">
        <v>475584214</v>
      </c>
      <c r="G514" s="433">
        <v>2535475574.3383999</v>
      </c>
      <c r="H514" s="433">
        <v>3140284.1349942</v>
      </c>
      <c r="I514" s="433">
        <v>725023.46037930006</v>
      </c>
      <c r="J514" s="433">
        <v>3865307.5953735001</v>
      </c>
    </row>
    <row r="515" spans="2:10">
      <c r="B515" t="s">
        <v>141</v>
      </c>
      <c r="C515" s="27">
        <v>44316</v>
      </c>
      <c r="D515" t="s">
        <v>279</v>
      </c>
      <c r="E515" s="433">
        <v>2705792139.3558998</v>
      </c>
      <c r="F515" s="433">
        <v>1396634990</v>
      </c>
      <c r="G515" s="433">
        <v>4102427129.3558998</v>
      </c>
      <c r="H515" s="433">
        <v>4124953.5249351999</v>
      </c>
      <c r="I515" s="433">
        <v>2129156.3166487999</v>
      </c>
      <c r="J515" s="433">
        <v>6254109.8415839998</v>
      </c>
    </row>
    <row r="516" spans="2:10">
      <c r="B516" t="s">
        <v>141</v>
      </c>
      <c r="C516" s="27">
        <v>44316</v>
      </c>
      <c r="D516" t="s">
        <v>280</v>
      </c>
      <c r="E516" s="433">
        <v>-220580386.1726</v>
      </c>
      <c r="F516" s="433">
        <v>13117521</v>
      </c>
      <c r="G516" s="433">
        <v>-207462865.1726</v>
      </c>
      <c r="H516" s="433">
        <v>-336272.63093859999</v>
      </c>
      <c r="I516" s="433">
        <v>19997.531850399999</v>
      </c>
      <c r="J516" s="433">
        <v>-316275.09908820002</v>
      </c>
    </row>
    <row r="517" spans="2:10">
      <c r="B517" t="s">
        <v>141</v>
      </c>
      <c r="C517" s="27">
        <v>44316</v>
      </c>
      <c r="D517" t="s">
        <v>281</v>
      </c>
      <c r="E517" s="433">
        <v>2607699931.1107001</v>
      </c>
      <c r="F517" s="433">
        <v>199556982</v>
      </c>
      <c r="G517" s="433">
        <v>2807256913.1107001</v>
      </c>
      <c r="H517" s="433">
        <v>3975412.9174788999</v>
      </c>
      <c r="I517" s="433">
        <v>304222.65788760001</v>
      </c>
      <c r="J517" s="433">
        <v>4279635.5753664998</v>
      </c>
    </row>
    <row r="518" spans="2:10">
      <c r="B518" t="s">
        <v>141</v>
      </c>
      <c r="C518" s="27">
        <v>44681</v>
      </c>
      <c r="D518" t="s">
        <v>278</v>
      </c>
      <c r="E518" s="433">
        <v>2250706728.5144</v>
      </c>
      <c r="F518" s="433">
        <v>548735517</v>
      </c>
      <c r="G518" s="433">
        <v>2799442245.5144</v>
      </c>
      <c r="H518" s="433">
        <v>3431180.2885165</v>
      </c>
      <c r="I518" s="433">
        <v>836541.90289909998</v>
      </c>
      <c r="J518" s="433">
        <v>4267722.1914155995</v>
      </c>
    </row>
    <row r="519" spans="2:10">
      <c r="B519" t="s">
        <v>141</v>
      </c>
      <c r="C519" s="27">
        <v>44681</v>
      </c>
      <c r="D519" t="s">
        <v>279</v>
      </c>
      <c r="E519" s="433">
        <v>2328210894.1672001</v>
      </c>
      <c r="F519" s="433">
        <v>1130422346.6199999</v>
      </c>
      <c r="G519" s="433">
        <v>3458633240.7872</v>
      </c>
      <c r="H519" s="433">
        <v>3549334.6273722001</v>
      </c>
      <c r="I519" s="433">
        <v>1723317.7580543</v>
      </c>
      <c r="J519" s="433">
        <v>5272652.3854264999</v>
      </c>
    </row>
    <row r="520" spans="2:10">
      <c r="B520" t="s">
        <v>141</v>
      </c>
      <c r="C520" s="27">
        <v>44681</v>
      </c>
      <c r="D520" t="s">
        <v>280</v>
      </c>
      <c r="E520" s="433">
        <v>-225882985.01629999</v>
      </c>
      <c r="F520" s="433">
        <v>10119888</v>
      </c>
      <c r="G520" s="433">
        <v>-215763097.01629999</v>
      </c>
      <c r="H520" s="433">
        <v>-344356.39076390001</v>
      </c>
      <c r="I520" s="433">
        <v>15427.6698015</v>
      </c>
      <c r="J520" s="433">
        <v>-328928.72096230002</v>
      </c>
    </row>
    <row r="521" spans="2:10">
      <c r="B521" t="s">
        <v>141</v>
      </c>
      <c r="C521" s="27">
        <v>44681</v>
      </c>
      <c r="D521" t="s">
        <v>281</v>
      </c>
      <c r="E521" s="433">
        <v>3266375162.9812999</v>
      </c>
      <c r="F521" s="433">
        <v>254470067.09</v>
      </c>
      <c r="G521" s="433">
        <v>3520845230.0713</v>
      </c>
      <c r="H521" s="433">
        <v>4979556.8352519004</v>
      </c>
      <c r="I521" s="433">
        <v>387937.11644210003</v>
      </c>
      <c r="J521" s="433">
        <v>5367493.9516938999</v>
      </c>
    </row>
    <row r="522" spans="2:10">
      <c r="B522" t="s">
        <v>140</v>
      </c>
      <c r="C522" s="27">
        <v>44316</v>
      </c>
      <c r="D522" t="s">
        <v>278</v>
      </c>
      <c r="E522" s="433">
        <v>309606715.10079998</v>
      </c>
      <c r="F522" s="433">
        <v>174596575</v>
      </c>
      <c r="G522" s="433">
        <v>484203290.10079998</v>
      </c>
      <c r="H522" s="433">
        <v>471992.39447220002</v>
      </c>
      <c r="I522" s="433">
        <v>266170.76271769998</v>
      </c>
      <c r="J522" s="433">
        <v>738163.15718990006</v>
      </c>
    </row>
    <row r="523" spans="2:10">
      <c r="B523" t="s">
        <v>140</v>
      </c>
      <c r="C523" s="27">
        <v>44316</v>
      </c>
      <c r="D523" t="s">
        <v>279</v>
      </c>
      <c r="E523" s="433">
        <v>639152790.71019995</v>
      </c>
      <c r="F523" s="433">
        <v>600933477</v>
      </c>
      <c r="G523" s="433">
        <v>1240086267.7102001</v>
      </c>
      <c r="H523" s="433">
        <v>974382.14808319998</v>
      </c>
      <c r="I523" s="433">
        <v>916117.17993710004</v>
      </c>
      <c r="J523" s="433">
        <v>1890499.3280203</v>
      </c>
    </row>
    <row r="524" spans="2:10">
      <c r="B524" t="s">
        <v>140</v>
      </c>
      <c r="C524" s="27">
        <v>44316</v>
      </c>
      <c r="D524" t="s">
        <v>280</v>
      </c>
      <c r="E524" s="433">
        <v>-11174395.426200001</v>
      </c>
      <c r="F524" s="433">
        <v>496362</v>
      </c>
      <c r="G524" s="433">
        <v>-10678033.426200001</v>
      </c>
      <c r="H524" s="433">
        <v>-17035.256009500001</v>
      </c>
      <c r="I524" s="433">
        <v>756.69899090000001</v>
      </c>
      <c r="J524" s="433">
        <v>-16278.5570185</v>
      </c>
    </row>
    <row r="525" spans="2:10">
      <c r="B525" t="s">
        <v>140</v>
      </c>
      <c r="C525" s="27">
        <v>44316</v>
      </c>
      <c r="D525" t="s">
        <v>281</v>
      </c>
      <c r="E525" s="433">
        <v>325578526.67519999</v>
      </c>
      <c r="F525" s="433">
        <v>63130075</v>
      </c>
      <c r="G525" s="433">
        <v>388708601.67519999</v>
      </c>
      <c r="H525" s="433">
        <v>496341.26425240003</v>
      </c>
      <c r="I525" s="433">
        <v>96241.178918699996</v>
      </c>
      <c r="J525" s="433">
        <v>592582.44317109999</v>
      </c>
    </row>
    <row r="526" spans="2:10">
      <c r="B526" t="s">
        <v>140</v>
      </c>
      <c r="C526" s="27">
        <v>44681</v>
      </c>
      <c r="D526" t="s">
        <v>278</v>
      </c>
      <c r="E526" s="433">
        <v>495482749.60949999</v>
      </c>
      <c r="F526" s="433">
        <v>287070638</v>
      </c>
      <c r="G526" s="433">
        <v>782553387.60950005</v>
      </c>
      <c r="H526" s="433">
        <v>755358.5823606</v>
      </c>
      <c r="I526" s="433">
        <v>437636.3664082</v>
      </c>
      <c r="J526" s="433">
        <v>1192994.9487687</v>
      </c>
    </row>
    <row r="527" spans="2:10">
      <c r="B527" t="s">
        <v>140</v>
      </c>
      <c r="C527" s="27">
        <v>44681</v>
      </c>
      <c r="D527" t="s">
        <v>279</v>
      </c>
      <c r="E527" s="433">
        <v>588308383.25779998</v>
      </c>
      <c r="F527" s="433">
        <v>519931880</v>
      </c>
      <c r="G527" s="433">
        <v>1108240263.2578001</v>
      </c>
      <c r="H527" s="433">
        <v>896870.34860180004</v>
      </c>
      <c r="I527" s="433">
        <v>792631.04136399995</v>
      </c>
      <c r="J527" s="433">
        <v>1689501.3899658001</v>
      </c>
    </row>
    <row r="528" spans="2:10">
      <c r="B528" t="s">
        <v>140</v>
      </c>
      <c r="C528" s="27">
        <v>44681</v>
      </c>
      <c r="D528" t="s">
        <v>280</v>
      </c>
      <c r="E528" s="433">
        <v>-9868493.4120000005</v>
      </c>
      <c r="F528" s="433">
        <v>400258</v>
      </c>
      <c r="G528" s="433">
        <v>-9468235.4120000005</v>
      </c>
      <c r="H528" s="433">
        <v>-15044.421222700001</v>
      </c>
      <c r="I528" s="433">
        <v>610.18938739999999</v>
      </c>
      <c r="J528" s="433">
        <v>-14434.231835299999</v>
      </c>
    </row>
    <row r="529" spans="2:10">
      <c r="B529" t="s">
        <v>140</v>
      </c>
      <c r="C529" s="27">
        <v>44681</v>
      </c>
      <c r="D529" t="s">
        <v>281</v>
      </c>
      <c r="E529" s="433">
        <v>365940973.24910003</v>
      </c>
      <c r="F529" s="433">
        <v>73052875</v>
      </c>
      <c r="G529" s="433">
        <v>438993848.24910003</v>
      </c>
      <c r="H529" s="433">
        <v>557873.41738730005</v>
      </c>
      <c r="I529" s="433">
        <v>111368.39000119999</v>
      </c>
      <c r="J529" s="433">
        <v>669241.80738839996</v>
      </c>
    </row>
    <row r="530" spans="2:10">
      <c r="B530" s="27" t="s">
        <v>123</v>
      </c>
      <c r="C530" s="27">
        <v>44347</v>
      </c>
      <c r="D530" s="715" t="s">
        <v>278</v>
      </c>
      <c r="E530" s="722">
        <v>476720257.34200001</v>
      </c>
      <c r="F530" s="722">
        <v>143217717.81999999</v>
      </c>
      <c r="G530" s="722">
        <v>619937975.16199994</v>
      </c>
      <c r="H530" s="722">
        <v>726755.34728949994</v>
      </c>
      <c r="I530" s="722">
        <v>218334.00332640001</v>
      </c>
      <c r="J530" s="722">
        <v>945089.35061600001</v>
      </c>
    </row>
    <row r="531" spans="2:10">
      <c r="B531" s="27" t="s">
        <v>123</v>
      </c>
      <c r="C531" s="27">
        <v>44347</v>
      </c>
      <c r="D531" s="715" t="s">
        <v>279</v>
      </c>
      <c r="E531" s="722">
        <v>394990895.71490002</v>
      </c>
      <c r="F531" s="722">
        <v>227252564.19999999</v>
      </c>
      <c r="G531" s="722">
        <v>622243459.91489995</v>
      </c>
      <c r="H531" s="722">
        <v>602159.73869459995</v>
      </c>
      <c r="I531" s="722">
        <v>346444.30076970003</v>
      </c>
      <c r="J531" s="722">
        <v>948604.03946430003</v>
      </c>
    </row>
    <row r="532" spans="2:10">
      <c r="B532" s="27" t="s">
        <v>123</v>
      </c>
      <c r="C532" s="27">
        <v>44347</v>
      </c>
      <c r="D532" s="715" t="s">
        <v>280</v>
      </c>
      <c r="E532" s="722">
        <v>7668.6072999999997</v>
      </c>
      <c r="F532" s="722">
        <v>0</v>
      </c>
      <c r="G532" s="722">
        <v>7668.6072999999997</v>
      </c>
      <c r="H532" s="722">
        <v>11.690716500000001</v>
      </c>
      <c r="I532" s="722">
        <v>0</v>
      </c>
      <c r="J532" s="722">
        <v>11.690716500000001</v>
      </c>
    </row>
    <row r="533" spans="2:10">
      <c r="B533" s="27" t="s">
        <v>123</v>
      </c>
      <c r="C533" s="27">
        <v>44347</v>
      </c>
      <c r="D533" s="715" t="s">
        <v>281</v>
      </c>
      <c r="E533" s="722">
        <v>362751807.14819998</v>
      </c>
      <c r="F533" s="722">
        <v>58676729</v>
      </c>
      <c r="G533" s="722">
        <v>421428536.14819998</v>
      </c>
      <c r="H533" s="722">
        <v>553011.56500840001</v>
      </c>
      <c r="I533" s="722">
        <v>89452.096707599994</v>
      </c>
      <c r="J533" s="722">
        <v>642463.66171589994</v>
      </c>
    </row>
    <row r="534" spans="2:10">
      <c r="B534" s="27" t="s">
        <v>123</v>
      </c>
      <c r="C534" s="27">
        <v>44712</v>
      </c>
      <c r="D534" s="715" t="s">
        <v>278</v>
      </c>
      <c r="E534" s="722">
        <v>394111749.89200002</v>
      </c>
      <c r="F534" s="722">
        <v>150617650</v>
      </c>
      <c r="G534" s="722">
        <v>544729399.89199996</v>
      </c>
      <c r="H534" s="722">
        <v>600819.4895275</v>
      </c>
      <c r="I534" s="722">
        <v>229615.12721110001</v>
      </c>
      <c r="J534" s="722">
        <v>830434.61673859996</v>
      </c>
    </row>
    <row r="535" spans="2:10">
      <c r="B535" s="27" t="s">
        <v>123</v>
      </c>
      <c r="C535" s="27">
        <v>44712</v>
      </c>
      <c r="D535" s="715" t="s">
        <v>279</v>
      </c>
      <c r="E535" s="722">
        <v>344095078.36049998</v>
      </c>
      <c r="F535" s="722">
        <v>220119504.19999999</v>
      </c>
      <c r="G535" s="722">
        <v>564214582.56050003</v>
      </c>
      <c r="H535" s="722">
        <v>524569.56532289996</v>
      </c>
      <c r="I535" s="722">
        <v>335570.02090080001</v>
      </c>
      <c r="J535" s="722">
        <v>860139.58622359997</v>
      </c>
    </row>
    <row r="536" spans="2:10">
      <c r="B536" s="27" t="s">
        <v>123</v>
      </c>
      <c r="C536" s="27">
        <v>44712</v>
      </c>
      <c r="D536" s="715" t="s">
        <v>280</v>
      </c>
      <c r="E536" s="722">
        <v>576.14760000000001</v>
      </c>
      <c r="F536" s="722">
        <v>0</v>
      </c>
      <c r="G536" s="722">
        <v>576.14760000000001</v>
      </c>
      <c r="H536" s="722">
        <v>0.87833139999999998</v>
      </c>
      <c r="I536" s="722">
        <v>0</v>
      </c>
      <c r="J536" s="722">
        <v>0.87833139999999998</v>
      </c>
    </row>
    <row r="537" spans="2:10">
      <c r="B537" s="27" t="s">
        <v>123</v>
      </c>
      <c r="C537" s="27">
        <v>44712</v>
      </c>
      <c r="D537" s="715" t="s">
        <v>281</v>
      </c>
      <c r="E537" s="722">
        <v>344699853.97180003</v>
      </c>
      <c r="F537" s="722">
        <v>74640813</v>
      </c>
      <c r="G537" s="722">
        <v>419340666.97180003</v>
      </c>
      <c r="H537" s="722">
        <v>525491.53979880002</v>
      </c>
      <c r="I537" s="722">
        <v>113789.18587650001</v>
      </c>
      <c r="J537" s="722">
        <v>639280.7256753</v>
      </c>
    </row>
    <row r="538" spans="2:10">
      <c r="B538" s="27" t="s">
        <v>124</v>
      </c>
      <c r="C538" s="27">
        <v>44347</v>
      </c>
      <c r="D538" s="715" t="s">
        <v>278</v>
      </c>
      <c r="E538" s="722">
        <v>321101783.14670002</v>
      </c>
      <c r="F538" s="722">
        <v>14075043</v>
      </c>
      <c r="G538" s="722">
        <v>335176826.14670002</v>
      </c>
      <c r="H538" s="722">
        <v>489516.51273890003</v>
      </c>
      <c r="I538" s="722">
        <v>21457.2647292</v>
      </c>
      <c r="J538" s="722">
        <v>510973.77746820002</v>
      </c>
    </row>
    <row r="539" spans="2:10">
      <c r="B539" s="27" t="s">
        <v>124</v>
      </c>
      <c r="C539" s="27">
        <v>44347</v>
      </c>
      <c r="D539" s="715" t="s">
        <v>279</v>
      </c>
      <c r="E539" s="722">
        <v>1131526433.9258001</v>
      </c>
      <c r="F539" s="722">
        <v>1108264825</v>
      </c>
      <c r="G539" s="722">
        <v>2239791258.9257998</v>
      </c>
      <c r="H539" s="722">
        <v>1725000.9283014</v>
      </c>
      <c r="I539" s="722">
        <v>1689538.8341004001</v>
      </c>
      <c r="J539" s="722">
        <v>3414539.7624018001</v>
      </c>
    </row>
    <row r="540" spans="2:10">
      <c r="B540" s="27" t="s">
        <v>124</v>
      </c>
      <c r="C540" s="27">
        <v>44347</v>
      </c>
      <c r="D540" s="715" t="s">
        <v>280</v>
      </c>
      <c r="E540" s="722">
        <v>881010.67460000003</v>
      </c>
      <c r="F540" s="722">
        <v>21779</v>
      </c>
      <c r="G540" s="722">
        <v>902789.67460000003</v>
      </c>
      <c r="H540" s="722">
        <v>1343.0921152000001</v>
      </c>
      <c r="I540" s="722">
        <v>33.201871500000003</v>
      </c>
      <c r="J540" s="722">
        <v>1376.2939865999999</v>
      </c>
    </row>
    <row r="541" spans="2:10">
      <c r="B541" s="27" t="s">
        <v>124</v>
      </c>
      <c r="C541" s="27">
        <v>44347</v>
      </c>
      <c r="D541" s="715" t="s">
        <v>281</v>
      </c>
      <c r="E541" s="722">
        <v>866596942.3326</v>
      </c>
      <c r="F541" s="722">
        <v>108567521</v>
      </c>
      <c r="G541" s="722">
        <v>975164463.3326</v>
      </c>
      <c r="H541" s="722">
        <v>1321118.5219955</v>
      </c>
      <c r="I541" s="722">
        <v>165510.11880349999</v>
      </c>
      <c r="J541" s="722">
        <v>1486628.6407989999</v>
      </c>
    </row>
    <row r="542" spans="2:10">
      <c r="B542" s="27" t="s">
        <v>124</v>
      </c>
      <c r="C542" s="27">
        <v>44712</v>
      </c>
      <c r="D542" s="715" t="s">
        <v>278</v>
      </c>
      <c r="E542" s="722">
        <v>446286578.50419998</v>
      </c>
      <c r="F542" s="722">
        <v>-84092814</v>
      </c>
      <c r="G542" s="722">
        <v>362193764.50419998</v>
      </c>
      <c r="H542" s="722">
        <v>680359.50299209997</v>
      </c>
      <c r="I542" s="722">
        <v>-128198.66851030001</v>
      </c>
      <c r="J542" s="722">
        <v>552160.83448179998</v>
      </c>
    </row>
    <row r="543" spans="2:10">
      <c r="B543" s="27" t="s">
        <v>124</v>
      </c>
      <c r="C543" s="27">
        <v>44712</v>
      </c>
      <c r="D543" s="715" t="s">
        <v>279</v>
      </c>
      <c r="E543" s="722">
        <v>1033040064.4421999</v>
      </c>
      <c r="F543" s="722">
        <v>1064543254</v>
      </c>
      <c r="G543" s="722">
        <v>2097583318.4421999</v>
      </c>
      <c r="H543" s="722">
        <v>1574859.4259108</v>
      </c>
      <c r="I543" s="722">
        <v>1622885.7287901</v>
      </c>
      <c r="J543" s="722">
        <v>3197745.1547010001</v>
      </c>
    </row>
    <row r="544" spans="2:10">
      <c r="B544" s="27" t="s">
        <v>124</v>
      </c>
      <c r="C544" s="27">
        <v>44712</v>
      </c>
      <c r="D544" s="715" t="s">
        <v>280</v>
      </c>
      <c r="E544" s="722">
        <v>35.828299999999999</v>
      </c>
      <c r="F544" s="722">
        <v>0</v>
      </c>
      <c r="G544" s="722">
        <v>35.828299999999999</v>
      </c>
      <c r="H544" s="722">
        <v>5.4619899999999999E-2</v>
      </c>
      <c r="I544" s="722">
        <v>0</v>
      </c>
      <c r="J544" s="722">
        <v>5.4619899999999999E-2</v>
      </c>
    </row>
    <row r="545" spans="2:10">
      <c r="B545" s="27" t="s">
        <v>124</v>
      </c>
      <c r="C545" s="27">
        <v>44712</v>
      </c>
      <c r="D545" s="715" t="s">
        <v>281</v>
      </c>
      <c r="E545" s="722">
        <v>808198511.61170006</v>
      </c>
      <c r="F545" s="722">
        <v>140775002</v>
      </c>
      <c r="G545" s="722">
        <v>948973513.61170006</v>
      </c>
      <c r="H545" s="722">
        <v>1232090.6882794001</v>
      </c>
      <c r="I545" s="722">
        <v>214610.10706489999</v>
      </c>
      <c r="J545" s="722">
        <v>1446700.7953444</v>
      </c>
    </row>
    <row r="546" spans="2:10">
      <c r="B546" s="27" t="s">
        <v>131</v>
      </c>
      <c r="C546" s="27">
        <v>44347</v>
      </c>
      <c r="D546" s="715" t="s">
        <v>278</v>
      </c>
      <c r="E546" s="722">
        <v>7030878211.7728996</v>
      </c>
      <c r="F546" s="722">
        <v>2790544073</v>
      </c>
      <c r="G546" s="722">
        <v>9821422284.7728996</v>
      </c>
      <c r="H546" s="722">
        <v>10718504.737007</v>
      </c>
      <c r="I546" s="722">
        <v>4254157.0148652997</v>
      </c>
      <c r="J546" s="722">
        <v>14972661.751872299</v>
      </c>
    </row>
    <row r="547" spans="2:10">
      <c r="B547" s="27" t="s">
        <v>131</v>
      </c>
      <c r="C547" s="27">
        <v>44347</v>
      </c>
      <c r="D547" s="715" t="s">
        <v>279</v>
      </c>
      <c r="E547" s="722">
        <v>8133468479.8371</v>
      </c>
      <c r="F547" s="722">
        <v>4761967976</v>
      </c>
      <c r="G547" s="722">
        <v>12895436455.837099</v>
      </c>
      <c r="H547" s="722">
        <v>12399392.764826201</v>
      </c>
      <c r="I547" s="722">
        <v>7259573.3805721998</v>
      </c>
      <c r="J547" s="722">
        <v>19658966.145398401</v>
      </c>
    </row>
    <row r="548" spans="2:10">
      <c r="B548" s="27" t="s">
        <v>131</v>
      </c>
      <c r="C548" s="27">
        <v>44347</v>
      </c>
      <c r="D548" s="715" t="s">
        <v>280</v>
      </c>
      <c r="E548" s="722">
        <v>7967791.9183</v>
      </c>
      <c r="F548" s="722">
        <v>2768335</v>
      </c>
      <c r="G548" s="722">
        <v>10736126.918299999</v>
      </c>
      <c r="H548" s="722">
        <v>12146.820475</v>
      </c>
      <c r="I548" s="722">
        <v>4220.2995013</v>
      </c>
      <c r="J548" s="722">
        <v>16367.1199763</v>
      </c>
    </row>
    <row r="549" spans="2:10">
      <c r="B549" s="27" t="s">
        <v>131</v>
      </c>
      <c r="C549" s="27">
        <v>44347</v>
      </c>
      <c r="D549" s="715" t="s">
        <v>281</v>
      </c>
      <c r="E549" s="722">
        <v>6668531708.0692997</v>
      </c>
      <c r="F549" s="722">
        <v>1078127375</v>
      </c>
      <c r="G549" s="722">
        <v>7746659083.0692997</v>
      </c>
      <c r="H549" s="722">
        <v>10166111.0531167</v>
      </c>
      <c r="I549" s="722">
        <v>1643594.587755</v>
      </c>
      <c r="J549" s="722">
        <v>11809705.6408717</v>
      </c>
    </row>
    <row r="550" spans="2:10">
      <c r="B550" s="27" t="s">
        <v>131</v>
      </c>
      <c r="C550" s="27">
        <v>44712</v>
      </c>
      <c r="D550" s="715" t="s">
        <v>278</v>
      </c>
      <c r="E550" s="722">
        <v>8021789027.8217001</v>
      </c>
      <c r="F550" s="722">
        <v>3139472311</v>
      </c>
      <c r="G550" s="722">
        <v>11159962523.821699</v>
      </c>
      <c r="H550" s="722">
        <v>12229138.5377726</v>
      </c>
      <c r="I550" s="722">
        <v>4786094.6845600996</v>
      </c>
      <c r="J550" s="722">
        <v>17013253.191629499</v>
      </c>
    </row>
    <row r="551" spans="2:10">
      <c r="B551" s="27" t="s">
        <v>131</v>
      </c>
      <c r="C551" s="27">
        <v>44712</v>
      </c>
      <c r="D551" s="715" t="s">
        <v>279</v>
      </c>
      <c r="E551" s="722">
        <v>9632353814.6576004</v>
      </c>
      <c r="F551" s="722">
        <v>5889939251</v>
      </c>
      <c r="G551" s="722">
        <v>15516916694.6576</v>
      </c>
      <c r="H551" s="722">
        <v>14684428.727275699</v>
      </c>
      <c r="I551" s="722">
        <v>8979154.5040300004</v>
      </c>
      <c r="J551" s="722">
        <v>23655387.006553199</v>
      </c>
    </row>
    <row r="552" spans="2:10">
      <c r="B552" s="27" t="s">
        <v>131</v>
      </c>
      <c r="C552" s="27">
        <v>44712</v>
      </c>
      <c r="D552" s="715" t="s">
        <v>280</v>
      </c>
      <c r="E552" s="722">
        <v>8349994.5115999999</v>
      </c>
      <c r="F552" s="722">
        <v>-226975948</v>
      </c>
      <c r="G552" s="722">
        <v>-218625953.48840001</v>
      </c>
      <c r="H552" s="722">
        <v>12729.4845723</v>
      </c>
      <c r="I552" s="722">
        <v>-346022.60209130001</v>
      </c>
      <c r="J552" s="722">
        <v>-333293.11751900002</v>
      </c>
    </row>
    <row r="553" spans="2:10">
      <c r="B553" s="27" t="s">
        <v>131</v>
      </c>
      <c r="C553" s="27">
        <v>44712</v>
      </c>
      <c r="D553" s="715" t="s">
        <v>281</v>
      </c>
      <c r="E553" s="722">
        <v>6619070036.9574003</v>
      </c>
      <c r="F553" s="722">
        <v>1250796724</v>
      </c>
      <c r="G553" s="722">
        <v>7869417010.9574003</v>
      </c>
      <c r="H553" s="722">
        <v>10090707.2215975</v>
      </c>
      <c r="I553" s="722">
        <v>1906827.3133757</v>
      </c>
      <c r="J553" s="722">
        <v>11996848.8955182</v>
      </c>
    </row>
    <row r="554" spans="2:10">
      <c r="B554" s="27" t="s">
        <v>132</v>
      </c>
      <c r="C554" s="27">
        <v>44347</v>
      </c>
      <c r="D554" s="715" t="s">
        <v>278</v>
      </c>
      <c r="E554" s="722">
        <v>2328805095.0802002</v>
      </c>
      <c r="F554" s="722">
        <v>1238058004</v>
      </c>
      <c r="G554" s="722">
        <v>3566863099.0802002</v>
      </c>
      <c r="H554" s="722">
        <v>3550240.4808244999</v>
      </c>
      <c r="I554" s="722">
        <v>1887407.2599271</v>
      </c>
      <c r="J554" s="722">
        <v>5437647.7407515999</v>
      </c>
    </row>
    <row r="555" spans="2:10">
      <c r="B555" s="27" t="s">
        <v>132</v>
      </c>
      <c r="C555" s="27">
        <v>44347</v>
      </c>
      <c r="D555" s="715" t="s">
        <v>279</v>
      </c>
      <c r="E555" s="722">
        <v>2957103435.1412001</v>
      </c>
      <c r="F555" s="722">
        <v>2682752962</v>
      </c>
      <c r="G555" s="722">
        <v>5639856397.1412001</v>
      </c>
      <c r="H555" s="722">
        <v>4508075.1255665002</v>
      </c>
      <c r="I555" s="722">
        <v>4089830.5254764999</v>
      </c>
      <c r="J555" s="722">
        <v>8597905.6510429997</v>
      </c>
    </row>
    <row r="556" spans="2:10">
      <c r="B556" s="27" t="s">
        <v>132</v>
      </c>
      <c r="C556" s="27">
        <v>44347</v>
      </c>
      <c r="D556" s="715" t="s">
        <v>280</v>
      </c>
      <c r="E556" s="722">
        <v>-74526961.755799994</v>
      </c>
      <c r="F556" s="722">
        <v>18289539</v>
      </c>
      <c r="G556" s="722">
        <v>-56237422.755800001</v>
      </c>
      <c r="H556" s="722">
        <v>-113615.62077360001</v>
      </c>
      <c r="I556" s="722">
        <v>27882.2224628</v>
      </c>
      <c r="J556" s="722">
        <v>-85733.398310899996</v>
      </c>
    </row>
    <row r="557" spans="2:10">
      <c r="B557" s="27" t="s">
        <v>132</v>
      </c>
      <c r="C557" s="27">
        <v>44347</v>
      </c>
      <c r="D557" s="715" t="s">
        <v>281</v>
      </c>
      <c r="E557" s="722">
        <v>1172159262.1471</v>
      </c>
      <c r="F557" s="722">
        <v>273006140</v>
      </c>
      <c r="G557" s="722">
        <v>1445165402.1471</v>
      </c>
      <c r="H557" s="722">
        <v>1786945.2756004999</v>
      </c>
      <c r="I557" s="722">
        <v>416195.17742780002</v>
      </c>
      <c r="J557" s="722">
        <v>2203140.4530282998</v>
      </c>
    </row>
    <row r="558" spans="2:10">
      <c r="B558" s="27" t="s">
        <v>132</v>
      </c>
      <c r="C558" s="27">
        <v>44712</v>
      </c>
      <c r="D558" s="715" t="s">
        <v>278</v>
      </c>
      <c r="E558" s="722">
        <v>2605626236.4468002</v>
      </c>
      <c r="F558" s="722">
        <v>1644604937</v>
      </c>
      <c r="G558" s="722">
        <v>4250231173.4468002</v>
      </c>
      <c r="H558" s="722">
        <v>3972251.5903432998</v>
      </c>
      <c r="I558" s="722">
        <v>2507184.0638943999</v>
      </c>
      <c r="J558" s="722">
        <v>6479435.6542376997</v>
      </c>
    </row>
    <row r="559" spans="2:10">
      <c r="B559" s="27" t="s">
        <v>132</v>
      </c>
      <c r="C559" s="27">
        <v>44712</v>
      </c>
      <c r="D559" s="715" t="s">
        <v>279</v>
      </c>
      <c r="E559" s="722">
        <v>3359437667.5441999</v>
      </c>
      <c r="F559" s="722">
        <v>1967192455</v>
      </c>
      <c r="G559" s="722">
        <v>5326630122.5441999</v>
      </c>
      <c r="H559" s="722">
        <v>5121429.7088745004</v>
      </c>
      <c r="I559" s="722">
        <v>2998965.5648159999</v>
      </c>
      <c r="J559" s="722">
        <v>8120395.2736905003</v>
      </c>
    </row>
    <row r="560" spans="2:10">
      <c r="B560" s="27" t="s">
        <v>132</v>
      </c>
      <c r="C560" s="27">
        <v>44712</v>
      </c>
      <c r="D560" s="715" t="s">
        <v>280</v>
      </c>
      <c r="E560" s="722">
        <v>-81982298.264799997</v>
      </c>
      <c r="F560" s="722">
        <v>10645522</v>
      </c>
      <c r="G560" s="722">
        <v>-71336776.264799997</v>
      </c>
      <c r="H560" s="722">
        <v>-124981.2080133</v>
      </c>
      <c r="I560" s="722">
        <v>16228.9936688</v>
      </c>
      <c r="J560" s="722">
        <v>-108752.2143445</v>
      </c>
    </row>
    <row r="561" spans="2:10">
      <c r="B561" s="27" t="s">
        <v>132</v>
      </c>
      <c r="C561" s="27">
        <v>44712</v>
      </c>
      <c r="D561" s="715" t="s">
        <v>281</v>
      </c>
      <c r="E561" s="722">
        <v>1109904445.0652001</v>
      </c>
      <c r="F561" s="722">
        <v>403230413</v>
      </c>
      <c r="G561" s="722">
        <v>1513134858.0652001</v>
      </c>
      <c r="H561" s="722">
        <v>1692038.4187761999</v>
      </c>
      <c r="I561" s="722">
        <v>614720.80182089994</v>
      </c>
      <c r="J561" s="722">
        <v>2306759.2205971</v>
      </c>
    </row>
    <row r="562" spans="2:10">
      <c r="B562" s="27" t="s">
        <v>135</v>
      </c>
      <c r="C562" s="27">
        <v>44347</v>
      </c>
      <c r="D562" s="715" t="s">
        <v>278</v>
      </c>
      <c r="E562" s="722">
        <v>541330444.1415</v>
      </c>
      <c r="F562" s="722">
        <v>361109889</v>
      </c>
      <c r="G562" s="722">
        <v>902440333.1415</v>
      </c>
      <c r="H562" s="722">
        <v>825252.94210059999</v>
      </c>
      <c r="I562" s="722">
        <v>550508.47692759999</v>
      </c>
      <c r="J562" s="722">
        <v>1375761.4190282</v>
      </c>
    </row>
    <row r="563" spans="2:10">
      <c r="B563" s="27" t="s">
        <v>135</v>
      </c>
      <c r="C563" s="27">
        <v>44347</v>
      </c>
      <c r="D563" s="715" t="s">
        <v>279</v>
      </c>
      <c r="E563" s="722">
        <v>113183748.1312</v>
      </c>
      <c r="F563" s="722">
        <v>96069079</v>
      </c>
      <c r="G563" s="722">
        <v>209252827.13119999</v>
      </c>
      <c r="H563" s="722">
        <v>172547.51169849999</v>
      </c>
      <c r="I563" s="722">
        <v>146456.36680449999</v>
      </c>
      <c r="J563" s="722">
        <v>319003.87850300001</v>
      </c>
    </row>
    <row r="564" spans="2:10">
      <c r="B564" s="27" t="s">
        <v>135</v>
      </c>
      <c r="C564" s="27">
        <v>44347</v>
      </c>
      <c r="D564" s="715" t="s">
        <v>280</v>
      </c>
      <c r="E564" s="722">
        <v>-2019769.7764000001</v>
      </c>
      <c r="F564" s="722">
        <v>553931</v>
      </c>
      <c r="G564" s="722">
        <v>-1465838.7764000001</v>
      </c>
      <c r="H564" s="722">
        <v>-3079.1191746</v>
      </c>
      <c r="I564" s="722">
        <v>844.46236569999996</v>
      </c>
      <c r="J564" s="722">
        <v>-2234.6568089000002</v>
      </c>
    </row>
    <row r="565" spans="2:10">
      <c r="B565" s="27" t="s">
        <v>135</v>
      </c>
      <c r="C565" s="27">
        <v>44347</v>
      </c>
      <c r="D565" s="715" t="s">
        <v>281</v>
      </c>
      <c r="E565" s="722">
        <v>563366236.9109</v>
      </c>
      <c r="F565" s="722">
        <v>253141476</v>
      </c>
      <c r="G565" s="722">
        <v>816507712.9109</v>
      </c>
      <c r="H565" s="722">
        <v>858846.29161800002</v>
      </c>
      <c r="I565" s="722">
        <v>385911.69238229998</v>
      </c>
      <c r="J565" s="722">
        <v>1244757.9840003001</v>
      </c>
    </row>
    <row r="566" spans="2:10">
      <c r="B566" s="27" t="s">
        <v>135</v>
      </c>
      <c r="C566" s="27">
        <v>44712</v>
      </c>
      <c r="D566" s="715" t="s">
        <v>278</v>
      </c>
      <c r="E566" s="722">
        <v>531949089.00440001</v>
      </c>
      <c r="F566" s="722">
        <v>400206506</v>
      </c>
      <c r="G566" s="722">
        <v>932155595.00440001</v>
      </c>
      <c r="H566" s="722">
        <v>810951.1583906</v>
      </c>
      <c r="I566" s="722">
        <v>610110.88531719998</v>
      </c>
      <c r="J566" s="722">
        <v>1421062.0437077</v>
      </c>
    </row>
    <row r="567" spans="2:10">
      <c r="B567" s="27" t="s">
        <v>135</v>
      </c>
      <c r="C567" s="27">
        <v>44712</v>
      </c>
      <c r="D567" s="715" t="s">
        <v>279</v>
      </c>
      <c r="E567" s="722">
        <v>129407332.7104</v>
      </c>
      <c r="F567" s="722">
        <v>124634107</v>
      </c>
      <c r="G567" s="722">
        <v>254041439.71039999</v>
      </c>
      <c r="H567" s="722">
        <v>197280.20695019999</v>
      </c>
      <c r="I567" s="722">
        <v>190003.47126409999</v>
      </c>
      <c r="J567" s="722">
        <v>387283.67821430002</v>
      </c>
    </row>
    <row r="568" spans="2:10">
      <c r="B568" s="27" t="s">
        <v>135</v>
      </c>
      <c r="C568" s="27">
        <v>44712</v>
      </c>
      <c r="D568" s="715" t="s">
        <v>280</v>
      </c>
      <c r="E568" s="722">
        <v>-944902.76470000006</v>
      </c>
      <c r="F568" s="722">
        <v>131558</v>
      </c>
      <c r="G568" s="722">
        <v>-813344.76470000006</v>
      </c>
      <c r="H568" s="722">
        <v>-1440.4949786</v>
      </c>
      <c r="I568" s="722">
        <v>200.55887809999999</v>
      </c>
      <c r="J568" s="722">
        <v>-1239.9361005000001</v>
      </c>
    </row>
    <row r="569" spans="2:10">
      <c r="B569" s="27" t="s">
        <v>135</v>
      </c>
      <c r="C569" s="27">
        <v>44712</v>
      </c>
      <c r="D569" s="715" t="s">
        <v>281</v>
      </c>
      <c r="E569" s="722">
        <v>753655068.16970003</v>
      </c>
      <c r="F569" s="722">
        <v>285712218</v>
      </c>
      <c r="G569" s="722">
        <v>1039311543.1697</v>
      </c>
      <c r="H569" s="722">
        <v>1148939.7447846001</v>
      </c>
      <c r="I569" s="722">
        <v>435565.46846820001</v>
      </c>
      <c r="J569" s="722">
        <v>1584420.2335971999</v>
      </c>
    </row>
    <row r="570" spans="2:10">
      <c r="B570" s="27" t="s">
        <v>136</v>
      </c>
      <c r="C570" s="27">
        <v>44347</v>
      </c>
      <c r="D570" s="715" t="s">
        <v>278</v>
      </c>
      <c r="E570" s="722">
        <v>-1808023.6817000001</v>
      </c>
      <c r="F570" s="722">
        <v>2346256.2599999998</v>
      </c>
      <c r="G570" s="722">
        <v>538232.57830000005</v>
      </c>
      <c r="H570" s="722">
        <v>-257303.99067850001</v>
      </c>
      <c r="I570" s="722">
        <v>333901.10149710003</v>
      </c>
      <c r="J570" s="722">
        <v>76597.110818600006</v>
      </c>
    </row>
    <row r="571" spans="2:10">
      <c r="B571" s="27" t="s">
        <v>136</v>
      </c>
      <c r="C571" s="27">
        <v>44347</v>
      </c>
      <c r="D571" s="715" t="s">
        <v>279</v>
      </c>
      <c r="E571" s="722">
        <v>1986740.9883000001</v>
      </c>
      <c r="F571" s="722">
        <v>8603176.2799999993</v>
      </c>
      <c r="G571" s="722">
        <v>10589917.268300001</v>
      </c>
      <c r="H571" s="722">
        <v>282737.65985940001</v>
      </c>
      <c r="I571" s="722">
        <v>1224337.7184494</v>
      </c>
      <c r="J571" s="722">
        <v>1507075.3783088</v>
      </c>
    </row>
    <row r="572" spans="2:10">
      <c r="B572" s="27" t="s">
        <v>136</v>
      </c>
      <c r="C572" s="27">
        <v>44347</v>
      </c>
      <c r="D572" s="715" t="s">
        <v>280</v>
      </c>
      <c r="E572" s="722">
        <v>2387.4796000000001</v>
      </c>
      <c r="F572" s="722">
        <v>12338.25</v>
      </c>
      <c r="G572" s="722">
        <v>14725.729600000001</v>
      </c>
      <c r="H572" s="722">
        <v>339.76768939999999</v>
      </c>
      <c r="I572" s="722">
        <v>1755.8846132000001</v>
      </c>
      <c r="J572" s="722">
        <v>2095.6523026</v>
      </c>
    </row>
    <row r="573" spans="2:10">
      <c r="B573" s="27" t="s">
        <v>136</v>
      </c>
      <c r="C573" s="27">
        <v>44347</v>
      </c>
      <c r="D573" s="715" t="s">
        <v>281</v>
      </c>
      <c r="E573" s="722">
        <v>815096.13950000005</v>
      </c>
      <c r="F573" s="722">
        <v>815768.62</v>
      </c>
      <c r="G573" s="722">
        <v>1630864.7594999999</v>
      </c>
      <c r="H573" s="722">
        <v>115998.1982553</v>
      </c>
      <c r="I573" s="722">
        <v>116093.9004952</v>
      </c>
      <c r="J573" s="722">
        <v>232092.09875050001</v>
      </c>
    </row>
    <row r="574" spans="2:10">
      <c r="B574" s="27" t="s">
        <v>136</v>
      </c>
      <c r="C574" s="27">
        <v>44712</v>
      </c>
      <c r="D574" s="715" t="s">
        <v>278</v>
      </c>
      <c r="E574" s="722">
        <v>-4063136.4948999998</v>
      </c>
      <c r="F574" s="722">
        <v>2355580.23</v>
      </c>
      <c r="G574" s="722">
        <v>-1707556.2649000001</v>
      </c>
      <c r="H574" s="722">
        <v>-530089.56228309998</v>
      </c>
      <c r="I574" s="722">
        <v>307316.4031311</v>
      </c>
      <c r="J574" s="722">
        <v>-222773.15915200001</v>
      </c>
    </row>
    <row r="575" spans="2:10">
      <c r="B575" s="27" t="s">
        <v>136</v>
      </c>
      <c r="C575" s="27">
        <v>44712</v>
      </c>
      <c r="D575" s="715" t="s">
        <v>279</v>
      </c>
      <c r="E575" s="722">
        <v>-562070.94440000004</v>
      </c>
      <c r="F575" s="722">
        <v>8570829.3399999999</v>
      </c>
      <c r="G575" s="722">
        <v>8008758.3956000004</v>
      </c>
      <c r="H575" s="722">
        <v>-73329.542648400005</v>
      </c>
      <c r="I575" s="722">
        <v>1118177.3437703999</v>
      </c>
      <c r="J575" s="722">
        <v>1044847.801122</v>
      </c>
    </row>
    <row r="576" spans="2:10">
      <c r="B576" s="27" t="s">
        <v>136</v>
      </c>
      <c r="C576" s="27">
        <v>44712</v>
      </c>
      <c r="D576" s="715" t="s">
        <v>280</v>
      </c>
      <c r="E576" s="722">
        <v>-13492.007</v>
      </c>
      <c r="F576" s="722">
        <v>5697.3</v>
      </c>
      <c r="G576" s="722">
        <v>-7794.7070000000003</v>
      </c>
      <c r="H576" s="722">
        <v>-1760.2096543</v>
      </c>
      <c r="I576" s="722">
        <v>743.28767119999998</v>
      </c>
      <c r="J576" s="722">
        <v>-1016.921983</v>
      </c>
    </row>
    <row r="577" spans="2:10">
      <c r="B577" s="27" t="s">
        <v>136</v>
      </c>
      <c r="C577" s="27">
        <v>44712</v>
      </c>
      <c r="D577" s="715" t="s">
        <v>281</v>
      </c>
      <c r="E577" s="722">
        <v>-168870.9137</v>
      </c>
      <c r="F577" s="722">
        <v>2658572.12</v>
      </c>
      <c r="G577" s="722">
        <v>2489701.2063000002</v>
      </c>
      <c r="H577" s="722">
        <v>-22031.4303588</v>
      </c>
      <c r="I577" s="722">
        <v>346845.67775600002</v>
      </c>
      <c r="J577" s="722">
        <v>324814.24739729997</v>
      </c>
    </row>
    <row r="578" spans="2:10">
      <c r="B578" s="27" t="s">
        <v>137</v>
      </c>
      <c r="C578" s="27">
        <v>44347</v>
      </c>
      <c r="D578" s="715" t="s">
        <v>278</v>
      </c>
      <c r="E578" s="722">
        <v>8064467524.0018997</v>
      </c>
      <c r="F578" s="722">
        <v>4899283736</v>
      </c>
      <c r="G578" s="722">
        <v>12963751260.0019</v>
      </c>
      <c r="H578" s="722">
        <v>678152.391114</v>
      </c>
      <c r="I578" s="722">
        <v>411987.64461830002</v>
      </c>
      <c r="J578" s="722">
        <v>1090140.0357323</v>
      </c>
    </row>
    <row r="579" spans="2:10">
      <c r="B579" s="27" t="s">
        <v>137</v>
      </c>
      <c r="C579" s="27">
        <v>44347</v>
      </c>
      <c r="D579" s="715" t="s">
        <v>279</v>
      </c>
      <c r="E579" s="722">
        <v>11084773872.8545</v>
      </c>
      <c r="F579" s="722">
        <v>14332071763</v>
      </c>
      <c r="G579" s="722">
        <v>25416845635.8545</v>
      </c>
      <c r="H579" s="722">
        <v>932134.19044230005</v>
      </c>
      <c r="I579" s="722">
        <v>1205204.0270195999</v>
      </c>
      <c r="J579" s="722">
        <v>2137338.2174618999</v>
      </c>
    </row>
    <row r="580" spans="2:10">
      <c r="B580" s="27" t="s">
        <v>137</v>
      </c>
      <c r="C580" s="27">
        <v>44347</v>
      </c>
      <c r="D580" s="715" t="s">
        <v>280</v>
      </c>
      <c r="E580" s="722">
        <v>71411441.106399998</v>
      </c>
      <c r="F580" s="722">
        <v>12422114</v>
      </c>
      <c r="G580" s="722">
        <v>83833555.106399998</v>
      </c>
      <c r="H580" s="722">
        <v>6005.0882957000003</v>
      </c>
      <c r="I580" s="722">
        <v>1044.5929983999999</v>
      </c>
      <c r="J580" s="722">
        <v>7049.6812940999998</v>
      </c>
    </row>
    <row r="581" spans="2:10">
      <c r="B581" s="27" t="s">
        <v>137</v>
      </c>
      <c r="C581" s="27">
        <v>44347</v>
      </c>
      <c r="D581" s="715" t="s">
        <v>281</v>
      </c>
      <c r="E581" s="722">
        <v>6742150730.9208002</v>
      </c>
      <c r="F581" s="722">
        <v>808343780</v>
      </c>
      <c r="G581" s="722">
        <v>7550494510.9208002</v>
      </c>
      <c r="H581" s="722">
        <v>566956.91635149997</v>
      </c>
      <c r="I581" s="722">
        <v>67974.762824399993</v>
      </c>
      <c r="J581" s="722">
        <v>634931.67917589995</v>
      </c>
    </row>
    <row r="582" spans="2:10">
      <c r="B582" s="27" t="s">
        <v>137</v>
      </c>
      <c r="C582" s="27">
        <v>44712</v>
      </c>
      <c r="D582" s="715" t="s">
        <v>278</v>
      </c>
      <c r="E582" s="722">
        <v>15294905756.614599</v>
      </c>
      <c r="F582" s="722">
        <v>5327497578</v>
      </c>
      <c r="G582" s="722">
        <v>20621989242.614601</v>
      </c>
      <c r="H582" s="722">
        <v>1652915.3160514</v>
      </c>
      <c r="I582" s="722">
        <v>575740.86973989999</v>
      </c>
      <c r="J582" s="722">
        <v>2228611.4350083</v>
      </c>
    </row>
    <row r="583" spans="2:10">
      <c r="B583" s="27" t="s">
        <v>137</v>
      </c>
      <c r="C583" s="27">
        <v>44712</v>
      </c>
      <c r="D583" s="715" t="s">
        <v>279</v>
      </c>
      <c r="E583" s="722">
        <v>13723387370.2159</v>
      </c>
      <c r="F583" s="722">
        <v>14132812453</v>
      </c>
      <c r="G583" s="722">
        <v>27853962135.2159</v>
      </c>
      <c r="H583" s="722">
        <v>1483081.8530887</v>
      </c>
      <c r="I583" s="722">
        <v>1527328.2839512001</v>
      </c>
      <c r="J583" s="722">
        <v>3010168.3108510999</v>
      </c>
    </row>
    <row r="584" spans="2:10">
      <c r="B584" s="27" t="s">
        <v>137</v>
      </c>
      <c r="C584" s="27">
        <v>44712</v>
      </c>
      <c r="D584" s="715" t="s">
        <v>280</v>
      </c>
      <c r="E584" s="722">
        <v>47273.805699999997</v>
      </c>
      <c r="F584" s="722">
        <v>0</v>
      </c>
      <c r="G584" s="722">
        <v>47273.805699999997</v>
      </c>
      <c r="H584" s="722">
        <v>5.1088642999999996</v>
      </c>
      <c r="I584" s="722">
        <v>0</v>
      </c>
      <c r="J584" s="722">
        <v>5.1088642999999996</v>
      </c>
    </row>
    <row r="585" spans="2:10">
      <c r="B585" s="27" t="s">
        <v>137</v>
      </c>
      <c r="C585" s="27">
        <v>44712</v>
      </c>
      <c r="D585" s="715" t="s">
        <v>281</v>
      </c>
      <c r="E585" s="722">
        <v>30143683588.9291</v>
      </c>
      <c r="F585" s="722">
        <v>1668619500</v>
      </c>
      <c r="G585" s="722">
        <v>31812251042.9291</v>
      </c>
      <c r="H585" s="722">
        <v>3257617.7375137</v>
      </c>
      <c r="I585" s="722">
        <v>180327.14762030001</v>
      </c>
      <c r="J585" s="722">
        <v>3437939.2605404002</v>
      </c>
    </row>
    <row r="586" spans="2:10">
      <c r="B586" s="27" t="s">
        <v>138</v>
      </c>
      <c r="C586" s="27">
        <v>44347</v>
      </c>
      <c r="D586" s="715" t="s">
        <v>278</v>
      </c>
      <c r="E586" s="722">
        <v>12461573229.3176</v>
      </c>
      <c r="F586" s="722">
        <v>3725624909.3600001</v>
      </c>
      <c r="G586" s="722">
        <v>16187198138.677601</v>
      </c>
      <c r="H586" s="722">
        <v>2725592.6714255</v>
      </c>
      <c r="I586" s="722">
        <v>814867.89529450005</v>
      </c>
      <c r="J586" s="722">
        <v>3540460.5667198999</v>
      </c>
    </row>
    <row r="587" spans="2:10">
      <c r="B587" s="27" t="s">
        <v>138</v>
      </c>
      <c r="C587" s="27">
        <v>44347</v>
      </c>
      <c r="D587" s="715" t="s">
        <v>279</v>
      </c>
      <c r="E587" s="722">
        <v>22402524155.103901</v>
      </c>
      <c r="F587" s="722">
        <v>10765082859.93</v>
      </c>
      <c r="G587" s="722">
        <v>33167607015.033901</v>
      </c>
      <c r="H587" s="722">
        <v>4899875.3636443997</v>
      </c>
      <c r="I587" s="722">
        <v>2354536.6552341999</v>
      </c>
      <c r="J587" s="722">
        <v>7254412.0188785996</v>
      </c>
    </row>
    <row r="588" spans="2:10">
      <c r="B588" s="27" t="s">
        <v>138</v>
      </c>
      <c r="C588" s="27">
        <v>44347</v>
      </c>
      <c r="D588" s="715" t="s">
        <v>280</v>
      </c>
      <c r="E588" s="722">
        <v>1023944.6343</v>
      </c>
      <c r="F588" s="722">
        <v>1085415.22</v>
      </c>
      <c r="G588" s="722">
        <v>2109359.8542999998</v>
      </c>
      <c r="H588" s="722">
        <v>223.95695470000001</v>
      </c>
      <c r="I588" s="722">
        <v>237.40178829999999</v>
      </c>
      <c r="J588" s="722">
        <v>461.358743</v>
      </c>
    </row>
    <row r="589" spans="2:10">
      <c r="B589" s="27" t="s">
        <v>138</v>
      </c>
      <c r="C589" s="27">
        <v>44347</v>
      </c>
      <c r="D589" s="715" t="s">
        <v>281</v>
      </c>
      <c r="E589" s="722">
        <v>3917479962.2989001</v>
      </c>
      <c r="F589" s="722">
        <v>891564992.19000006</v>
      </c>
      <c r="G589" s="722">
        <v>4809044954.4889002</v>
      </c>
      <c r="H589" s="722">
        <v>856830.39205499995</v>
      </c>
      <c r="I589" s="722">
        <v>195002.90726499999</v>
      </c>
      <c r="J589" s="722">
        <v>1051833.29932</v>
      </c>
    </row>
    <row r="590" spans="2:10">
      <c r="B590" s="27" t="s">
        <v>138</v>
      </c>
      <c r="C590" s="27">
        <v>44712</v>
      </c>
      <c r="D590" s="715" t="s">
        <v>278</v>
      </c>
      <c r="E590" s="722">
        <v>12300384816.6922</v>
      </c>
      <c r="F590" s="722">
        <v>3667717507.6199999</v>
      </c>
      <c r="G590" s="722">
        <v>15968102324.312201</v>
      </c>
      <c r="H590" s="722">
        <v>2880706.1529705999</v>
      </c>
      <c r="I590" s="722">
        <v>858966.32902259997</v>
      </c>
      <c r="J590" s="722">
        <v>3739672.4819931998</v>
      </c>
    </row>
    <row r="591" spans="2:10">
      <c r="B591" s="27" t="s">
        <v>138</v>
      </c>
      <c r="C591" s="27">
        <v>44712</v>
      </c>
      <c r="D591" s="715" t="s">
        <v>279</v>
      </c>
      <c r="E591" s="722">
        <v>26556995908.929501</v>
      </c>
      <c r="F591" s="722">
        <v>11802721868.66</v>
      </c>
      <c r="G591" s="722">
        <v>38359717777.5895</v>
      </c>
      <c r="H591" s="722">
        <v>6219553.5066066002</v>
      </c>
      <c r="I591" s="722">
        <v>2764155.2695741002</v>
      </c>
      <c r="J591" s="722">
        <v>8983708.7761806995</v>
      </c>
    </row>
    <row r="592" spans="2:10">
      <c r="B592" s="27" t="s">
        <v>138</v>
      </c>
      <c r="C592" s="27">
        <v>44712</v>
      </c>
      <c r="D592" s="715" t="s">
        <v>280</v>
      </c>
      <c r="E592" s="722">
        <v>1254444.1768</v>
      </c>
      <c r="F592" s="722">
        <v>532570.59</v>
      </c>
      <c r="G592" s="722">
        <v>1787014.7668000001</v>
      </c>
      <c r="H592" s="722">
        <v>293.78634190000002</v>
      </c>
      <c r="I592" s="722">
        <v>124.72612839999999</v>
      </c>
      <c r="J592" s="722">
        <v>418.5124702</v>
      </c>
    </row>
    <row r="593" spans="2:10">
      <c r="B593" s="27" t="s">
        <v>138</v>
      </c>
      <c r="C593" s="27">
        <v>44712</v>
      </c>
      <c r="D593" s="715" t="s">
        <v>281</v>
      </c>
      <c r="E593" s="722">
        <v>4010921454.0011001</v>
      </c>
      <c r="F593" s="722">
        <v>1065426132.45</v>
      </c>
      <c r="G593" s="722">
        <v>5076347586.4511003</v>
      </c>
      <c r="H593" s="722">
        <v>939343.46638839995</v>
      </c>
      <c r="I593" s="722">
        <v>249518.99156190001</v>
      </c>
      <c r="J593" s="722">
        <v>1188862.4579503001</v>
      </c>
    </row>
    <row r="594" spans="2:10">
      <c r="B594" s="27" t="s">
        <v>139</v>
      </c>
      <c r="C594" s="27">
        <v>44347</v>
      </c>
      <c r="D594" s="715" t="s">
        <v>278</v>
      </c>
      <c r="E594" s="722">
        <v>14077898.6613</v>
      </c>
      <c r="F594" s="722">
        <v>12660724.51</v>
      </c>
      <c r="G594" s="722">
        <v>26738623.171300001</v>
      </c>
      <c r="H594" s="722">
        <v>319589.07290119998</v>
      </c>
      <c r="I594" s="722">
        <v>287417.12849039998</v>
      </c>
      <c r="J594" s="722">
        <v>607006.20139159996</v>
      </c>
    </row>
    <row r="595" spans="2:10">
      <c r="B595" s="27" t="s">
        <v>139</v>
      </c>
      <c r="C595" s="27">
        <v>44347</v>
      </c>
      <c r="D595" s="715" t="s">
        <v>279</v>
      </c>
      <c r="E595" s="722">
        <v>31799621.521299999</v>
      </c>
      <c r="F595" s="722">
        <v>41340778.079999998</v>
      </c>
      <c r="G595" s="722">
        <v>73140399.601300001</v>
      </c>
      <c r="H595" s="722">
        <v>721898.33192509995</v>
      </c>
      <c r="I595" s="722">
        <v>938496.66469919996</v>
      </c>
      <c r="J595" s="722">
        <v>1660394.9966243</v>
      </c>
    </row>
    <row r="596" spans="2:10">
      <c r="B596" s="27" t="s">
        <v>139</v>
      </c>
      <c r="C596" s="27">
        <v>44347</v>
      </c>
      <c r="D596" s="715" t="s">
        <v>280</v>
      </c>
      <c r="E596" s="722">
        <v>-2700555.4731999999</v>
      </c>
      <c r="F596" s="722">
        <v>20547.759999999998</v>
      </c>
      <c r="G596" s="722">
        <v>-2680007.7132000001</v>
      </c>
      <c r="H596" s="722">
        <v>-61306.594170299999</v>
      </c>
      <c r="I596" s="722">
        <v>466.46447219999999</v>
      </c>
      <c r="J596" s="722">
        <v>-60840.129698099998</v>
      </c>
    </row>
    <row r="597" spans="2:10">
      <c r="B597" s="27" t="s">
        <v>139</v>
      </c>
      <c r="C597" s="27">
        <v>44347</v>
      </c>
      <c r="D597" s="715" t="s">
        <v>281</v>
      </c>
      <c r="E597" s="722">
        <v>4603668.6042999998</v>
      </c>
      <c r="F597" s="722">
        <v>1313873.93</v>
      </c>
      <c r="G597" s="722">
        <v>5917542.5343000004</v>
      </c>
      <c r="H597" s="722">
        <v>104510.07047219999</v>
      </c>
      <c r="I597" s="722">
        <v>29826.876958000001</v>
      </c>
      <c r="J597" s="722">
        <v>134336.9474302</v>
      </c>
    </row>
    <row r="598" spans="2:10">
      <c r="B598" s="27" t="s">
        <v>139</v>
      </c>
      <c r="C598" s="27">
        <v>44712</v>
      </c>
      <c r="D598" s="715" t="s">
        <v>278</v>
      </c>
      <c r="E598" s="722">
        <v>9672562.7821999993</v>
      </c>
      <c r="F598" s="722">
        <v>16211454.51</v>
      </c>
      <c r="G598" s="722">
        <v>25884017.292199999</v>
      </c>
      <c r="H598" s="722">
        <v>246623.22239159999</v>
      </c>
      <c r="I598" s="722">
        <v>413346.62187660002</v>
      </c>
      <c r="J598" s="722">
        <v>659969.84426819999</v>
      </c>
    </row>
    <row r="599" spans="2:10">
      <c r="B599" s="27" t="s">
        <v>139</v>
      </c>
      <c r="C599" s="27">
        <v>44712</v>
      </c>
      <c r="D599" s="715" t="s">
        <v>279</v>
      </c>
      <c r="E599" s="722">
        <v>35000048.273199998</v>
      </c>
      <c r="F599" s="722">
        <v>38140085.200000003</v>
      </c>
      <c r="G599" s="722">
        <v>73140133.473199993</v>
      </c>
      <c r="H599" s="722">
        <v>892403.06662930001</v>
      </c>
      <c r="I599" s="722">
        <v>972465.2014278</v>
      </c>
      <c r="J599" s="722">
        <v>1864868.2680571</v>
      </c>
    </row>
    <row r="600" spans="2:10">
      <c r="B600" s="27" t="s">
        <v>139</v>
      </c>
      <c r="C600" s="27">
        <v>44712</v>
      </c>
      <c r="D600" s="715" t="s">
        <v>280</v>
      </c>
      <c r="E600" s="722">
        <v>-2934193.3566999999</v>
      </c>
      <c r="F600" s="722">
        <v>39001.760000000002</v>
      </c>
      <c r="G600" s="722">
        <v>-2895191.5967000001</v>
      </c>
      <c r="H600" s="722">
        <v>-74813.701088700007</v>
      </c>
      <c r="I600" s="722">
        <v>994.43549210000003</v>
      </c>
      <c r="J600" s="722">
        <v>-73819.265596600002</v>
      </c>
    </row>
    <row r="601" spans="2:10">
      <c r="B601" s="27" t="s">
        <v>139</v>
      </c>
      <c r="C601" s="27">
        <v>44712</v>
      </c>
      <c r="D601" s="715" t="s">
        <v>281</v>
      </c>
      <c r="E601" s="722">
        <v>442573.45299999998</v>
      </c>
      <c r="F601" s="722">
        <v>4283711.9800000004</v>
      </c>
      <c r="G601" s="722">
        <v>4726285.4330000002</v>
      </c>
      <c r="H601" s="722">
        <v>11284.3817695</v>
      </c>
      <c r="I601" s="722">
        <v>109222.6409995</v>
      </c>
      <c r="J601" s="722">
        <v>120507.022769</v>
      </c>
    </row>
    <row r="602" spans="2:10">
      <c r="B602" s="27" t="s">
        <v>141</v>
      </c>
      <c r="C602" s="27">
        <v>44347</v>
      </c>
      <c r="D602" s="715" t="s">
        <v>278</v>
      </c>
      <c r="E602" s="722">
        <v>2577008430.6655002</v>
      </c>
      <c r="F602" s="722">
        <v>587767089</v>
      </c>
      <c r="G602" s="722">
        <v>3164775519.6655002</v>
      </c>
      <c r="H602" s="722">
        <v>3928624.0266748001</v>
      </c>
      <c r="I602" s="722">
        <v>896045.15082540002</v>
      </c>
      <c r="J602" s="722">
        <v>4824669.1775002005</v>
      </c>
    </row>
    <row r="603" spans="2:10">
      <c r="B603" s="27" t="s">
        <v>141</v>
      </c>
      <c r="C603" s="27">
        <v>44347</v>
      </c>
      <c r="D603" s="715" t="s">
        <v>279</v>
      </c>
      <c r="E603" s="722">
        <v>3407300659.4291</v>
      </c>
      <c r="F603" s="722">
        <v>1709299194</v>
      </c>
      <c r="G603" s="722">
        <v>5116599853.4291</v>
      </c>
      <c r="H603" s="722">
        <v>5194396.3696234999</v>
      </c>
      <c r="I603" s="722">
        <v>2605809.8229</v>
      </c>
      <c r="J603" s="722">
        <v>7800206.1925234003</v>
      </c>
    </row>
    <row r="604" spans="2:10">
      <c r="B604" s="27" t="s">
        <v>141</v>
      </c>
      <c r="C604" s="27">
        <v>44347</v>
      </c>
      <c r="D604" s="715" t="s">
        <v>280</v>
      </c>
      <c r="E604" s="722">
        <v>-278209033.85689998</v>
      </c>
      <c r="F604" s="722">
        <v>16406599</v>
      </c>
      <c r="G604" s="722">
        <v>-261802434.85690001</v>
      </c>
      <c r="H604" s="722">
        <v>-424126.93798049999</v>
      </c>
      <c r="I604" s="722">
        <v>25011.698937599998</v>
      </c>
      <c r="J604" s="722">
        <v>-399115.23904299998</v>
      </c>
    </row>
    <row r="605" spans="2:10">
      <c r="B605" s="27" t="s">
        <v>141</v>
      </c>
      <c r="C605" s="27">
        <v>44347</v>
      </c>
      <c r="D605" s="715" t="s">
        <v>281</v>
      </c>
      <c r="E605" s="722">
        <v>3239347768.3481998</v>
      </c>
      <c r="F605" s="722">
        <v>245614896</v>
      </c>
      <c r="G605" s="722">
        <v>3484962664.3481998</v>
      </c>
      <c r="H605" s="722">
        <v>4938353.8377488004</v>
      </c>
      <c r="I605" s="722">
        <v>374437.49514070002</v>
      </c>
      <c r="J605" s="722">
        <v>5312791.3328895001</v>
      </c>
    </row>
    <row r="606" spans="2:10">
      <c r="B606" s="27" t="s">
        <v>141</v>
      </c>
      <c r="C606" s="27">
        <v>44712</v>
      </c>
      <c r="D606" s="715" t="s">
        <v>278</v>
      </c>
      <c r="E606" s="722">
        <v>2816732468.5959001</v>
      </c>
      <c r="F606" s="722">
        <v>674930838</v>
      </c>
      <c r="G606" s="722">
        <v>3491663306.5959001</v>
      </c>
      <c r="H606" s="722">
        <v>4294080.9665815001</v>
      </c>
      <c r="I606" s="722">
        <v>1028925.4295632</v>
      </c>
      <c r="J606" s="722">
        <v>5323006.3961447002</v>
      </c>
    </row>
    <row r="607" spans="2:10">
      <c r="B607" s="27" t="s">
        <v>141</v>
      </c>
      <c r="C607" s="27">
        <v>44712</v>
      </c>
      <c r="D607" s="715" t="s">
        <v>279</v>
      </c>
      <c r="E607" s="722">
        <v>2931501851.0700998</v>
      </c>
      <c r="F607" s="722">
        <v>1385668973.6199999</v>
      </c>
      <c r="G607" s="722">
        <v>4317170824.6900997</v>
      </c>
      <c r="H607" s="722">
        <v>4469045.7622528998</v>
      </c>
      <c r="I607" s="722">
        <v>2112438.7324474002</v>
      </c>
      <c r="J607" s="722">
        <v>6581484.4947002996</v>
      </c>
    </row>
    <row r="608" spans="2:10">
      <c r="B608" s="27" t="s">
        <v>141</v>
      </c>
      <c r="C608" s="27">
        <v>44712</v>
      </c>
      <c r="D608" s="715" t="s">
        <v>280</v>
      </c>
      <c r="E608" s="722">
        <v>-282643035.46609998</v>
      </c>
      <c r="F608" s="722">
        <v>12642206</v>
      </c>
      <c r="G608" s="722">
        <v>-270000829.46609998</v>
      </c>
      <c r="H608" s="722">
        <v>-430886.5298581</v>
      </c>
      <c r="I608" s="722">
        <v>19272.918804100002</v>
      </c>
      <c r="J608" s="722">
        <v>-411613.61105389998</v>
      </c>
    </row>
    <row r="609" spans="2:10">
      <c r="B609" s="27" t="s">
        <v>141</v>
      </c>
      <c r="C609" s="27">
        <v>44712</v>
      </c>
      <c r="D609" s="715" t="s">
        <v>281</v>
      </c>
      <c r="E609" s="722">
        <v>3768412385.0202999</v>
      </c>
      <c r="F609" s="722">
        <v>308858716.08999997</v>
      </c>
      <c r="G609" s="722">
        <v>4077271101.1103001</v>
      </c>
      <c r="H609" s="722">
        <v>5744907.6464163</v>
      </c>
      <c r="I609" s="722">
        <v>470852.07733130001</v>
      </c>
      <c r="J609" s="722">
        <v>6215759.7237475999</v>
      </c>
    </row>
    <row r="610" spans="2:10">
      <c r="B610" s="27" t="s">
        <v>140</v>
      </c>
      <c r="C610" s="27">
        <v>44347</v>
      </c>
      <c r="D610" s="715" t="s">
        <v>278</v>
      </c>
      <c r="E610" s="722">
        <v>395620539.01419997</v>
      </c>
      <c r="F610" s="722">
        <v>225817385</v>
      </c>
      <c r="G610" s="722">
        <v>621437924.01419997</v>
      </c>
      <c r="H610" s="722">
        <v>603119.62371650001</v>
      </c>
      <c r="I610" s="722">
        <v>344256.38418370002</v>
      </c>
      <c r="J610" s="722">
        <v>947376.00790019997</v>
      </c>
    </row>
    <row r="611" spans="2:10">
      <c r="B611" s="27" t="s">
        <v>140</v>
      </c>
      <c r="C611" s="27">
        <v>44347</v>
      </c>
      <c r="D611" s="715" t="s">
        <v>279</v>
      </c>
      <c r="E611" s="722">
        <v>799039004.98000002</v>
      </c>
      <c r="F611" s="722">
        <v>775816318</v>
      </c>
      <c r="G611" s="722">
        <v>1574855322.98</v>
      </c>
      <c r="H611" s="722">
        <v>1218127.1104355999</v>
      </c>
      <c r="I611" s="722">
        <v>1182724.3523585</v>
      </c>
      <c r="J611" s="722">
        <v>2400851.4627940999</v>
      </c>
    </row>
    <row r="612" spans="2:10">
      <c r="B612" s="27" t="s">
        <v>140</v>
      </c>
      <c r="C612" s="27">
        <v>44347</v>
      </c>
      <c r="D612" s="715" t="s">
        <v>280</v>
      </c>
      <c r="E612" s="722">
        <v>-13972852.8872</v>
      </c>
      <c r="F612" s="722">
        <v>626410</v>
      </c>
      <c r="G612" s="722">
        <v>-13346442.8872</v>
      </c>
      <c r="H612" s="722">
        <v>-21301.476906600001</v>
      </c>
      <c r="I612" s="722">
        <v>954.95588889999999</v>
      </c>
      <c r="J612" s="722">
        <v>-20346.521017700001</v>
      </c>
    </row>
    <row r="613" spans="2:10">
      <c r="B613" s="27" t="s">
        <v>140</v>
      </c>
      <c r="C613" s="27">
        <v>44347</v>
      </c>
      <c r="D613" s="715" t="s">
        <v>281</v>
      </c>
      <c r="E613" s="722">
        <v>406891893.72180003</v>
      </c>
      <c r="F613" s="722">
        <v>75767871</v>
      </c>
      <c r="G613" s="722">
        <v>482659764.72180003</v>
      </c>
      <c r="H613" s="722">
        <v>620302.69319759996</v>
      </c>
      <c r="I613" s="722">
        <v>115507.3747212</v>
      </c>
      <c r="J613" s="722">
        <v>735810.06791880005</v>
      </c>
    </row>
    <row r="614" spans="2:10">
      <c r="B614" s="27" t="s">
        <v>140</v>
      </c>
      <c r="C614" s="27">
        <v>44712</v>
      </c>
      <c r="D614" s="715" t="s">
        <v>278</v>
      </c>
      <c r="E614" s="722">
        <v>631969682.90149999</v>
      </c>
      <c r="F614" s="722">
        <v>367074411</v>
      </c>
      <c r="G614" s="722">
        <v>999044093.90149999</v>
      </c>
      <c r="H614" s="722">
        <v>963431.57082170004</v>
      </c>
      <c r="I614" s="722">
        <v>559601.3320995</v>
      </c>
      <c r="J614" s="722">
        <v>1523032.9029212</v>
      </c>
    </row>
    <row r="615" spans="2:10">
      <c r="B615" s="27" t="s">
        <v>140</v>
      </c>
      <c r="C615" s="27">
        <v>44712</v>
      </c>
      <c r="D615" s="715" t="s">
        <v>279</v>
      </c>
      <c r="E615" s="722">
        <v>735810039.35599995</v>
      </c>
      <c r="F615" s="722">
        <v>662157570</v>
      </c>
      <c r="G615" s="722">
        <v>1397967609.3559999</v>
      </c>
      <c r="H615" s="722">
        <v>1121735.1737323999</v>
      </c>
      <c r="I615" s="722">
        <v>1009452.7080281</v>
      </c>
      <c r="J615" s="722">
        <v>2131187.8817604999</v>
      </c>
    </row>
    <row r="616" spans="2:10">
      <c r="B616" s="27" t="s">
        <v>140</v>
      </c>
      <c r="C616" s="27">
        <v>44712</v>
      </c>
      <c r="D616" s="715" t="s">
        <v>280</v>
      </c>
      <c r="E616" s="722">
        <v>-12425594.1884</v>
      </c>
      <c r="F616" s="722">
        <v>835839</v>
      </c>
      <c r="G616" s="722">
        <v>-11589755.1884</v>
      </c>
      <c r="H616" s="722">
        <v>-18942.696226100001</v>
      </c>
      <c r="I616" s="722">
        <v>1274.2283411999999</v>
      </c>
      <c r="J616" s="722">
        <v>-17668.467884900001</v>
      </c>
    </row>
    <row r="617" spans="2:10">
      <c r="B617" s="27" t="s">
        <v>140</v>
      </c>
      <c r="C617" s="27">
        <v>44712</v>
      </c>
      <c r="D617" s="715" t="s">
        <v>281</v>
      </c>
      <c r="E617" s="722">
        <v>446728510.1408</v>
      </c>
      <c r="F617" s="722">
        <v>93495914</v>
      </c>
      <c r="G617" s="722">
        <v>540224424.1408</v>
      </c>
      <c r="H617" s="722">
        <v>681033.22342900001</v>
      </c>
      <c r="I617" s="722">
        <v>142533.60205009999</v>
      </c>
      <c r="J617" s="722">
        <v>823566.82547909999</v>
      </c>
    </row>
    <row r="618" spans="2:10">
      <c r="B618" s="748" t="s">
        <v>123</v>
      </c>
      <c r="C618" s="748" t="s">
        <v>469</v>
      </c>
      <c r="D618" s="748" t="s">
        <v>278</v>
      </c>
      <c r="E618" s="722">
        <v>568151448.85780001</v>
      </c>
      <c r="F618" s="722">
        <v>167828118.81999999</v>
      </c>
      <c r="G618" s="722">
        <v>735979567.67780006</v>
      </c>
      <c r="H618" s="722">
        <v>866141.30020379997</v>
      </c>
      <c r="I618" s="722">
        <v>255852.31778909999</v>
      </c>
      <c r="J618" s="722">
        <v>1121993.6179929001</v>
      </c>
    </row>
    <row r="619" spans="2:10">
      <c r="B619" s="748" t="s">
        <v>123</v>
      </c>
      <c r="C619" s="748" t="s">
        <v>469</v>
      </c>
      <c r="D619" s="748" t="s">
        <v>279</v>
      </c>
      <c r="E619" s="722">
        <v>472302605.73680001</v>
      </c>
      <c r="F619" s="722">
        <v>277331522.83999997</v>
      </c>
      <c r="G619" s="722">
        <v>749634128.57679999</v>
      </c>
      <c r="H619" s="722">
        <v>720020.68083239999</v>
      </c>
      <c r="I619" s="722">
        <v>422789.18105910002</v>
      </c>
      <c r="J619" s="722">
        <v>1142809.8618916001</v>
      </c>
    </row>
    <row r="620" spans="2:10">
      <c r="B620" s="748" t="s">
        <v>123</v>
      </c>
      <c r="C620" s="748" t="s">
        <v>469</v>
      </c>
      <c r="D620" s="748" t="s">
        <v>280</v>
      </c>
      <c r="E620" s="722">
        <v>13936.9671</v>
      </c>
      <c r="F620" s="722">
        <v>2000</v>
      </c>
      <c r="G620" s="722">
        <v>15936.9671</v>
      </c>
      <c r="H620" s="722">
        <v>21.246769400000002</v>
      </c>
      <c r="I620" s="722">
        <v>3.0489803000000002</v>
      </c>
      <c r="J620" s="722">
        <v>24.295749699999998</v>
      </c>
    </row>
    <row r="621" spans="2:10">
      <c r="B621" s="748" t="s">
        <v>123</v>
      </c>
      <c r="C621" s="748" t="s">
        <v>469</v>
      </c>
      <c r="D621" s="748" t="s">
        <v>281</v>
      </c>
      <c r="E621" s="722">
        <v>434682832.0467</v>
      </c>
      <c r="F621" s="722">
        <v>72377228</v>
      </c>
      <c r="G621" s="722">
        <v>507060060.0467</v>
      </c>
      <c r="H621" s="722">
        <v>662669.70555489999</v>
      </c>
      <c r="I621" s="722">
        <v>110338.37278970001</v>
      </c>
      <c r="J621" s="722">
        <v>773008.07834460004</v>
      </c>
    </row>
    <row r="622" spans="2:10">
      <c r="B622" s="748" t="s">
        <v>123</v>
      </c>
      <c r="C622" s="748" t="s">
        <v>470</v>
      </c>
      <c r="D622" s="748" t="s">
        <v>278</v>
      </c>
      <c r="E622" s="722">
        <v>456752499.9508</v>
      </c>
      <c r="F622" s="722">
        <v>182285335</v>
      </c>
      <c r="G622" s="722">
        <v>639037834.95079994</v>
      </c>
      <c r="H622" s="722">
        <v>696314.69738230004</v>
      </c>
      <c r="I622" s="722">
        <v>277892.20177540003</v>
      </c>
      <c r="J622" s="722">
        <v>974206.89915770001</v>
      </c>
    </row>
    <row r="623" spans="2:10">
      <c r="B623" s="748" t="s">
        <v>123</v>
      </c>
      <c r="C623" s="748" t="s">
        <v>470</v>
      </c>
      <c r="D623" s="748" t="s">
        <v>279</v>
      </c>
      <c r="E623" s="722">
        <v>409771040.05110002</v>
      </c>
      <c r="F623" s="722">
        <v>261912817.84</v>
      </c>
      <c r="G623" s="722">
        <v>671683857.89110005</v>
      </c>
      <c r="H623" s="722">
        <v>624691.92348140001</v>
      </c>
      <c r="I623" s="722">
        <v>399283.51681589999</v>
      </c>
      <c r="J623" s="722">
        <v>1023975.4402973</v>
      </c>
    </row>
    <row r="624" spans="2:10">
      <c r="B624" s="748" t="s">
        <v>123</v>
      </c>
      <c r="C624" s="748" t="s">
        <v>470</v>
      </c>
      <c r="D624" s="748" t="s">
        <v>280</v>
      </c>
      <c r="E624" s="722">
        <v>46802930.319499999</v>
      </c>
      <c r="F624" s="722">
        <v>7231970</v>
      </c>
      <c r="G624" s="722">
        <v>54034900.319499999</v>
      </c>
      <c r="H624" s="722">
        <v>71350.607310399995</v>
      </c>
      <c r="I624" s="722">
        <v>11025.0671919</v>
      </c>
      <c r="J624" s="722">
        <v>82375.674502299997</v>
      </c>
    </row>
    <row r="625" spans="2:10">
      <c r="B625" s="748" t="s">
        <v>123</v>
      </c>
      <c r="C625" s="748" t="s">
        <v>470</v>
      </c>
      <c r="D625" s="748" t="s">
        <v>281</v>
      </c>
      <c r="E625" s="722">
        <v>366347477.51410002</v>
      </c>
      <c r="F625" s="722">
        <v>92323648</v>
      </c>
      <c r="G625" s="722">
        <v>458671125.51410002</v>
      </c>
      <c r="H625" s="722">
        <v>558493.12914430001</v>
      </c>
      <c r="I625" s="722">
        <v>140746.49405370001</v>
      </c>
      <c r="J625" s="722">
        <v>699239.62319800002</v>
      </c>
    </row>
    <row r="626" spans="2:10">
      <c r="B626" s="748" t="s">
        <v>124</v>
      </c>
      <c r="C626" s="748" t="s">
        <v>469</v>
      </c>
      <c r="D626" s="748" t="s">
        <v>278</v>
      </c>
      <c r="E626" s="722">
        <v>389866189.8337</v>
      </c>
      <c r="F626" s="722">
        <v>25279888</v>
      </c>
      <c r="G626" s="722">
        <v>415146077.8337</v>
      </c>
      <c r="H626" s="722">
        <v>594347.17494239996</v>
      </c>
      <c r="I626" s="722">
        <v>38538.940814699999</v>
      </c>
      <c r="J626" s="722">
        <v>632886.11575710005</v>
      </c>
    </row>
    <row r="627" spans="2:10">
      <c r="B627" s="748" t="s">
        <v>124</v>
      </c>
      <c r="C627" s="748" t="s">
        <v>469</v>
      </c>
      <c r="D627" s="748" t="s">
        <v>279</v>
      </c>
      <c r="E627" s="722">
        <v>1359872693.2265999</v>
      </c>
      <c r="F627" s="722">
        <v>1329438539</v>
      </c>
      <c r="G627" s="722">
        <v>2689311232.2266002</v>
      </c>
      <c r="H627" s="722">
        <v>2073112.5565039001</v>
      </c>
      <c r="I627" s="722">
        <v>2026715.9874809</v>
      </c>
      <c r="J627" s="722">
        <v>4099828.5439847</v>
      </c>
    </row>
    <row r="628" spans="2:10">
      <c r="B628" s="748" t="s">
        <v>124</v>
      </c>
      <c r="C628" s="748" t="s">
        <v>469</v>
      </c>
      <c r="D628" s="748" t="s">
        <v>280</v>
      </c>
      <c r="E628" s="722">
        <v>1043446.198</v>
      </c>
      <c r="F628" s="722">
        <v>12000</v>
      </c>
      <c r="G628" s="722">
        <v>1055446.1980000001</v>
      </c>
      <c r="H628" s="722">
        <v>1590.7234742999999</v>
      </c>
      <c r="I628" s="722">
        <v>18.293882100000001</v>
      </c>
      <c r="J628" s="722">
        <v>1609.0173563000001</v>
      </c>
    </row>
    <row r="629" spans="2:10">
      <c r="B629" s="748" t="s">
        <v>124</v>
      </c>
      <c r="C629" s="748" t="s">
        <v>469</v>
      </c>
      <c r="D629" s="748" t="s">
        <v>281</v>
      </c>
      <c r="E629" s="722">
        <v>1046775707.9033</v>
      </c>
      <c r="F629" s="722">
        <v>133297619</v>
      </c>
      <c r="G629" s="722">
        <v>1180073326.9033</v>
      </c>
      <c r="H629" s="722">
        <v>1595799.2793785001</v>
      </c>
      <c r="I629" s="722">
        <v>203210.91016639999</v>
      </c>
      <c r="J629" s="722">
        <v>1799010.1895449001</v>
      </c>
    </row>
    <row r="630" spans="2:10">
      <c r="B630" s="748" t="s">
        <v>124</v>
      </c>
      <c r="C630" s="748" t="s">
        <v>470</v>
      </c>
      <c r="D630" s="748" t="s">
        <v>278</v>
      </c>
      <c r="E630" s="722">
        <v>545563539.69389999</v>
      </c>
      <c r="F630" s="722">
        <v>-82963042</v>
      </c>
      <c r="G630" s="722">
        <v>462600497.69389999</v>
      </c>
      <c r="H630" s="722">
        <v>831706.25466900005</v>
      </c>
      <c r="I630" s="722">
        <v>-126476.34219929999</v>
      </c>
      <c r="J630" s="722">
        <v>705229.91246969998</v>
      </c>
    </row>
    <row r="631" spans="2:10">
      <c r="B631" s="748" t="s">
        <v>124</v>
      </c>
      <c r="C631" s="748" t="s">
        <v>470</v>
      </c>
      <c r="D631" s="748" t="s">
        <v>279</v>
      </c>
      <c r="E631" s="722">
        <v>1263575430.3952</v>
      </c>
      <c r="F631" s="722">
        <v>1259064342</v>
      </c>
      <c r="G631" s="722">
        <v>2522639772.3951998</v>
      </c>
      <c r="H631" s="722">
        <v>1926308.3256909</v>
      </c>
      <c r="I631" s="722">
        <v>1919431.2157657</v>
      </c>
      <c r="J631" s="722">
        <v>3845739.5414565001</v>
      </c>
    </row>
    <row r="632" spans="2:10">
      <c r="B632" s="748" t="s">
        <v>124</v>
      </c>
      <c r="C632" s="748" t="s">
        <v>470</v>
      </c>
      <c r="D632" s="748" t="s">
        <v>280</v>
      </c>
      <c r="E632" s="722">
        <v>35.828299999999999</v>
      </c>
      <c r="F632" s="722">
        <v>0</v>
      </c>
      <c r="G632" s="722">
        <v>35.828299999999999</v>
      </c>
      <c r="H632" s="722">
        <v>5.4619899999999999E-2</v>
      </c>
      <c r="I632" s="722">
        <v>0</v>
      </c>
      <c r="J632" s="722">
        <v>5.4619899999999999E-2</v>
      </c>
    </row>
    <row r="633" spans="2:10">
      <c r="B633" s="748" t="s">
        <v>124</v>
      </c>
      <c r="C633" s="748" t="s">
        <v>470</v>
      </c>
      <c r="D633" s="748" t="s">
        <v>281</v>
      </c>
      <c r="E633" s="722">
        <v>982007156.23619998</v>
      </c>
      <c r="F633" s="722">
        <v>171793391</v>
      </c>
      <c r="G633" s="722">
        <v>1153800547.2362001</v>
      </c>
      <c r="H633" s="722">
        <v>1497060.2588831</v>
      </c>
      <c r="I633" s="722">
        <v>261897.3362583</v>
      </c>
      <c r="J633" s="722">
        <v>1758957.5951413999</v>
      </c>
    </row>
    <row r="634" spans="2:10">
      <c r="B634" s="748" t="s">
        <v>131</v>
      </c>
      <c r="C634" s="748" t="s">
        <v>469</v>
      </c>
      <c r="D634" s="748" t="s">
        <v>278</v>
      </c>
      <c r="E634" s="722">
        <v>8452402549.2817001</v>
      </c>
      <c r="F634" s="722">
        <v>3380221698</v>
      </c>
      <c r="G634" s="722">
        <v>11832624247.2817</v>
      </c>
      <c r="H634" s="722">
        <v>12885604.619329801</v>
      </c>
      <c r="I634" s="722">
        <v>5153114.7590466999</v>
      </c>
      <c r="J634" s="722">
        <v>18038719.378376499</v>
      </c>
    </row>
    <row r="635" spans="2:10">
      <c r="B635" s="748" t="s">
        <v>131</v>
      </c>
      <c r="C635" s="748" t="s">
        <v>469</v>
      </c>
      <c r="D635" s="748" t="s">
        <v>279</v>
      </c>
      <c r="E635" s="722">
        <v>9865319916.8735008</v>
      </c>
      <c r="F635" s="722">
        <v>5786835022</v>
      </c>
      <c r="G635" s="722">
        <v>15652154938.873501</v>
      </c>
      <c r="H635" s="722">
        <v>15039583.2606002</v>
      </c>
      <c r="I635" s="722">
        <v>8821973.1201892998</v>
      </c>
      <c r="J635" s="722">
        <v>23861556.380789399</v>
      </c>
    </row>
    <row r="636" spans="2:10">
      <c r="B636" s="748" t="s">
        <v>131</v>
      </c>
      <c r="C636" s="748" t="s">
        <v>469</v>
      </c>
      <c r="D636" s="748" t="s">
        <v>280</v>
      </c>
      <c r="E636" s="722">
        <v>9527413.2704000007</v>
      </c>
      <c r="F636" s="722">
        <v>30976065</v>
      </c>
      <c r="G636" s="722">
        <v>40503478.270400003</v>
      </c>
      <c r="H636" s="722">
        <v>14524.4478989</v>
      </c>
      <c r="I636" s="722">
        <v>47222.706671300002</v>
      </c>
      <c r="J636" s="722">
        <v>61747.1545702</v>
      </c>
    </row>
    <row r="637" spans="2:10">
      <c r="B637" s="748" t="s">
        <v>131</v>
      </c>
      <c r="C637" s="748" t="s">
        <v>469</v>
      </c>
      <c r="D637" s="748" t="s">
        <v>281</v>
      </c>
      <c r="E637" s="722">
        <v>7999935936.2419996</v>
      </c>
      <c r="F637" s="722">
        <v>1300193443</v>
      </c>
      <c r="G637" s="722">
        <v>9300129379.2420006</v>
      </c>
      <c r="H637" s="722">
        <v>12195823.714423399</v>
      </c>
      <c r="I637" s="722">
        <v>1982132.1260387001</v>
      </c>
      <c r="J637" s="722">
        <v>14177955.8404621</v>
      </c>
    </row>
    <row r="638" spans="2:10">
      <c r="B638" s="748" t="s">
        <v>131</v>
      </c>
      <c r="C638" s="748" t="s">
        <v>470</v>
      </c>
      <c r="D638" s="748" t="s">
        <v>278</v>
      </c>
      <c r="E638" s="722">
        <v>9774701670.8111992</v>
      </c>
      <c r="F638" s="722">
        <v>3787152224</v>
      </c>
      <c r="G638" s="722">
        <v>13559970918.811199</v>
      </c>
      <c r="H638" s="722">
        <v>14901436.635040401</v>
      </c>
      <c r="I638" s="722">
        <v>5773476.3467726996</v>
      </c>
      <c r="J638" s="722">
        <v>20672042.4034063</v>
      </c>
    </row>
    <row r="639" spans="2:10">
      <c r="B639" s="748" t="s">
        <v>131</v>
      </c>
      <c r="C639" s="748" t="s">
        <v>470</v>
      </c>
      <c r="D639" s="748" t="s">
        <v>279</v>
      </c>
      <c r="E639" s="722">
        <v>11699587493.543501</v>
      </c>
      <c r="F639" s="722">
        <v>7128024079</v>
      </c>
      <c r="G639" s="722">
        <v>18819739246.543499</v>
      </c>
      <c r="H639" s="722">
        <v>17835906.154738002</v>
      </c>
      <c r="I639" s="722">
        <v>10866602.6568815</v>
      </c>
      <c r="J639" s="722">
        <v>28690507.527998801</v>
      </c>
    </row>
    <row r="640" spans="2:10">
      <c r="B640" s="748" t="s">
        <v>131</v>
      </c>
      <c r="C640" s="748" t="s">
        <v>470</v>
      </c>
      <c r="D640" s="748" t="s">
        <v>280</v>
      </c>
      <c r="E640" s="722">
        <v>11857053.376800001</v>
      </c>
      <c r="F640" s="722">
        <v>-73322992</v>
      </c>
      <c r="G640" s="722">
        <v>-61465938.623199999</v>
      </c>
      <c r="H640" s="722">
        <v>18075.961346200002</v>
      </c>
      <c r="I640" s="722">
        <v>-111780.1807131</v>
      </c>
      <c r="J640" s="722">
        <v>-93704.219366799996</v>
      </c>
    </row>
    <row r="641" spans="2:10">
      <c r="B641" s="748" t="s">
        <v>131</v>
      </c>
      <c r="C641" s="748" t="s">
        <v>470</v>
      </c>
      <c r="D641" s="748" t="s">
        <v>281</v>
      </c>
      <c r="E641" s="722">
        <v>8123412222.9309998</v>
      </c>
      <c r="F641" s="722">
        <v>1508531527</v>
      </c>
      <c r="G641" s="722">
        <v>9631298824.9309998</v>
      </c>
      <c r="H641" s="722">
        <v>12384062.100002</v>
      </c>
      <c r="I641" s="722">
        <v>2299741.4876279999</v>
      </c>
      <c r="J641" s="722">
        <v>14682820.405805601</v>
      </c>
    </row>
    <row r="642" spans="2:10">
      <c r="B642" s="748" t="s">
        <v>132</v>
      </c>
      <c r="C642" s="748" t="s">
        <v>469</v>
      </c>
      <c r="D642" s="748" t="s">
        <v>278</v>
      </c>
      <c r="E642" s="722">
        <v>2794964376.5173998</v>
      </c>
      <c r="F642" s="722">
        <v>1550668897</v>
      </c>
      <c r="G642" s="722">
        <v>4345633273.5173998</v>
      </c>
      <c r="H642" s="722">
        <v>4260895.7241364997</v>
      </c>
      <c r="I642" s="722">
        <v>2363979.4940827</v>
      </c>
      <c r="J642" s="722">
        <v>6624875.2182192001</v>
      </c>
    </row>
    <row r="643" spans="2:10">
      <c r="B643" s="748" t="s">
        <v>132</v>
      </c>
      <c r="C643" s="748" t="s">
        <v>469</v>
      </c>
      <c r="D643" s="748" t="s">
        <v>279</v>
      </c>
      <c r="E643" s="722">
        <v>3558212361.3551998</v>
      </c>
      <c r="F643" s="722">
        <v>3321349204</v>
      </c>
      <c r="G643" s="722">
        <v>6879561565.3551998</v>
      </c>
      <c r="H643" s="722">
        <v>5424459.7761060996</v>
      </c>
      <c r="I643" s="722">
        <v>5063364.2205205997</v>
      </c>
      <c r="J643" s="722">
        <v>10487823.996626601</v>
      </c>
    </row>
    <row r="644" spans="2:10">
      <c r="B644" s="748" t="s">
        <v>132</v>
      </c>
      <c r="C644" s="748" t="s">
        <v>469</v>
      </c>
      <c r="D644" s="748" t="s">
        <v>280</v>
      </c>
      <c r="E644" s="722">
        <v>-89236876.297800004</v>
      </c>
      <c r="F644" s="722">
        <v>22250481</v>
      </c>
      <c r="G644" s="722">
        <v>-66986395.297799997</v>
      </c>
      <c r="H644" s="722">
        <v>-136040.7409294</v>
      </c>
      <c r="I644" s="722">
        <v>33920.639615100001</v>
      </c>
      <c r="J644" s="722">
        <v>-102120.1013143</v>
      </c>
    </row>
    <row r="645" spans="2:10">
      <c r="B645" s="748" t="s">
        <v>132</v>
      </c>
      <c r="C645" s="748" t="s">
        <v>469</v>
      </c>
      <c r="D645" s="748" t="s">
        <v>281</v>
      </c>
      <c r="E645" s="722">
        <v>1395223094.0107999</v>
      </c>
      <c r="F645" s="722">
        <v>335343883</v>
      </c>
      <c r="G645" s="722">
        <v>1730566977.0107999</v>
      </c>
      <c r="H645" s="722">
        <v>2127003.8950888999</v>
      </c>
      <c r="I645" s="722">
        <v>511228.45399930002</v>
      </c>
      <c r="J645" s="722">
        <v>2638232.3490880998</v>
      </c>
    </row>
    <row r="646" spans="2:10">
      <c r="B646" s="748" t="s">
        <v>132</v>
      </c>
      <c r="C646" s="748" t="s">
        <v>470</v>
      </c>
      <c r="D646" s="748" t="s">
        <v>278</v>
      </c>
      <c r="E646" s="722">
        <v>3152273278.0813999</v>
      </c>
      <c r="F646" s="722">
        <v>2020913250</v>
      </c>
      <c r="G646" s="722">
        <v>5173186528.0813999</v>
      </c>
      <c r="H646" s="722">
        <v>4805609.6330725998</v>
      </c>
      <c r="I646" s="722">
        <v>3080862.3888456002</v>
      </c>
      <c r="J646" s="722">
        <v>7886472.0219182</v>
      </c>
    </row>
    <row r="647" spans="2:10">
      <c r="B647" s="748" t="s">
        <v>132</v>
      </c>
      <c r="C647" s="748" t="s">
        <v>470</v>
      </c>
      <c r="D647" s="748" t="s">
        <v>279</v>
      </c>
      <c r="E647" s="722">
        <v>4064708418.8769002</v>
      </c>
      <c r="F647" s="722">
        <v>2485726803</v>
      </c>
      <c r="G647" s="722">
        <v>6550435221.8768997</v>
      </c>
      <c r="H647" s="722">
        <v>6196608.0381441005</v>
      </c>
      <c r="I647" s="722">
        <v>3789466.0823804</v>
      </c>
      <c r="J647" s="722">
        <v>9986074.1205244996</v>
      </c>
    </row>
    <row r="648" spans="2:10">
      <c r="B648" s="748" t="s">
        <v>132</v>
      </c>
      <c r="C648" s="748" t="s">
        <v>470</v>
      </c>
      <c r="D648" s="748" t="s">
        <v>280</v>
      </c>
      <c r="E648" s="722">
        <v>-98005364.685299993</v>
      </c>
      <c r="F648" s="722">
        <v>13583827</v>
      </c>
      <c r="G648" s="722">
        <v>-84421537.685299993</v>
      </c>
      <c r="H648" s="722">
        <v>-149408.2153027</v>
      </c>
      <c r="I648" s="722">
        <v>20708.410764699998</v>
      </c>
      <c r="J648" s="722">
        <v>-128699.8045379</v>
      </c>
    </row>
    <row r="649" spans="2:10">
      <c r="B649" s="748" t="s">
        <v>132</v>
      </c>
      <c r="C649" s="748" t="s">
        <v>470</v>
      </c>
      <c r="D649" s="748" t="s">
        <v>281</v>
      </c>
      <c r="E649" s="722">
        <v>1342989697.1113</v>
      </c>
      <c r="F649" s="722">
        <v>494487542</v>
      </c>
      <c r="G649" s="722">
        <v>1837477239.1113</v>
      </c>
      <c r="H649" s="722">
        <v>2047374.5948459001</v>
      </c>
      <c r="I649" s="722">
        <v>753841.39814039995</v>
      </c>
      <c r="J649" s="722">
        <v>2801215.9929863</v>
      </c>
    </row>
    <row r="650" spans="2:10">
      <c r="B650" s="748" t="s">
        <v>135</v>
      </c>
      <c r="C650" s="748" t="s">
        <v>469</v>
      </c>
      <c r="D650" s="748" t="s">
        <v>278</v>
      </c>
      <c r="E650" s="722">
        <v>662185688.31560004</v>
      </c>
      <c r="F650" s="722">
        <v>469615006</v>
      </c>
      <c r="G650" s="722">
        <v>1131800694.3155999</v>
      </c>
      <c r="H650" s="722">
        <v>1009495.5741239</v>
      </c>
      <c r="I650" s="722">
        <v>715923.46144640003</v>
      </c>
      <c r="J650" s="722">
        <v>1725419.0355703</v>
      </c>
    </row>
    <row r="651" spans="2:10">
      <c r="B651" s="748" t="s">
        <v>135</v>
      </c>
      <c r="C651" s="748" t="s">
        <v>469</v>
      </c>
      <c r="D651" s="748" t="s">
        <v>279</v>
      </c>
      <c r="E651" s="722">
        <v>136717276.88699999</v>
      </c>
      <c r="F651" s="722">
        <v>123294725</v>
      </c>
      <c r="G651" s="722">
        <v>260012001.88699999</v>
      </c>
      <c r="H651" s="722">
        <v>208424.14500799999</v>
      </c>
      <c r="I651" s="722">
        <v>187961.59656810001</v>
      </c>
      <c r="J651" s="722">
        <v>396385.741576</v>
      </c>
    </row>
    <row r="652" spans="2:10">
      <c r="B652" s="748" t="s">
        <v>135</v>
      </c>
      <c r="C652" s="748" t="s">
        <v>469</v>
      </c>
      <c r="D652" s="748" t="s">
        <v>280</v>
      </c>
      <c r="E652" s="722">
        <v>-2453387.5734000001</v>
      </c>
      <c r="F652" s="722">
        <v>794767</v>
      </c>
      <c r="G652" s="722">
        <v>-1658620.5734000001</v>
      </c>
      <c r="H652" s="722">
        <v>-3740.1652447000001</v>
      </c>
      <c r="I652" s="722">
        <v>1211.6144807999999</v>
      </c>
      <c r="J652" s="722">
        <v>-2528.5507637999999</v>
      </c>
    </row>
    <row r="653" spans="2:10">
      <c r="B653" s="748" t="s">
        <v>135</v>
      </c>
      <c r="C653" s="748" t="s">
        <v>469</v>
      </c>
      <c r="D653" s="748" t="s">
        <v>281</v>
      </c>
      <c r="E653" s="722">
        <v>674167064.30359995</v>
      </c>
      <c r="F653" s="722">
        <v>319355694</v>
      </c>
      <c r="G653" s="722">
        <v>993522758.30359995</v>
      </c>
      <c r="H653" s="722">
        <v>1027761.0640691</v>
      </c>
      <c r="I653" s="722">
        <v>486854.61699469999</v>
      </c>
      <c r="J653" s="722">
        <v>1514615.6810639</v>
      </c>
    </row>
    <row r="654" spans="2:10">
      <c r="B654" s="748" t="s">
        <v>135</v>
      </c>
      <c r="C654" s="748" t="s">
        <v>470</v>
      </c>
      <c r="D654" s="748" t="s">
        <v>278</v>
      </c>
      <c r="E654" s="722">
        <v>653832917.62320006</v>
      </c>
      <c r="F654" s="722">
        <v>507387760</v>
      </c>
      <c r="G654" s="722">
        <v>1161220677.6231999</v>
      </c>
      <c r="H654" s="722">
        <v>996761.85729129997</v>
      </c>
      <c r="I654" s="722">
        <v>773507.65370290005</v>
      </c>
      <c r="J654" s="722">
        <v>1770269.5109941999</v>
      </c>
    </row>
    <row r="655" spans="2:10">
      <c r="B655" s="748" t="s">
        <v>135</v>
      </c>
      <c r="C655" s="748" t="s">
        <v>470</v>
      </c>
      <c r="D655" s="748" t="s">
        <v>279</v>
      </c>
      <c r="E655" s="722">
        <v>156302974.45120001</v>
      </c>
      <c r="F655" s="722">
        <v>155453438</v>
      </c>
      <c r="G655" s="722">
        <v>311756412.45120001</v>
      </c>
      <c r="H655" s="722">
        <v>238282.34846370001</v>
      </c>
      <c r="I655" s="722">
        <v>236987.23849280001</v>
      </c>
      <c r="J655" s="722">
        <v>475269.58695650002</v>
      </c>
    </row>
    <row r="656" spans="2:10">
      <c r="B656" s="748" t="s">
        <v>135</v>
      </c>
      <c r="C656" s="748" t="s">
        <v>470</v>
      </c>
      <c r="D656" s="748" t="s">
        <v>280</v>
      </c>
      <c r="E656" s="722">
        <v>-1127256.825</v>
      </c>
      <c r="F656" s="722">
        <v>183776</v>
      </c>
      <c r="G656" s="722">
        <v>-943480.82499999995</v>
      </c>
      <c r="H656" s="722">
        <v>-1718.4919514999999</v>
      </c>
      <c r="I656" s="722">
        <v>280.1647059</v>
      </c>
      <c r="J656" s="722">
        <v>-1438.3272454999999</v>
      </c>
    </row>
    <row r="657" spans="2:10">
      <c r="B657" s="748" t="s">
        <v>135</v>
      </c>
      <c r="C657" s="748" t="s">
        <v>470</v>
      </c>
      <c r="D657" s="748" t="s">
        <v>281</v>
      </c>
      <c r="E657" s="722">
        <v>901453723.18620002</v>
      </c>
      <c r="F657" s="722">
        <v>364645274</v>
      </c>
      <c r="G657" s="722">
        <v>1266043254.1861999</v>
      </c>
      <c r="H657" s="722">
        <v>1374257.3418473999</v>
      </c>
      <c r="I657" s="722">
        <v>555898.13661569997</v>
      </c>
      <c r="J657" s="722">
        <v>1930070.4988074</v>
      </c>
    </row>
    <row r="658" spans="2:10">
      <c r="B658" s="748" t="s">
        <v>136</v>
      </c>
      <c r="C658" s="748" t="s">
        <v>469</v>
      </c>
      <c r="D658" s="748" t="s">
        <v>278</v>
      </c>
      <c r="E658" s="722">
        <v>-1730940.4154000001</v>
      </c>
      <c r="F658" s="722">
        <v>2850649.3</v>
      </c>
      <c r="G658" s="722">
        <v>1119708.8846</v>
      </c>
      <c r="H658" s="722">
        <v>-253309.58912970001</v>
      </c>
      <c r="I658" s="722">
        <v>417170.22522060003</v>
      </c>
      <c r="J658" s="722">
        <v>163860.63609089999</v>
      </c>
    </row>
    <row r="659" spans="2:10">
      <c r="B659" s="748" t="s">
        <v>136</v>
      </c>
      <c r="C659" s="748" t="s">
        <v>469</v>
      </c>
      <c r="D659" s="748" t="s">
        <v>279</v>
      </c>
      <c r="E659" s="722">
        <v>3436664.5373999998</v>
      </c>
      <c r="F659" s="722">
        <v>10561107.279999999</v>
      </c>
      <c r="G659" s="722">
        <v>13997771.817399999</v>
      </c>
      <c r="H659" s="722">
        <v>502928.97098029999</v>
      </c>
      <c r="I659" s="722">
        <v>1545535.4338314</v>
      </c>
      <c r="J659" s="722">
        <v>2048464.4048117001</v>
      </c>
    </row>
    <row r="660" spans="2:10">
      <c r="B660" s="748" t="s">
        <v>136</v>
      </c>
      <c r="C660" s="748" t="s">
        <v>469</v>
      </c>
      <c r="D660" s="748" t="s">
        <v>280</v>
      </c>
      <c r="E660" s="722">
        <v>1494.9070999999999</v>
      </c>
      <c r="F660" s="722">
        <v>14439.63</v>
      </c>
      <c r="G660" s="722">
        <v>15934.5371</v>
      </c>
      <c r="H660" s="722">
        <v>218.7679598</v>
      </c>
      <c r="I660" s="722">
        <v>2113.1268933000001</v>
      </c>
      <c r="J660" s="722">
        <v>2331.8948531000001</v>
      </c>
    </row>
    <row r="661" spans="2:10">
      <c r="B661" s="748" t="s">
        <v>136</v>
      </c>
      <c r="C661" s="748" t="s">
        <v>469</v>
      </c>
      <c r="D661" s="748" t="s">
        <v>281</v>
      </c>
      <c r="E661" s="722">
        <v>1281202.8489999999</v>
      </c>
      <c r="F661" s="722">
        <v>1085530.1100000001</v>
      </c>
      <c r="G661" s="722">
        <v>2366732.9589999998</v>
      </c>
      <c r="H661" s="722">
        <v>187494.0144586</v>
      </c>
      <c r="I661" s="722">
        <v>158858.83979920001</v>
      </c>
      <c r="J661" s="722">
        <v>346352.85425779998</v>
      </c>
    </row>
    <row r="662" spans="2:10">
      <c r="B662" s="748" t="s">
        <v>136</v>
      </c>
      <c r="C662" s="748" t="s">
        <v>470</v>
      </c>
      <c r="D662" s="748" t="s">
        <v>278</v>
      </c>
      <c r="E662" s="722">
        <v>-4553490.5203</v>
      </c>
      <c r="F662" s="722">
        <v>2942803.02</v>
      </c>
      <c r="G662" s="722">
        <v>-1610687.5003</v>
      </c>
      <c r="H662" s="722">
        <v>-602951.60491260001</v>
      </c>
      <c r="I662" s="722">
        <v>389672.01006360003</v>
      </c>
      <c r="J662" s="722">
        <v>-213279.59484899999</v>
      </c>
    </row>
    <row r="663" spans="2:10">
      <c r="B663" s="748" t="s">
        <v>136</v>
      </c>
      <c r="C663" s="748" t="s">
        <v>470</v>
      </c>
      <c r="D663" s="748" t="s">
        <v>279</v>
      </c>
      <c r="E663" s="722">
        <v>-517997.38520000002</v>
      </c>
      <c r="F663" s="722">
        <v>11240926.93</v>
      </c>
      <c r="G663" s="722">
        <v>10722929.5448</v>
      </c>
      <c r="H663" s="722">
        <v>-68590.755455499995</v>
      </c>
      <c r="I663" s="722">
        <v>1488470.1972987</v>
      </c>
      <c r="J663" s="722">
        <v>1419879.4418432</v>
      </c>
    </row>
    <row r="664" spans="2:10">
      <c r="B664" s="748" t="s">
        <v>136</v>
      </c>
      <c r="C664" s="748" t="s">
        <v>470</v>
      </c>
      <c r="D664" s="748" t="s">
        <v>280</v>
      </c>
      <c r="E664" s="722">
        <v>-14905.2528</v>
      </c>
      <c r="F664" s="722">
        <v>23052.25</v>
      </c>
      <c r="G664" s="722">
        <v>8146.9971999999998</v>
      </c>
      <c r="H664" s="722">
        <v>-1973.6828390000001</v>
      </c>
      <c r="I664" s="722">
        <v>3052.4695445000002</v>
      </c>
      <c r="J664" s="722">
        <v>1078.7867054999999</v>
      </c>
    </row>
    <row r="665" spans="2:10">
      <c r="B665" s="748" t="s">
        <v>136</v>
      </c>
      <c r="C665" s="748" t="s">
        <v>470</v>
      </c>
      <c r="D665" s="748" t="s">
        <v>281</v>
      </c>
      <c r="E665" s="722">
        <v>54831.527600000001</v>
      </c>
      <c r="F665" s="722">
        <v>3521541.57</v>
      </c>
      <c r="G665" s="722">
        <v>3576373.0976</v>
      </c>
      <c r="H665" s="722">
        <v>7260.5306674000003</v>
      </c>
      <c r="I665" s="722">
        <v>466305.82229869999</v>
      </c>
      <c r="J665" s="722">
        <v>473566.35296609998</v>
      </c>
    </row>
    <row r="666" spans="2:10">
      <c r="B666" s="748" t="s">
        <v>137</v>
      </c>
      <c r="C666" s="748" t="s">
        <v>469</v>
      </c>
      <c r="D666" s="748" t="s">
        <v>278</v>
      </c>
      <c r="E666" s="722">
        <v>9855464064.0142002</v>
      </c>
      <c r="F666" s="722">
        <v>6028813466</v>
      </c>
      <c r="G666" s="722">
        <v>15884277530.0142</v>
      </c>
      <c r="H666" s="722">
        <v>848544.23090179998</v>
      </c>
      <c r="I666" s="722">
        <v>519073.97282660002</v>
      </c>
      <c r="J666" s="722">
        <v>1367618.2037283999</v>
      </c>
    </row>
    <row r="667" spans="2:10">
      <c r="B667" s="748" t="s">
        <v>137</v>
      </c>
      <c r="C667" s="748" t="s">
        <v>469</v>
      </c>
      <c r="D667" s="748" t="s">
        <v>279</v>
      </c>
      <c r="E667" s="722">
        <v>13402444127.7034</v>
      </c>
      <c r="F667" s="722">
        <v>17464826657</v>
      </c>
      <c r="G667" s="722">
        <v>30867270784.7034</v>
      </c>
      <c r="H667" s="722">
        <v>1153935.1745060999</v>
      </c>
      <c r="I667" s="722">
        <v>1503701.6833748</v>
      </c>
      <c r="J667" s="722">
        <v>2657636.8578809001</v>
      </c>
    </row>
    <row r="668" spans="2:10">
      <c r="B668" s="748" t="s">
        <v>137</v>
      </c>
      <c r="C668" s="748" t="s">
        <v>469</v>
      </c>
      <c r="D668" s="748" t="s">
        <v>280</v>
      </c>
      <c r="E668" s="722">
        <v>83144945.540900007</v>
      </c>
      <c r="F668" s="722">
        <v>6205849</v>
      </c>
      <c r="G668" s="722">
        <v>89350794.540900007</v>
      </c>
      <c r="H668" s="722">
        <v>7158.6851120000001</v>
      </c>
      <c r="I668" s="722">
        <v>534.31653070000004</v>
      </c>
      <c r="J668" s="722">
        <v>7693.0016427</v>
      </c>
    </row>
    <row r="669" spans="2:10">
      <c r="B669" s="748" t="s">
        <v>137</v>
      </c>
      <c r="C669" s="748" t="s">
        <v>469</v>
      </c>
      <c r="D669" s="748" t="s">
        <v>281</v>
      </c>
      <c r="E669" s="722">
        <v>7839332297.1666002</v>
      </c>
      <c r="F669" s="722">
        <v>929150252</v>
      </c>
      <c r="G669" s="722">
        <v>8768482549.1665993</v>
      </c>
      <c r="H669" s="722">
        <v>674957.58207590005</v>
      </c>
      <c r="I669" s="722">
        <v>79998.778429400001</v>
      </c>
      <c r="J669" s="722">
        <v>754956.36050529999</v>
      </c>
    </row>
    <row r="670" spans="2:10">
      <c r="B670" s="748" t="s">
        <v>137</v>
      </c>
      <c r="C670" s="748" t="s">
        <v>470</v>
      </c>
      <c r="D670" s="748" t="s">
        <v>278</v>
      </c>
      <c r="E670" s="722">
        <v>18434158131.9133</v>
      </c>
      <c r="F670" s="722">
        <v>6541267222</v>
      </c>
      <c r="G670" s="722">
        <v>24974809215.9133</v>
      </c>
      <c r="H670" s="722">
        <v>2027492.0160805001</v>
      </c>
      <c r="I670" s="722">
        <v>719445.22623429995</v>
      </c>
      <c r="J670" s="722">
        <v>2746869.4760047002</v>
      </c>
    </row>
    <row r="671" spans="2:10">
      <c r="B671" s="748" t="s">
        <v>137</v>
      </c>
      <c r="C671" s="748" t="s">
        <v>470</v>
      </c>
      <c r="D671" s="748" t="s">
        <v>279</v>
      </c>
      <c r="E671" s="722">
        <v>17181499762.319199</v>
      </c>
      <c r="F671" s="722">
        <v>17248361962</v>
      </c>
      <c r="G671" s="722">
        <v>34426562134.319199</v>
      </c>
      <c r="H671" s="722">
        <v>1889717.6287147</v>
      </c>
      <c r="I671" s="722">
        <v>1897071.5081303001</v>
      </c>
      <c r="J671" s="722">
        <v>3786426.2294458998</v>
      </c>
    </row>
    <row r="672" spans="2:10">
      <c r="B672" s="748" t="s">
        <v>137</v>
      </c>
      <c r="C672" s="748" t="s">
        <v>470</v>
      </c>
      <c r="D672" s="748" t="s">
        <v>280</v>
      </c>
      <c r="E672" s="722">
        <v>47273.805699999997</v>
      </c>
      <c r="F672" s="722">
        <v>0</v>
      </c>
      <c r="G672" s="722">
        <v>47273.805699999997</v>
      </c>
      <c r="H672" s="722">
        <v>5.1994381000000001</v>
      </c>
      <c r="I672" s="722">
        <v>0</v>
      </c>
      <c r="J672" s="722">
        <v>5.1994381000000001</v>
      </c>
    </row>
    <row r="673" spans="2:10">
      <c r="B673" s="748" t="s">
        <v>137</v>
      </c>
      <c r="C673" s="748" t="s">
        <v>470</v>
      </c>
      <c r="D673" s="748" t="s">
        <v>281</v>
      </c>
      <c r="E673" s="722">
        <v>36334458103.624496</v>
      </c>
      <c r="F673" s="722">
        <v>2063193619</v>
      </c>
      <c r="G673" s="722">
        <v>38397573653.624496</v>
      </c>
      <c r="H673" s="722">
        <v>3996267.3199692001</v>
      </c>
      <c r="I673" s="722">
        <v>226921.5963223</v>
      </c>
      <c r="J673" s="722">
        <v>4223180.3298252998</v>
      </c>
    </row>
    <row r="674" spans="2:10">
      <c r="B674" s="748" t="s">
        <v>138</v>
      </c>
      <c r="C674" s="748" t="s">
        <v>469</v>
      </c>
      <c r="D674" s="748" t="s">
        <v>278</v>
      </c>
      <c r="E674" s="722">
        <v>15348597978.0982</v>
      </c>
      <c r="F674" s="722">
        <v>4542394455.8400002</v>
      </c>
      <c r="G674" s="722">
        <v>19890992433.938202</v>
      </c>
      <c r="H674" s="722">
        <v>3306675.9976082002</v>
      </c>
      <c r="I674" s="722">
        <v>978605.78146800003</v>
      </c>
      <c r="J674" s="722">
        <v>4285281.7790762</v>
      </c>
    </row>
    <row r="675" spans="2:10">
      <c r="B675" s="748" t="s">
        <v>138</v>
      </c>
      <c r="C675" s="748" t="s">
        <v>469</v>
      </c>
      <c r="D675" s="748" t="s">
        <v>279</v>
      </c>
      <c r="E675" s="722">
        <v>27501707042.058399</v>
      </c>
      <c r="F675" s="722">
        <v>13132492878</v>
      </c>
      <c r="G675" s="722">
        <v>40634199920.058403</v>
      </c>
      <c r="H675" s="722">
        <v>5924921.2663589995</v>
      </c>
      <c r="I675" s="722">
        <v>2829242.0617446001</v>
      </c>
      <c r="J675" s="722">
        <v>8754163.3281036001</v>
      </c>
    </row>
    <row r="676" spans="2:10">
      <c r="B676" s="748" t="s">
        <v>138</v>
      </c>
      <c r="C676" s="748" t="s">
        <v>469</v>
      </c>
      <c r="D676" s="748" t="s">
        <v>280</v>
      </c>
      <c r="E676" s="722">
        <v>1415623.66</v>
      </c>
      <c r="F676" s="722">
        <v>1312978.46</v>
      </c>
      <c r="G676" s="722">
        <v>2728602.12</v>
      </c>
      <c r="H676" s="722">
        <v>304.97956779999998</v>
      </c>
      <c r="I676" s="722">
        <v>282.8658595</v>
      </c>
      <c r="J676" s="722">
        <v>587.84542729999998</v>
      </c>
    </row>
    <row r="677" spans="2:10">
      <c r="B677" s="748" t="s">
        <v>138</v>
      </c>
      <c r="C677" s="748" t="s">
        <v>469</v>
      </c>
      <c r="D677" s="748" t="s">
        <v>281</v>
      </c>
      <c r="E677" s="722">
        <v>4941733417.8421001</v>
      </c>
      <c r="F677" s="722">
        <v>1071111924.15</v>
      </c>
      <c r="G677" s="722">
        <v>6012845341.9920998</v>
      </c>
      <c r="H677" s="722">
        <v>1064638.6922553999</v>
      </c>
      <c r="I677" s="722">
        <v>230758.54194580001</v>
      </c>
      <c r="J677" s="722">
        <v>1295397.2342013</v>
      </c>
    </row>
    <row r="678" spans="2:10">
      <c r="B678" s="748" t="s">
        <v>138</v>
      </c>
      <c r="C678" s="748" t="s">
        <v>470</v>
      </c>
      <c r="D678" s="748" t="s">
        <v>278</v>
      </c>
      <c r="E678" s="722">
        <v>14748159423.805</v>
      </c>
      <c r="F678" s="722">
        <v>4607775572.3599997</v>
      </c>
      <c r="G678" s="722">
        <v>19355934996.165001</v>
      </c>
      <c r="H678" s="722">
        <v>3461570.4637921001</v>
      </c>
      <c r="I678" s="722">
        <v>1081500.3667047</v>
      </c>
      <c r="J678" s="722">
        <v>4543070.8304968001</v>
      </c>
    </row>
    <row r="679" spans="2:10">
      <c r="B679" s="748" t="s">
        <v>138</v>
      </c>
      <c r="C679" s="748" t="s">
        <v>470</v>
      </c>
      <c r="D679" s="748" t="s">
        <v>279</v>
      </c>
      <c r="E679" s="722">
        <v>31476553269.308701</v>
      </c>
      <c r="F679" s="722">
        <v>15164163062.190001</v>
      </c>
      <c r="G679" s="722">
        <v>46640716331.498703</v>
      </c>
      <c r="H679" s="722">
        <v>7387925.7721576998</v>
      </c>
      <c r="I679" s="722">
        <v>3559211.5229970999</v>
      </c>
      <c r="J679" s="722">
        <v>10947137.295154801</v>
      </c>
    </row>
    <row r="680" spans="2:10">
      <c r="B680" s="748" t="s">
        <v>138</v>
      </c>
      <c r="C680" s="748" t="s">
        <v>470</v>
      </c>
      <c r="D680" s="748" t="s">
        <v>280</v>
      </c>
      <c r="E680" s="722">
        <v>1585431.2561999999</v>
      </c>
      <c r="F680" s="722">
        <v>638745.59</v>
      </c>
      <c r="G680" s="722">
        <v>2224176.8462</v>
      </c>
      <c r="H680" s="722">
        <v>372.1197914</v>
      </c>
      <c r="I680" s="722">
        <v>149.9212752</v>
      </c>
      <c r="J680" s="722">
        <v>522.04106669999999</v>
      </c>
    </row>
    <row r="681" spans="2:10">
      <c r="B681" s="748" t="s">
        <v>138</v>
      </c>
      <c r="C681" s="748" t="s">
        <v>470</v>
      </c>
      <c r="D681" s="748" t="s">
        <v>281</v>
      </c>
      <c r="E681" s="722">
        <v>5179211139.5066004</v>
      </c>
      <c r="F681" s="722">
        <v>1286562737.05</v>
      </c>
      <c r="G681" s="722">
        <v>6465773876.5565996</v>
      </c>
      <c r="H681" s="722">
        <v>1215623.1697171</v>
      </c>
      <c r="I681" s="722">
        <v>301971.75406170002</v>
      </c>
      <c r="J681" s="722">
        <v>1517594.9237788001</v>
      </c>
    </row>
    <row r="682" spans="2:10">
      <c r="B682" s="748" t="s">
        <v>139</v>
      </c>
      <c r="C682" s="748" t="s">
        <v>469</v>
      </c>
      <c r="D682" s="748" t="s">
        <v>278</v>
      </c>
      <c r="E682" s="722">
        <v>10392982.942</v>
      </c>
      <c r="F682" s="722">
        <v>15145783.039999999</v>
      </c>
      <c r="G682" s="722">
        <v>25538765.982000001</v>
      </c>
      <c r="H682" s="722">
        <v>241753.499465</v>
      </c>
      <c r="I682" s="722">
        <v>352309.44498720003</v>
      </c>
      <c r="J682" s="722">
        <v>594062.94445219997</v>
      </c>
    </row>
    <row r="683" spans="2:10">
      <c r="B683" s="748" t="s">
        <v>139</v>
      </c>
      <c r="C683" s="748" t="s">
        <v>469</v>
      </c>
      <c r="D683" s="748" t="s">
        <v>279</v>
      </c>
      <c r="E683" s="722">
        <v>39276841.656900004</v>
      </c>
      <c r="F683" s="722">
        <v>47209921.619999997</v>
      </c>
      <c r="G683" s="722">
        <v>86486763.276899993</v>
      </c>
      <c r="H683" s="722">
        <v>913627.39374039997</v>
      </c>
      <c r="I683" s="722">
        <v>1098160.5401256001</v>
      </c>
      <c r="J683" s="722">
        <v>2011787.933866</v>
      </c>
    </row>
    <row r="684" spans="2:10">
      <c r="B684" s="748" t="s">
        <v>139</v>
      </c>
      <c r="C684" s="748" t="s">
        <v>469</v>
      </c>
      <c r="D684" s="748" t="s">
        <v>280</v>
      </c>
      <c r="E684" s="722">
        <v>-3236681.7620000001</v>
      </c>
      <c r="F684" s="722">
        <v>12625.75</v>
      </c>
      <c r="G684" s="722">
        <v>-3224056.0120000001</v>
      </c>
      <c r="H684" s="722">
        <v>-75289.177994900005</v>
      </c>
      <c r="I684" s="722">
        <v>293.69039309999999</v>
      </c>
      <c r="J684" s="722">
        <v>-74995.487601800007</v>
      </c>
    </row>
    <row r="685" spans="2:10">
      <c r="B685" s="748" t="s">
        <v>139</v>
      </c>
      <c r="C685" s="748" t="s">
        <v>469</v>
      </c>
      <c r="D685" s="748" t="s">
        <v>281</v>
      </c>
      <c r="E685" s="722">
        <v>10204518.5669</v>
      </c>
      <c r="F685" s="722">
        <v>4483124.03</v>
      </c>
      <c r="G685" s="722">
        <v>14687642.596899999</v>
      </c>
      <c r="H685" s="722">
        <v>237369.58750640001</v>
      </c>
      <c r="I685" s="722">
        <v>104282.95022100001</v>
      </c>
      <c r="J685" s="722">
        <v>341652.53772740002</v>
      </c>
    </row>
    <row r="686" spans="2:10">
      <c r="B686" s="748" t="s">
        <v>139</v>
      </c>
      <c r="C686" s="748" t="s">
        <v>470</v>
      </c>
      <c r="D686" s="748" t="s">
        <v>278</v>
      </c>
      <c r="E686" s="722">
        <v>11665245.807499999</v>
      </c>
      <c r="F686" s="722">
        <v>21202158.489999998</v>
      </c>
      <c r="G686" s="722">
        <v>32867404.297499999</v>
      </c>
      <c r="H686" s="722">
        <v>304814.36654040002</v>
      </c>
      <c r="I686" s="722">
        <v>554015.11601780006</v>
      </c>
      <c r="J686" s="722">
        <v>858829.48255810002</v>
      </c>
    </row>
    <row r="687" spans="2:10">
      <c r="B687" s="748" t="s">
        <v>139</v>
      </c>
      <c r="C687" s="748" t="s">
        <v>470</v>
      </c>
      <c r="D687" s="748" t="s">
        <v>279</v>
      </c>
      <c r="E687" s="722">
        <v>42739080.180299997</v>
      </c>
      <c r="F687" s="722">
        <v>46367258.700000003</v>
      </c>
      <c r="G687" s="722">
        <v>89106338.8803</v>
      </c>
      <c r="H687" s="722">
        <v>1116777.6373217001</v>
      </c>
      <c r="I687" s="722">
        <v>1211582.4065848</v>
      </c>
      <c r="J687" s="722">
        <v>2328360.0439065001</v>
      </c>
    </row>
    <row r="688" spans="2:10">
      <c r="B688" s="748" t="s">
        <v>139</v>
      </c>
      <c r="C688" s="748" t="s">
        <v>470</v>
      </c>
      <c r="D688" s="748" t="s">
        <v>280</v>
      </c>
      <c r="E688" s="722">
        <v>-3413931.0525000002</v>
      </c>
      <c r="F688" s="722">
        <v>42699.1</v>
      </c>
      <c r="G688" s="722">
        <v>-3371231.9525000001</v>
      </c>
      <c r="H688" s="722">
        <v>-89206.455513499997</v>
      </c>
      <c r="I688" s="722">
        <v>1115.7329500999999</v>
      </c>
      <c r="J688" s="722">
        <v>-88090.722563400006</v>
      </c>
    </row>
    <row r="689" spans="2:10">
      <c r="B689" s="748" t="s">
        <v>139</v>
      </c>
      <c r="C689" s="748" t="s">
        <v>470</v>
      </c>
      <c r="D689" s="748" t="s">
        <v>281</v>
      </c>
      <c r="E689" s="722">
        <v>473810.2047</v>
      </c>
      <c r="F689" s="722">
        <v>5242977.41</v>
      </c>
      <c r="G689" s="722">
        <v>5716787.6146999998</v>
      </c>
      <c r="H689" s="722">
        <v>12380.721314300001</v>
      </c>
      <c r="I689" s="722">
        <v>136999.67102169999</v>
      </c>
      <c r="J689" s="722">
        <v>149380.39233599999</v>
      </c>
    </row>
    <row r="690" spans="2:10">
      <c r="B690" s="748" t="s">
        <v>141</v>
      </c>
      <c r="C690" s="748" t="s">
        <v>469</v>
      </c>
      <c r="D690" s="748" t="s">
        <v>278</v>
      </c>
      <c r="E690" s="722">
        <v>3092592240.4840002</v>
      </c>
      <c r="F690" s="722">
        <v>717501878</v>
      </c>
      <c r="G690" s="722">
        <v>3810094118.4840002</v>
      </c>
      <c r="H690" s="722">
        <v>4714626.4777782997</v>
      </c>
      <c r="I690" s="722">
        <v>1093824.561671</v>
      </c>
      <c r="J690" s="722">
        <v>5808451.0394492</v>
      </c>
    </row>
    <row r="691" spans="2:10">
      <c r="B691" s="748" t="s">
        <v>141</v>
      </c>
      <c r="C691" s="748" t="s">
        <v>469</v>
      </c>
      <c r="D691" s="748" t="s">
        <v>279</v>
      </c>
      <c r="E691" s="722">
        <v>4130811823.0362</v>
      </c>
      <c r="F691" s="722">
        <v>2064051800</v>
      </c>
      <c r="G691" s="722">
        <v>6194863623.0361996</v>
      </c>
      <c r="H691" s="722">
        <v>6297382.0281453999</v>
      </c>
      <c r="I691" s="722">
        <v>3146626.6843710998</v>
      </c>
      <c r="J691" s="722">
        <v>9444008.7125164997</v>
      </c>
    </row>
    <row r="692" spans="2:10">
      <c r="B692" s="748" t="s">
        <v>141</v>
      </c>
      <c r="C692" s="748" t="s">
        <v>469</v>
      </c>
      <c r="D692" s="748" t="s">
        <v>280</v>
      </c>
      <c r="E692" s="722">
        <v>-334198946.25760001</v>
      </c>
      <c r="F692" s="722">
        <v>19702638</v>
      </c>
      <c r="G692" s="722">
        <v>-314496308.25760001</v>
      </c>
      <c r="H692" s="722">
        <v>-509483.00918749999</v>
      </c>
      <c r="I692" s="722">
        <v>30036.478000800002</v>
      </c>
      <c r="J692" s="722">
        <v>-479446.53118659998</v>
      </c>
    </row>
    <row r="693" spans="2:10">
      <c r="B693" s="748" t="s">
        <v>141</v>
      </c>
      <c r="C693" s="748" t="s">
        <v>469</v>
      </c>
      <c r="D693" s="748" t="s">
        <v>281</v>
      </c>
      <c r="E693" s="722">
        <v>3864506411.0338001</v>
      </c>
      <c r="F693" s="722">
        <v>301653273</v>
      </c>
      <c r="G693" s="722">
        <v>4166159684.0338001</v>
      </c>
      <c r="H693" s="722">
        <v>5891402.0446977001</v>
      </c>
      <c r="I693" s="722">
        <v>459867.45015300001</v>
      </c>
      <c r="J693" s="722">
        <v>6351269.4948506998</v>
      </c>
    </row>
    <row r="694" spans="2:10">
      <c r="B694" s="748" t="s">
        <v>141</v>
      </c>
      <c r="C694" s="748" t="s">
        <v>470</v>
      </c>
      <c r="D694" s="748" t="s">
        <v>278</v>
      </c>
      <c r="E694" s="722">
        <v>3001165142.4674001</v>
      </c>
      <c r="F694" s="722">
        <v>761976017</v>
      </c>
      <c r="G694" s="722">
        <v>3763138167.4674001</v>
      </c>
      <c r="H694" s="722">
        <v>4575246.7653633002</v>
      </c>
      <c r="I694" s="722">
        <v>1161624.9495013</v>
      </c>
      <c r="J694" s="722">
        <v>5736867.1535898997</v>
      </c>
    </row>
    <row r="695" spans="2:10">
      <c r="B695" s="748" t="s">
        <v>141</v>
      </c>
      <c r="C695" s="748" t="s">
        <v>470</v>
      </c>
      <c r="D695" s="748" t="s">
        <v>279</v>
      </c>
      <c r="E695" s="722">
        <v>2643352834.7715001</v>
      </c>
      <c r="F695" s="722">
        <v>1626571668.6199999</v>
      </c>
      <c r="G695" s="722">
        <v>4269921511.3915</v>
      </c>
      <c r="H695" s="722">
        <v>4029765.4187264</v>
      </c>
      <c r="I695" s="722">
        <v>2479692.5234733</v>
      </c>
      <c r="J695" s="722">
        <v>6509453.3809251003</v>
      </c>
    </row>
    <row r="696" spans="2:10">
      <c r="B696" s="748" t="s">
        <v>141</v>
      </c>
      <c r="C696" s="748" t="s">
        <v>470</v>
      </c>
      <c r="D696" s="748" t="s">
        <v>280</v>
      </c>
      <c r="E696" s="722">
        <v>-8357958.4930999996</v>
      </c>
      <c r="F696" s="722">
        <v>120978</v>
      </c>
      <c r="G696" s="722">
        <v>-8236980.4930999996</v>
      </c>
      <c r="H696" s="722">
        <v>-12741.6255838</v>
      </c>
      <c r="I696" s="722">
        <v>184.42977210000001</v>
      </c>
      <c r="J696" s="722">
        <v>-12557.1958118</v>
      </c>
    </row>
    <row r="697" spans="2:10">
      <c r="B697" s="748" t="s">
        <v>141</v>
      </c>
      <c r="C697" s="748" t="s">
        <v>470</v>
      </c>
      <c r="D697" s="748" t="s">
        <v>281</v>
      </c>
      <c r="E697" s="722">
        <v>5551230719.5808001</v>
      </c>
      <c r="F697" s="722">
        <v>444932210.08999997</v>
      </c>
      <c r="G697" s="722">
        <v>5996162929.6708002</v>
      </c>
      <c r="H697" s="722">
        <v>8462796.6765822005</v>
      </c>
      <c r="I697" s="722">
        <v>678294.78165490006</v>
      </c>
      <c r="J697" s="722">
        <v>9141091.4582369998</v>
      </c>
    </row>
    <row r="698" spans="2:10">
      <c r="B698" s="748" t="s">
        <v>140</v>
      </c>
      <c r="C698" s="748" t="s">
        <v>469</v>
      </c>
      <c r="D698" s="748" t="s">
        <v>278</v>
      </c>
      <c r="E698" s="722">
        <v>489010644.56720001</v>
      </c>
      <c r="F698" s="722">
        <v>279285084</v>
      </c>
      <c r="G698" s="722">
        <v>768295728.56719995</v>
      </c>
      <c r="H698" s="722">
        <v>745491.921829</v>
      </c>
      <c r="I698" s="722">
        <v>425767.36584869999</v>
      </c>
      <c r="J698" s="722">
        <v>1171259.2876776999</v>
      </c>
    </row>
    <row r="699" spans="2:10">
      <c r="B699" s="748" t="s">
        <v>140</v>
      </c>
      <c r="C699" s="748" t="s">
        <v>469</v>
      </c>
      <c r="D699" s="748" t="s">
        <v>279</v>
      </c>
      <c r="E699" s="722">
        <v>954946881.22969997</v>
      </c>
      <c r="F699" s="722">
        <v>927979727</v>
      </c>
      <c r="G699" s="722">
        <v>1882926608.2297001</v>
      </c>
      <c r="H699" s="722">
        <v>1455807.135574</v>
      </c>
      <c r="I699" s="722">
        <v>1414695.9739739001</v>
      </c>
      <c r="J699" s="722">
        <v>2870503.1095479</v>
      </c>
    </row>
    <row r="700" spans="2:10">
      <c r="B700" s="748" t="s">
        <v>140</v>
      </c>
      <c r="C700" s="748" t="s">
        <v>469</v>
      </c>
      <c r="D700" s="748" t="s">
        <v>280</v>
      </c>
      <c r="E700" s="722">
        <v>-16676537.0024</v>
      </c>
      <c r="F700" s="722">
        <v>13228550</v>
      </c>
      <c r="G700" s="722">
        <v>-3447987.0024000001</v>
      </c>
      <c r="H700" s="722">
        <v>-25423.216769400002</v>
      </c>
      <c r="I700" s="722">
        <v>20166.794469799999</v>
      </c>
      <c r="J700" s="722">
        <v>-5256.4222995999999</v>
      </c>
    </row>
    <row r="701" spans="2:10">
      <c r="B701" s="748" t="s">
        <v>140</v>
      </c>
      <c r="C701" s="748" t="s">
        <v>469</v>
      </c>
      <c r="D701" s="748" t="s">
        <v>281</v>
      </c>
      <c r="E701" s="722">
        <v>495482806.8682</v>
      </c>
      <c r="F701" s="722">
        <v>91024652</v>
      </c>
      <c r="G701" s="722">
        <v>586507458.86819994</v>
      </c>
      <c r="H701" s="722">
        <v>755358.66965089994</v>
      </c>
      <c r="I701" s="722">
        <v>138766.18741780001</v>
      </c>
      <c r="J701" s="722">
        <v>894124.85706870002</v>
      </c>
    </row>
    <row r="702" spans="2:10">
      <c r="B702" s="748" t="s">
        <v>140</v>
      </c>
      <c r="C702" s="748" t="s">
        <v>470</v>
      </c>
      <c r="D702" s="748" t="s">
        <v>278</v>
      </c>
      <c r="E702" s="722">
        <v>774944336.27289999</v>
      </c>
      <c r="F702" s="722">
        <v>441026047</v>
      </c>
      <c r="G702" s="722">
        <v>1215970383.2729001</v>
      </c>
      <c r="H702" s="722">
        <v>1181395.0247849999</v>
      </c>
      <c r="I702" s="722">
        <v>672339.87441249995</v>
      </c>
      <c r="J702" s="722">
        <v>1853734.8991975</v>
      </c>
    </row>
    <row r="703" spans="2:10">
      <c r="B703" s="748" t="s">
        <v>140</v>
      </c>
      <c r="C703" s="748" t="s">
        <v>470</v>
      </c>
      <c r="D703" s="748" t="s">
        <v>279</v>
      </c>
      <c r="E703" s="722">
        <v>893592621.79139996</v>
      </c>
      <c r="F703" s="722">
        <v>788254018</v>
      </c>
      <c r="G703" s="722">
        <v>1681846639.7914</v>
      </c>
      <c r="H703" s="722">
        <v>1362273.1700269999</v>
      </c>
      <c r="I703" s="722">
        <v>1201685.5037754001</v>
      </c>
      <c r="J703" s="722">
        <v>2563958.6738024</v>
      </c>
    </row>
    <row r="704" spans="2:10">
      <c r="B704" s="748" t="s">
        <v>140</v>
      </c>
      <c r="C704" s="748" t="s">
        <v>470</v>
      </c>
      <c r="D704" s="748" t="s">
        <v>280</v>
      </c>
      <c r="E704" s="722">
        <v>-14967200.6591</v>
      </c>
      <c r="F704" s="722">
        <v>1024465</v>
      </c>
      <c r="G704" s="722">
        <v>-13942735.6591</v>
      </c>
      <c r="H704" s="722">
        <v>-22817.3503127</v>
      </c>
      <c r="I704" s="722">
        <v>1561.7868243999999</v>
      </c>
      <c r="J704" s="722">
        <v>-21255.563488299998</v>
      </c>
    </row>
    <row r="705" spans="2:10">
      <c r="B705" s="748" t="s">
        <v>140</v>
      </c>
      <c r="C705" s="748" t="s">
        <v>470</v>
      </c>
      <c r="D705" s="748" t="s">
        <v>281</v>
      </c>
      <c r="E705" s="722">
        <v>540163687.87800002</v>
      </c>
      <c r="F705" s="722">
        <v>110666565</v>
      </c>
      <c r="G705" s="722">
        <v>650830252.87800002</v>
      </c>
      <c r="H705" s="722">
        <v>823474.23364340002</v>
      </c>
      <c r="I705" s="722">
        <v>168710.0907529</v>
      </c>
      <c r="J705" s="722">
        <v>992184.32439630001</v>
      </c>
    </row>
    <row r="706" spans="2:10">
      <c r="B706" s="764" t="s">
        <v>123</v>
      </c>
      <c r="C706" s="764" t="s">
        <v>477</v>
      </c>
      <c r="D706" s="764" t="s">
        <v>278</v>
      </c>
      <c r="E706" s="722">
        <v>660306098.6178</v>
      </c>
      <c r="F706" s="722">
        <v>198246096.81999999</v>
      </c>
      <c r="G706" s="722">
        <v>858552195.43780005</v>
      </c>
      <c r="H706" s="722">
        <v>1006630.1581015</v>
      </c>
      <c r="I706" s="722">
        <v>302224.22631360003</v>
      </c>
      <c r="J706" s="722">
        <v>1308854.3844151001</v>
      </c>
    </row>
    <row r="707" spans="2:10">
      <c r="B707" s="764" t="s">
        <v>123</v>
      </c>
      <c r="C707" s="764" t="s">
        <v>477</v>
      </c>
      <c r="D707" s="764" t="s">
        <v>279</v>
      </c>
      <c r="E707" s="722">
        <v>551806569.35609996</v>
      </c>
      <c r="F707" s="722">
        <v>324383027.48000002</v>
      </c>
      <c r="G707" s="722">
        <v>876189596.83609998</v>
      </c>
      <c r="H707" s="722">
        <v>841223.69203479995</v>
      </c>
      <c r="I707" s="722">
        <v>494518.7374782</v>
      </c>
      <c r="J707" s="722">
        <v>1335742.4295131001</v>
      </c>
    </row>
    <row r="708" spans="2:10">
      <c r="B708" s="764" t="s">
        <v>123</v>
      </c>
      <c r="C708" s="764" t="s">
        <v>477</v>
      </c>
      <c r="D708" s="764" t="s">
        <v>280</v>
      </c>
      <c r="E708" s="722">
        <v>16799.833299999998</v>
      </c>
      <c r="F708" s="722">
        <v>5821</v>
      </c>
      <c r="G708" s="722">
        <v>22620.833299999998</v>
      </c>
      <c r="H708" s="722">
        <v>25.6111808</v>
      </c>
      <c r="I708" s="722">
        <v>8.8740573000000005</v>
      </c>
      <c r="J708" s="722">
        <v>34.485238099999997</v>
      </c>
    </row>
    <row r="709" spans="2:10">
      <c r="B709" s="764" t="s">
        <v>123</v>
      </c>
      <c r="C709" s="764" t="s">
        <v>477</v>
      </c>
      <c r="D709" s="764" t="s">
        <v>281</v>
      </c>
      <c r="E709" s="722">
        <v>506306518.87180001</v>
      </c>
      <c r="F709" s="722">
        <v>90285383</v>
      </c>
      <c r="G709" s="722">
        <v>596591901.87179995</v>
      </c>
      <c r="H709" s="722">
        <v>771859.31222900003</v>
      </c>
      <c r="I709" s="722">
        <v>137639.17909250001</v>
      </c>
      <c r="J709" s="722">
        <v>909498.49132150004</v>
      </c>
    </row>
    <row r="710" spans="2:10">
      <c r="B710" s="764" t="s">
        <v>123</v>
      </c>
      <c r="C710" s="764" t="s">
        <v>478</v>
      </c>
      <c r="D710" s="764" t="s">
        <v>278</v>
      </c>
      <c r="E710" s="722">
        <v>540494868.28890002</v>
      </c>
      <c r="F710" s="722">
        <v>215307638</v>
      </c>
      <c r="G710" s="722">
        <v>755802506.28890002</v>
      </c>
      <c r="H710" s="722">
        <v>823979.1149251</v>
      </c>
      <c r="I710" s="722">
        <v>328234.37816810003</v>
      </c>
      <c r="J710" s="722">
        <v>1152213.4930930999</v>
      </c>
    </row>
    <row r="711" spans="2:10">
      <c r="B711" s="764" t="s">
        <v>123</v>
      </c>
      <c r="C711" s="764" t="s">
        <v>478</v>
      </c>
      <c r="D711" s="764" t="s">
        <v>279</v>
      </c>
      <c r="E711" s="722">
        <v>482039490.7324</v>
      </c>
      <c r="F711" s="722">
        <v>311932901.48000002</v>
      </c>
      <c r="G711" s="722">
        <v>793972392.21239996</v>
      </c>
      <c r="H711" s="722">
        <v>734864.46631779999</v>
      </c>
      <c r="I711" s="722">
        <v>475538.64274639997</v>
      </c>
      <c r="J711" s="722">
        <v>1210403.1090642</v>
      </c>
    </row>
    <row r="712" spans="2:10">
      <c r="B712" s="764" t="s">
        <v>123</v>
      </c>
      <c r="C712" s="764" t="s">
        <v>478</v>
      </c>
      <c r="D712" s="764" t="s">
        <v>280</v>
      </c>
      <c r="E712" s="722">
        <v>56775518.3697</v>
      </c>
      <c r="F712" s="722">
        <v>23939757</v>
      </c>
      <c r="G712" s="722">
        <v>80715275.3697</v>
      </c>
      <c r="H712" s="722">
        <v>86553.719786100002</v>
      </c>
      <c r="I712" s="722">
        <v>36495.924275500001</v>
      </c>
      <c r="J712" s="722">
        <v>123049.6440616</v>
      </c>
    </row>
    <row r="713" spans="2:10">
      <c r="B713" s="764" t="s">
        <v>123</v>
      </c>
      <c r="C713" s="764" t="s">
        <v>478</v>
      </c>
      <c r="D713" s="764" t="s">
        <v>281</v>
      </c>
      <c r="E713" s="722">
        <v>454504200.90100002</v>
      </c>
      <c r="F713" s="722">
        <v>109844288</v>
      </c>
      <c r="G713" s="722">
        <v>564348488.90100002</v>
      </c>
      <c r="H713" s="722">
        <v>692887.1875763</v>
      </c>
      <c r="I713" s="722">
        <v>167456.53754739999</v>
      </c>
      <c r="J713" s="722">
        <v>860343.72512379999</v>
      </c>
    </row>
    <row r="714" spans="2:10">
      <c r="B714" s="764" t="s">
        <v>124</v>
      </c>
      <c r="C714" s="764" t="s">
        <v>477</v>
      </c>
      <c r="D714" s="764" t="s">
        <v>278</v>
      </c>
      <c r="E714" s="722">
        <v>459838477.167</v>
      </c>
      <c r="F714" s="722">
        <v>47445839</v>
      </c>
      <c r="G714" s="722">
        <v>507284316.167</v>
      </c>
      <c r="H714" s="722">
        <v>701019.23932060006</v>
      </c>
      <c r="I714" s="722">
        <v>72330.715275499999</v>
      </c>
      <c r="J714" s="722">
        <v>773349.95459610003</v>
      </c>
    </row>
    <row r="715" spans="2:10">
      <c r="B715" s="764" t="s">
        <v>124</v>
      </c>
      <c r="C715" s="764" t="s">
        <v>477</v>
      </c>
      <c r="D715" s="764" t="s">
        <v>279</v>
      </c>
      <c r="E715" s="722">
        <v>1595192456.0465</v>
      </c>
      <c r="F715" s="722">
        <v>1544745668</v>
      </c>
      <c r="G715" s="722">
        <v>3139938124.0465002</v>
      </c>
      <c r="H715" s="722">
        <v>2431855.2222882002</v>
      </c>
      <c r="I715" s="722">
        <v>2354949.5896835001</v>
      </c>
      <c r="J715" s="722">
        <v>4786804.8119716998</v>
      </c>
    </row>
    <row r="716" spans="2:10">
      <c r="B716" s="764" t="s">
        <v>124</v>
      </c>
      <c r="C716" s="764" t="s">
        <v>477</v>
      </c>
      <c r="D716" s="764" t="s">
        <v>280</v>
      </c>
      <c r="E716" s="722">
        <v>1211196.169</v>
      </c>
      <c r="F716" s="722">
        <v>14000</v>
      </c>
      <c r="G716" s="722">
        <v>1225196.169</v>
      </c>
      <c r="H716" s="722">
        <v>1846.4566565</v>
      </c>
      <c r="I716" s="722">
        <v>21.342862400000001</v>
      </c>
      <c r="J716" s="722">
        <v>1867.7995189000001</v>
      </c>
    </row>
    <row r="717" spans="2:10">
      <c r="B717" s="764" t="s">
        <v>124</v>
      </c>
      <c r="C717" s="764" t="s">
        <v>477</v>
      </c>
      <c r="D717" s="764" t="s">
        <v>281</v>
      </c>
      <c r="E717" s="722">
        <v>1236351551.4744</v>
      </c>
      <c r="F717" s="722">
        <v>160478158</v>
      </c>
      <c r="G717" s="722">
        <v>1396829709.4744</v>
      </c>
      <c r="H717" s="722">
        <v>1884805.7898222001</v>
      </c>
      <c r="I717" s="722">
        <v>244647.3747517</v>
      </c>
      <c r="J717" s="722">
        <v>2129453.1645738999</v>
      </c>
    </row>
    <row r="718" spans="2:10">
      <c r="B718" s="764" t="s">
        <v>124</v>
      </c>
      <c r="C718" s="764" t="s">
        <v>478</v>
      </c>
      <c r="D718" s="764" t="s">
        <v>278</v>
      </c>
      <c r="E718" s="722">
        <v>656557949.62240005</v>
      </c>
      <c r="F718" s="722">
        <v>-75876605</v>
      </c>
      <c r="G718" s="722">
        <v>580681344.62240005</v>
      </c>
      <c r="H718" s="722">
        <v>1000916.1417934</v>
      </c>
      <c r="I718" s="722">
        <v>-115673.1386356</v>
      </c>
      <c r="J718" s="722">
        <v>885243.00315779995</v>
      </c>
    </row>
    <row r="719" spans="2:10">
      <c r="B719" s="764" t="s">
        <v>124</v>
      </c>
      <c r="C719" s="764" t="s">
        <v>478</v>
      </c>
      <c r="D719" s="764" t="s">
        <v>279</v>
      </c>
      <c r="E719" s="722">
        <v>1520947745.6844001</v>
      </c>
      <c r="F719" s="722">
        <v>1469822506</v>
      </c>
      <c r="G719" s="722">
        <v>2990770251.6844001</v>
      </c>
      <c r="H719" s="722">
        <v>2318669.8909904002</v>
      </c>
      <c r="I719" s="722">
        <v>2240729.9655312998</v>
      </c>
      <c r="J719" s="722">
        <v>4559399.8565216996</v>
      </c>
    </row>
    <row r="720" spans="2:10">
      <c r="B720" s="764" t="s">
        <v>124</v>
      </c>
      <c r="C720" s="764" t="s">
        <v>478</v>
      </c>
      <c r="D720" s="764" t="s">
        <v>280</v>
      </c>
      <c r="E720" s="722">
        <v>35.828299999999999</v>
      </c>
      <c r="F720" s="722">
        <v>0</v>
      </c>
      <c r="G720" s="722">
        <v>35.828299999999999</v>
      </c>
      <c r="H720" s="722">
        <v>5.4619899999999999E-2</v>
      </c>
      <c r="I720" s="722">
        <v>0</v>
      </c>
      <c r="J720" s="722">
        <v>5.4619899999999999E-2</v>
      </c>
    </row>
    <row r="721" spans="2:10">
      <c r="B721" s="764" t="s">
        <v>124</v>
      </c>
      <c r="C721" s="764" t="s">
        <v>478</v>
      </c>
      <c r="D721" s="764" t="s">
        <v>281</v>
      </c>
      <c r="E721" s="722">
        <v>1166274068.3289001</v>
      </c>
      <c r="F721" s="722">
        <v>204986694</v>
      </c>
      <c r="G721" s="722">
        <v>1371260762.3289001</v>
      </c>
      <c r="H721" s="722">
        <v>1777973.3554622</v>
      </c>
      <c r="I721" s="722">
        <v>312500.20047049999</v>
      </c>
      <c r="J721" s="722">
        <v>2090473.5559326001</v>
      </c>
    </row>
    <row r="722" spans="2:10">
      <c r="B722" s="764" t="s">
        <v>131</v>
      </c>
      <c r="C722" s="764" t="s">
        <v>477</v>
      </c>
      <c r="D722" s="764" t="s">
        <v>278</v>
      </c>
      <c r="E722" s="722">
        <v>9909053570.6338005</v>
      </c>
      <c r="F722" s="722">
        <v>4071671605</v>
      </c>
      <c r="G722" s="722">
        <v>13980725175.633801</v>
      </c>
      <c r="H722" s="722">
        <v>15106254.785959801</v>
      </c>
      <c r="I722" s="722">
        <v>6207223.3469572002</v>
      </c>
      <c r="J722" s="722">
        <v>21313478.132916901</v>
      </c>
    </row>
    <row r="723" spans="2:10">
      <c r="B723" s="764" t="s">
        <v>131</v>
      </c>
      <c r="C723" s="764" t="s">
        <v>477</v>
      </c>
      <c r="D723" s="764" t="s">
        <v>279</v>
      </c>
      <c r="E723" s="722">
        <v>11569033552.3286</v>
      </c>
      <c r="F723" s="722">
        <v>6959862178</v>
      </c>
      <c r="G723" s="722">
        <v>18528895730.328602</v>
      </c>
      <c r="H723" s="722">
        <v>17636877.9543912</v>
      </c>
      <c r="I723" s="722">
        <v>10610241.491439199</v>
      </c>
      <c r="J723" s="722">
        <v>28247119.445830401</v>
      </c>
    </row>
    <row r="724" spans="2:10">
      <c r="B724" s="764" t="s">
        <v>131</v>
      </c>
      <c r="C724" s="764" t="s">
        <v>477</v>
      </c>
      <c r="D724" s="764" t="s">
        <v>280</v>
      </c>
      <c r="E724" s="722">
        <v>11250167.7312</v>
      </c>
      <c r="F724" s="722">
        <v>121889293</v>
      </c>
      <c r="G724" s="722">
        <v>133139460.73119999</v>
      </c>
      <c r="H724" s="722">
        <v>17150.7701438</v>
      </c>
      <c r="I724" s="722">
        <v>185819.02929609999</v>
      </c>
      <c r="J724" s="722">
        <v>202969.7994399</v>
      </c>
    </row>
    <row r="725" spans="2:10">
      <c r="B725" s="764" t="s">
        <v>131</v>
      </c>
      <c r="C725" s="764" t="s">
        <v>477</v>
      </c>
      <c r="D725" s="764" t="s">
        <v>281</v>
      </c>
      <c r="E725" s="722">
        <v>9344161444.6215992</v>
      </c>
      <c r="F725" s="722">
        <v>1589720748</v>
      </c>
      <c r="G725" s="722">
        <v>10933882192.621599</v>
      </c>
      <c r="H725" s="722">
        <v>14245082.291402601</v>
      </c>
      <c r="I725" s="722">
        <v>2423513.6571451998</v>
      </c>
      <c r="J725" s="722">
        <v>16668595.948547799</v>
      </c>
    </row>
    <row r="726" spans="2:10">
      <c r="B726" s="764" t="s">
        <v>131</v>
      </c>
      <c r="C726" s="764" t="s">
        <v>478</v>
      </c>
      <c r="D726" s="764" t="s">
        <v>278</v>
      </c>
      <c r="E726" s="722">
        <v>11610689869.9333</v>
      </c>
      <c r="F726" s="722">
        <v>4454430999</v>
      </c>
      <c r="G726" s="722">
        <v>16062771237.9333</v>
      </c>
      <c r="H726" s="722">
        <v>17700382.6011969</v>
      </c>
      <c r="I726" s="722">
        <v>6790736.2814940996</v>
      </c>
      <c r="J726" s="722">
        <v>24487536.893322699</v>
      </c>
    </row>
    <row r="727" spans="2:10">
      <c r="B727" s="764" t="s">
        <v>131</v>
      </c>
      <c r="C727" s="764" t="s">
        <v>478</v>
      </c>
      <c r="D727" s="764" t="s">
        <v>279</v>
      </c>
      <c r="E727" s="722">
        <v>13857861942.6439</v>
      </c>
      <c r="F727" s="722">
        <v>8375384375</v>
      </c>
      <c r="G727" s="722">
        <v>22223114310.643902</v>
      </c>
      <c r="H727" s="722">
        <v>21126174.341677699</v>
      </c>
      <c r="I727" s="722">
        <v>12768191.169543101</v>
      </c>
      <c r="J727" s="722">
        <v>33878919.366122901</v>
      </c>
    </row>
    <row r="728" spans="2:10">
      <c r="B728" s="764" t="s">
        <v>131</v>
      </c>
      <c r="C728" s="764" t="s">
        <v>478</v>
      </c>
      <c r="D728" s="764" t="s">
        <v>280</v>
      </c>
      <c r="E728" s="722">
        <v>15967159.5176</v>
      </c>
      <c r="F728" s="722">
        <v>-369825384</v>
      </c>
      <c r="G728" s="722">
        <v>-353858224.4824</v>
      </c>
      <c r="H728" s="722">
        <v>24341.777765300001</v>
      </c>
      <c r="I728" s="722">
        <v>-563795.16340249998</v>
      </c>
      <c r="J728" s="722">
        <v>-539453.38563719997</v>
      </c>
    </row>
    <row r="729" spans="2:10">
      <c r="B729" s="764" t="s">
        <v>131</v>
      </c>
      <c r="C729" s="764" t="s">
        <v>478</v>
      </c>
      <c r="D729" s="764" t="s">
        <v>281</v>
      </c>
      <c r="E729" s="722">
        <v>9715584423.2563</v>
      </c>
      <c r="F729" s="722">
        <v>1779804360</v>
      </c>
      <c r="G729" s="722">
        <v>11494553183.2563</v>
      </c>
      <c r="H729" s="722">
        <v>14811312.972125201</v>
      </c>
      <c r="I729" s="722">
        <v>2713294.2555685998</v>
      </c>
      <c r="J729" s="722">
        <v>17523333.363705698</v>
      </c>
    </row>
    <row r="730" spans="2:10">
      <c r="B730" s="764" t="s">
        <v>132</v>
      </c>
      <c r="C730" s="764" t="s">
        <v>477</v>
      </c>
      <c r="D730" s="764" t="s">
        <v>278</v>
      </c>
      <c r="E730" s="722">
        <v>3254675836.8021002</v>
      </c>
      <c r="F730" s="722">
        <v>1799966463</v>
      </c>
      <c r="G730" s="722">
        <v>5054642299.8021002</v>
      </c>
      <c r="H730" s="722">
        <v>4961721.3274683002</v>
      </c>
      <c r="I730" s="722">
        <v>2744031.1834465</v>
      </c>
      <c r="J730" s="722">
        <v>7705752.5109147001</v>
      </c>
    </row>
    <row r="731" spans="2:10">
      <c r="B731" s="764" t="s">
        <v>132</v>
      </c>
      <c r="C731" s="764" t="s">
        <v>477</v>
      </c>
      <c r="D731" s="764" t="s">
        <v>279</v>
      </c>
      <c r="E731" s="722">
        <v>4204600529.1075001</v>
      </c>
      <c r="F731" s="722">
        <v>3922089905</v>
      </c>
      <c r="G731" s="722">
        <v>8126690434.1075001</v>
      </c>
      <c r="H731" s="722">
        <v>6409872.1853833003</v>
      </c>
      <c r="I731" s="722">
        <v>5979187.5153401997</v>
      </c>
      <c r="J731" s="722">
        <v>12389059.700723501</v>
      </c>
    </row>
    <row r="732" spans="2:10">
      <c r="B732" s="764" t="s">
        <v>132</v>
      </c>
      <c r="C732" s="764" t="s">
        <v>477</v>
      </c>
      <c r="D732" s="764" t="s">
        <v>280</v>
      </c>
      <c r="E732" s="722">
        <v>-103447674.71250001</v>
      </c>
      <c r="F732" s="722">
        <v>24284748</v>
      </c>
      <c r="G732" s="722">
        <v>-79162926.712500006</v>
      </c>
      <c r="H732" s="722">
        <v>-157704.96345420001</v>
      </c>
      <c r="I732" s="722">
        <v>37021.859664600001</v>
      </c>
      <c r="J732" s="722">
        <v>-120683.10378960001</v>
      </c>
    </row>
    <row r="733" spans="2:10">
      <c r="B733" s="764" t="s">
        <v>132</v>
      </c>
      <c r="C733" s="764" t="s">
        <v>477</v>
      </c>
      <c r="D733" s="764" t="s">
        <v>281</v>
      </c>
      <c r="E733" s="722">
        <v>1625981979.6921999</v>
      </c>
      <c r="F733" s="722">
        <v>397473650</v>
      </c>
      <c r="G733" s="722">
        <v>2023455629.6921999</v>
      </c>
      <c r="H733" s="722">
        <v>2478793.5484981001</v>
      </c>
      <c r="I733" s="722">
        <v>605944.67320269998</v>
      </c>
      <c r="J733" s="722">
        <v>3084738.2217008001</v>
      </c>
    </row>
    <row r="734" spans="2:10">
      <c r="B734" s="764" t="s">
        <v>132</v>
      </c>
      <c r="C734" s="764" t="s">
        <v>478</v>
      </c>
      <c r="D734" s="764" t="s">
        <v>278</v>
      </c>
      <c r="E734" s="722">
        <v>3712811032.7722001</v>
      </c>
      <c r="F734" s="722">
        <v>2353225763</v>
      </c>
      <c r="G734" s="722">
        <v>6066036795.7721996</v>
      </c>
      <c r="H734" s="722">
        <v>5660143.9313433999</v>
      </c>
      <c r="I734" s="722">
        <v>3587469.5490711001</v>
      </c>
      <c r="J734" s="722">
        <v>9247613.4804143999</v>
      </c>
    </row>
    <row r="735" spans="2:10">
      <c r="B735" s="764" t="s">
        <v>132</v>
      </c>
      <c r="C735" s="764" t="s">
        <v>478</v>
      </c>
      <c r="D735" s="764" t="s">
        <v>279</v>
      </c>
      <c r="E735" s="722">
        <v>4800647233.4987001</v>
      </c>
      <c r="F735" s="722">
        <v>2973563563</v>
      </c>
      <c r="G735" s="722">
        <v>7774210796.4987001</v>
      </c>
      <c r="H735" s="722">
        <v>7318539.5285037002</v>
      </c>
      <c r="I735" s="722">
        <v>4533168.4287232002</v>
      </c>
      <c r="J735" s="722">
        <v>11851707.9572269</v>
      </c>
    </row>
    <row r="736" spans="2:10">
      <c r="B736" s="764" t="s">
        <v>132</v>
      </c>
      <c r="C736" s="764" t="s">
        <v>478</v>
      </c>
      <c r="D736" s="764" t="s">
        <v>280</v>
      </c>
      <c r="E736" s="722">
        <v>-114642563.57539999</v>
      </c>
      <c r="F736" s="722">
        <v>15587662</v>
      </c>
      <c r="G736" s="722">
        <v>-99054901.575399995</v>
      </c>
      <c r="H736" s="722">
        <v>-174771.4615065</v>
      </c>
      <c r="I736" s="722">
        <v>23763.2375293</v>
      </c>
      <c r="J736" s="722">
        <v>-151008.22397719999</v>
      </c>
    </row>
    <row r="737" spans="2:10">
      <c r="B737" s="764" t="s">
        <v>132</v>
      </c>
      <c r="C737" s="764" t="s">
        <v>478</v>
      </c>
      <c r="D737" s="764" t="s">
        <v>281</v>
      </c>
      <c r="E737" s="722">
        <v>1577266089.5373001</v>
      </c>
      <c r="F737" s="722">
        <v>577989578</v>
      </c>
      <c r="G737" s="722">
        <v>2155255667.5373001</v>
      </c>
      <c r="H737" s="722">
        <v>2404526.6527184998</v>
      </c>
      <c r="I737" s="722">
        <v>881139.43139569997</v>
      </c>
      <c r="J737" s="722">
        <v>3285666.0841142</v>
      </c>
    </row>
    <row r="738" spans="2:10">
      <c r="B738" s="764" t="s">
        <v>135</v>
      </c>
      <c r="C738" s="764" t="s">
        <v>477</v>
      </c>
      <c r="D738" s="764" t="s">
        <v>278</v>
      </c>
      <c r="E738" s="722">
        <v>783369728.17079997</v>
      </c>
      <c r="F738" s="722">
        <v>570419361</v>
      </c>
      <c r="G738" s="722">
        <v>1353789089.1708</v>
      </c>
      <c r="H738" s="722">
        <v>1194239.4519318</v>
      </c>
      <c r="I738" s="722">
        <v>869598.70997640002</v>
      </c>
      <c r="J738" s="722">
        <v>2063838.1619082</v>
      </c>
    </row>
    <row r="739" spans="2:10">
      <c r="B739" s="764" t="s">
        <v>135</v>
      </c>
      <c r="C739" s="764" t="s">
        <v>477</v>
      </c>
      <c r="D739" s="764" t="s">
        <v>279</v>
      </c>
      <c r="E739" s="722">
        <v>161984368.95680001</v>
      </c>
      <c r="F739" s="722">
        <v>152526808</v>
      </c>
      <c r="G739" s="722">
        <v>314511176.95679998</v>
      </c>
      <c r="H739" s="722">
        <v>246943.5785529</v>
      </c>
      <c r="I739" s="722">
        <v>232525.61981959999</v>
      </c>
      <c r="J739" s="722">
        <v>479469.19837250002</v>
      </c>
    </row>
    <row r="740" spans="2:10">
      <c r="B740" s="764" t="s">
        <v>135</v>
      </c>
      <c r="C740" s="764" t="s">
        <v>477</v>
      </c>
      <c r="D740" s="764" t="s">
        <v>280</v>
      </c>
      <c r="E740" s="722">
        <v>-2888139.4794999999</v>
      </c>
      <c r="F740" s="722">
        <v>834173</v>
      </c>
      <c r="G740" s="722">
        <v>-2053966.4794999999</v>
      </c>
      <c r="H740" s="722">
        <v>-4402.9402528999999</v>
      </c>
      <c r="I740" s="722">
        <v>1271.6885405999999</v>
      </c>
      <c r="J740" s="722">
        <v>-3131.2517124000001</v>
      </c>
    </row>
    <row r="741" spans="2:10">
      <c r="B741" s="764" t="s">
        <v>135</v>
      </c>
      <c r="C741" s="764" t="s">
        <v>477</v>
      </c>
      <c r="D741" s="764" t="s">
        <v>281</v>
      </c>
      <c r="E741" s="722">
        <v>790346032.27489996</v>
      </c>
      <c r="F741" s="722">
        <v>387670612</v>
      </c>
      <c r="G741" s="722">
        <v>1178016644.2749</v>
      </c>
      <c r="H741" s="722">
        <v>1204874.7589779999</v>
      </c>
      <c r="I741" s="722">
        <v>591000.03811229998</v>
      </c>
      <c r="J741" s="722">
        <v>1795874.7970902</v>
      </c>
    </row>
    <row r="742" spans="2:10">
      <c r="B742" s="764" t="s">
        <v>135</v>
      </c>
      <c r="C742" s="764" t="s">
        <v>478</v>
      </c>
      <c r="D742" s="764" t="s">
        <v>278</v>
      </c>
      <c r="E742" s="722">
        <v>779857545.93019998</v>
      </c>
      <c r="F742" s="722">
        <v>607074300</v>
      </c>
      <c r="G742" s="722">
        <v>1386931845.9302001</v>
      </c>
      <c r="H742" s="722">
        <v>1188885.1646224</v>
      </c>
      <c r="I742" s="722">
        <v>925478.80425090005</v>
      </c>
      <c r="J742" s="722">
        <v>2114363.9688733001</v>
      </c>
    </row>
    <row r="743" spans="2:10">
      <c r="B743" s="764" t="s">
        <v>135</v>
      </c>
      <c r="C743" s="764" t="s">
        <v>478</v>
      </c>
      <c r="D743" s="764" t="s">
        <v>279</v>
      </c>
      <c r="E743" s="722">
        <v>187116682.57190001</v>
      </c>
      <c r="F743" s="722">
        <v>192884087</v>
      </c>
      <c r="G743" s="722">
        <v>380000769.57190001</v>
      </c>
      <c r="H743" s="722">
        <v>285257.54366810003</v>
      </c>
      <c r="I743" s="722">
        <v>294049.89503890002</v>
      </c>
      <c r="J743" s="722">
        <v>579307.43870699999</v>
      </c>
    </row>
    <row r="744" spans="2:10">
      <c r="B744" s="764" t="s">
        <v>135</v>
      </c>
      <c r="C744" s="764" t="s">
        <v>478</v>
      </c>
      <c r="D744" s="764" t="s">
        <v>280</v>
      </c>
      <c r="E744" s="722">
        <v>-1291862.9564</v>
      </c>
      <c r="F744" s="722">
        <v>199007</v>
      </c>
      <c r="G744" s="722">
        <v>-1092855.9564</v>
      </c>
      <c r="H744" s="722">
        <v>-1969.4323810999999</v>
      </c>
      <c r="I744" s="722">
        <v>303.38421570000003</v>
      </c>
      <c r="J744" s="722">
        <v>-1666.0481654</v>
      </c>
    </row>
    <row r="745" spans="2:10">
      <c r="B745" s="764" t="s">
        <v>135</v>
      </c>
      <c r="C745" s="764" t="s">
        <v>478</v>
      </c>
      <c r="D745" s="764" t="s">
        <v>281</v>
      </c>
      <c r="E745" s="722">
        <v>1058718530.0503</v>
      </c>
      <c r="F745" s="722">
        <v>434561159</v>
      </c>
      <c r="G745" s="722">
        <v>1493223946.0502999</v>
      </c>
      <c r="H745" s="722">
        <v>1614005.994372</v>
      </c>
      <c r="I745" s="722">
        <v>662484.21619099996</v>
      </c>
      <c r="J745" s="722">
        <v>2276405.2309074001</v>
      </c>
    </row>
    <row r="746" spans="2:10">
      <c r="B746" s="764" t="s">
        <v>136</v>
      </c>
      <c r="C746" s="764" t="s">
        <v>477</v>
      </c>
      <c r="D746" s="764" t="s">
        <v>278</v>
      </c>
      <c r="E746" s="722">
        <v>-2195159.9663999998</v>
      </c>
      <c r="F746" s="722">
        <v>3248538.89</v>
      </c>
      <c r="G746" s="722">
        <v>1053378.9236000001</v>
      </c>
      <c r="H746" s="722">
        <v>-319026.85245900002</v>
      </c>
      <c r="I746" s="722">
        <v>472116.45302870002</v>
      </c>
      <c r="J746" s="722">
        <v>153089.60056970001</v>
      </c>
    </row>
    <row r="747" spans="2:10">
      <c r="B747" s="764" t="s">
        <v>136</v>
      </c>
      <c r="C747" s="764" t="s">
        <v>477</v>
      </c>
      <c r="D747" s="764" t="s">
        <v>279</v>
      </c>
      <c r="E747" s="722">
        <v>3664609.6907000002</v>
      </c>
      <c r="F747" s="722">
        <v>10264951.199999999</v>
      </c>
      <c r="G747" s="722">
        <v>13929560.890699999</v>
      </c>
      <c r="H747" s="722">
        <v>532584.82890069997</v>
      </c>
      <c r="I747" s="722">
        <v>1491825.2528776</v>
      </c>
      <c r="J747" s="722">
        <v>2024410.0817783</v>
      </c>
    </row>
    <row r="748" spans="2:10">
      <c r="B748" s="764" t="s">
        <v>136</v>
      </c>
      <c r="C748" s="764" t="s">
        <v>477</v>
      </c>
      <c r="D748" s="764" t="s">
        <v>280</v>
      </c>
      <c r="E748" s="722">
        <v>-1836.9929999999999</v>
      </c>
      <c r="F748" s="722">
        <v>18751.38</v>
      </c>
      <c r="G748" s="722">
        <v>16914.386999999999</v>
      </c>
      <c r="H748" s="722">
        <v>-266.97375310000001</v>
      </c>
      <c r="I748" s="722">
        <v>2725.1743983000001</v>
      </c>
      <c r="J748" s="722">
        <v>2458.2006452999999</v>
      </c>
    </row>
    <row r="749" spans="2:10">
      <c r="B749" s="764" t="s">
        <v>136</v>
      </c>
      <c r="C749" s="764" t="s">
        <v>477</v>
      </c>
      <c r="D749" s="764" t="s">
        <v>281</v>
      </c>
      <c r="E749" s="722">
        <v>1674975.9594000001</v>
      </c>
      <c r="F749" s="722">
        <v>1273650.56</v>
      </c>
      <c r="G749" s="722">
        <v>2948626.5194000001</v>
      </c>
      <c r="H749" s="722">
        <v>243427.50252879999</v>
      </c>
      <c r="I749" s="722">
        <v>185102.1044065</v>
      </c>
      <c r="J749" s="722">
        <v>428529.60693519999</v>
      </c>
    </row>
    <row r="750" spans="2:10">
      <c r="B750" s="764" t="s">
        <v>136</v>
      </c>
      <c r="C750" s="764" t="s">
        <v>478</v>
      </c>
      <c r="D750" s="764" t="s">
        <v>278</v>
      </c>
      <c r="E750" s="722">
        <v>-5087622.2407999998</v>
      </c>
      <c r="F750" s="722">
        <v>3296431.78</v>
      </c>
      <c r="G750" s="722">
        <v>-1791190.4608</v>
      </c>
      <c r="H750" s="722">
        <v>-655131.7624456</v>
      </c>
      <c r="I750" s="722">
        <v>424480.64333360002</v>
      </c>
      <c r="J750" s="722">
        <v>-230651.11911199999</v>
      </c>
    </row>
    <row r="751" spans="2:10">
      <c r="B751" s="764" t="s">
        <v>136</v>
      </c>
      <c r="C751" s="764" t="s">
        <v>478</v>
      </c>
      <c r="D751" s="764" t="s">
        <v>279</v>
      </c>
      <c r="E751" s="722">
        <v>13236.5617</v>
      </c>
      <c r="F751" s="722">
        <v>13093067.16</v>
      </c>
      <c r="G751" s="722">
        <v>13106303.7217</v>
      </c>
      <c r="H751" s="722">
        <v>1704.4685287</v>
      </c>
      <c r="I751" s="722">
        <v>1685990.7749363</v>
      </c>
      <c r="J751" s="722">
        <v>1687695.2434648999</v>
      </c>
    </row>
    <row r="752" spans="2:10">
      <c r="B752" s="764" t="s">
        <v>136</v>
      </c>
      <c r="C752" s="764" t="s">
        <v>478</v>
      </c>
      <c r="D752" s="764" t="s">
        <v>280</v>
      </c>
      <c r="E752" s="722">
        <v>-11225.912</v>
      </c>
      <c r="F752" s="722">
        <v>22495.23</v>
      </c>
      <c r="G752" s="722">
        <v>11269.317999999999</v>
      </c>
      <c r="H752" s="722">
        <v>-1445.5577017000001</v>
      </c>
      <c r="I752" s="722">
        <v>2896.7047825</v>
      </c>
      <c r="J752" s="722">
        <v>1451.1470807999999</v>
      </c>
    </row>
    <row r="753" spans="2:10">
      <c r="B753" s="764" t="s">
        <v>136</v>
      </c>
      <c r="C753" s="764" t="s">
        <v>478</v>
      </c>
      <c r="D753" s="764" t="s">
        <v>281</v>
      </c>
      <c r="E753" s="722">
        <v>516643.03700000001</v>
      </c>
      <c r="F753" s="722">
        <v>3801192.51</v>
      </c>
      <c r="G753" s="722">
        <v>4317835.5470000003</v>
      </c>
      <c r="H753" s="722">
        <v>66527.986427700002</v>
      </c>
      <c r="I753" s="722">
        <v>489478.54824999999</v>
      </c>
      <c r="J753" s="722">
        <v>556006.53467770002</v>
      </c>
    </row>
    <row r="754" spans="2:10">
      <c r="B754" s="764" t="s">
        <v>137</v>
      </c>
      <c r="C754" s="764" t="s">
        <v>477</v>
      </c>
      <c r="D754" s="764" t="s">
        <v>278</v>
      </c>
      <c r="E754" s="722">
        <v>15803660190.384199</v>
      </c>
      <c r="F754" s="722">
        <v>7151583442</v>
      </c>
      <c r="G754" s="722">
        <v>22955243632.384201</v>
      </c>
      <c r="H754" s="722">
        <v>1372003.9023936</v>
      </c>
      <c r="I754" s="722">
        <v>620868.85395619995</v>
      </c>
      <c r="J754" s="722">
        <v>1992872.7563497999</v>
      </c>
    </row>
    <row r="755" spans="2:10">
      <c r="B755" s="764" t="s">
        <v>137</v>
      </c>
      <c r="C755" s="764" t="s">
        <v>477</v>
      </c>
      <c r="D755" s="764" t="s">
        <v>279</v>
      </c>
      <c r="E755" s="722">
        <v>24960777308.141102</v>
      </c>
      <c r="F755" s="722">
        <v>20457376569</v>
      </c>
      <c r="G755" s="722">
        <v>45418153877.141098</v>
      </c>
      <c r="H755" s="722">
        <v>2166984.3226814</v>
      </c>
      <c r="I755" s="722">
        <v>1776018.9821394</v>
      </c>
      <c r="J755" s="722">
        <v>3943003.3048208999</v>
      </c>
    </row>
    <row r="756" spans="2:10">
      <c r="B756" s="764" t="s">
        <v>137</v>
      </c>
      <c r="C756" s="764" t="s">
        <v>477</v>
      </c>
      <c r="D756" s="764" t="s">
        <v>280</v>
      </c>
      <c r="E756" s="722">
        <v>116380932.5851</v>
      </c>
      <c r="F756" s="722">
        <v>7218574</v>
      </c>
      <c r="G756" s="722">
        <v>123599506.5851</v>
      </c>
      <c r="H756" s="722">
        <v>10103.6779928</v>
      </c>
      <c r="I756" s="722">
        <v>626.68467799999996</v>
      </c>
      <c r="J756" s="722">
        <v>10730.362670799999</v>
      </c>
    </row>
    <row r="757" spans="2:10">
      <c r="B757" s="764" t="s">
        <v>137</v>
      </c>
      <c r="C757" s="764" t="s">
        <v>477</v>
      </c>
      <c r="D757" s="764" t="s">
        <v>281</v>
      </c>
      <c r="E757" s="722">
        <v>9429058185.9452991</v>
      </c>
      <c r="F757" s="722">
        <v>1093338198</v>
      </c>
      <c r="G757" s="722">
        <v>10522396383.945299</v>
      </c>
      <c r="H757" s="722">
        <v>818589.14145</v>
      </c>
      <c r="I757" s="722">
        <v>94918.788193400003</v>
      </c>
      <c r="J757" s="722">
        <v>913507.92964340001</v>
      </c>
    </row>
    <row r="758" spans="2:10">
      <c r="B758" s="764" t="s">
        <v>137</v>
      </c>
      <c r="C758" s="764" t="s">
        <v>478</v>
      </c>
      <c r="D758" s="764" t="s">
        <v>278</v>
      </c>
      <c r="E758" s="722">
        <v>21657723262.577301</v>
      </c>
      <c r="F758" s="722">
        <v>7562514980</v>
      </c>
      <c r="G758" s="722">
        <v>29219530058.577301</v>
      </c>
      <c r="H758" s="722">
        <v>2486100.6238929001</v>
      </c>
      <c r="I758" s="722">
        <v>868104.78562460002</v>
      </c>
      <c r="J758" s="722">
        <v>3354124.1167305</v>
      </c>
    </row>
    <row r="759" spans="2:10">
      <c r="B759" s="764" t="s">
        <v>137</v>
      </c>
      <c r="C759" s="764" t="s">
        <v>478</v>
      </c>
      <c r="D759" s="764" t="s">
        <v>279</v>
      </c>
      <c r="E759" s="722">
        <v>21245486464.7812</v>
      </c>
      <c r="F759" s="722">
        <v>20376264456</v>
      </c>
      <c r="G759" s="722">
        <v>41617413146.781197</v>
      </c>
      <c r="H759" s="722">
        <v>2438779.7606715998</v>
      </c>
      <c r="I759" s="722">
        <v>2339001.3420385998</v>
      </c>
      <c r="J759" s="722">
        <v>4777283.1675155004</v>
      </c>
    </row>
    <row r="760" spans="2:10">
      <c r="B760" s="764" t="s">
        <v>137</v>
      </c>
      <c r="C760" s="764" t="s">
        <v>478</v>
      </c>
      <c r="D760" s="764" t="s">
        <v>280</v>
      </c>
      <c r="E760" s="722">
        <v>47273.805699999997</v>
      </c>
      <c r="F760" s="722">
        <v>0</v>
      </c>
      <c r="G760" s="722">
        <v>47273.805699999997</v>
      </c>
      <c r="H760" s="722">
        <v>5.4265831999999996</v>
      </c>
      <c r="I760" s="722">
        <v>0</v>
      </c>
      <c r="J760" s="722">
        <v>5.4265831999999996</v>
      </c>
    </row>
    <row r="761" spans="2:10">
      <c r="B761" s="764" t="s">
        <v>137</v>
      </c>
      <c r="C761" s="764" t="s">
        <v>478</v>
      </c>
      <c r="D761" s="764" t="s">
        <v>281</v>
      </c>
      <c r="E761" s="722">
        <v>42245408675.794403</v>
      </c>
      <c r="F761" s="722">
        <v>2445574425</v>
      </c>
      <c r="G761" s="722">
        <v>44690879008.794403</v>
      </c>
      <c r="H761" s="722">
        <v>4849371.0807996001</v>
      </c>
      <c r="I761" s="722">
        <v>280728.68186820002</v>
      </c>
      <c r="J761" s="722">
        <v>5130087.8138961997</v>
      </c>
    </row>
    <row r="762" spans="2:10">
      <c r="B762" s="764" t="s">
        <v>138</v>
      </c>
      <c r="C762" s="764" t="s">
        <v>477</v>
      </c>
      <c r="D762" s="764" t="s">
        <v>278</v>
      </c>
      <c r="E762" s="722">
        <v>18199596481.485199</v>
      </c>
      <c r="F762" s="722">
        <v>5411375844.5200005</v>
      </c>
      <c r="G762" s="722">
        <v>23610972326.005199</v>
      </c>
      <c r="H762" s="722">
        <v>4036658.2120058001</v>
      </c>
      <c r="I762" s="722">
        <v>1200239.5087855</v>
      </c>
      <c r="J762" s="722">
        <v>5236897.7207912998</v>
      </c>
    </row>
    <row r="763" spans="2:10">
      <c r="B763" s="764" t="s">
        <v>138</v>
      </c>
      <c r="C763" s="764" t="s">
        <v>477</v>
      </c>
      <c r="D763" s="764" t="s">
        <v>279</v>
      </c>
      <c r="E763" s="722">
        <v>32908570030.648998</v>
      </c>
      <c r="F763" s="722">
        <v>15550723810.02</v>
      </c>
      <c r="G763" s="722">
        <v>48459293840.668999</v>
      </c>
      <c r="H763" s="722">
        <v>7299098.6143418001</v>
      </c>
      <c r="I763" s="722">
        <v>3449140.0418801</v>
      </c>
      <c r="J763" s="722">
        <v>10748238.6562219</v>
      </c>
    </row>
    <row r="764" spans="2:10">
      <c r="B764" s="764" t="s">
        <v>138</v>
      </c>
      <c r="C764" s="764" t="s">
        <v>477</v>
      </c>
      <c r="D764" s="764" t="s">
        <v>280</v>
      </c>
      <c r="E764" s="722">
        <v>1760717.0723999999</v>
      </c>
      <c r="F764" s="722">
        <v>1435667.44</v>
      </c>
      <c r="G764" s="722">
        <v>3196384.5123999999</v>
      </c>
      <c r="H764" s="722">
        <v>390.52585790000001</v>
      </c>
      <c r="I764" s="722">
        <v>318.43006889999998</v>
      </c>
      <c r="J764" s="722">
        <v>708.95592680000004</v>
      </c>
    </row>
    <row r="765" spans="2:10">
      <c r="B765" s="764" t="s">
        <v>138</v>
      </c>
      <c r="C765" s="764" t="s">
        <v>477</v>
      </c>
      <c r="D765" s="764" t="s">
        <v>281</v>
      </c>
      <c r="E765" s="722">
        <v>5758107052.8292999</v>
      </c>
      <c r="F765" s="722">
        <v>1253407002.7</v>
      </c>
      <c r="G765" s="722">
        <v>7011514055.5292997</v>
      </c>
      <c r="H765" s="722">
        <v>1277144.2566904</v>
      </c>
      <c r="I765" s="722">
        <v>278004.82695219998</v>
      </c>
      <c r="J765" s="722">
        <v>1555149.0836426001</v>
      </c>
    </row>
    <row r="766" spans="2:10">
      <c r="B766" s="764" t="s">
        <v>138</v>
      </c>
      <c r="C766" s="764" t="s">
        <v>478</v>
      </c>
      <c r="D766" s="764" t="s">
        <v>278</v>
      </c>
      <c r="E766" s="722">
        <v>17573670532.547501</v>
      </c>
      <c r="F766" s="722">
        <v>5540144398.3000002</v>
      </c>
      <c r="G766" s="722">
        <v>23113814930.8475</v>
      </c>
      <c r="H766" s="722">
        <v>4207559.2233437002</v>
      </c>
      <c r="I766" s="722">
        <v>1326443.762477</v>
      </c>
      <c r="J766" s="722">
        <v>5534002.9858207004</v>
      </c>
    </row>
    <row r="767" spans="2:10">
      <c r="B767" s="764" t="s">
        <v>138</v>
      </c>
      <c r="C767" s="764" t="s">
        <v>478</v>
      </c>
      <c r="D767" s="764" t="s">
        <v>279</v>
      </c>
      <c r="E767" s="722">
        <v>37050998495.670799</v>
      </c>
      <c r="F767" s="722">
        <v>18258776878.919998</v>
      </c>
      <c r="G767" s="722">
        <v>55309775374.590797</v>
      </c>
      <c r="H767" s="722">
        <v>8870899.8023962993</v>
      </c>
      <c r="I767" s="722">
        <v>4371590.1536670998</v>
      </c>
      <c r="J767" s="722">
        <v>13242489.9560635</v>
      </c>
    </row>
    <row r="768" spans="2:10">
      <c r="B768" s="764" t="s">
        <v>138</v>
      </c>
      <c r="C768" s="764" t="s">
        <v>478</v>
      </c>
      <c r="D768" s="764" t="s">
        <v>280</v>
      </c>
      <c r="E768" s="722">
        <v>1968247.7309999999</v>
      </c>
      <c r="F768" s="722">
        <v>741884.03</v>
      </c>
      <c r="G768" s="722">
        <v>2710131.7609999999</v>
      </c>
      <c r="H768" s="722">
        <v>471.24582650000002</v>
      </c>
      <c r="I768" s="722">
        <v>177.62487279999999</v>
      </c>
      <c r="J768" s="722">
        <v>648.87069929999996</v>
      </c>
    </row>
    <row r="769" spans="2:10">
      <c r="B769" s="764" t="s">
        <v>138</v>
      </c>
      <c r="C769" s="764" t="s">
        <v>478</v>
      </c>
      <c r="D769" s="764" t="s">
        <v>281</v>
      </c>
      <c r="E769" s="722">
        <v>6675278027.0839005</v>
      </c>
      <c r="F769" s="722">
        <v>1566028068.8199999</v>
      </c>
      <c r="G769" s="722">
        <v>8241306095.9039001</v>
      </c>
      <c r="H769" s="722">
        <v>1598222.0435522001</v>
      </c>
      <c r="I769" s="722">
        <v>374944.76937960001</v>
      </c>
      <c r="J769" s="722">
        <v>1973166.8129316999</v>
      </c>
    </row>
    <row r="770" spans="2:10">
      <c r="B770" s="764" t="s">
        <v>139</v>
      </c>
      <c r="C770" s="764" t="s">
        <v>477</v>
      </c>
      <c r="D770" s="764" t="s">
        <v>278</v>
      </c>
      <c r="E770" s="722">
        <v>12160593.076199999</v>
      </c>
      <c r="F770" s="722">
        <v>17504123.940000001</v>
      </c>
      <c r="G770" s="722">
        <v>29664717.016199999</v>
      </c>
      <c r="H770" s="722">
        <v>283529.79893220001</v>
      </c>
      <c r="I770" s="722">
        <v>408116.6691536</v>
      </c>
      <c r="J770" s="722">
        <v>691646.46808579995</v>
      </c>
    </row>
    <row r="771" spans="2:10">
      <c r="B771" s="764" t="s">
        <v>139</v>
      </c>
      <c r="C771" s="764" t="s">
        <v>477</v>
      </c>
      <c r="D771" s="764" t="s">
        <v>279</v>
      </c>
      <c r="E771" s="722">
        <v>46231564.258100003</v>
      </c>
      <c r="F771" s="722">
        <v>55433427.210000001</v>
      </c>
      <c r="G771" s="722">
        <v>101664991.4681</v>
      </c>
      <c r="H771" s="722">
        <v>1077910.1016110999</v>
      </c>
      <c r="I771" s="722">
        <v>1292455.7521567</v>
      </c>
      <c r="J771" s="722">
        <v>2370365.8537678001</v>
      </c>
    </row>
    <row r="772" spans="2:10">
      <c r="B772" s="764" t="s">
        <v>139</v>
      </c>
      <c r="C772" s="764" t="s">
        <v>477</v>
      </c>
      <c r="D772" s="764" t="s">
        <v>280</v>
      </c>
      <c r="E772" s="722">
        <v>-3802624.9575999998</v>
      </c>
      <c r="F772" s="722">
        <v>14929.17</v>
      </c>
      <c r="G772" s="722">
        <v>-3787695.7875999999</v>
      </c>
      <c r="H772" s="722">
        <v>-88659.943054300005</v>
      </c>
      <c r="I772" s="722">
        <v>348.08043830000003</v>
      </c>
      <c r="J772" s="722">
        <v>-88311.862615999999</v>
      </c>
    </row>
    <row r="773" spans="2:10">
      <c r="B773" s="764" t="s">
        <v>139</v>
      </c>
      <c r="C773" s="764" t="s">
        <v>477</v>
      </c>
      <c r="D773" s="764" t="s">
        <v>281</v>
      </c>
      <c r="E773" s="722">
        <v>11100507.8541</v>
      </c>
      <c r="F773" s="722">
        <v>5231370.91</v>
      </c>
      <c r="G773" s="722">
        <v>16331878.7641</v>
      </c>
      <c r="H773" s="722">
        <v>258813.42630220001</v>
      </c>
      <c r="I773" s="722">
        <v>121971.8095127</v>
      </c>
      <c r="J773" s="722">
        <v>380785.23581490002</v>
      </c>
    </row>
    <row r="774" spans="2:10">
      <c r="B774" s="764" t="s">
        <v>139</v>
      </c>
      <c r="C774" s="764" t="s">
        <v>478</v>
      </c>
      <c r="D774" s="764" t="s">
        <v>278</v>
      </c>
      <c r="E774" s="722">
        <v>14205003.1501</v>
      </c>
      <c r="F774" s="722">
        <v>24655304.449999999</v>
      </c>
      <c r="G774" s="722">
        <v>38860307.600100003</v>
      </c>
      <c r="H774" s="722">
        <v>373128.53034150001</v>
      </c>
      <c r="I774" s="722">
        <v>647630.79721570003</v>
      </c>
      <c r="J774" s="722">
        <v>1020759.3275571</v>
      </c>
    </row>
    <row r="775" spans="2:10">
      <c r="B775" s="764" t="s">
        <v>139</v>
      </c>
      <c r="C775" s="764" t="s">
        <v>478</v>
      </c>
      <c r="D775" s="764" t="s">
        <v>279</v>
      </c>
      <c r="E775" s="722">
        <v>50977921.907799996</v>
      </c>
      <c r="F775" s="722">
        <v>53384392.600000001</v>
      </c>
      <c r="G775" s="722">
        <v>104362314.5078</v>
      </c>
      <c r="H775" s="722">
        <v>1339057.5757237</v>
      </c>
      <c r="I775" s="722">
        <v>1402269.3091672999</v>
      </c>
      <c r="J775" s="722">
        <v>2741326.8848910001</v>
      </c>
    </row>
    <row r="776" spans="2:10">
      <c r="B776" s="764" t="s">
        <v>139</v>
      </c>
      <c r="C776" s="764" t="s">
        <v>478</v>
      </c>
      <c r="D776" s="764" t="s">
        <v>280</v>
      </c>
      <c r="E776" s="722">
        <v>-3943922.5040000002</v>
      </c>
      <c r="F776" s="722">
        <v>56395.33</v>
      </c>
      <c r="G776" s="722">
        <v>-3887527.1740000001</v>
      </c>
      <c r="H776" s="722">
        <v>-103596.5984765</v>
      </c>
      <c r="I776" s="722">
        <v>1481.3588127</v>
      </c>
      <c r="J776" s="722">
        <v>-102115.23966380001</v>
      </c>
    </row>
    <row r="777" spans="2:10">
      <c r="B777" s="764" t="s">
        <v>139</v>
      </c>
      <c r="C777" s="764" t="s">
        <v>478</v>
      </c>
      <c r="D777" s="764" t="s">
        <v>281</v>
      </c>
      <c r="E777" s="722">
        <v>185433.51809999999</v>
      </c>
      <c r="F777" s="722">
        <v>6073827.2800000003</v>
      </c>
      <c r="G777" s="722">
        <v>6259260.7981000002</v>
      </c>
      <c r="H777" s="722">
        <v>4870.8567928000002</v>
      </c>
      <c r="I777" s="722">
        <v>159543.66377730001</v>
      </c>
      <c r="J777" s="722">
        <v>164414.52056999999</v>
      </c>
    </row>
    <row r="778" spans="2:10">
      <c r="B778" s="764" t="s">
        <v>141</v>
      </c>
      <c r="C778" s="764" t="s">
        <v>477</v>
      </c>
      <c r="D778" s="764" t="s">
        <v>278</v>
      </c>
      <c r="E778" s="722">
        <v>3617896604.9229002</v>
      </c>
      <c r="F778" s="722">
        <v>815057724</v>
      </c>
      <c r="G778" s="722">
        <v>4432954328.9229002</v>
      </c>
      <c r="H778" s="722">
        <v>5515447.8188706003</v>
      </c>
      <c r="I778" s="722">
        <v>1242547.4901556</v>
      </c>
      <c r="J778" s="722">
        <v>6757995.3090262003</v>
      </c>
    </row>
    <row r="779" spans="2:10">
      <c r="B779" s="764" t="s">
        <v>141</v>
      </c>
      <c r="C779" s="764" t="s">
        <v>477</v>
      </c>
      <c r="D779" s="764" t="s">
        <v>279</v>
      </c>
      <c r="E779" s="722">
        <v>4878782460.8823004</v>
      </c>
      <c r="F779" s="722">
        <v>2360559579</v>
      </c>
      <c r="G779" s="722">
        <v>7239342039.8823004</v>
      </c>
      <c r="H779" s="722">
        <v>7437655.9147661999</v>
      </c>
      <c r="I779" s="722">
        <v>3598649.8794891001</v>
      </c>
      <c r="J779" s="722">
        <v>11036305.794255299</v>
      </c>
    </row>
    <row r="780" spans="2:10">
      <c r="B780" s="764" t="s">
        <v>141</v>
      </c>
      <c r="C780" s="764" t="s">
        <v>477</v>
      </c>
      <c r="D780" s="764" t="s">
        <v>280</v>
      </c>
      <c r="E780" s="722">
        <v>-391231585.08660001</v>
      </c>
      <c r="F780" s="722">
        <v>22958949</v>
      </c>
      <c r="G780" s="722">
        <v>-368272636.08660001</v>
      </c>
      <c r="H780" s="722">
        <v>-596428.70658690005</v>
      </c>
      <c r="I780" s="722">
        <v>35000.692118500003</v>
      </c>
      <c r="J780" s="722">
        <v>-561428.01446830004</v>
      </c>
    </row>
    <row r="781" spans="2:10">
      <c r="B781" s="764" t="s">
        <v>141</v>
      </c>
      <c r="C781" s="764" t="s">
        <v>477</v>
      </c>
      <c r="D781" s="764" t="s">
        <v>281</v>
      </c>
      <c r="E781" s="722">
        <v>4472583999.2082005</v>
      </c>
      <c r="F781" s="722">
        <v>290681575</v>
      </c>
      <c r="G781" s="722">
        <v>4763265574.2082005</v>
      </c>
      <c r="H781" s="722">
        <v>6818410.3519106004</v>
      </c>
      <c r="I781" s="722">
        <v>443141.20437769999</v>
      </c>
      <c r="J781" s="722">
        <v>7261551.5562883001</v>
      </c>
    </row>
    <row r="782" spans="2:10">
      <c r="B782" s="764" t="s">
        <v>141</v>
      </c>
      <c r="C782" s="764" t="s">
        <v>478</v>
      </c>
      <c r="D782" s="764" t="s">
        <v>278</v>
      </c>
      <c r="E782" s="722">
        <v>3554801894.0251002</v>
      </c>
      <c r="F782" s="722">
        <v>869245528</v>
      </c>
      <c r="G782" s="722">
        <v>4424044430.0250998</v>
      </c>
      <c r="H782" s="722">
        <v>5419260.5521780998</v>
      </c>
      <c r="I782" s="722">
        <v>1325156.2648161</v>
      </c>
      <c r="J782" s="722">
        <v>6744412.2557196999</v>
      </c>
    </row>
    <row r="783" spans="2:10">
      <c r="B783" s="764" t="s">
        <v>141</v>
      </c>
      <c r="C783" s="764" t="s">
        <v>478</v>
      </c>
      <c r="D783" s="764" t="s">
        <v>279</v>
      </c>
      <c r="E783" s="722">
        <v>3161172141.5581999</v>
      </c>
      <c r="F783" s="722">
        <v>1861708927.6199999</v>
      </c>
      <c r="G783" s="722">
        <v>5022878077.1781998</v>
      </c>
      <c r="H783" s="722">
        <v>4819175.8629882997</v>
      </c>
      <c r="I783" s="722">
        <v>2838156.9639778002</v>
      </c>
      <c r="J783" s="722">
        <v>7657328.2656915002</v>
      </c>
    </row>
    <row r="784" spans="2:10">
      <c r="B784" s="764" t="s">
        <v>141</v>
      </c>
      <c r="C784" s="764" t="s">
        <v>478</v>
      </c>
      <c r="D784" s="764" t="s">
        <v>280</v>
      </c>
      <c r="E784" s="722">
        <v>-8359399.5948999999</v>
      </c>
      <c r="F784" s="722">
        <v>150298</v>
      </c>
      <c r="G784" s="722">
        <v>-8209101.5948999999</v>
      </c>
      <c r="H784" s="722">
        <v>-12743.8225294</v>
      </c>
      <c r="I784" s="722">
        <v>229.12782390000001</v>
      </c>
      <c r="J784" s="722">
        <v>-12514.694705399999</v>
      </c>
    </row>
    <row r="785" spans="1:10">
      <c r="B785" s="764" t="s">
        <v>141</v>
      </c>
      <c r="C785" s="764" t="s">
        <v>478</v>
      </c>
      <c r="D785" s="764" t="s">
        <v>281</v>
      </c>
      <c r="E785" s="722">
        <v>6494931948.2177</v>
      </c>
      <c r="F785" s="722">
        <v>510881434.08999997</v>
      </c>
      <c r="G785" s="722">
        <v>7005813382.3077002</v>
      </c>
      <c r="H785" s="722">
        <v>9901459.9252965003</v>
      </c>
      <c r="I785" s="722">
        <v>778833.72551859997</v>
      </c>
      <c r="J785" s="722">
        <v>10680293.650815099</v>
      </c>
    </row>
    <row r="786" spans="1:10">
      <c r="B786" s="764" t="s">
        <v>140</v>
      </c>
      <c r="C786" s="764" t="s">
        <v>477</v>
      </c>
      <c r="D786" s="764" t="s">
        <v>278</v>
      </c>
      <c r="E786" s="722">
        <v>561273378.69099998</v>
      </c>
      <c r="F786" s="722">
        <v>331069215</v>
      </c>
      <c r="G786" s="722">
        <v>892342593.69099998</v>
      </c>
      <c r="H786" s="722">
        <v>855655.74982959998</v>
      </c>
      <c r="I786" s="722">
        <v>504711.76464309997</v>
      </c>
      <c r="J786" s="722">
        <v>1360367.5144727</v>
      </c>
    </row>
    <row r="787" spans="1:10">
      <c r="B787" s="764" t="s">
        <v>140</v>
      </c>
      <c r="C787" s="764" t="s">
        <v>477</v>
      </c>
      <c r="D787" s="764" t="s">
        <v>279</v>
      </c>
      <c r="E787" s="722">
        <v>1069889850.9707</v>
      </c>
      <c r="F787" s="722">
        <v>1077543355</v>
      </c>
      <c r="G787" s="722">
        <v>2147433205.9707</v>
      </c>
      <c r="H787" s="722">
        <v>1631036.5633276</v>
      </c>
      <c r="I787" s="722">
        <v>1642704.2550045</v>
      </c>
      <c r="J787" s="722">
        <v>3273740.8183320998</v>
      </c>
    </row>
    <row r="788" spans="1:10">
      <c r="B788" s="764" t="s">
        <v>140</v>
      </c>
      <c r="C788" s="764" t="s">
        <v>477</v>
      </c>
      <c r="D788" s="764" t="s">
        <v>280</v>
      </c>
      <c r="E788" s="722">
        <v>-16824922.027199998</v>
      </c>
      <c r="F788" s="722">
        <v>23656356</v>
      </c>
      <c r="G788" s="722">
        <v>6831433.9727999996</v>
      </c>
      <c r="H788" s="722">
        <v>-25649.4282814</v>
      </c>
      <c r="I788" s="722">
        <v>36063.882236199999</v>
      </c>
      <c r="J788" s="722">
        <v>10414.453954799999</v>
      </c>
    </row>
    <row r="789" spans="1:10">
      <c r="B789" s="764" t="s">
        <v>140</v>
      </c>
      <c r="C789" s="764" t="s">
        <v>477</v>
      </c>
      <c r="D789" s="764" t="s">
        <v>281</v>
      </c>
      <c r="E789" s="722">
        <v>548489414.41949999</v>
      </c>
      <c r="F789" s="722">
        <v>106981848</v>
      </c>
      <c r="G789" s="722">
        <v>655471262.41949999</v>
      </c>
      <c r="H789" s="722">
        <v>836166.72193380003</v>
      </c>
      <c r="I789" s="722">
        <v>163092.7758984</v>
      </c>
      <c r="J789" s="722">
        <v>999259.49783220002</v>
      </c>
    </row>
    <row r="790" spans="1:10">
      <c r="B790" s="764" t="s">
        <v>140</v>
      </c>
      <c r="C790" s="764" t="s">
        <v>478</v>
      </c>
      <c r="D790" s="764" t="s">
        <v>278</v>
      </c>
      <c r="E790" s="722">
        <v>926351208.26049995</v>
      </c>
      <c r="F790" s="722">
        <v>502911811</v>
      </c>
      <c r="G790" s="722">
        <v>1429263019.2605</v>
      </c>
      <c r="H790" s="722">
        <v>1412213.3131599999</v>
      </c>
      <c r="I790" s="722">
        <v>766684.11344039999</v>
      </c>
      <c r="J790" s="722">
        <v>2178897.4266003999</v>
      </c>
    </row>
    <row r="791" spans="1:10">
      <c r="B791" s="764" t="s">
        <v>140</v>
      </c>
      <c r="C791" s="764" t="s">
        <v>478</v>
      </c>
      <c r="D791" s="764" t="s">
        <v>279</v>
      </c>
      <c r="E791" s="722">
        <v>1054718466.5053999</v>
      </c>
      <c r="F791" s="722">
        <v>903985409</v>
      </c>
      <c r="G791" s="722">
        <v>1958703875.5053999</v>
      </c>
      <c r="H791" s="722">
        <v>1607907.9368090001</v>
      </c>
      <c r="I791" s="722">
        <v>1378116.8719901</v>
      </c>
      <c r="J791" s="722">
        <v>2986024.8087991001</v>
      </c>
    </row>
    <row r="792" spans="1:10">
      <c r="B792" s="764" t="s">
        <v>140</v>
      </c>
      <c r="C792" s="764" t="s">
        <v>478</v>
      </c>
      <c r="D792" s="764" t="s">
        <v>280</v>
      </c>
      <c r="E792" s="722">
        <v>-17391857.329500001</v>
      </c>
      <c r="F792" s="722">
        <v>635031</v>
      </c>
      <c r="G792" s="722">
        <v>-16756826.329500001</v>
      </c>
      <c r="H792" s="722">
        <v>-26513.715578200001</v>
      </c>
      <c r="I792" s="722">
        <v>968.0985187</v>
      </c>
      <c r="J792" s="722">
        <v>-25545.6170595</v>
      </c>
    </row>
    <row r="793" spans="1:10">
      <c r="B793" s="764" t="s">
        <v>140</v>
      </c>
      <c r="C793" s="764" t="s">
        <v>478</v>
      </c>
      <c r="D793" s="764" t="s">
        <v>281</v>
      </c>
      <c r="E793" s="722">
        <v>632903567.01540005</v>
      </c>
      <c r="F793" s="722">
        <v>126091843</v>
      </c>
      <c r="G793" s="722">
        <v>758995410.01540005</v>
      </c>
      <c r="H793" s="722">
        <v>964855.26797549997</v>
      </c>
      <c r="I793" s="722">
        <v>192225.77546999999</v>
      </c>
      <c r="J793" s="722">
        <v>1157081.0434455001</v>
      </c>
    </row>
    <row r="794" spans="1:10">
      <c r="A794">
        <v>1</v>
      </c>
      <c r="B794" t="s">
        <v>123</v>
      </c>
      <c r="C794" s="27" t="s">
        <v>480</v>
      </c>
      <c r="D794" t="s">
        <v>278</v>
      </c>
      <c r="E794" s="433">
        <v>749816435.58640003</v>
      </c>
      <c r="F794" s="433">
        <v>226451926.81999999</v>
      </c>
      <c r="G794" s="433">
        <v>976268362.40639997</v>
      </c>
      <c r="H794" s="433">
        <v>1143087.7871360001</v>
      </c>
      <c r="I794" s="433">
        <v>345223.73695230001</v>
      </c>
      <c r="J794" s="433">
        <v>1488311.5240883001</v>
      </c>
    </row>
    <row r="795" spans="1:10">
      <c r="A795">
        <v>2</v>
      </c>
      <c r="B795" t="s">
        <v>123</v>
      </c>
      <c r="C795" s="27" t="s">
        <v>480</v>
      </c>
      <c r="D795" t="s">
        <v>279</v>
      </c>
      <c r="E795" s="433">
        <v>629917333.93120003</v>
      </c>
      <c r="F795" s="433">
        <v>372457983.12</v>
      </c>
      <c r="G795" s="433">
        <v>1002375317.0512</v>
      </c>
      <c r="H795" s="433">
        <v>960302.78498620004</v>
      </c>
      <c r="I795" s="433">
        <v>567808.5348887</v>
      </c>
      <c r="J795" s="433">
        <v>1528111.3198748999</v>
      </c>
    </row>
    <row r="796" spans="1:10">
      <c r="A796">
        <v>3</v>
      </c>
      <c r="B796" t="s">
        <v>123</v>
      </c>
      <c r="C796" s="27" t="s">
        <v>480</v>
      </c>
      <c r="D796" t="s">
        <v>280</v>
      </c>
      <c r="E796" s="433">
        <v>17104.554599999999</v>
      </c>
      <c r="F796" s="433">
        <v>4095</v>
      </c>
      <c r="G796" s="433">
        <v>21199.554599999999</v>
      </c>
      <c r="H796" s="433">
        <v>26.0757254</v>
      </c>
      <c r="I796" s="433">
        <v>6.2427872999999998</v>
      </c>
      <c r="J796" s="433">
        <v>32.318512599999998</v>
      </c>
    </row>
    <row r="797" spans="1:10">
      <c r="A797">
        <v>4</v>
      </c>
      <c r="B797" t="s">
        <v>123</v>
      </c>
      <c r="C797" s="27" t="s">
        <v>480</v>
      </c>
      <c r="D797" t="s">
        <v>281</v>
      </c>
      <c r="E797" s="433">
        <v>576304837.23670006</v>
      </c>
      <c r="F797" s="433">
        <v>105922679</v>
      </c>
      <c r="G797" s="433">
        <v>682227516.23670006</v>
      </c>
      <c r="H797" s="433">
        <v>878571.06065899995</v>
      </c>
      <c r="I797" s="433">
        <v>161478.083167</v>
      </c>
      <c r="J797" s="433">
        <v>1040049.143826</v>
      </c>
    </row>
    <row r="798" spans="1:10">
      <c r="A798">
        <v>5</v>
      </c>
      <c r="B798" t="s">
        <v>123</v>
      </c>
      <c r="C798" s="27" t="s">
        <v>481</v>
      </c>
      <c r="D798" t="s">
        <v>278</v>
      </c>
      <c r="E798" s="433">
        <v>636468937.85239995</v>
      </c>
      <c r="F798" s="433">
        <v>253236730</v>
      </c>
      <c r="G798" s="433">
        <v>889705667.85239995</v>
      </c>
      <c r="H798" s="433">
        <v>970290.6407774</v>
      </c>
      <c r="I798" s="433">
        <v>386056.90616920003</v>
      </c>
      <c r="J798" s="433">
        <v>1356347.5469465</v>
      </c>
    </row>
    <row r="799" spans="1:10">
      <c r="A799">
        <v>6</v>
      </c>
      <c r="B799" t="s">
        <v>123</v>
      </c>
      <c r="C799" s="27" t="s">
        <v>481</v>
      </c>
      <c r="D799" t="s">
        <v>279</v>
      </c>
      <c r="E799" s="433">
        <v>563931032.84179997</v>
      </c>
      <c r="F799" s="433">
        <v>362463278.56</v>
      </c>
      <c r="G799" s="433">
        <v>926394311.40180004</v>
      </c>
      <c r="H799" s="433">
        <v>859707.31746409996</v>
      </c>
      <c r="I799" s="433">
        <v>552571.70601119997</v>
      </c>
      <c r="J799" s="433">
        <v>1412279.0234753001</v>
      </c>
    </row>
    <row r="800" spans="1:10">
      <c r="A800">
        <v>7</v>
      </c>
      <c r="B800" t="s">
        <v>123</v>
      </c>
      <c r="C800" s="27" t="s">
        <v>481</v>
      </c>
      <c r="D800" t="s">
        <v>280</v>
      </c>
      <c r="E800" s="433">
        <v>53694450.677599996</v>
      </c>
      <c r="F800" s="433">
        <v>24165272.559999999</v>
      </c>
      <c r="G800" s="433">
        <v>77859723.237599999</v>
      </c>
      <c r="H800" s="433">
        <v>81856.662368999998</v>
      </c>
      <c r="I800" s="433">
        <v>36839.720530500002</v>
      </c>
      <c r="J800" s="433">
        <v>118696.38289949999</v>
      </c>
    </row>
    <row r="801" spans="1:10">
      <c r="A801">
        <v>8</v>
      </c>
      <c r="B801" t="s">
        <v>123</v>
      </c>
      <c r="C801" s="27" t="s">
        <v>481</v>
      </c>
      <c r="D801" t="s">
        <v>281</v>
      </c>
      <c r="E801" s="433">
        <v>535443820.29500002</v>
      </c>
      <c r="F801" s="433">
        <v>127185445</v>
      </c>
      <c r="G801" s="433">
        <v>662629265.29499996</v>
      </c>
      <c r="H801" s="433">
        <v>816278.84189819999</v>
      </c>
      <c r="I801" s="433">
        <v>193892.9609715</v>
      </c>
      <c r="J801" s="433">
        <v>1010171.8028697</v>
      </c>
    </row>
    <row r="802" spans="1:10">
      <c r="A802">
        <v>9</v>
      </c>
      <c r="B802" t="s">
        <v>124</v>
      </c>
      <c r="C802" s="27" t="s">
        <v>480</v>
      </c>
      <c r="D802" t="s">
        <v>278</v>
      </c>
      <c r="E802" s="433">
        <v>531213530.89240003</v>
      </c>
      <c r="F802" s="433">
        <v>-1659014</v>
      </c>
      <c r="G802" s="433">
        <v>529554516.89240003</v>
      </c>
      <c r="H802" s="433">
        <v>809829.80727760005</v>
      </c>
      <c r="I802" s="433">
        <v>-2529.1505388</v>
      </c>
      <c r="J802" s="433">
        <v>807300.6567388</v>
      </c>
    </row>
    <row r="803" spans="1:10">
      <c r="A803">
        <v>10</v>
      </c>
      <c r="B803" t="s">
        <v>124</v>
      </c>
      <c r="C803" s="27" t="s">
        <v>480</v>
      </c>
      <c r="D803" t="s">
        <v>279</v>
      </c>
      <c r="E803" s="433">
        <v>1832578063.4669001</v>
      </c>
      <c r="F803" s="433">
        <v>1761066370</v>
      </c>
      <c r="G803" s="433">
        <v>3593644433.4668999</v>
      </c>
      <c r="H803" s="433">
        <v>2793747.2478637001</v>
      </c>
      <c r="I803" s="433">
        <v>2684728.3739634999</v>
      </c>
      <c r="J803" s="433">
        <v>5478475.6218272001</v>
      </c>
    </row>
    <row r="804" spans="1:10">
      <c r="A804">
        <v>11</v>
      </c>
      <c r="B804" t="s">
        <v>124</v>
      </c>
      <c r="C804" s="27" t="s">
        <v>480</v>
      </c>
      <c r="D804" t="s">
        <v>280</v>
      </c>
      <c r="E804" s="433">
        <v>1413093.4409</v>
      </c>
      <c r="F804" s="433">
        <v>16000</v>
      </c>
      <c r="G804" s="433">
        <v>1429093.4409</v>
      </c>
      <c r="H804" s="433">
        <v>2154.2470632999998</v>
      </c>
      <c r="I804" s="433">
        <v>24.391842799999999</v>
      </c>
      <c r="J804" s="433">
        <v>2178.6389061</v>
      </c>
    </row>
    <row r="805" spans="1:10">
      <c r="A805">
        <v>12</v>
      </c>
      <c r="B805" t="s">
        <v>124</v>
      </c>
      <c r="C805" s="27" t="s">
        <v>480</v>
      </c>
      <c r="D805" t="s">
        <v>281</v>
      </c>
      <c r="E805" s="433">
        <v>1428231268.5113001</v>
      </c>
      <c r="F805" s="433">
        <v>183312278</v>
      </c>
      <c r="G805" s="433">
        <v>1611543546.5113001</v>
      </c>
      <c r="H805" s="433">
        <v>2177324.5327229002</v>
      </c>
      <c r="I805" s="433">
        <v>279457.76628649997</v>
      </c>
      <c r="J805" s="433">
        <v>2456782.2990094</v>
      </c>
    </row>
    <row r="806" spans="1:10">
      <c r="A806">
        <v>13</v>
      </c>
      <c r="B806" t="s">
        <v>124</v>
      </c>
      <c r="C806" s="27" t="s">
        <v>481</v>
      </c>
      <c r="D806" t="s">
        <v>278</v>
      </c>
      <c r="E806" s="433">
        <v>771851703.05040002</v>
      </c>
      <c r="F806" s="433">
        <v>-129979304</v>
      </c>
      <c r="G806" s="433">
        <v>641872399.05040002</v>
      </c>
      <c r="H806" s="433">
        <v>1176680.3358304999</v>
      </c>
      <c r="I806" s="433">
        <v>-198152.17155999999</v>
      </c>
      <c r="J806" s="433">
        <v>978528.16427049995</v>
      </c>
    </row>
    <row r="807" spans="1:10">
      <c r="A807">
        <v>14</v>
      </c>
      <c r="B807" t="s">
        <v>124</v>
      </c>
      <c r="C807" s="27" t="s">
        <v>481</v>
      </c>
      <c r="D807" t="s">
        <v>279</v>
      </c>
      <c r="E807" s="433">
        <v>1789248694.7702999</v>
      </c>
      <c r="F807" s="433">
        <v>1692385703</v>
      </c>
      <c r="G807" s="433">
        <v>3481624397.7702999</v>
      </c>
      <c r="H807" s="433">
        <v>2727692.0511105</v>
      </c>
      <c r="I807" s="433">
        <v>2580025.3720899001</v>
      </c>
      <c r="J807" s="433">
        <v>5307702.1782986997</v>
      </c>
    </row>
    <row r="808" spans="1:10">
      <c r="A808">
        <v>15</v>
      </c>
      <c r="B808" t="s">
        <v>124</v>
      </c>
      <c r="C808" s="27" t="s">
        <v>481</v>
      </c>
      <c r="D808" t="s">
        <v>280</v>
      </c>
      <c r="E808" s="433">
        <v>35.828299999999999</v>
      </c>
      <c r="F808" s="433">
        <v>0</v>
      </c>
      <c r="G808" s="433">
        <v>35.828299999999999</v>
      </c>
      <c r="H808" s="433">
        <v>5.4619899999999999E-2</v>
      </c>
      <c r="I808" s="433">
        <v>0</v>
      </c>
      <c r="J808" s="433">
        <v>5.4619899999999999E-2</v>
      </c>
    </row>
    <row r="809" spans="1:10">
      <c r="A809">
        <v>16</v>
      </c>
      <c r="B809" t="s">
        <v>124</v>
      </c>
      <c r="C809" s="27" t="s">
        <v>481</v>
      </c>
      <c r="D809" t="s">
        <v>281</v>
      </c>
      <c r="E809" s="433">
        <v>1381308183.2556</v>
      </c>
      <c r="F809" s="433">
        <v>233660399</v>
      </c>
      <c r="G809" s="433">
        <v>1614968582.2556</v>
      </c>
      <c r="H809" s="433">
        <v>2105790.7503931001</v>
      </c>
      <c r="I809" s="433">
        <v>356212.98194849998</v>
      </c>
      <c r="J809" s="433">
        <v>2462003.7323416001</v>
      </c>
    </row>
    <row r="810" spans="1:10">
      <c r="A810">
        <v>17</v>
      </c>
      <c r="B810" t="s">
        <v>131</v>
      </c>
      <c r="C810" s="27" t="s">
        <v>480</v>
      </c>
      <c r="D810" t="s">
        <v>278</v>
      </c>
      <c r="E810" s="433">
        <v>11360256698.939301</v>
      </c>
      <c r="F810" s="433">
        <v>4574477468</v>
      </c>
      <c r="G810" s="433">
        <v>15934734166.939301</v>
      </c>
      <c r="H810" s="433">
        <v>17318599.693179999</v>
      </c>
      <c r="I810" s="433">
        <v>6973745.9437127998</v>
      </c>
      <c r="J810" s="433">
        <v>24292345.636892799</v>
      </c>
    </row>
    <row r="811" spans="1:10">
      <c r="A811">
        <v>18</v>
      </c>
      <c r="B811" t="s">
        <v>131</v>
      </c>
      <c r="C811" s="27" t="s">
        <v>480</v>
      </c>
      <c r="D811" t="s">
        <v>279</v>
      </c>
      <c r="E811" s="433">
        <v>13299824545.1992</v>
      </c>
      <c r="F811" s="433">
        <v>7835116112</v>
      </c>
      <c r="G811" s="433">
        <v>21134940657.1992</v>
      </c>
      <c r="H811" s="433">
        <v>20275451.813456099</v>
      </c>
      <c r="I811" s="433">
        <v>11944557.512154</v>
      </c>
      <c r="J811" s="433">
        <v>32220009.325610101</v>
      </c>
    </row>
    <row r="812" spans="1:10">
      <c r="A812">
        <v>19</v>
      </c>
      <c r="B812" t="s">
        <v>131</v>
      </c>
      <c r="C812" s="27" t="s">
        <v>480</v>
      </c>
      <c r="D812" t="s">
        <v>280</v>
      </c>
      <c r="E812" s="433">
        <v>12907466.8027</v>
      </c>
      <c r="F812" s="433">
        <v>102842347</v>
      </c>
      <c r="G812" s="433">
        <v>115749813.8027</v>
      </c>
      <c r="H812" s="433">
        <v>19677.306291000001</v>
      </c>
      <c r="I812" s="433">
        <v>156782.14730539999</v>
      </c>
      <c r="J812" s="433">
        <v>176459.45359630001</v>
      </c>
    </row>
    <row r="813" spans="1:10">
      <c r="A813">
        <v>20</v>
      </c>
      <c r="B813" t="s">
        <v>131</v>
      </c>
      <c r="C813" s="27" t="s">
        <v>480</v>
      </c>
      <c r="D813" t="s">
        <v>281</v>
      </c>
      <c r="E813" s="433">
        <v>10665467540.3181</v>
      </c>
      <c r="F813" s="433">
        <v>1760954832</v>
      </c>
      <c r="G813" s="433">
        <v>12426422372.3181</v>
      </c>
      <c r="H813" s="433">
        <v>16259400.4489899</v>
      </c>
      <c r="I813" s="433">
        <v>2684558.3353786999</v>
      </c>
      <c r="J813" s="433">
        <v>18943958.784368601</v>
      </c>
    </row>
    <row r="814" spans="1:10">
      <c r="A814">
        <v>21</v>
      </c>
      <c r="B814" t="s">
        <v>131</v>
      </c>
      <c r="C814" s="27" t="s">
        <v>481</v>
      </c>
      <c r="D814" t="s">
        <v>278</v>
      </c>
      <c r="E814" s="433">
        <v>13501939986.319799</v>
      </c>
      <c r="F814" s="433">
        <v>5046748122</v>
      </c>
      <c r="G814" s="433">
        <v>18545827857.319801</v>
      </c>
      <c r="H814" s="433">
        <v>20583574.8171295</v>
      </c>
      <c r="I814" s="433">
        <v>7693717.9144364996</v>
      </c>
      <c r="J814" s="433">
        <v>28272932.307025898</v>
      </c>
    </row>
    <row r="815" spans="1:10">
      <c r="A815">
        <v>22</v>
      </c>
      <c r="B815" t="s">
        <v>131</v>
      </c>
      <c r="C815" s="27" t="s">
        <v>481</v>
      </c>
      <c r="D815" t="s">
        <v>279</v>
      </c>
      <c r="E815" s="433">
        <v>16035955839.5557</v>
      </c>
      <c r="F815" s="433">
        <v>9504657519</v>
      </c>
      <c r="G815" s="433">
        <v>25528122905.555698</v>
      </c>
      <c r="H815" s="433">
        <v>24446657.0820278</v>
      </c>
      <c r="I815" s="433">
        <v>14489756.979497099</v>
      </c>
      <c r="J815" s="433">
        <v>38917372.488677897</v>
      </c>
    </row>
    <row r="816" spans="1:10">
      <c r="A816">
        <v>23</v>
      </c>
      <c r="B816" t="s">
        <v>131</v>
      </c>
      <c r="C816" s="27" t="s">
        <v>481</v>
      </c>
      <c r="D816" t="s">
        <v>280</v>
      </c>
      <c r="E816" s="433">
        <v>1199520959.8491001</v>
      </c>
      <c r="F816" s="433">
        <v>-311731109</v>
      </c>
      <c r="G816" s="433">
        <v>887789850.84909999</v>
      </c>
      <c r="H816" s="433">
        <v>1828657.9148466999</v>
      </c>
      <c r="I816" s="433">
        <v>-475231.0120938</v>
      </c>
      <c r="J816" s="433">
        <v>1353426.9027529</v>
      </c>
    </row>
    <row r="817" spans="1:10">
      <c r="A817">
        <v>24</v>
      </c>
      <c r="B817" t="s">
        <v>131</v>
      </c>
      <c r="C817" s="27" t="s">
        <v>481</v>
      </c>
      <c r="D817" t="s">
        <v>281</v>
      </c>
      <c r="E817" s="433">
        <v>11220121383.849701</v>
      </c>
      <c r="F817" s="433">
        <v>1975842141</v>
      </c>
      <c r="G817" s="433">
        <v>13194952884.849701</v>
      </c>
      <c r="H817" s="433">
        <v>17104964.782523401</v>
      </c>
      <c r="I817" s="433">
        <v>3012151.9261170998</v>
      </c>
      <c r="J817" s="433">
        <v>20115575.9978927</v>
      </c>
    </row>
    <row r="818" spans="1:10">
      <c r="A818">
        <v>25</v>
      </c>
      <c r="B818" t="s">
        <v>132</v>
      </c>
      <c r="C818" s="27" t="s">
        <v>480</v>
      </c>
      <c r="D818" t="s">
        <v>278</v>
      </c>
      <c r="E818" s="433">
        <v>3703927054.8143001</v>
      </c>
      <c r="F818" s="433">
        <v>2045633431</v>
      </c>
      <c r="G818" s="433">
        <v>5749560485.8142996</v>
      </c>
      <c r="H818" s="433">
        <v>5646600.3942550002</v>
      </c>
      <c r="I818" s="433">
        <v>3118548.0618393999</v>
      </c>
      <c r="J818" s="433">
        <v>8765148.4560943991</v>
      </c>
    </row>
    <row r="819" spans="1:10">
      <c r="A819">
        <v>26</v>
      </c>
      <c r="B819" t="s">
        <v>132</v>
      </c>
      <c r="C819" s="27" t="s">
        <v>480</v>
      </c>
      <c r="D819" t="s">
        <v>279</v>
      </c>
      <c r="E819" s="433">
        <v>4866187705.0612001</v>
      </c>
      <c r="F819" s="433">
        <v>4758837829</v>
      </c>
      <c r="G819" s="433">
        <v>9625025534.0611992</v>
      </c>
      <c r="H819" s="433">
        <v>7418455.3332935004</v>
      </c>
      <c r="I819" s="433">
        <v>7254801.5022326</v>
      </c>
      <c r="J819" s="433">
        <v>14673256.835526099</v>
      </c>
    </row>
    <row r="820" spans="1:10">
      <c r="A820">
        <v>27</v>
      </c>
      <c r="B820" t="s">
        <v>132</v>
      </c>
      <c r="C820" s="27" t="s">
        <v>480</v>
      </c>
      <c r="D820" t="s">
        <v>280</v>
      </c>
      <c r="E820" s="433">
        <v>-115149513.11660001</v>
      </c>
      <c r="F820" s="433">
        <v>26592625</v>
      </c>
      <c r="G820" s="433">
        <v>-88556888.116600007</v>
      </c>
      <c r="H820" s="433">
        <v>-175544.30109990001</v>
      </c>
      <c r="I820" s="433">
        <v>40540.1954701</v>
      </c>
      <c r="J820" s="433">
        <v>-135004.1056298</v>
      </c>
    </row>
    <row r="821" spans="1:10">
      <c r="A821">
        <v>28</v>
      </c>
      <c r="B821" t="s">
        <v>132</v>
      </c>
      <c r="C821" s="27" t="s">
        <v>480</v>
      </c>
      <c r="D821" t="s">
        <v>281</v>
      </c>
      <c r="E821" s="433">
        <v>1865560945.5402999</v>
      </c>
      <c r="F821" s="433">
        <v>456032264</v>
      </c>
      <c r="G821" s="433">
        <v>2321593209.5402999</v>
      </c>
      <c r="H821" s="433">
        <v>2844029.3274411</v>
      </c>
      <c r="I821" s="433">
        <v>695216.70475349994</v>
      </c>
      <c r="J821" s="433">
        <v>3539246.0321946</v>
      </c>
    </row>
    <row r="822" spans="1:10">
      <c r="A822">
        <v>29</v>
      </c>
      <c r="B822" t="s">
        <v>132</v>
      </c>
      <c r="C822" s="27" t="s">
        <v>481</v>
      </c>
      <c r="D822" t="s">
        <v>278</v>
      </c>
      <c r="E822" s="433">
        <v>4269227381.2589998</v>
      </c>
      <c r="F822" s="433">
        <v>2690477234</v>
      </c>
      <c r="G822" s="433">
        <v>6959704615.2589998</v>
      </c>
      <c r="H822" s="433">
        <v>6508395.1863598004</v>
      </c>
      <c r="I822" s="433">
        <v>4101606.1022293</v>
      </c>
      <c r="J822" s="433">
        <v>10610001.288589001</v>
      </c>
    </row>
    <row r="823" spans="1:10">
      <c r="A823">
        <v>30</v>
      </c>
      <c r="B823" t="s">
        <v>132</v>
      </c>
      <c r="C823" s="27" t="s">
        <v>481</v>
      </c>
      <c r="D823" t="s">
        <v>279</v>
      </c>
      <c r="E823" s="433">
        <v>5540764993.1592999</v>
      </c>
      <c r="F823" s="433">
        <v>3483541177</v>
      </c>
      <c r="G823" s="433">
        <v>9024306170.1592999</v>
      </c>
      <c r="H823" s="433">
        <v>8446841.7795058005</v>
      </c>
      <c r="I823" s="433">
        <v>5310624.2893970003</v>
      </c>
      <c r="J823" s="433">
        <v>13757466.0689028</v>
      </c>
    </row>
    <row r="824" spans="1:10">
      <c r="A824">
        <v>31</v>
      </c>
      <c r="B824" t="s">
        <v>132</v>
      </c>
      <c r="C824" s="27" t="s">
        <v>481</v>
      </c>
      <c r="D824" t="s">
        <v>280</v>
      </c>
      <c r="E824" s="433">
        <v>-127660778.6409</v>
      </c>
      <c r="F824" s="433">
        <v>17790242</v>
      </c>
      <c r="G824" s="433">
        <v>-109870536.6409</v>
      </c>
      <c r="H824" s="433">
        <v>-194617.60243570001</v>
      </c>
      <c r="I824" s="433">
        <v>27121.049093199999</v>
      </c>
      <c r="J824" s="433">
        <v>-167496.5533425</v>
      </c>
    </row>
    <row r="825" spans="1:10">
      <c r="A825">
        <v>32</v>
      </c>
      <c r="B825" t="s">
        <v>132</v>
      </c>
      <c r="C825" s="27" t="s">
        <v>481</v>
      </c>
      <c r="D825" t="s">
        <v>281</v>
      </c>
      <c r="E825" s="433">
        <v>1815016934.1169</v>
      </c>
      <c r="F825" s="433">
        <v>660698509</v>
      </c>
      <c r="G825" s="433">
        <v>2475715443.1169</v>
      </c>
      <c r="H825" s="433">
        <v>2766975.4787538</v>
      </c>
      <c r="I825" s="433">
        <v>1007228.3838727</v>
      </c>
      <c r="J825" s="433">
        <v>3774203.8626265</v>
      </c>
    </row>
    <row r="826" spans="1:10">
      <c r="A826">
        <v>33</v>
      </c>
      <c r="B826" t="s">
        <v>135</v>
      </c>
      <c r="C826" s="27" t="s">
        <v>480</v>
      </c>
      <c r="D826" t="s">
        <v>278</v>
      </c>
      <c r="E826" s="433">
        <v>906413072.01100004</v>
      </c>
      <c r="F826" s="433">
        <v>672314849</v>
      </c>
      <c r="G826" s="433">
        <v>1578727921.0109999</v>
      </c>
      <c r="H826" s="433">
        <v>1381817.8203922</v>
      </c>
      <c r="I826" s="433">
        <v>1024937.3800417</v>
      </c>
      <c r="J826" s="433">
        <v>2406755.2004339001</v>
      </c>
    </row>
    <row r="827" spans="1:10">
      <c r="A827">
        <v>34</v>
      </c>
      <c r="B827" t="s">
        <v>135</v>
      </c>
      <c r="C827" s="27" t="s">
        <v>480</v>
      </c>
      <c r="D827" t="s">
        <v>279</v>
      </c>
      <c r="E827" s="433">
        <v>187661472.6884</v>
      </c>
      <c r="F827" s="433">
        <v>180395978</v>
      </c>
      <c r="G827" s="433">
        <v>368057450.68839997</v>
      </c>
      <c r="H827" s="433">
        <v>286088.07084669999</v>
      </c>
      <c r="I827" s="433">
        <v>275011.89559680002</v>
      </c>
      <c r="J827" s="433">
        <v>561099.96644350002</v>
      </c>
    </row>
    <row r="828" spans="1:10">
      <c r="A828">
        <v>35</v>
      </c>
      <c r="B828" t="s">
        <v>135</v>
      </c>
      <c r="C828" s="27" t="s">
        <v>480</v>
      </c>
      <c r="D828" t="s">
        <v>280</v>
      </c>
      <c r="E828" s="433">
        <v>-3349574.8670999999</v>
      </c>
      <c r="F828" s="433">
        <v>886594</v>
      </c>
      <c r="G828" s="433">
        <v>-2462980.8670999999</v>
      </c>
      <c r="H828" s="433">
        <v>-5106.3939664999998</v>
      </c>
      <c r="I828" s="433">
        <v>1351.6038398999999</v>
      </c>
      <c r="J828" s="433">
        <v>-3754.7901265999999</v>
      </c>
    </row>
    <row r="829" spans="1:10">
      <c r="A829">
        <v>36</v>
      </c>
      <c r="B829" t="s">
        <v>135</v>
      </c>
      <c r="C829" s="27" t="s">
        <v>480</v>
      </c>
      <c r="D829" t="s">
        <v>281</v>
      </c>
      <c r="E829" s="433">
        <v>906389436.0424</v>
      </c>
      <c r="F829" s="433">
        <v>471771765</v>
      </c>
      <c r="G829" s="433">
        <v>1378161201.0423999</v>
      </c>
      <c r="H829" s="433">
        <v>1381781.7875903</v>
      </c>
      <c r="I829" s="433">
        <v>719211.41934609995</v>
      </c>
      <c r="J829" s="433">
        <v>2100993.2069363999</v>
      </c>
    </row>
    <row r="830" spans="1:10">
      <c r="A830">
        <v>37</v>
      </c>
      <c r="B830" t="s">
        <v>135</v>
      </c>
      <c r="C830" s="27" t="s">
        <v>481</v>
      </c>
      <c r="D830" t="s">
        <v>278</v>
      </c>
      <c r="E830" s="433">
        <v>909703285.04620004</v>
      </c>
      <c r="F830" s="433">
        <v>739163929</v>
      </c>
      <c r="G830" s="433">
        <v>1648867214.0462</v>
      </c>
      <c r="H830" s="433">
        <v>1386833.7178294</v>
      </c>
      <c r="I830" s="433">
        <v>1126848.1455339</v>
      </c>
      <c r="J830" s="433">
        <v>2513681.8633633</v>
      </c>
    </row>
    <row r="831" spans="1:10">
      <c r="A831">
        <v>38</v>
      </c>
      <c r="B831" t="s">
        <v>135</v>
      </c>
      <c r="C831" s="27" t="s">
        <v>481</v>
      </c>
      <c r="D831" t="s">
        <v>279</v>
      </c>
      <c r="E831" s="433">
        <v>219846087.69819999</v>
      </c>
      <c r="F831" s="433">
        <v>237160608</v>
      </c>
      <c r="G831" s="433">
        <v>457006695.69819999</v>
      </c>
      <c r="H831" s="433">
        <v>335153.20013080002</v>
      </c>
      <c r="I831" s="433">
        <v>361549.01617030002</v>
      </c>
      <c r="J831" s="433">
        <v>696702.21630109998</v>
      </c>
    </row>
    <row r="832" spans="1:10">
      <c r="A832">
        <v>39</v>
      </c>
      <c r="B832" t="s">
        <v>135</v>
      </c>
      <c r="C832" s="27" t="s">
        <v>481</v>
      </c>
      <c r="D832" t="s">
        <v>280</v>
      </c>
      <c r="E832" s="433">
        <v>-1485746.1834</v>
      </c>
      <c r="F832" s="433">
        <v>209946</v>
      </c>
      <c r="G832" s="433">
        <v>-1275800.1834</v>
      </c>
      <c r="H832" s="433">
        <v>-2265.0054552000001</v>
      </c>
      <c r="I832" s="433">
        <v>320.06061369999998</v>
      </c>
      <c r="J832" s="433">
        <v>-1944.9448414999999</v>
      </c>
    </row>
    <row r="833" spans="1:10">
      <c r="A833">
        <v>40</v>
      </c>
      <c r="B833" t="s">
        <v>135</v>
      </c>
      <c r="C833" s="27" t="s">
        <v>481</v>
      </c>
      <c r="D833" t="s">
        <v>281</v>
      </c>
      <c r="E833" s="433">
        <v>1207989886.2881</v>
      </c>
      <c r="F833" s="433">
        <v>526596719</v>
      </c>
      <c r="G833" s="433">
        <v>1734530862.2881</v>
      </c>
      <c r="H833" s="433">
        <v>1841568.7099735001</v>
      </c>
      <c r="I833" s="433">
        <v>802791.52291990002</v>
      </c>
      <c r="J833" s="433">
        <v>2644275.2532378002</v>
      </c>
    </row>
    <row r="834" spans="1:10">
      <c r="A834">
        <v>41</v>
      </c>
      <c r="B834" t="s">
        <v>136</v>
      </c>
      <c r="C834" s="27" t="s">
        <v>480</v>
      </c>
      <c r="D834" t="s">
        <v>278</v>
      </c>
      <c r="E834" s="433">
        <v>-2563269.4109999998</v>
      </c>
      <c r="F834" s="433">
        <v>3716984.48</v>
      </c>
      <c r="G834" s="433">
        <v>1153715.0689999999</v>
      </c>
      <c r="H834" s="433">
        <v>-371122.57644640002</v>
      </c>
      <c r="I834" s="433">
        <v>538163.03932360001</v>
      </c>
      <c r="J834" s="433">
        <v>167040.46287720001</v>
      </c>
    </row>
    <row r="835" spans="1:10">
      <c r="A835">
        <v>42</v>
      </c>
      <c r="B835" t="s">
        <v>136</v>
      </c>
      <c r="C835" s="27" t="s">
        <v>480</v>
      </c>
      <c r="D835" t="s">
        <v>279</v>
      </c>
      <c r="E835" s="433">
        <v>3886609.2222000002</v>
      </c>
      <c r="F835" s="433">
        <v>12000571.199999999</v>
      </c>
      <c r="G835" s="433">
        <v>15887180.4222</v>
      </c>
      <c r="H835" s="433">
        <v>562722.13213070005</v>
      </c>
      <c r="I835" s="433">
        <v>1737500.8976660999</v>
      </c>
      <c r="J835" s="433">
        <v>2300223.0297967</v>
      </c>
    </row>
    <row r="836" spans="1:10">
      <c r="A836">
        <v>43</v>
      </c>
      <c r="B836" t="s">
        <v>136</v>
      </c>
      <c r="C836" s="27" t="s">
        <v>480</v>
      </c>
      <c r="D836" t="s">
        <v>280</v>
      </c>
      <c r="E836" s="433">
        <v>-5181.0902999999998</v>
      </c>
      <c r="F836" s="433">
        <v>28038.560000000001</v>
      </c>
      <c r="G836" s="433">
        <v>22857.469700000001</v>
      </c>
      <c r="H836" s="433">
        <v>-750.14338039999996</v>
      </c>
      <c r="I836" s="433">
        <v>4059.5586957999999</v>
      </c>
      <c r="J836" s="433">
        <v>3309.4153153000002</v>
      </c>
    </row>
    <row r="837" spans="1:10">
      <c r="A837">
        <v>44</v>
      </c>
      <c r="B837" t="s">
        <v>136</v>
      </c>
      <c r="C837" s="27" t="s">
        <v>480</v>
      </c>
      <c r="D837" t="s">
        <v>281</v>
      </c>
      <c r="E837" s="433">
        <v>1999613.1647000001</v>
      </c>
      <c r="F837" s="433">
        <v>1475334.69</v>
      </c>
      <c r="G837" s="433">
        <v>3474947.8547</v>
      </c>
      <c r="H837" s="433">
        <v>289513.6915359</v>
      </c>
      <c r="I837" s="433">
        <v>213606.11136849999</v>
      </c>
      <c r="J837" s="433">
        <v>503119.80290439998</v>
      </c>
    </row>
    <row r="838" spans="1:10">
      <c r="A838">
        <v>45</v>
      </c>
      <c r="B838" t="s">
        <v>136</v>
      </c>
      <c r="C838" s="27" t="s">
        <v>481</v>
      </c>
      <c r="D838" t="s">
        <v>278</v>
      </c>
      <c r="E838" s="433">
        <v>-5611651.3997999998</v>
      </c>
      <c r="F838" s="433">
        <v>3953256.91</v>
      </c>
      <c r="G838" s="433">
        <v>-1658394.4898000001</v>
      </c>
      <c r="H838" s="433">
        <v>-676844.6609898</v>
      </c>
      <c r="I838" s="433">
        <v>476818.79048109998</v>
      </c>
      <c r="J838" s="433">
        <v>-200025.8705086</v>
      </c>
    </row>
    <row r="839" spans="1:10">
      <c r="A839">
        <v>46</v>
      </c>
      <c r="B839" t="s">
        <v>136</v>
      </c>
      <c r="C839" s="27" t="s">
        <v>481</v>
      </c>
      <c r="D839" t="s">
        <v>279</v>
      </c>
      <c r="E839" s="433">
        <v>769418.96250000002</v>
      </c>
      <c r="F839" s="433">
        <v>15091002.24</v>
      </c>
      <c r="G839" s="433">
        <v>15860421.202500001</v>
      </c>
      <c r="H839" s="433">
        <v>92802.827497599996</v>
      </c>
      <c r="I839" s="433">
        <v>1820188.6695051</v>
      </c>
      <c r="J839" s="433">
        <v>1912991.4970027001</v>
      </c>
    </row>
    <row r="840" spans="1:10">
      <c r="A840">
        <v>47</v>
      </c>
      <c r="B840" t="s">
        <v>136</v>
      </c>
      <c r="C840" s="27" t="s">
        <v>481</v>
      </c>
      <c r="D840" t="s">
        <v>280</v>
      </c>
      <c r="E840" s="433">
        <v>-11261.949000000001</v>
      </c>
      <c r="F840" s="433">
        <v>23984.14</v>
      </c>
      <c r="G840" s="433">
        <v>12722.191000000001</v>
      </c>
      <c r="H840" s="433">
        <v>-1358.3506013000001</v>
      </c>
      <c r="I840" s="433">
        <v>2892.8270754999999</v>
      </c>
      <c r="J840" s="433">
        <v>1534.4764742</v>
      </c>
    </row>
    <row r="841" spans="1:10">
      <c r="A841">
        <v>48</v>
      </c>
      <c r="B841" t="s">
        <v>136</v>
      </c>
      <c r="C841" s="27" t="s">
        <v>481</v>
      </c>
      <c r="D841" t="s">
        <v>281</v>
      </c>
      <c r="E841" s="433">
        <v>1348700.4025999999</v>
      </c>
      <c r="F841" s="433">
        <v>5034263.66</v>
      </c>
      <c r="G841" s="433">
        <v>6382964.0625999998</v>
      </c>
      <c r="H841" s="433">
        <v>162672.3760509</v>
      </c>
      <c r="I841" s="433">
        <v>607203.51952139998</v>
      </c>
      <c r="J841" s="433">
        <v>769875.89557229995</v>
      </c>
    </row>
    <row r="842" spans="1:10">
      <c r="A842">
        <v>49</v>
      </c>
      <c r="B842" t="s">
        <v>137</v>
      </c>
      <c r="C842" s="27" t="s">
        <v>480</v>
      </c>
      <c r="D842" t="s">
        <v>278</v>
      </c>
      <c r="E842" s="433">
        <v>21601438443.630299</v>
      </c>
      <c r="F842" s="433">
        <v>8253534312</v>
      </c>
      <c r="G842" s="433">
        <v>29854972755.630299</v>
      </c>
      <c r="H842" s="433">
        <v>1879269.8294160001</v>
      </c>
      <c r="I842" s="433">
        <v>718036.35017490003</v>
      </c>
      <c r="J842" s="433">
        <v>2597306.1795907998</v>
      </c>
    </row>
    <row r="843" spans="1:10">
      <c r="A843">
        <v>50</v>
      </c>
      <c r="B843" t="s">
        <v>137</v>
      </c>
      <c r="C843" s="27" t="s">
        <v>480</v>
      </c>
      <c r="D843" t="s">
        <v>279</v>
      </c>
      <c r="E843" s="433">
        <v>36423824270.423698</v>
      </c>
      <c r="F843" s="433">
        <v>23570061545</v>
      </c>
      <c r="G843" s="433">
        <v>59993885815.423698</v>
      </c>
      <c r="H843" s="433">
        <v>3168779.4404052999</v>
      </c>
      <c r="I843" s="433">
        <v>2050534.9981477</v>
      </c>
      <c r="J843" s="433">
        <v>5219314.4385529999</v>
      </c>
    </row>
    <row r="844" spans="1:10">
      <c r="A844">
        <v>51</v>
      </c>
      <c r="B844" t="s">
        <v>137</v>
      </c>
      <c r="C844" s="27" t="s">
        <v>480</v>
      </c>
      <c r="D844" t="s">
        <v>280</v>
      </c>
      <c r="E844" s="433">
        <v>118442620.5333</v>
      </c>
      <c r="F844" s="433">
        <v>8212449</v>
      </c>
      <c r="G844" s="433">
        <v>126655069.5333</v>
      </c>
      <c r="H844" s="433">
        <v>10304.2046883</v>
      </c>
      <c r="I844" s="433">
        <v>714.46203319999995</v>
      </c>
      <c r="J844" s="433">
        <v>11018.666721600001</v>
      </c>
    </row>
    <row r="845" spans="1:10">
      <c r="A845">
        <v>52</v>
      </c>
      <c r="B845" t="s">
        <v>137</v>
      </c>
      <c r="C845" s="27" t="s">
        <v>480</v>
      </c>
      <c r="D845" t="s">
        <v>281</v>
      </c>
      <c r="E845" s="433">
        <v>11003150586.5282</v>
      </c>
      <c r="F845" s="433">
        <v>1279474548</v>
      </c>
      <c r="G845" s="433">
        <v>12282625134.5282</v>
      </c>
      <c r="H845" s="433">
        <v>957245.92506849999</v>
      </c>
      <c r="I845" s="433">
        <v>111311.0093032</v>
      </c>
      <c r="J845" s="433">
        <v>1068556.9343717</v>
      </c>
    </row>
    <row r="846" spans="1:10">
      <c r="A846">
        <v>53</v>
      </c>
      <c r="B846" t="s">
        <v>137</v>
      </c>
      <c r="C846" s="27" t="s">
        <v>481</v>
      </c>
      <c r="D846" t="s">
        <v>278</v>
      </c>
      <c r="E846" s="433">
        <v>24956542145.1605</v>
      </c>
      <c r="F846" s="433">
        <v>8813880368</v>
      </c>
      <c r="G846" s="433">
        <v>33769542283.1605</v>
      </c>
      <c r="H846" s="433">
        <v>2894263.5003553</v>
      </c>
      <c r="I846" s="433">
        <v>1022164.5329397999</v>
      </c>
      <c r="J846" s="433">
        <v>3916325.9511417998</v>
      </c>
    </row>
    <row r="847" spans="1:10">
      <c r="A847">
        <v>54</v>
      </c>
      <c r="B847" t="s">
        <v>137</v>
      </c>
      <c r="C847" s="27" t="s">
        <v>481</v>
      </c>
      <c r="D847" t="s">
        <v>279</v>
      </c>
      <c r="E847" s="433">
        <v>25300545954.972099</v>
      </c>
      <c r="F847" s="433">
        <v>23563614106</v>
      </c>
      <c r="G847" s="433">
        <v>48858820125.972099</v>
      </c>
      <c r="H847" s="433">
        <v>2934158.3569796002</v>
      </c>
      <c r="I847" s="433">
        <v>2732722.6603257</v>
      </c>
      <c r="J847" s="433">
        <v>5666261.7336371001</v>
      </c>
    </row>
    <row r="848" spans="1:10">
      <c r="A848">
        <v>55</v>
      </c>
      <c r="B848" t="s">
        <v>137</v>
      </c>
      <c r="C848" s="27" t="s">
        <v>481</v>
      </c>
      <c r="D848" t="s">
        <v>280</v>
      </c>
      <c r="E848" s="433">
        <v>47267.643700000001</v>
      </c>
      <c r="F848" s="433">
        <v>0</v>
      </c>
      <c r="G848" s="433">
        <v>47267.643700000001</v>
      </c>
      <c r="H848" s="433">
        <v>5.4817296000000004</v>
      </c>
      <c r="I848" s="433">
        <v>0</v>
      </c>
      <c r="J848" s="433">
        <v>5.4817296000000004</v>
      </c>
    </row>
    <row r="849" spans="1:10">
      <c r="A849">
        <v>56</v>
      </c>
      <c r="B849" t="s">
        <v>137</v>
      </c>
      <c r="C849" s="27" t="s">
        <v>481</v>
      </c>
      <c r="D849" t="s">
        <v>281</v>
      </c>
      <c r="E849" s="433">
        <v>48130815528.9552</v>
      </c>
      <c r="F849" s="433">
        <v>2785609148</v>
      </c>
      <c r="G849" s="433">
        <v>50916294561.9552</v>
      </c>
      <c r="H849" s="433">
        <v>5581833.4854854997</v>
      </c>
      <c r="I849" s="433">
        <v>323053.0430225</v>
      </c>
      <c r="J849" s="433">
        <v>5904871.4387935</v>
      </c>
    </row>
    <row r="850" spans="1:10">
      <c r="A850">
        <v>57</v>
      </c>
      <c r="B850" t="s">
        <v>138</v>
      </c>
      <c r="C850" s="27" t="s">
        <v>480</v>
      </c>
      <c r="D850" t="s">
        <v>278</v>
      </c>
      <c r="E850" s="433">
        <v>21120269340.2658</v>
      </c>
      <c r="F850" s="433">
        <v>6313335158.5500002</v>
      </c>
      <c r="G850" s="433">
        <v>27433604498.8158</v>
      </c>
      <c r="H850" s="433">
        <v>4659739.5124690002</v>
      </c>
      <c r="I850" s="433">
        <v>1392903.5098842001</v>
      </c>
      <c r="J850" s="433">
        <v>6052643.0223532002</v>
      </c>
    </row>
    <row r="851" spans="1:10">
      <c r="A851">
        <v>58</v>
      </c>
      <c r="B851" t="s">
        <v>138</v>
      </c>
      <c r="C851" s="27" t="s">
        <v>480</v>
      </c>
      <c r="D851" t="s">
        <v>279</v>
      </c>
      <c r="E851" s="433">
        <v>38658512108.614197</v>
      </c>
      <c r="F851" s="433">
        <v>18347152926.209999</v>
      </c>
      <c r="G851" s="433">
        <v>57005665034.824203</v>
      </c>
      <c r="H851" s="433">
        <v>8529180.8292584997</v>
      </c>
      <c r="I851" s="433">
        <v>4047910.1878014002</v>
      </c>
      <c r="J851" s="433">
        <v>12577091.0170599</v>
      </c>
    </row>
    <row r="852" spans="1:10">
      <c r="A852">
        <v>59</v>
      </c>
      <c r="B852" t="s">
        <v>138</v>
      </c>
      <c r="C852" s="27" t="s">
        <v>480</v>
      </c>
      <c r="D852" t="s">
        <v>280</v>
      </c>
      <c r="E852" s="433">
        <v>2005423.682</v>
      </c>
      <c r="F852" s="433">
        <v>1632933.44</v>
      </c>
      <c r="G852" s="433">
        <v>3638357.122</v>
      </c>
      <c r="H852" s="433">
        <v>442.4542045</v>
      </c>
      <c r="I852" s="433">
        <v>360.27213239999998</v>
      </c>
      <c r="J852" s="433">
        <v>802.72633689999998</v>
      </c>
    </row>
    <row r="853" spans="1:10">
      <c r="A853">
        <v>60</v>
      </c>
      <c r="B853" t="s">
        <v>138</v>
      </c>
      <c r="C853" s="27" t="s">
        <v>480</v>
      </c>
      <c r="D853" t="s">
        <v>281</v>
      </c>
      <c r="E853" s="433">
        <v>6610727412.5340996</v>
      </c>
      <c r="F853" s="433">
        <v>1461719004.25</v>
      </c>
      <c r="G853" s="433">
        <v>8072446416.7840996</v>
      </c>
      <c r="H853" s="433">
        <v>1458516.8036479</v>
      </c>
      <c r="I853" s="433">
        <v>322497.29823499999</v>
      </c>
      <c r="J853" s="433">
        <v>1781014.1018829001</v>
      </c>
    </row>
    <row r="854" spans="1:10">
      <c r="A854">
        <v>61</v>
      </c>
      <c r="B854" t="s">
        <v>138</v>
      </c>
      <c r="C854" s="27" t="s">
        <v>481</v>
      </c>
      <c r="D854" t="s">
        <v>278</v>
      </c>
      <c r="E854" s="433">
        <v>20458584015.673599</v>
      </c>
      <c r="F854" s="433">
        <v>6528587508.9700003</v>
      </c>
      <c r="G854" s="433">
        <v>26987171524.6436</v>
      </c>
      <c r="H854" s="433">
        <v>5009018.3298869003</v>
      </c>
      <c r="I854" s="433">
        <v>1598439.7784152001</v>
      </c>
      <c r="J854" s="433">
        <v>6607458.1083020996</v>
      </c>
    </row>
    <row r="855" spans="1:10">
      <c r="A855">
        <v>62</v>
      </c>
      <c r="B855" t="s">
        <v>138</v>
      </c>
      <c r="C855" s="27" t="s">
        <v>481</v>
      </c>
      <c r="D855" t="s">
        <v>279</v>
      </c>
      <c r="E855" s="433">
        <v>42834648766.253601</v>
      </c>
      <c r="F855" s="433">
        <v>21670488956.810001</v>
      </c>
      <c r="G855" s="433">
        <v>64505137723.063599</v>
      </c>
      <c r="H855" s="433">
        <v>10487506.8900201</v>
      </c>
      <c r="I855" s="433">
        <v>5305737.4996779999</v>
      </c>
      <c r="J855" s="433">
        <v>15793244.389698099</v>
      </c>
    </row>
    <row r="856" spans="1:10">
      <c r="A856">
        <v>63</v>
      </c>
      <c r="B856" t="s">
        <v>138</v>
      </c>
      <c r="C856" s="27" t="s">
        <v>481</v>
      </c>
      <c r="D856" t="s">
        <v>280</v>
      </c>
      <c r="E856" s="433">
        <v>2399158.4213999999</v>
      </c>
      <c r="F856" s="433">
        <v>854375.7</v>
      </c>
      <c r="G856" s="433">
        <v>3253534.1214000001</v>
      </c>
      <c r="H856" s="433">
        <v>587.4027499</v>
      </c>
      <c r="I856" s="433">
        <v>209.18278309999999</v>
      </c>
      <c r="J856" s="433">
        <v>796.58553289999998</v>
      </c>
    </row>
    <row r="857" spans="1:10">
      <c r="A857">
        <v>64</v>
      </c>
      <c r="B857" t="s">
        <v>138</v>
      </c>
      <c r="C857" s="27" t="s">
        <v>481</v>
      </c>
      <c r="D857" t="s">
        <v>281</v>
      </c>
      <c r="E857" s="433">
        <v>8168748599.8502998</v>
      </c>
      <c r="F857" s="433">
        <v>1806780801.55</v>
      </c>
      <c r="G857" s="433">
        <v>9975529401.4002991</v>
      </c>
      <c r="H857" s="433">
        <v>2000011.8990414999</v>
      </c>
      <c r="I857" s="433">
        <v>442366.79068879999</v>
      </c>
      <c r="J857" s="433">
        <v>2442378.6897304002</v>
      </c>
    </row>
    <row r="858" spans="1:10">
      <c r="A858">
        <v>65</v>
      </c>
      <c r="B858" t="s">
        <v>139</v>
      </c>
      <c r="C858" s="27" t="s">
        <v>480</v>
      </c>
      <c r="D858" t="s">
        <v>278</v>
      </c>
      <c r="E858" s="433">
        <v>13891620.713300001</v>
      </c>
      <c r="F858" s="433">
        <v>20218961.640000001</v>
      </c>
      <c r="G858" s="433">
        <v>34110582.353299998</v>
      </c>
      <c r="H858" s="433">
        <v>325483.1469845</v>
      </c>
      <c r="I858" s="433">
        <v>473733.87160259997</v>
      </c>
      <c r="J858" s="433">
        <v>799217.01858719997</v>
      </c>
    </row>
    <row r="859" spans="1:10">
      <c r="A859">
        <v>66</v>
      </c>
      <c r="B859" t="s">
        <v>139</v>
      </c>
      <c r="C859" s="27" t="s">
        <v>480</v>
      </c>
      <c r="D859" t="s">
        <v>279</v>
      </c>
      <c r="E859" s="433">
        <v>53194605.651199996</v>
      </c>
      <c r="F859" s="433">
        <v>63774124.509999998</v>
      </c>
      <c r="G859" s="433">
        <v>116968730.1612</v>
      </c>
      <c r="H859" s="433">
        <v>1246359.0827366</v>
      </c>
      <c r="I859" s="433">
        <v>1494239.0934864001</v>
      </c>
      <c r="J859" s="433">
        <v>2740598.1762231002</v>
      </c>
    </row>
    <row r="860" spans="1:10">
      <c r="A860">
        <v>67</v>
      </c>
      <c r="B860" t="s">
        <v>139</v>
      </c>
      <c r="C860" s="27" t="s">
        <v>480</v>
      </c>
      <c r="D860" t="s">
        <v>280</v>
      </c>
      <c r="E860" s="433">
        <v>-4388760.0851999996</v>
      </c>
      <c r="F860" s="433">
        <v>12493.74</v>
      </c>
      <c r="G860" s="433">
        <v>-4376266.3452000003</v>
      </c>
      <c r="H860" s="433">
        <v>-102829.43029990001</v>
      </c>
      <c r="I860" s="433">
        <v>292.73055299999999</v>
      </c>
      <c r="J860" s="433">
        <v>-102536.69974700001</v>
      </c>
    </row>
    <row r="861" spans="1:10">
      <c r="A861">
        <v>68</v>
      </c>
      <c r="B861" t="s">
        <v>139</v>
      </c>
      <c r="C861" s="27" t="s">
        <v>480</v>
      </c>
      <c r="D861" t="s">
        <v>281</v>
      </c>
      <c r="E861" s="433">
        <v>11923111.0414</v>
      </c>
      <c r="F861" s="433">
        <v>6090501.7599999998</v>
      </c>
      <c r="G861" s="433">
        <v>18013612.801399998</v>
      </c>
      <c r="H861" s="433">
        <v>279360.6148407</v>
      </c>
      <c r="I861" s="433">
        <v>142701.54076850001</v>
      </c>
      <c r="J861" s="433">
        <v>422062.15560920001</v>
      </c>
    </row>
    <row r="862" spans="1:10">
      <c r="A862">
        <v>69</v>
      </c>
      <c r="B862" t="s">
        <v>139</v>
      </c>
      <c r="C862" s="27" t="s">
        <v>481</v>
      </c>
      <c r="D862" t="s">
        <v>278</v>
      </c>
      <c r="E862" s="433">
        <v>16729578.5865</v>
      </c>
      <c r="F862" s="433">
        <v>28250455.370000001</v>
      </c>
      <c r="G862" s="433">
        <v>44980033.956500001</v>
      </c>
      <c r="H862" s="433">
        <v>443755.4001724</v>
      </c>
      <c r="I862" s="433">
        <v>749348.94880639995</v>
      </c>
      <c r="J862" s="433">
        <v>1193104.3489788</v>
      </c>
    </row>
    <row r="863" spans="1:10">
      <c r="A863">
        <v>70</v>
      </c>
      <c r="B863" t="s">
        <v>139</v>
      </c>
      <c r="C863" s="27" t="s">
        <v>481</v>
      </c>
      <c r="D863" t="s">
        <v>279</v>
      </c>
      <c r="E863" s="433">
        <v>58924280.565099999</v>
      </c>
      <c r="F863" s="433">
        <v>61169671.560000002</v>
      </c>
      <c r="G863" s="433">
        <v>120093952.1251</v>
      </c>
      <c r="H863" s="433">
        <v>1562978.2643263</v>
      </c>
      <c r="I863" s="433">
        <v>1622537.7071618</v>
      </c>
      <c r="J863" s="433">
        <v>3185515.9714881</v>
      </c>
    </row>
    <row r="864" spans="1:10">
      <c r="A864">
        <v>71</v>
      </c>
      <c r="B864" t="s">
        <v>139</v>
      </c>
      <c r="C864" s="27" t="s">
        <v>481</v>
      </c>
      <c r="D864" t="s">
        <v>280</v>
      </c>
      <c r="E864" s="433">
        <v>-4470144.2065000003</v>
      </c>
      <c r="F864" s="433">
        <v>59528.160000000003</v>
      </c>
      <c r="G864" s="433">
        <v>-4410616.0465000002</v>
      </c>
      <c r="H864" s="433">
        <v>-118571.46436339999</v>
      </c>
      <c r="I864" s="433">
        <v>1578.9962865</v>
      </c>
      <c r="J864" s="433">
        <v>-116992.4680769</v>
      </c>
    </row>
    <row r="865" spans="1:10">
      <c r="A865">
        <v>72</v>
      </c>
      <c r="B865" t="s">
        <v>139</v>
      </c>
      <c r="C865" s="27" t="s">
        <v>481</v>
      </c>
      <c r="D865" t="s">
        <v>281</v>
      </c>
      <c r="E865" s="433">
        <v>14655.8982</v>
      </c>
      <c r="F865" s="433">
        <v>7229940.7199999997</v>
      </c>
      <c r="G865" s="433">
        <v>7244596.6182000004</v>
      </c>
      <c r="H865" s="433">
        <v>388.75061540000002</v>
      </c>
      <c r="I865" s="433">
        <v>191775.6159151</v>
      </c>
      <c r="J865" s="433">
        <v>192164.3665305</v>
      </c>
    </row>
    <row r="866" spans="1:10">
      <c r="A866">
        <v>73</v>
      </c>
      <c r="B866" t="s">
        <v>141</v>
      </c>
      <c r="C866" s="27" t="s">
        <v>480</v>
      </c>
      <c r="D866" t="s">
        <v>278</v>
      </c>
      <c r="E866" s="433">
        <v>4089723704.8747001</v>
      </c>
      <c r="F866" s="433">
        <v>1112024360</v>
      </c>
      <c r="G866" s="433">
        <v>5201748064.8746996</v>
      </c>
      <c r="H866" s="433">
        <v>6234743.5958069004</v>
      </c>
      <c r="I866" s="433">
        <v>1695270.2082606</v>
      </c>
      <c r="J866" s="433">
        <v>7930013.8040674999</v>
      </c>
    </row>
    <row r="867" spans="1:10">
      <c r="A867">
        <v>74</v>
      </c>
      <c r="B867" t="s">
        <v>141</v>
      </c>
      <c r="C867" s="27" t="s">
        <v>480</v>
      </c>
      <c r="D867" t="s">
        <v>279</v>
      </c>
      <c r="E867" s="433">
        <v>4037211901.079</v>
      </c>
      <c r="F867" s="433">
        <v>2399368151</v>
      </c>
      <c r="G867" s="433">
        <v>6436580052.0790005</v>
      </c>
      <c r="H867" s="433">
        <v>6154689.8669867003</v>
      </c>
      <c r="I867" s="433">
        <v>3657813.1661069002</v>
      </c>
      <c r="J867" s="433">
        <v>9812503.0330935996</v>
      </c>
    </row>
    <row r="868" spans="1:10">
      <c r="A868">
        <v>75</v>
      </c>
      <c r="B868" t="s">
        <v>141</v>
      </c>
      <c r="C868" s="27" t="s">
        <v>480</v>
      </c>
      <c r="D868" t="s">
        <v>280</v>
      </c>
      <c r="E868" s="433">
        <v>-448117511.46359998</v>
      </c>
      <c r="F868" s="433">
        <v>26254541</v>
      </c>
      <c r="G868" s="433">
        <v>-421862970.46359998</v>
      </c>
      <c r="H868" s="433">
        <v>-683150.742295</v>
      </c>
      <c r="I868" s="433">
        <v>40024.789734700003</v>
      </c>
      <c r="J868" s="433">
        <v>-643125.95256030001</v>
      </c>
    </row>
    <row r="869" spans="1:10">
      <c r="A869">
        <v>76</v>
      </c>
      <c r="B869" t="s">
        <v>141</v>
      </c>
      <c r="C869" s="27" t="s">
        <v>480</v>
      </c>
      <c r="D869" t="s">
        <v>281</v>
      </c>
      <c r="E869" s="433">
        <v>6730429103.6557999</v>
      </c>
      <c r="F869" s="433">
        <v>435952584</v>
      </c>
      <c r="G869" s="433">
        <v>7166381687.6557999</v>
      </c>
      <c r="H869" s="433">
        <v>10260473.024383901</v>
      </c>
      <c r="I869" s="433">
        <v>664605.42992909998</v>
      </c>
      <c r="J869" s="433">
        <v>10925078.454313001</v>
      </c>
    </row>
    <row r="870" spans="1:10">
      <c r="A870">
        <v>77</v>
      </c>
      <c r="B870" t="s">
        <v>141</v>
      </c>
      <c r="C870" s="27" t="s">
        <v>481</v>
      </c>
      <c r="D870" t="s">
        <v>278</v>
      </c>
      <c r="E870" s="433">
        <v>4119669256.3966999</v>
      </c>
      <c r="F870" s="433">
        <v>983164908</v>
      </c>
      <c r="G870" s="433">
        <v>5102831172.3966999</v>
      </c>
      <c r="H870" s="433">
        <v>6280395.2948085004</v>
      </c>
      <c r="I870" s="433">
        <v>1498825.2400690999</v>
      </c>
      <c r="J870" s="433">
        <v>7779215.9736029999</v>
      </c>
    </row>
    <row r="871" spans="1:10">
      <c r="A871">
        <v>78</v>
      </c>
      <c r="B871" t="s">
        <v>141</v>
      </c>
      <c r="C871" s="27" t="s">
        <v>481</v>
      </c>
      <c r="D871" t="s">
        <v>279</v>
      </c>
      <c r="E871" s="433">
        <v>3688549833.3024001</v>
      </c>
      <c r="F871" s="433">
        <v>2107324545.6199999</v>
      </c>
      <c r="G871" s="433">
        <v>5795871386.9224005</v>
      </c>
      <c r="H871" s="433">
        <v>5623157.9711816004</v>
      </c>
      <c r="I871" s="433">
        <v>3212595.5598003999</v>
      </c>
      <c r="J871" s="433">
        <v>8835748.9697075002</v>
      </c>
    </row>
    <row r="872" spans="1:10">
      <c r="A872">
        <v>79</v>
      </c>
      <c r="B872" t="s">
        <v>141</v>
      </c>
      <c r="C872" s="27" t="s">
        <v>481</v>
      </c>
      <c r="D872" t="s">
        <v>280</v>
      </c>
      <c r="E872" s="433">
        <v>-8275914.9308000002</v>
      </c>
      <c r="F872" s="433">
        <v>153046</v>
      </c>
      <c r="G872" s="433">
        <v>-8122868.9308000002</v>
      </c>
      <c r="H872" s="433">
        <v>-12616.550979400001</v>
      </c>
      <c r="I872" s="433">
        <v>233.31712289999999</v>
      </c>
      <c r="J872" s="433">
        <v>-12383.233856499999</v>
      </c>
    </row>
    <row r="873" spans="1:10">
      <c r="A873">
        <v>80</v>
      </c>
      <c r="B873" t="s">
        <v>141</v>
      </c>
      <c r="C873" s="27" t="s">
        <v>481</v>
      </c>
      <c r="D873" t="s">
        <v>281</v>
      </c>
      <c r="E873" s="433">
        <v>7422410327.5474997</v>
      </c>
      <c r="F873" s="433">
        <v>588318447.09000003</v>
      </c>
      <c r="G873" s="433">
        <v>8010728774.6374998</v>
      </c>
      <c r="H873" s="433">
        <v>11315391.599674201</v>
      </c>
      <c r="I873" s="433">
        <v>896885.69081509998</v>
      </c>
      <c r="J873" s="433">
        <v>12212277.290489299</v>
      </c>
    </row>
    <row r="874" spans="1:10">
      <c r="A874">
        <v>81</v>
      </c>
      <c r="B874" t="s">
        <v>140</v>
      </c>
      <c r="C874" s="27" t="s">
        <v>480</v>
      </c>
      <c r="D874" t="s">
        <v>278</v>
      </c>
      <c r="E874" s="433">
        <v>663052859.3743</v>
      </c>
      <c r="F874" s="433">
        <v>381133940</v>
      </c>
      <c r="G874" s="433">
        <v>1044186799.3743</v>
      </c>
      <c r="H874" s="433">
        <v>1010817.5678807</v>
      </c>
      <c r="I874" s="433">
        <v>581034.94588819996</v>
      </c>
      <c r="J874" s="433">
        <v>1591852.5137689</v>
      </c>
    </row>
    <row r="875" spans="1:10">
      <c r="A875">
        <v>82</v>
      </c>
      <c r="B875" t="s">
        <v>140</v>
      </c>
      <c r="C875" s="27" t="s">
        <v>480</v>
      </c>
      <c r="D875" t="s">
        <v>279</v>
      </c>
      <c r="E875" s="433">
        <v>1234068450.3231001</v>
      </c>
      <c r="F875" s="433">
        <v>1208165078</v>
      </c>
      <c r="G875" s="433">
        <v>2442233528.3231001</v>
      </c>
      <c r="H875" s="433">
        <v>1881325.2245545001</v>
      </c>
      <c r="I875" s="433">
        <v>1841835.7880166001</v>
      </c>
      <c r="J875" s="433">
        <v>3723161.0125711001</v>
      </c>
    </row>
    <row r="876" spans="1:10">
      <c r="A876">
        <v>83</v>
      </c>
      <c r="B876" t="s">
        <v>140</v>
      </c>
      <c r="C876" s="27" t="s">
        <v>480</v>
      </c>
      <c r="D876" t="s">
        <v>280</v>
      </c>
      <c r="E876" s="433">
        <v>-16405828.926899999</v>
      </c>
      <c r="F876" s="433">
        <v>33624840</v>
      </c>
      <c r="G876" s="433">
        <v>17219011.073100001</v>
      </c>
      <c r="H876" s="433">
        <v>-25010.5249687</v>
      </c>
      <c r="I876" s="433">
        <v>51260.738127700002</v>
      </c>
      <c r="J876" s="433">
        <v>26250.213158899998</v>
      </c>
    </row>
    <row r="877" spans="1:10">
      <c r="A877">
        <v>84</v>
      </c>
      <c r="B877" t="s">
        <v>140</v>
      </c>
      <c r="C877" s="27" t="s">
        <v>480</v>
      </c>
      <c r="D877" t="s">
        <v>281</v>
      </c>
      <c r="E877" s="433">
        <v>631116054.75880003</v>
      </c>
      <c r="F877" s="433">
        <v>121596132</v>
      </c>
      <c r="G877" s="433">
        <v>752712186.75880003</v>
      </c>
      <c r="H877" s="433">
        <v>962130.2231073</v>
      </c>
      <c r="I877" s="433">
        <v>185372.1082327</v>
      </c>
      <c r="J877" s="433">
        <v>1147502.33134</v>
      </c>
    </row>
    <row r="878" spans="1:10">
      <c r="A878">
        <v>85</v>
      </c>
      <c r="B878" t="s">
        <v>140</v>
      </c>
      <c r="C878" s="27" t="s">
        <v>481</v>
      </c>
      <c r="D878" t="s">
        <v>278</v>
      </c>
      <c r="E878" s="433">
        <v>1081034834.7695999</v>
      </c>
      <c r="F878" s="433">
        <v>563413413</v>
      </c>
      <c r="G878" s="433">
        <v>1644448247.7695999</v>
      </c>
      <c r="H878" s="433">
        <v>1648026.9816002999</v>
      </c>
      <c r="I878" s="433">
        <v>858918.21110229997</v>
      </c>
      <c r="J878" s="433">
        <v>2506945.1927025998</v>
      </c>
    </row>
    <row r="879" spans="1:10">
      <c r="A879">
        <v>86</v>
      </c>
      <c r="B879" t="s">
        <v>140</v>
      </c>
      <c r="C879" s="27" t="s">
        <v>481</v>
      </c>
      <c r="D879" t="s">
        <v>279</v>
      </c>
      <c r="E879" s="433">
        <v>1213853549.7562001</v>
      </c>
      <c r="F879" s="433">
        <v>971877501</v>
      </c>
      <c r="G879" s="433">
        <v>2185731050.7561998</v>
      </c>
      <c r="H879" s="433">
        <v>1850507.8073046999</v>
      </c>
      <c r="I879" s="433">
        <v>1481617.699026</v>
      </c>
      <c r="J879" s="433">
        <v>3332125.5063307998</v>
      </c>
    </row>
    <row r="880" spans="1:10">
      <c r="A880">
        <v>87</v>
      </c>
      <c r="B880" t="s">
        <v>140</v>
      </c>
      <c r="C880" s="27" t="s">
        <v>481</v>
      </c>
      <c r="D880" t="s">
        <v>280</v>
      </c>
      <c r="E880" s="433">
        <v>-19749898.668099999</v>
      </c>
      <c r="F880" s="433">
        <v>413532</v>
      </c>
      <c r="G880" s="433">
        <v>-19336366.668099999</v>
      </c>
      <c r="H880" s="433">
        <v>-30108.526424899999</v>
      </c>
      <c r="I880" s="433">
        <v>630.42547000000002</v>
      </c>
      <c r="J880" s="433">
        <v>-29478.100954900001</v>
      </c>
    </row>
    <row r="881" spans="1:10">
      <c r="A881">
        <v>88</v>
      </c>
      <c r="B881" t="s">
        <v>140</v>
      </c>
      <c r="C881" s="27" t="s">
        <v>481</v>
      </c>
      <c r="D881" t="s">
        <v>281</v>
      </c>
      <c r="E881" s="433">
        <v>724648627.94330001</v>
      </c>
      <c r="F881" s="433">
        <v>142102847</v>
      </c>
      <c r="G881" s="433">
        <v>866751474.94330001</v>
      </c>
      <c r="H881" s="433">
        <v>1104719.7117238999</v>
      </c>
      <c r="I881" s="433">
        <v>216634.39371790001</v>
      </c>
      <c r="J881" s="433">
        <v>1321354.1054418001</v>
      </c>
    </row>
    <row r="882" spans="1:10">
      <c r="B882" t="s">
        <v>123</v>
      </c>
      <c r="C882" s="27" t="s">
        <v>486</v>
      </c>
      <c r="D882" t="s">
        <v>278</v>
      </c>
      <c r="E882" s="433">
        <v>847452786.30219996</v>
      </c>
      <c r="F882" s="433">
        <v>254022764.81999999</v>
      </c>
      <c r="G882" s="433">
        <v>1101475551.1222</v>
      </c>
      <c r="H882" s="433">
        <v>1291933.4442688001</v>
      </c>
      <c r="I882" s="433">
        <v>387255.20852739998</v>
      </c>
      <c r="J882" s="433">
        <v>1679188.6527960999</v>
      </c>
    </row>
    <row r="883" spans="1:10">
      <c r="B883" t="s">
        <v>123</v>
      </c>
      <c r="C883" s="27" t="s">
        <v>486</v>
      </c>
      <c r="D883" t="s">
        <v>279</v>
      </c>
      <c r="E883" s="433">
        <v>705652737.89859998</v>
      </c>
      <c r="F883" s="433">
        <v>417721772.75999999</v>
      </c>
      <c r="G883" s="433">
        <v>1123374510.6586001</v>
      </c>
      <c r="H883" s="433">
        <v>1075760.6640353</v>
      </c>
      <c r="I883" s="433">
        <v>636812.73735930002</v>
      </c>
      <c r="J883" s="433">
        <v>1712573.4013946</v>
      </c>
    </row>
    <row r="884" spans="1:10">
      <c r="B884" t="s">
        <v>123</v>
      </c>
      <c r="C884" s="27" t="s">
        <v>486</v>
      </c>
      <c r="D884" t="s">
        <v>280</v>
      </c>
      <c r="E884" s="433">
        <v>15817.2012</v>
      </c>
      <c r="F884" s="433">
        <v>4095</v>
      </c>
      <c r="G884" s="433">
        <v>19912.2012</v>
      </c>
      <c r="H884" s="433">
        <v>24.113167799999999</v>
      </c>
      <c r="I884" s="433">
        <v>6.2427872999999998</v>
      </c>
      <c r="J884" s="433">
        <v>30.355955000000002</v>
      </c>
    </row>
    <row r="885" spans="1:10">
      <c r="B885" t="s">
        <v>123</v>
      </c>
      <c r="C885" s="27" t="s">
        <v>486</v>
      </c>
      <c r="D885" t="s">
        <v>281</v>
      </c>
      <c r="E885" s="433">
        <v>643184935.75929999</v>
      </c>
      <c r="F885" s="433">
        <v>122856850</v>
      </c>
      <c r="G885" s="433">
        <v>766041785.75929999</v>
      </c>
      <c r="H885" s="433">
        <v>980529.11358410004</v>
      </c>
      <c r="I885" s="433">
        <v>187294.06043380001</v>
      </c>
      <c r="J885" s="433">
        <v>1167823.174018</v>
      </c>
    </row>
    <row r="886" spans="1:10">
      <c r="B886" t="s">
        <v>123</v>
      </c>
      <c r="C886" s="27" t="s">
        <v>487</v>
      </c>
      <c r="D886" t="s">
        <v>278</v>
      </c>
      <c r="E886" s="433">
        <v>728774528.102</v>
      </c>
      <c r="F886" s="433">
        <v>292175891</v>
      </c>
      <c r="G886" s="433">
        <v>1020950419.102</v>
      </c>
      <c r="H886" s="433">
        <v>1111009.6059681</v>
      </c>
      <c r="I886" s="433">
        <v>445419.27443410002</v>
      </c>
      <c r="J886" s="433">
        <v>1556428.8804021999</v>
      </c>
    </row>
    <row r="887" spans="1:10">
      <c r="B887" t="s">
        <v>123</v>
      </c>
      <c r="C887" s="27" t="s">
        <v>487</v>
      </c>
      <c r="D887" t="s">
        <v>279</v>
      </c>
      <c r="E887" s="433">
        <v>654047093.55379999</v>
      </c>
      <c r="F887" s="433">
        <v>417846560.94</v>
      </c>
      <c r="G887" s="433">
        <v>1071893654.4938</v>
      </c>
      <c r="H887" s="433">
        <v>997088.3663926</v>
      </c>
      <c r="I887" s="433">
        <v>637002.97571330005</v>
      </c>
      <c r="J887" s="433">
        <v>1634091.3421060001</v>
      </c>
    </row>
    <row r="888" spans="1:10">
      <c r="B888" t="s">
        <v>123</v>
      </c>
      <c r="C888" s="27" t="s">
        <v>487</v>
      </c>
      <c r="D888" t="s">
        <v>280</v>
      </c>
      <c r="E888" s="433">
        <v>26444350.163800001</v>
      </c>
      <c r="F888" s="433">
        <v>12413708</v>
      </c>
      <c r="G888" s="433">
        <v>38858058.163800001</v>
      </c>
      <c r="H888" s="433">
        <v>40314.1519395</v>
      </c>
      <c r="I888" s="433">
        <v>18924.575848699998</v>
      </c>
      <c r="J888" s="433">
        <v>59238.727788299999</v>
      </c>
    </row>
    <row r="889" spans="1:10">
      <c r="B889" t="s">
        <v>123</v>
      </c>
      <c r="C889" s="27" t="s">
        <v>487</v>
      </c>
      <c r="D889" t="s">
        <v>281</v>
      </c>
      <c r="E889" s="433">
        <v>627437496.18089998</v>
      </c>
      <c r="F889" s="433">
        <v>149551625</v>
      </c>
      <c r="G889" s="433">
        <v>776989121.18089998</v>
      </c>
      <c r="H889" s="433">
        <v>956522.2967068</v>
      </c>
      <c r="I889" s="433">
        <v>227989.9825751</v>
      </c>
      <c r="J889" s="433">
        <v>1184512.2792819</v>
      </c>
    </row>
    <row r="890" spans="1:10">
      <c r="B890" t="s">
        <v>124</v>
      </c>
      <c r="C890" s="27" t="s">
        <v>486</v>
      </c>
      <c r="D890" t="s">
        <v>278</v>
      </c>
      <c r="E890" s="433">
        <v>603716884.16859996</v>
      </c>
      <c r="F890" s="433">
        <v>-10647295</v>
      </c>
      <c r="G890" s="433">
        <v>593069589.16859996</v>
      </c>
      <c r="H890" s="433">
        <v>920360.45681130001</v>
      </c>
      <c r="I890" s="433">
        <v>-16231.696589900001</v>
      </c>
      <c r="J890" s="433">
        <v>904128.76022149995</v>
      </c>
    </row>
    <row r="891" spans="1:10">
      <c r="B891" t="s">
        <v>124</v>
      </c>
      <c r="C891" s="27" t="s">
        <v>486</v>
      </c>
      <c r="D891" t="s">
        <v>279</v>
      </c>
      <c r="E891" s="433">
        <v>2066370090.6808</v>
      </c>
      <c r="F891" s="433">
        <v>2011933436</v>
      </c>
      <c r="G891" s="433">
        <v>4078303526.6808</v>
      </c>
      <c r="H891" s="433">
        <v>3150160.8957306999</v>
      </c>
      <c r="I891" s="433">
        <v>3067172.7506529</v>
      </c>
      <c r="J891" s="433">
        <v>6217333.6463834997</v>
      </c>
    </row>
    <row r="892" spans="1:10">
      <c r="B892" t="s">
        <v>124</v>
      </c>
      <c r="C892" s="27" t="s">
        <v>486</v>
      </c>
      <c r="D892" t="s">
        <v>280</v>
      </c>
      <c r="E892" s="433">
        <v>1588239.7585</v>
      </c>
      <c r="F892" s="433">
        <v>18000</v>
      </c>
      <c r="G892" s="433">
        <v>1606239.7585</v>
      </c>
      <c r="H892" s="433">
        <v>2421.2559031999999</v>
      </c>
      <c r="I892" s="433">
        <v>27.440823099999999</v>
      </c>
      <c r="J892" s="433">
        <v>2448.6967263000001</v>
      </c>
    </row>
    <row r="893" spans="1:10">
      <c r="B893" t="s">
        <v>124</v>
      </c>
      <c r="C893" s="27" t="s">
        <v>486</v>
      </c>
      <c r="D893" t="s">
        <v>281</v>
      </c>
      <c r="E893" s="433">
        <v>1627218532.8182001</v>
      </c>
      <c r="F893" s="433">
        <v>207368174</v>
      </c>
      <c r="G893" s="433">
        <v>1834586706.8182001</v>
      </c>
      <c r="H893" s="433">
        <v>2480678.6615864001</v>
      </c>
      <c r="I893" s="433">
        <v>316130.7433262</v>
      </c>
      <c r="J893" s="433">
        <v>2796809.4049125002</v>
      </c>
    </row>
    <row r="894" spans="1:10">
      <c r="B894" t="s">
        <v>124</v>
      </c>
      <c r="C894" s="27" t="s">
        <v>487</v>
      </c>
      <c r="D894" t="s">
        <v>278</v>
      </c>
      <c r="E894" s="433">
        <v>880608787.85959995</v>
      </c>
      <c r="F894" s="433">
        <v>-112423537</v>
      </c>
      <c r="G894" s="433">
        <v>768185250.85959995</v>
      </c>
      <c r="H894" s="433">
        <v>1342479.4427982001</v>
      </c>
      <c r="I894" s="433">
        <v>-171388.5773</v>
      </c>
      <c r="J894" s="433">
        <v>1171090.8654982001</v>
      </c>
    </row>
    <row r="895" spans="1:10">
      <c r="B895" t="s">
        <v>124</v>
      </c>
      <c r="C895" s="27" t="s">
        <v>487</v>
      </c>
      <c r="D895" t="s">
        <v>279</v>
      </c>
      <c r="E895" s="433">
        <v>2040058101.5636001</v>
      </c>
      <c r="F895" s="433">
        <v>1932120054</v>
      </c>
      <c r="G895" s="433">
        <v>3972163155.5636001</v>
      </c>
      <c r="H895" s="433">
        <v>3110048.5269058999</v>
      </c>
      <c r="I895" s="433">
        <v>2945498.0341699002</v>
      </c>
      <c r="J895" s="433">
        <v>6055523.6937231999</v>
      </c>
    </row>
    <row r="896" spans="1:10">
      <c r="B896" t="s">
        <v>124</v>
      </c>
      <c r="C896" s="27" t="s">
        <v>487</v>
      </c>
      <c r="D896" t="s">
        <v>280</v>
      </c>
      <c r="E896" s="433">
        <v>35.828299999999999</v>
      </c>
      <c r="F896" s="433">
        <v>0</v>
      </c>
      <c r="G896" s="433">
        <v>35.828299999999999</v>
      </c>
      <c r="H896" s="433">
        <v>5.4619899999999999E-2</v>
      </c>
      <c r="I896" s="433">
        <v>0</v>
      </c>
      <c r="J896" s="433">
        <v>5.4619899999999999E-2</v>
      </c>
    </row>
    <row r="897" spans="2:10">
      <c r="B897" t="s">
        <v>124</v>
      </c>
      <c r="C897" s="27" t="s">
        <v>487</v>
      </c>
      <c r="D897" t="s">
        <v>281</v>
      </c>
      <c r="E897" s="433">
        <v>1596471619.2577</v>
      </c>
      <c r="F897" s="433">
        <v>266255530</v>
      </c>
      <c r="G897" s="433">
        <v>1862727149.2577</v>
      </c>
      <c r="H897" s="433">
        <v>2433805.2940325001</v>
      </c>
      <c r="I897" s="433">
        <v>405903.93882530002</v>
      </c>
      <c r="J897" s="433">
        <v>2839709.2328578001</v>
      </c>
    </row>
    <row r="898" spans="2:10">
      <c r="B898" t="s">
        <v>131</v>
      </c>
      <c r="C898" s="27" t="s">
        <v>486</v>
      </c>
      <c r="D898" t="s">
        <v>278</v>
      </c>
      <c r="E898" s="433">
        <v>12820310213.848801</v>
      </c>
      <c r="F898" s="433">
        <v>5172354893</v>
      </c>
      <c r="G898" s="433">
        <v>17992665106.848801</v>
      </c>
      <c r="H898" s="433">
        <v>19544436.927799799</v>
      </c>
      <c r="I898" s="433">
        <v>7885204.2024095999</v>
      </c>
      <c r="J898" s="433">
        <v>27429641.130209401</v>
      </c>
    </row>
    <row r="899" spans="2:10">
      <c r="B899" t="s">
        <v>131</v>
      </c>
      <c r="C899" s="27" t="s">
        <v>486</v>
      </c>
      <c r="D899" t="s">
        <v>279</v>
      </c>
      <c r="E899" s="433">
        <v>15041785132.294001</v>
      </c>
      <c r="F899" s="433">
        <v>8903810575</v>
      </c>
      <c r="G899" s="433">
        <v>23945595707.293999</v>
      </c>
      <c r="H899" s="433">
        <v>22931053.609145101</v>
      </c>
      <c r="I899" s="433">
        <v>13573771.7182681</v>
      </c>
      <c r="J899" s="433">
        <v>36504825.327413201</v>
      </c>
    </row>
    <row r="900" spans="2:10">
      <c r="B900" t="s">
        <v>131</v>
      </c>
      <c r="C900" s="27" t="s">
        <v>486</v>
      </c>
      <c r="D900" t="s">
        <v>280</v>
      </c>
      <c r="E900" s="433">
        <v>14672775.9012</v>
      </c>
      <c r="F900" s="433">
        <v>123998706</v>
      </c>
      <c r="G900" s="433">
        <v>138671481.9012</v>
      </c>
      <c r="H900" s="433">
        <v>22368.502662800001</v>
      </c>
      <c r="I900" s="433">
        <v>189034.80868409999</v>
      </c>
      <c r="J900" s="433">
        <v>211403.31134690001</v>
      </c>
    </row>
    <row r="901" spans="2:10">
      <c r="B901" t="s">
        <v>131</v>
      </c>
      <c r="C901" s="27" t="s">
        <v>486</v>
      </c>
      <c r="D901" t="s">
        <v>281</v>
      </c>
      <c r="E901" s="433">
        <v>12012872560.554701</v>
      </c>
      <c r="F901" s="433">
        <v>1980787374</v>
      </c>
      <c r="G901" s="433">
        <v>13993659934.554701</v>
      </c>
      <c r="H901" s="433">
        <v>18313506.160548199</v>
      </c>
      <c r="I901" s="433">
        <v>3019690.8852257002</v>
      </c>
      <c r="J901" s="433">
        <v>21333197.045773901</v>
      </c>
    </row>
    <row r="902" spans="2:10">
      <c r="B902" t="s">
        <v>131</v>
      </c>
      <c r="C902" s="27" t="s">
        <v>487</v>
      </c>
      <c r="D902" t="s">
        <v>278</v>
      </c>
      <c r="E902" s="433">
        <v>15269825333.701099</v>
      </c>
      <c r="F902" s="433">
        <v>5802202726</v>
      </c>
      <c r="G902" s="433">
        <v>21069208308.701099</v>
      </c>
      <c r="H902" s="433">
        <v>23278698.655096401</v>
      </c>
      <c r="I902" s="433">
        <v>8845401.0339091998</v>
      </c>
      <c r="J902" s="433">
        <v>32119801.006317601</v>
      </c>
    </row>
    <row r="903" spans="2:10">
      <c r="B903" t="s">
        <v>131</v>
      </c>
      <c r="C903" s="27" t="s">
        <v>487</v>
      </c>
      <c r="D903" t="s">
        <v>279</v>
      </c>
      <c r="E903" s="433">
        <v>18143279372.033199</v>
      </c>
      <c r="F903" s="433">
        <v>10475612870</v>
      </c>
      <c r="G903" s="433">
        <v>28606418324.033199</v>
      </c>
      <c r="H903" s="433">
        <v>27659251.0973024</v>
      </c>
      <c r="I903" s="433">
        <v>15969968.8699107</v>
      </c>
      <c r="J903" s="433">
        <v>43610203.601811104</v>
      </c>
    </row>
    <row r="904" spans="2:10">
      <c r="B904" t="s">
        <v>131</v>
      </c>
      <c r="C904" s="27" t="s">
        <v>487</v>
      </c>
      <c r="D904" t="s">
        <v>280</v>
      </c>
      <c r="E904" s="433">
        <v>1756404930.7556</v>
      </c>
      <c r="F904" s="433">
        <v>-253325112</v>
      </c>
      <c r="G904" s="433">
        <v>1503079818.7556</v>
      </c>
      <c r="H904" s="433">
        <v>2677622.0556462999</v>
      </c>
      <c r="I904" s="433">
        <v>-386191.6436596</v>
      </c>
      <c r="J904" s="433">
        <v>2291430.4119867999</v>
      </c>
    </row>
    <row r="905" spans="2:10">
      <c r="B905" t="s">
        <v>131</v>
      </c>
      <c r="C905" s="27" t="s">
        <v>487</v>
      </c>
      <c r="D905" t="s">
        <v>281</v>
      </c>
      <c r="E905" s="433">
        <v>12770793671.7264</v>
      </c>
      <c r="F905" s="433">
        <v>2399638368</v>
      </c>
      <c r="G905" s="433">
        <v>15169457399.7264</v>
      </c>
      <c r="H905" s="433">
        <v>19468949.445964299</v>
      </c>
      <c r="I905" s="433">
        <v>3658225.1092678001</v>
      </c>
      <c r="J905" s="433">
        <v>23125688.7261305</v>
      </c>
    </row>
    <row r="906" spans="2:10">
      <c r="B906" t="s">
        <v>132</v>
      </c>
      <c r="C906" s="27" t="s">
        <v>486</v>
      </c>
      <c r="D906" t="s">
        <v>278</v>
      </c>
      <c r="E906" s="433">
        <v>4130391816.6030002</v>
      </c>
      <c r="F906" s="433">
        <v>2304657760</v>
      </c>
      <c r="G906" s="433">
        <v>6435049576.6029997</v>
      </c>
      <c r="H906" s="433">
        <v>6296741.7324657002</v>
      </c>
      <c r="I906" s="433">
        <v>3513428.1058057002</v>
      </c>
      <c r="J906" s="433">
        <v>9810169.8382714</v>
      </c>
    </row>
    <row r="907" spans="2:10">
      <c r="B907" t="s">
        <v>132</v>
      </c>
      <c r="C907" s="27" t="s">
        <v>486</v>
      </c>
      <c r="D907" t="s">
        <v>279</v>
      </c>
      <c r="E907" s="433">
        <v>5550195478.5087996</v>
      </c>
      <c r="F907" s="433">
        <v>5466996417</v>
      </c>
      <c r="G907" s="433">
        <v>11017191895.508801</v>
      </c>
      <c r="H907" s="433">
        <v>8461218.4617419001</v>
      </c>
      <c r="I907" s="433">
        <v>8334382.3101209002</v>
      </c>
      <c r="J907" s="433">
        <v>16795600.771862801</v>
      </c>
    </row>
    <row r="908" spans="2:10">
      <c r="B908" t="s">
        <v>132</v>
      </c>
      <c r="C908" s="27" t="s">
        <v>486</v>
      </c>
      <c r="D908" t="s">
        <v>280</v>
      </c>
      <c r="E908" s="433">
        <v>-129233876.22490001</v>
      </c>
      <c r="F908" s="433">
        <v>30110617</v>
      </c>
      <c r="G908" s="433">
        <v>-99123259.224900007</v>
      </c>
      <c r="H908" s="433">
        <v>-197015.77424269999</v>
      </c>
      <c r="I908" s="433">
        <v>45903.339700600001</v>
      </c>
      <c r="J908" s="433">
        <v>-151112.4345421</v>
      </c>
    </row>
    <row r="909" spans="2:10">
      <c r="B909" t="s">
        <v>132</v>
      </c>
      <c r="C909" s="27" t="s">
        <v>486</v>
      </c>
      <c r="D909" t="s">
        <v>281</v>
      </c>
      <c r="E909" s="433">
        <v>2091986699.2848001</v>
      </c>
      <c r="F909" s="433">
        <v>508008026</v>
      </c>
      <c r="G909" s="433">
        <v>2599994725.2848001</v>
      </c>
      <c r="H909" s="433">
        <v>3189213.163797</v>
      </c>
      <c r="I909" s="433">
        <v>774453.24312420003</v>
      </c>
      <c r="J909" s="433">
        <v>3963666.4069212</v>
      </c>
    </row>
    <row r="910" spans="2:10">
      <c r="B910" t="s">
        <v>132</v>
      </c>
      <c r="C910" s="27" t="s">
        <v>487</v>
      </c>
      <c r="D910" t="s">
        <v>278</v>
      </c>
      <c r="E910" s="433">
        <v>4816751346.9556999</v>
      </c>
      <c r="F910" s="433">
        <v>3025349506</v>
      </c>
      <c r="G910" s="433">
        <v>7842100852.9556999</v>
      </c>
      <c r="H910" s="433">
        <v>7343090.0912036998</v>
      </c>
      <c r="I910" s="433">
        <v>4612115.5898938002</v>
      </c>
      <c r="J910" s="433">
        <v>11955205.6810975</v>
      </c>
    </row>
    <row r="911" spans="2:10">
      <c r="B911" t="s">
        <v>132</v>
      </c>
      <c r="C911" s="27" t="s">
        <v>487</v>
      </c>
      <c r="D911" t="s">
        <v>279</v>
      </c>
      <c r="E911" s="433">
        <v>6273640871.3281002</v>
      </c>
      <c r="F911" s="433">
        <v>4023990393</v>
      </c>
      <c r="G911" s="433">
        <v>10297631264.3281</v>
      </c>
      <c r="H911" s="433">
        <v>9564103.8533442002</v>
      </c>
      <c r="I911" s="433">
        <v>6134533.8078562999</v>
      </c>
      <c r="J911" s="433">
        <v>15698637.661200499</v>
      </c>
    </row>
    <row r="912" spans="2:10">
      <c r="B912" t="s">
        <v>132</v>
      </c>
      <c r="C912" s="27" t="s">
        <v>487</v>
      </c>
      <c r="D912" t="s">
        <v>280</v>
      </c>
      <c r="E912" s="433">
        <v>-141926195.33149999</v>
      </c>
      <c r="F912" s="433">
        <v>21288762</v>
      </c>
      <c r="G912" s="433">
        <v>-120637433.33149999</v>
      </c>
      <c r="H912" s="433">
        <v>-216365.0899853</v>
      </c>
      <c r="I912" s="433">
        <v>32454.508451000002</v>
      </c>
      <c r="J912" s="433">
        <v>-183910.5815343</v>
      </c>
    </row>
    <row r="913" spans="2:10">
      <c r="B913" t="s">
        <v>132</v>
      </c>
      <c r="C913" s="27" t="s">
        <v>487</v>
      </c>
      <c r="D913" t="s">
        <v>281</v>
      </c>
      <c r="E913" s="433">
        <v>2048810982.8673999</v>
      </c>
      <c r="F913" s="433">
        <v>738132485</v>
      </c>
      <c r="G913" s="433">
        <v>2786943467.8674002</v>
      </c>
      <c r="H913" s="433">
        <v>3123392.2084335</v>
      </c>
      <c r="I913" s="433">
        <v>1125275.7192925999</v>
      </c>
      <c r="J913" s="433">
        <v>4248667.9277261002</v>
      </c>
    </row>
    <row r="914" spans="2:10">
      <c r="B914" t="s">
        <v>135</v>
      </c>
      <c r="C914" s="27" t="s">
        <v>486</v>
      </c>
      <c r="D914" t="s">
        <v>278</v>
      </c>
      <c r="E914" s="433">
        <v>1037724009.7879</v>
      </c>
      <c r="F914" s="433">
        <v>783480543</v>
      </c>
      <c r="G914" s="433">
        <v>1821204552.7879</v>
      </c>
      <c r="H914" s="433">
        <v>1582000.0545582999</v>
      </c>
      <c r="I914" s="433">
        <v>1194408.3880497999</v>
      </c>
      <c r="J914" s="433">
        <v>2776408.4426080999</v>
      </c>
    </row>
    <row r="915" spans="2:10">
      <c r="B915" t="s">
        <v>135</v>
      </c>
      <c r="C915" s="27" t="s">
        <v>486</v>
      </c>
      <c r="D915" t="s">
        <v>279</v>
      </c>
      <c r="E915" s="433">
        <v>213284926.53349999</v>
      </c>
      <c r="F915" s="433">
        <v>216053084</v>
      </c>
      <c r="G915" s="433">
        <v>429338010.53350002</v>
      </c>
      <c r="H915" s="433">
        <v>325150.7744159</v>
      </c>
      <c r="I915" s="433">
        <v>329370.80326910003</v>
      </c>
      <c r="J915" s="433">
        <v>654521.57768500003</v>
      </c>
    </row>
    <row r="916" spans="2:10">
      <c r="B916" t="s">
        <v>135</v>
      </c>
      <c r="C916" s="27" t="s">
        <v>486</v>
      </c>
      <c r="D916" t="s">
        <v>280</v>
      </c>
      <c r="E916" s="433">
        <v>-3898733.6945000002</v>
      </c>
      <c r="F916" s="433">
        <v>1059834</v>
      </c>
      <c r="G916" s="433">
        <v>-2838899.6945000002</v>
      </c>
      <c r="H916" s="433">
        <v>-5943.5812020000003</v>
      </c>
      <c r="I916" s="433">
        <v>1615.7065173000001</v>
      </c>
      <c r="J916" s="433">
        <v>-4327.8746846000004</v>
      </c>
    </row>
    <row r="917" spans="2:10">
      <c r="B917" t="s">
        <v>135</v>
      </c>
      <c r="C917" s="27" t="s">
        <v>486</v>
      </c>
      <c r="D917" t="s">
        <v>281</v>
      </c>
      <c r="E917" s="433">
        <v>1018500044.7875</v>
      </c>
      <c r="F917" s="433">
        <v>541491164</v>
      </c>
      <c r="G917" s="433">
        <v>1559991208.7874999</v>
      </c>
      <c r="H917" s="433">
        <v>1552693.3088411</v>
      </c>
      <c r="I917" s="433">
        <v>825497.95794540003</v>
      </c>
      <c r="J917" s="433">
        <v>2378191.2667864999</v>
      </c>
    </row>
    <row r="918" spans="2:10">
      <c r="B918" t="s">
        <v>135</v>
      </c>
      <c r="C918" s="27" t="s">
        <v>487</v>
      </c>
      <c r="D918" t="s">
        <v>278</v>
      </c>
      <c r="E918" s="433">
        <v>1066577915.0662</v>
      </c>
      <c r="F918" s="433">
        <v>852182124</v>
      </c>
      <c r="G918" s="433">
        <v>1918760039.0662</v>
      </c>
      <c r="H918" s="433">
        <v>1625987.5495897001</v>
      </c>
      <c r="I918" s="433">
        <v>1299143.2731109001</v>
      </c>
      <c r="J918" s="433">
        <v>2925130.8227006001</v>
      </c>
    </row>
    <row r="919" spans="2:10">
      <c r="B919" t="s">
        <v>135</v>
      </c>
      <c r="C919" s="27" t="s">
        <v>487</v>
      </c>
      <c r="D919" t="s">
        <v>279</v>
      </c>
      <c r="E919" s="433">
        <v>252971105.44490001</v>
      </c>
      <c r="F919" s="433">
        <v>275144436</v>
      </c>
      <c r="G919" s="433">
        <v>528115541.44489998</v>
      </c>
      <c r="H919" s="433">
        <v>385651.96414539998</v>
      </c>
      <c r="I919" s="433">
        <v>419454.98866540001</v>
      </c>
      <c r="J919" s="433">
        <v>805106.95281080005</v>
      </c>
    </row>
    <row r="920" spans="2:10">
      <c r="B920" t="s">
        <v>135</v>
      </c>
      <c r="C920" s="27" t="s">
        <v>487</v>
      </c>
      <c r="D920" t="s">
        <v>280</v>
      </c>
      <c r="E920" s="433">
        <v>-1679111.9752</v>
      </c>
      <c r="F920" s="433">
        <v>221554</v>
      </c>
      <c r="G920" s="433">
        <v>-1457557.9752</v>
      </c>
      <c r="H920" s="433">
        <v>-2559.7897045</v>
      </c>
      <c r="I920" s="433">
        <v>337.75689569999997</v>
      </c>
      <c r="J920" s="433">
        <v>-2222.0328089</v>
      </c>
    </row>
    <row r="921" spans="2:10">
      <c r="B921" t="s">
        <v>135</v>
      </c>
      <c r="C921" s="27" t="s">
        <v>487</v>
      </c>
      <c r="D921" t="s">
        <v>281</v>
      </c>
      <c r="E921" s="433">
        <v>1326378202.2385001</v>
      </c>
      <c r="F921" s="433">
        <v>606114374</v>
      </c>
      <c r="G921" s="433">
        <v>1932436833.2385001</v>
      </c>
      <c r="H921" s="433">
        <v>2022050.5341638001</v>
      </c>
      <c r="I921" s="433">
        <v>924015.40649770002</v>
      </c>
      <c r="J921" s="433">
        <v>2945980.9610057999</v>
      </c>
    </row>
    <row r="922" spans="2:10">
      <c r="B922" t="s">
        <v>136</v>
      </c>
      <c r="C922" s="27" t="s">
        <v>486</v>
      </c>
      <c r="D922" t="s">
        <v>278</v>
      </c>
      <c r="E922" s="433">
        <v>-3126153.9519000002</v>
      </c>
      <c r="F922" s="433">
        <v>4157582.37</v>
      </c>
      <c r="G922" s="433">
        <v>1031428.4181</v>
      </c>
      <c r="H922" s="433">
        <v>-460053.26581999997</v>
      </c>
      <c r="I922" s="433">
        <v>611841.05986579997</v>
      </c>
      <c r="J922" s="433">
        <v>151787.79404579999</v>
      </c>
    </row>
    <row r="923" spans="2:10">
      <c r="B923" t="s">
        <v>136</v>
      </c>
      <c r="C923" s="27" t="s">
        <v>486</v>
      </c>
      <c r="D923" t="s">
        <v>279</v>
      </c>
      <c r="E923" s="433">
        <v>4214802.8909</v>
      </c>
      <c r="F923" s="433">
        <v>13752403.07</v>
      </c>
      <c r="G923" s="433">
        <v>17967205.960900001</v>
      </c>
      <c r="H923" s="433">
        <v>620261.78639330005</v>
      </c>
      <c r="I923" s="433">
        <v>2023840.8096892</v>
      </c>
      <c r="J923" s="433">
        <v>2644102.5960825002</v>
      </c>
    </row>
    <row r="924" spans="2:10">
      <c r="B924" t="s">
        <v>136</v>
      </c>
      <c r="C924" s="27" t="s">
        <v>486</v>
      </c>
      <c r="D924" t="s">
        <v>280</v>
      </c>
      <c r="E924" s="433">
        <v>-8462.5689999999995</v>
      </c>
      <c r="F924" s="433">
        <v>30742.51</v>
      </c>
      <c r="G924" s="433">
        <v>22279.940999999999</v>
      </c>
      <c r="H924" s="433">
        <v>-1245.3745291</v>
      </c>
      <c r="I924" s="433">
        <v>4524.1508712000004</v>
      </c>
      <c r="J924" s="433">
        <v>3278.7763421</v>
      </c>
    </row>
    <row r="925" spans="2:10">
      <c r="B925" t="s">
        <v>136</v>
      </c>
      <c r="C925" s="27" t="s">
        <v>486</v>
      </c>
      <c r="D925" t="s">
        <v>281</v>
      </c>
      <c r="E925" s="433">
        <v>2311354.1855000001</v>
      </c>
      <c r="F925" s="433">
        <v>1725313.51</v>
      </c>
      <c r="G925" s="433">
        <v>4036667.6954999999</v>
      </c>
      <c r="H925" s="433">
        <v>340145.1297239</v>
      </c>
      <c r="I925" s="433">
        <v>253901.79979990001</v>
      </c>
      <c r="J925" s="433">
        <v>594046.92952380003</v>
      </c>
    </row>
    <row r="926" spans="2:10">
      <c r="B926" t="s">
        <v>136</v>
      </c>
      <c r="C926" s="27" t="s">
        <v>487</v>
      </c>
      <c r="D926" t="s">
        <v>278</v>
      </c>
      <c r="E926" s="433">
        <v>-6242847.6682000002</v>
      </c>
      <c r="F926" s="433">
        <v>4418572.3</v>
      </c>
      <c r="G926" s="433">
        <v>-1824275.3681999999</v>
      </c>
      <c r="H926" s="433">
        <v>-663095.76175559999</v>
      </c>
      <c r="I926" s="433">
        <v>469326.93553700001</v>
      </c>
      <c r="J926" s="433">
        <v>-193768.82621860001</v>
      </c>
    </row>
    <row r="927" spans="2:10">
      <c r="B927" t="s">
        <v>136</v>
      </c>
      <c r="C927" s="27" t="s">
        <v>487</v>
      </c>
      <c r="D927" t="s">
        <v>279</v>
      </c>
      <c r="E927" s="433">
        <v>1052766.8807000001</v>
      </c>
      <c r="F927" s="433">
        <v>16871082.350000001</v>
      </c>
      <c r="G927" s="433">
        <v>17923849.230700001</v>
      </c>
      <c r="H927" s="433">
        <v>111821.6067108</v>
      </c>
      <c r="I927" s="433">
        <v>1791993.6216767</v>
      </c>
      <c r="J927" s="433">
        <v>1903815.2283874999</v>
      </c>
    </row>
    <row r="928" spans="2:10">
      <c r="B928" t="s">
        <v>136</v>
      </c>
      <c r="C928" s="27" t="s">
        <v>487</v>
      </c>
      <c r="D928" t="s">
        <v>280</v>
      </c>
      <c r="E928" s="433">
        <v>-12058.2359</v>
      </c>
      <c r="F928" s="433">
        <v>25019.06</v>
      </c>
      <c r="G928" s="433">
        <v>12960.8241</v>
      </c>
      <c r="H928" s="433">
        <v>-1280.7881186</v>
      </c>
      <c r="I928" s="433">
        <v>2657.4463338999999</v>
      </c>
      <c r="J928" s="433">
        <v>1376.6582152999999</v>
      </c>
    </row>
    <row r="929" spans="2:10">
      <c r="B929" t="s">
        <v>136</v>
      </c>
      <c r="C929" s="27" t="s">
        <v>487</v>
      </c>
      <c r="D929" t="s">
        <v>281</v>
      </c>
      <c r="E929" s="433">
        <v>1965401.7376000001</v>
      </c>
      <c r="F929" s="433">
        <v>5342533.7300000004</v>
      </c>
      <c r="G929" s="433">
        <v>7307935.4676000001</v>
      </c>
      <c r="H929" s="433">
        <v>208758.8279605</v>
      </c>
      <c r="I929" s="433">
        <v>567467.22997019999</v>
      </c>
      <c r="J929" s="433">
        <v>776226.05793070002</v>
      </c>
    </row>
    <row r="930" spans="2:10">
      <c r="B930" t="s">
        <v>137</v>
      </c>
      <c r="C930" s="27" t="s">
        <v>486</v>
      </c>
      <c r="D930" t="s">
        <v>278</v>
      </c>
      <c r="E930" s="433">
        <v>27507774796.376801</v>
      </c>
      <c r="F930" s="433">
        <v>9471982239</v>
      </c>
      <c r="G930" s="433">
        <v>36979757035.376801</v>
      </c>
      <c r="H930" s="433">
        <v>2432170.5765514001</v>
      </c>
      <c r="I930" s="433">
        <v>837489.64334069996</v>
      </c>
      <c r="J930" s="433">
        <v>3269660.2198921</v>
      </c>
    </row>
    <row r="931" spans="2:10">
      <c r="B931" t="s">
        <v>137</v>
      </c>
      <c r="C931" s="27" t="s">
        <v>486</v>
      </c>
      <c r="D931" t="s">
        <v>279</v>
      </c>
      <c r="E931" s="433">
        <v>48033046974.800201</v>
      </c>
      <c r="F931" s="433">
        <v>26780680718</v>
      </c>
      <c r="G931" s="433">
        <v>74813727692.800201</v>
      </c>
      <c r="H931" s="433">
        <v>4246965.2459714003</v>
      </c>
      <c r="I931" s="433">
        <v>2367882.685695</v>
      </c>
      <c r="J931" s="433">
        <v>6614847.9316664003</v>
      </c>
    </row>
    <row r="932" spans="2:10">
      <c r="B932" t="s">
        <v>137</v>
      </c>
      <c r="C932" s="27" t="s">
        <v>486</v>
      </c>
      <c r="D932" t="s">
        <v>280</v>
      </c>
      <c r="E932" s="433">
        <v>120620332.1885</v>
      </c>
      <c r="F932" s="433">
        <v>9246345</v>
      </c>
      <c r="G932" s="433">
        <v>129866677.1885</v>
      </c>
      <c r="H932" s="433">
        <v>10664.9565461</v>
      </c>
      <c r="I932" s="433">
        <v>817.53934719999995</v>
      </c>
      <c r="J932" s="433">
        <v>11482.4958933</v>
      </c>
    </row>
    <row r="933" spans="2:10">
      <c r="B933" t="s">
        <v>137</v>
      </c>
      <c r="C933" s="27" t="s">
        <v>486</v>
      </c>
      <c r="D933" t="s">
        <v>281</v>
      </c>
      <c r="E933" s="433">
        <v>12633125077.016701</v>
      </c>
      <c r="F933" s="433">
        <v>1458475644</v>
      </c>
      <c r="G933" s="433">
        <v>14091600721.016701</v>
      </c>
      <c r="H933" s="433">
        <v>1116990.2083922999</v>
      </c>
      <c r="I933" s="433">
        <v>128954.8709124</v>
      </c>
      <c r="J933" s="433">
        <v>1245945.0793047</v>
      </c>
    </row>
    <row r="934" spans="2:10">
      <c r="B934" t="s">
        <v>137</v>
      </c>
      <c r="C934" s="27" t="s">
        <v>487</v>
      </c>
      <c r="D934" t="s">
        <v>278</v>
      </c>
      <c r="E934" s="433">
        <v>28230751182.901402</v>
      </c>
      <c r="F934" s="433">
        <v>9891402067</v>
      </c>
      <c r="G934" s="433">
        <v>38121166996.901398</v>
      </c>
      <c r="H934" s="433">
        <v>3380828.0347162001</v>
      </c>
      <c r="I934" s="433">
        <v>1184563.9244278001</v>
      </c>
      <c r="J934" s="433">
        <v>4565273.8485145997</v>
      </c>
    </row>
    <row r="935" spans="2:10">
      <c r="B935" t="s">
        <v>137</v>
      </c>
      <c r="C935" s="27" t="s">
        <v>487</v>
      </c>
      <c r="D935" t="s">
        <v>279</v>
      </c>
      <c r="E935" s="433">
        <v>29208814811.309399</v>
      </c>
      <c r="F935" s="433">
        <v>26516619950</v>
      </c>
      <c r="G935" s="433">
        <v>55719372780.309402</v>
      </c>
      <c r="H935" s="433">
        <v>3497957.9301708001</v>
      </c>
      <c r="I935" s="433">
        <v>3175548.9442014</v>
      </c>
      <c r="J935" s="433">
        <v>6672780.9101504004</v>
      </c>
    </row>
    <row r="936" spans="2:10">
      <c r="B936" t="s">
        <v>137</v>
      </c>
      <c r="C936" s="27" t="s">
        <v>487</v>
      </c>
      <c r="D936" t="s">
        <v>280</v>
      </c>
      <c r="E936" s="433">
        <v>47267.643700000001</v>
      </c>
      <c r="F936" s="433">
        <v>0</v>
      </c>
      <c r="G936" s="433">
        <v>47267.643700000001</v>
      </c>
      <c r="H936" s="433">
        <v>5.6606278000000003</v>
      </c>
      <c r="I936" s="433">
        <v>0</v>
      </c>
      <c r="J936" s="433">
        <v>5.6606278000000003</v>
      </c>
    </row>
    <row r="937" spans="2:10">
      <c r="B937" t="s">
        <v>137</v>
      </c>
      <c r="C937" s="27" t="s">
        <v>487</v>
      </c>
      <c r="D937" t="s">
        <v>281</v>
      </c>
      <c r="E937" s="433">
        <v>53732943255.4729</v>
      </c>
      <c r="F937" s="433">
        <v>3080987115</v>
      </c>
      <c r="G937" s="433">
        <v>56813780255.4729</v>
      </c>
      <c r="H937" s="433">
        <v>6434892.2127139</v>
      </c>
      <c r="I937" s="433">
        <v>368969.55187289999</v>
      </c>
      <c r="J937" s="433">
        <v>6803843.7872756002</v>
      </c>
    </row>
    <row r="938" spans="2:10">
      <c r="B938" t="s">
        <v>138</v>
      </c>
      <c r="C938" s="27" t="s">
        <v>486</v>
      </c>
      <c r="D938" t="s">
        <v>278</v>
      </c>
      <c r="E938" s="433">
        <v>23610267515.9468</v>
      </c>
      <c r="F938" s="433">
        <v>7214094118.3199997</v>
      </c>
      <c r="G938" s="433">
        <v>30824361634.2668</v>
      </c>
      <c r="H938" s="433">
        <v>5146966.4668244999</v>
      </c>
      <c r="I938" s="433">
        <v>1572650.5635919</v>
      </c>
      <c r="J938" s="433">
        <v>6719617.0304164002</v>
      </c>
    </row>
    <row r="939" spans="2:10">
      <c r="B939" t="s">
        <v>138</v>
      </c>
      <c r="C939" s="27" t="s">
        <v>486</v>
      </c>
      <c r="D939" t="s">
        <v>279</v>
      </c>
      <c r="E939" s="433">
        <v>43661863683.417603</v>
      </c>
      <c r="F939" s="433">
        <v>20933336007.029999</v>
      </c>
      <c r="G939" s="433">
        <v>64595199690.447601</v>
      </c>
      <c r="H939" s="433">
        <v>9518153.4095633999</v>
      </c>
      <c r="I939" s="433">
        <v>4563403.5444190996</v>
      </c>
      <c r="J939" s="433">
        <v>14081556.9539825</v>
      </c>
    </row>
    <row r="940" spans="2:10">
      <c r="B940" t="s">
        <v>138</v>
      </c>
      <c r="C940" s="27" t="s">
        <v>486</v>
      </c>
      <c r="D940" t="s">
        <v>280</v>
      </c>
      <c r="E940" s="433">
        <v>2236902.9196000001</v>
      </c>
      <c r="F940" s="433">
        <v>1800416.78</v>
      </c>
      <c r="G940" s="433">
        <v>4037319.6995999999</v>
      </c>
      <c r="H940" s="433">
        <v>487.63802900000002</v>
      </c>
      <c r="I940" s="433">
        <v>392.4853789</v>
      </c>
      <c r="J940" s="433">
        <v>880.12340800000004</v>
      </c>
    </row>
    <row r="941" spans="2:10">
      <c r="B941" t="s">
        <v>138</v>
      </c>
      <c r="C941" s="27" t="s">
        <v>486</v>
      </c>
      <c r="D941" t="s">
        <v>281</v>
      </c>
      <c r="E941" s="433">
        <v>7309952144.2925997</v>
      </c>
      <c r="F941" s="433">
        <v>1653064193.6400001</v>
      </c>
      <c r="G941" s="433">
        <v>8963016337.9326</v>
      </c>
      <c r="H941" s="433">
        <v>1593547.3215352001</v>
      </c>
      <c r="I941" s="433">
        <v>360362.96354650002</v>
      </c>
      <c r="J941" s="433">
        <v>1953910.2850817</v>
      </c>
    </row>
    <row r="942" spans="2:10">
      <c r="B942" t="s">
        <v>138</v>
      </c>
      <c r="C942" s="27" t="s">
        <v>487</v>
      </c>
      <c r="D942" t="s">
        <v>278</v>
      </c>
      <c r="E942" s="433">
        <v>23221888032.800201</v>
      </c>
      <c r="F942" s="433">
        <v>7452970554.9200001</v>
      </c>
      <c r="G942" s="433">
        <v>30674858587.7202</v>
      </c>
      <c r="H942" s="433">
        <v>5735612.2509831004</v>
      </c>
      <c r="I942" s="433">
        <v>1840821.4336679</v>
      </c>
      <c r="J942" s="433">
        <v>7576433.6846510004</v>
      </c>
    </row>
    <row r="943" spans="2:10">
      <c r="B943" t="s">
        <v>138</v>
      </c>
      <c r="C943" s="27" t="s">
        <v>487</v>
      </c>
      <c r="D943" t="s">
        <v>279</v>
      </c>
      <c r="E943" s="433">
        <v>48368581956.564201</v>
      </c>
      <c r="F943" s="433">
        <v>25112140907.48</v>
      </c>
      <c r="G943" s="433">
        <v>73480722864.044205</v>
      </c>
      <c r="H943" s="433">
        <v>11946635.4691271</v>
      </c>
      <c r="I943" s="433">
        <v>6202488.9119228004</v>
      </c>
      <c r="J943" s="433">
        <v>18149124.381049901</v>
      </c>
    </row>
    <row r="944" spans="2:10">
      <c r="B944" t="s">
        <v>138</v>
      </c>
      <c r="C944" s="27" t="s">
        <v>487</v>
      </c>
      <c r="D944" t="s">
        <v>280</v>
      </c>
      <c r="E944" s="433">
        <v>2846478.6318000001</v>
      </c>
      <c r="F944" s="433">
        <v>995957.71</v>
      </c>
      <c r="G944" s="433">
        <v>3842436.3418000001</v>
      </c>
      <c r="H944" s="433">
        <v>703.0564306</v>
      </c>
      <c r="I944" s="433">
        <v>245.99323000000001</v>
      </c>
      <c r="J944" s="433">
        <v>949.04966060000004</v>
      </c>
    </row>
    <row r="945" spans="2:10">
      <c r="B945" t="s">
        <v>138</v>
      </c>
      <c r="C945" s="27" t="s">
        <v>487</v>
      </c>
      <c r="D945" t="s">
        <v>281</v>
      </c>
      <c r="E945" s="433">
        <v>9670883056.7798004</v>
      </c>
      <c r="F945" s="433">
        <v>2053160517.3599999</v>
      </c>
      <c r="G945" s="433">
        <v>11724043574.139799</v>
      </c>
      <c r="H945" s="433">
        <v>2388627.2838773001</v>
      </c>
      <c r="I945" s="433">
        <v>507113.48706750001</v>
      </c>
      <c r="J945" s="433">
        <v>2895740.7709448002</v>
      </c>
    </row>
    <row r="946" spans="2:10">
      <c r="B946" t="s">
        <v>139</v>
      </c>
      <c r="C946" s="27" t="s">
        <v>486</v>
      </c>
      <c r="D946" t="s">
        <v>278</v>
      </c>
      <c r="E946" s="433">
        <v>15981792.8452</v>
      </c>
      <c r="F946" s="433">
        <v>22843152.030000001</v>
      </c>
      <c r="G946" s="433">
        <v>38824944.875200003</v>
      </c>
      <c r="H946" s="433">
        <v>379524.88352410001</v>
      </c>
      <c r="I946" s="433">
        <v>542463.83353119995</v>
      </c>
      <c r="J946" s="433">
        <v>921988.71705530002</v>
      </c>
    </row>
    <row r="947" spans="2:10">
      <c r="B947" t="s">
        <v>139</v>
      </c>
      <c r="C947" s="27" t="s">
        <v>486</v>
      </c>
      <c r="D947" t="s">
        <v>279</v>
      </c>
      <c r="E947" s="433">
        <v>60330438.009499997</v>
      </c>
      <c r="F947" s="433">
        <v>72202283.269999996</v>
      </c>
      <c r="G947" s="433">
        <v>132532721.27949999</v>
      </c>
      <c r="H947" s="433">
        <v>1432686.7254689999</v>
      </c>
      <c r="I947" s="433">
        <v>1714611.3338874001</v>
      </c>
      <c r="J947" s="433">
        <v>3147298.0593563998</v>
      </c>
    </row>
    <row r="948" spans="2:10">
      <c r="B948" t="s">
        <v>139</v>
      </c>
      <c r="C948" s="27" t="s">
        <v>486</v>
      </c>
      <c r="D948" t="s">
        <v>280</v>
      </c>
      <c r="E948" s="433">
        <v>-5207451.3194000004</v>
      </c>
      <c r="F948" s="433">
        <v>19537.560000000001</v>
      </c>
      <c r="G948" s="433">
        <v>-5187913.7593999999</v>
      </c>
      <c r="H948" s="433">
        <v>-123663.0567419</v>
      </c>
      <c r="I948" s="433">
        <v>463.964854</v>
      </c>
      <c r="J948" s="433">
        <v>-123199.09188789999</v>
      </c>
    </row>
    <row r="949" spans="2:10">
      <c r="B949" t="s">
        <v>139</v>
      </c>
      <c r="C949" s="27" t="s">
        <v>486</v>
      </c>
      <c r="D949" t="s">
        <v>281</v>
      </c>
      <c r="E949" s="433">
        <v>12496726.1982</v>
      </c>
      <c r="F949" s="433">
        <v>6951854.0199999996</v>
      </c>
      <c r="G949" s="433">
        <v>19448580.218199998</v>
      </c>
      <c r="H949" s="433">
        <v>296763.86127290002</v>
      </c>
      <c r="I949" s="433">
        <v>165087.96057940001</v>
      </c>
      <c r="J949" s="433">
        <v>461851.82185230003</v>
      </c>
    </row>
    <row r="950" spans="2:10">
      <c r="B950" t="s">
        <v>139</v>
      </c>
      <c r="C950" s="27" t="s">
        <v>487</v>
      </c>
      <c r="D950" t="s">
        <v>278</v>
      </c>
      <c r="E950" s="433">
        <v>18965326.7564</v>
      </c>
      <c r="F950" s="433">
        <v>31059847.879999999</v>
      </c>
      <c r="G950" s="433">
        <v>50025174.636399999</v>
      </c>
      <c r="H950" s="433">
        <v>516907.24329249997</v>
      </c>
      <c r="I950" s="433">
        <v>846548.04796949995</v>
      </c>
      <c r="J950" s="433">
        <v>1363455.2912619</v>
      </c>
    </row>
    <row r="951" spans="2:10">
      <c r="B951" t="s">
        <v>139</v>
      </c>
      <c r="C951" s="27" t="s">
        <v>487</v>
      </c>
      <c r="D951" t="s">
        <v>279</v>
      </c>
      <c r="E951" s="433">
        <v>66924873.876800001</v>
      </c>
      <c r="F951" s="433">
        <v>67846787.569999993</v>
      </c>
      <c r="G951" s="433">
        <v>134771661.44679999</v>
      </c>
      <c r="H951" s="433">
        <v>1824063.0655983</v>
      </c>
      <c r="I951" s="433">
        <v>1849190.1763422999</v>
      </c>
      <c r="J951" s="433">
        <v>3673253.2419405999</v>
      </c>
    </row>
    <row r="952" spans="2:10">
      <c r="B952" t="s">
        <v>139</v>
      </c>
      <c r="C952" s="27" t="s">
        <v>487</v>
      </c>
      <c r="D952" t="s">
        <v>280</v>
      </c>
      <c r="E952" s="433">
        <v>-4862125.3883999996</v>
      </c>
      <c r="F952" s="433">
        <v>67335.64</v>
      </c>
      <c r="G952" s="433">
        <v>-4794789.7483999999</v>
      </c>
      <c r="H952" s="433">
        <v>-132519.089354</v>
      </c>
      <c r="I952" s="433">
        <v>1835.2586535999999</v>
      </c>
      <c r="J952" s="433">
        <v>-130683.8307005</v>
      </c>
    </row>
    <row r="953" spans="2:10">
      <c r="B953" t="s">
        <v>139</v>
      </c>
      <c r="C953" s="27" t="s">
        <v>487</v>
      </c>
      <c r="D953" t="s">
        <v>281</v>
      </c>
      <c r="E953" s="433">
        <v>-109864.62179999999</v>
      </c>
      <c r="F953" s="433">
        <v>8157100.0599999996</v>
      </c>
      <c r="G953" s="433">
        <v>8047235.4381999997</v>
      </c>
      <c r="H953" s="433">
        <v>-2994.4023385</v>
      </c>
      <c r="I953" s="433">
        <v>222324.88579989999</v>
      </c>
      <c r="J953" s="433">
        <v>219330.4834614</v>
      </c>
    </row>
    <row r="954" spans="2:10">
      <c r="B954" t="s">
        <v>141</v>
      </c>
      <c r="C954" s="27" t="s">
        <v>486</v>
      </c>
      <c r="D954" t="s">
        <v>278</v>
      </c>
      <c r="E954" s="433">
        <v>4607632122.8563004</v>
      </c>
      <c r="F954" s="433">
        <v>1256142551</v>
      </c>
      <c r="G954" s="433">
        <v>5863774673.8563004</v>
      </c>
      <c r="H954" s="433">
        <v>7024289.8892096998</v>
      </c>
      <c r="I954" s="433">
        <v>1914976.9741004</v>
      </c>
      <c r="J954" s="433">
        <v>8939266.8633101005</v>
      </c>
    </row>
    <row r="955" spans="2:10">
      <c r="B955" t="s">
        <v>141</v>
      </c>
      <c r="C955" s="27" t="s">
        <v>486</v>
      </c>
      <c r="D955" t="s">
        <v>279</v>
      </c>
      <c r="E955" s="433">
        <v>4602517009.4688997</v>
      </c>
      <c r="F955" s="433">
        <v>2692592488</v>
      </c>
      <c r="G955" s="433">
        <v>7295109497.4688997</v>
      </c>
      <c r="H955" s="433">
        <v>7016491.94912</v>
      </c>
      <c r="I955" s="433">
        <v>4104830.7861643001</v>
      </c>
      <c r="J955" s="433">
        <v>11121322.735284301</v>
      </c>
    </row>
    <row r="956" spans="2:10">
      <c r="B956" t="s">
        <v>141</v>
      </c>
      <c r="C956" s="27" t="s">
        <v>486</v>
      </c>
      <c r="D956" t="s">
        <v>280</v>
      </c>
      <c r="E956" s="433">
        <v>-503501770.5165</v>
      </c>
      <c r="F956" s="433">
        <v>29482932</v>
      </c>
      <c r="G956" s="433">
        <v>-474018838.5165</v>
      </c>
      <c r="H956" s="433">
        <v>-767583.50092539995</v>
      </c>
      <c r="I956" s="433">
        <v>44946.440086800001</v>
      </c>
      <c r="J956" s="433">
        <v>-722637.06083860004</v>
      </c>
    </row>
    <row r="957" spans="2:10">
      <c r="B957" t="s">
        <v>141</v>
      </c>
      <c r="C957" s="27" t="s">
        <v>486</v>
      </c>
      <c r="D957" t="s">
        <v>281</v>
      </c>
      <c r="E957" s="433">
        <v>7534391799.1617002</v>
      </c>
      <c r="F957" s="433">
        <v>507659369</v>
      </c>
      <c r="G957" s="433">
        <v>8042051168.1617002</v>
      </c>
      <c r="H957" s="433">
        <v>11486106.2526381</v>
      </c>
      <c r="I957" s="433">
        <v>773921.71895410004</v>
      </c>
      <c r="J957" s="433">
        <v>12260027.971592201</v>
      </c>
    </row>
    <row r="958" spans="2:10">
      <c r="B958" t="s">
        <v>141</v>
      </c>
      <c r="C958" s="27" t="s">
        <v>487</v>
      </c>
      <c r="D958" t="s">
        <v>278</v>
      </c>
      <c r="E958" s="433">
        <v>4686208815.3732996</v>
      </c>
      <c r="F958" s="433">
        <v>1112354689</v>
      </c>
      <c r="G958" s="433">
        <v>5798557520.3732996</v>
      </c>
      <c r="H958" s="433">
        <v>7144079.2847295003</v>
      </c>
      <c r="I958" s="433">
        <v>1695773.7915747999</v>
      </c>
      <c r="J958" s="433">
        <v>8839843.9537550006</v>
      </c>
    </row>
    <row r="959" spans="2:10">
      <c r="B959" t="s">
        <v>141</v>
      </c>
      <c r="C959" s="27" t="s">
        <v>487</v>
      </c>
      <c r="D959" t="s">
        <v>279</v>
      </c>
      <c r="E959" s="433">
        <v>4205354586.1032</v>
      </c>
      <c r="F959" s="433">
        <v>2365621533.6199999</v>
      </c>
      <c r="G959" s="433">
        <v>6570970135.7231998</v>
      </c>
      <c r="H959" s="433">
        <v>6411021.7378626997</v>
      </c>
      <c r="I959" s="433">
        <v>3606366.7795601999</v>
      </c>
      <c r="J959" s="433">
        <v>10017379.394873699</v>
      </c>
    </row>
    <row r="960" spans="2:10">
      <c r="B960" t="s">
        <v>141</v>
      </c>
      <c r="C960" s="27" t="s">
        <v>487</v>
      </c>
      <c r="D960" t="s">
        <v>280</v>
      </c>
      <c r="E960" s="433">
        <v>-8158249.4550999999</v>
      </c>
      <c r="F960" s="433">
        <v>159146</v>
      </c>
      <c r="G960" s="433">
        <v>-7999103.4550999999</v>
      </c>
      <c r="H960" s="433">
        <v>-12437.171118099999</v>
      </c>
      <c r="I960" s="433">
        <v>242.616513</v>
      </c>
      <c r="J960" s="433">
        <v>-12194.5546051</v>
      </c>
    </row>
    <row r="961" spans="2:10">
      <c r="B961" t="s">
        <v>141</v>
      </c>
      <c r="C961" s="27" t="s">
        <v>487</v>
      </c>
      <c r="D961" t="s">
        <v>281</v>
      </c>
      <c r="E961" s="433">
        <v>8326725762.2386999</v>
      </c>
      <c r="F961" s="433">
        <v>659175613.09000003</v>
      </c>
      <c r="G961" s="433">
        <v>8985901375.3286991</v>
      </c>
      <c r="H961" s="433">
        <v>12694011.592587201</v>
      </c>
      <c r="I961" s="433">
        <v>1004906.7440244</v>
      </c>
      <c r="J961" s="433">
        <v>13698918.3366115</v>
      </c>
    </row>
    <row r="962" spans="2:10">
      <c r="B962" t="s">
        <v>140</v>
      </c>
      <c r="C962" s="27" t="s">
        <v>486</v>
      </c>
      <c r="D962" t="s">
        <v>278</v>
      </c>
      <c r="E962" s="433">
        <v>773332860.24339998</v>
      </c>
      <c r="F962" s="433">
        <v>429393130</v>
      </c>
      <c r="G962" s="433">
        <v>1202725990.2434001</v>
      </c>
      <c r="H962" s="433">
        <v>1178938.3454150001</v>
      </c>
      <c r="I962" s="433">
        <v>654605.60676999995</v>
      </c>
      <c r="J962" s="433">
        <v>1833543.9521850001</v>
      </c>
    </row>
    <row r="963" spans="2:10">
      <c r="B963" t="s">
        <v>140</v>
      </c>
      <c r="C963" s="27" t="s">
        <v>486</v>
      </c>
      <c r="D963" t="s">
        <v>279</v>
      </c>
      <c r="E963" s="433">
        <v>1407285363.3834</v>
      </c>
      <c r="F963" s="433">
        <v>1317597360</v>
      </c>
      <c r="G963" s="433">
        <v>2724882723.3834</v>
      </c>
      <c r="H963" s="433">
        <v>2145392.7062038998</v>
      </c>
      <c r="I963" s="433">
        <v>2008664.2264661</v>
      </c>
      <c r="J963" s="433">
        <v>4154056.93267</v>
      </c>
    </row>
    <row r="964" spans="2:10">
      <c r="B964" t="s">
        <v>140</v>
      </c>
      <c r="C964" s="27" t="s">
        <v>486</v>
      </c>
      <c r="D964" t="s">
        <v>280</v>
      </c>
      <c r="E964" s="433">
        <v>-31787681.207699999</v>
      </c>
      <c r="F964" s="433">
        <v>33441488</v>
      </c>
      <c r="G964" s="433">
        <v>1653806.7923000001</v>
      </c>
      <c r="H964" s="433">
        <v>-48460.007603700004</v>
      </c>
      <c r="I964" s="433">
        <v>50981.219805599998</v>
      </c>
      <c r="J964" s="433">
        <v>2521.2122018999999</v>
      </c>
    </row>
    <row r="965" spans="2:10">
      <c r="B965" t="s">
        <v>140</v>
      </c>
      <c r="C965" s="27" t="s">
        <v>486</v>
      </c>
      <c r="D965" t="s">
        <v>281</v>
      </c>
      <c r="E965" s="433">
        <v>711168469.51300001</v>
      </c>
      <c r="F965" s="433">
        <v>134393457</v>
      </c>
      <c r="G965" s="433">
        <v>845561926.51300001</v>
      </c>
      <c r="H965" s="433">
        <v>1084169.3426749001</v>
      </c>
      <c r="I965" s="433">
        <v>204881.50442790001</v>
      </c>
      <c r="J965" s="433">
        <v>1289050.8471027999</v>
      </c>
    </row>
    <row r="966" spans="2:10">
      <c r="B966" t="s">
        <v>140</v>
      </c>
      <c r="C966" s="27" t="s">
        <v>487</v>
      </c>
      <c r="D966" t="s">
        <v>278</v>
      </c>
      <c r="E966" s="433">
        <v>1233349834.0390999</v>
      </c>
      <c r="F966" s="433">
        <v>626940362</v>
      </c>
      <c r="G966" s="433">
        <v>1860290196.0390999</v>
      </c>
      <c r="H966" s="433">
        <v>1880229.7010917999</v>
      </c>
      <c r="I966" s="433">
        <v>955764.42053370003</v>
      </c>
      <c r="J966" s="433">
        <v>2835994.1216254998</v>
      </c>
    </row>
    <row r="967" spans="2:10">
      <c r="B967" t="s">
        <v>140</v>
      </c>
      <c r="C967" s="27" t="s">
        <v>487</v>
      </c>
      <c r="D967" t="s">
        <v>279</v>
      </c>
      <c r="E967" s="433">
        <v>1368632812.0165999</v>
      </c>
      <c r="F967" s="433">
        <v>1082509722</v>
      </c>
      <c r="G967" s="433">
        <v>2451142534.0166001</v>
      </c>
      <c r="H967" s="433">
        <v>2086467.2715080001</v>
      </c>
      <c r="I967" s="433">
        <v>1650275.4326883999</v>
      </c>
      <c r="J967" s="433">
        <v>3736742.7041965001</v>
      </c>
    </row>
    <row r="968" spans="2:10">
      <c r="B968" t="s">
        <v>140</v>
      </c>
      <c r="C968" s="27" t="s">
        <v>487</v>
      </c>
      <c r="D968" t="s">
        <v>280</v>
      </c>
      <c r="E968" s="433">
        <v>-22176086.0108</v>
      </c>
      <c r="F968" s="433">
        <v>747815</v>
      </c>
      <c r="G968" s="433">
        <v>-21428271.0108</v>
      </c>
      <c r="H968" s="433">
        <v>-33807.225185199997</v>
      </c>
      <c r="I968" s="433">
        <v>1140.0366183000001</v>
      </c>
      <c r="J968" s="433">
        <v>-32667.1885669</v>
      </c>
    </row>
    <row r="969" spans="2:10">
      <c r="B969" t="s">
        <v>140</v>
      </c>
      <c r="C969" s="27" t="s">
        <v>487</v>
      </c>
      <c r="D969" t="s">
        <v>281</v>
      </c>
      <c r="E969" s="433">
        <v>813168998.99319994</v>
      </c>
      <c r="F969" s="433">
        <v>158514834</v>
      </c>
      <c r="G969" s="433">
        <v>971683832.99319994</v>
      </c>
      <c r="H969" s="433">
        <v>1239668.1474444</v>
      </c>
      <c r="I969" s="433">
        <v>241654.30660849999</v>
      </c>
      <c r="J969" s="433">
        <v>1481322.4540529</v>
      </c>
    </row>
    <row r="970" spans="2:10">
      <c r="B970" t="s">
        <v>123</v>
      </c>
      <c r="C970" s="27" t="s">
        <v>409</v>
      </c>
      <c r="D970" t="s">
        <v>278</v>
      </c>
      <c r="E970" s="433">
        <v>1067580760.9545</v>
      </c>
      <c r="F970" s="433">
        <v>313560814.81999999</v>
      </c>
      <c r="G970" s="433">
        <v>1381141575.7744999</v>
      </c>
      <c r="H970" s="433">
        <v>1627516.3782907999</v>
      </c>
      <c r="I970" s="433">
        <v>478020.38063470001</v>
      </c>
      <c r="J970" s="433">
        <v>2105536.7589254999</v>
      </c>
    </row>
    <row r="971" spans="2:10">
      <c r="B971" t="s">
        <v>123</v>
      </c>
      <c r="C971" s="27" t="s">
        <v>409</v>
      </c>
      <c r="D971" t="s">
        <v>279</v>
      </c>
      <c r="E971" s="433">
        <v>896096064.96879995</v>
      </c>
      <c r="F971" s="433">
        <v>510604825.04000002</v>
      </c>
      <c r="G971" s="433">
        <v>1406700890.0088</v>
      </c>
      <c r="H971" s="433">
        <v>1366089.6445480001</v>
      </c>
      <c r="I971" s="433">
        <v>778412.03774029994</v>
      </c>
      <c r="J971" s="433">
        <v>2144501.6822882998</v>
      </c>
    </row>
    <row r="972" spans="2:10">
      <c r="B972" t="s">
        <v>123</v>
      </c>
      <c r="C972" s="27" t="s">
        <v>409</v>
      </c>
      <c r="D972" t="s">
        <v>280</v>
      </c>
      <c r="E972" s="433">
        <v>14895.307199999999</v>
      </c>
      <c r="F972" s="433">
        <v>6095</v>
      </c>
      <c r="G972" s="433">
        <v>20990.307199999999</v>
      </c>
      <c r="H972" s="433">
        <v>22.707749400000001</v>
      </c>
      <c r="I972" s="433">
        <v>9.2917676</v>
      </c>
      <c r="J972" s="433">
        <v>31.999517000000001</v>
      </c>
    </row>
    <row r="973" spans="2:10">
      <c r="B973" t="s">
        <v>123</v>
      </c>
      <c r="C973" s="27" t="s">
        <v>409</v>
      </c>
      <c r="D973" t="s">
        <v>281</v>
      </c>
      <c r="E973" s="433">
        <v>787475119.84130001</v>
      </c>
      <c r="F973" s="433">
        <v>151851954</v>
      </c>
      <c r="G973" s="433">
        <v>939327073.84130001</v>
      </c>
      <c r="H973" s="433">
        <v>1200498.0811872</v>
      </c>
      <c r="I973" s="433">
        <v>231496.8115288</v>
      </c>
      <c r="J973" s="433">
        <v>1431994.8927160001</v>
      </c>
    </row>
    <row r="974" spans="2:10">
      <c r="B974" t="s">
        <v>123</v>
      </c>
      <c r="C974" s="27" t="s">
        <v>488</v>
      </c>
      <c r="D974" t="s">
        <v>278</v>
      </c>
      <c r="E974" s="433">
        <v>888677221.75559998</v>
      </c>
      <c r="F974" s="433">
        <v>360892954</v>
      </c>
      <c r="G974" s="433">
        <v>1249570175.7556</v>
      </c>
      <c r="H974" s="433">
        <v>1354779.6909791001</v>
      </c>
      <c r="I974" s="433">
        <v>550177.76165210002</v>
      </c>
      <c r="J974" s="433">
        <v>1904957.4526312</v>
      </c>
    </row>
    <row r="975" spans="2:10">
      <c r="B975" t="s">
        <v>123</v>
      </c>
      <c r="C975" s="27" t="s">
        <v>488</v>
      </c>
      <c r="D975" t="s">
        <v>279</v>
      </c>
      <c r="E975" s="433">
        <v>863196816.03320003</v>
      </c>
      <c r="F975" s="433">
        <v>530154041.57999998</v>
      </c>
      <c r="G975" s="433">
        <v>1393350857.6131999</v>
      </c>
      <c r="H975" s="433">
        <v>1315935.0628672</v>
      </c>
      <c r="I975" s="433">
        <v>808214.62623309996</v>
      </c>
      <c r="J975" s="433">
        <v>2124149.6891004001</v>
      </c>
    </row>
    <row r="976" spans="2:10">
      <c r="B976" t="s">
        <v>123</v>
      </c>
      <c r="C976" s="27" t="s">
        <v>488</v>
      </c>
      <c r="D976" t="s">
        <v>280</v>
      </c>
      <c r="E976" s="433">
        <v>32213792.637699999</v>
      </c>
      <c r="F976" s="433">
        <v>15552928</v>
      </c>
      <c r="G976" s="433">
        <v>47766720.637699999</v>
      </c>
      <c r="H976" s="433">
        <v>49109.610291099998</v>
      </c>
      <c r="I976" s="433">
        <v>23710.285887599999</v>
      </c>
      <c r="J976" s="433">
        <v>72819.896178700001</v>
      </c>
    </row>
    <row r="977" spans="2:10">
      <c r="B977" t="s">
        <v>123</v>
      </c>
      <c r="C977" s="27" t="s">
        <v>488</v>
      </c>
      <c r="D977" t="s">
        <v>281</v>
      </c>
      <c r="E977" s="433">
        <v>782233200.11409998</v>
      </c>
      <c r="F977" s="433">
        <v>171464249</v>
      </c>
      <c r="G977" s="433">
        <v>953697449.11409998</v>
      </c>
      <c r="H977" s="433">
        <v>1192506.8260786999</v>
      </c>
      <c r="I977" s="433">
        <v>261395.56251399999</v>
      </c>
      <c r="J977" s="433">
        <v>1453902.3885927</v>
      </c>
    </row>
    <row r="978" spans="2:10">
      <c r="B978" t="s">
        <v>124</v>
      </c>
      <c r="C978" s="27" t="s">
        <v>409</v>
      </c>
      <c r="D978" t="s">
        <v>278</v>
      </c>
      <c r="E978" s="433">
        <v>797731884.19780004</v>
      </c>
      <c r="F978" s="433">
        <v>-18502377</v>
      </c>
      <c r="G978" s="433">
        <v>779224507.19780004</v>
      </c>
      <c r="H978" s="433">
        <v>1216134.417649</v>
      </c>
      <c r="I978" s="433">
        <v>-28206.691902099999</v>
      </c>
      <c r="J978" s="433">
        <v>1187920.1032960999</v>
      </c>
    </row>
    <row r="979" spans="2:10">
      <c r="B979" t="s">
        <v>124</v>
      </c>
      <c r="C979" s="27" t="s">
        <v>409</v>
      </c>
      <c r="D979" t="s">
        <v>279</v>
      </c>
      <c r="E979" s="433">
        <v>2774958707.2577</v>
      </c>
      <c r="F979" s="433">
        <v>2479702167</v>
      </c>
      <c r="G979" s="433">
        <v>5254595874.2577</v>
      </c>
      <c r="H979" s="433">
        <v>4230397.2779583</v>
      </c>
      <c r="I979" s="433">
        <v>3780281.5840063002</v>
      </c>
      <c r="J979" s="433">
        <v>8010579.7701033996</v>
      </c>
    </row>
    <row r="980" spans="2:10">
      <c r="B980" t="s">
        <v>124</v>
      </c>
      <c r="C980" s="27" t="s">
        <v>409</v>
      </c>
      <c r="D980" t="s">
        <v>280</v>
      </c>
      <c r="E980" s="433">
        <v>1935190.8629999999</v>
      </c>
      <c r="F980" s="433">
        <v>22000</v>
      </c>
      <c r="G980" s="433">
        <v>1957190.8629999999</v>
      </c>
      <c r="H980" s="433">
        <v>2950.1794522999999</v>
      </c>
      <c r="I980" s="433">
        <v>33.538783799999997</v>
      </c>
      <c r="J980" s="433">
        <v>2983.7182361</v>
      </c>
    </row>
    <row r="981" spans="2:10">
      <c r="B981" t="s">
        <v>124</v>
      </c>
      <c r="C981" s="27" t="s">
        <v>409</v>
      </c>
      <c r="D981" t="s">
        <v>281</v>
      </c>
      <c r="E981" s="433">
        <v>1947323564.0007</v>
      </c>
      <c r="F981" s="433">
        <v>246497081</v>
      </c>
      <c r="G981" s="433">
        <v>2193810645.0007</v>
      </c>
      <c r="H981" s="433">
        <v>2968675.6357515999</v>
      </c>
      <c r="I981" s="433">
        <v>375782.37750340003</v>
      </c>
      <c r="J981" s="433">
        <v>3344442.7683533002</v>
      </c>
    </row>
    <row r="982" spans="2:10">
      <c r="B982" t="s">
        <v>124</v>
      </c>
      <c r="C982" s="27" t="s">
        <v>488</v>
      </c>
      <c r="D982" t="s">
        <v>278</v>
      </c>
      <c r="E982" s="433">
        <v>1111820903.4535999</v>
      </c>
      <c r="F982" s="433">
        <v>-124675677</v>
      </c>
      <c r="G982" s="433">
        <v>987140226.45360005</v>
      </c>
      <c r="H982" s="433">
        <v>1694960.0407551001</v>
      </c>
      <c r="I982" s="433">
        <v>-190066.84432060001</v>
      </c>
      <c r="J982" s="433">
        <v>1504885.5739837</v>
      </c>
    </row>
    <row r="983" spans="2:10">
      <c r="B983" t="s">
        <v>124</v>
      </c>
      <c r="C983" s="27" t="s">
        <v>488</v>
      </c>
      <c r="D983" t="s">
        <v>279</v>
      </c>
      <c r="E983" s="433">
        <v>2607487814.7477002</v>
      </c>
      <c r="F983" s="433">
        <v>2347142999</v>
      </c>
      <c r="G983" s="433">
        <v>4954580813.7476997</v>
      </c>
      <c r="H983" s="433">
        <v>3975089.5481681</v>
      </c>
      <c r="I983" s="433">
        <v>3578196.4351321999</v>
      </c>
      <c r="J983" s="433">
        <v>7553209.7587917</v>
      </c>
    </row>
    <row r="984" spans="2:10">
      <c r="B984" t="s">
        <v>124</v>
      </c>
      <c r="C984" s="27" t="s">
        <v>488</v>
      </c>
      <c r="D984" t="s">
        <v>280</v>
      </c>
      <c r="E984" s="433">
        <v>57445954.649800003</v>
      </c>
      <c r="F984" s="433">
        <v>43970297</v>
      </c>
      <c r="G984" s="433">
        <v>101416251.6498</v>
      </c>
      <c r="H984" s="433">
        <v>87575.793306299995</v>
      </c>
      <c r="I984" s="433">
        <v>67032.285652899998</v>
      </c>
      <c r="J984" s="433">
        <v>154608.07895910001</v>
      </c>
    </row>
    <row r="985" spans="2:10">
      <c r="B985" t="s">
        <v>124</v>
      </c>
      <c r="C985" s="27" t="s">
        <v>488</v>
      </c>
      <c r="D985" t="s">
        <v>281</v>
      </c>
      <c r="E985" s="433">
        <v>2000933300.5069001</v>
      </c>
      <c r="F985" s="433">
        <v>315548882</v>
      </c>
      <c r="G985" s="433">
        <v>2316482182.5068998</v>
      </c>
      <c r="H985" s="433">
        <v>3050403.1521987999</v>
      </c>
      <c r="I985" s="433">
        <v>481051.1695126</v>
      </c>
      <c r="J985" s="433">
        <v>3531454.3217115002</v>
      </c>
    </row>
    <row r="986" spans="2:10">
      <c r="B986" t="s">
        <v>131</v>
      </c>
      <c r="C986" s="27" t="s">
        <v>409</v>
      </c>
      <c r="D986" t="s">
        <v>278</v>
      </c>
      <c r="E986" s="433">
        <v>15764965614.216</v>
      </c>
      <c r="F986" s="433">
        <v>6347773062</v>
      </c>
      <c r="G986" s="433">
        <v>22108683320.216</v>
      </c>
      <c r="H986" s="433">
        <v>24033535.146687999</v>
      </c>
      <c r="I986" s="433">
        <v>9677117.6494801007</v>
      </c>
      <c r="J986" s="433">
        <v>33704470.445800602</v>
      </c>
    </row>
    <row r="987" spans="2:10">
      <c r="B987" t="s">
        <v>131</v>
      </c>
      <c r="C987" s="27" t="s">
        <v>409</v>
      </c>
      <c r="D987" t="s">
        <v>279</v>
      </c>
      <c r="E987" s="433">
        <v>18063992569.139301</v>
      </c>
      <c r="F987" s="433">
        <v>11053687547</v>
      </c>
      <c r="G987" s="433">
        <v>29097068824.139301</v>
      </c>
      <c r="H987" s="433">
        <v>27538379.145491701</v>
      </c>
      <c r="I987" s="433">
        <v>16851238.0338955</v>
      </c>
      <c r="J987" s="433">
        <v>44358195.4672933</v>
      </c>
    </row>
    <row r="988" spans="2:10">
      <c r="B988" t="s">
        <v>131</v>
      </c>
      <c r="C988" s="27" t="s">
        <v>409</v>
      </c>
      <c r="D988" t="s">
        <v>280</v>
      </c>
      <c r="E988" s="433">
        <v>37582040.325000003</v>
      </c>
      <c r="F988" s="433">
        <v>158877477</v>
      </c>
      <c r="G988" s="433">
        <v>196459517.32499999</v>
      </c>
      <c r="H988" s="433">
        <v>57293.451133199997</v>
      </c>
      <c r="I988" s="433">
        <v>242207.1522981</v>
      </c>
      <c r="J988" s="433">
        <v>299500.60343130003</v>
      </c>
    </row>
    <row r="989" spans="2:10">
      <c r="B989" t="s">
        <v>131</v>
      </c>
      <c r="C989" s="27" t="s">
        <v>409</v>
      </c>
      <c r="D989" t="s">
        <v>281</v>
      </c>
      <c r="E989" s="433">
        <v>13921514424.741699</v>
      </c>
      <c r="F989" s="433">
        <v>2427729297</v>
      </c>
      <c r="G989" s="433">
        <v>16348003114.741699</v>
      </c>
      <c r="H989" s="433">
        <v>21223211.925083</v>
      </c>
      <c r="I989" s="433">
        <v>3701049.4544612002</v>
      </c>
      <c r="J989" s="433">
        <v>24922370.086364999</v>
      </c>
    </row>
    <row r="990" spans="2:10">
      <c r="B990" t="s">
        <v>131</v>
      </c>
      <c r="C990" s="27" t="s">
        <v>488</v>
      </c>
      <c r="D990" t="s">
        <v>278</v>
      </c>
      <c r="E990" s="433">
        <v>19348037194.555199</v>
      </c>
      <c r="F990" s="433">
        <v>7366538117</v>
      </c>
      <c r="G990" s="433">
        <v>26708312213.555199</v>
      </c>
      <c r="H990" s="433">
        <v>29495892.557828002</v>
      </c>
      <c r="I990" s="433">
        <v>11230214.963785701</v>
      </c>
      <c r="J990" s="433">
        <v>40716559.490264103</v>
      </c>
    </row>
    <row r="991" spans="2:10">
      <c r="B991" t="s">
        <v>131</v>
      </c>
      <c r="C991" s="27" t="s">
        <v>488</v>
      </c>
      <c r="D991" t="s">
        <v>279</v>
      </c>
      <c r="E991" s="433">
        <v>22855895806.378601</v>
      </c>
      <c r="F991" s="433">
        <v>14123024736</v>
      </c>
      <c r="G991" s="433">
        <v>36952135537.378601</v>
      </c>
      <c r="H991" s="433">
        <v>34843588.5376307</v>
      </c>
      <c r="I991" s="433">
        <v>21530412.414228398</v>
      </c>
      <c r="J991" s="433">
        <v>56333167.474969499</v>
      </c>
    </row>
    <row r="992" spans="2:10">
      <c r="B992" t="s">
        <v>131</v>
      </c>
      <c r="C992" s="27" t="s">
        <v>488</v>
      </c>
      <c r="D992" t="s">
        <v>280</v>
      </c>
      <c r="E992" s="433">
        <v>90331103.553599998</v>
      </c>
      <c r="F992" s="433">
        <v>-251171049</v>
      </c>
      <c r="G992" s="433">
        <v>-160839945.44639999</v>
      </c>
      <c r="H992" s="433">
        <v>137708.87962719999</v>
      </c>
      <c r="I992" s="433">
        <v>-382907.79578540003</v>
      </c>
      <c r="J992" s="433">
        <v>-245198.91615820001</v>
      </c>
    </row>
    <row r="993" spans="2:10">
      <c r="B993" t="s">
        <v>131</v>
      </c>
      <c r="C993" s="27" t="s">
        <v>488</v>
      </c>
      <c r="D993" t="s">
        <v>281</v>
      </c>
      <c r="E993" s="433">
        <v>16087388862.201401</v>
      </c>
      <c r="F993" s="433">
        <v>2694568070</v>
      </c>
      <c r="G993" s="433">
        <v>18779744957.201401</v>
      </c>
      <c r="H993" s="433">
        <v>24525066.2195866</v>
      </c>
      <c r="I993" s="433">
        <v>4107842.5415081</v>
      </c>
      <c r="J993" s="433">
        <v>28629536.6269457</v>
      </c>
    </row>
    <row r="994" spans="2:10">
      <c r="B994" t="s">
        <v>132</v>
      </c>
      <c r="C994" s="27" t="s">
        <v>409</v>
      </c>
      <c r="D994" t="s">
        <v>278</v>
      </c>
      <c r="E994" s="433">
        <v>5063650142.9604998</v>
      </c>
      <c r="F994" s="433">
        <v>2715083014</v>
      </c>
      <c r="G994" s="433">
        <v>7778731156.9604998</v>
      </c>
      <c r="H994" s="433">
        <v>7719484.879284</v>
      </c>
      <c r="I994" s="433">
        <v>4139117.3720228998</v>
      </c>
      <c r="J994" s="433">
        <v>11858599.202326501</v>
      </c>
    </row>
    <row r="995" spans="2:10">
      <c r="B995" t="s">
        <v>132</v>
      </c>
      <c r="C995" s="27" t="s">
        <v>409</v>
      </c>
      <c r="D995" t="s">
        <v>279</v>
      </c>
      <c r="E995" s="433">
        <v>7316544614.3677998</v>
      </c>
      <c r="F995" s="433">
        <v>6727179493</v>
      </c>
      <c r="G995" s="433">
        <v>14043723107.3678</v>
      </c>
      <c r="H995" s="433">
        <v>11154000.3603404</v>
      </c>
      <c r="I995" s="433">
        <v>10255519.024875101</v>
      </c>
      <c r="J995" s="433">
        <v>21409517.860725299</v>
      </c>
    </row>
    <row r="996" spans="2:10">
      <c r="B996" t="s">
        <v>132</v>
      </c>
      <c r="C996" s="27" t="s">
        <v>409</v>
      </c>
      <c r="D996" t="s">
        <v>280</v>
      </c>
      <c r="E996" s="433">
        <v>-150220720.5966</v>
      </c>
      <c r="F996" s="433">
        <v>35167995</v>
      </c>
      <c r="G996" s="433">
        <v>-115052725.5966</v>
      </c>
      <c r="H996" s="433">
        <v>-229010.01223650001</v>
      </c>
      <c r="I996" s="433">
        <v>53613.262759600002</v>
      </c>
      <c r="J996" s="433">
        <v>-175396.7494769</v>
      </c>
    </row>
    <row r="997" spans="2:10">
      <c r="B997" t="s">
        <v>132</v>
      </c>
      <c r="C997" s="27" t="s">
        <v>409</v>
      </c>
      <c r="D997" t="s">
        <v>281</v>
      </c>
      <c r="E997" s="433">
        <v>2607736399.6708999</v>
      </c>
      <c r="F997" s="433">
        <v>634603188</v>
      </c>
      <c r="G997" s="433">
        <v>3242339587.6708999</v>
      </c>
      <c r="H997" s="433">
        <v>3975468.5134405</v>
      </c>
      <c r="I997" s="433">
        <v>967446.32346330001</v>
      </c>
      <c r="J997" s="433">
        <v>4942914.8369038003</v>
      </c>
    </row>
    <row r="998" spans="2:10">
      <c r="B998" t="s">
        <v>132</v>
      </c>
      <c r="C998" s="27" t="s">
        <v>488</v>
      </c>
      <c r="D998" t="s">
        <v>278</v>
      </c>
      <c r="E998" s="433">
        <v>6021739960.6028004</v>
      </c>
      <c r="F998" s="433">
        <v>3683762489</v>
      </c>
      <c r="G998" s="433">
        <v>9705502449.6028004</v>
      </c>
      <c r="H998" s="433">
        <v>9180083.3905314002</v>
      </c>
      <c r="I998" s="433">
        <v>5615859.7118408997</v>
      </c>
      <c r="J998" s="433">
        <v>14795943.1023723</v>
      </c>
    </row>
    <row r="999" spans="2:10">
      <c r="B999" t="s">
        <v>132</v>
      </c>
      <c r="C999" s="27" t="s">
        <v>488</v>
      </c>
      <c r="D999" t="s">
        <v>279</v>
      </c>
      <c r="E999" s="433">
        <v>7893662819.3669996</v>
      </c>
      <c r="F999" s="433">
        <v>5033171817</v>
      </c>
      <c r="G999" s="433">
        <v>12926795636.367001</v>
      </c>
      <c r="H999" s="433">
        <v>12033811.3921599</v>
      </c>
      <c r="I999" s="433">
        <v>7673020.9708868004</v>
      </c>
      <c r="J999" s="433">
        <v>19706772.907929901</v>
      </c>
    </row>
    <row r="1000" spans="2:10">
      <c r="B1000" t="s">
        <v>132</v>
      </c>
      <c r="C1000" s="27" t="s">
        <v>488</v>
      </c>
      <c r="D1000" t="s">
        <v>280</v>
      </c>
      <c r="E1000" s="433">
        <v>-177978293.79030001</v>
      </c>
      <c r="F1000" s="433">
        <v>24159883</v>
      </c>
      <c r="G1000" s="433">
        <v>-153818410.79030001</v>
      </c>
      <c r="H1000" s="433">
        <v>-271326.15977919998</v>
      </c>
      <c r="I1000" s="433">
        <v>36831.504199199997</v>
      </c>
      <c r="J1000" s="433">
        <v>-234494.65557999999</v>
      </c>
    </row>
    <row r="1001" spans="2:10">
      <c r="B1001" t="s">
        <v>132</v>
      </c>
      <c r="C1001" s="27" t="s">
        <v>488</v>
      </c>
      <c r="D1001" t="s">
        <v>281</v>
      </c>
      <c r="E1001" s="433">
        <v>2545978595.6511002</v>
      </c>
      <c r="F1001" s="433">
        <v>864991267</v>
      </c>
      <c r="G1001" s="433">
        <v>3410969862.6511002</v>
      </c>
      <c r="H1001" s="433">
        <v>3881319.3481449001</v>
      </c>
      <c r="I1001" s="433">
        <v>1318670.6857308999</v>
      </c>
      <c r="J1001" s="433">
        <v>5199990.0338757997</v>
      </c>
    </row>
    <row r="1002" spans="2:10">
      <c r="B1002" t="s">
        <v>135</v>
      </c>
      <c r="C1002" s="27" t="s">
        <v>409</v>
      </c>
      <c r="D1002" t="s">
        <v>278</v>
      </c>
      <c r="E1002" s="433">
        <v>1336776034.2642</v>
      </c>
      <c r="F1002" s="433">
        <v>1000137258</v>
      </c>
      <c r="G1002" s="433">
        <v>2336913292.2642002</v>
      </c>
      <c r="H1002" s="433">
        <v>2037901.9269010001</v>
      </c>
      <c r="I1002" s="433">
        <v>1524699.4208462001</v>
      </c>
      <c r="J1002" s="433">
        <v>3562601.3477472002</v>
      </c>
    </row>
    <row r="1003" spans="2:10">
      <c r="B1003" t="s">
        <v>135</v>
      </c>
      <c r="C1003" s="27" t="s">
        <v>409</v>
      </c>
      <c r="D1003" t="s">
        <v>279</v>
      </c>
      <c r="E1003" s="433">
        <v>272572594.53530002</v>
      </c>
      <c r="F1003" s="433">
        <v>280195078</v>
      </c>
      <c r="G1003" s="433">
        <v>552725639.53530002</v>
      </c>
      <c r="H1003" s="433">
        <v>415534.24162759999</v>
      </c>
      <c r="I1003" s="433">
        <v>427154.64275860001</v>
      </c>
      <c r="J1003" s="433">
        <v>842624.80549079995</v>
      </c>
    </row>
    <row r="1004" spans="2:10">
      <c r="B1004" t="s">
        <v>135</v>
      </c>
      <c r="C1004" s="27" t="s">
        <v>409</v>
      </c>
      <c r="D1004" t="s">
        <v>280</v>
      </c>
      <c r="E1004" s="433">
        <v>-4862950.1153999995</v>
      </c>
      <c r="F1004" s="433">
        <v>1296080</v>
      </c>
      <c r="G1004" s="433">
        <v>-3566870.1154</v>
      </c>
      <c r="H1004" s="433">
        <v>-7413.5196597000004</v>
      </c>
      <c r="I1004" s="433">
        <v>1975.8612226</v>
      </c>
      <c r="J1004" s="433">
        <v>-5437.6584370999999</v>
      </c>
    </row>
    <row r="1005" spans="2:10">
      <c r="B1005" t="s">
        <v>135</v>
      </c>
      <c r="C1005" s="27" t="s">
        <v>409</v>
      </c>
      <c r="D1005" t="s">
        <v>281</v>
      </c>
      <c r="E1005" s="433">
        <v>1265596046.8578999</v>
      </c>
      <c r="F1005" s="433">
        <v>673774201</v>
      </c>
      <c r="G1005" s="433">
        <v>1939370247.8578999</v>
      </c>
      <c r="H1005" s="433">
        <v>1929388.7356304</v>
      </c>
      <c r="I1005" s="433">
        <v>1027162.1478237</v>
      </c>
      <c r="J1005" s="433">
        <v>2956550.8834541002</v>
      </c>
    </row>
    <row r="1006" spans="2:10">
      <c r="B1006" t="s">
        <v>135</v>
      </c>
      <c r="C1006" s="27" t="s">
        <v>488</v>
      </c>
      <c r="D1006" t="s">
        <v>278</v>
      </c>
      <c r="E1006" s="433">
        <v>1354500830.9205</v>
      </c>
      <c r="F1006" s="433">
        <v>1092436514</v>
      </c>
      <c r="G1006" s="433">
        <v>2446937344.9204998</v>
      </c>
      <c r="H1006" s="433">
        <v>2064923.2052108999</v>
      </c>
      <c r="I1006" s="433">
        <v>1665408.7295355999</v>
      </c>
      <c r="J1006" s="433">
        <v>3730331.9347465001</v>
      </c>
    </row>
    <row r="1007" spans="2:10">
      <c r="B1007" t="s">
        <v>135</v>
      </c>
      <c r="C1007" s="27" t="s">
        <v>488</v>
      </c>
      <c r="D1007" t="s">
        <v>279</v>
      </c>
      <c r="E1007" s="433">
        <v>329184067.04659998</v>
      </c>
      <c r="F1007" s="433">
        <v>400650589</v>
      </c>
      <c r="G1007" s="433">
        <v>729750590.04659998</v>
      </c>
      <c r="H1007" s="433">
        <v>501837.8751147</v>
      </c>
      <c r="I1007" s="433">
        <v>610787.88548639999</v>
      </c>
      <c r="J1007" s="433">
        <v>1112497.6028102001</v>
      </c>
    </row>
    <row r="1008" spans="2:10">
      <c r="B1008" t="s">
        <v>135</v>
      </c>
      <c r="C1008" s="27" t="s">
        <v>488</v>
      </c>
      <c r="D1008" t="s">
        <v>280</v>
      </c>
      <c r="E1008" s="433">
        <v>-2034045.2697000001</v>
      </c>
      <c r="F1008" s="433">
        <v>304456</v>
      </c>
      <c r="G1008" s="433">
        <v>-1729589.2697000001</v>
      </c>
      <c r="H1008" s="433">
        <v>-3100.8820237999998</v>
      </c>
      <c r="I1008" s="433">
        <v>464.14017990000002</v>
      </c>
      <c r="J1008" s="433">
        <v>-2636.7418438999998</v>
      </c>
    </row>
    <row r="1009" spans="2:10">
      <c r="B1009" t="s">
        <v>135</v>
      </c>
      <c r="C1009" s="27" t="s">
        <v>488</v>
      </c>
      <c r="D1009" t="s">
        <v>281</v>
      </c>
      <c r="E1009" s="433">
        <v>1635382501.6125</v>
      </c>
      <c r="F1009" s="433">
        <v>775938607</v>
      </c>
      <c r="G1009" s="433">
        <v>2411265365.6125002</v>
      </c>
      <c r="H1009" s="433">
        <v>2493124.5517807999</v>
      </c>
      <c r="I1009" s="433">
        <v>1182910.7807372001</v>
      </c>
      <c r="J1009" s="433">
        <v>3675950.3528622999</v>
      </c>
    </row>
    <row r="1010" spans="2:10">
      <c r="B1010" t="s">
        <v>136</v>
      </c>
      <c r="C1010" s="27" t="s">
        <v>409</v>
      </c>
      <c r="D1010" t="s">
        <v>278</v>
      </c>
      <c r="E1010" s="433">
        <v>-3782047.5175999999</v>
      </c>
      <c r="F1010" s="433">
        <v>4983236.53</v>
      </c>
      <c r="G1010" s="433">
        <v>1201189.0123999999</v>
      </c>
      <c r="H1010" s="433">
        <v>-561584.58076200006</v>
      </c>
      <c r="I1010" s="433">
        <v>739945.4355121</v>
      </c>
      <c r="J1010" s="433">
        <v>178360.8547501</v>
      </c>
    </row>
    <row r="1011" spans="2:10">
      <c r="B1011" t="s">
        <v>136</v>
      </c>
      <c r="C1011" s="27" t="s">
        <v>409</v>
      </c>
      <c r="D1011" t="s">
        <v>279</v>
      </c>
      <c r="E1011" s="433">
        <v>6876157.29</v>
      </c>
      <c r="F1011" s="433">
        <v>17116137.489999998</v>
      </c>
      <c r="G1011" s="433">
        <v>23992292.059999999</v>
      </c>
      <c r="H1011" s="433">
        <v>1021019.4057554</v>
      </c>
      <c r="I1011" s="433">
        <v>2541522.5091319</v>
      </c>
      <c r="J1011" s="433">
        <v>3562541.5110029001</v>
      </c>
    </row>
    <row r="1012" spans="2:10">
      <c r="B1012" t="s">
        <v>136</v>
      </c>
      <c r="C1012" s="27" t="s">
        <v>409</v>
      </c>
      <c r="D1012" t="s">
        <v>280</v>
      </c>
      <c r="E1012" s="433">
        <v>-6173.2466000000004</v>
      </c>
      <c r="F1012" s="433">
        <v>33054.129999999997</v>
      </c>
      <c r="G1012" s="433">
        <v>26880.883399999999</v>
      </c>
      <c r="H1012" s="433">
        <v>-916.64636359999997</v>
      </c>
      <c r="I1012" s="433">
        <v>4908.1059009000001</v>
      </c>
      <c r="J1012" s="433">
        <v>3991.4595373000002</v>
      </c>
    </row>
    <row r="1013" spans="2:10">
      <c r="B1013" t="s">
        <v>136</v>
      </c>
      <c r="C1013" s="27" t="s">
        <v>409</v>
      </c>
      <c r="D1013" t="s">
        <v>281</v>
      </c>
      <c r="E1013" s="433">
        <v>2256858.0271999999</v>
      </c>
      <c r="F1013" s="433">
        <v>2112074.92</v>
      </c>
      <c r="G1013" s="433">
        <v>4368932.9472000003</v>
      </c>
      <c r="H1013" s="433">
        <v>335113.89350519999</v>
      </c>
      <c r="I1013" s="433">
        <v>313615.49609480001</v>
      </c>
      <c r="J1013" s="433">
        <v>648729.38959999999</v>
      </c>
    </row>
    <row r="1014" spans="2:10">
      <c r="B1014" t="s">
        <v>136</v>
      </c>
      <c r="C1014" s="27" t="s">
        <v>488</v>
      </c>
      <c r="D1014" t="s">
        <v>278</v>
      </c>
      <c r="E1014" s="433">
        <v>-7673567.4595999997</v>
      </c>
      <c r="F1014" s="433">
        <v>5661244.8799999999</v>
      </c>
      <c r="G1014" s="433">
        <v>-2012322.5796000001</v>
      </c>
      <c r="H1014" s="433">
        <v>-565009.78990229999</v>
      </c>
      <c r="I1014" s="433">
        <v>416841.16248080001</v>
      </c>
      <c r="J1014" s="433">
        <v>-148168.62742149999</v>
      </c>
    </row>
    <row r="1015" spans="2:10">
      <c r="B1015" t="s">
        <v>136</v>
      </c>
      <c r="C1015" s="27" t="s">
        <v>488</v>
      </c>
      <c r="D1015" t="s">
        <v>279</v>
      </c>
      <c r="E1015" s="433">
        <v>1971289.2468999999</v>
      </c>
      <c r="F1015" s="433">
        <v>20893876.43</v>
      </c>
      <c r="G1015" s="433">
        <v>22865317.676899999</v>
      </c>
      <c r="H1015" s="433">
        <v>145147.3163026</v>
      </c>
      <c r="I1015" s="433">
        <v>1538429.7843358</v>
      </c>
      <c r="J1015" s="433">
        <v>1683588.2924978</v>
      </c>
    </row>
    <row r="1016" spans="2:10">
      <c r="B1016" t="s">
        <v>136</v>
      </c>
      <c r="C1016" s="27" t="s">
        <v>488</v>
      </c>
      <c r="D1016" t="s">
        <v>280</v>
      </c>
      <c r="E1016" s="433">
        <v>-12293.6589</v>
      </c>
      <c r="F1016" s="433">
        <v>27321.81</v>
      </c>
      <c r="G1016" s="433">
        <v>15028.151099999999</v>
      </c>
      <c r="H1016" s="433">
        <v>-905.19014379999999</v>
      </c>
      <c r="I1016" s="433">
        <v>2011.7227364</v>
      </c>
      <c r="J1016" s="433">
        <v>1106.5325926</v>
      </c>
    </row>
    <row r="1017" spans="2:10">
      <c r="B1017" t="s">
        <v>136</v>
      </c>
      <c r="C1017" s="27" t="s">
        <v>488</v>
      </c>
      <c r="D1017" t="s">
        <v>281</v>
      </c>
      <c r="E1017" s="433">
        <v>3455454.2157999999</v>
      </c>
      <c r="F1017" s="433">
        <v>6844033.3600000003</v>
      </c>
      <c r="G1017" s="433">
        <v>10299487.5758</v>
      </c>
      <c r="H1017" s="433">
        <v>254427.35347870001</v>
      </c>
      <c r="I1017" s="433">
        <v>503930.65170490002</v>
      </c>
      <c r="J1017" s="433">
        <v>758358.00518360001</v>
      </c>
    </row>
    <row r="1018" spans="2:10">
      <c r="B1018" t="s">
        <v>137</v>
      </c>
      <c r="C1018" s="27" t="s">
        <v>409</v>
      </c>
      <c r="D1018" t="s">
        <v>278</v>
      </c>
      <c r="E1018" s="433">
        <v>38442945016.611298</v>
      </c>
      <c r="F1018" s="433">
        <v>11458054950</v>
      </c>
      <c r="G1018" s="433">
        <v>49900249966.611298</v>
      </c>
      <c r="H1018" s="433">
        <v>3654896.6950059002</v>
      </c>
      <c r="I1018" s="433">
        <v>1089354.8126933</v>
      </c>
      <c r="J1018" s="433">
        <v>4744180.2027427005</v>
      </c>
    </row>
    <row r="1019" spans="2:10">
      <c r="B1019" t="s">
        <v>137</v>
      </c>
      <c r="C1019" s="27" t="s">
        <v>409</v>
      </c>
      <c r="D1019" t="s">
        <v>279</v>
      </c>
      <c r="E1019" s="433">
        <v>69055020189.917206</v>
      </c>
      <c r="F1019" s="433">
        <v>32876194378</v>
      </c>
      <c r="G1019" s="433">
        <v>101927861752.91701</v>
      </c>
      <c r="H1019" s="433">
        <v>6565286.9455406005</v>
      </c>
      <c r="I1019" s="433">
        <v>3125647.4790003998</v>
      </c>
      <c r="J1019" s="433">
        <v>9690615.6614375003</v>
      </c>
    </row>
    <row r="1020" spans="2:10">
      <c r="B1020" t="s">
        <v>137</v>
      </c>
      <c r="C1020" s="27" t="s">
        <v>409</v>
      </c>
      <c r="D1020" t="s">
        <v>280</v>
      </c>
      <c r="E1020" s="433">
        <v>141103882.1769</v>
      </c>
      <c r="F1020" s="433">
        <v>11880449</v>
      </c>
      <c r="G1020" s="433">
        <v>152984331.1769</v>
      </c>
      <c r="H1020" s="433">
        <v>13415.208236500001</v>
      </c>
      <c r="I1020" s="433">
        <v>1129.5131985</v>
      </c>
      <c r="J1020" s="433">
        <v>14544.721434999999</v>
      </c>
    </row>
    <row r="1021" spans="2:10">
      <c r="B1021" t="s">
        <v>137</v>
      </c>
      <c r="C1021" s="27" t="s">
        <v>409</v>
      </c>
      <c r="D1021" t="s">
        <v>281</v>
      </c>
      <c r="E1021" s="433">
        <v>17093333560.687099</v>
      </c>
      <c r="F1021" s="433">
        <v>1795255561</v>
      </c>
      <c r="G1021" s="433">
        <v>18888589121.687099</v>
      </c>
      <c r="H1021" s="433">
        <v>1625119.2074539</v>
      </c>
      <c r="I1021" s="433">
        <v>170680.82618939999</v>
      </c>
      <c r="J1021" s="433">
        <v>1795800.0336432999</v>
      </c>
    </row>
    <row r="1022" spans="2:10">
      <c r="B1022" t="s">
        <v>137</v>
      </c>
      <c r="C1022" s="27" t="s">
        <v>488</v>
      </c>
      <c r="D1022" t="s">
        <v>278</v>
      </c>
      <c r="E1022" s="433">
        <v>35675305908.376999</v>
      </c>
      <c r="F1022" s="433">
        <v>12243093801</v>
      </c>
      <c r="G1022" s="433">
        <v>47916582272.376999</v>
      </c>
      <c r="H1022" s="433">
        <v>4017968.4834917998</v>
      </c>
      <c r="I1022" s="433">
        <v>1378891.1904271001</v>
      </c>
      <c r="J1022" s="433">
        <v>5396654.9831838999</v>
      </c>
    </row>
    <row r="1023" spans="2:10">
      <c r="B1023" t="s">
        <v>137</v>
      </c>
      <c r="C1023" s="27" t="s">
        <v>488</v>
      </c>
      <c r="D1023" t="s">
        <v>279</v>
      </c>
      <c r="E1023" s="433">
        <v>38570794948.024498</v>
      </c>
      <c r="F1023" s="433">
        <v>32920086620</v>
      </c>
      <c r="G1023" s="433">
        <v>71479788790.024506</v>
      </c>
      <c r="H1023" s="433">
        <v>4344075.9522120003</v>
      </c>
      <c r="I1023" s="433">
        <v>3707659.0415983</v>
      </c>
      <c r="J1023" s="433">
        <v>8050485.6581351003</v>
      </c>
    </row>
    <row r="1024" spans="2:10">
      <c r="B1024" t="s">
        <v>137</v>
      </c>
      <c r="C1024" s="27" t="s">
        <v>488</v>
      </c>
      <c r="D1024" t="s">
        <v>280</v>
      </c>
      <c r="E1024" s="433">
        <v>52549.183400000002</v>
      </c>
      <c r="F1024" s="433">
        <v>0</v>
      </c>
      <c r="G1024" s="433">
        <v>52549.183400000002</v>
      </c>
      <c r="H1024" s="433">
        <v>5.9184064999999997</v>
      </c>
      <c r="I1024" s="433">
        <v>0</v>
      </c>
      <c r="J1024" s="433">
        <v>5.9184064999999997</v>
      </c>
    </row>
    <row r="1025" spans="2:10">
      <c r="B1025" t="s">
        <v>137</v>
      </c>
      <c r="C1025" s="27" t="s">
        <v>488</v>
      </c>
      <c r="D1025" t="s">
        <v>281</v>
      </c>
      <c r="E1025" s="433">
        <v>64637677397.879799</v>
      </c>
      <c r="F1025" s="433">
        <v>3806529759</v>
      </c>
      <c r="G1025" s="433">
        <v>68443938972.879799</v>
      </c>
      <c r="H1025" s="433">
        <v>7279885.7365875999</v>
      </c>
      <c r="I1025" s="433">
        <v>428714.37857930001</v>
      </c>
      <c r="J1025" s="433">
        <v>7708569.9106646003</v>
      </c>
    </row>
    <row r="1026" spans="2:10">
      <c r="B1026" t="s">
        <v>138</v>
      </c>
      <c r="C1026" s="27" t="s">
        <v>409</v>
      </c>
      <c r="D1026" t="s">
        <v>278</v>
      </c>
      <c r="E1026" s="433">
        <v>30523349320.396301</v>
      </c>
      <c r="F1026" s="433">
        <v>8742867487.0400009</v>
      </c>
      <c r="G1026" s="433">
        <v>39266216807.436302</v>
      </c>
      <c r="H1026" s="433">
        <v>6793745.9258460002</v>
      </c>
      <c r="I1026" s="433">
        <v>1945947.0108216</v>
      </c>
      <c r="J1026" s="433">
        <v>8739692.9366676006</v>
      </c>
    </row>
    <row r="1027" spans="2:10">
      <c r="B1027" t="s">
        <v>138</v>
      </c>
      <c r="C1027" s="27" t="s">
        <v>409</v>
      </c>
      <c r="D1027" t="s">
        <v>279</v>
      </c>
      <c r="E1027" s="433">
        <v>58181065015.641701</v>
      </c>
      <c r="F1027" s="433">
        <v>25545986934.689999</v>
      </c>
      <c r="G1027" s="433">
        <v>83727051950.331696</v>
      </c>
      <c r="H1027" s="433">
        <v>12949672.372529199</v>
      </c>
      <c r="I1027" s="433">
        <v>5685907.6255858997</v>
      </c>
      <c r="J1027" s="433">
        <v>18635579.998115201</v>
      </c>
    </row>
    <row r="1028" spans="2:10">
      <c r="B1028" t="s">
        <v>138</v>
      </c>
      <c r="C1028" s="27" t="s">
        <v>409</v>
      </c>
      <c r="D1028" t="s">
        <v>280</v>
      </c>
      <c r="E1028" s="433">
        <v>2775877.182</v>
      </c>
      <c r="F1028" s="433">
        <v>1784897.85</v>
      </c>
      <c r="G1028" s="433">
        <v>4560775.0319999997</v>
      </c>
      <c r="H1028" s="433">
        <v>617.84190520000004</v>
      </c>
      <c r="I1028" s="433">
        <v>397.27430859999998</v>
      </c>
      <c r="J1028" s="433">
        <v>1015.1162137</v>
      </c>
    </row>
    <row r="1029" spans="2:10">
      <c r="B1029" t="s">
        <v>138</v>
      </c>
      <c r="C1029" s="27" t="s">
        <v>409</v>
      </c>
      <c r="D1029" t="s">
        <v>281</v>
      </c>
      <c r="E1029" s="433">
        <v>8938114105.4734001</v>
      </c>
      <c r="F1029" s="433">
        <v>2061146863.1099999</v>
      </c>
      <c r="G1029" s="433">
        <v>10999260968.583401</v>
      </c>
      <c r="H1029" s="433">
        <v>1989404.1001664</v>
      </c>
      <c r="I1029" s="433">
        <v>458760.53629760002</v>
      </c>
      <c r="J1029" s="433">
        <v>2448164.6364639001</v>
      </c>
    </row>
    <row r="1030" spans="2:10">
      <c r="B1030" t="s">
        <v>138</v>
      </c>
      <c r="C1030" s="27" t="s">
        <v>488</v>
      </c>
      <c r="D1030" t="s">
        <v>278</v>
      </c>
      <c r="E1030" s="433">
        <v>28921841035.647999</v>
      </c>
      <c r="F1030" s="433">
        <v>9246404603</v>
      </c>
      <c r="G1030" s="433">
        <v>38168245638.648003</v>
      </c>
      <c r="H1030" s="433">
        <v>6451404.7498338996</v>
      </c>
      <c r="I1030" s="433">
        <v>2062534.6256883999</v>
      </c>
      <c r="J1030" s="433">
        <v>8513939.3755223993</v>
      </c>
    </row>
    <row r="1031" spans="2:10">
      <c r="B1031" t="s">
        <v>138</v>
      </c>
      <c r="C1031" s="27" t="s">
        <v>488</v>
      </c>
      <c r="D1031" t="s">
        <v>279</v>
      </c>
      <c r="E1031" s="433">
        <v>60137809982.4589</v>
      </c>
      <c r="F1031" s="433">
        <v>31373195990.43</v>
      </c>
      <c r="G1031" s="433">
        <v>91511005972.888901</v>
      </c>
      <c r="H1031" s="433">
        <v>13414545.515523899</v>
      </c>
      <c r="I1031" s="433">
        <v>6998212.3676241003</v>
      </c>
      <c r="J1031" s="433">
        <v>20412757.883148</v>
      </c>
    </row>
    <row r="1032" spans="2:10">
      <c r="B1032" t="s">
        <v>138</v>
      </c>
      <c r="C1032" s="27" t="s">
        <v>488</v>
      </c>
      <c r="D1032" t="s">
        <v>280</v>
      </c>
      <c r="E1032" s="433">
        <v>3730477.5739000002</v>
      </c>
      <c r="F1032" s="433">
        <v>1269773.32</v>
      </c>
      <c r="G1032" s="433">
        <v>5000250.8938999996</v>
      </c>
      <c r="H1032" s="433">
        <v>832.13308270000005</v>
      </c>
      <c r="I1032" s="433">
        <v>283.23997830000002</v>
      </c>
      <c r="J1032" s="433">
        <v>1115.3730611000001</v>
      </c>
    </row>
    <row r="1033" spans="2:10">
      <c r="B1033" t="s">
        <v>138</v>
      </c>
      <c r="C1033" s="27" t="s">
        <v>488</v>
      </c>
      <c r="D1033" t="s">
        <v>281</v>
      </c>
      <c r="E1033" s="433">
        <v>12696269513.1817</v>
      </c>
      <c r="F1033" s="433">
        <v>2507877390.9699998</v>
      </c>
      <c r="G1033" s="433">
        <v>15204146904.151699</v>
      </c>
      <c r="H1033" s="433">
        <v>2832073.2881960999</v>
      </c>
      <c r="I1033" s="433">
        <v>559415.70566560002</v>
      </c>
      <c r="J1033" s="433">
        <v>3391488.9938616999</v>
      </c>
    </row>
    <row r="1034" spans="2:10">
      <c r="B1034" t="s">
        <v>139</v>
      </c>
      <c r="C1034" s="27" t="s">
        <v>409</v>
      </c>
      <c r="D1034" t="s">
        <v>278</v>
      </c>
      <c r="E1034" s="433">
        <v>20627797.482299998</v>
      </c>
      <c r="F1034" s="433">
        <v>29918464.050000001</v>
      </c>
      <c r="G1034" s="433">
        <v>50546261.532300003</v>
      </c>
      <c r="H1034" s="433">
        <v>505335.55811609997</v>
      </c>
      <c r="I1034" s="433">
        <v>732936.40494859999</v>
      </c>
      <c r="J1034" s="433">
        <v>1238271.9630646999</v>
      </c>
    </row>
    <row r="1035" spans="2:10">
      <c r="B1035" t="s">
        <v>139</v>
      </c>
      <c r="C1035" s="27" t="s">
        <v>409</v>
      </c>
      <c r="D1035" t="s">
        <v>279</v>
      </c>
      <c r="E1035" s="433">
        <v>77337470.320500001</v>
      </c>
      <c r="F1035" s="433">
        <v>88765572.510000005</v>
      </c>
      <c r="G1035" s="433">
        <v>166103042.83050001</v>
      </c>
      <c r="H1035" s="433">
        <v>1894597.5090764</v>
      </c>
      <c r="I1035" s="433">
        <v>2174560.8160215998</v>
      </c>
      <c r="J1035" s="433">
        <v>4069158.325098</v>
      </c>
    </row>
    <row r="1036" spans="2:10">
      <c r="B1036" t="s">
        <v>139</v>
      </c>
      <c r="C1036" s="27" t="s">
        <v>409</v>
      </c>
      <c r="D1036" t="s">
        <v>280</v>
      </c>
      <c r="E1036" s="433">
        <v>-6303442.3161000004</v>
      </c>
      <c r="F1036" s="433">
        <v>36808.94</v>
      </c>
      <c r="G1036" s="433">
        <v>-6266633.3761</v>
      </c>
      <c r="H1036" s="433">
        <v>-154420.43890489999</v>
      </c>
      <c r="I1036" s="433">
        <v>901.73787359999994</v>
      </c>
      <c r="J1036" s="433">
        <v>-153518.70103140001</v>
      </c>
    </row>
    <row r="1037" spans="2:10">
      <c r="B1037" t="s">
        <v>139</v>
      </c>
      <c r="C1037" s="27" t="s">
        <v>409</v>
      </c>
      <c r="D1037" t="s">
        <v>281</v>
      </c>
      <c r="E1037" s="433">
        <v>9528958.9760999996</v>
      </c>
      <c r="F1037" s="433">
        <v>9577956.3000000007</v>
      </c>
      <c r="G1037" s="433">
        <v>19106915.276099999</v>
      </c>
      <c r="H1037" s="433">
        <v>233438.48545080001</v>
      </c>
      <c r="I1037" s="433">
        <v>234638.81185689999</v>
      </c>
      <c r="J1037" s="433">
        <v>468077.29730769998</v>
      </c>
    </row>
    <row r="1038" spans="2:10">
      <c r="B1038" t="s">
        <v>139</v>
      </c>
      <c r="C1038" s="27" t="s">
        <v>488</v>
      </c>
      <c r="D1038" t="s">
        <v>278</v>
      </c>
      <c r="E1038" s="433">
        <v>24626462.119600002</v>
      </c>
      <c r="F1038" s="433">
        <v>35537946.109999999</v>
      </c>
      <c r="G1038" s="433">
        <v>60164408.229599997</v>
      </c>
      <c r="H1038" s="433">
        <v>626149.55808800005</v>
      </c>
      <c r="I1038" s="433">
        <v>903583.67937959998</v>
      </c>
      <c r="J1038" s="433">
        <v>1529733.2374676</v>
      </c>
    </row>
    <row r="1039" spans="2:10">
      <c r="B1039" t="s">
        <v>139</v>
      </c>
      <c r="C1039" s="27" t="s">
        <v>488</v>
      </c>
      <c r="D1039" t="s">
        <v>279</v>
      </c>
      <c r="E1039" s="433">
        <v>85246867.092999995</v>
      </c>
      <c r="F1039" s="433">
        <v>80511746.680000007</v>
      </c>
      <c r="G1039" s="433">
        <v>165758613.773</v>
      </c>
      <c r="H1039" s="433">
        <v>2167476.9156622998</v>
      </c>
      <c r="I1039" s="433">
        <v>2047082.2954488001</v>
      </c>
      <c r="J1039" s="433">
        <v>4214559.2111111004</v>
      </c>
    </row>
    <row r="1040" spans="2:10">
      <c r="B1040" t="s">
        <v>139</v>
      </c>
      <c r="C1040" s="27" t="s">
        <v>488</v>
      </c>
      <c r="D1040" t="s">
        <v>280</v>
      </c>
      <c r="E1040" s="433">
        <v>-5774500.3896000003</v>
      </c>
      <c r="F1040" s="433">
        <v>93168.82</v>
      </c>
      <c r="G1040" s="433">
        <v>-5681331.5696</v>
      </c>
      <c r="H1040" s="433">
        <v>-146821.7744622</v>
      </c>
      <c r="I1040" s="433">
        <v>2368.8995678000001</v>
      </c>
      <c r="J1040" s="433">
        <v>-144452.87489450001</v>
      </c>
    </row>
    <row r="1041" spans="2:10">
      <c r="B1041" t="s">
        <v>139</v>
      </c>
      <c r="C1041" s="27" t="s">
        <v>488</v>
      </c>
      <c r="D1041" t="s">
        <v>281</v>
      </c>
      <c r="E1041" s="433">
        <v>-1132072.1575</v>
      </c>
      <c r="F1041" s="433">
        <v>9764089.5399999991</v>
      </c>
      <c r="G1041" s="433">
        <v>8632017.3825000003</v>
      </c>
      <c r="H1041" s="433">
        <v>-28783.934846200002</v>
      </c>
      <c r="I1041" s="433">
        <v>248260.60361049999</v>
      </c>
      <c r="J1041" s="433">
        <v>219476.6687643</v>
      </c>
    </row>
    <row r="1042" spans="2:10">
      <c r="B1042" t="s">
        <v>141</v>
      </c>
      <c r="C1042" s="27" t="s">
        <v>409</v>
      </c>
      <c r="D1042" t="s">
        <v>278</v>
      </c>
      <c r="E1042" s="433">
        <v>5911724957.0721998</v>
      </c>
      <c r="F1042" s="433">
        <v>1489403896</v>
      </c>
      <c r="G1042" s="433">
        <v>7401128853.0721998</v>
      </c>
      <c r="H1042" s="433">
        <v>9012366.5988353007</v>
      </c>
      <c r="I1042" s="433">
        <v>2270581.6021476998</v>
      </c>
      <c r="J1042" s="433">
        <v>11282948.200983001</v>
      </c>
    </row>
    <row r="1043" spans="2:10">
      <c r="B1043" t="s">
        <v>141</v>
      </c>
      <c r="C1043" s="27" t="s">
        <v>409</v>
      </c>
      <c r="D1043" t="s">
        <v>279</v>
      </c>
      <c r="E1043" s="433">
        <v>6012800196.9879999</v>
      </c>
      <c r="F1043" s="433">
        <v>3147517296</v>
      </c>
      <c r="G1043" s="433">
        <v>9160299113.9880009</v>
      </c>
      <c r="H1043" s="433">
        <v>9166454.8087572996</v>
      </c>
      <c r="I1043" s="433">
        <v>4798359.1851295</v>
      </c>
      <c r="J1043" s="433">
        <v>13964785.9752819</v>
      </c>
    </row>
    <row r="1044" spans="2:10">
      <c r="B1044" t="s">
        <v>141</v>
      </c>
      <c r="C1044" s="27" t="s">
        <v>409</v>
      </c>
      <c r="D1044" t="s">
        <v>280</v>
      </c>
      <c r="E1044" s="433">
        <v>-602641752.34650004</v>
      </c>
      <c r="F1044" s="433">
        <v>35653085</v>
      </c>
      <c r="G1044" s="433">
        <v>-566988667.34650004</v>
      </c>
      <c r="H1044" s="433">
        <v>-918721.42891450005</v>
      </c>
      <c r="I1044" s="433">
        <v>54352.7776973</v>
      </c>
      <c r="J1044" s="433">
        <v>-864368.65121719998</v>
      </c>
    </row>
    <row r="1045" spans="2:10">
      <c r="B1045" t="s">
        <v>141</v>
      </c>
      <c r="C1045" s="27" t="s">
        <v>409</v>
      </c>
      <c r="D1045" t="s">
        <v>281</v>
      </c>
      <c r="E1045" s="433">
        <v>9187455739.0506992</v>
      </c>
      <c r="F1045" s="433">
        <v>630948458</v>
      </c>
      <c r="G1045" s="433">
        <v>9818404197.0506992</v>
      </c>
      <c r="H1045" s="433">
        <v>14006185.983304899</v>
      </c>
      <c r="I1045" s="433">
        <v>961874.72349560005</v>
      </c>
      <c r="J1045" s="433">
        <v>14968060.706800399</v>
      </c>
    </row>
    <row r="1046" spans="2:10">
      <c r="B1046" t="s">
        <v>141</v>
      </c>
      <c r="C1046" s="27" t="s">
        <v>488</v>
      </c>
      <c r="D1046" t="s">
        <v>278</v>
      </c>
      <c r="E1046" s="433">
        <v>5936262021.1486998</v>
      </c>
      <c r="F1046" s="433">
        <v>1385272510</v>
      </c>
      <c r="G1046" s="433">
        <v>7321525555.1486998</v>
      </c>
      <c r="H1046" s="433">
        <v>9049773.1118787993</v>
      </c>
      <c r="I1046" s="433">
        <v>2111834.3275549999</v>
      </c>
      <c r="J1046" s="433">
        <v>11161593.75561</v>
      </c>
    </row>
    <row r="1047" spans="2:10">
      <c r="B1047" t="s">
        <v>141</v>
      </c>
      <c r="C1047" s="27" t="s">
        <v>488</v>
      </c>
      <c r="D1047" t="s">
        <v>279</v>
      </c>
      <c r="E1047" s="433">
        <v>5110562153.3502998</v>
      </c>
      <c r="F1047" s="433">
        <v>2769140336.6199999</v>
      </c>
      <c r="G1047" s="433">
        <v>7879693513.9702997</v>
      </c>
      <c r="H1047" s="433">
        <v>7791001.7780895997</v>
      </c>
      <c r="I1047" s="433">
        <v>4221527.2291019</v>
      </c>
      <c r="J1047" s="433">
        <v>12012515.3233677</v>
      </c>
    </row>
    <row r="1048" spans="2:10">
      <c r="B1048" t="s">
        <v>141</v>
      </c>
      <c r="C1048" s="27" t="s">
        <v>488</v>
      </c>
      <c r="D1048" t="s">
        <v>280</v>
      </c>
      <c r="E1048" s="433">
        <v>-7936668.4852</v>
      </c>
      <c r="F1048" s="433">
        <v>128399</v>
      </c>
      <c r="G1048" s="433">
        <v>-7808269.4852</v>
      </c>
      <c r="H1048" s="433">
        <v>-12099.3731071</v>
      </c>
      <c r="I1048" s="433">
        <v>195.74301360000001</v>
      </c>
      <c r="J1048" s="433">
        <v>-11903.630093399999</v>
      </c>
    </row>
    <row r="1049" spans="2:10">
      <c r="B1049" t="s">
        <v>141</v>
      </c>
      <c r="C1049" s="27" t="s">
        <v>488</v>
      </c>
      <c r="D1049" t="s">
        <v>281</v>
      </c>
      <c r="E1049" s="433">
        <v>10276051423.7757</v>
      </c>
      <c r="F1049" s="433">
        <v>892976415.09000003</v>
      </c>
      <c r="G1049" s="433">
        <v>11169027838.8657</v>
      </c>
      <c r="H1049" s="433">
        <v>15665739.406357</v>
      </c>
      <c r="I1049" s="433">
        <v>1361333.7689666001</v>
      </c>
      <c r="J1049" s="433">
        <v>17027073.175323501</v>
      </c>
    </row>
    <row r="1050" spans="2:10">
      <c r="B1050" t="s">
        <v>140</v>
      </c>
      <c r="C1050" s="27" t="s">
        <v>409</v>
      </c>
      <c r="D1050" t="s">
        <v>278</v>
      </c>
      <c r="E1050" s="433">
        <v>1021304130.3405</v>
      </c>
      <c r="F1050" s="433">
        <v>538327192</v>
      </c>
      <c r="G1050" s="433">
        <v>1559631322.3405001</v>
      </c>
      <c r="H1050" s="433">
        <v>1556968.1097092</v>
      </c>
      <c r="I1050" s="433">
        <v>820674.51372569997</v>
      </c>
      <c r="J1050" s="433">
        <v>2377642.6234348998</v>
      </c>
    </row>
    <row r="1051" spans="2:10">
      <c r="B1051" t="s">
        <v>140</v>
      </c>
      <c r="C1051" s="27" t="s">
        <v>409</v>
      </c>
      <c r="D1051" t="s">
        <v>279</v>
      </c>
      <c r="E1051" s="433">
        <v>2162597587.8269</v>
      </c>
      <c r="F1051" s="433">
        <v>1617861114</v>
      </c>
      <c r="G1051" s="433">
        <v>3780398701.8269</v>
      </c>
      <c r="H1051" s="433">
        <v>3296858.7694421001</v>
      </c>
      <c r="I1051" s="433">
        <v>2466413.3685591999</v>
      </c>
      <c r="J1051" s="433">
        <v>5763180.6685908996</v>
      </c>
    </row>
    <row r="1052" spans="2:10">
      <c r="B1052" t="s">
        <v>140</v>
      </c>
      <c r="C1052" s="27" t="s">
        <v>409</v>
      </c>
      <c r="D1052" t="s">
        <v>280</v>
      </c>
      <c r="E1052" s="433">
        <v>-37218079.7258</v>
      </c>
      <c r="F1052" s="433">
        <v>30256445</v>
      </c>
      <c r="G1052" s="433">
        <v>-6961634.7258000001</v>
      </c>
      <c r="H1052" s="433">
        <v>-56738.596776600003</v>
      </c>
      <c r="I1052" s="433">
        <v>46125.653053499998</v>
      </c>
      <c r="J1052" s="433">
        <v>-10612.943723099999</v>
      </c>
    </row>
    <row r="1053" spans="2:10">
      <c r="B1053" t="s">
        <v>140</v>
      </c>
      <c r="C1053" s="27" t="s">
        <v>409</v>
      </c>
      <c r="D1053" t="s">
        <v>281</v>
      </c>
      <c r="E1053" s="433">
        <v>893440225.69000006</v>
      </c>
      <c r="F1053" s="433">
        <v>162101905</v>
      </c>
      <c r="G1053" s="433">
        <v>1055438130.6900001</v>
      </c>
      <c r="H1053" s="433">
        <v>1362040.8436681</v>
      </c>
      <c r="I1053" s="433">
        <v>247122.7610956</v>
      </c>
      <c r="J1053" s="433">
        <v>1609005.0577858</v>
      </c>
    </row>
    <row r="1054" spans="2:10">
      <c r="B1054" t="s">
        <v>140</v>
      </c>
      <c r="C1054" s="27" t="s">
        <v>488</v>
      </c>
      <c r="D1054" t="s">
        <v>278</v>
      </c>
      <c r="E1054" s="433">
        <v>1562728713.1048999</v>
      </c>
      <c r="F1054" s="433">
        <v>755608198</v>
      </c>
      <c r="G1054" s="433">
        <v>2318336911.1048999</v>
      </c>
      <c r="H1054" s="433">
        <v>2382364.5652152998</v>
      </c>
      <c r="I1054" s="433">
        <v>1151917.2720162999</v>
      </c>
      <c r="J1054" s="433">
        <v>3534281.8372316002</v>
      </c>
    </row>
    <row r="1055" spans="2:10">
      <c r="B1055" t="s">
        <v>140</v>
      </c>
      <c r="C1055" s="27" t="s">
        <v>488</v>
      </c>
      <c r="D1055" t="s">
        <v>279</v>
      </c>
      <c r="E1055" s="433">
        <v>1711240810.2211001</v>
      </c>
      <c r="F1055" s="433">
        <v>1325605855</v>
      </c>
      <c r="G1055" s="433">
        <v>3036846665.2210999</v>
      </c>
      <c r="H1055" s="433">
        <v>2608769.7977475999</v>
      </c>
      <c r="I1055" s="433">
        <v>2020873.0983891001</v>
      </c>
      <c r="J1055" s="433">
        <v>4629642.8961365996</v>
      </c>
    </row>
    <row r="1056" spans="2:10">
      <c r="B1056" t="s">
        <v>140</v>
      </c>
      <c r="C1056" s="27" t="s">
        <v>488</v>
      </c>
      <c r="D1056" t="s">
        <v>280</v>
      </c>
      <c r="E1056" s="433">
        <v>-27309952.1503</v>
      </c>
      <c r="F1056" s="433">
        <v>1742229</v>
      </c>
      <c r="G1056" s="433">
        <v>-25567723.1503</v>
      </c>
      <c r="H1056" s="433">
        <v>-41633.753661100003</v>
      </c>
      <c r="I1056" s="433">
        <v>2656.0109885000002</v>
      </c>
      <c r="J1056" s="433">
        <v>-38977.742672599998</v>
      </c>
    </row>
    <row r="1057" spans="2:10">
      <c r="B1057" t="s">
        <v>140</v>
      </c>
      <c r="C1057" s="27" t="s">
        <v>488</v>
      </c>
      <c r="D1057" t="s">
        <v>281</v>
      </c>
      <c r="E1057" s="433">
        <v>1005032649.8506</v>
      </c>
      <c r="F1057" s="433">
        <v>190958101</v>
      </c>
      <c r="G1057" s="433">
        <v>1195990750.8506</v>
      </c>
      <c r="H1057" s="433">
        <v>1532162.3976123</v>
      </c>
      <c r="I1057" s="433">
        <v>291113.74830969999</v>
      </c>
      <c r="J1057" s="433">
        <v>1823276.1459220999</v>
      </c>
    </row>
    <row r="1058" spans="2:10">
      <c r="B1058" t="s">
        <v>123</v>
      </c>
      <c r="C1058" s="27">
        <v>44957</v>
      </c>
      <c r="D1058" t="s">
        <v>278</v>
      </c>
      <c r="E1058" s="433">
        <v>98385004.8398</v>
      </c>
      <c r="F1058" s="433">
        <v>57883729</v>
      </c>
      <c r="G1058" s="433">
        <v>156268733.8398</v>
      </c>
      <c r="H1058" s="433">
        <v>149986.97298729999</v>
      </c>
      <c r="I1058" s="433">
        <v>88243.176000899999</v>
      </c>
      <c r="J1058" s="433">
        <v>238230.1489881</v>
      </c>
    </row>
    <row r="1059" spans="2:10">
      <c r="B1059" t="s">
        <v>123</v>
      </c>
      <c r="C1059" s="27">
        <v>44957</v>
      </c>
      <c r="D1059" t="s">
        <v>279</v>
      </c>
      <c r="E1059" s="433">
        <v>88407934.312800005</v>
      </c>
      <c r="F1059" s="433">
        <v>50388719.82</v>
      </c>
      <c r="G1059" s="433">
        <v>138796654.13280001</v>
      </c>
      <c r="H1059" s="433">
        <v>134777.02701980001</v>
      </c>
      <c r="I1059" s="433">
        <v>76817.108164100006</v>
      </c>
      <c r="J1059" s="433">
        <v>211594.13518390001</v>
      </c>
    </row>
    <row r="1060" spans="2:10">
      <c r="B1060" t="s">
        <v>123</v>
      </c>
      <c r="C1060" s="27">
        <v>44957</v>
      </c>
      <c r="D1060" t="s">
        <v>280</v>
      </c>
      <c r="E1060" s="433">
        <v>3377933.1069999998</v>
      </c>
      <c r="F1060" s="433">
        <v>459513</v>
      </c>
      <c r="G1060" s="433">
        <v>3837446.1069999998</v>
      </c>
      <c r="H1060" s="433">
        <v>5149.6258245999998</v>
      </c>
      <c r="I1060" s="433">
        <v>700.52305260000003</v>
      </c>
      <c r="J1060" s="433">
        <v>5850.1488771000004</v>
      </c>
    </row>
    <row r="1061" spans="2:10">
      <c r="B1061" t="s">
        <v>123</v>
      </c>
      <c r="C1061" s="27">
        <v>44957</v>
      </c>
      <c r="D1061" t="s">
        <v>281</v>
      </c>
      <c r="E1061" s="433">
        <v>74844101.221100003</v>
      </c>
      <c r="F1061" s="433">
        <v>18370483</v>
      </c>
      <c r="G1061" s="433">
        <v>93214584.221100003</v>
      </c>
      <c r="H1061" s="433">
        <v>114099.0967717</v>
      </c>
      <c r="I1061" s="433">
        <v>28005.620795300001</v>
      </c>
      <c r="J1061" s="433">
        <v>142104.71756700001</v>
      </c>
    </row>
    <row r="1062" spans="2:10">
      <c r="B1062" t="s">
        <v>124</v>
      </c>
      <c r="C1062" s="27">
        <v>44957</v>
      </c>
      <c r="D1062" t="s">
        <v>278</v>
      </c>
      <c r="E1062" s="433">
        <v>109991989.6578</v>
      </c>
      <c r="F1062" s="433">
        <v>658874</v>
      </c>
      <c r="G1062" s="433">
        <v>110650863.6578</v>
      </c>
      <c r="H1062" s="433">
        <v>167681.70727320001</v>
      </c>
      <c r="I1062" s="433">
        <v>1004.4469378</v>
      </c>
      <c r="J1062" s="433">
        <v>168686.15421099999</v>
      </c>
    </row>
    <row r="1063" spans="2:10">
      <c r="B1063" t="s">
        <v>124</v>
      </c>
      <c r="C1063" s="27">
        <v>44957</v>
      </c>
      <c r="D1063" t="s">
        <v>279</v>
      </c>
      <c r="E1063" s="433">
        <v>283785310.8466</v>
      </c>
      <c r="F1063" s="433">
        <v>209141694</v>
      </c>
      <c r="G1063" s="433">
        <v>492922004.8466</v>
      </c>
      <c r="H1063" s="433">
        <v>432627.91744980001</v>
      </c>
      <c r="I1063" s="433">
        <v>318834.45713669999</v>
      </c>
      <c r="J1063" s="433">
        <v>751454.75213559996</v>
      </c>
    </row>
    <row r="1064" spans="2:10">
      <c r="B1064" t="s">
        <v>124</v>
      </c>
      <c r="C1064" s="27">
        <v>44957</v>
      </c>
      <c r="D1064" t="s">
        <v>280</v>
      </c>
      <c r="E1064" s="433">
        <v>7053820.7008999996</v>
      </c>
      <c r="F1064" s="433">
        <v>3118252</v>
      </c>
      <c r="G1064" s="433">
        <v>10172072.7009</v>
      </c>
      <c r="H1064" s="433">
        <v>10753.4803362</v>
      </c>
      <c r="I1064" s="433">
        <v>4753.7445289999996</v>
      </c>
      <c r="J1064" s="433">
        <v>15507.2248652</v>
      </c>
    </row>
    <row r="1065" spans="2:10">
      <c r="B1065" t="s">
        <v>124</v>
      </c>
      <c r="C1065" s="27">
        <v>44957</v>
      </c>
      <c r="D1065" t="s">
        <v>281</v>
      </c>
      <c r="E1065" s="433">
        <v>202352774.17570001</v>
      </c>
      <c r="F1065" s="433">
        <v>29783482</v>
      </c>
      <c r="G1065" s="433">
        <v>232136256.17570001</v>
      </c>
      <c r="H1065" s="433">
        <v>308484.81558350002</v>
      </c>
      <c r="I1065" s="433">
        <v>45404.625608100003</v>
      </c>
      <c r="J1065" s="433">
        <v>353889.4411916</v>
      </c>
    </row>
    <row r="1066" spans="2:10">
      <c r="B1066" t="s">
        <v>131</v>
      </c>
      <c r="C1066" s="27">
        <v>44957</v>
      </c>
      <c r="D1066" t="s">
        <v>278</v>
      </c>
      <c r="E1066" s="433">
        <v>1958085432.2154</v>
      </c>
      <c r="F1066" s="433">
        <v>710544016</v>
      </c>
      <c r="G1066" s="433">
        <v>2667971933.2154002</v>
      </c>
      <c r="H1066" s="433">
        <v>2985081.9980812999</v>
      </c>
      <c r="I1066" s="433">
        <v>1083217.3694312</v>
      </c>
      <c r="J1066" s="433">
        <v>4067296.9923568</v>
      </c>
    </row>
    <row r="1067" spans="2:10">
      <c r="B1067" t="s">
        <v>131</v>
      </c>
      <c r="C1067" s="27">
        <v>44957</v>
      </c>
      <c r="D1067" t="s">
        <v>279</v>
      </c>
      <c r="E1067" s="433">
        <v>2334805738.0904999</v>
      </c>
      <c r="F1067" s="433">
        <v>1365086731</v>
      </c>
      <c r="G1067" s="433">
        <v>3698080484.0904999</v>
      </c>
      <c r="H1067" s="433">
        <v>3559388.4021216002</v>
      </c>
      <c r="I1067" s="433">
        <v>2081061.3058478001</v>
      </c>
      <c r="J1067" s="433">
        <v>5637687.3546444001</v>
      </c>
    </row>
    <row r="1068" spans="2:10">
      <c r="B1068" t="s">
        <v>131</v>
      </c>
      <c r="C1068" s="27">
        <v>44957</v>
      </c>
      <c r="D1068" t="s">
        <v>280</v>
      </c>
      <c r="E1068" s="433">
        <v>17009310.126899999</v>
      </c>
      <c r="F1068" s="433">
        <v>-413878369</v>
      </c>
      <c r="G1068" s="433">
        <v>-396869058.87309998</v>
      </c>
      <c r="H1068" s="433">
        <v>25930.5261273</v>
      </c>
      <c r="I1068" s="433">
        <v>-630953.50609869999</v>
      </c>
      <c r="J1068" s="433">
        <v>-605022.9799714</v>
      </c>
    </row>
    <row r="1069" spans="2:10">
      <c r="B1069" t="s">
        <v>131</v>
      </c>
      <c r="C1069" s="27">
        <v>44957</v>
      </c>
      <c r="D1069" t="s">
        <v>281</v>
      </c>
      <c r="E1069" s="433">
        <v>1708103578.0601001</v>
      </c>
      <c r="F1069" s="433">
        <v>221125668</v>
      </c>
      <c r="G1069" s="433">
        <v>1929038571.0601001</v>
      </c>
      <c r="H1069" s="433">
        <v>2603987.1181497001</v>
      </c>
      <c r="I1069" s="433">
        <v>337103.9077257</v>
      </c>
      <c r="J1069" s="433">
        <v>2940800.3437116998</v>
      </c>
    </row>
    <row r="1070" spans="2:10">
      <c r="B1070" t="s">
        <v>132</v>
      </c>
      <c r="C1070" s="27">
        <v>44957</v>
      </c>
      <c r="D1070" t="s">
        <v>278</v>
      </c>
      <c r="E1070" s="433">
        <v>574345321.20029998</v>
      </c>
      <c r="F1070" s="433">
        <v>325963743</v>
      </c>
      <c r="G1070" s="433">
        <v>900309064.20029998</v>
      </c>
      <c r="H1070" s="433">
        <v>875583.79771890002</v>
      </c>
      <c r="I1070" s="433">
        <v>496928.52275379997</v>
      </c>
      <c r="J1070" s="433">
        <v>1372512.3204727001</v>
      </c>
    </row>
    <row r="1071" spans="2:10">
      <c r="B1071" t="s">
        <v>132</v>
      </c>
      <c r="C1071" s="27">
        <v>44957</v>
      </c>
      <c r="D1071" t="s">
        <v>279</v>
      </c>
      <c r="E1071" s="433">
        <v>796267972.42369998</v>
      </c>
      <c r="F1071" s="433">
        <v>494051408</v>
      </c>
      <c r="G1071" s="433">
        <v>1290318380.4237001</v>
      </c>
      <c r="H1071" s="433">
        <v>1213902.6985362</v>
      </c>
      <c r="I1071" s="433">
        <v>753176.51614359999</v>
      </c>
      <c r="J1071" s="433">
        <v>1967077.6901896</v>
      </c>
    </row>
    <row r="1072" spans="2:10">
      <c r="B1072" t="s">
        <v>132</v>
      </c>
      <c r="C1072" s="27">
        <v>44957</v>
      </c>
      <c r="D1072" t="s">
        <v>280</v>
      </c>
      <c r="E1072" s="433">
        <v>-17964464.263</v>
      </c>
      <c r="F1072" s="433">
        <v>1349215</v>
      </c>
      <c r="G1072" s="433">
        <v>-16615249.263</v>
      </c>
      <c r="H1072" s="433">
        <v>-27386.649220899999</v>
      </c>
      <c r="I1072" s="433">
        <v>2056.8650078999999</v>
      </c>
      <c r="J1072" s="433">
        <v>-25329.784212999999</v>
      </c>
    </row>
    <row r="1073" spans="2:10">
      <c r="B1073" t="s">
        <v>132</v>
      </c>
      <c r="C1073" s="27">
        <v>44957</v>
      </c>
      <c r="D1073" t="s">
        <v>281</v>
      </c>
      <c r="E1073" s="433">
        <v>245475735.5794</v>
      </c>
      <c r="F1073" s="433">
        <v>63205364</v>
      </c>
      <c r="G1073" s="433">
        <v>308681099.5794</v>
      </c>
      <c r="H1073" s="433">
        <v>374225.34644709999</v>
      </c>
      <c r="I1073" s="433">
        <v>96355.956259300001</v>
      </c>
      <c r="J1073" s="433">
        <v>470581.30270639999</v>
      </c>
    </row>
    <row r="1074" spans="2:10">
      <c r="B1074" t="s">
        <v>135</v>
      </c>
      <c r="C1074" s="27">
        <v>44957</v>
      </c>
      <c r="D1074" t="s">
        <v>278</v>
      </c>
      <c r="E1074" s="433">
        <v>152192223.13530001</v>
      </c>
      <c r="F1074" s="433">
        <v>118460824</v>
      </c>
      <c r="G1074" s="433">
        <v>270653047.13529998</v>
      </c>
      <c r="H1074" s="433">
        <v>232015.54848150001</v>
      </c>
      <c r="I1074" s="433">
        <v>180592.36199929999</v>
      </c>
      <c r="J1074" s="433">
        <v>412607.91048090003</v>
      </c>
    </row>
    <row r="1075" spans="2:10">
      <c r="B1075" t="s">
        <v>135</v>
      </c>
      <c r="C1075" s="27">
        <v>44957</v>
      </c>
      <c r="D1075" t="s">
        <v>279</v>
      </c>
      <c r="E1075" s="433">
        <v>42061425.402800001</v>
      </c>
      <c r="F1075" s="433">
        <v>37111979</v>
      </c>
      <c r="G1075" s="433">
        <v>79173404.402799994</v>
      </c>
      <c r="H1075" s="433">
        <v>64122.229662600002</v>
      </c>
      <c r="I1075" s="433">
        <v>56576.847262900003</v>
      </c>
      <c r="J1075" s="433">
        <v>120699.07692550001</v>
      </c>
    </row>
    <row r="1076" spans="2:10">
      <c r="B1076" t="s">
        <v>135</v>
      </c>
      <c r="C1076" s="27">
        <v>44957</v>
      </c>
      <c r="D1076" t="s">
        <v>280</v>
      </c>
      <c r="E1076" s="433">
        <v>-40782.9539</v>
      </c>
      <c r="F1076" s="433">
        <v>0</v>
      </c>
      <c r="G1076" s="433">
        <v>-40782.9539</v>
      </c>
      <c r="H1076" s="433">
        <v>-62.173212399999997</v>
      </c>
      <c r="I1076" s="433">
        <v>0</v>
      </c>
      <c r="J1076" s="433">
        <v>-62.173212399999997</v>
      </c>
    </row>
    <row r="1077" spans="2:10">
      <c r="B1077" t="s">
        <v>135</v>
      </c>
      <c r="C1077" s="27">
        <v>44957</v>
      </c>
      <c r="D1077" t="s">
        <v>281</v>
      </c>
      <c r="E1077" s="433">
        <v>177098701.4012</v>
      </c>
      <c r="F1077" s="433">
        <v>69920879</v>
      </c>
      <c r="G1077" s="433">
        <v>247019580.4012</v>
      </c>
      <c r="H1077" s="433">
        <v>269985.2298263</v>
      </c>
      <c r="I1077" s="433">
        <v>106593.6928793</v>
      </c>
      <c r="J1077" s="433">
        <v>376578.92270559998</v>
      </c>
    </row>
    <row r="1078" spans="2:10">
      <c r="B1078" t="s">
        <v>136</v>
      </c>
      <c r="C1078" s="27">
        <v>44957</v>
      </c>
      <c r="D1078" t="s">
        <v>278</v>
      </c>
      <c r="E1078" s="433">
        <v>-1083920.7286</v>
      </c>
      <c r="F1078" s="433">
        <v>650156.49</v>
      </c>
      <c r="G1078" s="433">
        <v>-433764.23859999998</v>
      </c>
      <c r="H1078" s="433">
        <v>-92435.804318499999</v>
      </c>
      <c r="I1078" s="433">
        <v>55444.772389999998</v>
      </c>
      <c r="J1078" s="433">
        <v>-36991.031928500001</v>
      </c>
    </row>
    <row r="1079" spans="2:10">
      <c r="B1079" t="s">
        <v>136</v>
      </c>
      <c r="C1079" s="27">
        <v>44957</v>
      </c>
      <c r="D1079" t="s">
        <v>279</v>
      </c>
      <c r="E1079" s="433">
        <v>-47901.332900000001</v>
      </c>
      <c r="F1079" s="433">
        <v>2323047.2200000002</v>
      </c>
      <c r="G1079" s="433">
        <v>2275145.8870999999</v>
      </c>
      <c r="H1079" s="433">
        <v>-4084.9834473000001</v>
      </c>
      <c r="I1079" s="433">
        <v>198107.4192833</v>
      </c>
      <c r="J1079" s="433">
        <v>194022.43583599999</v>
      </c>
    </row>
    <row r="1080" spans="2:10">
      <c r="B1080" t="s">
        <v>136</v>
      </c>
      <c r="C1080" s="27">
        <v>44957</v>
      </c>
      <c r="D1080" t="s">
        <v>280</v>
      </c>
      <c r="E1080" s="433">
        <v>-1374.837</v>
      </c>
      <c r="F1080" s="433">
        <v>1265.17</v>
      </c>
      <c r="G1080" s="433">
        <v>-109.667</v>
      </c>
      <c r="H1080" s="433">
        <v>-117.2448875</v>
      </c>
      <c r="I1080" s="433">
        <v>107.89258239999999</v>
      </c>
      <c r="J1080" s="433">
        <v>-9.3523051000000006</v>
      </c>
    </row>
    <row r="1081" spans="2:10">
      <c r="B1081" t="s">
        <v>136</v>
      </c>
      <c r="C1081" s="27">
        <v>44957</v>
      </c>
      <c r="D1081" t="s">
        <v>281</v>
      </c>
      <c r="E1081" s="433">
        <v>99133.113200000007</v>
      </c>
      <c r="F1081" s="433">
        <v>1084852.53</v>
      </c>
      <c r="G1081" s="433">
        <v>1183985.6432</v>
      </c>
      <c r="H1081" s="433">
        <v>8453.9845132999999</v>
      </c>
      <c r="I1081" s="433">
        <v>92515.267520599999</v>
      </c>
      <c r="J1081" s="433">
        <v>100969.2520339</v>
      </c>
    </row>
    <row r="1082" spans="2:10">
      <c r="B1082" t="s">
        <v>137</v>
      </c>
      <c r="C1082" s="27">
        <v>44957</v>
      </c>
      <c r="D1082" t="s">
        <v>278</v>
      </c>
      <c r="E1082" s="433">
        <v>3615498496.9519</v>
      </c>
      <c r="F1082" s="433">
        <v>996677041</v>
      </c>
      <c r="G1082" s="433">
        <v>4611827353.9518995</v>
      </c>
      <c r="H1082" s="433">
        <v>388507.43247659999</v>
      </c>
      <c r="I1082" s="433">
        <v>107099.045549</v>
      </c>
      <c r="J1082" s="433">
        <v>495569.0635247</v>
      </c>
    </row>
    <row r="1083" spans="2:10">
      <c r="B1083" t="s">
        <v>137</v>
      </c>
      <c r="C1083" s="27">
        <v>44957</v>
      </c>
      <c r="D1083" t="s">
        <v>279</v>
      </c>
      <c r="E1083" s="433">
        <v>4197141789.6703</v>
      </c>
      <c r="F1083" s="433">
        <v>2689869855</v>
      </c>
      <c r="G1083" s="433">
        <v>6885595276.6702995</v>
      </c>
      <c r="H1083" s="433">
        <v>451008.56266980001</v>
      </c>
      <c r="I1083" s="433">
        <v>289042.97206689999</v>
      </c>
      <c r="J1083" s="433">
        <v>739899.33733000001</v>
      </c>
    </row>
    <row r="1084" spans="2:10">
      <c r="B1084" t="s">
        <v>137</v>
      </c>
      <c r="C1084" s="27">
        <v>44957</v>
      </c>
      <c r="D1084" t="s">
        <v>280</v>
      </c>
      <c r="E1084" s="433">
        <v>0</v>
      </c>
      <c r="F1084" s="433">
        <v>15000</v>
      </c>
      <c r="G1084" s="433">
        <v>15000</v>
      </c>
      <c r="H1084" s="433">
        <v>0</v>
      </c>
      <c r="I1084" s="433">
        <v>1.6118418000000001</v>
      </c>
      <c r="J1084" s="433">
        <v>1.6118418000000001</v>
      </c>
    </row>
    <row r="1085" spans="2:10">
      <c r="B1085" t="s">
        <v>137</v>
      </c>
      <c r="C1085" s="27">
        <v>44957</v>
      </c>
      <c r="D1085" t="s">
        <v>281</v>
      </c>
      <c r="E1085" s="433">
        <v>5721597111.0987997</v>
      </c>
      <c r="F1085" s="433">
        <v>298258759</v>
      </c>
      <c r="G1085" s="433">
        <v>6019829847.0987997</v>
      </c>
      <c r="H1085" s="433">
        <v>614820.6133048</v>
      </c>
      <c r="I1085" s="433">
        <v>32049.728348799999</v>
      </c>
      <c r="J1085" s="433">
        <v>646867.54532300006</v>
      </c>
    </row>
    <row r="1086" spans="2:10">
      <c r="B1086" t="s">
        <v>138</v>
      </c>
      <c r="C1086" s="27">
        <v>44957</v>
      </c>
      <c r="D1086" t="s">
        <v>278</v>
      </c>
      <c r="E1086" s="433">
        <v>2293908644.5913</v>
      </c>
      <c r="F1086" s="433">
        <v>651513446.63</v>
      </c>
      <c r="G1086" s="433">
        <v>2945422091.2213001</v>
      </c>
      <c r="H1086" s="433">
        <v>496829.9609909</v>
      </c>
      <c r="I1086" s="433">
        <v>141109.10695479999</v>
      </c>
      <c r="J1086" s="433">
        <v>637939.06794570002</v>
      </c>
    </row>
    <row r="1087" spans="2:10">
      <c r="B1087" t="s">
        <v>138</v>
      </c>
      <c r="C1087" s="27">
        <v>44957</v>
      </c>
      <c r="D1087" t="s">
        <v>279</v>
      </c>
      <c r="E1087" s="433">
        <v>5504544145.2933998</v>
      </c>
      <c r="F1087" s="433">
        <v>2796253479.5</v>
      </c>
      <c r="G1087" s="433">
        <v>8300797624.7933998</v>
      </c>
      <c r="H1087" s="433">
        <v>1192210.7096229999</v>
      </c>
      <c r="I1087" s="433">
        <v>605631.13985220005</v>
      </c>
      <c r="J1087" s="433">
        <v>1797841.8494752001</v>
      </c>
    </row>
    <row r="1088" spans="2:10">
      <c r="B1088" t="s">
        <v>138</v>
      </c>
      <c r="C1088" s="27">
        <v>44957</v>
      </c>
      <c r="D1088" t="s">
        <v>280</v>
      </c>
      <c r="E1088" s="433">
        <v>27546.783800000001</v>
      </c>
      <c r="F1088" s="433">
        <v>1425</v>
      </c>
      <c r="G1088" s="433">
        <v>28971.783800000001</v>
      </c>
      <c r="H1088" s="433">
        <v>5.9662652999999999</v>
      </c>
      <c r="I1088" s="433">
        <v>0.30863600000000002</v>
      </c>
      <c r="J1088" s="433">
        <v>6.2749012000000004</v>
      </c>
    </row>
    <row r="1089" spans="2:10">
      <c r="B1089" t="s">
        <v>138</v>
      </c>
      <c r="C1089" s="27">
        <v>44957</v>
      </c>
      <c r="D1089" t="s">
        <v>281</v>
      </c>
      <c r="E1089" s="433">
        <v>2841001912.2544999</v>
      </c>
      <c r="F1089" s="433">
        <v>415489352.81999999</v>
      </c>
      <c r="G1089" s="433">
        <v>3256491265.0745001</v>
      </c>
      <c r="H1089" s="433">
        <v>615323.05245389999</v>
      </c>
      <c r="I1089" s="433">
        <v>89989.442012200001</v>
      </c>
      <c r="J1089" s="433">
        <v>705312.4944661</v>
      </c>
    </row>
    <row r="1090" spans="2:10">
      <c r="B1090" t="s">
        <v>139</v>
      </c>
      <c r="C1090" s="27">
        <v>44957</v>
      </c>
      <c r="D1090" t="s">
        <v>278</v>
      </c>
      <c r="E1090" s="433">
        <v>2880320.4629000002</v>
      </c>
      <c r="F1090" s="433">
        <v>2491881.98</v>
      </c>
      <c r="G1090" s="433">
        <v>5372202.4429000001</v>
      </c>
      <c r="H1090" s="433">
        <v>73892.264312500003</v>
      </c>
      <c r="I1090" s="433">
        <v>63927.192919399997</v>
      </c>
      <c r="J1090" s="433">
        <v>137819.45723190001</v>
      </c>
    </row>
    <row r="1091" spans="2:10">
      <c r="B1091" t="s">
        <v>139</v>
      </c>
      <c r="C1091" s="27">
        <v>44957</v>
      </c>
      <c r="D1091" t="s">
        <v>279</v>
      </c>
      <c r="E1091" s="433">
        <v>8442777.4719999991</v>
      </c>
      <c r="F1091" s="433">
        <v>6036884.8499999996</v>
      </c>
      <c r="G1091" s="433">
        <v>14479662.322000001</v>
      </c>
      <c r="H1091" s="433">
        <v>216592.54674190001</v>
      </c>
      <c r="I1091" s="433">
        <v>154871.34043099999</v>
      </c>
      <c r="J1091" s="433">
        <v>371463.88717290002</v>
      </c>
    </row>
    <row r="1092" spans="2:10">
      <c r="B1092" t="s">
        <v>139</v>
      </c>
      <c r="C1092" s="27">
        <v>44957</v>
      </c>
      <c r="D1092" t="s">
        <v>280</v>
      </c>
      <c r="E1092" s="433">
        <v>-513500.41350000002</v>
      </c>
      <c r="F1092" s="433">
        <v>5173.8900000000003</v>
      </c>
      <c r="G1092" s="433">
        <v>-508326.52350000001</v>
      </c>
      <c r="H1092" s="433">
        <v>-13173.432875799999</v>
      </c>
      <c r="I1092" s="433">
        <v>132.7319138</v>
      </c>
      <c r="J1092" s="433">
        <v>-13040.700962000001</v>
      </c>
    </row>
    <row r="1093" spans="2:10">
      <c r="B1093" t="s">
        <v>139</v>
      </c>
      <c r="C1093" s="27">
        <v>44957</v>
      </c>
      <c r="D1093" t="s">
        <v>281</v>
      </c>
      <c r="E1093" s="433">
        <v>-652868.25320000004</v>
      </c>
      <c r="F1093" s="433">
        <v>988949.42</v>
      </c>
      <c r="G1093" s="433">
        <v>336081.16680000001</v>
      </c>
      <c r="H1093" s="433">
        <v>-16748.800749099999</v>
      </c>
      <c r="I1093" s="433">
        <v>25370.6880452</v>
      </c>
      <c r="J1093" s="433">
        <v>8621.8872960000008</v>
      </c>
    </row>
    <row r="1094" spans="2:10">
      <c r="B1094" t="s">
        <v>141</v>
      </c>
      <c r="C1094" s="27">
        <v>44957</v>
      </c>
      <c r="D1094" t="s">
        <v>278</v>
      </c>
      <c r="E1094" s="433">
        <v>598848998.48000002</v>
      </c>
      <c r="F1094" s="433">
        <v>116424425</v>
      </c>
      <c r="G1094" s="433">
        <v>715273423.48000002</v>
      </c>
      <c r="H1094" s="433">
        <v>912939.41291880002</v>
      </c>
      <c r="I1094" s="433">
        <v>177487.8917368</v>
      </c>
      <c r="J1094" s="433">
        <v>1090427.3046556001</v>
      </c>
    </row>
    <row r="1095" spans="2:10">
      <c r="B1095" t="s">
        <v>141</v>
      </c>
      <c r="C1095" s="27">
        <v>44957</v>
      </c>
      <c r="D1095" t="s">
        <v>279</v>
      </c>
      <c r="E1095" s="433">
        <v>586821778.94599998</v>
      </c>
      <c r="F1095" s="433">
        <v>228518637</v>
      </c>
      <c r="G1095" s="433">
        <v>815340415.94599998</v>
      </c>
      <c r="H1095" s="433">
        <v>894604.03493830003</v>
      </c>
      <c r="I1095" s="433">
        <v>348374.41631080001</v>
      </c>
      <c r="J1095" s="433">
        <v>1242978.4512491</v>
      </c>
    </row>
    <row r="1096" spans="2:10">
      <c r="B1096" t="s">
        <v>141</v>
      </c>
      <c r="C1096" s="27">
        <v>44957</v>
      </c>
      <c r="D1096" t="s">
        <v>280</v>
      </c>
      <c r="E1096" s="433">
        <v>80776.375199999995</v>
      </c>
      <c r="F1096" s="433">
        <v>6796</v>
      </c>
      <c r="G1096" s="433">
        <v>87572.375199999995</v>
      </c>
      <c r="H1096" s="433">
        <v>123.14279019999999</v>
      </c>
      <c r="I1096" s="433">
        <v>10.3604352</v>
      </c>
      <c r="J1096" s="433">
        <v>133.50322539999999</v>
      </c>
    </row>
    <row r="1097" spans="2:10">
      <c r="B1097" t="s">
        <v>141</v>
      </c>
      <c r="C1097" s="27">
        <v>44957</v>
      </c>
      <c r="D1097" t="s">
        <v>281</v>
      </c>
      <c r="E1097" s="433">
        <v>947543233.40760005</v>
      </c>
      <c r="F1097" s="433">
        <v>73746265</v>
      </c>
      <c r="G1097" s="433">
        <v>1021289498.4076</v>
      </c>
      <c r="H1097" s="433">
        <v>1444520.3472295001</v>
      </c>
      <c r="I1097" s="433">
        <v>112425.4562418</v>
      </c>
      <c r="J1097" s="433">
        <v>1556945.8034713001</v>
      </c>
    </row>
    <row r="1098" spans="2:10">
      <c r="B1098" t="s">
        <v>140</v>
      </c>
      <c r="C1098" s="27">
        <v>44957</v>
      </c>
      <c r="D1098" t="s">
        <v>278</v>
      </c>
      <c r="E1098" s="433">
        <v>175532918.95100001</v>
      </c>
      <c r="F1098" s="433">
        <v>66029175</v>
      </c>
      <c r="G1098" s="433">
        <v>241562093.95100001</v>
      </c>
      <c r="H1098" s="433">
        <v>267598.20986890001</v>
      </c>
      <c r="I1098" s="433">
        <v>100660.8283775</v>
      </c>
      <c r="J1098" s="433">
        <v>368259.03824640001</v>
      </c>
    </row>
    <row r="1099" spans="2:10">
      <c r="B1099" t="s">
        <v>140</v>
      </c>
      <c r="C1099" s="27">
        <v>44957</v>
      </c>
      <c r="D1099" t="s">
        <v>279</v>
      </c>
      <c r="E1099" s="433">
        <v>164466614.54210001</v>
      </c>
      <c r="F1099" s="433">
        <v>139432242</v>
      </c>
      <c r="G1099" s="433">
        <v>303898856.54210001</v>
      </c>
      <c r="H1099" s="433">
        <v>250727.73755310001</v>
      </c>
      <c r="I1099" s="433">
        <v>212563.08264109999</v>
      </c>
      <c r="J1099" s="433">
        <v>463290.82019419997</v>
      </c>
    </row>
    <row r="1100" spans="2:10">
      <c r="B1100" t="s">
        <v>140</v>
      </c>
      <c r="C1100" s="27">
        <v>44957</v>
      </c>
      <c r="D1100" t="s">
        <v>280</v>
      </c>
      <c r="E1100" s="433">
        <v>4115426.5950000002</v>
      </c>
      <c r="F1100" s="433">
        <v>457723</v>
      </c>
      <c r="G1100" s="433">
        <v>4573149.5949999997</v>
      </c>
      <c r="H1100" s="433">
        <v>6273.9273991999999</v>
      </c>
      <c r="I1100" s="433">
        <v>697.79421520000005</v>
      </c>
      <c r="J1100" s="433">
        <v>6971.7216144000004</v>
      </c>
    </row>
    <row r="1101" spans="2:10">
      <c r="B1101" t="s">
        <v>140</v>
      </c>
      <c r="C1101" s="27">
        <v>44957</v>
      </c>
      <c r="D1101" t="s">
        <v>281</v>
      </c>
      <c r="E1101" s="433">
        <v>16383873.346899999</v>
      </c>
      <c r="F1101" s="433">
        <v>25574599</v>
      </c>
      <c r="G1101" s="433">
        <v>41958472.346900001</v>
      </c>
      <c r="H1101" s="433">
        <v>24977.053902799998</v>
      </c>
      <c r="I1101" s="433">
        <v>38988.224837900001</v>
      </c>
      <c r="J1101" s="433">
        <v>63965.2787407</v>
      </c>
    </row>
    <row r="1102" spans="2:10">
      <c r="B1102" t="s">
        <v>123</v>
      </c>
      <c r="C1102" s="27">
        <v>44985</v>
      </c>
      <c r="D1102" t="s">
        <v>278</v>
      </c>
      <c r="E1102" s="433">
        <v>183938380.27020001</v>
      </c>
      <c r="F1102" s="433">
        <v>135797491</v>
      </c>
      <c r="G1102" s="433">
        <v>319735871.27020001</v>
      </c>
      <c r="H1102" s="433">
        <v>280412.25304430001</v>
      </c>
      <c r="I1102" s="433">
        <v>207021.9404626</v>
      </c>
      <c r="J1102" s="433">
        <v>487434.19350689999</v>
      </c>
    </row>
    <row r="1103" spans="2:10">
      <c r="B1103" t="s">
        <v>123</v>
      </c>
      <c r="C1103" s="27">
        <v>44985</v>
      </c>
      <c r="D1103" t="s">
        <v>279</v>
      </c>
      <c r="E1103" s="433">
        <v>165158994.5386</v>
      </c>
      <c r="F1103" s="433">
        <v>95666844.640000001</v>
      </c>
      <c r="G1103" s="433">
        <v>260825839.17860001</v>
      </c>
      <c r="H1103" s="433">
        <v>251783.26405329999</v>
      </c>
      <c r="I1103" s="433">
        <v>145843.1644757</v>
      </c>
      <c r="J1103" s="433">
        <v>397626.42852900003</v>
      </c>
    </row>
    <row r="1104" spans="2:10">
      <c r="B1104" t="s">
        <v>123</v>
      </c>
      <c r="C1104" s="27">
        <v>44985</v>
      </c>
      <c r="D1104" t="s">
        <v>280</v>
      </c>
      <c r="E1104" s="433">
        <v>6199791.8400999997</v>
      </c>
      <c r="F1104" s="433">
        <v>918895</v>
      </c>
      <c r="G1104" s="433">
        <v>7118686.8400999997</v>
      </c>
      <c r="H1104" s="433">
        <v>9451.5217310000007</v>
      </c>
      <c r="I1104" s="433">
        <v>1400.8463968999999</v>
      </c>
      <c r="J1104" s="433">
        <v>10852.368127899999</v>
      </c>
    </row>
    <row r="1105" spans="2:10">
      <c r="B1105" t="s">
        <v>123</v>
      </c>
      <c r="C1105" s="27">
        <v>44985</v>
      </c>
      <c r="D1105" t="s">
        <v>281</v>
      </c>
      <c r="E1105" s="433">
        <v>141616591.96259999</v>
      </c>
      <c r="F1105" s="433">
        <v>36294368</v>
      </c>
      <c r="G1105" s="433">
        <v>177910959.96259999</v>
      </c>
      <c r="H1105" s="433">
        <v>215893.10269209999</v>
      </c>
      <c r="I1105" s="433">
        <v>55330.407328499998</v>
      </c>
      <c r="J1105" s="433">
        <v>271223.51002059999</v>
      </c>
    </row>
    <row r="1106" spans="2:10">
      <c r="B1106" t="s">
        <v>124</v>
      </c>
      <c r="C1106" s="27">
        <v>44985</v>
      </c>
      <c r="D1106" t="s">
        <v>278</v>
      </c>
      <c r="E1106" s="433">
        <v>207388835.1582</v>
      </c>
      <c r="F1106" s="433">
        <v>-2056633</v>
      </c>
      <c r="G1106" s="433">
        <v>205332202.1582</v>
      </c>
      <c r="H1106" s="433">
        <v>316162.24105880002</v>
      </c>
      <c r="I1106" s="433">
        <v>-3135.3167966999999</v>
      </c>
      <c r="J1106" s="433">
        <v>313026.92426210002</v>
      </c>
    </row>
    <row r="1107" spans="2:10">
      <c r="B1107" t="s">
        <v>124</v>
      </c>
      <c r="C1107" s="27">
        <v>44985</v>
      </c>
      <c r="D1107" t="s">
        <v>279</v>
      </c>
      <c r="E1107" s="433">
        <v>536509487.463</v>
      </c>
      <c r="F1107" s="433">
        <v>400635457</v>
      </c>
      <c r="G1107" s="433">
        <v>937124944.46300006</v>
      </c>
      <c r="H1107" s="433">
        <v>817903.44102280005</v>
      </c>
      <c r="I1107" s="433">
        <v>610764.81690109998</v>
      </c>
      <c r="J1107" s="433">
        <v>1428637.7681205</v>
      </c>
    </row>
    <row r="1108" spans="2:10">
      <c r="B1108" t="s">
        <v>124</v>
      </c>
      <c r="C1108" s="27">
        <v>44985</v>
      </c>
      <c r="D1108" t="s">
        <v>280</v>
      </c>
      <c r="E1108" s="433">
        <v>12474401.896500001</v>
      </c>
      <c r="F1108" s="433">
        <v>5523576</v>
      </c>
      <c r="G1108" s="433">
        <v>17997977.896499999</v>
      </c>
      <c r="H1108" s="433">
        <v>19017.103097499999</v>
      </c>
      <c r="I1108" s="433">
        <v>8420.6373284000001</v>
      </c>
      <c r="J1108" s="433">
        <v>27437.740425799999</v>
      </c>
    </row>
    <row r="1109" spans="2:10">
      <c r="B1109" t="s">
        <v>124</v>
      </c>
      <c r="C1109" s="27">
        <v>44985</v>
      </c>
      <c r="D1109" t="s">
        <v>281</v>
      </c>
      <c r="E1109" s="433">
        <v>374333518.85399997</v>
      </c>
      <c r="F1109" s="433">
        <v>52735703</v>
      </c>
      <c r="G1109" s="433">
        <v>427069221.85399997</v>
      </c>
      <c r="H1109" s="433">
        <v>570667.77068309998</v>
      </c>
      <c r="I1109" s="433">
        <v>80395.060956700006</v>
      </c>
      <c r="J1109" s="433">
        <v>651062.83163989999</v>
      </c>
    </row>
    <row r="1110" spans="2:10">
      <c r="B1110" t="s">
        <v>131</v>
      </c>
      <c r="C1110" s="27">
        <v>44985</v>
      </c>
      <c r="D1110" t="s">
        <v>278</v>
      </c>
      <c r="E1110" s="433">
        <v>3737318955.5943999</v>
      </c>
      <c r="F1110" s="433">
        <v>1337309724</v>
      </c>
      <c r="G1110" s="433">
        <v>5072851604.5944004</v>
      </c>
      <c r="H1110" s="433">
        <v>5697506.0188311003</v>
      </c>
      <c r="I1110" s="433">
        <v>2038715.5316583</v>
      </c>
      <c r="J1110" s="433">
        <v>7733512.4171163999</v>
      </c>
    </row>
    <row r="1111" spans="2:10">
      <c r="B1111" t="s">
        <v>131</v>
      </c>
      <c r="C1111" s="27">
        <v>44985</v>
      </c>
      <c r="D1111" t="s">
        <v>279</v>
      </c>
      <c r="E1111" s="433">
        <v>4454034003.2567997</v>
      </c>
      <c r="F1111" s="433">
        <v>2678401225</v>
      </c>
      <c r="G1111" s="433">
        <v>7127396458.2567997</v>
      </c>
      <c r="H1111" s="433">
        <v>6790131.0653851004</v>
      </c>
      <c r="I1111" s="433">
        <v>4083196.3451872999</v>
      </c>
      <c r="J1111" s="433">
        <v>10865645.8552265</v>
      </c>
    </row>
    <row r="1112" spans="2:10">
      <c r="B1112" t="s">
        <v>131</v>
      </c>
      <c r="C1112" s="27">
        <v>44985</v>
      </c>
      <c r="D1112" t="s">
        <v>280</v>
      </c>
      <c r="E1112" s="433">
        <v>21916530.392999999</v>
      </c>
      <c r="F1112" s="433">
        <v>-423523771</v>
      </c>
      <c r="G1112" s="433">
        <v>-401607240.60699999</v>
      </c>
      <c r="H1112" s="433">
        <v>33411.535196700002</v>
      </c>
      <c r="I1112" s="433">
        <v>-645657.82665629999</v>
      </c>
      <c r="J1112" s="433">
        <v>-612246.29145969998</v>
      </c>
    </row>
    <row r="1113" spans="2:10">
      <c r="B1113" t="s">
        <v>131</v>
      </c>
      <c r="C1113" s="27">
        <v>44985</v>
      </c>
      <c r="D1113" t="s">
        <v>281</v>
      </c>
      <c r="E1113" s="433">
        <v>3245513901.4438</v>
      </c>
      <c r="F1113" s="433">
        <v>435619780</v>
      </c>
      <c r="G1113" s="433">
        <v>3680688431.4438</v>
      </c>
      <c r="H1113" s="433">
        <v>4947754.0470546</v>
      </c>
      <c r="I1113" s="433">
        <v>664098.07350179995</v>
      </c>
      <c r="J1113" s="433">
        <v>5611173.3413070999</v>
      </c>
    </row>
    <row r="1114" spans="2:10">
      <c r="B1114" t="s">
        <v>132</v>
      </c>
      <c r="C1114" s="27">
        <v>44985</v>
      </c>
      <c r="D1114" t="s">
        <v>278</v>
      </c>
      <c r="E1114" s="433">
        <v>1087484746.3322001</v>
      </c>
      <c r="F1114" s="433">
        <v>620609569</v>
      </c>
      <c r="G1114" s="433">
        <v>1708094315.3322001</v>
      </c>
      <c r="H1114" s="433">
        <v>1657859.8083901999</v>
      </c>
      <c r="I1114" s="433">
        <v>946113.18882180005</v>
      </c>
      <c r="J1114" s="433">
        <v>2603972.9972120002</v>
      </c>
    </row>
    <row r="1115" spans="2:10">
      <c r="B1115" t="s">
        <v>132</v>
      </c>
      <c r="C1115" s="27">
        <v>44985</v>
      </c>
      <c r="D1115" t="s">
        <v>279</v>
      </c>
      <c r="E1115" s="433">
        <v>1510417572.5662</v>
      </c>
      <c r="F1115" s="433">
        <v>951289678</v>
      </c>
      <c r="G1115" s="433">
        <v>2461705250.5661998</v>
      </c>
      <c r="H1115" s="433">
        <v>2302616.7455583001</v>
      </c>
      <c r="I1115" s="433">
        <v>1450231.7651919001</v>
      </c>
      <c r="J1115" s="433">
        <v>3752845.4617698998</v>
      </c>
    </row>
    <row r="1116" spans="2:10">
      <c r="B1116" t="s">
        <v>132</v>
      </c>
      <c r="C1116" s="27">
        <v>44985</v>
      </c>
      <c r="D1116" t="s">
        <v>280</v>
      </c>
      <c r="E1116" s="433">
        <v>-34013320.6061</v>
      </c>
      <c r="F1116" s="433">
        <v>2451141</v>
      </c>
      <c r="G1116" s="433">
        <v>-31562179.6061</v>
      </c>
      <c r="H1116" s="433">
        <v>-51852.972993800002</v>
      </c>
      <c r="I1116" s="433">
        <v>3736.7403656000001</v>
      </c>
      <c r="J1116" s="433">
        <v>-48116.232628199999</v>
      </c>
    </row>
    <row r="1117" spans="2:10">
      <c r="B1117" t="s">
        <v>132</v>
      </c>
      <c r="C1117" s="27">
        <v>44985</v>
      </c>
      <c r="D1117" t="s">
        <v>281</v>
      </c>
      <c r="E1117" s="433">
        <v>466769444.59170002</v>
      </c>
      <c r="F1117" s="433">
        <v>136165411</v>
      </c>
      <c r="G1117" s="433">
        <v>602934855.59169996</v>
      </c>
      <c r="H1117" s="433">
        <v>711585.43104459997</v>
      </c>
      <c r="I1117" s="433">
        <v>207582.83088679999</v>
      </c>
      <c r="J1117" s="433">
        <v>919168.26193130005</v>
      </c>
    </row>
    <row r="1118" spans="2:10">
      <c r="B1118" t="s">
        <v>135</v>
      </c>
      <c r="C1118" s="27">
        <v>44985</v>
      </c>
      <c r="D1118" t="s">
        <v>278</v>
      </c>
      <c r="E1118" s="433">
        <v>296036635.45249999</v>
      </c>
      <c r="F1118" s="433">
        <v>204361995</v>
      </c>
      <c r="G1118" s="433">
        <v>500398630.45249999</v>
      </c>
      <c r="H1118" s="433">
        <v>451304.94141000003</v>
      </c>
      <c r="I1118" s="433">
        <v>311547.8529843</v>
      </c>
      <c r="J1118" s="433">
        <v>762852.79439429997</v>
      </c>
    </row>
    <row r="1119" spans="2:10">
      <c r="B1119" t="s">
        <v>135</v>
      </c>
      <c r="C1119" s="27">
        <v>44985</v>
      </c>
      <c r="D1119" t="s">
        <v>279</v>
      </c>
      <c r="E1119" s="433">
        <v>82728708.281900004</v>
      </c>
      <c r="F1119" s="433">
        <v>69721195</v>
      </c>
      <c r="G1119" s="433">
        <v>152449903.28189999</v>
      </c>
      <c r="H1119" s="433">
        <v>126119.102749</v>
      </c>
      <c r="I1119" s="433">
        <v>106289.2765837</v>
      </c>
      <c r="J1119" s="433">
        <v>232408.37933259999</v>
      </c>
    </row>
    <row r="1120" spans="2:10">
      <c r="B1120" t="s">
        <v>135</v>
      </c>
      <c r="C1120" s="27">
        <v>44985</v>
      </c>
      <c r="D1120" t="s">
        <v>280</v>
      </c>
      <c r="E1120" s="433">
        <v>-76029.876900000003</v>
      </c>
      <c r="F1120" s="433">
        <v>5996</v>
      </c>
      <c r="G1120" s="433">
        <v>-70033.876900000003</v>
      </c>
      <c r="H1120" s="433">
        <v>-115.9068001</v>
      </c>
      <c r="I1120" s="433">
        <v>9.1408430999999997</v>
      </c>
      <c r="J1120" s="433">
        <v>-106.76595709999999</v>
      </c>
    </row>
    <row r="1121" spans="2:10">
      <c r="B1121" t="s">
        <v>135</v>
      </c>
      <c r="C1121" s="27">
        <v>44985</v>
      </c>
      <c r="D1121" t="s">
        <v>281</v>
      </c>
      <c r="E1121" s="433">
        <v>337047021.13090003</v>
      </c>
      <c r="F1121" s="433">
        <v>124827263</v>
      </c>
      <c r="G1121" s="433">
        <v>461874284.13090003</v>
      </c>
      <c r="H1121" s="433">
        <v>513824.87134200003</v>
      </c>
      <c r="I1121" s="433">
        <v>190297.9356879</v>
      </c>
      <c r="J1121" s="433">
        <v>704122.80702990002</v>
      </c>
    </row>
    <row r="1122" spans="2:10">
      <c r="B1122" t="s">
        <v>136</v>
      </c>
      <c r="C1122" s="27">
        <v>44985</v>
      </c>
      <c r="D1122" t="s">
        <v>278</v>
      </c>
      <c r="E1122" s="433">
        <v>-2249997.3683000002</v>
      </c>
      <c r="F1122" s="433">
        <v>1312652.8700000001</v>
      </c>
      <c r="G1122" s="433">
        <v>-937344.49829999998</v>
      </c>
      <c r="H1122" s="433">
        <v>-192008.7870407</v>
      </c>
      <c r="I1122" s="433">
        <v>112018.302299</v>
      </c>
      <c r="J1122" s="433">
        <v>-79990.484741699998</v>
      </c>
    </row>
    <row r="1123" spans="2:10">
      <c r="B1123" t="s">
        <v>136</v>
      </c>
      <c r="C1123" s="27">
        <v>44985</v>
      </c>
      <c r="D1123" t="s">
        <v>279</v>
      </c>
      <c r="E1123" s="433">
        <v>-213026.59109999999</v>
      </c>
      <c r="F1123" s="433">
        <v>4314711.53</v>
      </c>
      <c r="G1123" s="433">
        <v>4101804.9389</v>
      </c>
      <c r="H1123" s="433">
        <v>-18179.122314</v>
      </c>
      <c r="I1123" s="433">
        <v>368205.99836149998</v>
      </c>
      <c r="J1123" s="433">
        <v>350037.11652809998</v>
      </c>
    </row>
    <row r="1124" spans="2:10">
      <c r="B1124" t="s">
        <v>136</v>
      </c>
      <c r="C1124" s="27">
        <v>44985</v>
      </c>
      <c r="D1124" t="s">
        <v>280</v>
      </c>
      <c r="E1124" s="433">
        <v>-2597.2539000000002</v>
      </c>
      <c r="F1124" s="433">
        <v>2384.35</v>
      </c>
      <c r="G1124" s="433">
        <v>-212.90389999999999</v>
      </c>
      <c r="H1124" s="433">
        <v>-221.6427352</v>
      </c>
      <c r="I1124" s="433">
        <v>203.4740831</v>
      </c>
      <c r="J1124" s="433">
        <v>-18.1686522</v>
      </c>
    </row>
    <row r="1125" spans="2:10">
      <c r="B1125" t="s">
        <v>136</v>
      </c>
      <c r="C1125" s="27">
        <v>44985</v>
      </c>
      <c r="D1125" t="s">
        <v>281</v>
      </c>
      <c r="E1125" s="433">
        <v>268371.80599999998</v>
      </c>
      <c r="F1125" s="433">
        <v>1756868.89</v>
      </c>
      <c r="G1125" s="433">
        <v>2025240.696</v>
      </c>
      <c r="H1125" s="433">
        <v>22902.135652199999</v>
      </c>
      <c r="I1125" s="433">
        <v>149926.51516440001</v>
      </c>
      <c r="J1125" s="433">
        <v>172828.65081670001</v>
      </c>
    </row>
    <row r="1126" spans="2:10">
      <c r="B1126" t="s">
        <v>137</v>
      </c>
      <c r="C1126" s="27">
        <v>44985</v>
      </c>
      <c r="D1126" t="s">
        <v>278</v>
      </c>
      <c r="E1126" s="433">
        <v>6797141503.3163004</v>
      </c>
      <c r="F1126" s="433">
        <v>1925534735</v>
      </c>
      <c r="G1126" s="433">
        <v>8722001916.3162994</v>
      </c>
      <c r="H1126" s="433">
        <v>754129.19056010002</v>
      </c>
      <c r="I1126" s="433">
        <v>213634.20937940001</v>
      </c>
      <c r="J1126" s="433">
        <v>967688.58526870003</v>
      </c>
    </row>
    <row r="1127" spans="2:10">
      <c r="B1127" t="s">
        <v>137</v>
      </c>
      <c r="C1127" s="27">
        <v>44985</v>
      </c>
      <c r="D1127" t="s">
        <v>279</v>
      </c>
      <c r="E1127" s="433">
        <v>7806914597.6274996</v>
      </c>
      <c r="F1127" s="433">
        <v>5093921712</v>
      </c>
      <c r="G1127" s="433">
        <v>12898078619.627501</v>
      </c>
      <c r="H1127" s="433">
        <v>866161.4861789</v>
      </c>
      <c r="I1127" s="433">
        <v>565160.37742819998</v>
      </c>
      <c r="J1127" s="433">
        <v>1431015.9034432999</v>
      </c>
    </row>
    <row r="1128" spans="2:10">
      <c r="B1128" t="s">
        <v>137</v>
      </c>
      <c r="C1128" s="27">
        <v>44985</v>
      </c>
      <c r="D1128" t="s">
        <v>280</v>
      </c>
      <c r="E1128" s="433">
        <v>956.33789999999999</v>
      </c>
      <c r="F1128" s="433">
        <v>83978</v>
      </c>
      <c r="G1128" s="433">
        <v>84934.337899999999</v>
      </c>
      <c r="H1128" s="433">
        <v>0.1061038</v>
      </c>
      <c r="I1128" s="433">
        <v>9.3171903</v>
      </c>
      <c r="J1128" s="433">
        <v>9.4232940999999997</v>
      </c>
    </row>
    <row r="1129" spans="2:10">
      <c r="B1129" t="s">
        <v>137</v>
      </c>
      <c r="C1129" s="27">
        <v>44985</v>
      </c>
      <c r="D1129" t="s">
        <v>281</v>
      </c>
      <c r="E1129" s="433">
        <v>10686263369.092199</v>
      </c>
      <c r="F1129" s="433">
        <v>640420159</v>
      </c>
      <c r="G1129" s="433">
        <v>11326637505.092199</v>
      </c>
      <c r="H1129" s="433">
        <v>1185619.4461618999</v>
      </c>
      <c r="I1129" s="433">
        <v>71053.329681200004</v>
      </c>
      <c r="J1129" s="433">
        <v>1256667.6696837</v>
      </c>
    </row>
    <row r="1130" spans="2:10">
      <c r="B1130" t="s">
        <v>138</v>
      </c>
      <c r="C1130" s="27">
        <v>44985</v>
      </c>
      <c r="D1130" t="s">
        <v>278</v>
      </c>
      <c r="E1130" s="433">
        <v>4375566909.8297005</v>
      </c>
      <c r="F1130" s="433">
        <v>1360785272.9300001</v>
      </c>
      <c r="G1130" s="433">
        <v>5736352182.7596998</v>
      </c>
      <c r="H1130" s="433">
        <v>971087.94582799997</v>
      </c>
      <c r="I1130" s="433">
        <v>302004.79220969998</v>
      </c>
      <c r="J1130" s="433">
        <v>1273092.7380377001</v>
      </c>
    </row>
    <row r="1131" spans="2:10">
      <c r="B1131" t="s">
        <v>138</v>
      </c>
      <c r="C1131" s="27">
        <v>44985</v>
      </c>
      <c r="D1131" t="s">
        <v>279</v>
      </c>
      <c r="E1131" s="433">
        <v>10529323185.576</v>
      </c>
      <c r="F1131" s="433">
        <v>5587173699.1300001</v>
      </c>
      <c r="G1131" s="433">
        <v>16116496884.705999</v>
      </c>
      <c r="H1131" s="433">
        <v>2336816.9277150999</v>
      </c>
      <c r="I1131" s="433">
        <v>1239984.9304746999</v>
      </c>
      <c r="J1131" s="433">
        <v>3576801.8581897998</v>
      </c>
    </row>
    <row r="1132" spans="2:10">
      <c r="B1132" t="s">
        <v>138</v>
      </c>
      <c r="C1132" s="27">
        <v>44985</v>
      </c>
      <c r="D1132" t="s">
        <v>280</v>
      </c>
      <c r="E1132" s="433">
        <v>52147.078099999999</v>
      </c>
      <c r="F1132" s="433">
        <v>2850</v>
      </c>
      <c r="G1132" s="433">
        <v>54997.078099999999</v>
      </c>
      <c r="H1132" s="433">
        <v>11.5732201</v>
      </c>
      <c r="I1132" s="433">
        <v>0.63251250000000003</v>
      </c>
      <c r="J1132" s="433">
        <v>12.205732599999999</v>
      </c>
    </row>
    <row r="1133" spans="2:10">
      <c r="B1133" t="s">
        <v>138</v>
      </c>
      <c r="C1133" s="27">
        <v>44985</v>
      </c>
      <c r="D1133" t="s">
        <v>281</v>
      </c>
      <c r="E1133" s="433">
        <v>5375375587.4687996</v>
      </c>
      <c r="F1133" s="433">
        <v>863412369.21000004</v>
      </c>
      <c r="G1133" s="433">
        <v>6238787956.6787996</v>
      </c>
      <c r="H1133" s="433">
        <v>1192979.6858008001</v>
      </c>
      <c r="I1133" s="433">
        <v>191620.7342493</v>
      </c>
      <c r="J1133" s="433">
        <v>1384600.4200502001</v>
      </c>
    </row>
    <row r="1134" spans="2:10">
      <c r="B1134" t="s">
        <v>139</v>
      </c>
      <c r="C1134" s="27">
        <v>44985</v>
      </c>
      <c r="D1134" t="s">
        <v>278</v>
      </c>
      <c r="E1134" s="433">
        <v>5388371.4501</v>
      </c>
      <c r="F1134" s="433">
        <v>7593828.5800000001</v>
      </c>
      <c r="G1134" s="433">
        <v>12982200.030099999</v>
      </c>
      <c r="H1134" s="433">
        <v>146982.30905889999</v>
      </c>
      <c r="I1134" s="433">
        <v>207142.0780142</v>
      </c>
      <c r="J1134" s="433">
        <v>354124.38707310002</v>
      </c>
    </row>
    <row r="1135" spans="2:10">
      <c r="B1135" t="s">
        <v>139</v>
      </c>
      <c r="C1135" s="27">
        <v>44985</v>
      </c>
      <c r="D1135" t="s">
        <v>279</v>
      </c>
      <c r="E1135" s="433">
        <v>15915994.3112</v>
      </c>
      <c r="F1135" s="433">
        <v>13885108.140000001</v>
      </c>
      <c r="G1135" s="433">
        <v>29801102.451200001</v>
      </c>
      <c r="H1135" s="433">
        <v>434151.50876160001</v>
      </c>
      <c r="I1135" s="433">
        <v>378753.63175120001</v>
      </c>
      <c r="J1135" s="433">
        <v>812905.14051279996</v>
      </c>
    </row>
    <row r="1136" spans="2:10">
      <c r="B1136" t="s">
        <v>139</v>
      </c>
      <c r="C1136" s="27">
        <v>44985</v>
      </c>
      <c r="D1136" t="s">
        <v>280</v>
      </c>
      <c r="E1136" s="433">
        <v>-964208.13569999998</v>
      </c>
      <c r="F1136" s="433">
        <v>14345.39</v>
      </c>
      <c r="G1136" s="433">
        <v>-949862.74569999997</v>
      </c>
      <c r="H1136" s="433">
        <v>-26301.3675859</v>
      </c>
      <c r="I1136" s="433">
        <v>391.30905619999999</v>
      </c>
      <c r="J1136" s="433">
        <v>-25910.0585297</v>
      </c>
    </row>
    <row r="1137" spans="2:10">
      <c r="B1137" t="s">
        <v>139</v>
      </c>
      <c r="C1137" s="27">
        <v>44985</v>
      </c>
      <c r="D1137" t="s">
        <v>281</v>
      </c>
      <c r="E1137" s="433">
        <v>-238480.33530000001</v>
      </c>
      <c r="F1137" s="433">
        <v>1771688.12</v>
      </c>
      <c r="G1137" s="433">
        <v>1533207.7847</v>
      </c>
      <c r="H1137" s="433">
        <v>-6505.1919066999999</v>
      </c>
      <c r="I1137" s="433">
        <v>48327.553737000002</v>
      </c>
      <c r="J1137" s="433">
        <v>41822.361830299997</v>
      </c>
    </row>
    <row r="1138" spans="2:10">
      <c r="B1138" t="s">
        <v>141</v>
      </c>
      <c r="C1138" s="27">
        <v>44985</v>
      </c>
      <c r="D1138" t="s">
        <v>278</v>
      </c>
      <c r="E1138" s="433">
        <v>1136901313.8917999</v>
      </c>
      <c r="F1138" s="433">
        <v>232348278</v>
      </c>
      <c r="G1138" s="433">
        <v>1369249591.8917999</v>
      </c>
      <c r="H1138" s="433">
        <v>1733194.8799872999</v>
      </c>
      <c r="I1138" s="433">
        <v>354212.666379</v>
      </c>
      <c r="J1138" s="433">
        <v>2087407.5463663</v>
      </c>
    </row>
    <row r="1139" spans="2:10">
      <c r="B1139" t="s">
        <v>141</v>
      </c>
      <c r="C1139" s="27">
        <v>44985</v>
      </c>
      <c r="D1139" t="s">
        <v>279</v>
      </c>
      <c r="E1139" s="433">
        <v>1113306703.9942999</v>
      </c>
      <c r="F1139" s="433">
        <v>449293011</v>
      </c>
      <c r="G1139" s="433">
        <v>1562599714.9942999</v>
      </c>
      <c r="H1139" s="433">
        <v>1697225.1290775</v>
      </c>
      <c r="I1139" s="433">
        <v>684942.77978590003</v>
      </c>
      <c r="J1139" s="433">
        <v>2382167.9088634001</v>
      </c>
    </row>
    <row r="1140" spans="2:10">
      <c r="B1140" t="s">
        <v>141</v>
      </c>
      <c r="C1140" s="27">
        <v>44985</v>
      </c>
      <c r="D1140" t="s">
        <v>280</v>
      </c>
      <c r="E1140" s="433">
        <v>163408.78080000001</v>
      </c>
      <c r="F1140" s="433">
        <v>17011</v>
      </c>
      <c r="G1140" s="433">
        <v>180419.78080000001</v>
      </c>
      <c r="H1140" s="433">
        <v>249.11508040000001</v>
      </c>
      <c r="I1140" s="433">
        <v>25.933102300000002</v>
      </c>
      <c r="J1140" s="433">
        <v>275.04818269999998</v>
      </c>
    </row>
    <row r="1141" spans="2:10">
      <c r="B1141" t="s">
        <v>141</v>
      </c>
      <c r="C1141" s="27">
        <v>44985</v>
      </c>
      <c r="D1141" t="s">
        <v>281</v>
      </c>
      <c r="E1141" s="433">
        <v>1785246380.214</v>
      </c>
      <c r="F1141" s="433">
        <v>139151342</v>
      </c>
      <c r="G1141" s="433">
        <v>1924397722.214</v>
      </c>
      <c r="H1141" s="433">
        <v>2721590.5619027</v>
      </c>
      <c r="I1141" s="433">
        <v>212134.8533517</v>
      </c>
      <c r="J1141" s="433">
        <v>2933725.4152544001</v>
      </c>
    </row>
    <row r="1142" spans="2:10">
      <c r="B1142" t="s">
        <v>140</v>
      </c>
      <c r="C1142" s="27">
        <v>44985</v>
      </c>
      <c r="D1142" t="s">
        <v>278</v>
      </c>
      <c r="E1142" s="433">
        <v>322529330.3459</v>
      </c>
      <c r="F1142" s="433">
        <v>137908661</v>
      </c>
      <c r="G1142" s="433">
        <v>460437991.3459</v>
      </c>
      <c r="H1142" s="433">
        <v>491692.79441470001</v>
      </c>
      <c r="I1142" s="433">
        <v>210240.3983798</v>
      </c>
      <c r="J1142" s="433">
        <v>701933.19279450004</v>
      </c>
    </row>
    <row r="1143" spans="2:10">
      <c r="B1143" t="s">
        <v>140</v>
      </c>
      <c r="C1143" s="27">
        <v>44985</v>
      </c>
      <c r="D1143" t="s">
        <v>279</v>
      </c>
      <c r="E1143" s="433">
        <v>302791893.39230001</v>
      </c>
      <c r="F1143" s="433">
        <v>261430122</v>
      </c>
      <c r="G1143" s="433">
        <v>564222015.39230001</v>
      </c>
      <c r="H1143" s="433">
        <v>461603.26575110003</v>
      </c>
      <c r="I1143" s="433">
        <v>398547.65175159997</v>
      </c>
      <c r="J1143" s="433">
        <v>860150.9175027</v>
      </c>
    </row>
    <row r="1144" spans="2:10">
      <c r="B1144" t="s">
        <v>140</v>
      </c>
      <c r="C1144" s="27">
        <v>44985</v>
      </c>
      <c r="D1144" t="s">
        <v>280</v>
      </c>
      <c r="E1144" s="433">
        <v>1695107.69</v>
      </c>
      <c r="F1144" s="433">
        <v>861293</v>
      </c>
      <c r="G1144" s="433">
        <v>2556400.69</v>
      </c>
      <c r="H1144" s="433">
        <v>2584.1750145000001</v>
      </c>
      <c r="I1144" s="433">
        <v>1313.0327139999999</v>
      </c>
      <c r="J1144" s="433">
        <v>3897.2077285999999</v>
      </c>
    </row>
    <row r="1145" spans="2:10">
      <c r="B1145" t="s">
        <v>140</v>
      </c>
      <c r="C1145" s="27">
        <v>44985</v>
      </c>
      <c r="D1145" t="s">
        <v>281</v>
      </c>
      <c r="E1145" s="433">
        <v>120795687.67749999</v>
      </c>
      <c r="F1145" s="433">
        <v>49612347</v>
      </c>
      <c r="G1145" s="433">
        <v>170408034.67750001</v>
      </c>
      <c r="H1145" s="433">
        <v>184151.83872950001</v>
      </c>
      <c r="I1145" s="433">
        <v>75633.535429900003</v>
      </c>
      <c r="J1145" s="433">
        <v>259785.3741594</v>
      </c>
    </row>
    <row r="1146" spans="2:10">
      <c r="B1146" t="s">
        <v>123</v>
      </c>
      <c r="C1146" s="27">
        <v>45016</v>
      </c>
      <c r="D1146" t="s">
        <v>278</v>
      </c>
      <c r="E1146" s="433">
        <v>256607364.9043</v>
      </c>
      <c r="F1146" s="433">
        <v>90159985</v>
      </c>
      <c r="G1146" s="433">
        <v>346767349.90429997</v>
      </c>
      <c r="H1146" s="433">
        <v>391195.40595540003</v>
      </c>
      <c r="I1146" s="433">
        <v>137448.01107390001</v>
      </c>
      <c r="J1146" s="433">
        <v>528643.41702930001</v>
      </c>
    </row>
    <row r="1147" spans="2:10">
      <c r="B1147" t="s">
        <v>123</v>
      </c>
      <c r="C1147" s="27">
        <v>45016</v>
      </c>
      <c r="D1147" t="s">
        <v>279</v>
      </c>
      <c r="E1147" s="433">
        <v>253465480.7949</v>
      </c>
      <c r="F1147" s="433">
        <v>146618728.46000001</v>
      </c>
      <c r="G1147" s="433">
        <v>400084209.25489998</v>
      </c>
      <c r="H1147" s="433">
        <v>386405.63450789999</v>
      </c>
      <c r="I1147" s="433">
        <v>223518.8106233</v>
      </c>
      <c r="J1147" s="433">
        <v>609924.44513120002</v>
      </c>
    </row>
    <row r="1148" spans="2:10">
      <c r="B1148" t="s">
        <v>123</v>
      </c>
      <c r="C1148" s="27">
        <v>45016</v>
      </c>
      <c r="D1148" t="s">
        <v>280</v>
      </c>
      <c r="E1148" s="433">
        <v>10594586.2192</v>
      </c>
      <c r="F1148" s="433">
        <v>5379080</v>
      </c>
      <c r="G1148" s="433">
        <v>15973666.2192</v>
      </c>
      <c r="H1148" s="433">
        <v>16151.342571499999</v>
      </c>
      <c r="I1148" s="433">
        <v>8200.3545964000004</v>
      </c>
      <c r="J1148" s="433">
        <v>24351.697167999999</v>
      </c>
    </row>
    <row r="1149" spans="2:10">
      <c r="B1149" t="s">
        <v>123</v>
      </c>
      <c r="C1149" s="27">
        <v>45016</v>
      </c>
      <c r="D1149" t="s">
        <v>281</v>
      </c>
      <c r="E1149" s="433">
        <v>214284859.065</v>
      </c>
      <c r="F1149" s="433">
        <v>49021855</v>
      </c>
      <c r="G1149" s="433">
        <v>263306714.065</v>
      </c>
      <c r="H1149" s="433">
        <v>326675.16173320002</v>
      </c>
      <c r="I1149" s="433">
        <v>74733.336179000005</v>
      </c>
      <c r="J1149" s="433">
        <v>401408.49791219999</v>
      </c>
    </row>
    <row r="1150" spans="2:10">
      <c r="B1150" t="s">
        <v>124</v>
      </c>
      <c r="C1150" s="27">
        <v>45016</v>
      </c>
      <c r="D1150" t="s">
        <v>278</v>
      </c>
      <c r="E1150" s="433">
        <v>319325168.20929998</v>
      </c>
      <c r="F1150" s="433">
        <v>19697529</v>
      </c>
      <c r="G1150" s="433">
        <v>339017697.20929998</v>
      </c>
      <c r="H1150" s="433">
        <v>486808.08072680002</v>
      </c>
      <c r="I1150" s="433">
        <v>30028.689380600001</v>
      </c>
      <c r="J1150" s="433">
        <v>516829.14765649999</v>
      </c>
    </row>
    <row r="1151" spans="2:10">
      <c r="B1151" t="s">
        <v>124</v>
      </c>
      <c r="C1151" s="27">
        <v>45016</v>
      </c>
      <c r="D1151" t="s">
        <v>279</v>
      </c>
      <c r="E1151" s="433">
        <v>824347309.60309994</v>
      </c>
      <c r="F1151" s="433">
        <v>622322748</v>
      </c>
      <c r="G1151" s="433">
        <v>1446650057.6031001</v>
      </c>
      <c r="H1151" s="433">
        <v>1256709.3721129999</v>
      </c>
      <c r="I1151" s="433">
        <v>948724.91337079997</v>
      </c>
      <c r="J1151" s="433">
        <v>2205403.7956804</v>
      </c>
    </row>
    <row r="1152" spans="2:10">
      <c r="B1152" t="s">
        <v>124</v>
      </c>
      <c r="C1152" s="27">
        <v>45016</v>
      </c>
      <c r="D1152" t="s">
        <v>280</v>
      </c>
      <c r="E1152" s="433">
        <v>18313142.242699999</v>
      </c>
      <c r="F1152" s="433">
        <v>8425384</v>
      </c>
      <c r="G1152" s="433">
        <v>26738526.242699999</v>
      </c>
      <c r="H1152" s="433">
        <v>27918.2053743</v>
      </c>
      <c r="I1152" s="433">
        <v>12844.415106500001</v>
      </c>
      <c r="J1152" s="433">
        <v>40762.620480799997</v>
      </c>
    </row>
    <row r="1153" spans="2:10">
      <c r="B1153" t="s">
        <v>124</v>
      </c>
      <c r="C1153" s="27">
        <v>45016</v>
      </c>
      <c r="D1153" t="s">
        <v>281</v>
      </c>
      <c r="E1153" s="433">
        <v>555267879.84319997</v>
      </c>
      <c r="F1153" s="433">
        <v>74565763</v>
      </c>
      <c r="G1153" s="433">
        <v>629833642.84319997</v>
      </c>
      <c r="H1153" s="433">
        <v>846500.42585600005</v>
      </c>
      <c r="I1153" s="433">
        <v>113674.7728891</v>
      </c>
      <c r="J1153" s="433">
        <v>960175.19874499994</v>
      </c>
    </row>
    <row r="1154" spans="2:10">
      <c r="B1154" t="s">
        <v>131</v>
      </c>
      <c r="C1154" s="27">
        <v>45016</v>
      </c>
      <c r="D1154" t="s">
        <v>278</v>
      </c>
      <c r="E1154" s="433">
        <v>5712920233.8965998</v>
      </c>
      <c r="F1154" s="433">
        <v>2004659876</v>
      </c>
      <c r="G1154" s="433">
        <v>7714765054.8965998</v>
      </c>
      <c r="H1154" s="433">
        <v>8709290.7521324996</v>
      </c>
      <c r="I1154" s="433">
        <v>3056084.2799147</v>
      </c>
      <c r="J1154" s="433">
        <v>11761083.508365</v>
      </c>
    </row>
    <row r="1155" spans="2:10">
      <c r="B1155" t="s">
        <v>131</v>
      </c>
      <c r="C1155" s="27">
        <v>45016</v>
      </c>
      <c r="D1155" t="s">
        <v>279</v>
      </c>
      <c r="E1155" s="433">
        <v>6819015295.0911999</v>
      </c>
      <c r="F1155" s="433">
        <v>4038909647</v>
      </c>
      <c r="G1155" s="433">
        <v>10849762266.0912</v>
      </c>
      <c r="H1155" s="433">
        <v>10395521.8026352</v>
      </c>
      <c r="I1155" s="433">
        <v>6157278.0639584996</v>
      </c>
      <c r="J1155" s="433">
        <v>16540355.9472514</v>
      </c>
    </row>
    <row r="1156" spans="2:10">
      <c r="B1156" t="s">
        <v>131</v>
      </c>
      <c r="C1156" s="27">
        <v>45016</v>
      </c>
      <c r="D1156" t="s">
        <v>280</v>
      </c>
      <c r="E1156" s="433">
        <v>29054858.260200001</v>
      </c>
      <c r="F1156" s="433">
        <v>-1368612389</v>
      </c>
      <c r="G1156" s="433">
        <v>-1339557780.7398</v>
      </c>
      <c r="H1156" s="433">
        <v>44293.845877400003</v>
      </c>
      <c r="I1156" s="433">
        <v>-2086436.1368199</v>
      </c>
      <c r="J1156" s="433">
        <v>-2042142.6720650999</v>
      </c>
    </row>
    <row r="1157" spans="2:10">
      <c r="B1157" t="s">
        <v>131</v>
      </c>
      <c r="C1157" s="27">
        <v>45016</v>
      </c>
      <c r="D1157" t="s">
        <v>281</v>
      </c>
      <c r="E1157" s="433">
        <v>4952787185.5010004</v>
      </c>
      <c r="F1157" s="433">
        <v>673680079</v>
      </c>
      <c r="G1157" s="433">
        <v>5625447232.5010004</v>
      </c>
      <c r="H1157" s="433">
        <v>7550475.3901567003</v>
      </c>
      <c r="I1157" s="433">
        <v>1027018.6597596999</v>
      </c>
      <c r="J1157" s="433">
        <v>8575939.0211568996</v>
      </c>
    </row>
    <row r="1158" spans="2:10">
      <c r="B1158" t="s">
        <v>132</v>
      </c>
      <c r="C1158" s="27">
        <v>45016</v>
      </c>
      <c r="D1158" t="s">
        <v>278</v>
      </c>
      <c r="E1158" s="433">
        <v>1660098083.5342</v>
      </c>
      <c r="F1158" s="433">
        <v>971925614</v>
      </c>
      <c r="G1158" s="433">
        <v>2632023697.5342002</v>
      </c>
      <c r="H1158" s="433">
        <v>2530803.213525</v>
      </c>
      <c r="I1158" s="433">
        <v>1481691.0468216999</v>
      </c>
      <c r="J1158" s="433">
        <v>4012494.2603465999</v>
      </c>
    </row>
    <row r="1159" spans="2:10">
      <c r="B1159" t="s">
        <v>132</v>
      </c>
      <c r="C1159" s="27">
        <v>45016</v>
      </c>
      <c r="D1159" t="s">
        <v>279</v>
      </c>
      <c r="E1159" s="433">
        <v>2304398967.3709002</v>
      </c>
      <c r="F1159" s="433">
        <v>1513003268</v>
      </c>
      <c r="G1159" s="433">
        <v>3817396235.3709002</v>
      </c>
      <c r="H1159" s="433">
        <v>3513033.5789859998</v>
      </c>
      <c r="I1159" s="433">
        <v>2306558.6128358999</v>
      </c>
      <c r="J1159" s="433">
        <v>5819583.0448807999</v>
      </c>
    </row>
    <row r="1160" spans="2:10">
      <c r="B1160" t="s">
        <v>132</v>
      </c>
      <c r="C1160" s="27">
        <v>45016</v>
      </c>
      <c r="D1160" t="s">
        <v>280</v>
      </c>
      <c r="E1160" s="433">
        <v>-56090789.270000003</v>
      </c>
      <c r="F1160" s="433">
        <v>6297625</v>
      </c>
      <c r="G1160" s="433">
        <v>-49793164.270000003</v>
      </c>
      <c r="H1160" s="433">
        <v>-85509.857002799996</v>
      </c>
      <c r="I1160" s="433">
        <v>9600.6674218000007</v>
      </c>
      <c r="J1160" s="433">
        <v>-75909.189580999999</v>
      </c>
    </row>
    <row r="1161" spans="2:10">
      <c r="B1161" t="s">
        <v>132</v>
      </c>
      <c r="C1161" s="27">
        <v>45016</v>
      </c>
      <c r="D1161" t="s">
        <v>281</v>
      </c>
      <c r="E1161" s="433">
        <v>709306996.64160001</v>
      </c>
      <c r="F1161" s="433">
        <v>210297150</v>
      </c>
      <c r="G1161" s="433">
        <v>919604146.64160001</v>
      </c>
      <c r="H1161" s="433">
        <v>1081331.5455763</v>
      </c>
      <c r="I1161" s="433">
        <v>320595.93845329998</v>
      </c>
      <c r="J1161" s="433">
        <v>1401927.4840295999</v>
      </c>
    </row>
    <row r="1162" spans="2:10">
      <c r="B1162" t="s">
        <v>135</v>
      </c>
      <c r="C1162" s="27">
        <v>45016</v>
      </c>
      <c r="D1162" t="s">
        <v>278</v>
      </c>
      <c r="E1162" s="433">
        <v>463022449.94190001</v>
      </c>
      <c r="F1162" s="433">
        <v>309720186</v>
      </c>
      <c r="G1162" s="433">
        <v>772742635.94190001</v>
      </c>
      <c r="H1162" s="433">
        <v>705873.17452500004</v>
      </c>
      <c r="I1162" s="433">
        <v>472165.37974290003</v>
      </c>
      <c r="J1162" s="433">
        <v>1178038.5542679001</v>
      </c>
    </row>
    <row r="1163" spans="2:10">
      <c r="B1163" t="s">
        <v>135</v>
      </c>
      <c r="C1163" s="27">
        <v>45016</v>
      </c>
      <c r="D1163" t="s">
        <v>279</v>
      </c>
      <c r="E1163" s="433">
        <v>165743979.72029999</v>
      </c>
      <c r="F1163" s="433">
        <v>110933566</v>
      </c>
      <c r="G1163" s="433">
        <v>276677545.72030002</v>
      </c>
      <c r="H1163" s="433">
        <v>252675.0682138</v>
      </c>
      <c r="I1163" s="433">
        <v>169117.1311534</v>
      </c>
      <c r="J1163" s="433">
        <v>421792.19936720002</v>
      </c>
    </row>
    <row r="1164" spans="2:10">
      <c r="B1164" t="s">
        <v>135</v>
      </c>
      <c r="C1164" s="27">
        <v>45016</v>
      </c>
      <c r="D1164" t="s">
        <v>280</v>
      </c>
      <c r="E1164" s="433">
        <v>518.39380000000006</v>
      </c>
      <c r="F1164" s="433">
        <v>0</v>
      </c>
      <c r="G1164" s="433">
        <v>518.39380000000006</v>
      </c>
      <c r="H1164" s="433">
        <v>0.7902863</v>
      </c>
      <c r="I1164" s="433">
        <v>0</v>
      </c>
      <c r="J1164" s="433">
        <v>0.7902863</v>
      </c>
    </row>
    <row r="1165" spans="2:10">
      <c r="B1165" t="s">
        <v>135</v>
      </c>
      <c r="C1165" s="27">
        <v>45016</v>
      </c>
      <c r="D1165" t="s">
        <v>281</v>
      </c>
      <c r="E1165" s="433">
        <v>515015919.1498</v>
      </c>
      <c r="F1165" s="433">
        <v>188699251</v>
      </c>
      <c r="G1165" s="433">
        <v>703715170.14979994</v>
      </c>
      <c r="H1165" s="433">
        <v>785136.7073601</v>
      </c>
      <c r="I1165" s="433">
        <v>287670.15368390002</v>
      </c>
      <c r="J1165" s="433">
        <v>1072806.8610439</v>
      </c>
    </row>
    <row r="1166" spans="2:10">
      <c r="B1166" t="s">
        <v>136</v>
      </c>
      <c r="C1166" s="27">
        <v>45016</v>
      </c>
      <c r="D1166" t="s">
        <v>278</v>
      </c>
      <c r="E1166" s="433">
        <v>-3424543.0395999998</v>
      </c>
      <c r="F1166" s="433">
        <v>1942787.59</v>
      </c>
      <c r="G1166" s="433">
        <v>-1481755.4495999999</v>
      </c>
      <c r="H1166" s="433">
        <v>-286196.63200649997</v>
      </c>
      <c r="I1166" s="433">
        <v>162363.05356140001</v>
      </c>
      <c r="J1166" s="433">
        <v>-123833.57844510001</v>
      </c>
    </row>
    <row r="1167" spans="2:10">
      <c r="B1167" t="s">
        <v>136</v>
      </c>
      <c r="C1167" s="27">
        <v>45016</v>
      </c>
      <c r="D1167" t="s">
        <v>279</v>
      </c>
      <c r="E1167" s="433">
        <v>-217391.9362</v>
      </c>
      <c r="F1167" s="433">
        <v>6273945.3600000003</v>
      </c>
      <c r="G1167" s="433">
        <v>6056673.4238</v>
      </c>
      <c r="H1167" s="433">
        <v>-18167.924668</v>
      </c>
      <c r="I1167" s="433">
        <v>524327.48272139998</v>
      </c>
      <c r="J1167" s="433">
        <v>506169.58671870001</v>
      </c>
    </row>
    <row r="1168" spans="2:10">
      <c r="B1168" t="s">
        <v>136</v>
      </c>
      <c r="C1168" s="27">
        <v>45016</v>
      </c>
      <c r="D1168" t="s">
        <v>280</v>
      </c>
      <c r="E1168" s="433">
        <v>-3709.5284999999999</v>
      </c>
      <c r="F1168" s="433">
        <v>3376.74</v>
      </c>
      <c r="G1168" s="433">
        <v>-332.7885</v>
      </c>
      <c r="H1168" s="433">
        <v>-310.01349690000001</v>
      </c>
      <c r="I1168" s="433">
        <v>282.20162629999999</v>
      </c>
      <c r="J1168" s="433">
        <v>-27.811870599999999</v>
      </c>
    </row>
    <row r="1169" spans="2:10">
      <c r="B1169" t="s">
        <v>136</v>
      </c>
      <c r="C1169" s="27">
        <v>45016</v>
      </c>
      <c r="D1169" t="s">
        <v>281</v>
      </c>
      <c r="E1169" s="433">
        <v>326844.55229999998</v>
      </c>
      <c r="F1169" s="433">
        <v>3397044.92</v>
      </c>
      <c r="G1169" s="433">
        <v>3723889.4723</v>
      </c>
      <c r="H1169" s="433">
        <v>27315.121748000001</v>
      </c>
      <c r="I1169" s="433">
        <v>283898.553365</v>
      </c>
      <c r="J1169" s="433">
        <v>311213.67511299998</v>
      </c>
    </row>
    <row r="1170" spans="2:10">
      <c r="B1170" t="s">
        <v>137</v>
      </c>
      <c r="C1170" s="27">
        <v>45016</v>
      </c>
      <c r="D1170" t="s">
        <v>278</v>
      </c>
      <c r="E1170" s="433">
        <v>10404814675.7731</v>
      </c>
      <c r="F1170" s="433">
        <v>3180115472</v>
      </c>
      <c r="G1170" s="433">
        <v>13584081733.7731</v>
      </c>
      <c r="H1170" s="433">
        <v>1123988.4599679001</v>
      </c>
      <c r="I1170" s="433">
        <v>343534.5273584</v>
      </c>
      <c r="J1170" s="433">
        <v>1467431.3367226</v>
      </c>
    </row>
    <row r="1171" spans="2:10">
      <c r="B1171" t="s">
        <v>137</v>
      </c>
      <c r="C1171" s="27">
        <v>45016</v>
      </c>
      <c r="D1171" t="s">
        <v>279</v>
      </c>
      <c r="E1171" s="433">
        <v>11808581356.328699</v>
      </c>
      <c r="F1171" s="433">
        <v>7624174963</v>
      </c>
      <c r="G1171" s="433">
        <v>19429008514.328701</v>
      </c>
      <c r="H1171" s="433">
        <v>1275631.4827990001</v>
      </c>
      <c r="I1171" s="433">
        <v>823607.62226179999</v>
      </c>
      <c r="J1171" s="433">
        <v>2098834.2454162999</v>
      </c>
    </row>
    <row r="1172" spans="2:10">
      <c r="B1172" t="s">
        <v>137</v>
      </c>
      <c r="C1172" s="27">
        <v>45016</v>
      </c>
      <c r="D1172" t="s">
        <v>280</v>
      </c>
      <c r="E1172" s="433">
        <v>3598.4508999999998</v>
      </c>
      <c r="F1172" s="433">
        <v>148340</v>
      </c>
      <c r="G1172" s="433">
        <v>151938.4509</v>
      </c>
      <c r="H1172" s="433">
        <v>0.3887255</v>
      </c>
      <c r="I1172" s="433">
        <v>16.024547599999998</v>
      </c>
      <c r="J1172" s="433">
        <v>16.413273199999999</v>
      </c>
    </row>
    <row r="1173" spans="2:10">
      <c r="B1173" t="s">
        <v>137</v>
      </c>
      <c r="C1173" s="27">
        <v>45016</v>
      </c>
      <c r="D1173" t="s">
        <v>281</v>
      </c>
      <c r="E1173" s="433">
        <v>16130510656.828501</v>
      </c>
      <c r="F1173" s="433">
        <v>969328968</v>
      </c>
      <c r="G1173" s="433">
        <v>17099773601.828501</v>
      </c>
      <c r="H1173" s="433">
        <v>1742511.3658083</v>
      </c>
      <c r="I1173" s="433">
        <v>104712.54009759999</v>
      </c>
      <c r="J1173" s="433">
        <v>1847216.7737183</v>
      </c>
    </row>
    <row r="1174" spans="2:10">
      <c r="B1174" t="s">
        <v>138</v>
      </c>
      <c r="C1174" s="27">
        <v>45016</v>
      </c>
      <c r="D1174" t="s">
        <v>278</v>
      </c>
      <c r="E1174" s="433">
        <v>7535888996.5593004</v>
      </c>
      <c r="F1174" s="433">
        <v>2301160273.9899998</v>
      </c>
      <c r="G1174" s="433">
        <v>9837049270.5492992</v>
      </c>
      <c r="H1174" s="433">
        <v>1604251.0290816</v>
      </c>
      <c r="I1174" s="433">
        <v>489874.35182709998</v>
      </c>
      <c r="J1174" s="433">
        <v>2094125.3809086001</v>
      </c>
    </row>
    <row r="1175" spans="2:10">
      <c r="B1175" t="s">
        <v>138</v>
      </c>
      <c r="C1175" s="27">
        <v>45016</v>
      </c>
      <c r="D1175" t="s">
        <v>279</v>
      </c>
      <c r="E1175" s="433">
        <v>16176204438.805799</v>
      </c>
      <c r="F1175" s="433">
        <v>8752625266.0300007</v>
      </c>
      <c r="G1175" s="433">
        <v>24928829704.8358</v>
      </c>
      <c r="H1175" s="433">
        <v>3443613.969027</v>
      </c>
      <c r="I1175" s="433">
        <v>1863271.6188634001</v>
      </c>
      <c r="J1175" s="433">
        <v>5306885.5878903996</v>
      </c>
    </row>
    <row r="1176" spans="2:10">
      <c r="B1176" t="s">
        <v>138</v>
      </c>
      <c r="C1176" s="27">
        <v>45016</v>
      </c>
      <c r="D1176" t="s">
        <v>280</v>
      </c>
      <c r="E1176" s="433">
        <v>79517.608200000002</v>
      </c>
      <c r="F1176" s="433">
        <v>4275</v>
      </c>
      <c r="G1176" s="433">
        <v>83792.608200000002</v>
      </c>
      <c r="H1176" s="433">
        <v>16.927824300000001</v>
      </c>
      <c r="I1176" s="433">
        <v>0.91006819999999999</v>
      </c>
      <c r="J1176" s="433">
        <v>17.837892499999999</v>
      </c>
    </row>
    <row r="1177" spans="2:10">
      <c r="B1177" t="s">
        <v>138</v>
      </c>
      <c r="C1177" s="27">
        <v>45016</v>
      </c>
      <c r="D1177" t="s">
        <v>281</v>
      </c>
      <c r="E1177" s="433">
        <v>7336438579.8922997</v>
      </c>
      <c r="F1177" s="433">
        <v>1085244642.76</v>
      </c>
      <c r="G1177" s="433">
        <v>8421683222.6522999</v>
      </c>
      <c r="H1177" s="433">
        <v>1561791.7337901001</v>
      </c>
      <c r="I1177" s="433">
        <v>231028.46070950001</v>
      </c>
      <c r="J1177" s="433">
        <v>1792820.1944996</v>
      </c>
    </row>
    <row r="1178" spans="2:10">
      <c r="B1178" t="s">
        <v>139</v>
      </c>
      <c r="C1178" s="27">
        <v>45016</v>
      </c>
      <c r="D1178" t="s">
        <v>278</v>
      </c>
      <c r="E1178" s="433">
        <v>8167457.7594999997</v>
      </c>
      <c r="F1178" s="433">
        <v>12294798.33</v>
      </c>
      <c r="G1178" s="433">
        <v>20462256.089499999</v>
      </c>
      <c r="H1178" s="433">
        <v>219732.5197606</v>
      </c>
      <c r="I1178" s="433">
        <v>330772.0831316</v>
      </c>
      <c r="J1178" s="433">
        <v>550504.6028921</v>
      </c>
    </row>
    <row r="1179" spans="2:10">
      <c r="B1179" t="s">
        <v>139</v>
      </c>
      <c r="C1179" s="27">
        <v>45016</v>
      </c>
      <c r="D1179" t="s">
        <v>279</v>
      </c>
      <c r="E1179" s="433">
        <v>24295417.887499999</v>
      </c>
      <c r="F1179" s="433">
        <v>21845655.579999998</v>
      </c>
      <c r="G1179" s="433">
        <v>46141073.467500001</v>
      </c>
      <c r="H1179" s="433">
        <v>653629.75215229997</v>
      </c>
      <c r="I1179" s="433">
        <v>587722.77589449997</v>
      </c>
      <c r="J1179" s="433">
        <v>1241352.5280468001</v>
      </c>
    </row>
    <row r="1180" spans="2:10">
      <c r="B1180" t="s">
        <v>139</v>
      </c>
      <c r="C1180" s="27">
        <v>45016</v>
      </c>
      <c r="D1180" t="s">
        <v>280</v>
      </c>
      <c r="E1180" s="433">
        <v>-1481301.6307999999</v>
      </c>
      <c r="F1180" s="433">
        <v>19783.03</v>
      </c>
      <c r="G1180" s="433">
        <v>-1461518.6007999999</v>
      </c>
      <c r="H1180" s="433">
        <v>-39852.075082099997</v>
      </c>
      <c r="I1180" s="433">
        <v>532.23110029999998</v>
      </c>
      <c r="J1180" s="433">
        <v>-39319.843981700003</v>
      </c>
    </row>
    <row r="1181" spans="2:10">
      <c r="B1181" t="s">
        <v>139</v>
      </c>
      <c r="C1181" s="27">
        <v>45016</v>
      </c>
      <c r="D1181" t="s">
        <v>281</v>
      </c>
      <c r="E1181" s="433">
        <v>-684359.19990000001</v>
      </c>
      <c r="F1181" s="433">
        <v>2587021.9</v>
      </c>
      <c r="G1181" s="433">
        <v>1902662.7001</v>
      </c>
      <c r="H1181" s="433">
        <v>-18411.600750599999</v>
      </c>
      <c r="I1181" s="433">
        <v>69599.728275500005</v>
      </c>
      <c r="J1181" s="433">
        <v>51188.127524900003</v>
      </c>
    </row>
    <row r="1182" spans="2:10">
      <c r="B1182" t="s">
        <v>141</v>
      </c>
      <c r="C1182" s="27">
        <v>45016</v>
      </c>
      <c r="D1182" t="s">
        <v>278</v>
      </c>
      <c r="E1182" s="433">
        <v>1741483084.0342</v>
      </c>
      <c r="F1182" s="433">
        <v>354106408</v>
      </c>
      <c r="G1182" s="433">
        <v>2095586500.0342</v>
      </c>
      <c r="H1182" s="433">
        <v>2654873.8469659002</v>
      </c>
      <c r="I1182" s="433">
        <v>539831.73897069995</v>
      </c>
      <c r="J1182" s="433">
        <v>3194701.0246620001</v>
      </c>
    </row>
    <row r="1183" spans="2:10">
      <c r="B1183" t="s">
        <v>141</v>
      </c>
      <c r="C1183" s="27">
        <v>45016</v>
      </c>
      <c r="D1183" t="s">
        <v>279</v>
      </c>
      <c r="E1183" s="433">
        <v>1701961446.5613999</v>
      </c>
      <c r="F1183" s="433">
        <v>685360756</v>
      </c>
      <c r="G1183" s="433">
        <v>2387319210.5613999</v>
      </c>
      <c r="H1183" s="433">
        <v>2594623.4990424998</v>
      </c>
      <c r="I1183" s="433">
        <v>1044825.7370529</v>
      </c>
      <c r="J1183" s="433">
        <v>3639444.6748207998</v>
      </c>
    </row>
    <row r="1184" spans="2:10">
      <c r="B1184" t="s">
        <v>141</v>
      </c>
      <c r="C1184" s="27">
        <v>45016</v>
      </c>
      <c r="D1184" t="s">
        <v>280</v>
      </c>
      <c r="E1184" s="433">
        <v>247197.00829999999</v>
      </c>
      <c r="F1184" s="433">
        <v>21742</v>
      </c>
      <c r="G1184" s="433">
        <v>268939.00829999999</v>
      </c>
      <c r="H1184" s="433">
        <v>376.84940979999999</v>
      </c>
      <c r="I1184" s="433">
        <v>33.145465299999998</v>
      </c>
      <c r="J1184" s="433">
        <v>409.9948751</v>
      </c>
    </row>
    <row r="1185" spans="2:10">
      <c r="B1185" t="s">
        <v>141</v>
      </c>
      <c r="C1185" s="27">
        <v>45016</v>
      </c>
      <c r="D1185" t="s">
        <v>281</v>
      </c>
      <c r="E1185" s="433">
        <v>2690813787.2273002</v>
      </c>
      <c r="F1185" s="433">
        <v>211611020</v>
      </c>
      <c r="G1185" s="433">
        <v>2902424807.2273002</v>
      </c>
      <c r="H1185" s="433">
        <v>4102119.1743168002</v>
      </c>
      <c r="I1185" s="433">
        <v>322598.92035610002</v>
      </c>
      <c r="J1185" s="433">
        <v>4424718.0946728</v>
      </c>
    </row>
    <row r="1186" spans="2:10">
      <c r="B1186" t="s">
        <v>140</v>
      </c>
      <c r="C1186" s="27">
        <v>45016</v>
      </c>
      <c r="D1186" t="s">
        <v>278</v>
      </c>
      <c r="E1186" s="433">
        <v>484293103.5474</v>
      </c>
      <c r="F1186" s="433">
        <v>215696231</v>
      </c>
      <c r="G1186" s="433">
        <v>699989334.5474</v>
      </c>
      <c r="H1186" s="433">
        <v>738300.07690660004</v>
      </c>
      <c r="I1186" s="433">
        <v>328826.78437760001</v>
      </c>
      <c r="J1186" s="433">
        <v>1067126.8612842001</v>
      </c>
    </row>
    <row r="1187" spans="2:10">
      <c r="B1187" t="s">
        <v>140</v>
      </c>
      <c r="C1187" s="27">
        <v>45016</v>
      </c>
      <c r="D1187" t="s">
        <v>279</v>
      </c>
      <c r="E1187" s="433">
        <v>452156232.26969999</v>
      </c>
      <c r="F1187" s="433">
        <v>376877836</v>
      </c>
      <c r="G1187" s="433">
        <v>829034068.26970005</v>
      </c>
      <c r="H1187" s="433">
        <v>689307.73247289995</v>
      </c>
      <c r="I1187" s="433">
        <v>574546.55716760003</v>
      </c>
      <c r="J1187" s="433">
        <v>1263854.2896405</v>
      </c>
    </row>
    <row r="1188" spans="2:10">
      <c r="B1188" t="s">
        <v>140</v>
      </c>
      <c r="C1188" s="27">
        <v>45016</v>
      </c>
      <c r="D1188" t="s">
        <v>280</v>
      </c>
      <c r="E1188" s="433">
        <v>-1026087.5264</v>
      </c>
      <c r="F1188" s="433">
        <v>918867</v>
      </c>
      <c r="G1188" s="433">
        <v>-107220.5264</v>
      </c>
      <c r="H1188" s="433">
        <v>-1564.26035</v>
      </c>
      <c r="I1188" s="433">
        <v>1400.8037112</v>
      </c>
      <c r="J1188" s="433">
        <v>-163.45663880000001</v>
      </c>
    </row>
    <row r="1189" spans="2:10">
      <c r="B1189" t="s">
        <v>140</v>
      </c>
      <c r="C1189" s="27">
        <v>45016</v>
      </c>
      <c r="D1189" t="s">
        <v>281</v>
      </c>
      <c r="E1189" s="433">
        <v>231440797.8545</v>
      </c>
      <c r="F1189" s="433">
        <v>74543313</v>
      </c>
      <c r="G1189" s="433">
        <v>305984110.8545</v>
      </c>
      <c r="H1189" s="433">
        <v>352829.2218156</v>
      </c>
      <c r="I1189" s="433">
        <v>113640.5480847</v>
      </c>
      <c r="J1189" s="433">
        <v>466469.76990030002</v>
      </c>
    </row>
    <row r="1190" spans="2:10">
      <c r="B1190" t="s">
        <v>123</v>
      </c>
      <c r="C1190" s="27">
        <v>45046</v>
      </c>
      <c r="D1190" t="s">
        <v>278</v>
      </c>
      <c r="E1190" s="433">
        <v>340458617.1494</v>
      </c>
      <c r="F1190" s="433">
        <v>119873777</v>
      </c>
      <c r="G1190" s="433">
        <v>460332394.1494</v>
      </c>
      <c r="H1190" s="433">
        <v>519025.81594429997</v>
      </c>
      <c r="I1190" s="433">
        <v>182746.39496189999</v>
      </c>
      <c r="J1190" s="433">
        <v>701772.21090619999</v>
      </c>
    </row>
    <row r="1191" spans="2:10">
      <c r="B1191" t="s">
        <v>123</v>
      </c>
      <c r="C1191" s="27">
        <v>45046</v>
      </c>
      <c r="D1191" t="s">
        <v>279</v>
      </c>
      <c r="E1191" s="433">
        <v>338304070.0794</v>
      </c>
      <c r="F1191" s="433">
        <v>196238034.28</v>
      </c>
      <c r="G1191" s="433">
        <v>534542104.35939997</v>
      </c>
      <c r="H1191" s="433">
        <v>515741.23011020001</v>
      </c>
      <c r="I1191" s="433">
        <v>299162.95470589999</v>
      </c>
      <c r="J1191" s="433">
        <v>814904.18481610005</v>
      </c>
    </row>
    <row r="1192" spans="2:10">
      <c r="B1192" t="s">
        <v>123</v>
      </c>
      <c r="C1192" s="27">
        <v>45046</v>
      </c>
      <c r="D1192" t="s">
        <v>280</v>
      </c>
      <c r="E1192" s="433">
        <v>334235.67489999998</v>
      </c>
      <c r="F1192" s="433">
        <v>233873</v>
      </c>
      <c r="G1192" s="433">
        <v>568108.67489999998</v>
      </c>
      <c r="H1192" s="433">
        <v>509.53900160000001</v>
      </c>
      <c r="I1192" s="433">
        <v>356.5370901</v>
      </c>
      <c r="J1192" s="433">
        <v>866.07609170000001</v>
      </c>
    </row>
    <row r="1193" spans="2:10">
      <c r="B1193" t="s">
        <v>123</v>
      </c>
      <c r="C1193" s="27">
        <v>45046</v>
      </c>
      <c r="D1193" t="s">
        <v>281</v>
      </c>
      <c r="E1193" s="433">
        <v>296354842.65539998</v>
      </c>
      <c r="F1193" s="433">
        <v>66639982</v>
      </c>
      <c r="G1193" s="433">
        <v>362994824.65539998</v>
      </c>
      <c r="H1193" s="433">
        <v>451790.04516360001</v>
      </c>
      <c r="I1193" s="433">
        <v>101591.9976462</v>
      </c>
      <c r="J1193" s="433">
        <v>553382.04280980001</v>
      </c>
    </row>
    <row r="1194" spans="2:10">
      <c r="B1194" t="s">
        <v>124</v>
      </c>
      <c r="C1194" s="27">
        <v>45046</v>
      </c>
      <c r="D1194" t="s">
        <v>278</v>
      </c>
      <c r="E1194" s="433">
        <v>429456416.18550003</v>
      </c>
      <c r="F1194" s="433">
        <v>35317867</v>
      </c>
      <c r="G1194" s="433">
        <v>464764283.18550003</v>
      </c>
      <c r="H1194" s="433">
        <v>654702.0859378</v>
      </c>
      <c r="I1194" s="433">
        <v>53841.7411507</v>
      </c>
      <c r="J1194" s="433">
        <v>708528.58218679996</v>
      </c>
    </row>
    <row r="1195" spans="2:10">
      <c r="B1195" t="s">
        <v>124</v>
      </c>
      <c r="C1195" s="27">
        <v>45046</v>
      </c>
      <c r="D1195" t="s">
        <v>279</v>
      </c>
      <c r="E1195" s="433">
        <v>1112495599.4342</v>
      </c>
      <c r="F1195" s="433">
        <v>818179828</v>
      </c>
      <c r="G1195" s="433">
        <v>1930645427.4342</v>
      </c>
      <c r="H1195" s="433">
        <v>1695988.6081469001</v>
      </c>
      <c r="I1195" s="433">
        <v>1247307.1070206999</v>
      </c>
      <c r="J1195" s="433">
        <v>2943249.9804623998</v>
      </c>
    </row>
    <row r="1196" spans="2:10">
      <c r="B1196" t="s">
        <v>124</v>
      </c>
      <c r="C1196" s="27">
        <v>45046</v>
      </c>
      <c r="D1196" t="s">
        <v>280</v>
      </c>
      <c r="E1196" s="433">
        <v>23741177.309300002</v>
      </c>
      <c r="F1196" s="433">
        <v>11880241</v>
      </c>
      <c r="G1196" s="433">
        <v>35621418.309299998</v>
      </c>
      <c r="H1196" s="433">
        <v>36193.191488600001</v>
      </c>
      <c r="I1196" s="433">
        <v>18111.310649899999</v>
      </c>
      <c r="J1196" s="433">
        <v>54304.502138600001</v>
      </c>
    </row>
    <row r="1197" spans="2:10">
      <c r="B1197" t="s">
        <v>124</v>
      </c>
      <c r="C1197" s="27">
        <v>45046</v>
      </c>
      <c r="D1197" t="s">
        <v>281</v>
      </c>
      <c r="E1197" s="433">
        <v>723272685.80280006</v>
      </c>
      <c r="F1197" s="433">
        <v>95880083</v>
      </c>
      <c r="G1197" s="433">
        <v>819152768.80280006</v>
      </c>
      <c r="H1197" s="433">
        <v>1102622.101453</v>
      </c>
      <c r="I1197" s="433">
        <v>146168.24425990001</v>
      </c>
      <c r="J1197" s="433">
        <v>1248790.3457128999</v>
      </c>
    </row>
    <row r="1198" spans="2:10">
      <c r="B1198" t="s">
        <v>131</v>
      </c>
      <c r="C1198" s="27">
        <v>45046</v>
      </c>
      <c r="D1198" t="s">
        <v>278</v>
      </c>
      <c r="E1198" s="433">
        <v>7640556095.6330996</v>
      </c>
      <c r="F1198" s="433">
        <v>2641367935</v>
      </c>
      <c r="G1198" s="433">
        <v>10278117635.633101</v>
      </c>
      <c r="H1198" s="433">
        <v>11647952.6792657</v>
      </c>
      <c r="I1198" s="433">
        <v>4026739.4585316</v>
      </c>
      <c r="J1198" s="433">
        <v>15668889.3260276</v>
      </c>
    </row>
    <row r="1199" spans="2:10">
      <c r="B1199" t="s">
        <v>131</v>
      </c>
      <c r="C1199" s="27">
        <v>45046</v>
      </c>
      <c r="D1199" t="s">
        <v>279</v>
      </c>
      <c r="E1199" s="433">
        <v>9133787904.3875008</v>
      </c>
      <c r="F1199" s="433">
        <v>5346375465</v>
      </c>
      <c r="G1199" s="433">
        <v>14468910673.387501</v>
      </c>
      <c r="H1199" s="433">
        <v>13924369.8967882</v>
      </c>
      <c r="I1199" s="433">
        <v>8150496.8542144997</v>
      </c>
      <c r="J1199" s="433">
        <v>22057712.126538001</v>
      </c>
    </row>
    <row r="1200" spans="2:10">
      <c r="B1200" t="s">
        <v>131</v>
      </c>
      <c r="C1200" s="27">
        <v>45046</v>
      </c>
      <c r="D1200" t="s">
        <v>280</v>
      </c>
      <c r="E1200" s="433">
        <v>36799999.199699998</v>
      </c>
      <c r="F1200" s="433">
        <v>-1333429988</v>
      </c>
      <c r="G1200" s="433">
        <v>-1296630238.8002999</v>
      </c>
      <c r="H1200" s="433">
        <v>56101.237123300001</v>
      </c>
      <c r="I1200" s="433">
        <v>-2032800.9122549</v>
      </c>
      <c r="J1200" s="433">
        <v>-1976700.0562541001</v>
      </c>
    </row>
    <row r="1201" spans="2:10">
      <c r="B1201" t="s">
        <v>131</v>
      </c>
      <c r="C1201" s="27">
        <v>45046</v>
      </c>
      <c r="D1201" t="s">
        <v>281</v>
      </c>
      <c r="E1201" s="433">
        <v>6617480617.8320999</v>
      </c>
      <c r="F1201" s="433">
        <v>900131729</v>
      </c>
      <c r="G1201" s="433">
        <v>7516232482.8320999</v>
      </c>
      <c r="H1201" s="433">
        <v>10088284.1677611</v>
      </c>
      <c r="I1201" s="433">
        <v>1372241.9747025999</v>
      </c>
      <c r="J1201" s="433">
        <v>11458422.5533565</v>
      </c>
    </row>
    <row r="1202" spans="2:10">
      <c r="B1202" t="s">
        <v>132</v>
      </c>
      <c r="C1202" s="27">
        <v>45046</v>
      </c>
      <c r="D1202" t="s">
        <v>278</v>
      </c>
      <c r="E1202" s="433">
        <v>2211689731.7002001</v>
      </c>
      <c r="F1202" s="433">
        <v>1299800783</v>
      </c>
      <c r="G1202" s="433">
        <v>3511490514.7002001</v>
      </c>
      <c r="H1202" s="433">
        <v>3371699.2603177</v>
      </c>
      <c r="I1202" s="433">
        <v>1981533.5197276999</v>
      </c>
      <c r="J1202" s="433">
        <v>5353232.7800452998</v>
      </c>
    </row>
    <row r="1203" spans="2:10">
      <c r="B1203" t="s">
        <v>132</v>
      </c>
      <c r="C1203" s="27">
        <v>45046</v>
      </c>
      <c r="D1203" t="s">
        <v>279</v>
      </c>
      <c r="E1203" s="433">
        <v>3072309823.4650998</v>
      </c>
      <c r="F1203" s="433">
        <v>1978746232</v>
      </c>
      <c r="G1203" s="433">
        <v>5051048055.4651003</v>
      </c>
      <c r="H1203" s="433">
        <v>4683706.1323610004</v>
      </c>
      <c r="I1203" s="433">
        <v>3016579.1843062998</v>
      </c>
      <c r="J1203" s="433">
        <v>7700273.1207459001</v>
      </c>
    </row>
    <row r="1204" spans="2:10">
      <c r="B1204" t="s">
        <v>132</v>
      </c>
      <c r="C1204" s="27">
        <v>45046</v>
      </c>
      <c r="D1204" t="s">
        <v>280</v>
      </c>
      <c r="E1204" s="433">
        <v>-75124105.414900005</v>
      </c>
      <c r="F1204" s="433">
        <v>7646523</v>
      </c>
      <c r="G1204" s="433">
        <v>-67477582.414900005</v>
      </c>
      <c r="H1204" s="433">
        <v>-114525.9604134</v>
      </c>
      <c r="I1204" s="433">
        <v>11657.049166299999</v>
      </c>
      <c r="J1204" s="433">
        <v>-102868.9112471</v>
      </c>
    </row>
    <row r="1205" spans="2:10">
      <c r="B1205" t="s">
        <v>132</v>
      </c>
      <c r="C1205" s="27">
        <v>45046</v>
      </c>
      <c r="D1205" t="s">
        <v>281</v>
      </c>
      <c r="E1205" s="433">
        <v>936149356.40040004</v>
      </c>
      <c r="F1205" s="433">
        <v>278806220</v>
      </c>
      <c r="G1205" s="433">
        <v>1214955576.4003999</v>
      </c>
      <c r="H1205" s="433">
        <v>1427150.4937068</v>
      </c>
      <c r="I1205" s="433">
        <v>425037.34238679998</v>
      </c>
      <c r="J1205" s="433">
        <v>1852187.8360935</v>
      </c>
    </row>
    <row r="1206" spans="2:10">
      <c r="B1206" t="s">
        <v>135</v>
      </c>
      <c r="C1206" s="27">
        <v>45046</v>
      </c>
      <c r="D1206" t="s">
        <v>278</v>
      </c>
      <c r="E1206" s="433">
        <v>646351737.94420004</v>
      </c>
      <c r="F1206" s="433">
        <v>404880885</v>
      </c>
      <c r="G1206" s="433">
        <v>1051232622.9442</v>
      </c>
      <c r="H1206" s="433">
        <v>985356.87239290006</v>
      </c>
      <c r="I1206" s="433">
        <v>617236.93016460002</v>
      </c>
      <c r="J1206" s="433">
        <v>1602593.8025575001</v>
      </c>
    </row>
    <row r="1207" spans="2:10">
      <c r="B1207" t="s">
        <v>135</v>
      </c>
      <c r="C1207" s="27">
        <v>45046</v>
      </c>
      <c r="D1207" t="s">
        <v>279</v>
      </c>
      <c r="E1207" s="433">
        <v>84407787.921900004</v>
      </c>
      <c r="F1207" s="433">
        <v>143985047</v>
      </c>
      <c r="G1207" s="433">
        <v>228392834.9219</v>
      </c>
      <c r="H1207" s="433">
        <v>128678.84315879999</v>
      </c>
      <c r="I1207" s="433">
        <v>219503.7891203</v>
      </c>
      <c r="J1207" s="433">
        <v>348182.63227910001</v>
      </c>
    </row>
    <row r="1208" spans="2:10">
      <c r="B1208" t="s">
        <v>135</v>
      </c>
      <c r="C1208" s="27">
        <v>45046</v>
      </c>
      <c r="D1208" t="s">
        <v>280</v>
      </c>
      <c r="E1208" s="433">
        <v>5582.1332000000002</v>
      </c>
      <c r="F1208" s="433">
        <v>344680</v>
      </c>
      <c r="G1208" s="433">
        <v>350262.13319999998</v>
      </c>
      <c r="H1208" s="433">
        <v>8.5099072000000007</v>
      </c>
      <c r="I1208" s="433">
        <v>525.46127260000003</v>
      </c>
      <c r="J1208" s="433">
        <v>533.97117979999996</v>
      </c>
    </row>
    <row r="1209" spans="2:10">
      <c r="B1209" t="s">
        <v>135</v>
      </c>
      <c r="C1209" s="27">
        <v>45046</v>
      </c>
      <c r="D1209" t="s">
        <v>281</v>
      </c>
      <c r="E1209" s="433">
        <v>689869347.17079997</v>
      </c>
      <c r="F1209" s="433">
        <v>251555091</v>
      </c>
      <c r="G1209" s="433">
        <v>941424438.17079997</v>
      </c>
      <c r="H1209" s="433">
        <v>1051699.0399839999</v>
      </c>
      <c r="I1209" s="433">
        <v>383493.26404019998</v>
      </c>
      <c r="J1209" s="433">
        <v>1435192.3040242</v>
      </c>
    </row>
    <row r="1210" spans="2:10">
      <c r="B1210" t="s">
        <v>136</v>
      </c>
      <c r="C1210" s="27">
        <v>45046</v>
      </c>
      <c r="D1210" t="s">
        <v>278</v>
      </c>
      <c r="E1210" s="433">
        <v>-4525225.8272000002</v>
      </c>
      <c r="F1210" s="433">
        <v>2447748.7000000002</v>
      </c>
      <c r="G1210" s="433">
        <v>-2077477.1272</v>
      </c>
      <c r="H1210" s="433">
        <v>-374369.25669279997</v>
      </c>
      <c r="I1210" s="433">
        <v>202500.80247530001</v>
      </c>
      <c r="J1210" s="433">
        <v>-171868.4542175</v>
      </c>
    </row>
    <row r="1211" spans="2:10">
      <c r="B1211" t="s">
        <v>136</v>
      </c>
      <c r="C1211" s="27">
        <v>45046</v>
      </c>
      <c r="D1211" t="s">
        <v>279</v>
      </c>
      <c r="E1211" s="433">
        <v>-209942.48069999999</v>
      </c>
      <c r="F1211" s="433">
        <v>8134270.8600000003</v>
      </c>
      <c r="G1211" s="433">
        <v>7924448.3793000001</v>
      </c>
      <c r="H1211" s="433">
        <v>-17368.4172789</v>
      </c>
      <c r="I1211" s="433">
        <v>672943.41804819996</v>
      </c>
      <c r="J1211" s="433">
        <v>655584.92829840002</v>
      </c>
    </row>
    <row r="1212" spans="2:10">
      <c r="B1212" t="s">
        <v>136</v>
      </c>
      <c r="C1212" s="27">
        <v>45046</v>
      </c>
      <c r="D1212" t="s">
        <v>280</v>
      </c>
      <c r="E1212" s="433">
        <v>-4927.8361000000004</v>
      </c>
      <c r="F1212" s="433">
        <v>4841.71</v>
      </c>
      <c r="G1212" s="433">
        <v>-86.126099999999994</v>
      </c>
      <c r="H1212" s="433">
        <v>-407.67696649999999</v>
      </c>
      <c r="I1212" s="433">
        <v>400.55180519999999</v>
      </c>
      <c r="J1212" s="433">
        <v>-7.1251613000000003</v>
      </c>
    </row>
    <row r="1213" spans="2:10">
      <c r="B1213" t="s">
        <v>136</v>
      </c>
      <c r="C1213" s="27">
        <v>45046</v>
      </c>
      <c r="D1213" t="s">
        <v>281</v>
      </c>
      <c r="E1213" s="433">
        <v>377563.00650000002</v>
      </c>
      <c r="F1213" s="433">
        <v>3854107.22</v>
      </c>
      <c r="G1213" s="433">
        <v>4231670.2264999999</v>
      </c>
      <c r="H1213" s="433">
        <v>31235.564255900001</v>
      </c>
      <c r="I1213" s="433">
        <v>318848.01118500001</v>
      </c>
      <c r="J1213" s="433">
        <v>350083.57544089999</v>
      </c>
    </row>
    <row r="1214" spans="2:10">
      <c r="B1214" t="s">
        <v>137</v>
      </c>
      <c r="C1214" s="27">
        <v>45046</v>
      </c>
      <c r="D1214" t="s">
        <v>278</v>
      </c>
      <c r="E1214" s="433">
        <v>13901355247.1961</v>
      </c>
      <c r="F1214" s="433">
        <v>4235843964</v>
      </c>
      <c r="G1214" s="433">
        <v>18136156705.196098</v>
      </c>
      <c r="H1214" s="433">
        <v>1479691.4528002001</v>
      </c>
      <c r="I1214" s="433">
        <v>450872.73848280002</v>
      </c>
      <c r="J1214" s="433">
        <v>1930453.2246046001</v>
      </c>
    </row>
    <row r="1215" spans="2:10">
      <c r="B1215" t="s">
        <v>137</v>
      </c>
      <c r="C1215" s="27">
        <v>45046</v>
      </c>
      <c r="D1215" t="s">
        <v>279</v>
      </c>
      <c r="E1215" s="433">
        <v>15901493282.360001</v>
      </c>
      <c r="F1215" s="433">
        <v>10201447553</v>
      </c>
      <c r="G1215" s="433">
        <v>26098108823.360001</v>
      </c>
      <c r="H1215" s="433">
        <v>1692590.6343853001</v>
      </c>
      <c r="I1215" s="433">
        <v>1085864.973734</v>
      </c>
      <c r="J1215" s="433">
        <v>2777941.2779171001</v>
      </c>
    </row>
    <row r="1216" spans="2:10">
      <c r="B1216" t="s">
        <v>137</v>
      </c>
      <c r="C1216" s="27">
        <v>45046</v>
      </c>
      <c r="D1216" t="s">
        <v>280</v>
      </c>
      <c r="E1216" s="433">
        <v>11315.7708</v>
      </c>
      <c r="F1216" s="433">
        <v>213956</v>
      </c>
      <c r="G1216" s="433">
        <v>225271.7708</v>
      </c>
      <c r="H1216" s="433">
        <v>1.2044760000000001</v>
      </c>
      <c r="I1216" s="433">
        <v>22.773956800000001</v>
      </c>
      <c r="J1216" s="433">
        <v>23.978432900000001</v>
      </c>
    </row>
    <row r="1217" spans="2:10">
      <c r="B1217" t="s">
        <v>137</v>
      </c>
      <c r="C1217" s="27">
        <v>45046</v>
      </c>
      <c r="D1217" t="s">
        <v>281</v>
      </c>
      <c r="E1217" s="433">
        <v>21535723899.195499</v>
      </c>
      <c r="F1217" s="433">
        <v>1262236394</v>
      </c>
      <c r="G1217" s="433">
        <v>22797874270.195499</v>
      </c>
      <c r="H1217" s="433">
        <v>2292310.7867437</v>
      </c>
      <c r="I1217" s="433">
        <v>134355.2747486</v>
      </c>
      <c r="J1217" s="433">
        <v>2426656.9050111999</v>
      </c>
    </row>
    <row r="1218" spans="2:10">
      <c r="B1218" t="s">
        <v>138</v>
      </c>
      <c r="C1218" s="27">
        <v>45046</v>
      </c>
      <c r="D1218" t="s">
        <v>278</v>
      </c>
      <c r="E1218" s="433">
        <v>10088133022.139999</v>
      </c>
      <c r="F1218" s="433">
        <v>3079305122.8200002</v>
      </c>
      <c r="G1218" s="433">
        <v>13167438144.959999</v>
      </c>
      <c r="H1218" s="433">
        <v>2092843.3960831999</v>
      </c>
      <c r="I1218" s="433">
        <v>638820.22339269996</v>
      </c>
      <c r="J1218" s="433">
        <v>2731663.6194759998</v>
      </c>
    </row>
    <row r="1219" spans="2:10">
      <c r="B1219" t="s">
        <v>138</v>
      </c>
      <c r="C1219" s="27">
        <v>45046</v>
      </c>
      <c r="D1219" t="s">
        <v>279</v>
      </c>
      <c r="E1219" s="433">
        <v>21682570610.077202</v>
      </c>
      <c r="F1219" s="433">
        <v>11735853356.120001</v>
      </c>
      <c r="G1219" s="433">
        <v>33418423966.197201</v>
      </c>
      <c r="H1219" s="433">
        <v>4498178.6631698003</v>
      </c>
      <c r="I1219" s="433">
        <v>2434672.8120904998</v>
      </c>
      <c r="J1219" s="433">
        <v>6932851.4752602996</v>
      </c>
    </row>
    <row r="1220" spans="2:10">
      <c r="B1220" t="s">
        <v>138</v>
      </c>
      <c r="C1220" s="27">
        <v>45046</v>
      </c>
      <c r="D1220" t="s">
        <v>280</v>
      </c>
      <c r="E1220" s="433">
        <v>106748.9178</v>
      </c>
      <c r="F1220" s="433">
        <v>5700</v>
      </c>
      <c r="G1220" s="433">
        <v>112448.9178</v>
      </c>
      <c r="H1220" s="433">
        <v>22.145700000000001</v>
      </c>
      <c r="I1220" s="433">
        <v>1.182499</v>
      </c>
      <c r="J1220" s="433">
        <v>23.328199000000001</v>
      </c>
    </row>
    <row r="1221" spans="2:10">
      <c r="B1221" t="s">
        <v>138</v>
      </c>
      <c r="C1221" s="27">
        <v>45046</v>
      </c>
      <c r="D1221" t="s">
        <v>281</v>
      </c>
      <c r="E1221" s="433">
        <v>9853160542.1732998</v>
      </c>
      <c r="F1221" s="433">
        <v>1481275574.3199999</v>
      </c>
      <c r="G1221" s="433">
        <v>11334436116.493299</v>
      </c>
      <c r="H1221" s="433">
        <v>2044096.9529227</v>
      </c>
      <c r="I1221" s="433">
        <v>307299.45736160001</v>
      </c>
      <c r="J1221" s="433">
        <v>2351396.4102842999</v>
      </c>
    </row>
    <row r="1222" spans="2:10">
      <c r="B1222" t="s">
        <v>139</v>
      </c>
      <c r="C1222" s="27">
        <v>45046</v>
      </c>
      <c r="D1222" t="s">
        <v>278</v>
      </c>
      <c r="E1222" s="433">
        <v>11070854.034499999</v>
      </c>
      <c r="F1222" s="433">
        <v>15059359.82</v>
      </c>
      <c r="G1222" s="433">
        <v>26130213.854499999</v>
      </c>
      <c r="H1222" s="433">
        <v>292802.27544300002</v>
      </c>
      <c r="I1222" s="433">
        <v>398290.39460459998</v>
      </c>
      <c r="J1222" s="433">
        <v>691092.67004760006</v>
      </c>
    </row>
    <row r="1223" spans="2:10">
      <c r="B1223" t="s">
        <v>139</v>
      </c>
      <c r="C1223" s="27">
        <v>45046</v>
      </c>
      <c r="D1223" t="s">
        <v>279</v>
      </c>
      <c r="E1223" s="433">
        <v>32521532.535100002</v>
      </c>
      <c r="F1223" s="433">
        <v>28790991.219999999</v>
      </c>
      <c r="G1223" s="433">
        <v>61312523.755099997</v>
      </c>
      <c r="H1223" s="433">
        <v>860130.45583440003</v>
      </c>
      <c r="I1223" s="433">
        <v>761464.98862730002</v>
      </c>
      <c r="J1223" s="433">
        <v>1621595.4444617999</v>
      </c>
    </row>
    <row r="1224" spans="2:10">
      <c r="B1224" t="s">
        <v>139</v>
      </c>
      <c r="C1224" s="27">
        <v>45046</v>
      </c>
      <c r="D1224" t="s">
        <v>280</v>
      </c>
      <c r="E1224" s="433">
        <v>-1946616.8666999999</v>
      </c>
      <c r="F1224" s="433">
        <v>33273.449999999997</v>
      </c>
      <c r="G1224" s="433">
        <v>-1913343.4166999999</v>
      </c>
      <c r="H1224" s="433">
        <v>-51484.180552799997</v>
      </c>
      <c r="I1224" s="433">
        <v>880.01719119999996</v>
      </c>
      <c r="J1224" s="433">
        <v>-50604.163361500003</v>
      </c>
    </row>
    <row r="1225" spans="2:10">
      <c r="B1225" t="s">
        <v>139</v>
      </c>
      <c r="C1225" s="27">
        <v>45046</v>
      </c>
      <c r="D1225" t="s">
        <v>281</v>
      </c>
      <c r="E1225" s="433">
        <v>-1312791.4210000001</v>
      </c>
      <c r="F1225" s="433">
        <v>3354093</v>
      </c>
      <c r="G1225" s="433">
        <v>2041301.5789999999</v>
      </c>
      <c r="H1225" s="433">
        <v>-34720.746389799999</v>
      </c>
      <c r="I1225" s="433">
        <v>88709.151018200006</v>
      </c>
      <c r="J1225" s="433">
        <v>53988.4046284</v>
      </c>
    </row>
    <row r="1226" spans="2:10">
      <c r="B1226" t="s">
        <v>141</v>
      </c>
      <c r="C1226" s="27">
        <v>45046</v>
      </c>
      <c r="D1226" t="s">
        <v>278</v>
      </c>
      <c r="E1226" s="433">
        <v>2341649663.0109</v>
      </c>
      <c r="F1226" s="433">
        <v>478036551</v>
      </c>
      <c r="G1226" s="433">
        <v>2819683222.0109</v>
      </c>
      <c r="H1226" s="433">
        <v>3569821.8984031999</v>
      </c>
      <c r="I1226" s="433">
        <v>728762.02403510001</v>
      </c>
      <c r="J1226" s="433">
        <v>4298579.3611637997</v>
      </c>
    </row>
    <row r="1227" spans="2:10">
      <c r="B1227" t="s">
        <v>141</v>
      </c>
      <c r="C1227" s="27">
        <v>45046</v>
      </c>
      <c r="D1227" t="s">
        <v>279</v>
      </c>
      <c r="E1227" s="433">
        <v>2283170586.1429</v>
      </c>
      <c r="F1227" s="433">
        <v>934195686</v>
      </c>
      <c r="G1227" s="433">
        <v>3217363280.1429</v>
      </c>
      <c r="H1227" s="433">
        <v>3480671.1204285002</v>
      </c>
      <c r="I1227" s="433">
        <v>1424172.1423813</v>
      </c>
      <c r="J1227" s="433">
        <v>4904838.7015351998</v>
      </c>
    </row>
    <row r="1228" spans="2:10">
      <c r="B1228" t="s">
        <v>141</v>
      </c>
      <c r="C1228" s="27">
        <v>45046</v>
      </c>
      <c r="D1228" t="s">
        <v>280</v>
      </c>
      <c r="E1228" s="433">
        <v>327192.17719999998</v>
      </c>
      <c r="F1228" s="433">
        <v>27225</v>
      </c>
      <c r="G1228" s="433">
        <v>354417.17719999998</v>
      </c>
      <c r="H1228" s="433">
        <v>498.80125859999998</v>
      </c>
      <c r="I1228" s="433">
        <v>41.504244900000003</v>
      </c>
      <c r="J1228" s="433">
        <v>540.30550359999995</v>
      </c>
    </row>
    <row r="1229" spans="2:10">
      <c r="B1229" t="s">
        <v>141</v>
      </c>
      <c r="C1229" s="27">
        <v>45046</v>
      </c>
      <c r="D1229" t="s">
        <v>281</v>
      </c>
      <c r="E1229" s="433">
        <v>3553173506.3403001</v>
      </c>
      <c r="F1229" s="433">
        <v>278119906</v>
      </c>
      <c r="G1229" s="433">
        <v>3831293412.3403001</v>
      </c>
      <c r="H1229" s="433">
        <v>5416778.0911558</v>
      </c>
      <c r="I1229" s="433">
        <v>423991.06343859999</v>
      </c>
      <c r="J1229" s="433">
        <v>5840769.1545944</v>
      </c>
    </row>
    <row r="1230" spans="2:10">
      <c r="B1230" t="s">
        <v>140</v>
      </c>
      <c r="C1230" s="27">
        <v>45046</v>
      </c>
      <c r="D1230" t="s">
        <v>278</v>
      </c>
      <c r="E1230" s="433">
        <v>642156975.96099997</v>
      </c>
      <c r="F1230" s="433">
        <v>290141002</v>
      </c>
      <c r="G1230" s="433">
        <v>932297977.96099997</v>
      </c>
      <c r="H1230" s="433">
        <v>978961.99897399999</v>
      </c>
      <c r="I1230" s="433">
        <v>442317.10615180002</v>
      </c>
      <c r="J1230" s="433">
        <v>1421279.1051258</v>
      </c>
    </row>
    <row r="1231" spans="2:10">
      <c r="B1231" t="s">
        <v>140</v>
      </c>
      <c r="C1231" s="27">
        <v>45046</v>
      </c>
      <c r="D1231" t="s">
        <v>279</v>
      </c>
      <c r="E1231" s="433">
        <v>1384094207.5989001</v>
      </c>
      <c r="F1231" s="433">
        <v>490177751</v>
      </c>
      <c r="G1231" s="433">
        <v>1874271958.5989001</v>
      </c>
      <c r="H1231" s="433">
        <v>2110038.0171244</v>
      </c>
      <c r="I1231" s="433">
        <v>747271.16411590006</v>
      </c>
      <c r="J1231" s="433">
        <v>2857309.1812403998</v>
      </c>
    </row>
    <row r="1232" spans="2:10">
      <c r="B1232" t="s">
        <v>140</v>
      </c>
      <c r="C1232" s="27">
        <v>45046</v>
      </c>
      <c r="D1232" t="s">
        <v>280</v>
      </c>
      <c r="E1232" s="433">
        <v>-2538384.9334</v>
      </c>
      <c r="F1232" s="433">
        <v>937034</v>
      </c>
      <c r="G1232" s="433">
        <v>-1601350.9334</v>
      </c>
      <c r="H1232" s="433">
        <v>-3869.7428847000001</v>
      </c>
      <c r="I1232" s="433">
        <v>1428.4991242000001</v>
      </c>
      <c r="J1232" s="433">
        <v>-2441.2437605</v>
      </c>
    </row>
    <row r="1233" spans="2:10">
      <c r="B1233" t="s">
        <v>140</v>
      </c>
      <c r="C1233" s="27">
        <v>45046</v>
      </c>
      <c r="D1233" t="s">
        <v>281</v>
      </c>
      <c r="E1233" s="433">
        <v>335144031.32200003</v>
      </c>
      <c r="F1233" s="433">
        <v>100521505</v>
      </c>
      <c r="G1233" s="433">
        <v>435665536.32200003</v>
      </c>
      <c r="H1233" s="433">
        <v>510923.78208019998</v>
      </c>
      <c r="I1233" s="433">
        <v>153244.0464848</v>
      </c>
      <c r="J1233" s="433">
        <v>664167.82856499997</v>
      </c>
    </row>
    <row r="1234" spans="2:10">
      <c r="B1234" t="s">
        <v>123</v>
      </c>
      <c r="C1234" s="27">
        <v>45077</v>
      </c>
      <c r="D1234" t="s">
        <v>278</v>
      </c>
      <c r="E1234" s="433">
        <v>425871585.1631</v>
      </c>
      <c r="F1234" s="433">
        <v>151251249</v>
      </c>
      <c r="G1234" s="433">
        <v>577122834.1631</v>
      </c>
      <c r="H1234" s="433">
        <v>649237.04627449997</v>
      </c>
      <c r="I1234" s="433">
        <v>230581.0426598</v>
      </c>
      <c r="J1234" s="433">
        <v>879818.0889343</v>
      </c>
    </row>
    <row r="1235" spans="2:10">
      <c r="B1235" t="s">
        <v>123</v>
      </c>
      <c r="C1235" s="27">
        <v>45077</v>
      </c>
      <c r="D1235" t="s">
        <v>279</v>
      </c>
      <c r="E1235" s="433">
        <v>427517517.51239997</v>
      </c>
      <c r="F1235" s="433">
        <v>246042005.09999999</v>
      </c>
      <c r="G1235" s="433">
        <v>673559522.61240005</v>
      </c>
      <c r="H1235" s="433">
        <v>651746.25396540004</v>
      </c>
      <c r="I1235" s="433">
        <v>375088.61876619997</v>
      </c>
      <c r="J1235" s="433">
        <v>1026834.8727316</v>
      </c>
    </row>
    <row r="1236" spans="2:10">
      <c r="B1236" t="s">
        <v>123</v>
      </c>
      <c r="C1236" s="27">
        <v>45077</v>
      </c>
      <c r="D1236" t="s">
        <v>280</v>
      </c>
      <c r="E1236" s="433">
        <v>362234.43719999999</v>
      </c>
      <c r="F1236" s="433">
        <v>287073</v>
      </c>
      <c r="G1236" s="433">
        <v>649307.43720000004</v>
      </c>
      <c r="H1236" s="433">
        <v>552.22283960000004</v>
      </c>
      <c r="I1236" s="433">
        <v>437.63996730000002</v>
      </c>
      <c r="J1236" s="433">
        <v>989.86280690000001</v>
      </c>
    </row>
    <row r="1237" spans="2:10">
      <c r="B1237" t="s">
        <v>123</v>
      </c>
      <c r="C1237" s="27">
        <v>45077</v>
      </c>
      <c r="D1237" t="s">
        <v>281</v>
      </c>
      <c r="E1237" s="433">
        <v>373013185.71359998</v>
      </c>
      <c r="F1237" s="433">
        <v>93202763</v>
      </c>
      <c r="G1237" s="433">
        <v>466215948.71359998</v>
      </c>
      <c r="H1237" s="433">
        <v>568654.93578629999</v>
      </c>
      <c r="I1237" s="433">
        <v>142086.69623160001</v>
      </c>
      <c r="J1237" s="433">
        <v>710741.632018</v>
      </c>
    </row>
    <row r="1238" spans="2:10">
      <c r="B1238" t="s">
        <v>124</v>
      </c>
      <c r="C1238" s="27">
        <v>45077</v>
      </c>
      <c r="D1238" t="s">
        <v>278</v>
      </c>
      <c r="E1238" s="433">
        <v>555496042.77610004</v>
      </c>
      <c r="F1238" s="433">
        <v>73946657</v>
      </c>
      <c r="G1238" s="433">
        <v>629432699.77610004</v>
      </c>
      <c r="H1238" s="433">
        <v>846848.25800489995</v>
      </c>
      <c r="I1238" s="433">
        <v>112730.95187639999</v>
      </c>
      <c r="J1238" s="433">
        <v>959563.96497960004</v>
      </c>
    </row>
    <row r="1239" spans="2:10">
      <c r="B1239" t="s">
        <v>124</v>
      </c>
      <c r="C1239" s="27">
        <v>45077</v>
      </c>
      <c r="D1239" t="s">
        <v>279</v>
      </c>
      <c r="E1239" s="433">
        <v>1408416574.0613</v>
      </c>
      <c r="F1239" s="433">
        <v>1035236618</v>
      </c>
      <c r="G1239" s="433">
        <v>2443623192.0612998</v>
      </c>
      <c r="H1239" s="433">
        <v>2147117.2257653</v>
      </c>
      <c r="I1239" s="433">
        <v>1578208.0502228001</v>
      </c>
      <c r="J1239" s="433">
        <v>3725279.5412829001</v>
      </c>
    </row>
    <row r="1240" spans="2:10">
      <c r="B1240" t="s">
        <v>124</v>
      </c>
      <c r="C1240" s="27">
        <v>45077</v>
      </c>
      <c r="D1240" t="s">
        <v>280</v>
      </c>
      <c r="E1240" s="433">
        <v>29119197.337000001</v>
      </c>
      <c r="F1240" s="433">
        <v>14403148</v>
      </c>
      <c r="G1240" s="433">
        <v>43522345.336999997</v>
      </c>
      <c r="H1240" s="433">
        <v>44391.930167699997</v>
      </c>
      <c r="I1240" s="433">
        <v>21957.457577199999</v>
      </c>
      <c r="J1240" s="433">
        <v>66349.387744899999</v>
      </c>
    </row>
    <row r="1241" spans="2:10">
      <c r="B1241" t="s">
        <v>124</v>
      </c>
      <c r="C1241" s="27">
        <v>45077</v>
      </c>
      <c r="D1241" t="s">
        <v>281</v>
      </c>
      <c r="E1241" s="433">
        <v>892386374.06910002</v>
      </c>
      <c r="F1241" s="433">
        <v>119001992</v>
      </c>
      <c r="G1241" s="433">
        <v>1011388366.0691</v>
      </c>
      <c r="H1241" s="433">
        <v>1360434.2572289</v>
      </c>
      <c r="I1241" s="433">
        <v>181417.36729689999</v>
      </c>
      <c r="J1241" s="433">
        <v>1541851.6245258001</v>
      </c>
    </row>
    <row r="1242" spans="2:10">
      <c r="B1242" t="s">
        <v>131</v>
      </c>
      <c r="C1242" s="27">
        <v>45077</v>
      </c>
      <c r="D1242" t="s">
        <v>278</v>
      </c>
      <c r="E1242" s="433">
        <v>9636147315.2033005</v>
      </c>
      <c r="F1242" s="433">
        <v>3302148260</v>
      </c>
      <c r="G1242" s="433">
        <v>12933517470.2033</v>
      </c>
      <c r="H1242" s="433">
        <v>14690211.881576501</v>
      </c>
      <c r="I1242" s="433">
        <v>5034092.5700922003</v>
      </c>
      <c r="J1242" s="433">
        <v>19717020.2775537</v>
      </c>
    </row>
    <row r="1243" spans="2:10">
      <c r="B1243" t="s">
        <v>131</v>
      </c>
      <c r="C1243" s="27">
        <v>45077</v>
      </c>
      <c r="D1243" t="s">
        <v>279</v>
      </c>
      <c r="E1243" s="433">
        <v>11537719335.7104</v>
      </c>
      <c r="F1243" s="433">
        <v>6663983156</v>
      </c>
      <c r="G1243" s="433">
        <v>18187404265.7104</v>
      </c>
      <c r="H1243" s="433">
        <v>17589139.738901202</v>
      </c>
      <c r="I1243" s="433">
        <v>10159176.8301886</v>
      </c>
      <c r="J1243" s="433">
        <v>27726519.0640704</v>
      </c>
    </row>
    <row r="1244" spans="2:10">
      <c r="B1244" t="s">
        <v>131</v>
      </c>
      <c r="C1244" s="27">
        <v>45077</v>
      </c>
      <c r="D1244" t="s">
        <v>280</v>
      </c>
      <c r="E1244" s="433">
        <v>46207349.674500003</v>
      </c>
      <c r="F1244" s="433">
        <v>-1220466382</v>
      </c>
      <c r="G1244" s="433">
        <v>-1174259282.3255</v>
      </c>
      <c r="H1244" s="433">
        <v>70442.650470199995</v>
      </c>
      <c r="I1244" s="433">
        <v>-1860589.005072</v>
      </c>
      <c r="J1244" s="433">
        <v>-1790146.7357242999</v>
      </c>
    </row>
    <row r="1245" spans="2:10">
      <c r="B1245" t="s">
        <v>131</v>
      </c>
      <c r="C1245" s="27">
        <v>45077</v>
      </c>
      <c r="D1245" t="s">
        <v>281</v>
      </c>
      <c r="E1245" s="433">
        <v>8352111721.9830999</v>
      </c>
      <c r="F1245" s="433">
        <v>1143989196</v>
      </c>
      <c r="G1245" s="433">
        <v>9494490108.9831009</v>
      </c>
      <c r="H1245" s="433">
        <v>12732712.2387338</v>
      </c>
      <c r="I1245" s="433">
        <v>1744000.2866042</v>
      </c>
      <c r="J1245" s="433">
        <v>14474256.8628479</v>
      </c>
    </row>
    <row r="1246" spans="2:10">
      <c r="B1246" t="s">
        <v>132</v>
      </c>
      <c r="C1246" s="27">
        <v>45077</v>
      </c>
      <c r="D1246" t="s">
        <v>278</v>
      </c>
      <c r="E1246" s="433">
        <v>2733658576.1511002</v>
      </c>
      <c r="F1246" s="433">
        <v>1635407999</v>
      </c>
      <c r="G1246" s="433">
        <v>4369066575.1511002</v>
      </c>
      <c r="H1246" s="433">
        <v>4167435.6339685</v>
      </c>
      <c r="I1246" s="433">
        <v>2493163.4222975001</v>
      </c>
      <c r="J1246" s="433">
        <v>6660599.0562659996</v>
      </c>
    </row>
    <row r="1247" spans="2:10">
      <c r="B1247" t="s">
        <v>132</v>
      </c>
      <c r="C1247" s="27">
        <v>45077</v>
      </c>
      <c r="D1247" t="s">
        <v>279</v>
      </c>
      <c r="E1247" s="433">
        <v>3766197374.0265999</v>
      </c>
      <c r="F1247" s="433">
        <v>2471857472</v>
      </c>
      <c r="G1247" s="433">
        <v>6238045846.0265999</v>
      </c>
      <c r="H1247" s="433">
        <v>5741530.8839247003</v>
      </c>
      <c r="I1247" s="433">
        <v>3768322.4235735</v>
      </c>
      <c r="J1247" s="433">
        <v>9509839.5870866999</v>
      </c>
    </row>
    <row r="1248" spans="2:10">
      <c r="B1248" t="s">
        <v>132</v>
      </c>
      <c r="C1248" s="27">
        <v>45077</v>
      </c>
      <c r="D1248" t="s">
        <v>280</v>
      </c>
      <c r="E1248" s="433">
        <v>-96913615.582100004</v>
      </c>
      <c r="F1248" s="433">
        <v>10296706</v>
      </c>
      <c r="G1248" s="433">
        <v>-86616909.582100004</v>
      </c>
      <c r="H1248" s="433">
        <v>-147743.8545242</v>
      </c>
      <c r="I1248" s="433">
        <v>15697.2271048</v>
      </c>
      <c r="J1248" s="433">
        <v>-132046.6274193</v>
      </c>
    </row>
    <row r="1249" spans="2:10">
      <c r="B1249" t="s">
        <v>132</v>
      </c>
      <c r="C1249" s="27">
        <v>45077</v>
      </c>
      <c r="D1249" t="s">
        <v>281</v>
      </c>
      <c r="E1249" s="433">
        <v>1137508763.7012999</v>
      </c>
      <c r="F1249" s="433">
        <v>349201002</v>
      </c>
      <c r="G1249" s="433">
        <v>1486709765.7012999</v>
      </c>
      <c r="H1249" s="433">
        <v>1734120.9312519999</v>
      </c>
      <c r="I1249" s="433">
        <v>532353.49573219998</v>
      </c>
      <c r="J1249" s="433">
        <v>2266474.4269841998</v>
      </c>
    </row>
    <row r="1250" spans="2:10">
      <c r="B1250" t="s">
        <v>135</v>
      </c>
      <c r="C1250" s="27">
        <v>45077</v>
      </c>
      <c r="D1250" t="s">
        <v>278</v>
      </c>
      <c r="E1250" s="433">
        <v>834850319.49670005</v>
      </c>
      <c r="F1250" s="433">
        <v>543595487</v>
      </c>
      <c r="G1250" s="433">
        <v>1378445806.4967</v>
      </c>
      <c r="H1250" s="433">
        <v>1272721.1074761001</v>
      </c>
      <c r="I1250" s="433">
        <v>828705.9776784</v>
      </c>
      <c r="J1250" s="433">
        <v>2101427.0851544999</v>
      </c>
    </row>
    <row r="1251" spans="2:10">
      <c r="B1251" t="s">
        <v>135</v>
      </c>
      <c r="C1251" s="27">
        <v>45077</v>
      </c>
      <c r="D1251" t="s">
        <v>279</v>
      </c>
      <c r="E1251" s="433">
        <v>660144238.11090004</v>
      </c>
      <c r="F1251" s="433">
        <v>178109948</v>
      </c>
      <c r="G1251" s="433">
        <v>838254186.11090004</v>
      </c>
      <c r="H1251" s="433">
        <v>1006383.4033495</v>
      </c>
      <c r="I1251" s="433">
        <v>271526.86532809999</v>
      </c>
      <c r="J1251" s="433">
        <v>1277910.2686775001</v>
      </c>
    </row>
    <row r="1252" spans="2:10">
      <c r="B1252" t="s">
        <v>135</v>
      </c>
      <c r="C1252" s="27">
        <v>45077</v>
      </c>
      <c r="D1252" t="s">
        <v>280</v>
      </c>
      <c r="E1252" s="433">
        <v>-86855.416299999997</v>
      </c>
      <c r="F1252" s="433">
        <v>456209</v>
      </c>
      <c r="G1252" s="433">
        <v>369353.58370000002</v>
      </c>
      <c r="H1252" s="433">
        <v>-132.41022860000001</v>
      </c>
      <c r="I1252" s="433">
        <v>695.48613699999999</v>
      </c>
      <c r="J1252" s="433">
        <v>563.07590849999997</v>
      </c>
    </row>
    <row r="1253" spans="2:10">
      <c r="B1253" t="s">
        <v>135</v>
      </c>
      <c r="C1253" s="27">
        <v>45077</v>
      </c>
      <c r="D1253" t="s">
        <v>281</v>
      </c>
      <c r="E1253" s="433">
        <v>857999847.05499995</v>
      </c>
      <c r="F1253" s="433">
        <v>336422185</v>
      </c>
      <c r="G1253" s="433">
        <v>1194422032.0550001</v>
      </c>
      <c r="H1253" s="433">
        <v>1308012.3347338</v>
      </c>
      <c r="I1253" s="433">
        <v>512872.3148011</v>
      </c>
      <c r="J1253" s="433">
        <v>1820884.6495350001</v>
      </c>
    </row>
    <row r="1254" spans="2:10">
      <c r="B1254" t="s">
        <v>136</v>
      </c>
      <c r="C1254" s="27">
        <v>45077</v>
      </c>
      <c r="D1254" t="s">
        <v>278</v>
      </c>
      <c r="E1254" s="433">
        <v>-5445127.4429000001</v>
      </c>
      <c r="F1254" s="433">
        <v>3079632.45</v>
      </c>
      <c r="G1254" s="433">
        <v>-2365494.9929</v>
      </c>
      <c r="H1254" s="433">
        <v>-465483.03466459998</v>
      </c>
      <c r="I1254" s="433">
        <v>263265.95171739999</v>
      </c>
      <c r="J1254" s="433">
        <v>-202217.08294719999</v>
      </c>
    </row>
    <row r="1255" spans="2:10">
      <c r="B1255" t="s">
        <v>136</v>
      </c>
      <c r="C1255" s="27">
        <v>45077</v>
      </c>
      <c r="D1255" t="s">
        <v>279</v>
      </c>
      <c r="E1255" s="433">
        <v>209511.8573</v>
      </c>
      <c r="F1255" s="433">
        <v>10305884.050000001</v>
      </c>
      <c r="G1255" s="433">
        <v>10517426.0273</v>
      </c>
      <c r="H1255" s="433">
        <v>17910.3641112</v>
      </c>
      <c r="I1255" s="433">
        <v>881010.45068300003</v>
      </c>
      <c r="J1255" s="433">
        <v>899094.36195689999</v>
      </c>
    </row>
    <row r="1256" spans="2:10">
      <c r="B1256" t="s">
        <v>136</v>
      </c>
      <c r="C1256" s="27">
        <v>45077</v>
      </c>
      <c r="D1256" t="s">
        <v>280</v>
      </c>
      <c r="E1256" s="433">
        <v>-6111.1386000000002</v>
      </c>
      <c r="F1256" s="433">
        <v>5886.22</v>
      </c>
      <c r="G1256" s="433">
        <v>-224.9186</v>
      </c>
      <c r="H1256" s="433">
        <v>-522.41777090000005</v>
      </c>
      <c r="I1256" s="433">
        <v>503.19034349999998</v>
      </c>
      <c r="J1256" s="433">
        <v>-19.2274274</v>
      </c>
    </row>
    <row r="1257" spans="2:10">
      <c r="B1257" t="s">
        <v>136</v>
      </c>
      <c r="C1257" s="27">
        <v>45077</v>
      </c>
      <c r="D1257" t="s">
        <v>281</v>
      </c>
      <c r="E1257" s="433">
        <v>312611.84179999999</v>
      </c>
      <c r="F1257" s="433">
        <v>4412498.63</v>
      </c>
      <c r="G1257" s="433">
        <v>4725110.4718000004</v>
      </c>
      <c r="H1257" s="433">
        <v>26723.985860600002</v>
      </c>
      <c r="I1257" s="433">
        <v>377207.56296060001</v>
      </c>
      <c r="J1257" s="433">
        <v>403931.54882109998</v>
      </c>
    </row>
    <row r="1258" spans="2:10">
      <c r="B1258" t="s">
        <v>137</v>
      </c>
      <c r="C1258" s="27">
        <v>45077</v>
      </c>
      <c r="D1258" t="s">
        <v>278</v>
      </c>
      <c r="E1258" s="433">
        <v>17662303650.1311</v>
      </c>
      <c r="F1258" s="433">
        <v>5268047584</v>
      </c>
      <c r="G1258" s="433">
        <v>22929144636.1311</v>
      </c>
      <c r="H1258" s="433">
        <v>1931754.6558163001</v>
      </c>
      <c r="I1258" s="433">
        <v>576174.86648620002</v>
      </c>
      <c r="J1258" s="433">
        <v>2507797.5547318999</v>
      </c>
    </row>
    <row r="1259" spans="2:10">
      <c r="B1259" t="s">
        <v>137</v>
      </c>
      <c r="C1259" s="27">
        <v>45077</v>
      </c>
      <c r="D1259" t="s">
        <v>279</v>
      </c>
      <c r="E1259" s="433">
        <v>20316529207.3451</v>
      </c>
      <c r="F1259" s="433">
        <v>12855682160</v>
      </c>
      <c r="G1259" s="433">
        <v>33166341171.3451</v>
      </c>
      <c r="H1259" s="433">
        <v>2222051.5887250002</v>
      </c>
      <c r="I1259" s="433">
        <v>1406046.7059228001</v>
      </c>
      <c r="J1259" s="433">
        <v>3627456.2618371998</v>
      </c>
    </row>
    <row r="1260" spans="2:10">
      <c r="B1260" t="s">
        <v>137</v>
      </c>
      <c r="C1260" s="27">
        <v>45077</v>
      </c>
      <c r="D1260" t="s">
        <v>280</v>
      </c>
      <c r="E1260" s="433">
        <v>25241.2664</v>
      </c>
      <c r="F1260" s="433">
        <v>281162</v>
      </c>
      <c r="G1260" s="433">
        <v>306403.26640000002</v>
      </c>
      <c r="H1260" s="433">
        <v>2.760678</v>
      </c>
      <c r="I1260" s="433">
        <v>30.751141700000002</v>
      </c>
      <c r="J1260" s="433">
        <v>33.511819799999998</v>
      </c>
    </row>
    <row r="1261" spans="2:10">
      <c r="B1261" t="s">
        <v>137</v>
      </c>
      <c r="C1261" s="27">
        <v>45077</v>
      </c>
      <c r="D1261" t="s">
        <v>281</v>
      </c>
      <c r="E1261" s="433">
        <v>26777702606.596699</v>
      </c>
      <c r="F1261" s="433">
        <v>1559075429</v>
      </c>
      <c r="G1261" s="433">
        <v>28336672012.596699</v>
      </c>
      <c r="H1261" s="433">
        <v>2928720.5512386998</v>
      </c>
      <c r="I1261" s="433">
        <v>170518.5958977</v>
      </c>
      <c r="J1261" s="433">
        <v>3099227.5512298001</v>
      </c>
    </row>
    <row r="1262" spans="2:10">
      <c r="B1262" t="s">
        <v>138</v>
      </c>
      <c r="C1262" s="27">
        <v>45077</v>
      </c>
      <c r="D1262" t="s">
        <v>278</v>
      </c>
      <c r="E1262" s="433">
        <v>12775944808.525801</v>
      </c>
      <c r="F1262" s="433">
        <v>3951377773.1799998</v>
      </c>
      <c r="G1262" s="433">
        <v>16727322581.705799</v>
      </c>
      <c r="H1262" s="433">
        <v>2732389.9122974998</v>
      </c>
      <c r="I1262" s="433">
        <v>845080.73014750006</v>
      </c>
      <c r="J1262" s="433">
        <v>3577470.6424449999</v>
      </c>
    </row>
    <row r="1263" spans="2:10">
      <c r="B1263" t="s">
        <v>138</v>
      </c>
      <c r="C1263" s="27">
        <v>45077</v>
      </c>
      <c r="D1263" t="s">
        <v>279</v>
      </c>
      <c r="E1263" s="433">
        <v>27458669996.9133</v>
      </c>
      <c r="F1263" s="433">
        <v>14904928321.75</v>
      </c>
      <c r="G1263" s="433">
        <v>42363598318.6633</v>
      </c>
      <c r="H1263" s="433">
        <v>5872582.7349068001</v>
      </c>
      <c r="I1263" s="433">
        <v>3187715.3823245</v>
      </c>
      <c r="J1263" s="433">
        <v>9060298.1172313001</v>
      </c>
    </row>
    <row r="1264" spans="2:10">
      <c r="B1264" t="s">
        <v>138</v>
      </c>
      <c r="C1264" s="27">
        <v>45077</v>
      </c>
      <c r="D1264" t="s">
        <v>280</v>
      </c>
      <c r="E1264" s="433">
        <v>136242.59520000001</v>
      </c>
      <c r="F1264" s="433">
        <v>7125</v>
      </c>
      <c r="G1264" s="433">
        <v>143367.59520000001</v>
      </c>
      <c r="H1264" s="433">
        <v>29.138188899999999</v>
      </c>
      <c r="I1264" s="433">
        <v>1.5238229999999999</v>
      </c>
      <c r="J1264" s="433">
        <v>30.662011799999998</v>
      </c>
    </row>
    <row r="1265" spans="2:10">
      <c r="B1265" t="s">
        <v>138</v>
      </c>
      <c r="C1265" s="27">
        <v>45077</v>
      </c>
      <c r="D1265" t="s">
        <v>281</v>
      </c>
      <c r="E1265" s="433">
        <v>12452345455.889</v>
      </c>
      <c r="F1265" s="433">
        <v>1863273852.6800001</v>
      </c>
      <c r="G1265" s="433">
        <v>14315619308.569</v>
      </c>
      <c r="H1265" s="433">
        <v>2663181.7543082</v>
      </c>
      <c r="I1265" s="433">
        <v>398498.17412430001</v>
      </c>
      <c r="J1265" s="433">
        <v>3061679.9284325</v>
      </c>
    </row>
    <row r="1266" spans="2:10">
      <c r="B1266" t="s">
        <v>139</v>
      </c>
      <c r="C1266" s="27">
        <v>45077</v>
      </c>
      <c r="D1266" t="s">
        <v>278</v>
      </c>
      <c r="E1266" s="433">
        <v>14159739.8399</v>
      </c>
      <c r="F1266" s="433">
        <v>18587417.309999999</v>
      </c>
      <c r="G1266" s="433">
        <v>32747157.149900001</v>
      </c>
      <c r="H1266" s="433">
        <v>384253.45562820003</v>
      </c>
      <c r="I1266" s="433">
        <v>504407.52537310001</v>
      </c>
      <c r="J1266" s="433">
        <v>888660.98100140004</v>
      </c>
    </row>
    <row r="1267" spans="2:10">
      <c r="B1267" t="s">
        <v>139</v>
      </c>
      <c r="C1267" s="27">
        <v>45077</v>
      </c>
      <c r="D1267" t="s">
        <v>279</v>
      </c>
      <c r="E1267" s="433">
        <v>40977572.378799997</v>
      </c>
      <c r="F1267" s="433">
        <v>36129446.060000002</v>
      </c>
      <c r="G1267" s="433">
        <v>77107018.438800007</v>
      </c>
      <c r="H1267" s="433">
        <v>1112010.1052592001</v>
      </c>
      <c r="I1267" s="433">
        <v>980446.29742199997</v>
      </c>
      <c r="J1267" s="433">
        <v>2092456.4026810999</v>
      </c>
    </row>
    <row r="1268" spans="2:10">
      <c r="B1268" t="s">
        <v>139</v>
      </c>
      <c r="C1268" s="27">
        <v>45077</v>
      </c>
      <c r="D1268" t="s">
        <v>280</v>
      </c>
      <c r="E1268" s="433">
        <v>-2397305.1787999999</v>
      </c>
      <c r="F1268" s="433">
        <v>47068.33</v>
      </c>
      <c r="G1268" s="433">
        <v>-2350236.8487999998</v>
      </c>
      <c r="H1268" s="433">
        <v>-65055.771473499997</v>
      </c>
      <c r="I1268" s="433">
        <v>1277.295251</v>
      </c>
      <c r="J1268" s="433">
        <v>-63778.476222500001</v>
      </c>
    </row>
    <row r="1269" spans="2:10">
      <c r="B1269" t="s">
        <v>139</v>
      </c>
      <c r="C1269" s="27">
        <v>45077</v>
      </c>
      <c r="D1269" t="s">
        <v>281</v>
      </c>
      <c r="E1269" s="433">
        <v>-1931008.9765000001</v>
      </c>
      <c r="F1269" s="433">
        <v>4102005.23</v>
      </c>
      <c r="G1269" s="433">
        <v>2170996.2535000001</v>
      </c>
      <c r="H1269" s="433">
        <v>-52401.871818200001</v>
      </c>
      <c r="I1269" s="433">
        <v>111316.2884668</v>
      </c>
      <c r="J1269" s="433">
        <v>58914.416648600003</v>
      </c>
    </row>
    <row r="1270" spans="2:10">
      <c r="B1270" t="s">
        <v>141</v>
      </c>
      <c r="C1270" s="27">
        <v>45077</v>
      </c>
      <c r="D1270" t="s">
        <v>278</v>
      </c>
      <c r="E1270" s="433">
        <v>2952086540.7796001</v>
      </c>
      <c r="F1270" s="433">
        <v>602384975</v>
      </c>
      <c r="G1270" s="433">
        <v>3554468523.7796001</v>
      </c>
      <c r="H1270" s="433">
        <v>4500426.9194163997</v>
      </c>
      <c r="I1270" s="433">
        <v>918329.97437329998</v>
      </c>
      <c r="J1270" s="433">
        <v>5418752.3325151</v>
      </c>
    </row>
    <row r="1271" spans="2:10">
      <c r="B1271" t="s">
        <v>141</v>
      </c>
      <c r="C1271" s="27">
        <v>45077</v>
      </c>
      <c r="D1271" t="s">
        <v>279</v>
      </c>
      <c r="E1271" s="433">
        <v>2893881100.2828999</v>
      </c>
      <c r="F1271" s="433">
        <v>1176093438</v>
      </c>
      <c r="G1271" s="433">
        <v>4069971546.2828999</v>
      </c>
      <c r="H1271" s="433">
        <v>4411693.2974004</v>
      </c>
      <c r="I1271" s="433">
        <v>1792942.8880247001</v>
      </c>
      <c r="J1271" s="433">
        <v>6204631.6241504997</v>
      </c>
    </row>
    <row r="1272" spans="2:10">
      <c r="B1272" t="s">
        <v>141</v>
      </c>
      <c r="C1272" s="27">
        <v>45077</v>
      </c>
      <c r="D1272" t="s">
        <v>280</v>
      </c>
      <c r="E1272" s="433">
        <v>410167.73560000001</v>
      </c>
      <c r="F1272" s="433">
        <v>34136</v>
      </c>
      <c r="G1272" s="433">
        <v>444303.73560000001</v>
      </c>
      <c r="H1272" s="433">
        <v>625.29668189999995</v>
      </c>
      <c r="I1272" s="433">
        <v>52.039996500000001</v>
      </c>
      <c r="J1272" s="433">
        <v>677.33667849999995</v>
      </c>
    </row>
    <row r="1273" spans="2:10">
      <c r="B1273" t="s">
        <v>141</v>
      </c>
      <c r="C1273" s="27">
        <v>45077</v>
      </c>
      <c r="D1273" t="s">
        <v>281</v>
      </c>
      <c r="E1273" s="433">
        <v>4459551753.1875</v>
      </c>
      <c r="F1273" s="433">
        <v>345996875</v>
      </c>
      <c r="G1273" s="433">
        <v>4805548628.1875</v>
      </c>
      <c r="H1273" s="433">
        <v>6798542.8209279999</v>
      </c>
      <c r="I1273" s="433">
        <v>527468.83560969995</v>
      </c>
      <c r="J1273" s="433">
        <v>7326011.6565377004</v>
      </c>
    </row>
    <row r="1274" spans="2:10">
      <c r="B1274" t="s">
        <v>140</v>
      </c>
      <c r="C1274" s="27">
        <v>45077</v>
      </c>
      <c r="D1274" t="s">
        <v>278</v>
      </c>
      <c r="E1274" s="433">
        <v>809010721.76559997</v>
      </c>
      <c r="F1274" s="433">
        <v>381744940</v>
      </c>
      <c r="G1274" s="433">
        <v>1190755661.7656</v>
      </c>
      <c r="H1274" s="433">
        <v>1233328.8946769</v>
      </c>
      <c r="I1274" s="433">
        <v>581966.40938349999</v>
      </c>
      <c r="J1274" s="433">
        <v>1815295.3040605001</v>
      </c>
    </row>
    <row r="1275" spans="2:10">
      <c r="B1275" t="s">
        <v>140</v>
      </c>
      <c r="C1275" s="27">
        <v>45077</v>
      </c>
      <c r="D1275" t="s">
        <v>279</v>
      </c>
      <c r="E1275" s="433">
        <v>1660306202.2142999</v>
      </c>
      <c r="F1275" s="433">
        <v>616592697</v>
      </c>
      <c r="G1275" s="433">
        <v>2276898899.2143002</v>
      </c>
      <c r="H1275" s="433">
        <v>2531120.4884075001</v>
      </c>
      <c r="I1275" s="433">
        <v>939989.50693409995</v>
      </c>
      <c r="J1275" s="433">
        <v>3471109.9953415999</v>
      </c>
    </row>
    <row r="1276" spans="2:10">
      <c r="B1276" t="s">
        <v>140</v>
      </c>
      <c r="C1276" s="27">
        <v>45077</v>
      </c>
      <c r="D1276" t="s">
        <v>280</v>
      </c>
      <c r="E1276" s="433">
        <v>-4362176.0125000002</v>
      </c>
      <c r="F1276" s="433">
        <v>1058459</v>
      </c>
      <c r="G1276" s="433">
        <v>-3303717.0125000002</v>
      </c>
      <c r="H1276" s="433">
        <v>-6650.0944612000003</v>
      </c>
      <c r="I1276" s="433">
        <v>1613.6103433999999</v>
      </c>
      <c r="J1276" s="433">
        <v>-5036.4841178999995</v>
      </c>
    </row>
    <row r="1277" spans="2:10">
      <c r="B1277" t="s">
        <v>140</v>
      </c>
      <c r="C1277" s="27">
        <v>45077</v>
      </c>
      <c r="D1277" t="s">
        <v>281</v>
      </c>
      <c r="E1277" s="433">
        <v>437447189.4957</v>
      </c>
      <c r="F1277" s="433">
        <v>125317365</v>
      </c>
      <c r="G1277" s="433">
        <v>562764554.4957</v>
      </c>
      <c r="H1277" s="433">
        <v>666883.94131889998</v>
      </c>
      <c r="I1277" s="433">
        <v>191045.09137030001</v>
      </c>
      <c r="J1277" s="433">
        <v>857929.03268920002</v>
      </c>
    </row>
    <row r="1278" spans="2:10">
      <c r="B1278" t="s">
        <v>123</v>
      </c>
      <c r="C1278" s="27" t="s">
        <v>541</v>
      </c>
      <c r="D1278" t="s">
        <v>278</v>
      </c>
      <c r="E1278" s="433">
        <v>513935902.36400002</v>
      </c>
      <c r="F1278" s="433">
        <v>192778084</v>
      </c>
      <c r="G1278" s="433">
        <v>706713986.36399996</v>
      </c>
      <c r="H1278" s="433">
        <v>783490.23238409997</v>
      </c>
      <c r="I1278" s="433">
        <v>293888.29450710001</v>
      </c>
      <c r="J1278" s="433">
        <v>1077378.5268912001</v>
      </c>
    </row>
    <row r="1279" spans="2:10">
      <c r="B1279" t="s">
        <v>123</v>
      </c>
      <c r="C1279" s="27" t="s">
        <v>541</v>
      </c>
      <c r="D1279" t="s">
        <v>279</v>
      </c>
      <c r="E1279" s="433">
        <v>510869416.36979997</v>
      </c>
      <c r="F1279" s="433">
        <v>301604010.92000002</v>
      </c>
      <c r="G1279" s="433">
        <v>812473427.28980005</v>
      </c>
      <c r="H1279" s="433">
        <v>778815.40462229995</v>
      </c>
      <c r="I1279" s="433">
        <v>459792.35059619998</v>
      </c>
      <c r="J1279" s="433">
        <v>1238607.7552183999</v>
      </c>
    </row>
    <row r="1280" spans="2:10">
      <c r="B1280" t="s">
        <v>123</v>
      </c>
      <c r="C1280" s="27" t="s">
        <v>541</v>
      </c>
      <c r="D1280" t="s">
        <v>280</v>
      </c>
      <c r="E1280" s="433">
        <v>127556.7392</v>
      </c>
      <c r="F1280" s="433">
        <v>147614</v>
      </c>
      <c r="G1280" s="433">
        <v>275170.73920000001</v>
      </c>
      <c r="H1280" s="433">
        <v>194.4589953</v>
      </c>
      <c r="I1280" s="433">
        <v>225.03609230000001</v>
      </c>
      <c r="J1280" s="433">
        <v>419.49508759999998</v>
      </c>
    </row>
    <row r="1281" spans="2:10">
      <c r="B1281" t="s">
        <v>123</v>
      </c>
      <c r="C1281" s="27" t="s">
        <v>541</v>
      </c>
      <c r="D1281" t="s">
        <v>281</v>
      </c>
      <c r="E1281" s="433">
        <v>445083439.81080002</v>
      </c>
      <c r="F1281" s="433">
        <v>122131701</v>
      </c>
      <c r="G1281" s="433">
        <v>567215140.81079996</v>
      </c>
      <c r="H1281" s="433">
        <v>678525.32987799996</v>
      </c>
      <c r="I1281" s="433">
        <v>186188.57790979999</v>
      </c>
      <c r="J1281" s="433">
        <v>864713.90778789995</v>
      </c>
    </row>
    <row r="1282" spans="2:10">
      <c r="B1282" t="s">
        <v>124</v>
      </c>
      <c r="C1282" s="27" t="s">
        <v>541</v>
      </c>
      <c r="D1282" t="s">
        <v>278</v>
      </c>
      <c r="E1282" s="433">
        <v>664463029.83969998</v>
      </c>
      <c r="F1282" s="433">
        <v>69993416</v>
      </c>
      <c r="G1282" s="433">
        <v>734446445.83969998</v>
      </c>
      <c r="H1282" s="433">
        <v>1012967.3588965</v>
      </c>
      <c r="I1282" s="433">
        <v>106704.2748229</v>
      </c>
      <c r="J1282" s="433">
        <v>1119656.3888177001</v>
      </c>
    </row>
    <row r="1283" spans="2:10">
      <c r="B1283" t="s">
        <v>124</v>
      </c>
      <c r="C1283" s="27" t="s">
        <v>541</v>
      </c>
      <c r="D1283" t="s">
        <v>279</v>
      </c>
      <c r="E1283" s="433">
        <v>1705908803.6849999</v>
      </c>
      <c r="F1283" s="433">
        <v>1224727306</v>
      </c>
      <c r="G1283" s="433">
        <v>2930606109.6849999</v>
      </c>
      <c r="H1283" s="433">
        <v>2600641.2061842</v>
      </c>
      <c r="I1283" s="433">
        <v>1867084.7418352</v>
      </c>
      <c r="J1283" s="433">
        <v>4467680.2133143004</v>
      </c>
    </row>
    <row r="1284" spans="2:10">
      <c r="B1284" t="s">
        <v>124</v>
      </c>
      <c r="C1284" s="27" t="s">
        <v>541</v>
      </c>
      <c r="D1284" t="s">
        <v>280</v>
      </c>
      <c r="E1284" s="433">
        <v>32895201.608600002</v>
      </c>
      <c r="F1284" s="433">
        <v>16037406</v>
      </c>
      <c r="G1284" s="433">
        <v>48932607.608599998</v>
      </c>
      <c r="H1284" s="433">
        <v>50148.411570600001</v>
      </c>
      <c r="I1284" s="433">
        <v>24448.867837400001</v>
      </c>
      <c r="J1284" s="433">
        <v>74597.279407900001</v>
      </c>
    </row>
    <row r="1285" spans="2:10">
      <c r="B1285" t="s">
        <v>124</v>
      </c>
      <c r="C1285" s="27" t="s">
        <v>541</v>
      </c>
      <c r="D1285" t="s">
        <v>281</v>
      </c>
      <c r="E1285" s="433">
        <v>1064461402.8866</v>
      </c>
      <c r="F1285" s="433">
        <v>136911021</v>
      </c>
      <c r="G1285" s="433">
        <v>1201372423.8866</v>
      </c>
      <c r="H1285" s="433">
        <v>1622760.9475722001</v>
      </c>
      <c r="I1285" s="433">
        <v>208719.5060042</v>
      </c>
      <c r="J1285" s="433">
        <v>1831480.4535763999</v>
      </c>
    </row>
    <row r="1286" spans="2:10">
      <c r="B1286" t="s">
        <v>131</v>
      </c>
      <c r="C1286" s="27" t="s">
        <v>541</v>
      </c>
      <c r="D1286" t="s">
        <v>278</v>
      </c>
      <c r="E1286" s="433">
        <v>11587595970.403299</v>
      </c>
      <c r="F1286" s="433">
        <v>3988634195</v>
      </c>
      <c r="G1286" s="433">
        <v>15570567319.403299</v>
      </c>
      <c r="H1286" s="433">
        <v>17665176.1783216</v>
      </c>
      <c r="I1286" s="433">
        <v>6080633.6314727999</v>
      </c>
      <c r="J1286" s="433">
        <v>23737176.856719699</v>
      </c>
    </row>
    <row r="1287" spans="2:10">
      <c r="B1287" t="s">
        <v>131</v>
      </c>
      <c r="C1287" s="27" t="s">
        <v>541</v>
      </c>
      <c r="D1287" t="s">
        <v>279</v>
      </c>
      <c r="E1287" s="433">
        <v>13887534112.516399</v>
      </c>
      <c r="F1287" s="433">
        <v>8077965816</v>
      </c>
      <c r="G1287" s="433">
        <v>21948232317.516399</v>
      </c>
      <c r="H1287" s="433">
        <v>21171409.273041401</v>
      </c>
      <c r="I1287" s="433">
        <v>12314779.499266</v>
      </c>
      <c r="J1287" s="433">
        <v>33459864.469037499</v>
      </c>
    </row>
    <row r="1288" spans="2:10">
      <c r="B1288" t="s">
        <v>131</v>
      </c>
      <c r="C1288" s="27" t="s">
        <v>541</v>
      </c>
      <c r="D1288" t="s">
        <v>280</v>
      </c>
      <c r="E1288" s="433">
        <v>59071107.098899998</v>
      </c>
      <c r="F1288" s="433">
        <v>-1305378335</v>
      </c>
      <c r="G1288" s="433">
        <v>-1246307477.9010999</v>
      </c>
      <c r="H1288" s="433">
        <v>90053.322243500006</v>
      </c>
      <c r="I1288" s="433">
        <v>-1990036.4429376</v>
      </c>
      <c r="J1288" s="433">
        <v>-1899983.5018166001</v>
      </c>
    </row>
    <row r="1289" spans="2:10">
      <c r="B1289" t="s">
        <v>131</v>
      </c>
      <c r="C1289" s="27" t="s">
        <v>541</v>
      </c>
      <c r="D1289" t="s">
        <v>281</v>
      </c>
      <c r="E1289" s="433">
        <v>10051936411.7362</v>
      </c>
      <c r="F1289" s="433">
        <v>1392890816</v>
      </c>
      <c r="G1289" s="433">
        <v>11442652819.7362</v>
      </c>
      <c r="H1289" s="433">
        <v>15324078.273021201</v>
      </c>
      <c r="I1289" s="433">
        <v>2123448.3601821</v>
      </c>
      <c r="J1289" s="433">
        <v>17444211.769576699</v>
      </c>
    </row>
    <row r="1290" spans="2:10">
      <c r="B1290" t="s">
        <v>132</v>
      </c>
      <c r="C1290" s="27" t="s">
        <v>541</v>
      </c>
      <c r="D1290" t="s">
        <v>278</v>
      </c>
      <c r="E1290" s="433">
        <v>3242073716.4221001</v>
      </c>
      <c r="F1290" s="433">
        <v>1998802857</v>
      </c>
      <c r="G1290" s="433">
        <v>5240876573.4221001</v>
      </c>
      <c r="H1290" s="433">
        <v>4942509.5187978996</v>
      </c>
      <c r="I1290" s="433">
        <v>3047155.3120098002</v>
      </c>
      <c r="J1290" s="433">
        <v>7989664.8308076998</v>
      </c>
    </row>
    <row r="1291" spans="2:10">
      <c r="B1291" t="s">
        <v>132</v>
      </c>
      <c r="C1291" s="27" t="s">
        <v>541</v>
      </c>
      <c r="D1291" t="s">
        <v>279</v>
      </c>
      <c r="E1291" s="433">
        <v>4440586646.0611</v>
      </c>
      <c r="F1291" s="433">
        <v>3042238683</v>
      </c>
      <c r="G1291" s="433">
        <v>7482811429.0611</v>
      </c>
      <c r="H1291" s="433">
        <v>6769630.7014958002</v>
      </c>
      <c r="I1291" s="433">
        <v>4637862.9742497997</v>
      </c>
      <c r="J1291" s="433">
        <v>11407472.485332301</v>
      </c>
    </row>
    <row r="1292" spans="2:10">
      <c r="B1292" t="s">
        <v>132</v>
      </c>
      <c r="C1292" s="27" t="s">
        <v>541</v>
      </c>
      <c r="D1292" t="s">
        <v>280</v>
      </c>
      <c r="E1292" s="433">
        <v>-118524260.6937</v>
      </c>
      <c r="F1292" s="433">
        <v>14522030</v>
      </c>
      <c r="G1292" s="433">
        <v>-104002230.6937</v>
      </c>
      <c r="H1292" s="433">
        <v>-180689.07061550001</v>
      </c>
      <c r="I1292" s="433">
        <v>22138.692017900001</v>
      </c>
      <c r="J1292" s="433">
        <v>-158550.37859750001</v>
      </c>
    </row>
    <row r="1293" spans="2:10">
      <c r="B1293" t="s">
        <v>132</v>
      </c>
      <c r="C1293" s="27" t="s">
        <v>541</v>
      </c>
      <c r="D1293" t="s">
        <v>281</v>
      </c>
      <c r="E1293" s="433">
        <v>1380148663.6055</v>
      </c>
      <c r="F1293" s="433">
        <v>426609132</v>
      </c>
      <c r="G1293" s="433">
        <v>1806757795.6055</v>
      </c>
      <c r="H1293" s="433">
        <v>2104023.0740817999</v>
      </c>
      <c r="I1293" s="433">
        <v>650361.42917899997</v>
      </c>
      <c r="J1293" s="433">
        <v>2754384.5032608998</v>
      </c>
    </row>
    <row r="1294" spans="2:10">
      <c r="B1294" t="s">
        <v>135</v>
      </c>
      <c r="C1294" s="27" t="s">
        <v>541</v>
      </c>
      <c r="D1294" t="s">
        <v>278</v>
      </c>
      <c r="E1294" s="433">
        <v>1033657763.3297</v>
      </c>
      <c r="F1294" s="433">
        <v>711389685</v>
      </c>
      <c r="G1294" s="433">
        <v>1745047448.3297</v>
      </c>
      <c r="H1294" s="433">
        <v>1575801.1017942999</v>
      </c>
      <c r="I1294" s="433">
        <v>1084506.5835108</v>
      </c>
      <c r="J1294" s="433">
        <v>2660307.6853050999</v>
      </c>
    </row>
    <row r="1295" spans="2:10">
      <c r="B1295" t="s">
        <v>135</v>
      </c>
      <c r="C1295" s="27" t="s">
        <v>541</v>
      </c>
      <c r="D1295" t="s">
        <v>279</v>
      </c>
      <c r="E1295" s="433">
        <v>803051711.50520003</v>
      </c>
      <c r="F1295" s="433">
        <v>237722681</v>
      </c>
      <c r="G1295" s="433">
        <v>1040774392.5052</v>
      </c>
      <c r="H1295" s="433">
        <v>1224244.4420979</v>
      </c>
      <c r="I1295" s="433">
        <v>362405.89093489997</v>
      </c>
      <c r="J1295" s="433">
        <v>1586650.3330327999</v>
      </c>
    </row>
    <row r="1296" spans="2:10">
      <c r="B1296" t="s">
        <v>135</v>
      </c>
      <c r="C1296" s="27" t="s">
        <v>541</v>
      </c>
      <c r="D1296" t="s">
        <v>280</v>
      </c>
      <c r="E1296" s="433">
        <v>-212829.51670000001</v>
      </c>
      <c r="F1296" s="433">
        <v>520312</v>
      </c>
      <c r="G1296" s="433">
        <v>307482.48330000002</v>
      </c>
      <c r="H1296" s="433">
        <v>-324.45650660000001</v>
      </c>
      <c r="I1296" s="433">
        <v>793.21053059999997</v>
      </c>
      <c r="J1296" s="433">
        <v>468.75402400000002</v>
      </c>
    </row>
    <row r="1297" spans="2:10">
      <c r="B1297" t="s">
        <v>135</v>
      </c>
      <c r="C1297" s="27" t="s">
        <v>541</v>
      </c>
      <c r="D1297" t="s">
        <v>281</v>
      </c>
      <c r="E1297" s="433">
        <v>1012189698.7636</v>
      </c>
      <c r="F1297" s="433">
        <v>437307165</v>
      </c>
      <c r="G1297" s="433">
        <v>1449496863.7636001</v>
      </c>
      <c r="H1297" s="433">
        <v>1543073.2483434</v>
      </c>
      <c r="I1297" s="433">
        <v>666670.47535129997</v>
      </c>
      <c r="J1297" s="433">
        <v>2209743.7236946998</v>
      </c>
    </row>
    <row r="1298" spans="2:10">
      <c r="B1298" t="s">
        <v>136</v>
      </c>
      <c r="C1298" s="27" t="s">
        <v>541</v>
      </c>
      <c r="D1298" t="s">
        <v>278</v>
      </c>
      <c r="E1298" s="433">
        <v>-6166589.3646999998</v>
      </c>
      <c r="F1298" s="433">
        <v>3761303.3</v>
      </c>
      <c r="G1298" s="433">
        <v>-2405286.0647</v>
      </c>
      <c r="H1298" s="433">
        <v>-513570.02529289998</v>
      </c>
      <c r="I1298" s="433">
        <v>313251.38041029999</v>
      </c>
      <c r="J1298" s="433">
        <v>-200318.6448827</v>
      </c>
    </row>
    <row r="1299" spans="2:10">
      <c r="B1299" t="s">
        <v>136</v>
      </c>
      <c r="C1299" s="27" t="s">
        <v>541</v>
      </c>
      <c r="D1299" t="s">
        <v>279</v>
      </c>
      <c r="E1299" s="433">
        <v>754870.97739999997</v>
      </c>
      <c r="F1299" s="433">
        <v>12449837.98</v>
      </c>
      <c r="G1299" s="433">
        <v>13206739.077400001</v>
      </c>
      <c r="H1299" s="433">
        <v>62867.670283899999</v>
      </c>
      <c r="I1299" s="433">
        <v>1036855.7444221</v>
      </c>
      <c r="J1299" s="433">
        <v>1099892.4885195</v>
      </c>
    </row>
    <row r="1300" spans="2:10">
      <c r="B1300" t="s">
        <v>136</v>
      </c>
      <c r="C1300" s="27" t="s">
        <v>541</v>
      </c>
      <c r="D1300" t="s">
        <v>280</v>
      </c>
      <c r="E1300" s="433">
        <v>-6460.5454</v>
      </c>
      <c r="F1300" s="433">
        <v>7422.03</v>
      </c>
      <c r="G1300" s="433">
        <v>961.4846</v>
      </c>
      <c r="H1300" s="433">
        <v>-538.05146869999999</v>
      </c>
      <c r="I1300" s="433">
        <v>618.1264731</v>
      </c>
      <c r="J1300" s="433">
        <v>80.075004399999997</v>
      </c>
    </row>
    <row r="1301" spans="2:10">
      <c r="B1301" t="s">
        <v>136</v>
      </c>
      <c r="C1301" s="27" t="s">
        <v>541</v>
      </c>
      <c r="D1301" t="s">
        <v>281</v>
      </c>
      <c r="E1301" s="433">
        <v>403046.30920000002</v>
      </c>
      <c r="F1301" s="433">
        <v>4909491.8099999996</v>
      </c>
      <c r="G1301" s="433">
        <v>5312538.1191999996</v>
      </c>
      <c r="H1301" s="433">
        <v>33566.772646600002</v>
      </c>
      <c r="I1301" s="433">
        <v>408875.5848525</v>
      </c>
      <c r="J1301" s="433">
        <v>442442.35749919998</v>
      </c>
    </row>
    <row r="1302" spans="2:10">
      <c r="B1302" t="s">
        <v>137</v>
      </c>
      <c r="C1302" s="27" t="s">
        <v>541</v>
      </c>
      <c r="D1302" t="s">
        <v>278</v>
      </c>
      <c r="E1302" s="433">
        <v>21349776234.661999</v>
      </c>
      <c r="F1302" s="433">
        <v>6286244758.0100002</v>
      </c>
      <c r="G1302" s="433">
        <v>27634650302.672001</v>
      </c>
      <c r="H1302" s="433">
        <v>2293152.1992625999</v>
      </c>
      <c r="I1302" s="433">
        <v>675197.5212054</v>
      </c>
      <c r="J1302" s="433">
        <v>2968202.4964056001</v>
      </c>
    </row>
    <row r="1303" spans="2:10">
      <c r="B1303" t="s">
        <v>137</v>
      </c>
      <c r="C1303" s="27" t="s">
        <v>541</v>
      </c>
      <c r="D1303" t="s">
        <v>279</v>
      </c>
      <c r="E1303" s="433">
        <v>24636508327.398399</v>
      </c>
      <c r="F1303" s="433">
        <v>15231455680.34</v>
      </c>
      <c r="G1303" s="433">
        <v>39861009604.738403</v>
      </c>
      <c r="H1303" s="433">
        <v>2646175.8958111</v>
      </c>
      <c r="I1303" s="433">
        <v>1635991.2023169</v>
      </c>
      <c r="J1303" s="433">
        <v>4281420.1345833996</v>
      </c>
    </row>
    <row r="1304" spans="2:10">
      <c r="B1304" t="s">
        <v>137</v>
      </c>
      <c r="C1304" s="27" t="s">
        <v>541</v>
      </c>
      <c r="D1304" t="s">
        <v>280</v>
      </c>
      <c r="E1304" s="433">
        <v>39873.320899999999</v>
      </c>
      <c r="F1304" s="433">
        <v>398635</v>
      </c>
      <c r="G1304" s="433">
        <v>438508.32089999999</v>
      </c>
      <c r="H1304" s="433">
        <v>4.2827425000000003</v>
      </c>
      <c r="I1304" s="433">
        <v>42.816876200000003</v>
      </c>
      <c r="J1304" s="433">
        <v>47.099618700000001</v>
      </c>
    </row>
    <row r="1305" spans="2:10">
      <c r="B1305" t="s">
        <v>137</v>
      </c>
      <c r="C1305" s="27" t="s">
        <v>541</v>
      </c>
      <c r="D1305" t="s">
        <v>281</v>
      </c>
      <c r="E1305" s="433">
        <v>31908992880.003399</v>
      </c>
      <c r="F1305" s="433">
        <v>1868123095</v>
      </c>
      <c r="G1305" s="433">
        <v>33776989952.003399</v>
      </c>
      <c r="H1305" s="433">
        <v>3427304.1738131</v>
      </c>
      <c r="I1305" s="433">
        <v>200652.71582740001</v>
      </c>
      <c r="J1305" s="433">
        <v>3627943.3536709999</v>
      </c>
    </row>
    <row r="1306" spans="2:10">
      <c r="B1306" t="s">
        <v>138</v>
      </c>
      <c r="C1306" s="27" t="s">
        <v>541</v>
      </c>
      <c r="D1306" t="s">
        <v>278</v>
      </c>
      <c r="E1306" s="433">
        <v>15411412515.0394</v>
      </c>
      <c r="F1306" s="433">
        <v>4851289262.0799999</v>
      </c>
      <c r="G1306" s="433">
        <v>20262701777.1194</v>
      </c>
      <c r="H1306" s="433">
        <v>3155509.2506790999</v>
      </c>
      <c r="I1306" s="433">
        <v>993308.57111729996</v>
      </c>
      <c r="J1306" s="433">
        <v>4148817.8217965001</v>
      </c>
    </row>
    <row r="1307" spans="2:10">
      <c r="B1307" t="s">
        <v>138</v>
      </c>
      <c r="C1307" s="27" t="s">
        <v>541</v>
      </c>
      <c r="D1307" t="s">
        <v>279</v>
      </c>
      <c r="E1307" s="433">
        <v>33083604252.5182</v>
      </c>
      <c r="F1307" s="433">
        <v>18159114362.080002</v>
      </c>
      <c r="G1307" s="433">
        <v>51242718614.598198</v>
      </c>
      <c r="H1307" s="433">
        <v>6773916.3534006998</v>
      </c>
      <c r="I1307" s="433">
        <v>3718105.2222024002</v>
      </c>
      <c r="J1307" s="433">
        <v>10492021.5756031</v>
      </c>
    </row>
    <row r="1308" spans="2:10">
      <c r="B1308" t="s">
        <v>138</v>
      </c>
      <c r="C1308" s="27" t="s">
        <v>541</v>
      </c>
      <c r="D1308" t="s">
        <v>280</v>
      </c>
      <c r="E1308" s="433">
        <v>165616.17619999999</v>
      </c>
      <c r="F1308" s="433">
        <v>8550</v>
      </c>
      <c r="G1308" s="433">
        <v>174166.17619999999</v>
      </c>
      <c r="H1308" s="433">
        <v>33.910154300000002</v>
      </c>
      <c r="I1308" s="433">
        <v>1.7506250000000001</v>
      </c>
      <c r="J1308" s="433">
        <v>35.660779300000002</v>
      </c>
    </row>
    <row r="1309" spans="2:10">
      <c r="B1309" t="s">
        <v>138</v>
      </c>
      <c r="C1309" s="27" t="s">
        <v>541</v>
      </c>
      <c r="D1309" t="s">
        <v>281</v>
      </c>
      <c r="E1309" s="433">
        <v>15025270427.4944</v>
      </c>
      <c r="F1309" s="433">
        <v>2290575162.0500002</v>
      </c>
      <c r="G1309" s="433">
        <v>17315845589.544399</v>
      </c>
      <c r="H1309" s="433">
        <v>3076446.0935457</v>
      </c>
      <c r="I1309" s="433">
        <v>468998.6142523</v>
      </c>
      <c r="J1309" s="433">
        <v>3545444.707798</v>
      </c>
    </row>
    <row r="1310" spans="2:10">
      <c r="B1310" t="s">
        <v>139</v>
      </c>
      <c r="C1310" s="27" t="s">
        <v>541</v>
      </c>
      <c r="D1310" t="s">
        <v>278</v>
      </c>
      <c r="E1310" s="433">
        <v>17183180.9866</v>
      </c>
      <c r="F1310" s="433">
        <v>21674658.390000001</v>
      </c>
      <c r="G1310" s="433">
        <v>38857839.376599997</v>
      </c>
      <c r="H1310" s="433">
        <v>456999.49432449997</v>
      </c>
      <c r="I1310" s="433">
        <v>576453.68058509997</v>
      </c>
      <c r="J1310" s="433">
        <v>1033453.1749096001</v>
      </c>
    </row>
    <row r="1311" spans="2:10">
      <c r="B1311" t="s">
        <v>139</v>
      </c>
      <c r="C1311" s="27" t="s">
        <v>541</v>
      </c>
      <c r="D1311" t="s">
        <v>279</v>
      </c>
      <c r="E1311" s="433">
        <v>49328377.774800003</v>
      </c>
      <c r="F1311" s="433">
        <v>43875791.789999999</v>
      </c>
      <c r="G1311" s="433">
        <v>93204169.564799994</v>
      </c>
      <c r="H1311" s="433">
        <v>1311924.9408191</v>
      </c>
      <c r="I1311" s="433">
        <v>1166909.3561170001</v>
      </c>
      <c r="J1311" s="433">
        <v>2478834.2969362</v>
      </c>
    </row>
    <row r="1312" spans="2:10">
      <c r="B1312" t="s">
        <v>139</v>
      </c>
      <c r="C1312" s="27" t="s">
        <v>541</v>
      </c>
      <c r="D1312" t="s">
        <v>280</v>
      </c>
      <c r="E1312" s="433">
        <v>-2842109.9290999998</v>
      </c>
      <c r="F1312" s="433">
        <v>64160.82</v>
      </c>
      <c r="G1312" s="433">
        <v>-2777949.1091</v>
      </c>
      <c r="H1312" s="433">
        <v>-75588.030029300004</v>
      </c>
      <c r="I1312" s="433">
        <v>1706.4047872000001</v>
      </c>
      <c r="J1312" s="433">
        <v>-73881.625241999995</v>
      </c>
    </row>
    <row r="1313" spans="2:10">
      <c r="B1313" t="s">
        <v>139</v>
      </c>
      <c r="C1313" s="27" t="s">
        <v>541</v>
      </c>
      <c r="D1313" t="s">
        <v>281</v>
      </c>
      <c r="E1313" s="433">
        <v>-2654517.6923000002</v>
      </c>
      <c r="F1313" s="433">
        <v>5020218.1399999997</v>
      </c>
      <c r="G1313" s="433">
        <v>2365700.4476999999</v>
      </c>
      <c r="H1313" s="433">
        <v>-70598.874795199998</v>
      </c>
      <c r="I1313" s="433">
        <v>133516.43989360001</v>
      </c>
      <c r="J1313" s="433">
        <v>62917.565098400002</v>
      </c>
    </row>
    <row r="1314" spans="2:10">
      <c r="B1314" t="s">
        <v>141</v>
      </c>
      <c r="C1314" s="27" t="s">
        <v>541</v>
      </c>
      <c r="D1314" t="s">
        <v>278</v>
      </c>
      <c r="E1314" s="433">
        <v>3511715657.6494999</v>
      </c>
      <c r="F1314" s="433">
        <v>153413194</v>
      </c>
      <c r="G1314" s="433">
        <v>3665125859.6494999</v>
      </c>
      <c r="H1314" s="433">
        <v>5353576.0082588997</v>
      </c>
      <c r="I1314" s="433">
        <v>233876.90656549999</v>
      </c>
      <c r="J1314" s="433">
        <v>5587448.3535499005</v>
      </c>
    </row>
    <row r="1315" spans="2:10">
      <c r="B1315" t="s">
        <v>141</v>
      </c>
      <c r="C1315" s="27" t="s">
        <v>541</v>
      </c>
      <c r="D1315" t="s">
        <v>279</v>
      </c>
      <c r="E1315" s="433">
        <v>3410773201.9503999</v>
      </c>
      <c r="F1315" s="433">
        <v>281961124</v>
      </c>
      <c r="G1315" s="433">
        <v>3692731333.9503999</v>
      </c>
      <c r="H1315" s="433">
        <v>5199690.2265702998</v>
      </c>
      <c r="I1315" s="433">
        <v>429846.96252960002</v>
      </c>
      <c r="J1315" s="433">
        <v>5629532.6278253002</v>
      </c>
    </row>
    <row r="1316" spans="2:10">
      <c r="B1316" t="s">
        <v>141</v>
      </c>
      <c r="C1316" s="27" t="s">
        <v>541</v>
      </c>
      <c r="D1316" t="s">
        <v>280</v>
      </c>
      <c r="E1316" s="433">
        <v>483837.66720000003</v>
      </c>
      <c r="F1316" s="433">
        <v>31072</v>
      </c>
      <c r="G1316" s="433">
        <v>514909.66720000003</v>
      </c>
      <c r="H1316" s="433">
        <v>737.6057687</v>
      </c>
      <c r="I1316" s="433">
        <v>47.368958599999999</v>
      </c>
      <c r="J1316" s="433">
        <v>784.97472730000004</v>
      </c>
    </row>
    <row r="1317" spans="2:10">
      <c r="B1317" t="s">
        <v>141</v>
      </c>
      <c r="C1317" s="27" t="s">
        <v>541</v>
      </c>
      <c r="D1317" t="s">
        <v>281</v>
      </c>
      <c r="E1317" s="433">
        <v>5257772551.7563</v>
      </c>
      <c r="F1317" s="433">
        <v>81299987</v>
      </c>
      <c r="G1317" s="433">
        <v>5339072538.7563</v>
      </c>
      <c r="H1317" s="433">
        <v>8015422.5837308001</v>
      </c>
      <c r="I1317" s="433">
        <v>123941.03119559999</v>
      </c>
      <c r="J1317" s="433">
        <v>8139363.6149263997</v>
      </c>
    </row>
    <row r="1318" spans="2:10">
      <c r="B1318" t="s">
        <v>140</v>
      </c>
      <c r="C1318" s="27" t="s">
        <v>541</v>
      </c>
      <c r="D1318" t="s">
        <v>278</v>
      </c>
      <c r="E1318" s="433">
        <v>976774594.31200004</v>
      </c>
      <c r="F1318" s="433">
        <v>465328203</v>
      </c>
      <c r="G1318" s="433">
        <v>1442102797.312</v>
      </c>
      <c r="H1318" s="433">
        <v>1489083.2696533001</v>
      </c>
      <c r="I1318" s="433">
        <v>709388.27240200003</v>
      </c>
      <c r="J1318" s="433">
        <v>2198471.5420553</v>
      </c>
    </row>
    <row r="1319" spans="2:10">
      <c r="B1319" t="s">
        <v>140</v>
      </c>
      <c r="C1319" s="27" t="s">
        <v>541</v>
      </c>
      <c r="D1319" t="s">
        <v>279</v>
      </c>
      <c r="E1319" s="433">
        <v>1940246484.4038999</v>
      </c>
      <c r="F1319" s="433">
        <v>744385689</v>
      </c>
      <c r="G1319" s="433">
        <v>2684632173.4039001</v>
      </c>
      <c r="H1319" s="433">
        <v>2957886.6974571999</v>
      </c>
      <c r="I1319" s="433">
        <v>1134808.6673363999</v>
      </c>
      <c r="J1319" s="433">
        <v>4092695.3647936</v>
      </c>
    </row>
    <row r="1320" spans="2:10">
      <c r="B1320" t="s">
        <v>140</v>
      </c>
      <c r="C1320" s="27" t="s">
        <v>541</v>
      </c>
      <c r="D1320" t="s">
        <v>280</v>
      </c>
      <c r="E1320" s="433">
        <v>-5904972.7885999996</v>
      </c>
      <c r="F1320" s="433">
        <v>1738968</v>
      </c>
      <c r="G1320" s="433">
        <v>-4166004.7886000001</v>
      </c>
      <c r="H1320" s="433">
        <v>-9002.0729843999998</v>
      </c>
      <c r="I1320" s="433">
        <v>2651.0396261000001</v>
      </c>
      <c r="J1320" s="433">
        <v>-6351.0333583000001</v>
      </c>
    </row>
    <row r="1321" spans="2:10">
      <c r="B1321" t="s">
        <v>140</v>
      </c>
      <c r="C1321" s="27" t="s">
        <v>541</v>
      </c>
      <c r="D1321" t="s">
        <v>281</v>
      </c>
      <c r="E1321" s="433">
        <v>548156586.12189996</v>
      </c>
      <c r="F1321" s="433">
        <v>151617216</v>
      </c>
      <c r="G1321" s="433">
        <v>699773802.12189996</v>
      </c>
      <c r="H1321" s="433">
        <v>835659.32846500003</v>
      </c>
      <c r="I1321" s="433">
        <v>231138.9557547</v>
      </c>
      <c r="J1321" s="433">
        <v>1066798.2842196999</v>
      </c>
    </row>
    <row r="1322" spans="2:10">
      <c r="B1322" t="s">
        <v>123</v>
      </c>
      <c r="C1322" s="27" t="s">
        <v>543</v>
      </c>
      <c r="D1322" t="s">
        <v>278</v>
      </c>
      <c r="E1322" s="433">
        <v>608784443.67799997</v>
      </c>
      <c r="F1322" s="433">
        <v>237359235</v>
      </c>
      <c r="G1322" s="433">
        <v>846143678.67799997</v>
      </c>
      <c r="H1322" s="433">
        <v>928085.90148130001</v>
      </c>
      <c r="I1322" s="433">
        <v>361851.82107970002</v>
      </c>
      <c r="J1322" s="433">
        <v>1289937.7225611</v>
      </c>
    </row>
    <row r="1323" spans="2:10">
      <c r="B1323" t="s">
        <v>123</v>
      </c>
      <c r="C1323" s="27" t="s">
        <v>543</v>
      </c>
      <c r="D1323" t="s">
        <v>279</v>
      </c>
      <c r="E1323" s="433">
        <v>716094263.1027</v>
      </c>
      <c r="F1323" s="433">
        <v>360864877.74000001</v>
      </c>
      <c r="G1323" s="433">
        <v>1076959140.8427</v>
      </c>
      <c r="H1323" s="433">
        <v>1091678.6665934999</v>
      </c>
      <c r="I1323" s="433">
        <v>550134.95966960001</v>
      </c>
      <c r="J1323" s="433">
        <v>1641813.6262632001</v>
      </c>
    </row>
    <row r="1324" spans="2:10">
      <c r="B1324" t="s">
        <v>123</v>
      </c>
      <c r="C1324" s="27" t="s">
        <v>543</v>
      </c>
      <c r="D1324" t="s">
        <v>280</v>
      </c>
      <c r="E1324" s="433">
        <v>134409.91949999999</v>
      </c>
      <c r="F1324" s="433">
        <v>157877</v>
      </c>
      <c r="G1324" s="433">
        <v>292286.91950000002</v>
      </c>
      <c r="H1324" s="433">
        <v>204.90660130000001</v>
      </c>
      <c r="I1324" s="433">
        <v>240.68193489999999</v>
      </c>
      <c r="J1324" s="433">
        <v>445.58853629999999</v>
      </c>
    </row>
    <row r="1325" spans="2:10">
      <c r="B1325" t="s">
        <v>123</v>
      </c>
      <c r="C1325" s="27" t="s">
        <v>543</v>
      </c>
      <c r="D1325" t="s">
        <v>281</v>
      </c>
      <c r="E1325" s="433">
        <v>520072510.07249999</v>
      </c>
      <c r="F1325" s="433">
        <v>137743405</v>
      </c>
      <c r="G1325" s="433">
        <v>657815915.07249999</v>
      </c>
      <c r="H1325" s="433">
        <v>792845.43052749999</v>
      </c>
      <c r="I1325" s="433">
        <v>209988.46723179999</v>
      </c>
      <c r="J1325" s="433">
        <v>1002833.8977593</v>
      </c>
    </row>
    <row r="1326" spans="2:10">
      <c r="B1326" t="s">
        <v>124</v>
      </c>
      <c r="C1326" s="27" t="s">
        <v>543</v>
      </c>
      <c r="D1326" t="s">
        <v>278</v>
      </c>
      <c r="E1326" s="433">
        <v>770127787.32290006</v>
      </c>
      <c r="F1326" s="433">
        <v>65667793</v>
      </c>
      <c r="G1326" s="433">
        <v>835785580.32290006</v>
      </c>
      <c r="H1326" s="433">
        <v>1174052.243246</v>
      </c>
      <c r="I1326" s="433">
        <v>100109.90506999999</v>
      </c>
      <c r="J1326" s="433">
        <v>1274146.9034142001</v>
      </c>
    </row>
    <row r="1327" spans="2:10">
      <c r="B1327" t="s">
        <v>124</v>
      </c>
      <c r="C1327" s="27" t="s">
        <v>543</v>
      </c>
      <c r="D1327" t="s">
        <v>279</v>
      </c>
      <c r="E1327" s="433">
        <v>2003488294.7104001</v>
      </c>
      <c r="F1327" s="433">
        <v>1437357540</v>
      </c>
      <c r="G1327" s="433">
        <v>3440810834.7104001</v>
      </c>
      <c r="H1327" s="433">
        <v>3054298.2157526002</v>
      </c>
      <c r="I1327" s="433">
        <v>2191237.4439178002</v>
      </c>
      <c r="J1327" s="433">
        <v>5245482.3025142998</v>
      </c>
    </row>
    <row r="1328" spans="2:10">
      <c r="B1328" t="s">
        <v>124</v>
      </c>
      <c r="C1328" s="27" t="s">
        <v>543</v>
      </c>
      <c r="D1328" t="s">
        <v>280</v>
      </c>
      <c r="E1328" s="433">
        <v>36484082.098200001</v>
      </c>
      <c r="F1328" s="433">
        <v>17561071</v>
      </c>
      <c r="G1328" s="433">
        <v>54045153.098200001</v>
      </c>
      <c r="H1328" s="433">
        <v>55619.624606799996</v>
      </c>
      <c r="I1328" s="433">
        <v>26771.680155900001</v>
      </c>
      <c r="J1328" s="433">
        <v>82391.304762700005</v>
      </c>
    </row>
    <row r="1329" spans="2:10">
      <c r="B1329" t="s">
        <v>124</v>
      </c>
      <c r="C1329" s="27" t="s">
        <v>543</v>
      </c>
      <c r="D1329" t="s">
        <v>281</v>
      </c>
      <c r="E1329" s="433">
        <v>1252868255.6133001</v>
      </c>
      <c r="F1329" s="433">
        <v>164474583</v>
      </c>
      <c r="G1329" s="433">
        <v>1417342838.6133001</v>
      </c>
      <c r="H1329" s="433">
        <v>1909985.3429620001</v>
      </c>
      <c r="I1329" s="433">
        <v>250739.8853888</v>
      </c>
      <c r="J1329" s="433">
        <v>2160725.2283508</v>
      </c>
    </row>
    <row r="1330" spans="2:10">
      <c r="B1330" t="s">
        <v>131</v>
      </c>
      <c r="C1330" s="27" t="s">
        <v>543</v>
      </c>
      <c r="D1330" t="s">
        <v>278</v>
      </c>
      <c r="E1330" s="433">
        <v>13623641227.2752</v>
      </c>
      <c r="F1330" s="433">
        <v>4534713855</v>
      </c>
      <c r="G1330" s="433">
        <v>18152667046.2752</v>
      </c>
      <c r="H1330" s="433">
        <v>20769107.162931699</v>
      </c>
      <c r="I1330" s="433">
        <v>6913126.7064762004</v>
      </c>
      <c r="J1330" s="433">
        <v>27673562.514425799</v>
      </c>
    </row>
    <row r="1331" spans="2:10">
      <c r="B1331" t="s">
        <v>131</v>
      </c>
      <c r="C1331" s="27" t="s">
        <v>543</v>
      </c>
      <c r="D1331" t="s">
        <v>279</v>
      </c>
      <c r="E1331" s="433">
        <v>16338146016.2019</v>
      </c>
      <c r="F1331" s="433">
        <v>9161016174</v>
      </c>
      <c r="G1331" s="433">
        <v>25481781719.2019</v>
      </c>
      <c r="H1331" s="433">
        <v>24907343.0365129</v>
      </c>
      <c r="I1331" s="433">
        <v>13965879.126223199</v>
      </c>
      <c r="J1331" s="433">
        <v>38846725.805505402</v>
      </c>
    </row>
    <row r="1332" spans="2:10">
      <c r="B1332" t="s">
        <v>131</v>
      </c>
      <c r="C1332" s="27" t="s">
        <v>543</v>
      </c>
      <c r="D1332" t="s">
        <v>280</v>
      </c>
      <c r="E1332" s="433">
        <v>72284235.065200001</v>
      </c>
      <c r="F1332" s="433">
        <v>-1333197581</v>
      </c>
      <c r="G1332" s="433">
        <v>-1260913595.9347999</v>
      </c>
      <c r="H1332" s="433">
        <v>110196.60597449999</v>
      </c>
      <c r="I1332" s="433">
        <v>-2032446.6100673999</v>
      </c>
      <c r="J1332" s="433">
        <v>-1922250.3852154999</v>
      </c>
    </row>
    <row r="1333" spans="2:10">
      <c r="B1333" t="s">
        <v>131</v>
      </c>
      <c r="C1333" s="27" t="s">
        <v>543</v>
      </c>
      <c r="D1333" t="s">
        <v>281</v>
      </c>
      <c r="E1333" s="433">
        <v>11850627088.3319</v>
      </c>
      <c r="F1333" s="433">
        <v>1606916437</v>
      </c>
      <c r="G1333" s="433">
        <v>13455364507.3319</v>
      </c>
      <c r="H1333" s="433">
        <v>18066164.532632299</v>
      </c>
      <c r="I1333" s="433">
        <v>2449728.3160329</v>
      </c>
      <c r="J1333" s="433">
        <v>20512570.957138799</v>
      </c>
    </row>
    <row r="1334" spans="2:10">
      <c r="B1334" t="s">
        <v>132</v>
      </c>
      <c r="C1334" s="27" t="s">
        <v>543</v>
      </c>
      <c r="D1334" t="s">
        <v>278</v>
      </c>
      <c r="E1334" s="433">
        <v>3764254225.1276999</v>
      </c>
      <c r="F1334" s="433">
        <v>2331837963</v>
      </c>
      <c r="G1334" s="433">
        <v>6096092188.1276999</v>
      </c>
      <c r="H1334" s="433">
        <v>5738568.5725248996</v>
      </c>
      <c r="I1334" s="433">
        <v>3554864.0581622999</v>
      </c>
      <c r="J1334" s="433">
        <v>9293432.6306871995</v>
      </c>
    </row>
    <row r="1335" spans="2:10">
      <c r="B1335" t="s">
        <v>132</v>
      </c>
      <c r="C1335" s="27" t="s">
        <v>543</v>
      </c>
      <c r="D1335" t="s">
        <v>279</v>
      </c>
      <c r="E1335" s="433">
        <v>5137766088.4280996</v>
      </c>
      <c r="F1335" s="433">
        <v>3542852901</v>
      </c>
      <c r="G1335" s="433">
        <v>8680605089.4281006</v>
      </c>
      <c r="H1335" s="433">
        <v>7832473.9097656002</v>
      </c>
      <c r="I1335" s="433">
        <v>5401044.4297415996</v>
      </c>
      <c r="J1335" s="433">
        <v>13233497.149093799</v>
      </c>
    </row>
    <row r="1336" spans="2:10">
      <c r="B1336" t="s">
        <v>132</v>
      </c>
      <c r="C1336" s="27" t="s">
        <v>543</v>
      </c>
      <c r="D1336" t="s">
        <v>280</v>
      </c>
      <c r="E1336" s="433">
        <v>-141256193.01539999</v>
      </c>
      <c r="F1336" s="433">
        <v>16837770</v>
      </c>
      <c r="G1336" s="433">
        <v>-124418423.01540001</v>
      </c>
      <c r="H1336" s="433">
        <v>-215343.67803899999</v>
      </c>
      <c r="I1336" s="433">
        <v>25669.0148897</v>
      </c>
      <c r="J1336" s="433">
        <v>-189674.6631493</v>
      </c>
    </row>
    <row r="1337" spans="2:10">
      <c r="B1337" t="s">
        <v>132</v>
      </c>
      <c r="C1337" s="27" t="s">
        <v>543</v>
      </c>
      <c r="D1337" t="s">
        <v>281</v>
      </c>
      <c r="E1337" s="433">
        <v>1584948055.8118</v>
      </c>
      <c r="F1337" s="433">
        <v>510088491</v>
      </c>
      <c r="G1337" s="433">
        <v>2095036546.8118</v>
      </c>
      <c r="H1337" s="433">
        <v>2416237.7348084999</v>
      </c>
      <c r="I1337" s="433">
        <v>777624.89157059998</v>
      </c>
      <c r="J1337" s="433">
        <v>3193862.6263791998</v>
      </c>
    </row>
    <row r="1338" spans="2:10">
      <c r="B1338" t="s">
        <v>135</v>
      </c>
      <c r="C1338" s="27" t="s">
        <v>543</v>
      </c>
      <c r="D1338" t="s">
        <v>278</v>
      </c>
      <c r="E1338" s="433">
        <v>1223886886.3585999</v>
      </c>
      <c r="F1338" s="433">
        <v>876231347</v>
      </c>
      <c r="G1338" s="433">
        <v>2100118233.3585999</v>
      </c>
      <c r="H1338" s="433">
        <v>1865803.5303511999</v>
      </c>
      <c r="I1338" s="433">
        <v>1335806.0772275999</v>
      </c>
      <c r="J1338" s="433">
        <v>3201609.6075789002</v>
      </c>
    </row>
    <row r="1339" spans="2:10">
      <c r="B1339" t="s">
        <v>135</v>
      </c>
      <c r="C1339" s="27" t="s">
        <v>543</v>
      </c>
      <c r="D1339" t="s">
        <v>279</v>
      </c>
      <c r="E1339" s="433">
        <v>948367605.18169999</v>
      </c>
      <c r="F1339" s="433">
        <v>302576721</v>
      </c>
      <c r="G1339" s="433">
        <v>1250944326.1817</v>
      </c>
      <c r="H1339" s="433">
        <v>1445777.0938975001</v>
      </c>
      <c r="I1339" s="433">
        <v>461275.23755369999</v>
      </c>
      <c r="J1339" s="433">
        <v>1907052.3314511001</v>
      </c>
    </row>
    <row r="1340" spans="2:10">
      <c r="B1340" t="s">
        <v>135</v>
      </c>
      <c r="C1340" s="27" t="s">
        <v>543</v>
      </c>
      <c r="D1340" t="s">
        <v>280</v>
      </c>
      <c r="E1340" s="433">
        <v>-300581.4105</v>
      </c>
      <c r="F1340" s="433">
        <v>596100</v>
      </c>
      <c r="G1340" s="433">
        <v>295518.5895</v>
      </c>
      <c r="H1340" s="433">
        <v>-458.23340630000001</v>
      </c>
      <c r="I1340" s="433">
        <v>908.74859179999999</v>
      </c>
      <c r="J1340" s="433">
        <v>450.51518540000001</v>
      </c>
    </row>
    <row r="1341" spans="2:10">
      <c r="B1341" t="s">
        <v>135</v>
      </c>
      <c r="C1341" s="27" t="s">
        <v>543</v>
      </c>
      <c r="D1341" t="s">
        <v>281</v>
      </c>
      <c r="E1341" s="433">
        <v>1174754376.0623</v>
      </c>
      <c r="F1341" s="433">
        <v>520120885</v>
      </c>
      <c r="G1341" s="433">
        <v>1694875261.0623</v>
      </c>
      <c r="H1341" s="433">
        <v>1790901.5012604001</v>
      </c>
      <c r="I1341" s="433">
        <v>792919.17762900004</v>
      </c>
      <c r="J1341" s="433">
        <v>2583820.6788895</v>
      </c>
    </row>
    <row r="1342" spans="2:10">
      <c r="B1342" t="s">
        <v>136</v>
      </c>
      <c r="C1342" s="27" t="s">
        <v>543</v>
      </c>
      <c r="D1342" t="s">
        <v>278</v>
      </c>
      <c r="E1342" s="433">
        <v>-6789500.4989</v>
      </c>
      <c r="F1342" s="433">
        <v>4459365.1100000003</v>
      </c>
      <c r="G1342" s="433">
        <v>-2330135.3889000001</v>
      </c>
      <c r="H1342" s="433">
        <v>-559857.22169170005</v>
      </c>
      <c r="I1342" s="433">
        <v>367715.96988589998</v>
      </c>
      <c r="J1342" s="433">
        <v>-192141.25180590001</v>
      </c>
    </row>
    <row r="1343" spans="2:10">
      <c r="B1343" t="s">
        <v>136</v>
      </c>
      <c r="C1343" s="27" t="s">
        <v>543</v>
      </c>
      <c r="D1343" t="s">
        <v>279</v>
      </c>
      <c r="E1343" s="433">
        <v>1466391.6865000001</v>
      </c>
      <c r="F1343" s="433">
        <v>14527187.73</v>
      </c>
      <c r="G1343" s="433">
        <v>15995609.536499999</v>
      </c>
      <c r="H1343" s="433">
        <v>120917.58085129999</v>
      </c>
      <c r="I1343" s="433">
        <v>1197901.2245201</v>
      </c>
      <c r="J1343" s="433">
        <v>1318986.2075747</v>
      </c>
    </row>
    <row r="1344" spans="2:10">
      <c r="B1344" t="s">
        <v>136</v>
      </c>
      <c r="C1344" s="27" t="s">
        <v>543</v>
      </c>
      <c r="D1344" t="s">
        <v>280</v>
      </c>
      <c r="E1344" s="433">
        <v>-6996.8806000000004</v>
      </c>
      <c r="F1344" s="433">
        <v>8864.48</v>
      </c>
      <c r="G1344" s="433">
        <v>1867.5994000000001</v>
      </c>
      <c r="H1344" s="433">
        <v>-576.95763239999997</v>
      </c>
      <c r="I1344" s="433">
        <v>730.9585065</v>
      </c>
      <c r="J1344" s="433">
        <v>154.0008741</v>
      </c>
    </row>
    <row r="1345" spans="2:10">
      <c r="B1345" t="s">
        <v>136</v>
      </c>
      <c r="C1345" s="27" t="s">
        <v>543</v>
      </c>
      <c r="D1345" t="s">
        <v>281</v>
      </c>
      <c r="E1345" s="433">
        <v>587895.87419999996</v>
      </c>
      <c r="F1345" s="433">
        <v>5353457.04</v>
      </c>
      <c r="G1345" s="433">
        <v>5941352.9142000005</v>
      </c>
      <c r="H1345" s="433">
        <v>48477.4617554</v>
      </c>
      <c r="I1345" s="433">
        <v>441442.1333861</v>
      </c>
      <c r="J1345" s="433">
        <v>489919.5951415</v>
      </c>
    </row>
    <row r="1346" spans="2:10">
      <c r="B1346" t="s">
        <v>137</v>
      </c>
      <c r="C1346" s="27" t="s">
        <v>543</v>
      </c>
      <c r="D1346" t="s">
        <v>278</v>
      </c>
      <c r="E1346" s="433">
        <v>25181329081.943501</v>
      </c>
      <c r="F1346" s="433">
        <v>7381174607.0200005</v>
      </c>
      <c r="G1346" s="433">
        <v>32561030952.963501</v>
      </c>
      <c r="H1346" s="433">
        <v>2684164.9366132999</v>
      </c>
      <c r="I1346" s="433">
        <v>786784.92333390005</v>
      </c>
      <c r="J1346" s="433">
        <v>3470792.8759246999</v>
      </c>
    </row>
    <row r="1347" spans="2:10">
      <c r="B1347" t="s">
        <v>137</v>
      </c>
      <c r="C1347" s="27" t="s">
        <v>543</v>
      </c>
      <c r="D1347" t="s">
        <v>279</v>
      </c>
      <c r="E1347" s="433">
        <v>29169293398.390301</v>
      </c>
      <c r="F1347" s="433">
        <v>17715224524.009998</v>
      </c>
      <c r="G1347" s="433">
        <v>46876851819.400299</v>
      </c>
      <c r="H1347" s="433">
        <v>3109255.8423330998</v>
      </c>
      <c r="I1347" s="433">
        <v>1888327.0361482</v>
      </c>
      <c r="J1347" s="433">
        <v>4996765.7220553998</v>
      </c>
    </row>
    <row r="1348" spans="2:10">
      <c r="B1348" t="s">
        <v>137</v>
      </c>
      <c r="C1348" s="27" t="s">
        <v>543</v>
      </c>
      <c r="D1348" t="s">
        <v>280</v>
      </c>
      <c r="E1348" s="433">
        <v>82444670.267399997</v>
      </c>
      <c r="F1348" s="433">
        <v>3208054</v>
      </c>
      <c r="G1348" s="433">
        <v>85652724.267399997</v>
      </c>
      <c r="H1348" s="433">
        <v>8788.0624736999998</v>
      </c>
      <c r="I1348" s="433">
        <v>341.95756840000001</v>
      </c>
      <c r="J1348" s="433">
        <v>9130.0200421000009</v>
      </c>
    </row>
    <row r="1349" spans="2:10">
      <c r="B1349" t="s">
        <v>137</v>
      </c>
      <c r="C1349" s="27" t="s">
        <v>543</v>
      </c>
      <c r="D1349" t="s">
        <v>281</v>
      </c>
      <c r="E1349" s="433">
        <v>37201406794.697998</v>
      </c>
      <c r="F1349" s="433">
        <v>2236455906</v>
      </c>
      <c r="G1349" s="433">
        <v>39437726677.697998</v>
      </c>
      <c r="H1349" s="433">
        <v>3965426.5819756999</v>
      </c>
      <c r="I1349" s="433">
        <v>238391.56803960001</v>
      </c>
      <c r="J1349" s="433">
        <v>4203803.6508534001</v>
      </c>
    </row>
    <row r="1350" spans="2:10">
      <c r="B1350" t="s">
        <v>138</v>
      </c>
      <c r="C1350" s="27" t="s">
        <v>543</v>
      </c>
      <c r="D1350" t="s">
        <v>278</v>
      </c>
      <c r="E1350" s="433">
        <v>18198049559.802601</v>
      </c>
      <c r="F1350" s="433">
        <v>5922935366.9300003</v>
      </c>
      <c r="G1350" s="433">
        <v>24120984926.732601</v>
      </c>
      <c r="H1350" s="433">
        <v>3729490.6362951999</v>
      </c>
      <c r="I1350" s="433">
        <v>1213840.6326323999</v>
      </c>
      <c r="J1350" s="433">
        <v>4943331.2689276999</v>
      </c>
    </row>
    <row r="1351" spans="2:10">
      <c r="B1351" t="s">
        <v>138</v>
      </c>
      <c r="C1351" s="27" t="s">
        <v>543</v>
      </c>
      <c r="D1351" t="s">
        <v>279</v>
      </c>
      <c r="E1351" s="433">
        <v>38924817016.299599</v>
      </c>
      <c r="F1351" s="433">
        <v>21671717272.849998</v>
      </c>
      <c r="G1351" s="433">
        <v>60596534289.149597</v>
      </c>
      <c r="H1351" s="433">
        <v>7977214.267097</v>
      </c>
      <c r="I1351" s="433">
        <v>4441380.7301669996</v>
      </c>
      <c r="J1351" s="433">
        <v>12418594.997264</v>
      </c>
    </row>
    <row r="1352" spans="2:10">
      <c r="B1352" t="s">
        <v>138</v>
      </c>
      <c r="C1352" s="27" t="s">
        <v>543</v>
      </c>
      <c r="D1352" t="s">
        <v>280</v>
      </c>
      <c r="E1352" s="433">
        <v>196912.9571</v>
      </c>
      <c r="F1352" s="433">
        <v>9975</v>
      </c>
      <c r="G1352" s="433">
        <v>206887.9571</v>
      </c>
      <c r="H1352" s="433">
        <v>40.355150500000001</v>
      </c>
      <c r="I1352" s="433">
        <v>2.0442667999999999</v>
      </c>
      <c r="J1352" s="433">
        <v>42.399417399999997</v>
      </c>
    </row>
    <row r="1353" spans="2:10">
      <c r="B1353" t="s">
        <v>138</v>
      </c>
      <c r="C1353" s="27" t="s">
        <v>543</v>
      </c>
      <c r="D1353" t="s">
        <v>281</v>
      </c>
      <c r="E1353" s="433">
        <v>17495023388.9291</v>
      </c>
      <c r="F1353" s="433">
        <v>2690708478.3200002</v>
      </c>
      <c r="G1353" s="433">
        <v>20185731867.2491</v>
      </c>
      <c r="H1353" s="433">
        <v>3585413.134323</v>
      </c>
      <c r="I1353" s="433">
        <v>551431.18727740005</v>
      </c>
      <c r="J1353" s="433">
        <v>4136844.3216003999</v>
      </c>
    </row>
    <row r="1354" spans="2:10">
      <c r="B1354" t="s">
        <v>139</v>
      </c>
      <c r="C1354" s="27" t="s">
        <v>543</v>
      </c>
      <c r="D1354" t="s">
        <v>278</v>
      </c>
      <c r="E1354" s="433">
        <v>20751842.8215</v>
      </c>
      <c r="F1354" s="433">
        <v>25015836.48</v>
      </c>
      <c r="G1354" s="433">
        <v>45767679.3015</v>
      </c>
      <c r="H1354" s="433">
        <v>490587.30074470001</v>
      </c>
      <c r="I1354" s="433">
        <v>591390.93333330005</v>
      </c>
      <c r="J1354" s="433">
        <v>1081978.2340780001</v>
      </c>
    </row>
    <row r="1355" spans="2:10">
      <c r="B1355" t="s">
        <v>139</v>
      </c>
      <c r="C1355" s="27" t="s">
        <v>543</v>
      </c>
      <c r="D1355" t="s">
        <v>279</v>
      </c>
      <c r="E1355" s="433">
        <v>57893149.143299997</v>
      </c>
      <c r="F1355" s="433">
        <v>52014715.479999997</v>
      </c>
      <c r="G1355" s="433">
        <v>109907864.6233</v>
      </c>
      <c r="H1355" s="433">
        <v>1368632.3674538999</v>
      </c>
      <c r="I1355" s="433">
        <v>1229662.3044916999</v>
      </c>
      <c r="J1355" s="433">
        <v>2598294.6719455998</v>
      </c>
    </row>
    <row r="1356" spans="2:10">
      <c r="B1356" t="s">
        <v>139</v>
      </c>
      <c r="C1356" s="27" t="s">
        <v>543</v>
      </c>
      <c r="D1356" t="s">
        <v>280</v>
      </c>
      <c r="E1356" s="433">
        <v>-3343885.6623999998</v>
      </c>
      <c r="F1356" s="433">
        <v>66985.899999999994</v>
      </c>
      <c r="G1356" s="433">
        <v>-3276899.7623999999</v>
      </c>
      <c r="H1356" s="433">
        <v>-79051.670505899994</v>
      </c>
      <c r="I1356" s="433">
        <v>1583.5910165</v>
      </c>
      <c r="J1356" s="433">
        <v>-77468.079489399999</v>
      </c>
    </row>
    <row r="1357" spans="2:10">
      <c r="B1357" t="s">
        <v>139</v>
      </c>
      <c r="C1357" s="27" t="s">
        <v>543</v>
      </c>
      <c r="D1357" t="s">
        <v>281</v>
      </c>
      <c r="E1357" s="433">
        <v>-3551626.7622000002</v>
      </c>
      <c r="F1357" s="433">
        <v>6008356.7300000004</v>
      </c>
      <c r="G1357" s="433">
        <v>2456729.9678000002</v>
      </c>
      <c r="H1357" s="433">
        <v>-83962.807616999999</v>
      </c>
      <c r="I1357" s="433">
        <v>142041.53026</v>
      </c>
      <c r="J1357" s="433">
        <v>58078.722643000001</v>
      </c>
    </row>
    <row r="1358" spans="2:10">
      <c r="B1358" t="s">
        <v>141</v>
      </c>
      <c r="C1358" s="27" t="s">
        <v>543</v>
      </c>
      <c r="D1358" t="s">
        <v>278</v>
      </c>
      <c r="E1358" s="433">
        <v>4135562857.7961998</v>
      </c>
      <c r="F1358" s="433">
        <v>153660558</v>
      </c>
      <c r="G1358" s="433">
        <v>4289220423.7961998</v>
      </c>
      <c r="H1358" s="433">
        <v>6304624.9339456996</v>
      </c>
      <c r="I1358" s="433">
        <v>234254.0105525</v>
      </c>
      <c r="J1358" s="433">
        <v>6538874.3832235998</v>
      </c>
    </row>
    <row r="1359" spans="2:10">
      <c r="B1359" t="s">
        <v>141</v>
      </c>
      <c r="C1359" s="27" t="s">
        <v>543</v>
      </c>
      <c r="D1359" t="s">
        <v>279</v>
      </c>
      <c r="E1359" s="433">
        <v>3990975316.1949</v>
      </c>
      <c r="F1359" s="433">
        <v>281985860</v>
      </c>
      <c r="G1359" s="433">
        <v>4272958184.1949</v>
      </c>
      <c r="H1359" s="433">
        <v>6084202.6477268003</v>
      </c>
      <c r="I1359" s="433">
        <v>429884.6723185</v>
      </c>
      <c r="J1359" s="433">
        <v>6514082.7587706</v>
      </c>
    </row>
    <row r="1360" spans="2:10">
      <c r="B1360" t="s">
        <v>141</v>
      </c>
      <c r="C1360" s="27" t="s">
        <v>543</v>
      </c>
      <c r="D1360" t="s">
        <v>280</v>
      </c>
      <c r="E1360" s="433">
        <v>543593.77179999999</v>
      </c>
      <c r="F1360" s="433">
        <v>31072</v>
      </c>
      <c r="G1360" s="433">
        <v>574665.77179999999</v>
      </c>
      <c r="H1360" s="433">
        <v>828.7033629</v>
      </c>
      <c r="I1360" s="433">
        <v>47.368958599999999</v>
      </c>
      <c r="J1360" s="433">
        <v>876.07232150000004</v>
      </c>
    </row>
    <row r="1361" spans="2:10">
      <c r="B1361" t="s">
        <v>141</v>
      </c>
      <c r="C1361" s="27" t="s">
        <v>543</v>
      </c>
      <c r="D1361" t="s">
        <v>281</v>
      </c>
      <c r="E1361" s="433">
        <v>6082774136.7868004</v>
      </c>
      <c r="F1361" s="433">
        <v>81027887</v>
      </c>
      <c r="G1361" s="433">
        <v>6163802023.7868004</v>
      </c>
      <c r="H1361" s="433">
        <v>9273129.3923028</v>
      </c>
      <c r="I1361" s="433">
        <v>123526.2174197</v>
      </c>
      <c r="J1361" s="433">
        <v>9396655.6097225994</v>
      </c>
    </row>
    <row r="1362" spans="2:10">
      <c r="B1362" t="s">
        <v>140</v>
      </c>
      <c r="C1362" s="27" t="s">
        <v>543</v>
      </c>
      <c r="D1362" t="s">
        <v>278</v>
      </c>
      <c r="E1362" s="433">
        <v>1194275872.2774999</v>
      </c>
      <c r="F1362" s="433">
        <v>558158676</v>
      </c>
      <c r="G1362" s="433">
        <v>1752434548.2774999</v>
      </c>
      <c r="H1362" s="433">
        <v>1820661.8303906</v>
      </c>
      <c r="I1362" s="433">
        <v>850907.4161873</v>
      </c>
      <c r="J1362" s="433">
        <v>2671569.2465778999</v>
      </c>
    </row>
    <row r="1363" spans="2:10">
      <c r="B1363" t="s">
        <v>140</v>
      </c>
      <c r="C1363" s="27" t="s">
        <v>543</v>
      </c>
      <c r="D1363" t="s">
        <v>279</v>
      </c>
      <c r="E1363" s="433">
        <v>2260326220.1753001</v>
      </c>
      <c r="F1363" s="433">
        <v>891826081</v>
      </c>
      <c r="G1363" s="433">
        <v>3152152301.1753001</v>
      </c>
      <c r="H1363" s="433">
        <v>3445845.1090167002</v>
      </c>
      <c r="I1363" s="433">
        <v>1359580.0959514</v>
      </c>
      <c r="J1363" s="433">
        <v>4805425.2049682001</v>
      </c>
    </row>
    <row r="1364" spans="2:10">
      <c r="B1364" t="s">
        <v>140</v>
      </c>
      <c r="C1364" s="27" t="s">
        <v>543</v>
      </c>
      <c r="D1364" t="s">
        <v>280</v>
      </c>
      <c r="E1364" s="433">
        <v>-12740347.4812</v>
      </c>
      <c r="F1364" s="433">
        <v>3337136</v>
      </c>
      <c r="G1364" s="433">
        <v>-9403211.4812000003</v>
      </c>
      <c r="H1364" s="433">
        <v>-19422.534527700001</v>
      </c>
      <c r="I1364" s="433">
        <v>5087.4310359000001</v>
      </c>
      <c r="J1364" s="433">
        <v>-14335.1034918</v>
      </c>
    </row>
    <row r="1365" spans="2:10">
      <c r="B1365" t="s">
        <v>140</v>
      </c>
      <c r="C1365" s="27" t="s">
        <v>543</v>
      </c>
      <c r="D1365" t="s">
        <v>281</v>
      </c>
      <c r="E1365" s="433">
        <v>708988732.1329</v>
      </c>
      <c r="F1365" s="433">
        <v>189448148</v>
      </c>
      <c r="G1365" s="433">
        <v>898436880.1329</v>
      </c>
      <c r="H1365" s="433">
        <v>1080846.3544606001</v>
      </c>
      <c r="I1365" s="433">
        <v>288811.83980050002</v>
      </c>
      <c r="J1365" s="433">
        <v>1369658.1942610999</v>
      </c>
    </row>
    <row r="1366" spans="2:10">
      <c r="B1366" t="s">
        <v>123</v>
      </c>
      <c r="C1366" s="27" t="s">
        <v>551</v>
      </c>
      <c r="D1366" t="s">
        <v>278</v>
      </c>
      <c r="E1366" s="433">
        <v>685074259.11670005</v>
      </c>
      <c r="F1366" s="433">
        <v>280012257</v>
      </c>
      <c r="G1366" s="433">
        <v>965086516.11670005</v>
      </c>
      <c r="H1366" s="433">
        <v>1044388.9753699</v>
      </c>
      <c r="I1366" s="433">
        <v>426875.93394080002</v>
      </c>
      <c r="J1366" s="433">
        <v>1471264.9093106999</v>
      </c>
    </row>
    <row r="1367" spans="2:10">
      <c r="B1367" t="s">
        <v>123</v>
      </c>
      <c r="C1367" s="27" t="s">
        <v>551</v>
      </c>
      <c r="D1367" t="s">
        <v>279</v>
      </c>
      <c r="E1367" s="433">
        <v>816706571.01370001</v>
      </c>
      <c r="F1367" s="433">
        <v>412779105.56</v>
      </c>
      <c r="G1367" s="433">
        <v>1229485676.5737</v>
      </c>
      <c r="H1367" s="433">
        <v>1245061.1412237</v>
      </c>
      <c r="I1367" s="433">
        <v>629277.68978759996</v>
      </c>
      <c r="J1367" s="433">
        <v>1874338.8310113</v>
      </c>
    </row>
    <row r="1368" spans="2:10">
      <c r="B1368" t="s">
        <v>123</v>
      </c>
      <c r="C1368" s="27" t="s">
        <v>551</v>
      </c>
      <c r="D1368" t="s">
        <v>280</v>
      </c>
      <c r="E1368" s="433">
        <v>141760.2629</v>
      </c>
      <c r="F1368" s="433">
        <v>164287</v>
      </c>
      <c r="G1368" s="433">
        <v>306047.26289999997</v>
      </c>
      <c r="H1368" s="433">
        <v>216.11212760000001</v>
      </c>
      <c r="I1368" s="433">
        <v>250.4539169</v>
      </c>
      <c r="J1368" s="433">
        <v>466.5660446</v>
      </c>
    </row>
    <row r="1369" spans="2:10">
      <c r="B1369" t="s">
        <v>123</v>
      </c>
      <c r="C1369" s="27" t="s">
        <v>551</v>
      </c>
      <c r="D1369" t="s">
        <v>281</v>
      </c>
      <c r="E1369" s="433">
        <v>588333674.53960001</v>
      </c>
      <c r="F1369" s="433">
        <v>156485655</v>
      </c>
      <c r="G1369" s="433">
        <v>744819329.53960001</v>
      </c>
      <c r="H1369" s="433">
        <v>896908.90491239994</v>
      </c>
      <c r="I1369" s="433">
        <v>238560.843165</v>
      </c>
      <c r="J1369" s="433">
        <v>1135469.7480774</v>
      </c>
    </row>
    <row r="1370" spans="2:10">
      <c r="B1370" t="s">
        <v>124</v>
      </c>
      <c r="C1370" s="27" t="s">
        <v>551</v>
      </c>
      <c r="D1370" t="s">
        <v>278</v>
      </c>
      <c r="E1370" s="433">
        <v>878337494.52690005</v>
      </c>
      <c r="F1370" s="433">
        <v>-5640633</v>
      </c>
      <c r="G1370" s="433">
        <v>872696861.52690005</v>
      </c>
      <c r="H1370" s="433">
        <v>1339016.8784340001</v>
      </c>
      <c r="I1370" s="433">
        <v>-8599.0895744999998</v>
      </c>
      <c r="J1370" s="433">
        <v>1330417.7888595001</v>
      </c>
    </row>
    <row r="1371" spans="2:10">
      <c r="B1371" t="s">
        <v>124</v>
      </c>
      <c r="C1371" s="27" t="s">
        <v>551</v>
      </c>
      <c r="D1371" t="s">
        <v>279</v>
      </c>
      <c r="E1371" s="433">
        <v>2301640936.0588999</v>
      </c>
      <c r="F1371" s="433">
        <v>1640705232</v>
      </c>
      <c r="G1371" s="433">
        <v>3942346168.0588999</v>
      </c>
      <c r="H1371" s="433">
        <v>3508828.9873557002</v>
      </c>
      <c r="I1371" s="433">
        <v>2501239.0019467999</v>
      </c>
      <c r="J1371" s="433">
        <v>6010067.9893025002</v>
      </c>
    </row>
    <row r="1372" spans="2:10">
      <c r="B1372" t="s">
        <v>124</v>
      </c>
      <c r="C1372" s="27" t="s">
        <v>551</v>
      </c>
      <c r="D1372" t="s">
        <v>280</v>
      </c>
      <c r="E1372" s="433">
        <v>39222094.340899996</v>
      </c>
      <c r="F1372" s="433">
        <v>20547373</v>
      </c>
      <c r="G1372" s="433">
        <v>59769467.340899996</v>
      </c>
      <c r="H1372" s="433">
        <v>59793.697362600004</v>
      </c>
      <c r="I1372" s="433">
        <v>31324.268206600002</v>
      </c>
      <c r="J1372" s="433">
        <v>91117.965569199994</v>
      </c>
    </row>
    <row r="1373" spans="2:10">
      <c r="B1373" t="s">
        <v>124</v>
      </c>
      <c r="C1373" s="27" t="s">
        <v>551</v>
      </c>
      <c r="D1373" t="s">
        <v>281</v>
      </c>
      <c r="E1373" s="433">
        <v>1426542906.1366999</v>
      </c>
      <c r="F1373" s="433">
        <v>192615868</v>
      </c>
      <c r="G1373" s="433">
        <v>1619158774.1366999</v>
      </c>
      <c r="H1373" s="433">
        <v>2174750.6408754</v>
      </c>
      <c r="I1373" s="433">
        <v>293640.99780930002</v>
      </c>
      <c r="J1373" s="433">
        <v>2468391.6386846998</v>
      </c>
    </row>
    <row r="1374" spans="2:10">
      <c r="B1374" t="s">
        <v>131</v>
      </c>
      <c r="C1374" s="27" t="s">
        <v>551</v>
      </c>
      <c r="D1374" t="s">
        <v>278</v>
      </c>
      <c r="E1374" s="433">
        <v>15670961835.7227</v>
      </c>
      <c r="F1374" s="433">
        <v>5212573427</v>
      </c>
      <c r="G1374" s="433">
        <v>20883235726.722698</v>
      </c>
      <c r="H1374" s="433">
        <v>23890227.310208902</v>
      </c>
      <c r="I1374" s="433">
        <v>7946516.9622398997</v>
      </c>
      <c r="J1374" s="433">
        <v>31836287.632760499</v>
      </c>
    </row>
    <row r="1375" spans="2:10">
      <c r="B1375" t="s">
        <v>131</v>
      </c>
      <c r="C1375" s="27" t="s">
        <v>551</v>
      </c>
      <c r="D1375" t="s">
        <v>279</v>
      </c>
      <c r="E1375" s="433">
        <v>18800583140.2211</v>
      </c>
      <c r="F1375" s="433">
        <v>10575461820</v>
      </c>
      <c r="G1375" s="433">
        <v>29375485780.2211</v>
      </c>
      <c r="H1375" s="433">
        <v>28661304.2321693</v>
      </c>
      <c r="I1375" s="433">
        <v>16122187.6129076</v>
      </c>
      <c r="J1375" s="433">
        <v>44782639.3806623</v>
      </c>
    </row>
    <row r="1376" spans="2:10">
      <c r="B1376" t="s">
        <v>131</v>
      </c>
      <c r="C1376" s="27" t="s">
        <v>551</v>
      </c>
      <c r="D1376" t="s">
        <v>280</v>
      </c>
      <c r="E1376" s="433">
        <v>85772152.667600006</v>
      </c>
      <c r="F1376" s="433">
        <v>-1440854580</v>
      </c>
      <c r="G1376" s="433">
        <v>-1355082677.3324001</v>
      </c>
      <c r="H1376" s="433">
        <v>130758.8038051</v>
      </c>
      <c r="I1376" s="433">
        <v>-2196568.6470301999</v>
      </c>
      <c r="J1376" s="433">
        <v>-2065810.2243476</v>
      </c>
    </row>
    <row r="1377" spans="2:10">
      <c r="B1377" t="s">
        <v>131</v>
      </c>
      <c r="C1377" s="27" t="s">
        <v>551</v>
      </c>
      <c r="D1377" t="s">
        <v>281</v>
      </c>
      <c r="E1377" s="433">
        <v>13637385555.2388</v>
      </c>
      <c r="F1377" s="433">
        <v>1880031315</v>
      </c>
      <c r="G1377" s="433">
        <v>15517308870.2388</v>
      </c>
      <c r="H1377" s="433">
        <v>20790060.2558381</v>
      </c>
      <c r="I1377" s="433">
        <v>2866089.2634731</v>
      </c>
      <c r="J1377" s="433">
        <v>23655984.874372602</v>
      </c>
    </row>
    <row r="1378" spans="2:10">
      <c r="B1378" t="s">
        <v>132</v>
      </c>
      <c r="C1378" s="27" t="s">
        <v>551</v>
      </c>
      <c r="D1378" t="s">
        <v>278</v>
      </c>
      <c r="E1378" s="433">
        <v>4289957621.5339999</v>
      </c>
      <c r="F1378" s="433">
        <v>2669220055</v>
      </c>
      <c r="G1378" s="433">
        <v>6959177676.5340004</v>
      </c>
      <c r="H1378" s="433">
        <v>6539998.2339300001</v>
      </c>
      <c r="I1378" s="433">
        <v>4069199.7417513998</v>
      </c>
      <c r="J1378" s="433">
        <v>10609197.975681299</v>
      </c>
    </row>
    <row r="1379" spans="2:10">
      <c r="B1379" t="s">
        <v>132</v>
      </c>
      <c r="C1379" s="27" t="s">
        <v>551</v>
      </c>
      <c r="D1379" t="s">
        <v>279</v>
      </c>
      <c r="E1379" s="433">
        <v>5857874510.3270998</v>
      </c>
      <c r="F1379" s="433">
        <v>4051993368</v>
      </c>
      <c r="G1379" s="433">
        <v>9909867878.3271008</v>
      </c>
      <c r="H1379" s="433">
        <v>8930272.1219944004</v>
      </c>
      <c r="I1379" s="433">
        <v>6177224.0680409996</v>
      </c>
      <c r="J1379" s="433">
        <v>15107496.1900355</v>
      </c>
    </row>
    <row r="1380" spans="2:10">
      <c r="B1380" t="s">
        <v>132</v>
      </c>
      <c r="C1380" s="27" t="s">
        <v>551</v>
      </c>
      <c r="D1380" t="s">
        <v>280</v>
      </c>
      <c r="E1380" s="433">
        <v>-163747798.95019999</v>
      </c>
      <c r="F1380" s="433">
        <v>19319956</v>
      </c>
      <c r="G1380" s="433">
        <v>-144427842.95019999</v>
      </c>
      <c r="H1380" s="433">
        <v>-249631.9102475</v>
      </c>
      <c r="I1380" s="433">
        <v>29453.0830527</v>
      </c>
      <c r="J1380" s="433">
        <v>-220178.82719479999</v>
      </c>
    </row>
    <row r="1381" spans="2:10">
      <c r="B1381" t="s">
        <v>132</v>
      </c>
      <c r="C1381" s="27" t="s">
        <v>551</v>
      </c>
      <c r="D1381" t="s">
        <v>281</v>
      </c>
      <c r="E1381" s="433">
        <v>1783990960.5327001</v>
      </c>
      <c r="F1381" s="433">
        <v>592443073</v>
      </c>
      <c r="G1381" s="433">
        <v>2376434033.5327001</v>
      </c>
      <c r="H1381" s="433">
        <v>2719676.6869362998</v>
      </c>
      <c r="I1381" s="433">
        <v>903173.64247960004</v>
      </c>
      <c r="J1381" s="433">
        <v>3622850.3294159998</v>
      </c>
    </row>
    <row r="1382" spans="2:10">
      <c r="B1382" t="s">
        <v>135</v>
      </c>
      <c r="C1382" s="27" t="s">
        <v>551</v>
      </c>
      <c r="D1382" t="s">
        <v>278</v>
      </c>
      <c r="E1382" s="433">
        <v>904238095.45179999</v>
      </c>
      <c r="F1382" s="433">
        <v>745919300</v>
      </c>
      <c r="G1382" s="433">
        <v>1650157395.4518001</v>
      </c>
      <c r="H1382" s="433">
        <v>1378502.0900025</v>
      </c>
      <c r="I1382" s="433">
        <v>1137146.6422341999</v>
      </c>
      <c r="J1382" s="433">
        <v>2515648.7322367001</v>
      </c>
    </row>
    <row r="1383" spans="2:10">
      <c r="B1383" t="s">
        <v>135</v>
      </c>
      <c r="C1383" s="27" t="s">
        <v>551</v>
      </c>
      <c r="D1383" t="s">
        <v>279</v>
      </c>
      <c r="E1383" s="433">
        <v>1021018149.215</v>
      </c>
      <c r="F1383" s="433">
        <v>284011994</v>
      </c>
      <c r="G1383" s="433">
        <v>1305030143.2149999</v>
      </c>
      <c r="H1383" s="433">
        <v>1556532.1342939001</v>
      </c>
      <c r="I1383" s="433">
        <v>432973.49368940003</v>
      </c>
      <c r="J1383" s="433">
        <v>1989505.6279831999</v>
      </c>
    </row>
    <row r="1384" spans="2:10">
      <c r="B1384" t="s">
        <v>135</v>
      </c>
      <c r="C1384" s="27" t="s">
        <v>551</v>
      </c>
      <c r="D1384" t="s">
        <v>280</v>
      </c>
      <c r="E1384" s="433">
        <v>-515245.86800000002</v>
      </c>
      <c r="F1384" s="433">
        <v>185459</v>
      </c>
      <c r="G1384" s="433">
        <v>-329786.86800000002</v>
      </c>
      <c r="H1384" s="433">
        <v>-785.48726209999995</v>
      </c>
      <c r="I1384" s="433">
        <v>282.73042290000001</v>
      </c>
      <c r="J1384" s="433">
        <v>-502.7568392</v>
      </c>
    </row>
    <row r="1385" spans="2:10">
      <c r="B1385" t="s">
        <v>135</v>
      </c>
      <c r="C1385" s="27" t="s">
        <v>551</v>
      </c>
      <c r="D1385" t="s">
        <v>281</v>
      </c>
      <c r="E1385" s="433">
        <v>1932746089.8055</v>
      </c>
      <c r="F1385" s="433">
        <v>988577054</v>
      </c>
      <c r="G1385" s="433">
        <v>2921323143.8055</v>
      </c>
      <c r="H1385" s="433">
        <v>2946452.4196029999</v>
      </c>
      <c r="I1385" s="433">
        <v>1507076.0034574999</v>
      </c>
      <c r="J1385" s="433">
        <v>4453528.4230605001</v>
      </c>
    </row>
    <row r="1386" spans="2:10">
      <c r="B1386" t="s">
        <v>136</v>
      </c>
      <c r="C1386" s="27" t="s">
        <v>551</v>
      </c>
      <c r="D1386" t="s">
        <v>278</v>
      </c>
      <c r="E1386" s="433">
        <v>-7349374.5528999995</v>
      </c>
      <c r="F1386" s="433">
        <v>5117893.33</v>
      </c>
      <c r="G1386" s="433">
        <v>-2231481.2228999999</v>
      </c>
      <c r="H1386" s="433">
        <v>-615149.41056979995</v>
      </c>
      <c r="I1386" s="433">
        <v>428372.3795335</v>
      </c>
      <c r="J1386" s="433">
        <v>-186777.0310363</v>
      </c>
    </row>
    <row r="1387" spans="2:10">
      <c r="B1387" t="s">
        <v>136</v>
      </c>
      <c r="C1387" s="27" t="s">
        <v>551</v>
      </c>
      <c r="D1387" t="s">
        <v>279</v>
      </c>
      <c r="E1387" s="433">
        <v>2305384.5666</v>
      </c>
      <c r="F1387" s="433">
        <v>16472988.550000001</v>
      </c>
      <c r="G1387" s="433">
        <v>18778493.116599999</v>
      </c>
      <c r="H1387" s="433">
        <v>192962.80888570001</v>
      </c>
      <c r="I1387" s="433">
        <v>1378804.2946941999</v>
      </c>
      <c r="J1387" s="433">
        <v>1571777.1476902999</v>
      </c>
    </row>
    <row r="1388" spans="2:10">
      <c r="B1388" t="s">
        <v>136</v>
      </c>
      <c r="C1388" s="27" t="s">
        <v>551</v>
      </c>
      <c r="D1388" t="s">
        <v>280</v>
      </c>
      <c r="E1388" s="433">
        <v>-7898.8494000000001</v>
      </c>
      <c r="F1388" s="433">
        <v>10100.49</v>
      </c>
      <c r="G1388" s="433">
        <v>2201.6406000000002</v>
      </c>
      <c r="H1388" s="433">
        <v>-661.14096070000005</v>
      </c>
      <c r="I1388" s="433">
        <v>845.42030420000003</v>
      </c>
      <c r="J1388" s="433">
        <v>184.27934339999999</v>
      </c>
    </row>
    <row r="1389" spans="2:10">
      <c r="B1389" t="s">
        <v>136</v>
      </c>
      <c r="C1389" s="27" t="s">
        <v>551</v>
      </c>
      <c r="D1389" t="s">
        <v>281</v>
      </c>
      <c r="E1389" s="433">
        <v>846045.91720000003</v>
      </c>
      <c r="F1389" s="433">
        <v>5746639.6100000003</v>
      </c>
      <c r="G1389" s="433">
        <v>6592685.5272000004</v>
      </c>
      <c r="H1389" s="433">
        <v>70814.821524500003</v>
      </c>
      <c r="I1389" s="433">
        <v>480999.02153620002</v>
      </c>
      <c r="J1389" s="433">
        <v>551813.84306079999</v>
      </c>
    </row>
    <row r="1390" spans="2:10">
      <c r="B1390" t="s">
        <v>137</v>
      </c>
      <c r="C1390" s="27" t="s">
        <v>551</v>
      </c>
      <c r="D1390" t="s">
        <v>278</v>
      </c>
      <c r="E1390" s="433">
        <v>29515630038.113998</v>
      </c>
      <c r="F1390" s="433">
        <v>8509584580.0299997</v>
      </c>
      <c r="G1390" s="433">
        <v>38025164618.143997</v>
      </c>
      <c r="H1390" s="433">
        <v>3196381.0870539001</v>
      </c>
      <c r="I1390" s="433">
        <v>921541.40620309999</v>
      </c>
      <c r="J1390" s="433">
        <v>4117917.0785308001</v>
      </c>
    </row>
    <row r="1391" spans="2:10">
      <c r="B1391" t="s">
        <v>137</v>
      </c>
      <c r="C1391" s="27" t="s">
        <v>551</v>
      </c>
      <c r="D1391" t="s">
        <v>279</v>
      </c>
      <c r="E1391" s="433">
        <v>33346424221.7784</v>
      </c>
      <c r="F1391" s="433">
        <v>20500995515.68</v>
      </c>
      <c r="G1391" s="433">
        <v>53847275645.458397</v>
      </c>
      <c r="H1391" s="433">
        <v>3611235.1173168998</v>
      </c>
      <c r="I1391" s="433">
        <v>2220145.5380583</v>
      </c>
      <c r="J1391" s="433">
        <v>5831365.0510005997</v>
      </c>
    </row>
    <row r="1392" spans="2:10">
      <c r="B1392" t="s">
        <v>137</v>
      </c>
      <c r="C1392" s="27" t="s">
        <v>551</v>
      </c>
      <c r="D1392" t="s">
        <v>280</v>
      </c>
      <c r="E1392" s="433">
        <v>28586849.7227</v>
      </c>
      <c r="F1392" s="433">
        <v>2813166</v>
      </c>
      <c r="G1392" s="433">
        <v>31400015.7227</v>
      </c>
      <c r="H1392" s="433">
        <v>3095.7992654999998</v>
      </c>
      <c r="I1392" s="433">
        <v>304.6504711</v>
      </c>
      <c r="J1392" s="433">
        <v>3400.4497366000001</v>
      </c>
    </row>
    <row r="1393" spans="2:10">
      <c r="B1393" t="s">
        <v>137</v>
      </c>
      <c r="C1393" s="27" t="s">
        <v>551</v>
      </c>
      <c r="D1393" t="s">
        <v>281</v>
      </c>
      <c r="E1393" s="433">
        <v>42376101500.645103</v>
      </c>
      <c r="F1393" s="433">
        <v>2616814717</v>
      </c>
      <c r="G1393" s="433">
        <v>44992916217.645103</v>
      </c>
      <c r="H1393" s="433">
        <v>4589099.7144505996</v>
      </c>
      <c r="I1393" s="433">
        <v>283386.70253499999</v>
      </c>
      <c r="J1393" s="433">
        <v>4872486.4169856003</v>
      </c>
    </row>
    <row r="1394" spans="2:10">
      <c r="B1394" t="s">
        <v>138</v>
      </c>
      <c r="C1394" s="27" t="s">
        <v>551</v>
      </c>
      <c r="D1394" t="s">
        <v>278</v>
      </c>
      <c r="E1394" s="433">
        <v>21142395532.721001</v>
      </c>
      <c r="F1394" s="433">
        <v>6999723854.1800003</v>
      </c>
      <c r="G1394" s="433">
        <v>28142119386.901001</v>
      </c>
      <c r="H1394" s="433">
        <v>4368570.4228646001</v>
      </c>
      <c r="I1394" s="433">
        <v>1446325.5381948</v>
      </c>
      <c r="J1394" s="433">
        <v>5814895.9610595005</v>
      </c>
    </row>
    <row r="1395" spans="2:10">
      <c r="B1395" t="s">
        <v>138</v>
      </c>
      <c r="C1395" s="27" t="s">
        <v>551</v>
      </c>
      <c r="D1395" t="s">
        <v>279</v>
      </c>
      <c r="E1395" s="433">
        <v>44747445261.931999</v>
      </c>
      <c r="F1395" s="433">
        <v>25227124265.889999</v>
      </c>
      <c r="G1395" s="433">
        <v>69974569527.822006</v>
      </c>
      <c r="H1395" s="433">
        <v>9245989.4418062009</v>
      </c>
      <c r="I1395" s="433">
        <v>5212581.9305261001</v>
      </c>
      <c r="J1395" s="433">
        <v>14458571.3723324</v>
      </c>
    </row>
    <row r="1396" spans="2:10">
      <c r="B1396" t="s">
        <v>138</v>
      </c>
      <c r="C1396" s="27" t="s">
        <v>551</v>
      </c>
      <c r="D1396" t="s">
        <v>280</v>
      </c>
      <c r="E1396" s="433">
        <v>228432.5724</v>
      </c>
      <c r="F1396" s="433">
        <v>11400</v>
      </c>
      <c r="G1396" s="433">
        <v>239832.5724</v>
      </c>
      <c r="H1396" s="433">
        <v>47.200128200000002</v>
      </c>
      <c r="I1396" s="433">
        <v>2.3555373999999998</v>
      </c>
      <c r="J1396" s="433">
        <v>49.555665599999998</v>
      </c>
    </row>
    <row r="1397" spans="2:10">
      <c r="B1397" t="s">
        <v>138</v>
      </c>
      <c r="C1397" s="27" t="s">
        <v>551</v>
      </c>
      <c r="D1397" t="s">
        <v>281</v>
      </c>
      <c r="E1397" s="433">
        <v>20049792839.4286</v>
      </c>
      <c r="F1397" s="433">
        <v>3030161665.46</v>
      </c>
      <c r="G1397" s="433">
        <v>23079954504.888599</v>
      </c>
      <c r="H1397" s="433">
        <v>4142810.2055575</v>
      </c>
      <c r="I1397" s="433">
        <v>626110.44277079997</v>
      </c>
      <c r="J1397" s="433">
        <v>4768920.6483282996</v>
      </c>
    </row>
    <row r="1398" spans="2:10">
      <c r="B1398" t="s">
        <v>139</v>
      </c>
      <c r="C1398" s="27" t="s">
        <v>551</v>
      </c>
      <c r="D1398" t="s">
        <v>278</v>
      </c>
      <c r="E1398" s="433">
        <v>24555891.764600001</v>
      </c>
      <c r="F1398" s="433">
        <v>28750580.370000001</v>
      </c>
      <c r="G1398" s="433">
        <v>53306472.134599999</v>
      </c>
      <c r="H1398" s="433">
        <v>595583.11337859998</v>
      </c>
      <c r="I1398" s="433">
        <v>697321.86199370003</v>
      </c>
      <c r="J1398" s="433">
        <v>1292904.9753723</v>
      </c>
    </row>
    <row r="1399" spans="2:10">
      <c r="B1399" t="s">
        <v>139</v>
      </c>
      <c r="C1399" s="27" t="s">
        <v>551</v>
      </c>
      <c r="D1399" t="s">
        <v>279</v>
      </c>
      <c r="E1399" s="433">
        <v>65885940.2465</v>
      </c>
      <c r="F1399" s="433">
        <v>60172763.899999999</v>
      </c>
      <c r="G1399" s="433">
        <v>126058704.14650001</v>
      </c>
      <c r="H1399" s="433">
        <v>1598009.7076522</v>
      </c>
      <c r="I1399" s="433">
        <v>1459441.2781954999</v>
      </c>
      <c r="J1399" s="433">
        <v>3057450.9858476999</v>
      </c>
    </row>
    <row r="1400" spans="2:10">
      <c r="B1400" t="s">
        <v>139</v>
      </c>
      <c r="C1400" s="27" t="s">
        <v>551</v>
      </c>
      <c r="D1400" t="s">
        <v>280</v>
      </c>
      <c r="E1400" s="433">
        <v>-3900870.5428999998</v>
      </c>
      <c r="F1400" s="433">
        <v>71187.33</v>
      </c>
      <c r="G1400" s="433">
        <v>-3829683.2129000002</v>
      </c>
      <c r="H1400" s="433">
        <v>-94612.431309699998</v>
      </c>
      <c r="I1400" s="433">
        <v>1726.5905894</v>
      </c>
      <c r="J1400" s="433">
        <v>-92885.840720299995</v>
      </c>
    </row>
    <row r="1401" spans="2:10">
      <c r="B1401" t="s">
        <v>139</v>
      </c>
      <c r="C1401" s="27" t="s">
        <v>551</v>
      </c>
      <c r="D1401" t="s">
        <v>281</v>
      </c>
      <c r="E1401" s="433">
        <v>-4531971.3457000004</v>
      </c>
      <c r="F1401" s="433">
        <v>7054200.4699999997</v>
      </c>
      <c r="G1401" s="433">
        <v>2522229.1242999998</v>
      </c>
      <c r="H1401" s="433">
        <v>-109919.2662066</v>
      </c>
      <c r="I1401" s="433">
        <v>171093.87509099999</v>
      </c>
      <c r="J1401" s="433">
        <v>61174.608884300003</v>
      </c>
    </row>
    <row r="1402" spans="2:10">
      <c r="B1402" t="s">
        <v>141</v>
      </c>
      <c r="C1402" s="27" t="s">
        <v>551</v>
      </c>
      <c r="D1402" t="s">
        <v>278</v>
      </c>
      <c r="E1402" s="433">
        <v>4785550010.5572996</v>
      </c>
      <c r="F1402" s="433">
        <v>727938736</v>
      </c>
      <c r="G1402" s="433">
        <v>5513488746.5572996</v>
      </c>
      <c r="H1402" s="433">
        <v>7295523.9604994003</v>
      </c>
      <c r="I1402" s="433">
        <v>1109735.4491224</v>
      </c>
      <c r="J1402" s="433">
        <v>8405259.4096217994</v>
      </c>
    </row>
    <row r="1403" spans="2:10">
      <c r="B1403" t="s">
        <v>141</v>
      </c>
      <c r="C1403" s="27" t="s">
        <v>551</v>
      </c>
      <c r="D1403" t="s">
        <v>279</v>
      </c>
      <c r="E1403" s="433">
        <v>4590417407.6584997</v>
      </c>
      <c r="F1403" s="433">
        <v>1392147376</v>
      </c>
      <c r="G1403" s="433">
        <v>5982564783.6584997</v>
      </c>
      <c r="H1403" s="433">
        <v>6998046.2250704002</v>
      </c>
      <c r="I1403" s="433">
        <v>2122314.9932084</v>
      </c>
      <c r="J1403" s="433">
        <v>9120361.2182787992</v>
      </c>
    </row>
    <row r="1404" spans="2:10">
      <c r="B1404" t="s">
        <v>141</v>
      </c>
      <c r="C1404" s="27" t="s">
        <v>551</v>
      </c>
      <c r="D1404" t="s">
        <v>280</v>
      </c>
      <c r="E1404" s="433">
        <v>601301.12809999997</v>
      </c>
      <c r="F1404" s="433">
        <v>39564</v>
      </c>
      <c r="G1404" s="433">
        <v>640865.12809999997</v>
      </c>
      <c r="H1404" s="433">
        <v>916.67766040000004</v>
      </c>
      <c r="I1404" s="433">
        <v>60.314929200000002</v>
      </c>
      <c r="J1404" s="433">
        <v>976.99258959999997</v>
      </c>
    </row>
    <row r="1405" spans="2:10">
      <c r="B1405" t="s">
        <v>141</v>
      </c>
      <c r="C1405" s="27" t="s">
        <v>551</v>
      </c>
      <c r="D1405" t="s">
        <v>281</v>
      </c>
      <c r="E1405" s="433">
        <v>6879753503.7691002</v>
      </c>
      <c r="F1405" s="433">
        <v>423151886</v>
      </c>
      <c r="G1405" s="433">
        <v>7302905389.7691002</v>
      </c>
      <c r="H1405" s="433">
        <v>10488116.6048523</v>
      </c>
      <c r="I1405" s="433">
        <v>645090.89162859996</v>
      </c>
      <c r="J1405" s="433">
        <v>11133207.496480901</v>
      </c>
    </row>
    <row r="1406" spans="2:10">
      <c r="B1406" t="s">
        <v>140</v>
      </c>
      <c r="C1406" s="27" t="s">
        <v>551</v>
      </c>
      <c r="D1406" t="s">
        <v>278</v>
      </c>
      <c r="E1406" s="433">
        <v>1314010931.4791999</v>
      </c>
      <c r="F1406" s="433">
        <v>609062618</v>
      </c>
      <c r="G1406" s="433">
        <v>1923073549.4791999</v>
      </c>
      <c r="H1406" s="433">
        <v>2003196.7514322</v>
      </c>
      <c r="I1406" s="433">
        <v>928509.97550139995</v>
      </c>
      <c r="J1406" s="433">
        <v>2931706.7269335999</v>
      </c>
    </row>
    <row r="1407" spans="2:10">
      <c r="B1407" t="s">
        <v>140</v>
      </c>
      <c r="C1407" s="27" t="s">
        <v>551</v>
      </c>
      <c r="D1407" t="s">
        <v>279</v>
      </c>
      <c r="E1407" s="433">
        <v>2554382954.0528002</v>
      </c>
      <c r="F1407" s="433">
        <v>982166373</v>
      </c>
      <c r="G1407" s="433">
        <v>3536549327.0528002</v>
      </c>
      <c r="H1407" s="433">
        <v>3894131.7099334002</v>
      </c>
      <c r="I1407" s="433">
        <v>1497302.9832748</v>
      </c>
      <c r="J1407" s="433">
        <v>5391434.6932081999</v>
      </c>
    </row>
    <row r="1408" spans="2:10">
      <c r="B1408" t="s">
        <v>140</v>
      </c>
      <c r="C1408" s="27" t="s">
        <v>551</v>
      </c>
      <c r="D1408" t="s">
        <v>280</v>
      </c>
      <c r="E1408" s="433">
        <v>-16028018.7839</v>
      </c>
      <c r="F1408" s="433">
        <v>3497815</v>
      </c>
      <c r="G1408" s="433">
        <v>-12530203.7839</v>
      </c>
      <c r="H1408" s="433">
        <v>-24434.557118699999</v>
      </c>
      <c r="I1408" s="433">
        <v>5332.3845922999999</v>
      </c>
      <c r="J1408" s="433">
        <v>-19102.172526400002</v>
      </c>
    </row>
    <row r="1409" spans="2:10">
      <c r="B1409" t="s">
        <v>140</v>
      </c>
      <c r="C1409" s="27" t="s">
        <v>551</v>
      </c>
      <c r="D1409" t="s">
        <v>281</v>
      </c>
      <c r="E1409" s="433">
        <v>951194793.11500001</v>
      </c>
      <c r="F1409" s="433">
        <v>254066364</v>
      </c>
      <c r="G1409" s="433">
        <v>1205261157.115</v>
      </c>
      <c r="H1409" s="433">
        <v>1450087.1141172</v>
      </c>
      <c r="I1409" s="433">
        <v>387321.67504880001</v>
      </c>
      <c r="J1409" s="433">
        <v>1837408.7891661001</v>
      </c>
    </row>
    <row r="1410" spans="2:10">
      <c r="B1410" t="s">
        <v>123</v>
      </c>
      <c r="C1410" s="27" t="s">
        <v>553</v>
      </c>
      <c r="D1410" t="s">
        <v>278</v>
      </c>
      <c r="E1410" s="433">
        <v>479356129.74589998</v>
      </c>
      <c r="F1410" s="433">
        <v>220863779</v>
      </c>
      <c r="G1410" s="433">
        <v>628945800.73959994</v>
      </c>
      <c r="H1410" s="433">
        <v>730773.70886490005</v>
      </c>
      <c r="I1410" s="433">
        <v>336704.66051890003</v>
      </c>
      <c r="J1410" s="433">
        <v>958821.69218350004</v>
      </c>
    </row>
    <row r="1411" spans="2:10">
      <c r="B1411" t="s">
        <v>123</v>
      </c>
      <c r="C1411" s="27" t="s">
        <v>553</v>
      </c>
      <c r="D1411" t="s">
        <v>279</v>
      </c>
      <c r="E1411" s="433">
        <v>918694862.2076</v>
      </c>
      <c r="F1411" s="433">
        <v>501406123.38</v>
      </c>
      <c r="G1411" s="433">
        <v>1310907718.6584001</v>
      </c>
      <c r="H1411" s="433">
        <v>1400541.2888461</v>
      </c>
      <c r="I1411" s="433">
        <v>764388.70746099995</v>
      </c>
      <c r="J1411" s="433">
        <v>1998465.9339840999</v>
      </c>
    </row>
    <row r="1412" spans="2:10">
      <c r="B1412" t="s">
        <v>123</v>
      </c>
      <c r="C1412" s="27" t="s">
        <v>553</v>
      </c>
      <c r="D1412" t="s">
        <v>280</v>
      </c>
      <c r="E1412" s="433">
        <v>6482.8054000000002</v>
      </c>
      <c r="F1412" s="433">
        <v>-188768720.44</v>
      </c>
      <c r="G1412" s="433">
        <v>-188768720.44</v>
      </c>
      <c r="H1412" s="433">
        <v>9.8829730999999992</v>
      </c>
      <c r="I1412" s="433">
        <v>-287776.05916240002</v>
      </c>
      <c r="J1412" s="433">
        <v>-287776.05916240002</v>
      </c>
    </row>
    <row r="1413" spans="2:10">
      <c r="B1413" t="s">
        <v>123</v>
      </c>
      <c r="C1413" s="27" t="s">
        <v>553</v>
      </c>
      <c r="D1413" t="s">
        <v>281</v>
      </c>
      <c r="E1413" s="433">
        <v>797515963.58500004</v>
      </c>
      <c r="F1413" s="433">
        <v>242383406</v>
      </c>
      <c r="G1413" s="433">
        <v>116410918.40260001</v>
      </c>
      <c r="H1413" s="433">
        <v>1215805.2487967999</v>
      </c>
      <c r="I1413" s="433">
        <v>369511.12039360002</v>
      </c>
      <c r="J1413" s="433">
        <v>177467.30106180001</v>
      </c>
    </row>
    <row r="1414" spans="2:10">
      <c r="B1414" t="s">
        <v>124</v>
      </c>
      <c r="C1414" s="27" t="s">
        <v>553</v>
      </c>
      <c r="D1414" t="s">
        <v>278</v>
      </c>
      <c r="E1414" s="433">
        <v>1040686960.0721</v>
      </c>
      <c r="F1414" s="433">
        <v>-11215391</v>
      </c>
      <c r="G1414" s="433">
        <v>1497552825.9937</v>
      </c>
      <c r="H1414" s="433">
        <v>1586517.0431478</v>
      </c>
      <c r="I1414" s="433">
        <v>-17097.753358800001</v>
      </c>
      <c r="J1414" s="433">
        <v>2283004.5658384999</v>
      </c>
    </row>
    <row r="1415" spans="2:10">
      <c r="B1415" t="s">
        <v>124</v>
      </c>
      <c r="C1415" s="27" t="s">
        <v>553</v>
      </c>
      <c r="D1415" t="s">
        <v>279</v>
      </c>
      <c r="E1415" s="433">
        <v>2980790791.2052002</v>
      </c>
      <c r="F1415" s="433">
        <v>1853183110</v>
      </c>
      <c r="G1415" s="433">
        <v>8048980126.0421</v>
      </c>
      <c r="H1415" s="433">
        <v>4544186.2670956003</v>
      </c>
      <c r="I1415" s="433">
        <v>2825159.4388047</v>
      </c>
      <c r="J1415" s="433">
        <v>12270591.0997857</v>
      </c>
    </row>
    <row r="1416" spans="2:10">
      <c r="B1416" t="s">
        <v>124</v>
      </c>
      <c r="C1416" s="27" t="s">
        <v>553</v>
      </c>
      <c r="D1416" t="s">
        <v>280</v>
      </c>
      <c r="E1416" s="433">
        <v>46197876.342399999</v>
      </c>
      <c r="F1416" s="433">
        <v>1122730047.608</v>
      </c>
      <c r="G1416" s="433">
        <v>1212240115.7567</v>
      </c>
      <c r="H1416" s="433">
        <v>70428.208468500001</v>
      </c>
      <c r="I1416" s="433">
        <v>1711590.9238074999</v>
      </c>
      <c r="J1416" s="433">
        <v>1848048.1430287</v>
      </c>
    </row>
    <row r="1417" spans="2:10">
      <c r="B1417" t="s">
        <v>124</v>
      </c>
      <c r="C1417" s="27" t="s">
        <v>553</v>
      </c>
      <c r="D1417" t="s">
        <v>281</v>
      </c>
      <c r="E1417" s="433">
        <v>1263791558.9676001</v>
      </c>
      <c r="F1417" s="433">
        <v>216590944</v>
      </c>
      <c r="G1417" s="433">
        <v>-1260211782.1293001</v>
      </c>
      <c r="H1417" s="433">
        <v>1926637.8115755001</v>
      </c>
      <c r="I1417" s="433">
        <v>330190.76555319998</v>
      </c>
      <c r="J1417" s="433">
        <v>-1921180.4769661999</v>
      </c>
    </row>
    <row r="1418" spans="2:10">
      <c r="B1418" t="s">
        <v>131</v>
      </c>
      <c r="C1418" s="27" t="s">
        <v>553</v>
      </c>
      <c r="D1418" t="s">
        <v>278</v>
      </c>
      <c r="E1418" s="433">
        <v>17090542249.4561</v>
      </c>
      <c r="F1418" s="433">
        <v>1467685214</v>
      </c>
      <c r="G1418" s="433">
        <v>15441132814.690599</v>
      </c>
      <c r="H1418" s="433">
        <v>26054363.699840199</v>
      </c>
      <c r="I1418" s="433">
        <v>2237471.6848817999</v>
      </c>
      <c r="J1418" s="433">
        <v>23539855.226319101</v>
      </c>
    </row>
    <row r="1419" spans="2:10">
      <c r="B1419" t="s">
        <v>131</v>
      </c>
      <c r="C1419" s="27" t="s">
        <v>553</v>
      </c>
      <c r="D1419" t="s">
        <v>279</v>
      </c>
      <c r="E1419" s="433">
        <v>20658470196.308399</v>
      </c>
      <c r="F1419" s="433">
        <v>2622655905</v>
      </c>
      <c r="G1419" s="433">
        <v>15055662790.2974</v>
      </c>
      <c r="H1419" s="433">
        <v>31493634.790555499</v>
      </c>
      <c r="I1419" s="433">
        <v>3998213.1526914001</v>
      </c>
      <c r="J1419" s="433">
        <v>22952209.962386899</v>
      </c>
    </row>
    <row r="1420" spans="2:10">
      <c r="B1420" t="s">
        <v>131</v>
      </c>
      <c r="C1420" s="27" t="s">
        <v>553</v>
      </c>
      <c r="D1420" t="s">
        <v>280</v>
      </c>
      <c r="E1420" s="433">
        <v>101785034.0219</v>
      </c>
      <c r="F1420" s="433">
        <v>-56919282297.468002</v>
      </c>
      <c r="G1420" s="433">
        <v>-52669820224.961304</v>
      </c>
      <c r="H1420" s="433">
        <v>155170.28406119999</v>
      </c>
      <c r="I1420" s="433">
        <v>-86772886.481077299</v>
      </c>
      <c r="J1420" s="433">
        <v>-80294623.313664302</v>
      </c>
    </row>
    <row r="1421" spans="2:10">
      <c r="B1421" t="s">
        <v>131</v>
      </c>
      <c r="C1421" s="27" t="s">
        <v>553</v>
      </c>
      <c r="D1421" t="s">
        <v>281</v>
      </c>
      <c r="E1421" s="433">
        <v>15041756562.4526</v>
      </c>
      <c r="F1421" s="433">
        <v>437679284</v>
      </c>
      <c r="G1421" s="433">
        <v>3313052023.5439</v>
      </c>
      <c r="H1421" s="433">
        <v>22931010.054702699</v>
      </c>
      <c r="I1421" s="433">
        <v>667237.76710970001</v>
      </c>
      <c r="J1421" s="433">
        <v>5050715.2504567998</v>
      </c>
    </row>
    <row r="1422" spans="2:10">
      <c r="B1422" t="s">
        <v>132</v>
      </c>
      <c r="C1422" s="27" t="s">
        <v>553</v>
      </c>
      <c r="D1422" t="s">
        <v>278</v>
      </c>
      <c r="E1422" s="433">
        <v>4872065254.9216995</v>
      </c>
      <c r="F1422" s="433">
        <v>2999307320</v>
      </c>
      <c r="G1422" s="433">
        <v>8146363224.9481001</v>
      </c>
      <c r="H1422" s="433">
        <v>7427415.6002935003</v>
      </c>
      <c r="I1422" s="433">
        <v>4572414.5332696997</v>
      </c>
      <c r="J1422" s="433">
        <v>12419050.6770232</v>
      </c>
    </row>
    <row r="1423" spans="2:10">
      <c r="B1423" t="s">
        <v>132</v>
      </c>
      <c r="C1423" s="27" t="s">
        <v>553</v>
      </c>
      <c r="D1423" t="s">
        <v>279</v>
      </c>
      <c r="E1423" s="433">
        <v>6290867590.5394001</v>
      </c>
      <c r="F1423" s="433">
        <v>4628893122</v>
      </c>
      <c r="G1423" s="433">
        <v>8223593358.3720999</v>
      </c>
      <c r="H1423" s="433">
        <v>9590365.8174840994</v>
      </c>
      <c r="I1423" s="433">
        <v>7056702.0734591</v>
      </c>
      <c r="J1423" s="433">
        <v>12536787.2564392</v>
      </c>
    </row>
    <row r="1424" spans="2:10">
      <c r="B1424" t="s">
        <v>132</v>
      </c>
      <c r="C1424" s="27" t="s">
        <v>553</v>
      </c>
      <c r="D1424" t="s">
        <v>280</v>
      </c>
      <c r="E1424" s="433">
        <v>-159006844.3996</v>
      </c>
      <c r="F1424" s="433">
        <v>855070617.10399997</v>
      </c>
      <c r="G1424" s="433">
        <v>898908394.07159996</v>
      </c>
      <c r="H1424" s="433">
        <v>-242404.37162739999</v>
      </c>
      <c r="I1424" s="433">
        <v>1303546.7524609</v>
      </c>
      <c r="J1424" s="433">
        <v>1370377.0126267001</v>
      </c>
    </row>
    <row r="1425" spans="2:10">
      <c r="B1425" t="s">
        <v>132</v>
      </c>
      <c r="C1425" s="27" t="s">
        <v>553</v>
      </c>
      <c r="D1425" t="s">
        <v>281</v>
      </c>
      <c r="E1425" s="433">
        <v>1859302917.0501001</v>
      </c>
      <c r="F1425" s="433">
        <v>671862740</v>
      </c>
      <c r="G1425" s="433">
        <v>1284619236.8929</v>
      </c>
      <c r="H1425" s="433">
        <v>2834489.0245094001</v>
      </c>
      <c r="I1425" s="433">
        <v>1024248.1443143</v>
      </c>
      <c r="J1425" s="433">
        <v>1958389.4018858999</v>
      </c>
    </row>
    <row r="1426" spans="2:10">
      <c r="B1426" t="s">
        <v>135</v>
      </c>
      <c r="C1426" s="27" t="s">
        <v>553</v>
      </c>
      <c r="D1426" t="s">
        <v>278</v>
      </c>
      <c r="E1426" s="433">
        <v>1002529838.6812</v>
      </c>
      <c r="F1426" s="433">
        <v>862671305</v>
      </c>
      <c r="G1426" s="433">
        <v>1688835048.7391</v>
      </c>
      <c r="H1426" s="433">
        <v>1528346.8865813001</v>
      </c>
      <c r="I1426" s="433">
        <v>1315133.9264616</v>
      </c>
      <c r="J1426" s="433">
        <v>2574612.4345637001</v>
      </c>
    </row>
    <row r="1427" spans="2:10">
      <c r="B1427" t="s">
        <v>135</v>
      </c>
      <c r="C1427" s="27" t="s">
        <v>553</v>
      </c>
      <c r="D1427" t="s">
        <v>279</v>
      </c>
      <c r="E1427" s="433">
        <v>1126107385.0437</v>
      </c>
      <c r="F1427" s="433">
        <v>329094624</v>
      </c>
      <c r="G1427" s="433">
        <v>1321117577.8276999</v>
      </c>
      <c r="H1427" s="433">
        <v>1716739.641537</v>
      </c>
      <c r="I1427" s="433">
        <v>501701.52006920002</v>
      </c>
      <c r="J1427" s="433">
        <v>2014030.763949</v>
      </c>
    </row>
    <row r="1428" spans="2:10">
      <c r="B1428" t="s">
        <v>135</v>
      </c>
      <c r="C1428" s="27" t="s">
        <v>553</v>
      </c>
      <c r="D1428" t="s">
        <v>280</v>
      </c>
      <c r="E1428" s="433">
        <v>-531188.87419999996</v>
      </c>
      <c r="F1428" s="433">
        <v>-27502350</v>
      </c>
      <c r="G1428" s="433">
        <v>-26723423.432100002</v>
      </c>
      <c r="H1428" s="433">
        <v>-809.79221840000002</v>
      </c>
      <c r="I1428" s="433">
        <v>-41927.062292199997</v>
      </c>
      <c r="J1428" s="433">
        <v>-40739.596394400003</v>
      </c>
    </row>
    <row r="1429" spans="2:10">
      <c r="B1429" t="s">
        <v>135</v>
      </c>
      <c r="C1429" s="27" t="s">
        <v>553</v>
      </c>
      <c r="D1429" t="s">
        <v>281</v>
      </c>
      <c r="E1429" s="433">
        <v>1944381784.6742001</v>
      </c>
      <c r="F1429" s="433">
        <v>1110008172</v>
      </c>
      <c r="G1429" s="433">
        <v>1248282838.7170999</v>
      </c>
      <c r="H1429" s="433">
        <v>2964190.9220790002</v>
      </c>
      <c r="I1429" s="433">
        <v>1692196.5494689001</v>
      </c>
      <c r="J1429" s="433">
        <v>1902994.9199675</v>
      </c>
    </row>
    <row r="1430" spans="2:10">
      <c r="B1430" t="s">
        <v>136</v>
      </c>
      <c r="C1430" s="27" t="s">
        <v>553</v>
      </c>
      <c r="D1430" t="s">
        <v>278</v>
      </c>
      <c r="E1430" s="433">
        <v>-3529409.7938999999</v>
      </c>
      <c r="F1430" s="433">
        <v>5576340.8799999999</v>
      </c>
      <c r="G1430" s="433">
        <v>32439159.675999999</v>
      </c>
      <c r="H1430" s="433">
        <v>-299676.48155790003</v>
      </c>
      <c r="I1430" s="433">
        <v>473478.0919388</v>
      </c>
      <c r="J1430" s="433">
        <v>2754356.6216652002</v>
      </c>
    </row>
    <row r="1431" spans="2:10">
      <c r="B1431" t="s">
        <v>136</v>
      </c>
      <c r="C1431" s="27" t="s">
        <v>553</v>
      </c>
      <c r="D1431" t="s">
        <v>279</v>
      </c>
      <c r="E1431" s="433">
        <v>12624964.6612</v>
      </c>
      <c r="F1431" s="433">
        <v>18104432.77</v>
      </c>
      <c r="G1431" s="433">
        <v>98799465.167600006</v>
      </c>
      <c r="H1431" s="433">
        <v>1071965.3455941</v>
      </c>
      <c r="I1431" s="433">
        <v>1537218.1270909</v>
      </c>
      <c r="J1431" s="433">
        <v>8388902.9130029008</v>
      </c>
    </row>
    <row r="1432" spans="2:10">
      <c r="B1432" t="s">
        <v>136</v>
      </c>
      <c r="C1432" s="27" t="s">
        <v>553</v>
      </c>
      <c r="D1432" t="s">
        <v>280</v>
      </c>
      <c r="E1432" s="433">
        <v>14137.8241</v>
      </c>
      <c r="F1432" s="433">
        <v>11351.33</v>
      </c>
      <c r="G1432" s="433">
        <v>234147.40179999999</v>
      </c>
      <c r="H1432" s="433">
        <v>1200.4197955</v>
      </c>
      <c r="I1432" s="433">
        <v>963.82308490000003</v>
      </c>
      <c r="J1432" s="433">
        <v>19881.0774704</v>
      </c>
    </row>
    <row r="1433" spans="2:10">
      <c r="B1433" t="s">
        <v>136</v>
      </c>
      <c r="C1433" s="27" t="s">
        <v>553</v>
      </c>
      <c r="D1433" t="s">
        <v>281</v>
      </c>
      <c r="E1433" s="433">
        <v>-43540.3442</v>
      </c>
      <c r="F1433" s="433">
        <v>6013609.7199999997</v>
      </c>
      <c r="G1433" s="433">
        <v>-5177893.4093000004</v>
      </c>
      <c r="H1433" s="433">
        <v>-3696.9402584999998</v>
      </c>
      <c r="I1433" s="433">
        <v>510605.8824528</v>
      </c>
      <c r="J1433" s="433">
        <v>-439646.56115099997</v>
      </c>
    </row>
    <row r="1434" spans="2:10">
      <c r="B1434" t="s">
        <v>137</v>
      </c>
      <c r="C1434" s="27" t="s">
        <v>553</v>
      </c>
      <c r="D1434" t="s">
        <v>278</v>
      </c>
      <c r="E1434" s="433">
        <v>31547472074.3064</v>
      </c>
      <c r="F1434" s="433">
        <v>10311455204.700001</v>
      </c>
      <c r="G1434" s="433">
        <v>49614842620.328003</v>
      </c>
      <c r="H1434" s="433">
        <v>3526958.2969673998</v>
      </c>
      <c r="I1434" s="433">
        <v>1152804.6495250999</v>
      </c>
      <c r="J1434" s="433">
        <v>5546862.2151509002</v>
      </c>
    </row>
    <row r="1435" spans="2:10">
      <c r="B1435" t="s">
        <v>137</v>
      </c>
      <c r="C1435" s="27" t="s">
        <v>553</v>
      </c>
      <c r="D1435" t="s">
        <v>279</v>
      </c>
      <c r="E1435" s="433">
        <v>35360518432.907501</v>
      </c>
      <c r="F1435" s="433">
        <v>21697747548.349998</v>
      </c>
      <c r="G1435" s="433">
        <v>89796897093.585007</v>
      </c>
      <c r="H1435" s="433">
        <v>3953250.9475961002</v>
      </c>
      <c r="I1435" s="433">
        <v>2425774.4189742999</v>
      </c>
      <c r="J1435" s="433">
        <v>10039153.3908066</v>
      </c>
    </row>
    <row r="1436" spans="2:10">
      <c r="B1436" t="s">
        <v>137</v>
      </c>
      <c r="C1436" s="27" t="s">
        <v>553</v>
      </c>
      <c r="D1436" t="s">
        <v>280</v>
      </c>
      <c r="E1436" s="433">
        <v>28535432.744800001</v>
      </c>
      <c r="F1436" s="433">
        <v>12775972564.768</v>
      </c>
      <c r="G1436" s="433">
        <v>12775590147.118799</v>
      </c>
      <c r="H1436" s="433">
        <v>3190.2169859999999</v>
      </c>
      <c r="I1436" s="433">
        <v>1428333.8561328</v>
      </c>
      <c r="J1436" s="433">
        <v>1428291.1024346</v>
      </c>
    </row>
    <row r="1437" spans="2:10">
      <c r="B1437" t="s">
        <v>137</v>
      </c>
      <c r="C1437" s="27" t="s">
        <v>553</v>
      </c>
      <c r="D1437" t="s">
        <v>281</v>
      </c>
      <c r="E1437" s="433">
        <v>50808730126.915604</v>
      </c>
      <c r="F1437" s="433">
        <v>3885003293.6799998</v>
      </c>
      <c r="G1437" s="433">
        <v>9883632597.7434998</v>
      </c>
      <c r="H1437" s="433">
        <v>5680336.9809606001</v>
      </c>
      <c r="I1437" s="433">
        <v>434337.32402130001</v>
      </c>
      <c r="J1437" s="433">
        <v>1104974.7476653999</v>
      </c>
    </row>
    <row r="1438" spans="2:10">
      <c r="B1438" t="s">
        <v>138</v>
      </c>
      <c r="C1438" s="27" t="s">
        <v>553</v>
      </c>
      <c r="D1438" t="s">
        <v>278</v>
      </c>
      <c r="E1438" s="433">
        <v>24583125083.5882</v>
      </c>
      <c r="F1438" s="433">
        <v>8072995559.1000004</v>
      </c>
      <c r="G1438" s="433">
        <v>35341756703.695297</v>
      </c>
      <c r="H1438" s="433">
        <v>5142611.9565356001</v>
      </c>
      <c r="I1438" s="433">
        <v>1688812.2785904</v>
      </c>
      <c r="J1438" s="433">
        <v>7393239.8737511998</v>
      </c>
    </row>
    <row r="1439" spans="2:10">
      <c r="B1439" t="s">
        <v>138</v>
      </c>
      <c r="C1439" s="27" t="s">
        <v>553</v>
      </c>
      <c r="D1439" t="s">
        <v>279</v>
      </c>
      <c r="E1439" s="433">
        <v>55175683784.893402</v>
      </c>
      <c r="F1439" s="433">
        <v>28654321129.330002</v>
      </c>
      <c r="G1439" s="433">
        <v>116853939278.577</v>
      </c>
      <c r="H1439" s="433">
        <v>11542353.959369199</v>
      </c>
      <c r="I1439" s="433">
        <v>5994276.7221438996</v>
      </c>
      <c r="J1439" s="433">
        <v>24444998.886796799</v>
      </c>
    </row>
    <row r="1440" spans="2:10">
      <c r="B1440" t="s">
        <v>138</v>
      </c>
      <c r="C1440" s="27" t="s">
        <v>553</v>
      </c>
      <c r="D1440" t="s">
        <v>280</v>
      </c>
      <c r="E1440" s="433">
        <v>218878.8124</v>
      </c>
      <c r="F1440" s="433">
        <v>8331908281.5</v>
      </c>
      <c r="G1440" s="433">
        <v>8331868353.0900002</v>
      </c>
      <c r="H1440" s="433">
        <v>45.787864399999997</v>
      </c>
      <c r="I1440" s="433">
        <v>1742974.9473880001</v>
      </c>
      <c r="J1440" s="433">
        <v>1742966.5946535</v>
      </c>
    </row>
    <row r="1441" spans="2:10">
      <c r="B1441" t="s">
        <v>138</v>
      </c>
      <c r="C1441" s="27" t="s">
        <v>553</v>
      </c>
      <c r="D1441" t="s">
        <v>281</v>
      </c>
      <c r="E1441" s="433">
        <v>19381807675.625198</v>
      </c>
      <c r="F1441" s="433">
        <v>3357989715.9099998</v>
      </c>
      <c r="G1441" s="433">
        <v>855498177.72210002</v>
      </c>
      <c r="H1441" s="433">
        <v>4054533.9761740002</v>
      </c>
      <c r="I1441" s="433">
        <v>702467.16006380005</v>
      </c>
      <c r="J1441" s="433">
        <v>178964.03091910001</v>
      </c>
    </row>
    <row r="1442" spans="2:10">
      <c r="B1442" t="s">
        <v>139</v>
      </c>
      <c r="C1442" s="27" t="s">
        <v>553</v>
      </c>
      <c r="D1442" t="s">
        <v>278</v>
      </c>
      <c r="E1442" s="433">
        <v>31856326.410999998</v>
      </c>
      <c r="F1442" s="433">
        <v>15175260.4</v>
      </c>
      <c r="G1442" s="433">
        <v>73920228.379500002</v>
      </c>
      <c r="H1442" s="433">
        <v>795215.33726910001</v>
      </c>
      <c r="I1442" s="433">
        <v>378813.29006490001</v>
      </c>
      <c r="J1442" s="433">
        <v>1845237.8527084</v>
      </c>
    </row>
    <row r="1443" spans="2:10">
      <c r="B1443" t="s">
        <v>139</v>
      </c>
      <c r="C1443" s="27" t="s">
        <v>553</v>
      </c>
      <c r="D1443" t="s">
        <v>279</v>
      </c>
      <c r="E1443" s="433">
        <v>79730619.071899995</v>
      </c>
      <c r="F1443" s="433">
        <v>30229613.09</v>
      </c>
      <c r="G1443" s="433">
        <v>161266159.80199999</v>
      </c>
      <c r="H1443" s="433">
        <v>1990280.0567123999</v>
      </c>
      <c r="I1443" s="433">
        <v>754608.4146281</v>
      </c>
      <c r="J1443" s="433">
        <v>4025615.5716924998</v>
      </c>
    </row>
    <row r="1444" spans="2:10">
      <c r="B1444" t="s">
        <v>139</v>
      </c>
      <c r="C1444" s="27" t="s">
        <v>553</v>
      </c>
      <c r="D1444" t="s">
        <v>280</v>
      </c>
      <c r="E1444" s="433">
        <v>-3030205.2256</v>
      </c>
      <c r="F1444" s="433">
        <v>190982978.13999999</v>
      </c>
      <c r="G1444" s="433">
        <v>196373583.20199999</v>
      </c>
      <c r="H1444" s="433">
        <v>-75641.668137800007</v>
      </c>
      <c r="I1444" s="433">
        <v>4767423.3185222</v>
      </c>
      <c r="J1444" s="433">
        <v>4901986.6001498001</v>
      </c>
    </row>
    <row r="1445" spans="2:10">
      <c r="B1445" t="s">
        <v>139</v>
      </c>
      <c r="C1445" s="27" t="s">
        <v>553</v>
      </c>
      <c r="D1445" t="s">
        <v>281</v>
      </c>
      <c r="E1445" s="433">
        <v>-7997758.9289999995</v>
      </c>
      <c r="F1445" s="433">
        <v>522744.62</v>
      </c>
      <c r="G1445" s="433">
        <v>-35970682.710100003</v>
      </c>
      <c r="H1445" s="433">
        <v>-199644.50646529999</v>
      </c>
      <c r="I1445" s="433">
        <v>13049.041937100001</v>
      </c>
      <c r="J1445" s="433">
        <v>-897920.18747130001</v>
      </c>
    </row>
    <row r="1446" spans="2:10">
      <c r="B1446" t="s">
        <v>141</v>
      </c>
      <c r="C1446" s="27" t="s">
        <v>553</v>
      </c>
      <c r="D1446" t="s">
        <v>278</v>
      </c>
      <c r="E1446" s="433">
        <v>5252301538.4041004</v>
      </c>
      <c r="F1446" s="433">
        <v>851943224</v>
      </c>
      <c r="G1446" s="433">
        <v>4715900651.4871998</v>
      </c>
      <c r="H1446" s="433">
        <v>8007082.0776423998</v>
      </c>
      <c r="I1446" s="433">
        <v>1298779.0724086999</v>
      </c>
      <c r="J1446" s="433">
        <v>7189344.1970849</v>
      </c>
    </row>
    <row r="1447" spans="2:10">
      <c r="B1447" t="s">
        <v>141</v>
      </c>
      <c r="C1447" s="27" t="s">
        <v>553</v>
      </c>
      <c r="D1447" t="s">
        <v>279</v>
      </c>
      <c r="E1447" s="433">
        <v>4980025821.6602001</v>
      </c>
      <c r="F1447" s="433">
        <v>1624407430</v>
      </c>
      <c r="G1447" s="433">
        <v>4819406607.2304001</v>
      </c>
      <c r="H1447" s="433">
        <v>7592000.4232901996</v>
      </c>
      <c r="I1447" s="433">
        <v>2476393.1629665</v>
      </c>
      <c r="J1447" s="433">
        <v>7347138.0093975998</v>
      </c>
    </row>
    <row r="1448" spans="2:10">
      <c r="B1448" t="s">
        <v>141</v>
      </c>
      <c r="C1448" s="27" t="s">
        <v>553</v>
      </c>
      <c r="D1448" t="s">
        <v>280</v>
      </c>
      <c r="E1448" s="433">
        <v>599904.12809999997</v>
      </c>
      <c r="F1448" s="433">
        <v>43056</v>
      </c>
      <c r="G1448" s="433">
        <v>30379</v>
      </c>
      <c r="H1448" s="433">
        <v>914.54794770000001</v>
      </c>
      <c r="I1448" s="433">
        <v>65.6384489</v>
      </c>
      <c r="J1448" s="433">
        <v>46.312486900000003</v>
      </c>
    </row>
    <row r="1449" spans="2:10">
      <c r="B1449" t="s">
        <v>141</v>
      </c>
      <c r="C1449" s="27" t="s">
        <v>553</v>
      </c>
      <c r="D1449" t="s">
        <v>281</v>
      </c>
      <c r="E1449" s="433">
        <v>6833146620.1341</v>
      </c>
      <c r="F1449" s="433">
        <v>498464065</v>
      </c>
      <c r="G1449" s="433">
        <v>368491392.74370003</v>
      </c>
      <c r="H1449" s="433">
        <v>10417064.8687858</v>
      </c>
      <c r="I1449" s="433">
        <v>759903.56837410002</v>
      </c>
      <c r="J1449" s="433">
        <v>561761.50684219995</v>
      </c>
    </row>
    <row r="1450" spans="2:10">
      <c r="B1450" t="s">
        <v>140</v>
      </c>
      <c r="C1450" s="27" t="s">
        <v>553</v>
      </c>
      <c r="D1450" t="s">
        <v>278</v>
      </c>
      <c r="E1450" s="433">
        <v>1510839973.7491</v>
      </c>
      <c r="F1450" s="433">
        <v>689296877</v>
      </c>
      <c r="G1450" s="433">
        <v>2348154679.2497001</v>
      </c>
      <c r="H1450" s="433">
        <v>2303260.6920105</v>
      </c>
      <c r="I1450" s="433">
        <v>1050826.3148347</v>
      </c>
      <c r="J1450" s="433">
        <v>3579738.7317304001</v>
      </c>
    </row>
    <row r="1451" spans="2:10">
      <c r="B1451" t="s">
        <v>140</v>
      </c>
      <c r="C1451" s="27" t="s">
        <v>553</v>
      </c>
      <c r="D1451" t="s">
        <v>279</v>
      </c>
      <c r="E1451" s="433">
        <v>2900509934.8062</v>
      </c>
      <c r="F1451" s="433">
        <v>1080090668</v>
      </c>
      <c r="G1451" s="433">
        <v>4105731923.1364999</v>
      </c>
      <c r="H1451" s="433">
        <v>4421798.8904855</v>
      </c>
      <c r="I1451" s="433">
        <v>1646587.608639</v>
      </c>
      <c r="J1451" s="433">
        <v>6259147.9672242003</v>
      </c>
    </row>
    <row r="1452" spans="2:10">
      <c r="B1452" t="s">
        <v>140</v>
      </c>
      <c r="C1452" s="27" t="s">
        <v>553</v>
      </c>
      <c r="D1452" t="s">
        <v>280</v>
      </c>
      <c r="E1452" s="433">
        <v>-12017421.018300001</v>
      </c>
      <c r="F1452" s="433">
        <v>-73219330.159799993</v>
      </c>
      <c r="G1452" s="433">
        <v>-36524984.9604</v>
      </c>
      <c r="H1452" s="433">
        <v>-18320.440239700001</v>
      </c>
      <c r="I1452" s="433">
        <v>-111622.14925639999</v>
      </c>
      <c r="J1452" s="433">
        <v>-55681.980618200003</v>
      </c>
    </row>
    <row r="1453" spans="2:10">
      <c r="B1453" t="s">
        <v>140</v>
      </c>
      <c r="C1453" s="27" t="s">
        <v>553</v>
      </c>
      <c r="D1453" t="s">
        <v>281</v>
      </c>
      <c r="E1453" s="433">
        <v>989899731.78830004</v>
      </c>
      <c r="F1453" s="433">
        <v>286831697</v>
      </c>
      <c r="G1453" s="433">
        <v>538091878.04059994</v>
      </c>
      <c r="H1453" s="433">
        <v>1509092.4127470001</v>
      </c>
      <c r="I1453" s="433">
        <v>437272.10320190003</v>
      </c>
      <c r="J1453" s="433">
        <v>820315.77990720002</v>
      </c>
    </row>
    <row r="1454" spans="2:10">
      <c r="B1454" s="908" t="s">
        <v>123</v>
      </c>
      <c r="C1454" s="909" t="s">
        <v>556</v>
      </c>
      <c r="D1454" s="908" t="s">
        <v>278</v>
      </c>
      <c r="E1454" s="910">
        <v>578650692.60380006</v>
      </c>
      <c r="F1454" s="910">
        <v>239950607</v>
      </c>
      <c r="G1454" s="910">
        <v>720628307.75880003</v>
      </c>
      <c r="H1454" s="910">
        <v>882147.29411200003</v>
      </c>
      <c r="I1454" s="910">
        <v>365802.34222669998</v>
      </c>
      <c r="J1454" s="910">
        <v>1098590.7731129001</v>
      </c>
    </row>
    <row r="1455" spans="2:10">
      <c r="B1455" s="908" t="s">
        <v>123</v>
      </c>
      <c r="C1455" s="909" t="s">
        <v>556</v>
      </c>
      <c r="D1455" s="908" t="s">
        <v>279</v>
      </c>
      <c r="E1455" s="910">
        <v>1004776875.7143</v>
      </c>
      <c r="F1455" s="910">
        <v>528834810.01999998</v>
      </c>
      <c r="G1455" s="910">
        <v>1668188722.0699</v>
      </c>
      <c r="H1455" s="910">
        <v>1531772.4724552</v>
      </c>
      <c r="I1455" s="910">
        <v>806203.47068479995</v>
      </c>
      <c r="J1455" s="910">
        <v>2543137.3124608998</v>
      </c>
    </row>
    <row r="1456" spans="2:10">
      <c r="B1456" s="908" t="s">
        <v>123</v>
      </c>
      <c r="C1456" s="909" t="s">
        <v>556</v>
      </c>
      <c r="D1456" s="908" t="s">
        <v>280</v>
      </c>
      <c r="E1456" s="910">
        <v>36890.184200000003</v>
      </c>
      <c r="F1456" s="910">
        <v>83614250.777999997</v>
      </c>
      <c r="G1456" s="910">
        <v>330556357.35000002</v>
      </c>
      <c r="H1456" s="910">
        <v>56.238723299999997</v>
      </c>
      <c r="I1456" s="910">
        <v>127469.10358150001</v>
      </c>
      <c r="J1456" s="910">
        <v>503929.91819589998</v>
      </c>
    </row>
    <row r="1457" spans="2:10">
      <c r="B1457" s="908" t="s">
        <v>123</v>
      </c>
      <c r="C1457" s="909" t="s">
        <v>556</v>
      </c>
      <c r="D1457" s="908" t="s">
        <v>281</v>
      </c>
      <c r="E1457" s="910">
        <v>1087960330.8915999</v>
      </c>
      <c r="F1457" s="910">
        <v>274601377</v>
      </c>
      <c r="G1457" s="910">
        <v>122631160.5236</v>
      </c>
      <c r="H1457" s="910">
        <v>1658584.8323770999</v>
      </c>
      <c r="I1457" s="910">
        <v>418627.10055690003</v>
      </c>
      <c r="J1457" s="910">
        <v>186949.9990451</v>
      </c>
    </row>
    <row r="1458" spans="2:10">
      <c r="B1458" s="908" t="s">
        <v>124</v>
      </c>
      <c r="C1458" s="909" t="s">
        <v>556</v>
      </c>
      <c r="D1458" s="908" t="s">
        <v>278</v>
      </c>
      <c r="E1458" s="910">
        <v>1184235189.9991</v>
      </c>
      <c r="F1458" s="910">
        <v>-159498840</v>
      </c>
      <c r="G1458" s="910">
        <v>2052892990.4872</v>
      </c>
      <c r="H1458" s="910">
        <v>1805354.9089331999</v>
      </c>
      <c r="I1458" s="910">
        <v>-243154.4140851</v>
      </c>
      <c r="J1458" s="910">
        <v>3129615.1889334</v>
      </c>
    </row>
    <row r="1459" spans="2:10">
      <c r="B1459" s="908" t="s">
        <v>124</v>
      </c>
      <c r="C1459" s="909" t="s">
        <v>556</v>
      </c>
      <c r="D1459" s="908" t="s">
        <v>279</v>
      </c>
      <c r="E1459" s="910">
        <v>2806738731.7424998</v>
      </c>
      <c r="F1459" s="910">
        <v>1566542968</v>
      </c>
      <c r="G1459" s="910">
        <v>8975004232.5326004</v>
      </c>
      <c r="H1459" s="910">
        <v>4278845.6129631996</v>
      </c>
      <c r="I1459" s="910">
        <v>2388179.3593178</v>
      </c>
      <c r="J1459" s="910">
        <v>13682305.749511899</v>
      </c>
    </row>
    <row r="1460" spans="2:10">
      <c r="B1460" s="908" t="s">
        <v>124</v>
      </c>
      <c r="C1460" s="909" t="s">
        <v>556</v>
      </c>
      <c r="D1460" s="908" t="s">
        <v>280</v>
      </c>
      <c r="E1460" s="910">
        <v>-9015</v>
      </c>
      <c r="F1460" s="910">
        <v>1059044298.904</v>
      </c>
      <c r="G1460" s="910">
        <v>1480799654.194</v>
      </c>
      <c r="H1460" s="910">
        <v>-13.7432789</v>
      </c>
      <c r="I1460" s="910">
        <v>1614502.6257879999</v>
      </c>
      <c r="J1460" s="910">
        <v>2257464.5200737002</v>
      </c>
    </row>
    <row r="1461" spans="2:10">
      <c r="B1461" s="908" t="s">
        <v>124</v>
      </c>
      <c r="C1461" s="909" t="s">
        <v>556</v>
      </c>
      <c r="D1461" s="908" t="s">
        <v>281</v>
      </c>
      <c r="E1461" s="910">
        <v>2444587091.1978002</v>
      </c>
      <c r="F1461" s="910">
        <v>327605992</v>
      </c>
      <c r="G1461" s="910">
        <v>-1671674359.7632</v>
      </c>
      <c r="H1461" s="910">
        <v>3726748.9960436001</v>
      </c>
      <c r="I1461" s="910">
        <v>499432.1152149</v>
      </c>
      <c r="J1461" s="910">
        <v>-2548451.1328687998</v>
      </c>
    </row>
    <row r="1462" spans="2:10">
      <c r="B1462" s="908" t="s">
        <v>131</v>
      </c>
      <c r="C1462" s="909" t="s">
        <v>556</v>
      </c>
      <c r="D1462" s="908" t="s">
        <v>278</v>
      </c>
      <c r="E1462" s="910">
        <v>21651112142.905899</v>
      </c>
      <c r="F1462" s="910">
        <v>3554084101</v>
      </c>
      <c r="G1462" s="910">
        <v>21460361885.2607</v>
      </c>
      <c r="H1462" s="910">
        <v>33006907.6828297</v>
      </c>
      <c r="I1462" s="910">
        <v>5418166.2837656001</v>
      </c>
      <c r="J1462" s="910">
        <v>32716110.7896717</v>
      </c>
    </row>
    <row r="1463" spans="2:10">
      <c r="B1463" s="908" t="s">
        <v>131</v>
      </c>
      <c r="C1463" s="909" t="s">
        <v>556</v>
      </c>
      <c r="D1463" s="908" t="s">
        <v>279</v>
      </c>
      <c r="E1463" s="910">
        <v>26127252752.5201</v>
      </c>
      <c r="F1463" s="910">
        <v>8231582840</v>
      </c>
      <c r="G1463" s="910">
        <v>24342094726.724602</v>
      </c>
      <c r="H1463" s="910">
        <v>39830740.052351102</v>
      </c>
      <c r="I1463" s="910">
        <v>12548967.1426633</v>
      </c>
      <c r="J1463" s="910">
        <v>37109284.185891099</v>
      </c>
    </row>
    <row r="1464" spans="2:10">
      <c r="B1464" s="908" t="s">
        <v>131</v>
      </c>
      <c r="C1464" s="909" t="s">
        <v>556</v>
      </c>
      <c r="D1464" s="908" t="s">
        <v>280</v>
      </c>
      <c r="E1464" s="910">
        <v>129723585.6461</v>
      </c>
      <c r="F1464" s="910">
        <v>5993526272.6000004</v>
      </c>
      <c r="G1464" s="910">
        <v>4998485266.0923996</v>
      </c>
      <c r="H1464" s="910">
        <v>197762.3314426</v>
      </c>
      <c r="I1464" s="910">
        <v>9137071.9004446995</v>
      </c>
      <c r="J1464" s="910">
        <v>7620141.6649145996</v>
      </c>
    </row>
    <row r="1465" spans="2:10">
      <c r="B1465" s="908" t="s">
        <v>131</v>
      </c>
      <c r="C1465" s="909" t="s">
        <v>556</v>
      </c>
      <c r="D1465" s="908" t="s">
        <v>281</v>
      </c>
      <c r="E1465" s="910">
        <v>18928632827.805599</v>
      </c>
      <c r="F1465" s="910">
        <v>2098786355</v>
      </c>
      <c r="G1465" s="910">
        <v>5740998930.9738998</v>
      </c>
      <c r="H1465" s="910">
        <v>28856514.722467501</v>
      </c>
      <c r="I1465" s="910">
        <v>3199579.1721104002</v>
      </c>
      <c r="J1465" s="910">
        <v>8752096.4498798996</v>
      </c>
    </row>
    <row r="1466" spans="2:10">
      <c r="B1466" s="908" t="s">
        <v>132</v>
      </c>
      <c r="C1466" s="909" t="s">
        <v>556</v>
      </c>
      <c r="D1466" s="908" t="s">
        <v>278</v>
      </c>
      <c r="E1466" s="910">
        <v>6720463925.5581999</v>
      </c>
      <c r="F1466" s="910">
        <v>3858743107</v>
      </c>
      <c r="G1466" s="910">
        <v>10256129806.1691</v>
      </c>
      <c r="H1466" s="910">
        <v>10245281.208308199</v>
      </c>
      <c r="I1466" s="910">
        <v>5882615.9443378001</v>
      </c>
      <c r="J1466" s="910">
        <v>15635369.0960979</v>
      </c>
    </row>
    <row r="1467" spans="2:10">
      <c r="B1467" s="908" t="s">
        <v>132</v>
      </c>
      <c r="C1467" s="909" t="s">
        <v>556</v>
      </c>
      <c r="D1467" s="908" t="s">
        <v>279</v>
      </c>
      <c r="E1467" s="910">
        <v>5832105733.4976997</v>
      </c>
      <c r="F1467" s="910">
        <v>5344527661</v>
      </c>
      <c r="G1467" s="910">
        <v>10084290696.240101</v>
      </c>
      <c r="H1467" s="910">
        <v>8890987.8749639001</v>
      </c>
      <c r="I1467" s="910">
        <v>8147679.8951760996</v>
      </c>
      <c r="J1467" s="910">
        <v>15373402.0617816</v>
      </c>
    </row>
    <row r="1468" spans="2:10">
      <c r="B1468" s="908" t="s">
        <v>132</v>
      </c>
      <c r="C1468" s="909" t="s">
        <v>556</v>
      </c>
      <c r="D1468" s="908" t="s">
        <v>280</v>
      </c>
      <c r="E1468" s="910">
        <v>-241082836.61340001</v>
      </c>
      <c r="F1468" s="910">
        <v>-14869351321.497999</v>
      </c>
      <c r="G1468" s="910">
        <v>-15088263812.476101</v>
      </c>
      <c r="H1468" s="910">
        <v>-367528.41514519998</v>
      </c>
      <c r="I1468" s="910">
        <v>-22668179.9592016</v>
      </c>
      <c r="J1468" s="910">
        <v>-23001909.900307599</v>
      </c>
    </row>
    <row r="1469" spans="2:10">
      <c r="B1469" s="908" t="s">
        <v>132</v>
      </c>
      <c r="C1469" s="909" t="s">
        <v>556</v>
      </c>
      <c r="D1469" s="908" t="s">
        <v>281</v>
      </c>
      <c r="E1469" s="910">
        <v>3713201369.4391999</v>
      </c>
      <c r="F1469" s="910">
        <v>897888521</v>
      </c>
      <c r="G1469" s="910">
        <v>1510215000.8845999</v>
      </c>
      <c r="H1469" s="910">
        <v>5660738.9957560999</v>
      </c>
      <c r="I1469" s="910">
        <v>1368822.226152</v>
      </c>
      <c r="J1469" s="910">
        <v>2302307.9270204999</v>
      </c>
    </row>
    <row r="1470" spans="2:10">
      <c r="B1470" s="908" t="s">
        <v>136</v>
      </c>
      <c r="C1470" s="909" t="s">
        <v>556</v>
      </c>
      <c r="D1470" s="908" t="s">
        <v>278</v>
      </c>
      <c r="E1470" s="910">
        <v>-5465931.4671999998</v>
      </c>
      <c r="F1470" s="910">
        <v>0</v>
      </c>
      <c r="G1470" s="910">
        <v>48306772.675899997</v>
      </c>
      <c r="H1470" s="910">
        <v>-431216.7839944</v>
      </c>
      <c r="I1470" s="910">
        <v>0</v>
      </c>
      <c r="J1470" s="910">
        <v>3811004.8183833999</v>
      </c>
    </row>
    <row r="1471" spans="2:10">
      <c r="B1471" s="908" t="s">
        <v>136</v>
      </c>
      <c r="C1471" s="909" t="s">
        <v>556</v>
      </c>
      <c r="D1471" s="908" t="s">
        <v>279</v>
      </c>
      <c r="E1471" s="910">
        <v>11240179.4276</v>
      </c>
      <c r="F1471" s="910">
        <v>0</v>
      </c>
      <c r="G1471" s="910">
        <v>86310081.017900005</v>
      </c>
      <c r="H1471" s="910">
        <v>886757.18921390001</v>
      </c>
      <c r="I1471" s="910">
        <v>0</v>
      </c>
      <c r="J1471" s="910">
        <v>6809151.5208668998</v>
      </c>
    </row>
    <row r="1472" spans="2:10">
      <c r="B1472" s="908" t="s">
        <v>136</v>
      </c>
      <c r="C1472" s="909" t="s">
        <v>556</v>
      </c>
      <c r="D1472" s="908" t="s">
        <v>280</v>
      </c>
      <c r="E1472" s="910">
        <v>1043.5071</v>
      </c>
      <c r="F1472" s="910">
        <v>264551.76400000002</v>
      </c>
      <c r="G1472" s="910">
        <v>64467178.946400002</v>
      </c>
      <c r="H1472" s="910">
        <v>82.324079299999994</v>
      </c>
      <c r="I1472" s="910">
        <v>20870.946069599999</v>
      </c>
      <c r="J1472" s="910">
        <v>5085927.2102621999</v>
      </c>
    </row>
    <row r="1473" spans="2:10">
      <c r="B1473" s="908" t="s">
        <v>136</v>
      </c>
      <c r="C1473" s="909" t="s">
        <v>556</v>
      </c>
      <c r="D1473" s="908" t="s">
        <v>281</v>
      </c>
      <c r="E1473" s="910">
        <v>-7111097.0361000001</v>
      </c>
      <c r="F1473" s="910">
        <v>0</v>
      </c>
      <c r="G1473" s="910">
        <v>-9158827.9294000007</v>
      </c>
      <c r="H1473" s="910">
        <v>-561006.74020160001</v>
      </c>
      <c r="I1473" s="910">
        <v>0</v>
      </c>
      <c r="J1473" s="910">
        <v>-722555.77088259999</v>
      </c>
    </row>
    <row r="1474" spans="2:10">
      <c r="B1474" s="908" t="s">
        <v>137</v>
      </c>
      <c r="C1474" s="909" t="s">
        <v>556</v>
      </c>
      <c r="D1474" s="908" t="s">
        <v>278</v>
      </c>
      <c r="E1474" s="910">
        <v>38707138870.051102</v>
      </c>
      <c r="F1474" s="910">
        <v>10701361168</v>
      </c>
      <c r="G1474" s="910">
        <v>59737542835.5728</v>
      </c>
      <c r="H1474" s="910">
        <v>4144244.8201731001</v>
      </c>
      <c r="I1474" s="910">
        <v>1145759.2031841001</v>
      </c>
      <c r="J1474" s="910">
        <v>6395900.3350087004</v>
      </c>
    </row>
    <row r="1475" spans="2:10">
      <c r="B1475" s="908" t="s">
        <v>137</v>
      </c>
      <c r="C1475" s="909" t="s">
        <v>556</v>
      </c>
      <c r="D1475" s="908" t="s">
        <v>279</v>
      </c>
      <c r="E1475" s="910">
        <v>41351113418.226402</v>
      </c>
      <c r="F1475" s="910">
        <v>19967067745</v>
      </c>
      <c r="G1475" s="910">
        <v>104298946888.056</v>
      </c>
      <c r="H1475" s="910">
        <v>4427326.3949370999</v>
      </c>
      <c r="I1475" s="910">
        <v>2137807.6368307001</v>
      </c>
      <c r="J1475" s="910">
        <v>11166941.887424599</v>
      </c>
    </row>
    <row r="1476" spans="2:10">
      <c r="B1476" s="908" t="s">
        <v>137</v>
      </c>
      <c r="C1476" s="909" t="s">
        <v>556</v>
      </c>
      <c r="D1476" s="908" t="s">
        <v>280</v>
      </c>
      <c r="E1476" s="910">
        <v>49683495.445600003</v>
      </c>
      <c r="F1476" s="910">
        <v>64165569219.087997</v>
      </c>
      <c r="G1476" s="910">
        <v>93114931611.2789</v>
      </c>
      <c r="H1476" s="910">
        <v>5319.4468684000003</v>
      </c>
      <c r="I1476" s="910">
        <v>6869994.4153044</v>
      </c>
      <c r="J1476" s="910">
        <v>9969506.5116112009</v>
      </c>
    </row>
    <row r="1477" spans="2:10">
      <c r="B1477" s="908" t="s">
        <v>137</v>
      </c>
      <c r="C1477" s="909" t="s">
        <v>556</v>
      </c>
      <c r="D1477" s="908" t="s">
        <v>281</v>
      </c>
      <c r="E1477" s="910">
        <v>67260241967.877403</v>
      </c>
      <c r="F1477" s="910">
        <v>4248005333</v>
      </c>
      <c r="G1477" s="910">
        <v>11806594928.6903</v>
      </c>
      <c r="H1477" s="910">
        <v>7201330.7497298997</v>
      </c>
      <c r="I1477" s="910">
        <v>454819.82423079998</v>
      </c>
      <c r="J1477" s="910">
        <v>1264092.9116815999</v>
      </c>
    </row>
    <row r="1478" spans="2:10">
      <c r="B1478" s="908" t="s">
        <v>138</v>
      </c>
      <c r="C1478" s="909" t="s">
        <v>556</v>
      </c>
      <c r="D1478" s="908" t="s">
        <v>278</v>
      </c>
      <c r="E1478" s="910">
        <v>30045223716.553799</v>
      </c>
      <c r="F1478" s="910">
        <v>9504738116.6700001</v>
      </c>
      <c r="G1478" s="910">
        <v>44002985626.597298</v>
      </c>
      <c r="H1478" s="910">
        <v>6109261.061768</v>
      </c>
      <c r="I1478" s="910">
        <v>1932650.8275084</v>
      </c>
      <c r="J1478" s="910">
        <v>8947369.7791770995</v>
      </c>
    </row>
    <row r="1479" spans="2:10">
      <c r="B1479" s="908" t="s">
        <v>138</v>
      </c>
      <c r="C1479" s="909" t="s">
        <v>556</v>
      </c>
      <c r="D1479" s="908" t="s">
        <v>279</v>
      </c>
      <c r="E1479" s="910">
        <v>62124130544.4244</v>
      </c>
      <c r="F1479" s="910">
        <v>34094613969.299999</v>
      </c>
      <c r="G1479" s="910">
        <v>143852911049.72601</v>
      </c>
      <c r="H1479" s="910">
        <v>12632042.127951801</v>
      </c>
      <c r="I1479" s="910">
        <v>6932645.9174905</v>
      </c>
      <c r="J1479" s="910">
        <v>29250405.867800701</v>
      </c>
    </row>
    <row r="1480" spans="2:10">
      <c r="B1480" s="908" t="s">
        <v>138</v>
      </c>
      <c r="C1480" s="909" t="s">
        <v>556</v>
      </c>
      <c r="D1480" s="908" t="s">
        <v>280</v>
      </c>
      <c r="E1480" s="910">
        <v>316814.95730000001</v>
      </c>
      <c r="F1480" s="910">
        <v>256464434.38780001</v>
      </c>
      <c r="G1480" s="910">
        <v>11790073591.753401</v>
      </c>
      <c r="H1480" s="910">
        <v>64.419732800000006</v>
      </c>
      <c r="I1480" s="910">
        <v>52148.328050900003</v>
      </c>
      <c r="J1480" s="910">
        <v>2397340.6951132999</v>
      </c>
    </row>
    <row r="1481" spans="2:10">
      <c r="B1481" s="908" t="s">
        <v>138</v>
      </c>
      <c r="C1481" s="909" t="s">
        <v>556</v>
      </c>
      <c r="D1481" s="908" t="s">
        <v>281</v>
      </c>
      <c r="E1481" s="910">
        <v>26652304139.856499</v>
      </c>
      <c r="F1481" s="910">
        <v>3335241155.1500001</v>
      </c>
      <c r="G1481" s="910">
        <v>-545225852.30079997</v>
      </c>
      <c r="H1481" s="910">
        <v>5419360.0095683001</v>
      </c>
      <c r="I1481" s="910">
        <v>678172.98060380004</v>
      </c>
      <c r="J1481" s="910">
        <v>-110863.77990569999</v>
      </c>
    </row>
    <row r="1482" spans="2:10">
      <c r="B1482" s="908" t="s">
        <v>139</v>
      </c>
      <c r="C1482" s="909" t="s">
        <v>556</v>
      </c>
      <c r="D1482" s="908" t="s">
        <v>278</v>
      </c>
      <c r="E1482" s="910">
        <v>36679781.413199998</v>
      </c>
      <c r="F1482" s="910">
        <v>35032587.049999997</v>
      </c>
      <c r="G1482" s="910">
        <v>110765539.85439999</v>
      </c>
      <c r="H1482" s="910">
        <v>845545.90625170001</v>
      </c>
      <c r="I1482" s="910">
        <v>807574.62079299998</v>
      </c>
      <c r="J1482" s="910">
        <v>2553378.0510466001</v>
      </c>
    </row>
    <row r="1483" spans="2:10">
      <c r="B1483" s="908" t="s">
        <v>139</v>
      </c>
      <c r="C1483" s="909" t="s">
        <v>556</v>
      </c>
      <c r="D1483" s="908" t="s">
        <v>279</v>
      </c>
      <c r="E1483" s="910">
        <v>88207234.730800003</v>
      </c>
      <c r="F1483" s="910">
        <v>55840021.840000004</v>
      </c>
      <c r="G1483" s="910">
        <v>214161376.99790001</v>
      </c>
      <c r="H1483" s="910">
        <v>2033361.7964683999</v>
      </c>
      <c r="I1483" s="910">
        <v>1287229.6413094001</v>
      </c>
      <c r="J1483" s="910">
        <v>4936868.9948800998</v>
      </c>
    </row>
    <row r="1484" spans="2:10">
      <c r="B1484" s="908" t="s">
        <v>139</v>
      </c>
      <c r="C1484" s="909" t="s">
        <v>556</v>
      </c>
      <c r="D1484" s="908" t="s">
        <v>280</v>
      </c>
      <c r="E1484" s="910">
        <v>-5443780.3129000003</v>
      </c>
      <c r="F1484" s="910">
        <v>210729175.486</v>
      </c>
      <c r="G1484" s="910">
        <v>387767325.653</v>
      </c>
      <c r="H1484" s="910">
        <v>-125490.5558529</v>
      </c>
      <c r="I1484" s="910">
        <v>4857749.5501613999</v>
      </c>
      <c r="J1484" s="910">
        <v>8938850.2916781995</v>
      </c>
    </row>
    <row r="1485" spans="2:10">
      <c r="B1485" s="908" t="s">
        <v>139</v>
      </c>
      <c r="C1485" s="909" t="s">
        <v>556</v>
      </c>
      <c r="D1485" s="908" t="s">
        <v>281</v>
      </c>
      <c r="E1485" s="910">
        <v>-6165028.4458999997</v>
      </c>
      <c r="F1485" s="910">
        <v>9024966.9199999999</v>
      </c>
      <c r="G1485" s="910">
        <v>-34483531.131700002</v>
      </c>
      <c r="H1485" s="910">
        <v>-142116.83831029999</v>
      </c>
      <c r="I1485" s="910">
        <v>208044.41954820001</v>
      </c>
      <c r="J1485" s="910">
        <v>-794917.73009910004</v>
      </c>
    </row>
    <row r="1486" spans="2:10">
      <c r="B1486" s="908" t="s">
        <v>141</v>
      </c>
      <c r="C1486" s="909" t="s">
        <v>556</v>
      </c>
      <c r="D1486" s="908" t="s">
        <v>278</v>
      </c>
      <c r="E1486" s="910">
        <v>5867581391.4068003</v>
      </c>
      <c r="F1486" s="910">
        <v>1249386075</v>
      </c>
      <c r="G1486" s="910">
        <v>5770204650.3008003</v>
      </c>
      <c r="H1486" s="910">
        <v>8945070.1668047998</v>
      </c>
      <c r="I1486" s="910">
        <v>1904676.7928386</v>
      </c>
      <c r="J1486" s="910">
        <v>8796620.2819708996</v>
      </c>
    </row>
    <row r="1487" spans="2:10">
      <c r="B1487" s="908" t="s">
        <v>141</v>
      </c>
      <c r="C1487" s="909" t="s">
        <v>556</v>
      </c>
      <c r="D1487" s="908" t="s">
        <v>279</v>
      </c>
      <c r="E1487" s="910">
        <v>5438092382.4667997</v>
      </c>
      <c r="F1487" s="910">
        <v>2208886098</v>
      </c>
      <c r="G1487" s="910">
        <v>6323794435.0890999</v>
      </c>
      <c r="H1487" s="910">
        <v>8290318.3935331004</v>
      </c>
      <c r="I1487" s="910">
        <v>3367425.1482948</v>
      </c>
      <c r="J1487" s="910">
        <v>9640562.4684074</v>
      </c>
    </row>
    <row r="1488" spans="2:10">
      <c r="B1488" s="908" t="s">
        <v>141</v>
      </c>
      <c r="C1488" s="909" t="s">
        <v>556</v>
      </c>
      <c r="D1488" s="908" t="s">
        <v>280</v>
      </c>
      <c r="E1488" s="910">
        <v>784627.44960000005</v>
      </c>
      <c r="F1488" s="910">
        <v>2778795512.0739999</v>
      </c>
      <c r="G1488" s="910">
        <v>4961442986.3712997</v>
      </c>
      <c r="H1488" s="910">
        <v>1196.1568359</v>
      </c>
      <c r="I1488" s="910">
        <v>4236246.4491940998</v>
      </c>
      <c r="J1488" s="910">
        <v>7563671.0735175004</v>
      </c>
    </row>
    <row r="1489" spans="2:10">
      <c r="B1489" s="908" t="s">
        <v>141</v>
      </c>
      <c r="C1489" s="909" t="s">
        <v>556</v>
      </c>
      <c r="D1489" s="908" t="s">
        <v>281</v>
      </c>
      <c r="E1489" s="910">
        <v>11207372733.3351</v>
      </c>
      <c r="F1489" s="910">
        <v>955780446</v>
      </c>
      <c r="G1489" s="910">
        <v>939583992.24109995</v>
      </c>
      <c r="H1489" s="910">
        <v>17085529.5901029</v>
      </c>
      <c r="I1489" s="910">
        <v>1457077.8968743</v>
      </c>
      <c r="J1489" s="910">
        <v>1432386.5622916</v>
      </c>
    </row>
    <row r="1490" spans="2:10">
      <c r="B1490" s="908" t="s">
        <v>140</v>
      </c>
      <c r="C1490" s="909" t="s">
        <v>556</v>
      </c>
      <c r="D1490" s="908" t="s">
        <v>278</v>
      </c>
      <c r="E1490" s="910">
        <v>1738827007.6199999</v>
      </c>
      <c r="F1490" s="910">
        <v>666403411</v>
      </c>
      <c r="G1490" s="910">
        <v>2516642722.9531999</v>
      </c>
      <c r="H1490" s="910">
        <v>2650824.6845753998</v>
      </c>
      <c r="I1490" s="910">
        <v>1015925.4509061</v>
      </c>
      <c r="J1490" s="910">
        <v>3836597.0985190002</v>
      </c>
    </row>
    <row r="1491" spans="2:10">
      <c r="B1491" s="908" t="s">
        <v>140</v>
      </c>
      <c r="C1491" s="909" t="s">
        <v>556</v>
      </c>
      <c r="D1491" s="908" t="s">
        <v>279</v>
      </c>
      <c r="E1491" s="910">
        <v>3128988131.5475001</v>
      </c>
      <c r="F1491" s="910">
        <v>865175547</v>
      </c>
      <c r="G1491" s="910">
        <v>4102825864.2951999</v>
      </c>
      <c r="H1491" s="910">
        <v>4770111.6560193999</v>
      </c>
      <c r="I1491" s="910">
        <v>1318951.6187799</v>
      </c>
      <c r="J1491" s="910">
        <v>6254717.7090803003</v>
      </c>
    </row>
    <row r="1492" spans="2:10">
      <c r="B1492" s="908" t="s">
        <v>140</v>
      </c>
      <c r="C1492" s="909" t="s">
        <v>556</v>
      </c>
      <c r="D1492" s="908" t="s">
        <v>280</v>
      </c>
      <c r="E1492" s="910">
        <v>-27098128.934799999</v>
      </c>
      <c r="F1492" s="910">
        <v>231560012.19999999</v>
      </c>
      <c r="G1492" s="910">
        <v>1041779485.9026999</v>
      </c>
      <c r="H1492" s="910">
        <v>-41310.831250800002</v>
      </c>
      <c r="I1492" s="910">
        <v>353010.96291369997</v>
      </c>
      <c r="J1492" s="910">
        <v>1588182.5880396001</v>
      </c>
    </row>
    <row r="1493" spans="2:10">
      <c r="B1493" s="908" t="s">
        <v>140</v>
      </c>
      <c r="C1493" s="909" t="s">
        <v>556</v>
      </c>
      <c r="D1493" s="908" t="s">
        <v>281</v>
      </c>
      <c r="E1493" s="910">
        <v>1525309246.3275001</v>
      </c>
      <c r="F1493" s="910">
        <v>290025888</v>
      </c>
      <c r="G1493" s="910">
        <v>557942410.06900001</v>
      </c>
      <c r="H1493" s="910">
        <v>2325318.9558576001</v>
      </c>
      <c r="I1493" s="910">
        <v>442141.61599010002</v>
      </c>
      <c r="J1493" s="910">
        <v>850577.72090089996</v>
      </c>
    </row>
    <row r="1494" spans="2:10">
      <c r="B1494" t="s">
        <v>135</v>
      </c>
      <c r="C1494" s="27" t="s">
        <v>556</v>
      </c>
      <c r="D1494" t="s">
        <v>279</v>
      </c>
      <c r="E1494" s="433">
        <v>1358868322.8873999</v>
      </c>
      <c r="F1494" s="433">
        <v>409634421</v>
      </c>
      <c r="G1494" s="433">
        <v>1567116444.3202</v>
      </c>
      <c r="H1494" s="433">
        <v>2071581.4037923</v>
      </c>
      <c r="I1494" s="433">
        <v>624483.64908070001</v>
      </c>
      <c r="J1494" s="433">
        <v>2389053.618332</v>
      </c>
    </row>
    <row r="1495" spans="2:10">
      <c r="B1495" t="s">
        <v>135</v>
      </c>
      <c r="C1495" s="27" t="s">
        <v>556</v>
      </c>
      <c r="D1495" t="s">
        <v>281</v>
      </c>
      <c r="E1495" s="433">
        <v>2582872178.4878998</v>
      </c>
      <c r="F1495" s="433">
        <v>1317336266</v>
      </c>
      <c r="G1495" s="433">
        <v>1487614118.902</v>
      </c>
      <c r="H1495" s="433">
        <v>3937563.2526032999</v>
      </c>
      <c r="I1495" s="433">
        <v>2008266.191229</v>
      </c>
      <c r="J1495" s="433">
        <v>2267853.1045511002</v>
      </c>
    </row>
    <row r="1496" spans="2:10">
      <c r="B1496" t="s">
        <v>135</v>
      </c>
      <c r="C1496" s="27" t="s">
        <v>556</v>
      </c>
      <c r="D1496" t="s">
        <v>278</v>
      </c>
      <c r="E1496" s="433">
        <v>1260420176.8141999</v>
      </c>
      <c r="F1496" s="433">
        <v>1047995362</v>
      </c>
      <c r="G1496" s="433">
        <v>2054495293.6529</v>
      </c>
      <c r="H1496" s="433">
        <v>1921498.1726152999</v>
      </c>
      <c r="I1496" s="433">
        <v>1597658.6300625999</v>
      </c>
      <c r="J1496" s="433">
        <v>3132057.8843626999</v>
      </c>
    </row>
    <row r="1497" spans="2:10">
      <c r="B1497" t="s">
        <v>135</v>
      </c>
      <c r="C1497" s="27" t="s">
        <v>556</v>
      </c>
      <c r="D1497" t="s">
        <v>280</v>
      </c>
      <c r="E1497" s="433">
        <v>-1500903.2808999999</v>
      </c>
      <c r="F1497" s="433">
        <v>252439141.19999999</v>
      </c>
      <c r="G1497" s="433">
        <v>-143733486.32839999</v>
      </c>
      <c r="H1497" s="433">
        <v>-2288.1123014</v>
      </c>
      <c r="I1497" s="433">
        <v>384840.98988200002</v>
      </c>
      <c r="J1497" s="433">
        <v>-219120.28734869999</v>
      </c>
    </row>
  </sheetData>
  <pageMargins left="0.7" right="0.7" top="0.75" bottom="0.75" header="0.3" footer="0.3"/>
  <pageSetup paperSize="9" orientation="portrait" verticalDpi="0" r:id="rId3"/>
  <headerFooter>
    <oddFooter>&amp;R&amp;1#&amp;"Calibri"&amp;10&amp;K000000C2 - Confidential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5">
    <tabColor rgb="FF92D050"/>
  </sheetPr>
  <dimension ref="A1:LE141"/>
  <sheetViews>
    <sheetView topLeftCell="KO1" zoomScale="90" zoomScaleNormal="90" workbookViewId="0">
      <selection activeCell="KV19" sqref="KV19"/>
    </sheetView>
  </sheetViews>
  <sheetFormatPr baseColWidth="10" defaultColWidth="11.44140625" defaultRowHeight="14.4"/>
  <cols>
    <col min="1" max="179" width="0" style="592" hidden="1" customWidth="1"/>
    <col min="180" max="180" width="11.44140625" style="592"/>
    <col min="181" max="181" width="2.88671875" style="330" bestFit="1" customWidth="1"/>
    <col min="182" max="182" width="11.5546875" style="330"/>
    <col min="183" max="183" width="11.88671875" style="592" bestFit="1" customWidth="1"/>
    <col min="184" max="184" width="13.5546875" style="592" bestFit="1" customWidth="1"/>
    <col min="185" max="185" width="11.6640625" style="592" bestFit="1" customWidth="1"/>
    <col min="186" max="186" width="12.109375" style="592" bestFit="1" customWidth="1"/>
    <col min="187" max="187" width="3" style="592" bestFit="1" customWidth="1"/>
    <col min="188" max="188" width="13.33203125" style="592" customWidth="1"/>
    <col min="189" max="189" width="16.44140625" style="592" customWidth="1"/>
    <col min="190" max="190" width="18.6640625" style="592" customWidth="1"/>
    <col min="191" max="191" width="11.6640625" style="541" bestFit="1" customWidth="1"/>
    <col min="192" max="193" width="11.44140625" style="592"/>
    <col min="194" max="194" width="11.109375" style="592" customWidth="1"/>
    <col min="195" max="195" width="13" style="592" customWidth="1"/>
    <col min="196" max="198" width="9.109375" style="592" customWidth="1"/>
    <col min="199" max="203" width="11.5546875" style="592" customWidth="1"/>
    <col min="204" max="207" width="11.6640625" style="592" customWidth="1"/>
    <col min="208" max="209" width="11.5546875" style="592" customWidth="1"/>
    <col min="210" max="210" width="11.6640625" style="592" customWidth="1"/>
    <col min="211" max="214" width="11.5546875" style="592" customWidth="1"/>
    <col min="215" max="215" width="11.6640625" style="592" customWidth="1"/>
    <col min="216" max="223" width="11.5546875" style="592" customWidth="1"/>
    <col min="224" max="224" width="11.6640625" style="592" customWidth="1"/>
    <col min="225" max="228" width="11.5546875" style="592" customWidth="1"/>
    <col min="229" max="229" width="11.6640625" style="592" customWidth="1"/>
    <col min="230" max="234" width="11.5546875" style="592" customWidth="1"/>
    <col min="235" max="237" width="11.44140625" style="592"/>
    <col min="238" max="243" width="11.44140625" style="742"/>
    <col min="244" max="244" width="11.44140625" style="592"/>
    <col min="245" max="248" width="11.44140625" style="862"/>
    <col min="249" max="251" width="11.44140625" style="890"/>
    <col min="252" max="254" width="11.44140625" style="897"/>
    <col min="255" max="255" width="11.44140625" style="906"/>
    <col min="256" max="256" width="11.5546875" style="592" bestFit="1" customWidth="1"/>
    <col min="257" max="257" width="23" style="592" customWidth="1"/>
    <col min="258" max="268" width="11.5546875" style="592" hidden="1" customWidth="1"/>
    <col min="269" max="271" width="11.6640625" style="592" hidden="1" customWidth="1"/>
    <col min="272" max="272" width="11.5546875" style="592" hidden="1" customWidth="1"/>
    <col min="273" max="274" width="11.6640625" style="592" hidden="1" customWidth="1"/>
    <col min="275" max="296" width="11.5546875" style="592" hidden="1" customWidth="1"/>
    <col min="297" max="298" width="0" style="592" hidden="1" customWidth="1"/>
    <col min="299" max="305" width="11.44140625" style="592"/>
    <col min="306" max="306" width="9.109375" style="592" customWidth="1"/>
    <col min="307" max="310" width="11.44140625" style="592"/>
    <col min="311" max="311" width="11.44140625" style="890"/>
    <col min="312" max="16384" width="11.44140625" style="592"/>
  </cols>
  <sheetData>
    <row r="1" spans="1:317" s="323" customFormat="1">
      <c r="A1" s="996" t="s">
        <v>123</v>
      </c>
      <c r="B1" s="996"/>
      <c r="C1" s="996"/>
      <c r="D1" s="996"/>
      <c r="E1" s="996"/>
      <c r="F1" s="996"/>
      <c r="G1" s="996"/>
      <c r="H1" s="996"/>
      <c r="I1" s="996"/>
      <c r="J1" s="996"/>
      <c r="K1" s="996"/>
      <c r="L1" s="996"/>
      <c r="M1" s="996"/>
      <c r="N1" s="996"/>
      <c r="O1" s="996"/>
      <c r="Q1" s="996" t="s">
        <v>124</v>
      </c>
      <c r="R1" s="996"/>
      <c r="S1" s="996"/>
      <c r="T1" s="996"/>
      <c r="U1" s="996"/>
      <c r="V1" s="996"/>
      <c r="W1" s="996"/>
      <c r="X1" s="996"/>
      <c r="Y1" s="996"/>
      <c r="Z1" s="996"/>
      <c r="AA1" s="996"/>
      <c r="AB1" s="996"/>
      <c r="AC1" s="996"/>
      <c r="AD1" s="996"/>
      <c r="AE1" s="996"/>
      <c r="AG1" s="996" t="s">
        <v>131</v>
      </c>
      <c r="AH1" s="996"/>
      <c r="AI1" s="996"/>
      <c r="AJ1" s="996"/>
      <c r="AK1" s="996"/>
      <c r="AL1" s="996"/>
      <c r="AM1" s="996"/>
      <c r="AN1" s="996"/>
      <c r="AO1" s="996"/>
      <c r="AP1" s="996"/>
      <c r="AQ1" s="996"/>
      <c r="AR1" s="996"/>
      <c r="AS1" s="996"/>
      <c r="AT1" s="996"/>
      <c r="AU1" s="996"/>
      <c r="AW1" s="996" t="s">
        <v>132</v>
      </c>
      <c r="AX1" s="996"/>
      <c r="AY1" s="996"/>
      <c r="AZ1" s="996"/>
      <c r="BA1" s="996"/>
      <c r="BB1" s="996"/>
      <c r="BC1" s="996"/>
      <c r="BD1" s="996"/>
      <c r="BE1" s="996"/>
      <c r="BF1" s="996"/>
      <c r="BG1" s="996"/>
      <c r="BH1" s="996"/>
      <c r="BI1" s="996"/>
      <c r="BJ1" s="996"/>
      <c r="BK1" s="996"/>
      <c r="BM1" s="996" t="s">
        <v>135</v>
      </c>
      <c r="BN1" s="996"/>
      <c r="BO1" s="996"/>
      <c r="BP1" s="996"/>
      <c r="BQ1" s="996"/>
      <c r="BR1" s="996"/>
      <c r="BS1" s="996"/>
      <c r="BT1" s="996"/>
      <c r="BU1" s="996"/>
      <c r="BV1" s="996"/>
      <c r="BW1" s="996"/>
      <c r="BX1" s="996"/>
      <c r="BY1" s="996"/>
      <c r="BZ1" s="996"/>
      <c r="CA1" s="996"/>
      <c r="CC1" s="996" t="s">
        <v>136</v>
      </c>
      <c r="CD1" s="996"/>
      <c r="CE1" s="996"/>
      <c r="CF1" s="996"/>
      <c r="CG1" s="996"/>
      <c r="CH1" s="996"/>
      <c r="CI1" s="996"/>
      <c r="CJ1" s="996"/>
      <c r="CK1" s="996"/>
      <c r="CL1" s="996"/>
      <c r="CM1" s="996"/>
      <c r="CN1" s="996"/>
      <c r="CO1" s="996"/>
      <c r="CP1" s="996"/>
      <c r="CQ1" s="996"/>
      <c r="CS1" s="996" t="s">
        <v>137</v>
      </c>
      <c r="CT1" s="996"/>
      <c r="CU1" s="996"/>
      <c r="CV1" s="996"/>
      <c r="CW1" s="996"/>
      <c r="CX1" s="996"/>
      <c r="CY1" s="996"/>
      <c r="CZ1" s="996"/>
      <c r="DA1" s="996"/>
      <c r="DB1" s="996"/>
      <c r="DC1" s="996"/>
      <c r="DD1" s="996"/>
      <c r="DE1" s="996"/>
      <c r="DF1" s="996"/>
      <c r="DG1" s="996"/>
      <c r="DI1" s="996" t="s">
        <v>138</v>
      </c>
      <c r="DJ1" s="996"/>
      <c r="DK1" s="996"/>
      <c r="DL1" s="996"/>
      <c r="DM1" s="996"/>
      <c r="DN1" s="996"/>
      <c r="DO1" s="996"/>
      <c r="DP1" s="996"/>
      <c r="DQ1" s="996"/>
      <c r="DR1" s="996"/>
      <c r="DS1" s="996"/>
      <c r="DT1" s="996"/>
      <c r="DU1" s="996"/>
      <c r="DV1" s="996"/>
      <c r="DW1" s="996"/>
      <c r="DY1" s="996" t="s">
        <v>139</v>
      </c>
      <c r="DZ1" s="996"/>
      <c r="EA1" s="996"/>
      <c r="EB1" s="996"/>
      <c r="EC1" s="996"/>
      <c r="ED1" s="996"/>
      <c r="EE1" s="996"/>
      <c r="EF1" s="996"/>
      <c r="EG1" s="996"/>
      <c r="EH1" s="996"/>
      <c r="EI1" s="996"/>
      <c r="EJ1" s="996"/>
      <c r="EK1" s="996"/>
      <c r="EL1" s="996"/>
      <c r="EM1" s="996"/>
      <c r="EO1" s="996" t="s">
        <v>141</v>
      </c>
      <c r="EP1" s="996"/>
      <c r="EQ1" s="996"/>
      <c r="ER1" s="996"/>
      <c r="ES1" s="996"/>
      <c r="ET1" s="996"/>
      <c r="EU1" s="996"/>
      <c r="EV1" s="996"/>
      <c r="EW1" s="996"/>
      <c r="EX1" s="996"/>
      <c r="EY1" s="996"/>
      <c r="EZ1" s="996"/>
      <c r="FA1" s="996"/>
      <c r="FB1" s="996"/>
      <c r="FC1" s="996"/>
      <c r="FE1" s="996" t="s">
        <v>140</v>
      </c>
      <c r="FF1" s="996"/>
      <c r="FG1" s="996"/>
      <c r="FH1" s="996"/>
      <c r="FI1" s="996"/>
      <c r="FJ1" s="996"/>
      <c r="FK1" s="996"/>
      <c r="FL1" s="996"/>
      <c r="FM1" s="996"/>
      <c r="FN1" s="996"/>
      <c r="FO1" s="996"/>
      <c r="FP1" s="996"/>
      <c r="FQ1" s="996"/>
      <c r="FR1" s="996"/>
      <c r="FS1" s="996"/>
      <c r="FY1" s="998" t="s">
        <v>144</v>
      </c>
      <c r="FZ1" s="998"/>
      <c r="GA1" s="998"/>
      <c r="GB1" s="998"/>
      <c r="GF1" s="997" t="s">
        <v>143</v>
      </c>
      <c r="GG1" s="997"/>
      <c r="GH1" s="997"/>
      <c r="GI1" s="540"/>
      <c r="GM1" s="997" t="s">
        <v>150</v>
      </c>
      <c r="GN1" s="997"/>
      <c r="GO1" s="997"/>
      <c r="GP1" s="997"/>
      <c r="GQ1" s="997"/>
      <c r="GR1" s="997"/>
      <c r="GS1" s="997"/>
      <c r="GT1" s="997"/>
      <c r="GU1" s="997"/>
      <c r="IW1" s="997" t="s">
        <v>150</v>
      </c>
      <c r="IX1" s="997"/>
      <c r="IY1" s="997"/>
      <c r="IZ1" s="997"/>
      <c r="JA1" s="997"/>
      <c r="JB1" s="997"/>
      <c r="JC1" s="997"/>
      <c r="JD1" s="997"/>
      <c r="JE1" s="997"/>
      <c r="JF1" s="997"/>
      <c r="JG1" s="997"/>
    </row>
    <row r="2" spans="1:317" ht="19.8">
      <c r="A2" s="974" t="s">
        <v>76</v>
      </c>
      <c r="B2" s="923"/>
      <c r="C2" s="923"/>
      <c r="D2" s="923"/>
      <c r="E2" s="923"/>
      <c r="F2" s="923"/>
      <c r="G2" s="923"/>
      <c r="H2" s="923"/>
      <c r="I2" s="923"/>
      <c r="J2" s="923"/>
      <c r="K2" s="923"/>
      <c r="L2" s="923"/>
      <c r="M2" s="923"/>
      <c r="N2" s="923"/>
      <c r="O2" s="923"/>
      <c r="Q2" s="974" t="s">
        <v>76</v>
      </c>
      <c r="R2" s="923"/>
      <c r="S2" s="923"/>
      <c r="T2" s="923"/>
      <c r="U2" s="923"/>
      <c r="V2" s="923"/>
      <c r="W2" s="923"/>
      <c r="X2" s="923"/>
      <c r="Y2" s="923"/>
      <c r="Z2" s="923"/>
      <c r="AA2" s="923"/>
      <c r="AB2" s="923"/>
      <c r="AC2" s="923"/>
      <c r="AD2" s="923"/>
      <c r="AE2" s="923"/>
      <c r="AG2" s="974" t="s">
        <v>76</v>
      </c>
      <c r="AH2" s="923"/>
      <c r="AI2" s="923"/>
      <c r="AJ2" s="923"/>
      <c r="AK2" s="923"/>
      <c r="AL2" s="923"/>
      <c r="AM2" s="923"/>
      <c r="AN2" s="923"/>
      <c r="AO2" s="923"/>
      <c r="AP2" s="923"/>
      <c r="AQ2" s="923"/>
      <c r="AR2" s="923"/>
      <c r="AS2" s="923"/>
      <c r="AT2" s="923"/>
      <c r="AU2" s="923"/>
      <c r="AW2" s="974" t="s">
        <v>76</v>
      </c>
      <c r="AX2" s="923"/>
      <c r="AY2" s="923"/>
      <c r="AZ2" s="923"/>
      <c r="BA2" s="923"/>
      <c r="BB2" s="923"/>
      <c r="BC2" s="923"/>
      <c r="BD2" s="923"/>
      <c r="BE2" s="923"/>
      <c r="BF2" s="923"/>
      <c r="BG2" s="923"/>
      <c r="BH2" s="923"/>
      <c r="BI2" s="923"/>
      <c r="BJ2" s="923"/>
      <c r="BK2" s="923"/>
      <c r="BM2" s="974" t="s">
        <v>76</v>
      </c>
      <c r="BN2" s="923"/>
      <c r="BO2" s="923"/>
      <c r="BP2" s="923"/>
      <c r="BQ2" s="923"/>
      <c r="BR2" s="923"/>
      <c r="BS2" s="923"/>
      <c r="BT2" s="923"/>
      <c r="BU2" s="923"/>
      <c r="BV2" s="923"/>
      <c r="BW2" s="923"/>
      <c r="BX2" s="923"/>
      <c r="BY2" s="923"/>
      <c r="BZ2" s="923"/>
      <c r="CA2" s="923"/>
      <c r="CC2" s="974" t="s">
        <v>76</v>
      </c>
      <c r="CD2" s="923"/>
      <c r="CE2" s="923"/>
      <c r="CF2" s="923"/>
      <c r="CG2" s="923"/>
      <c r="CH2" s="923"/>
      <c r="CI2" s="923"/>
      <c r="CJ2" s="923"/>
      <c r="CK2" s="923"/>
      <c r="CL2" s="923"/>
      <c r="CM2" s="923"/>
      <c r="CN2" s="923"/>
      <c r="CO2" s="923"/>
      <c r="CP2" s="923"/>
      <c r="CQ2" s="923"/>
      <c r="CS2" s="974" t="s">
        <v>76</v>
      </c>
      <c r="CT2" s="923"/>
      <c r="CU2" s="923"/>
      <c r="CV2" s="923"/>
      <c r="CW2" s="923"/>
      <c r="CX2" s="923"/>
      <c r="CY2" s="923"/>
      <c r="CZ2" s="923"/>
      <c r="DA2" s="923"/>
      <c r="DB2" s="923"/>
      <c r="DC2" s="923"/>
      <c r="DD2" s="923"/>
      <c r="DE2" s="923"/>
      <c r="DF2" s="923"/>
      <c r="DG2" s="923"/>
      <c r="DI2" s="974" t="s">
        <v>76</v>
      </c>
      <c r="DJ2" s="923"/>
      <c r="DK2" s="923"/>
      <c r="DL2" s="923"/>
      <c r="DM2" s="923"/>
      <c r="DN2" s="923"/>
      <c r="DO2" s="923"/>
      <c r="DP2" s="923"/>
      <c r="DQ2" s="923"/>
      <c r="DR2" s="923"/>
      <c r="DS2" s="923"/>
      <c r="DT2" s="923"/>
      <c r="DU2" s="923"/>
      <c r="DV2" s="923"/>
      <c r="DW2" s="923"/>
      <c r="DY2" s="974" t="s">
        <v>76</v>
      </c>
      <c r="DZ2" s="923"/>
      <c r="EA2" s="923"/>
      <c r="EB2" s="923"/>
      <c r="EC2" s="923"/>
      <c r="ED2" s="923"/>
      <c r="EE2" s="923"/>
      <c r="EF2" s="923"/>
      <c r="EG2" s="923"/>
      <c r="EH2" s="923"/>
      <c r="EI2" s="923"/>
      <c r="EJ2" s="923"/>
      <c r="EK2" s="923"/>
      <c r="EL2" s="923"/>
      <c r="EM2" s="923"/>
      <c r="EO2" s="974" t="s">
        <v>76</v>
      </c>
      <c r="EP2" s="923"/>
      <c r="EQ2" s="923"/>
      <c r="ER2" s="923"/>
      <c r="ES2" s="923"/>
      <c r="ET2" s="923"/>
      <c r="EU2" s="923"/>
      <c r="EV2" s="923"/>
      <c r="EW2" s="923"/>
      <c r="EX2" s="923"/>
      <c r="EY2" s="923"/>
      <c r="EZ2" s="923"/>
      <c r="FA2" s="923"/>
      <c r="FB2" s="923"/>
      <c r="FC2" s="923"/>
      <c r="FE2" s="974" t="s">
        <v>76</v>
      </c>
      <c r="FF2" s="923"/>
      <c r="FG2" s="923"/>
      <c r="FH2" s="923"/>
      <c r="FI2" s="923"/>
      <c r="FJ2" s="923"/>
      <c r="FK2" s="923"/>
      <c r="FL2" s="923"/>
      <c r="FM2" s="923"/>
      <c r="FN2" s="923"/>
      <c r="FO2" s="923"/>
      <c r="FP2" s="923"/>
      <c r="FQ2" s="923"/>
      <c r="FR2" s="923"/>
      <c r="FS2" s="923"/>
      <c r="FZ2" s="330" t="s">
        <v>149</v>
      </c>
      <c r="GA2" s="352">
        <v>44926</v>
      </c>
      <c r="GB2" s="352">
        <v>45291</v>
      </c>
      <c r="GF2" s="330" t="s">
        <v>149</v>
      </c>
      <c r="GG2" s="352">
        <v>44926</v>
      </c>
      <c r="GH2" s="352">
        <v>45260</v>
      </c>
      <c r="GM2" s="592" t="s">
        <v>149</v>
      </c>
      <c r="GN2" s="442">
        <v>43496</v>
      </c>
      <c r="GO2" s="442">
        <v>43524</v>
      </c>
      <c r="GP2" s="442">
        <v>43555</v>
      </c>
      <c r="GQ2" s="442">
        <v>43585</v>
      </c>
      <c r="GR2" s="442">
        <v>43616</v>
      </c>
      <c r="GS2" s="442">
        <v>43646</v>
      </c>
      <c r="GT2" s="442">
        <v>43677</v>
      </c>
      <c r="GU2" s="442">
        <v>43708</v>
      </c>
      <c r="GV2" s="442">
        <v>43738</v>
      </c>
      <c r="GW2" s="442">
        <v>43769</v>
      </c>
      <c r="GX2" s="442">
        <v>43799</v>
      </c>
      <c r="GY2" s="442">
        <v>43830</v>
      </c>
      <c r="GZ2" s="442">
        <v>43861</v>
      </c>
      <c r="HA2" s="442">
        <v>43890</v>
      </c>
      <c r="HB2" s="442">
        <v>43921</v>
      </c>
      <c r="HC2" s="442">
        <v>43951</v>
      </c>
      <c r="HD2" s="442">
        <v>43982</v>
      </c>
      <c r="HE2" s="442">
        <v>44012</v>
      </c>
      <c r="HF2" s="442">
        <v>44043</v>
      </c>
      <c r="HG2" s="442">
        <v>44074</v>
      </c>
      <c r="HH2" s="442">
        <v>44104</v>
      </c>
      <c r="HI2" s="442">
        <v>44135</v>
      </c>
      <c r="HJ2" s="442">
        <v>44165</v>
      </c>
      <c r="HK2" s="442">
        <v>44196</v>
      </c>
      <c r="HL2" s="442">
        <v>44227</v>
      </c>
      <c r="HM2" s="442">
        <v>44255</v>
      </c>
      <c r="HN2" s="442">
        <v>44286</v>
      </c>
      <c r="HO2" s="442">
        <v>44316</v>
      </c>
      <c r="HP2" s="442">
        <v>44347</v>
      </c>
      <c r="HQ2" s="542">
        <v>44377</v>
      </c>
      <c r="HR2" s="542">
        <v>44408</v>
      </c>
      <c r="HS2" s="542">
        <v>44439</v>
      </c>
      <c r="HT2" s="542">
        <v>44469</v>
      </c>
      <c r="HU2" s="542">
        <v>44500</v>
      </c>
      <c r="HV2" s="542">
        <v>44530</v>
      </c>
      <c r="HW2" s="542">
        <v>44561</v>
      </c>
      <c r="HX2" s="542">
        <v>44592</v>
      </c>
      <c r="HY2" s="542">
        <v>44620</v>
      </c>
      <c r="HZ2" s="542">
        <v>44651</v>
      </c>
      <c r="IA2" s="542">
        <v>44681</v>
      </c>
      <c r="IB2" s="542">
        <v>44712</v>
      </c>
      <c r="IC2" s="542">
        <v>44742</v>
      </c>
      <c r="ID2" s="542">
        <v>44773</v>
      </c>
      <c r="IE2" s="542">
        <v>44804</v>
      </c>
      <c r="IF2" s="542">
        <v>44834</v>
      </c>
      <c r="IG2" s="542">
        <v>44865</v>
      </c>
      <c r="IH2" s="542">
        <v>44895</v>
      </c>
      <c r="II2" s="542">
        <v>44896</v>
      </c>
      <c r="IJ2" s="542">
        <v>44927</v>
      </c>
      <c r="IK2" s="542">
        <v>44958</v>
      </c>
      <c r="IL2" s="542">
        <v>44986</v>
      </c>
      <c r="IM2" s="542">
        <v>45017</v>
      </c>
      <c r="IN2" s="542">
        <v>45047</v>
      </c>
      <c r="IO2" s="542">
        <v>45078</v>
      </c>
      <c r="IP2" s="542">
        <v>45108</v>
      </c>
      <c r="IQ2" s="542">
        <v>45139</v>
      </c>
      <c r="IR2" s="542">
        <v>45170</v>
      </c>
      <c r="IS2" s="542">
        <v>45200</v>
      </c>
      <c r="IT2" s="542">
        <v>45231</v>
      </c>
      <c r="IU2" s="542">
        <v>45261</v>
      </c>
      <c r="IW2" s="592" t="s">
        <v>149</v>
      </c>
      <c r="IX2" s="442">
        <v>43496</v>
      </c>
      <c r="IY2" s="442">
        <v>43524</v>
      </c>
      <c r="IZ2" s="442">
        <v>43555</v>
      </c>
      <c r="JA2" s="442">
        <v>43585</v>
      </c>
      <c r="JB2" s="442">
        <v>43616</v>
      </c>
      <c r="JC2" s="442">
        <v>43646</v>
      </c>
      <c r="JD2" s="442">
        <v>43677</v>
      </c>
      <c r="JE2" s="442">
        <v>43708</v>
      </c>
      <c r="JF2" s="442">
        <v>43738</v>
      </c>
      <c r="JG2" s="442">
        <v>43769</v>
      </c>
      <c r="JH2" s="442">
        <v>43799</v>
      </c>
      <c r="JI2" s="442">
        <v>43830</v>
      </c>
      <c r="JJ2" s="442">
        <v>43861</v>
      </c>
      <c r="JK2" s="442">
        <v>43890</v>
      </c>
      <c r="JL2" s="442">
        <v>43921</v>
      </c>
      <c r="JM2" s="442">
        <v>43951</v>
      </c>
      <c r="JN2" s="442">
        <v>43982</v>
      </c>
      <c r="JO2" s="442">
        <v>44012</v>
      </c>
      <c r="JP2" s="442">
        <v>44043</v>
      </c>
      <c r="JQ2" s="442">
        <v>44074</v>
      </c>
      <c r="JR2" s="442">
        <v>44104</v>
      </c>
      <c r="JS2" s="442">
        <v>44135</v>
      </c>
      <c r="JT2" s="442">
        <v>44165</v>
      </c>
      <c r="JU2" s="442">
        <v>44196</v>
      </c>
      <c r="JV2" s="442">
        <v>44227</v>
      </c>
      <c r="JW2" s="442">
        <v>44255</v>
      </c>
      <c r="JX2" s="442">
        <v>44286</v>
      </c>
      <c r="JY2" s="442">
        <v>44316</v>
      </c>
      <c r="JZ2" s="442">
        <v>44347</v>
      </c>
      <c r="KA2" s="542">
        <v>44377</v>
      </c>
      <c r="KB2" s="542">
        <v>44408</v>
      </c>
      <c r="KC2" s="542">
        <v>44439</v>
      </c>
      <c r="KD2" s="542">
        <v>44469</v>
      </c>
      <c r="KE2" s="542">
        <v>44500</v>
      </c>
      <c r="KF2" s="542">
        <v>44530</v>
      </c>
      <c r="KG2" s="542">
        <v>44561</v>
      </c>
      <c r="KH2" s="542">
        <v>44592</v>
      </c>
      <c r="KI2" s="542">
        <v>44620</v>
      </c>
      <c r="KJ2" s="542">
        <v>44651</v>
      </c>
      <c r="KK2" s="542">
        <v>44681</v>
      </c>
      <c r="KL2" s="542">
        <v>44712</v>
      </c>
      <c r="KM2" s="542">
        <v>44742</v>
      </c>
      <c r="KN2" s="542">
        <v>44773</v>
      </c>
      <c r="KO2" s="542">
        <v>44804</v>
      </c>
      <c r="KP2" s="542">
        <v>44834</v>
      </c>
      <c r="KQ2" s="542">
        <v>44865</v>
      </c>
      <c r="KR2" s="542">
        <v>44895</v>
      </c>
      <c r="KS2" s="830">
        <v>44896</v>
      </c>
      <c r="KT2" s="830">
        <v>44927</v>
      </c>
      <c r="KU2" s="830">
        <v>44958</v>
      </c>
      <c r="KV2" s="830">
        <v>44986</v>
      </c>
      <c r="KW2" s="830">
        <v>45017</v>
      </c>
      <c r="KX2" s="830">
        <v>45047</v>
      </c>
      <c r="KY2" s="830">
        <v>45078</v>
      </c>
      <c r="KZ2" s="830">
        <v>45108</v>
      </c>
      <c r="LA2" s="830">
        <v>45139</v>
      </c>
      <c r="LB2" s="542">
        <v>45170</v>
      </c>
      <c r="LC2" s="542">
        <v>45200</v>
      </c>
      <c r="LD2" s="542">
        <v>45231</v>
      </c>
      <c r="LE2" s="542">
        <v>45261</v>
      </c>
    </row>
    <row r="3" spans="1:317" ht="15.6" thickBot="1">
      <c r="A3" s="975" t="s">
        <v>77</v>
      </c>
      <c r="B3" s="976"/>
      <c r="C3" s="976"/>
      <c r="D3" s="976"/>
      <c r="E3" s="976"/>
      <c r="F3" s="976"/>
      <c r="G3" s="976"/>
      <c r="H3" s="976"/>
      <c r="I3" s="976"/>
      <c r="J3" s="976"/>
      <c r="K3" s="976"/>
      <c r="L3" s="976"/>
      <c r="M3" s="976"/>
      <c r="N3" s="976"/>
      <c r="O3" s="976"/>
      <c r="Q3" s="975" t="s">
        <v>77</v>
      </c>
      <c r="R3" s="976"/>
      <c r="S3" s="976"/>
      <c r="T3" s="976"/>
      <c r="U3" s="976"/>
      <c r="V3" s="976"/>
      <c r="W3" s="976"/>
      <c r="X3" s="976"/>
      <c r="Y3" s="976"/>
      <c r="Z3" s="976"/>
      <c r="AA3" s="976"/>
      <c r="AB3" s="976"/>
      <c r="AC3" s="976"/>
      <c r="AD3" s="976"/>
      <c r="AE3" s="976"/>
      <c r="AG3" s="975" t="s">
        <v>77</v>
      </c>
      <c r="AH3" s="976"/>
      <c r="AI3" s="976"/>
      <c r="AJ3" s="976"/>
      <c r="AK3" s="976"/>
      <c r="AL3" s="976"/>
      <c r="AM3" s="976"/>
      <c r="AN3" s="976"/>
      <c r="AO3" s="976"/>
      <c r="AP3" s="976"/>
      <c r="AQ3" s="976"/>
      <c r="AR3" s="976"/>
      <c r="AS3" s="976"/>
      <c r="AT3" s="976"/>
      <c r="AU3" s="976"/>
      <c r="AW3" s="975" t="s">
        <v>77</v>
      </c>
      <c r="AX3" s="976"/>
      <c r="AY3" s="976"/>
      <c r="AZ3" s="976"/>
      <c r="BA3" s="976"/>
      <c r="BB3" s="976"/>
      <c r="BC3" s="976"/>
      <c r="BD3" s="976"/>
      <c r="BE3" s="976"/>
      <c r="BF3" s="976"/>
      <c r="BG3" s="976"/>
      <c r="BH3" s="976"/>
      <c r="BI3" s="976"/>
      <c r="BJ3" s="976"/>
      <c r="BK3" s="976"/>
      <c r="BM3" s="975" t="s">
        <v>77</v>
      </c>
      <c r="BN3" s="976"/>
      <c r="BO3" s="976"/>
      <c r="BP3" s="976"/>
      <c r="BQ3" s="976"/>
      <c r="BR3" s="976"/>
      <c r="BS3" s="976"/>
      <c r="BT3" s="976"/>
      <c r="BU3" s="976"/>
      <c r="BV3" s="976"/>
      <c r="BW3" s="976"/>
      <c r="BX3" s="976"/>
      <c r="BY3" s="976"/>
      <c r="BZ3" s="976"/>
      <c r="CA3" s="976"/>
      <c r="CC3" s="975" t="s">
        <v>77</v>
      </c>
      <c r="CD3" s="976"/>
      <c r="CE3" s="976"/>
      <c r="CF3" s="976"/>
      <c r="CG3" s="976"/>
      <c r="CH3" s="976"/>
      <c r="CI3" s="976"/>
      <c r="CJ3" s="976"/>
      <c r="CK3" s="976"/>
      <c r="CL3" s="976"/>
      <c r="CM3" s="976"/>
      <c r="CN3" s="976"/>
      <c r="CO3" s="976"/>
      <c r="CP3" s="976"/>
      <c r="CQ3" s="976"/>
      <c r="CS3" s="975" t="s">
        <v>77</v>
      </c>
      <c r="CT3" s="976"/>
      <c r="CU3" s="976"/>
      <c r="CV3" s="976"/>
      <c r="CW3" s="976"/>
      <c r="CX3" s="976"/>
      <c r="CY3" s="976"/>
      <c r="CZ3" s="976"/>
      <c r="DA3" s="976"/>
      <c r="DB3" s="976"/>
      <c r="DC3" s="976"/>
      <c r="DD3" s="976"/>
      <c r="DE3" s="976"/>
      <c r="DF3" s="976"/>
      <c r="DG3" s="976"/>
      <c r="DI3" s="975" t="s">
        <v>77</v>
      </c>
      <c r="DJ3" s="976"/>
      <c r="DK3" s="976"/>
      <c r="DL3" s="976"/>
      <c r="DM3" s="976"/>
      <c r="DN3" s="976"/>
      <c r="DO3" s="976"/>
      <c r="DP3" s="976"/>
      <c r="DQ3" s="976"/>
      <c r="DR3" s="976"/>
      <c r="DS3" s="976"/>
      <c r="DT3" s="976"/>
      <c r="DU3" s="976"/>
      <c r="DV3" s="976"/>
      <c r="DW3" s="976"/>
      <c r="DY3" s="975" t="s">
        <v>77</v>
      </c>
      <c r="DZ3" s="976"/>
      <c r="EA3" s="976"/>
      <c r="EB3" s="976"/>
      <c r="EC3" s="976"/>
      <c r="ED3" s="976"/>
      <c r="EE3" s="976"/>
      <c r="EF3" s="976"/>
      <c r="EG3" s="976"/>
      <c r="EH3" s="976"/>
      <c r="EI3" s="976"/>
      <c r="EJ3" s="976"/>
      <c r="EK3" s="976"/>
      <c r="EL3" s="976"/>
      <c r="EM3" s="976"/>
      <c r="EO3" s="975" t="s">
        <v>77</v>
      </c>
      <c r="EP3" s="976"/>
      <c r="EQ3" s="976"/>
      <c r="ER3" s="976"/>
      <c r="ES3" s="976"/>
      <c r="ET3" s="976"/>
      <c r="EU3" s="976"/>
      <c r="EV3" s="976"/>
      <c r="EW3" s="976"/>
      <c r="EX3" s="976"/>
      <c r="EY3" s="976"/>
      <c r="EZ3" s="976"/>
      <c r="FA3" s="976"/>
      <c r="FB3" s="976"/>
      <c r="FC3" s="976"/>
      <c r="FE3" s="975" t="s">
        <v>77</v>
      </c>
      <c r="FF3" s="976"/>
      <c r="FG3" s="976"/>
      <c r="FH3" s="976"/>
      <c r="FI3" s="976"/>
      <c r="FJ3" s="976"/>
      <c r="FK3" s="976"/>
      <c r="FL3" s="976"/>
      <c r="FM3" s="976"/>
      <c r="FN3" s="976"/>
      <c r="FO3" s="976"/>
      <c r="FP3" s="976"/>
      <c r="FQ3" s="976"/>
      <c r="FR3" s="976"/>
      <c r="FS3" s="976"/>
      <c r="FY3" s="353">
        <v>1</v>
      </c>
      <c r="FZ3" s="353" t="s">
        <v>123</v>
      </c>
      <c r="GA3" s="354">
        <v>13259</v>
      </c>
      <c r="GB3" s="752">
        <v>13870</v>
      </c>
      <c r="GC3" s="336">
        <f>+GB3/GA3-1</f>
        <v>4.6081906629459324E-2</v>
      </c>
      <c r="GE3" s="353">
        <v>1</v>
      </c>
      <c r="GF3" s="353" t="s">
        <v>123</v>
      </c>
      <c r="GG3" s="354">
        <v>13076</v>
      </c>
      <c r="GH3" s="752">
        <v>13726</v>
      </c>
      <c r="GI3" s="543">
        <f>+GH3/GG3-1</f>
        <v>4.9709391251147039E-2</v>
      </c>
      <c r="GL3" s="353">
        <v>1</v>
      </c>
      <c r="GM3" s="353" t="s">
        <v>123</v>
      </c>
      <c r="GN3" s="353">
        <v>724</v>
      </c>
      <c r="GO3" s="353">
        <v>562</v>
      </c>
      <c r="GP3" s="353">
        <v>240</v>
      </c>
      <c r="GQ3" s="353">
        <v>432</v>
      </c>
      <c r="GR3" s="353">
        <v>244</v>
      </c>
      <c r="GS3" s="353">
        <v>228</v>
      </c>
      <c r="GT3" s="353">
        <v>245</v>
      </c>
      <c r="GU3" s="353">
        <v>256</v>
      </c>
      <c r="GV3" s="353">
        <v>164</v>
      </c>
      <c r="GW3" s="353">
        <v>274</v>
      </c>
      <c r="GX3" s="353">
        <v>281</v>
      </c>
      <c r="GY3" s="353">
        <v>162</v>
      </c>
      <c r="GZ3" s="353">
        <v>171</v>
      </c>
      <c r="HA3" s="353">
        <v>182</v>
      </c>
      <c r="HB3" s="353">
        <v>140</v>
      </c>
      <c r="HC3" s="353">
        <v>88</v>
      </c>
      <c r="HD3" s="353">
        <v>85</v>
      </c>
      <c r="HE3" s="353">
        <v>90</v>
      </c>
      <c r="HF3" s="353">
        <v>135</v>
      </c>
      <c r="HG3" s="353">
        <v>109</v>
      </c>
      <c r="HH3" s="353">
        <v>116</v>
      </c>
      <c r="HI3" s="353">
        <v>121</v>
      </c>
      <c r="HJ3" s="353">
        <v>111</v>
      </c>
      <c r="HK3" s="353">
        <v>74</v>
      </c>
      <c r="HL3" s="353">
        <v>71</v>
      </c>
      <c r="HM3" s="353">
        <v>50</v>
      </c>
      <c r="HN3" s="353">
        <v>128</v>
      </c>
      <c r="HO3" s="353">
        <v>81</v>
      </c>
      <c r="HP3" s="353">
        <v>83</v>
      </c>
      <c r="HQ3" s="353">
        <v>98</v>
      </c>
      <c r="HR3" s="353">
        <v>74</v>
      </c>
      <c r="HS3" s="353">
        <v>90</v>
      </c>
      <c r="HT3" s="353">
        <v>81</v>
      </c>
      <c r="HU3" s="353">
        <v>97</v>
      </c>
      <c r="HV3" s="353">
        <v>74</v>
      </c>
      <c r="HW3" s="353">
        <v>81</v>
      </c>
      <c r="HX3" s="592">
        <v>80</v>
      </c>
      <c r="HY3" s="592">
        <v>89</v>
      </c>
      <c r="HZ3" s="592">
        <v>85</v>
      </c>
      <c r="IA3" s="592">
        <v>78</v>
      </c>
      <c r="IB3" s="592">
        <v>67</v>
      </c>
      <c r="IC3" s="592">
        <v>90</v>
      </c>
      <c r="ID3" s="742">
        <v>76</v>
      </c>
      <c r="IE3" s="753">
        <v>68</v>
      </c>
      <c r="IF3" s="753">
        <v>60</v>
      </c>
      <c r="IG3" s="775">
        <v>58</v>
      </c>
      <c r="IH3" s="742">
        <v>49</v>
      </c>
      <c r="II3" s="742">
        <v>44</v>
      </c>
      <c r="IJ3" s="592">
        <v>58</v>
      </c>
      <c r="IK3" s="862">
        <v>63</v>
      </c>
      <c r="IL3" s="862">
        <v>63</v>
      </c>
      <c r="IM3" s="862">
        <v>50</v>
      </c>
      <c r="IN3" s="862">
        <v>65</v>
      </c>
      <c r="IO3" s="890">
        <v>55</v>
      </c>
      <c r="IP3" s="890">
        <v>79</v>
      </c>
      <c r="IQ3" s="890">
        <v>317</v>
      </c>
      <c r="IR3" s="897">
        <v>106</v>
      </c>
      <c r="IS3" s="897">
        <v>150</v>
      </c>
      <c r="IT3" s="897">
        <v>140</v>
      </c>
      <c r="IU3" s="906">
        <v>76</v>
      </c>
      <c r="IW3" s="353" t="s">
        <v>123</v>
      </c>
      <c r="IX3" s="353">
        <v>724</v>
      </c>
      <c r="IY3" s="353">
        <v>562</v>
      </c>
      <c r="IZ3" s="353">
        <v>240</v>
      </c>
      <c r="JA3" s="353">
        <v>432</v>
      </c>
      <c r="JB3" s="353">
        <v>244</v>
      </c>
      <c r="JC3" s="353">
        <v>228</v>
      </c>
      <c r="JD3" s="353">
        <v>245</v>
      </c>
      <c r="JE3" s="353">
        <v>256</v>
      </c>
      <c r="JF3" s="353">
        <v>164</v>
      </c>
      <c r="JG3" s="353">
        <v>274</v>
      </c>
      <c r="JH3" s="353">
        <v>281</v>
      </c>
      <c r="JI3" s="353">
        <v>162</v>
      </c>
      <c r="JJ3" s="353">
        <v>171</v>
      </c>
      <c r="JK3" s="353">
        <v>182</v>
      </c>
      <c r="JL3" s="353">
        <v>140</v>
      </c>
      <c r="JM3" s="353">
        <v>88</v>
      </c>
      <c r="JN3" s="353">
        <v>85</v>
      </c>
      <c r="JO3" s="353">
        <v>90</v>
      </c>
      <c r="JP3" s="353">
        <v>135</v>
      </c>
      <c r="JQ3" s="353">
        <v>109</v>
      </c>
      <c r="JR3" s="353">
        <v>116</v>
      </c>
      <c r="JS3" s="353">
        <v>121</v>
      </c>
      <c r="JT3" s="353">
        <v>111</v>
      </c>
      <c r="JU3" s="353">
        <v>74</v>
      </c>
      <c r="JV3" s="353">
        <v>71</v>
      </c>
      <c r="JW3" s="353">
        <v>50</v>
      </c>
      <c r="JX3" s="353">
        <v>128</v>
      </c>
      <c r="JY3" s="353">
        <v>81</v>
      </c>
      <c r="JZ3" s="353">
        <v>83</v>
      </c>
      <c r="KA3" s="353">
        <v>98</v>
      </c>
      <c r="KB3" s="353">
        <v>74</v>
      </c>
      <c r="KC3" s="353">
        <v>90</v>
      </c>
      <c r="KD3" s="592">
        <v>81</v>
      </c>
      <c r="KE3" s="592">
        <v>97</v>
      </c>
      <c r="KF3" s="592">
        <v>74</v>
      </c>
      <c r="KG3" s="353">
        <v>81</v>
      </c>
      <c r="KH3" s="592">
        <v>80</v>
      </c>
      <c r="KI3" s="592">
        <v>89</v>
      </c>
      <c r="KJ3" s="592">
        <v>85</v>
      </c>
      <c r="KK3" s="592">
        <v>78</v>
      </c>
      <c r="KL3" s="592">
        <v>67</v>
      </c>
      <c r="KM3" s="713">
        <v>90</v>
      </c>
      <c r="KN3" s="592">
        <v>76</v>
      </c>
      <c r="KO3" s="753">
        <v>68</v>
      </c>
      <c r="KP3" s="753">
        <v>60</v>
      </c>
      <c r="KQ3" s="775">
        <v>58</v>
      </c>
      <c r="KR3" s="592">
        <v>49</v>
      </c>
      <c r="KS3" s="828">
        <v>44</v>
      </c>
      <c r="KT3" s="592">
        <v>58</v>
      </c>
      <c r="KU3" s="592">
        <v>63</v>
      </c>
      <c r="KV3" s="592">
        <v>63</v>
      </c>
      <c r="KW3" s="592">
        <v>50</v>
      </c>
      <c r="KX3" s="592">
        <v>65</v>
      </c>
      <c r="KY3" s="890">
        <v>55</v>
      </c>
      <c r="KZ3" s="592">
        <v>79</v>
      </c>
      <c r="LA3" s="592">
        <v>317</v>
      </c>
      <c r="LB3" s="897">
        <v>106</v>
      </c>
      <c r="LC3" s="592">
        <v>150</v>
      </c>
      <c r="LD3" s="592">
        <v>140</v>
      </c>
      <c r="LE3" s="906">
        <v>76</v>
      </c>
    </row>
    <row r="4" spans="1:317" s="353" customFormat="1" ht="18" customHeight="1" thickBot="1">
      <c r="A4" s="544"/>
      <c r="B4" s="545"/>
      <c r="C4" s="545"/>
      <c r="D4" s="545"/>
      <c r="E4" s="545"/>
      <c r="F4" s="545"/>
      <c r="G4" s="546"/>
      <c r="H4" s="593" t="s">
        <v>202</v>
      </c>
      <c r="I4" s="593" t="s">
        <v>211</v>
      </c>
      <c r="J4" s="593" t="s">
        <v>212</v>
      </c>
      <c r="K4" s="593" t="s">
        <v>79</v>
      </c>
      <c r="L4" s="593" t="s">
        <v>80</v>
      </c>
      <c r="M4" s="593" t="s">
        <v>81</v>
      </c>
      <c r="N4" s="593" t="s">
        <v>447</v>
      </c>
      <c r="O4" s="593" t="s">
        <v>82</v>
      </c>
      <c r="Q4" s="544"/>
      <c r="R4" s="545"/>
      <c r="S4" s="545"/>
      <c r="T4" s="545"/>
      <c r="U4" s="545"/>
      <c r="V4" s="545"/>
      <c r="W4" s="546"/>
      <c r="X4" s="593" t="s">
        <v>202</v>
      </c>
      <c r="Y4" s="593" t="s">
        <v>211</v>
      </c>
      <c r="Z4" s="593" t="s">
        <v>212</v>
      </c>
      <c r="AA4" s="593" t="s">
        <v>79</v>
      </c>
      <c r="AB4" s="593" t="s">
        <v>80</v>
      </c>
      <c r="AC4" s="593" t="s">
        <v>81</v>
      </c>
      <c r="AD4" s="593" t="s">
        <v>447</v>
      </c>
      <c r="AE4" s="593" t="s">
        <v>82</v>
      </c>
      <c r="AG4" s="544"/>
      <c r="AH4" s="545"/>
      <c r="AI4" s="545"/>
      <c r="AJ4" s="545"/>
      <c r="AK4" s="545"/>
      <c r="AL4" s="545"/>
      <c r="AM4" s="546"/>
      <c r="AN4" s="593" t="s">
        <v>202</v>
      </c>
      <c r="AO4" s="593" t="s">
        <v>211</v>
      </c>
      <c r="AP4" s="593" t="s">
        <v>212</v>
      </c>
      <c r="AQ4" s="593" t="s">
        <v>79</v>
      </c>
      <c r="AR4" s="593" t="s">
        <v>80</v>
      </c>
      <c r="AS4" s="593" t="s">
        <v>81</v>
      </c>
      <c r="AT4" s="593" t="s">
        <v>447</v>
      </c>
      <c r="AU4" s="593" t="s">
        <v>82</v>
      </c>
      <c r="AW4" s="544"/>
      <c r="AX4" s="545"/>
      <c r="AY4" s="545"/>
      <c r="AZ4" s="545"/>
      <c r="BA4" s="545"/>
      <c r="BB4" s="545"/>
      <c r="BC4" s="546"/>
      <c r="BD4" s="593" t="s">
        <v>202</v>
      </c>
      <c r="BE4" s="593" t="s">
        <v>211</v>
      </c>
      <c r="BF4" s="593" t="s">
        <v>212</v>
      </c>
      <c r="BG4" s="593" t="s">
        <v>79</v>
      </c>
      <c r="BH4" s="593" t="s">
        <v>80</v>
      </c>
      <c r="BI4" s="593" t="s">
        <v>81</v>
      </c>
      <c r="BJ4" s="593" t="s">
        <v>447</v>
      </c>
      <c r="BK4" s="593" t="s">
        <v>82</v>
      </c>
      <c r="BM4" s="544"/>
      <c r="BN4" s="545"/>
      <c r="BO4" s="545"/>
      <c r="BP4" s="545"/>
      <c r="BQ4" s="545"/>
      <c r="BR4" s="545"/>
      <c r="BS4" s="546"/>
      <c r="BT4" s="593" t="s">
        <v>202</v>
      </c>
      <c r="BU4" s="593" t="s">
        <v>211</v>
      </c>
      <c r="BV4" s="593" t="s">
        <v>212</v>
      </c>
      <c r="BW4" s="593" t="s">
        <v>79</v>
      </c>
      <c r="BX4" s="593" t="s">
        <v>80</v>
      </c>
      <c r="BY4" s="593" t="s">
        <v>81</v>
      </c>
      <c r="BZ4" s="593" t="s">
        <v>447</v>
      </c>
      <c r="CA4" s="593" t="s">
        <v>82</v>
      </c>
      <c r="CC4" s="544"/>
      <c r="CD4" s="545"/>
      <c r="CE4" s="545"/>
      <c r="CF4" s="545"/>
      <c r="CG4" s="545"/>
      <c r="CH4" s="545"/>
      <c r="CI4" s="546"/>
      <c r="CJ4" s="593" t="s">
        <v>202</v>
      </c>
      <c r="CK4" s="593" t="s">
        <v>211</v>
      </c>
      <c r="CL4" s="593" t="s">
        <v>212</v>
      </c>
      <c r="CM4" s="593" t="s">
        <v>79</v>
      </c>
      <c r="CN4" s="593" t="s">
        <v>80</v>
      </c>
      <c r="CO4" s="593" t="s">
        <v>81</v>
      </c>
      <c r="CP4" s="593" t="s">
        <v>447</v>
      </c>
      <c r="CQ4" s="593" t="s">
        <v>82</v>
      </c>
      <c r="CS4" s="544"/>
      <c r="CT4" s="545"/>
      <c r="CU4" s="545"/>
      <c r="CV4" s="545"/>
      <c r="CW4" s="545"/>
      <c r="CX4" s="545"/>
      <c r="CY4" s="546"/>
      <c r="CZ4" s="593" t="s">
        <v>202</v>
      </c>
      <c r="DA4" s="593" t="s">
        <v>211</v>
      </c>
      <c r="DB4" s="593" t="s">
        <v>212</v>
      </c>
      <c r="DC4" s="593" t="s">
        <v>79</v>
      </c>
      <c r="DD4" s="593" t="s">
        <v>80</v>
      </c>
      <c r="DE4" s="593" t="s">
        <v>81</v>
      </c>
      <c r="DF4" s="593" t="s">
        <v>447</v>
      </c>
      <c r="DG4" s="593" t="s">
        <v>82</v>
      </c>
      <c r="DI4" s="544"/>
      <c r="DJ4" s="545"/>
      <c r="DK4" s="545"/>
      <c r="DL4" s="545"/>
      <c r="DM4" s="545"/>
      <c r="DN4" s="545"/>
      <c r="DO4" s="546"/>
      <c r="DP4" s="593" t="s">
        <v>202</v>
      </c>
      <c r="DQ4" s="593" t="s">
        <v>211</v>
      </c>
      <c r="DR4" s="593" t="s">
        <v>212</v>
      </c>
      <c r="DS4" s="593" t="s">
        <v>79</v>
      </c>
      <c r="DT4" s="593" t="s">
        <v>80</v>
      </c>
      <c r="DU4" s="593" t="s">
        <v>81</v>
      </c>
      <c r="DV4" s="593" t="s">
        <v>447</v>
      </c>
      <c r="DW4" s="593" t="s">
        <v>82</v>
      </c>
      <c r="DY4" s="544"/>
      <c r="DZ4" s="545"/>
      <c r="EA4" s="545"/>
      <c r="EB4" s="545"/>
      <c r="EC4" s="545"/>
      <c r="ED4" s="545"/>
      <c r="EE4" s="546"/>
      <c r="EF4" s="593" t="s">
        <v>202</v>
      </c>
      <c r="EG4" s="593" t="s">
        <v>211</v>
      </c>
      <c r="EH4" s="593" t="s">
        <v>212</v>
      </c>
      <c r="EI4" s="593" t="s">
        <v>79</v>
      </c>
      <c r="EJ4" s="593" t="s">
        <v>80</v>
      </c>
      <c r="EK4" s="593" t="s">
        <v>81</v>
      </c>
      <c r="EL4" s="593" t="s">
        <v>447</v>
      </c>
      <c r="EM4" s="593" t="s">
        <v>82</v>
      </c>
      <c r="EO4" s="544"/>
      <c r="EP4" s="545"/>
      <c r="EQ4" s="545"/>
      <c r="ER4" s="545"/>
      <c r="ES4" s="545"/>
      <c r="ET4" s="545"/>
      <c r="EU4" s="546"/>
      <c r="EV4" s="593" t="s">
        <v>202</v>
      </c>
      <c r="EW4" s="593" t="s">
        <v>211</v>
      </c>
      <c r="EX4" s="593" t="s">
        <v>212</v>
      </c>
      <c r="EY4" s="593" t="s">
        <v>79</v>
      </c>
      <c r="EZ4" s="593" t="s">
        <v>80</v>
      </c>
      <c r="FA4" s="593" t="s">
        <v>81</v>
      </c>
      <c r="FB4" s="593" t="s">
        <v>447</v>
      </c>
      <c r="FC4" s="593" t="s">
        <v>82</v>
      </c>
      <c r="FE4" s="544"/>
      <c r="FF4" s="545"/>
      <c r="FG4" s="545"/>
      <c r="FH4" s="545"/>
      <c r="FI4" s="545"/>
      <c r="FJ4" s="545"/>
      <c r="FK4" s="546"/>
      <c r="FL4" s="593" t="s">
        <v>202</v>
      </c>
      <c r="FM4" s="593" t="s">
        <v>211</v>
      </c>
      <c r="FN4" s="593" t="s">
        <v>212</v>
      </c>
      <c r="FO4" s="593" t="s">
        <v>79</v>
      </c>
      <c r="FP4" s="593" t="s">
        <v>80</v>
      </c>
      <c r="FQ4" s="593" t="s">
        <v>81</v>
      </c>
      <c r="FR4" s="593" t="s">
        <v>447</v>
      </c>
      <c r="FS4" s="593" t="s">
        <v>82</v>
      </c>
      <c r="FY4" s="353">
        <v>2</v>
      </c>
      <c r="FZ4" s="353" t="s">
        <v>124</v>
      </c>
      <c r="GA4" s="354">
        <v>52685</v>
      </c>
      <c r="GB4" s="752">
        <v>51331</v>
      </c>
      <c r="GC4" s="336">
        <f>+GB4/GA4-1</f>
        <v>-2.5699914586694517E-2</v>
      </c>
      <c r="GE4" s="353">
        <v>2</v>
      </c>
      <c r="GF4" s="353" t="s">
        <v>124</v>
      </c>
      <c r="GG4" s="354">
        <v>3</v>
      </c>
      <c r="GH4" s="752">
        <v>50792</v>
      </c>
      <c r="GI4" s="543">
        <f t="shared" ref="GI4:GI13" si="0">+GH4/GG4-1</f>
        <v>16929.666666666668</v>
      </c>
      <c r="GJ4" s="353">
        <v>54921</v>
      </c>
      <c r="GK4" s="353">
        <v>51921</v>
      </c>
      <c r="GL4" s="353">
        <v>2</v>
      </c>
      <c r="GM4" s="353" t="s">
        <v>124</v>
      </c>
      <c r="GN4" s="353">
        <v>693</v>
      </c>
      <c r="GO4" s="353">
        <v>407</v>
      </c>
      <c r="GP4" s="353">
        <v>519</v>
      </c>
      <c r="GQ4" s="353">
        <v>672</v>
      </c>
      <c r="GR4" s="353">
        <v>472</v>
      </c>
      <c r="GS4" s="353">
        <v>319</v>
      </c>
      <c r="GT4" s="353">
        <v>661</v>
      </c>
      <c r="GU4" s="353">
        <v>224</v>
      </c>
      <c r="GV4" s="353">
        <v>295</v>
      </c>
      <c r="GW4" s="353">
        <v>275</v>
      </c>
      <c r="GX4" s="353">
        <v>175</v>
      </c>
      <c r="GY4" s="353">
        <v>238</v>
      </c>
      <c r="GZ4" s="353">
        <v>259</v>
      </c>
      <c r="HA4" s="353">
        <v>305</v>
      </c>
      <c r="HB4" s="353">
        <v>328</v>
      </c>
      <c r="HC4" s="353">
        <v>273</v>
      </c>
      <c r="HD4" s="353">
        <v>115</v>
      </c>
      <c r="HE4" s="353">
        <v>178</v>
      </c>
      <c r="HF4" s="353">
        <v>284</v>
      </c>
      <c r="HG4" s="353">
        <v>169</v>
      </c>
      <c r="HH4" s="353">
        <v>260</v>
      </c>
      <c r="HI4" s="353">
        <v>172</v>
      </c>
      <c r="HJ4" s="353">
        <v>176</v>
      </c>
      <c r="HK4" s="353">
        <v>107</v>
      </c>
      <c r="HL4" s="353">
        <v>115</v>
      </c>
      <c r="HM4" s="353">
        <v>406</v>
      </c>
      <c r="HN4" s="353">
        <v>193</v>
      </c>
      <c r="HO4" s="353">
        <v>154</v>
      </c>
      <c r="HP4" s="353">
        <v>255</v>
      </c>
      <c r="HQ4" s="353">
        <v>278</v>
      </c>
      <c r="HR4" s="353">
        <v>204</v>
      </c>
      <c r="HS4" s="353">
        <v>113</v>
      </c>
      <c r="HT4" s="353">
        <v>145</v>
      </c>
      <c r="HU4" s="353">
        <v>149</v>
      </c>
      <c r="HV4" s="353">
        <v>206</v>
      </c>
      <c r="HW4" s="353">
        <v>119</v>
      </c>
      <c r="HX4" s="353">
        <v>125</v>
      </c>
      <c r="HY4" s="353">
        <v>209</v>
      </c>
      <c r="HZ4" s="353">
        <v>196</v>
      </c>
      <c r="IA4" s="353">
        <v>153</v>
      </c>
      <c r="IB4" s="353">
        <v>177</v>
      </c>
      <c r="IC4" s="353">
        <v>244</v>
      </c>
      <c r="ID4" s="353">
        <v>250</v>
      </c>
      <c r="IE4" s="753">
        <v>154</v>
      </c>
      <c r="IF4" s="753">
        <v>217</v>
      </c>
      <c r="IG4" s="776">
        <v>122</v>
      </c>
      <c r="IH4" s="353">
        <v>112</v>
      </c>
      <c r="II4" s="353">
        <v>132</v>
      </c>
      <c r="IJ4" s="353">
        <v>176</v>
      </c>
      <c r="IK4" s="353">
        <v>126</v>
      </c>
      <c r="IL4" s="776">
        <v>270</v>
      </c>
      <c r="IM4" s="353">
        <v>245</v>
      </c>
      <c r="IN4" s="353">
        <v>161</v>
      </c>
      <c r="IO4" s="353">
        <v>251</v>
      </c>
      <c r="IP4" s="353">
        <v>96</v>
      </c>
      <c r="IQ4" s="353">
        <v>91</v>
      </c>
      <c r="IR4" s="353">
        <v>113</v>
      </c>
      <c r="IS4" s="353">
        <v>157</v>
      </c>
      <c r="IT4" s="353">
        <v>278</v>
      </c>
      <c r="IU4" s="353">
        <v>250</v>
      </c>
      <c r="IW4" s="353" t="s">
        <v>124</v>
      </c>
      <c r="IX4" s="353">
        <v>693</v>
      </c>
      <c r="IY4" s="353">
        <v>407</v>
      </c>
      <c r="IZ4" s="353">
        <v>519</v>
      </c>
      <c r="JA4" s="353">
        <v>672</v>
      </c>
      <c r="JB4" s="353">
        <v>472</v>
      </c>
      <c r="JC4" s="353">
        <v>319</v>
      </c>
      <c r="JD4" s="353">
        <v>661</v>
      </c>
      <c r="JE4" s="353">
        <v>224</v>
      </c>
      <c r="JF4" s="353">
        <v>295</v>
      </c>
      <c r="JG4" s="353">
        <v>275</v>
      </c>
      <c r="JH4" s="353">
        <v>175</v>
      </c>
      <c r="JI4" s="353">
        <v>238</v>
      </c>
      <c r="JJ4" s="353">
        <v>259</v>
      </c>
      <c r="JK4" s="353">
        <v>305</v>
      </c>
      <c r="JL4" s="353">
        <v>328</v>
      </c>
      <c r="JM4" s="353">
        <v>273</v>
      </c>
      <c r="JN4" s="353">
        <v>115</v>
      </c>
      <c r="JO4" s="353">
        <v>178</v>
      </c>
      <c r="JP4" s="353">
        <v>284</v>
      </c>
      <c r="JQ4" s="353">
        <v>169</v>
      </c>
      <c r="JR4" s="353">
        <v>260</v>
      </c>
      <c r="JS4" s="353">
        <v>172</v>
      </c>
      <c r="JT4" s="353">
        <v>176</v>
      </c>
      <c r="JU4" s="353">
        <v>107</v>
      </c>
      <c r="JV4" s="353">
        <v>115</v>
      </c>
      <c r="JW4" s="353">
        <v>406</v>
      </c>
      <c r="JX4" s="353">
        <v>193</v>
      </c>
      <c r="JY4" s="353">
        <v>154</v>
      </c>
      <c r="JZ4" s="353">
        <v>255</v>
      </c>
      <c r="KA4" s="353">
        <v>278</v>
      </c>
      <c r="KB4" s="353">
        <v>204</v>
      </c>
      <c r="KC4" s="353">
        <v>113</v>
      </c>
      <c r="KD4" s="353">
        <v>145</v>
      </c>
      <c r="KE4" s="353">
        <v>149</v>
      </c>
      <c r="KF4" s="353">
        <v>206</v>
      </c>
      <c r="KG4" s="353">
        <v>119</v>
      </c>
      <c r="KH4" s="353">
        <v>125</v>
      </c>
      <c r="KI4" s="353">
        <v>209</v>
      </c>
      <c r="KJ4" s="353">
        <v>196</v>
      </c>
      <c r="KK4" s="353">
        <v>153</v>
      </c>
      <c r="KL4" s="353">
        <v>177</v>
      </c>
      <c r="KM4" s="353">
        <v>244</v>
      </c>
      <c r="KN4" s="353">
        <v>250</v>
      </c>
      <c r="KO4" s="753">
        <v>154</v>
      </c>
      <c r="KP4" s="753">
        <v>217</v>
      </c>
      <c r="KQ4" s="776">
        <v>122</v>
      </c>
      <c r="KR4" s="353">
        <v>112</v>
      </c>
      <c r="KS4" s="353">
        <v>132</v>
      </c>
      <c r="KT4" s="353">
        <v>176</v>
      </c>
      <c r="KU4" s="353">
        <v>126</v>
      </c>
      <c r="KV4" s="776">
        <v>270</v>
      </c>
      <c r="KW4" s="353">
        <v>245</v>
      </c>
      <c r="KX4" s="353">
        <v>161</v>
      </c>
      <c r="KY4" s="353">
        <v>251</v>
      </c>
      <c r="KZ4" s="353">
        <v>96</v>
      </c>
      <c r="LA4" s="353">
        <v>91</v>
      </c>
      <c r="LB4" s="353">
        <v>113</v>
      </c>
      <c r="LC4" s="353">
        <v>157</v>
      </c>
      <c r="LD4" s="353">
        <v>278</v>
      </c>
      <c r="LE4" s="353">
        <v>250</v>
      </c>
    </row>
    <row r="5" spans="1:317" ht="15" thickBot="1">
      <c r="A5" s="981" t="s">
        <v>83</v>
      </c>
      <c r="B5" s="982"/>
      <c r="C5" s="982"/>
      <c r="D5" s="982"/>
      <c r="E5" s="982"/>
      <c r="F5" s="982"/>
      <c r="G5" s="983"/>
      <c r="H5" s="547">
        <v>25794</v>
      </c>
      <c r="I5" s="547">
        <v>25147</v>
      </c>
      <c r="J5" s="547">
        <v>24828</v>
      </c>
      <c r="K5" s="548">
        <v>-1.2685409789999999E-2</v>
      </c>
      <c r="L5" s="548">
        <v>-3.7450569899000002E-2</v>
      </c>
      <c r="M5" s="547">
        <v>-966</v>
      </c>
      <c r="N5" s="549"/>
      <c r="O5" s="550"/>
      <c r="Q5" s="981" t="s">
        <v>83</v>
      </c>
      <c r="R5" s="982"/>
      <c r="S5" s="982"/>
      <c r="T5" s="982"/>
      <c r="U5" s="982"/>
      <c r="V5" s="982"/>
      <c r="W5" s="983"/>
      <c r="X5" s="547">
        <v>71689</v>
      </c>
      <c r="Y5" s="547">
        <v>72169</v>
      </c>
      <c r="Z5" s="547">
        <v>72099</v>
      </c>
      <c r="AA5" s="548">
        <v>-9.6994554400000005E-4</v>
      </c>
      <c r="AB5" s="548">
        <v>5.7191479860000003E-3</v>
      </c>
      <c r="AC5" s="547">
        <v>410</v>
      </c>
      <c r="AD5" s="549"/>
      <c r="AE5" s="550"/>
      <c r="AG5" s="981" t="s">
        <v>83</v>
      </c>
      <c r="AH5" s="982"/>
      <c r="AI5" s="982"/>
      <c r="AJ5" s="982"/>
      <c r="AK5" s="982"/>
      <c r="AL5" s="982"/>
      <c r="AM5" s="983"/>
      <c r="AN5" s="547">
        <v>297660</v>
      </c>
      <c r="AO5" s="547">
        <v>298177</v>
      </c>
      <c r="AP5" s="547">
        <v>302587</v>
      </c>
      <c r="AQ5" s="548">
        <v>1.4789873129E-2</v>
      </c>
      <c r="AR5" s="548">
        <v>1.6552442383E-2</v>
      </c>
      <c r="AS5" s="547">
        <v>4927</v>
      </c>
      <c r="AT5" s="549"/>
      <c r="AU5" s="550"/>
      <c r="AW5" s="981" t="s">
        <v>83</v>
      </c>
      <c r="AX5" s="982"/>
      <c r="AY5" s="982"/>
      <c r="AZ5" s="982"/>
      <c r="BA5" s="982"/>
      <c r="BB5" s="982"/>
      <c r="BC5" s="983"/>
      <c r="BD5" s="547">
        <v>170848</v>
      </c>
      <c r="BE5" s="547">
        <v>170556</v>
      </c>
      <c r="BF5" s="547">
        <v>162831</v>
      </c>
      <c r="BG5" s="548">
        <v>-4.5293041580999997E-2</v>
      </c>
      <c r="BH5" s="548">
        <v>-4.6924751825999998E-2</v>
      </c>
      <c r="BI5" s="547">
        <v>-8017</v>
      </c>
      <c r="BJ5" s="549"/>
      <c r="BK5" s="550"/>
      <c r="BM5" s="981" t="s">
        <v>83</v>
      </c>
      <c r="BN5" s="982"/>
      <c r="BO5" s="982"/>
      <c r="BP5" s="982"/>
      <c r="BQ5" s="982"/>
      <c r="BR5" s="982"/>
      <c r="BS5" s="983"/>
      <c r="BT5" s="547">
        <v>15837</v>
      </c>
      <c r="BU5" s="547">
        <v>15773</v>
      </c>
      <c r="BV5" s="547">
        <v>15956</v>
      </c>
      <c r="BW5" s="548">
        <v>1.1602104861999999E-2</v>
      </c>
      <c r="BX5" s="548">
        <v>7.5140493780000003E-3</v>
      </c>
      <c r="BY5" s="547">
        <v>119</v>
      </c>
      <c r="BZ5" s="549"/>
      <c r="CA5" s="550"/>
      <c r="CC5" s="981" t="s">
        <v>83</v>
      </c>
      <c r="CD5" s="982"/>
      <c r="CE5" s="982"/>
      <c r="CF5" s="982"/>
      <c r="CG5" s="982"/>
      <c r="CH5" s="982"/>
      <c r="CI5" s="983"/>
      <c r="CJ5" s="547">
        <v>150168</v>
      </c>
      <c r="CK5" s="547">
        <v>150091</v>
      </c>
      <c r="CL5" s="547">
        <v>149874</v>
      </c>
      <c r="CM5" s="548">
        <v>-1.445789554E-3</v>
      </c>
      <c r="CN5" s="548">
        <v>-1.9578072550000001E-3</v>
      </c>
      <c r="CO5" s="547">
        <v>-294</v>
      </c>
      <c r="CP5" s="549"/>
      <c r="CQ5" s="550"/>
      <c r="CS5" s="981" t="s">
        <v>83</v>
      </c>
      <c r="CT5" s="982"/>
      <c r="CU5" s="982"/>
      <c r="CV5" s="982"/>
      <c r="CW5" s="982"/>
      <c r="CX5" s="982"/>
      <c r="CY5" s="983"/>
      <c r="CZ5" s="547">
        <v>71416</v>
      </c>
      <c r="DA5" s="547">
        <v>71607</v>
      </c>
      <c r="DB5" s="547">
        <v>70902</v>
      </c>
      <c r="DC5" s="548">
        <v>-9.8454061749999999E-3</v>
      </c>
      <c r="DD5" s="548">
        <v>-7.1972667179999996E-3</v>
      </c>
      <c r="DE5" s="547">
        <v>-514</v>
      </c>
      <c r="DF5" s="549"/>
      <c r="DG5" s="550"/>
      <c r="DI5" s="981" t="s">
        <v>83</v>
      </c>
      <c r="DJ5" s="982"/>
      <c r="DK5" s="982"/>
      <c r="DL5" s="982"/>
      <c r="DM5" s="982"/>
      <c r="DN5" s="982"/>
      <c r="DO5" s="983"/>
      <c r="DP5" s="547">
        <v>213871</v>
      </c>
      <c r="DQ5" s="547">
        <v>213493</v>
      </c>
      <c r="DR5" s="547">
        <v>214046</v>
      </c>
      <c r="DS5" s="548">
        <v>2.5902488599999999E-3</v>
      </c>
      <c r="DT5" s="548">
        <v>8.1825025300000004E-4</v>
      </c>
      <c r="DU5" s="547">
        <v>175</v>
      </c>
      <c r="DV5" s="549"/>
      <c r="DW5" s="550"/>
      <c r="DY5" s="981" t="s">
        <v>83</v>
      </c>
      <c r="DZ5" s="982"/>
      <c r="EA5" s="982"/>
      <c r="EB5" s="982"/>
      <c r="EC5" s="982"/>
      <c r="ED5" s="982"/>
      <c r="EE5" s="983"/>
      <c r="EF5" s="547">
        <v>24614</v>
      </c>
      <c r="EG5" s="547">
        <v>24703</v>
      </c>
      <c r="EH5" s="547">
        <v>24946</v>
      </c>
      <c r="EI5" s="548">
        <v>9.8368619189999999E-3</v>
      </c>
      <c r="EJ5" s="548">
        <v>1.3488258713999999E-2</v>
      </c>
      <c r="EK5" s="547">
        <v>332</v>
      </c>
      <c r="EL5" s="549"/>
      <c r="EM5" s="550"/>
      <c r="EO5" s="981" t="s">
        <v>83</v>
      </c>
      <c r="EP5" s="982"/>
      <c r="EQ5" s="982"/>
      <c r="ER5" s="982"/>
      <c r="ES5" s="982"/>
      <c r="ET5" s="982"/>
      <c r="EU5" s="983"/>
      <c r="EV5" s="547">
        <v>128605</v>
      </c>
      <c r="EW5" s="547">
        <v>127738</v>
      </c>
      <c r="EX5" s="547">
        <v>128465</v>
      </c>
      <c r="EY5" s="548">
        <v>5.6913369550000001E-3</v>
      </c>
      <c r="EZ5" s="548">
        <v>-1.088604642E-3</v>
      </c>
      <c r="FA5" s="547">
        <v>-140</v>
      </c>
      <c r="FB5" s="549"/>
      <c r="FC5" s="550"/>
      <c r="FE5" s="981" t="s">
        <v>83</v>
      </c>
      <c r="FF5" s="982"/>
      <c r="FG5" s="982"/>
      <c r="FH5" s="982"/>
      <c r="FI5" s="982"/>
      <c r="FJ5" s="982"/>
      <c r="FK5" s="983"/>
      <c r="FL5" s="547">
        <v>36245</v>
      </c>
      <c r="FM5" s="547">
        <v>36463</v>
      </c>
      <c r="FN5" s="547">
        <v>36499</v>
      </c>
      <c r="FO5" s="548">
        <v>9.873021960000001E-4</v>
      </c>
      <c r="FP5" s="548">
        <v>7.0078631530000003E-3</v>
      </c>
      <c r="FQ5" s="547">
        <v>254</v>
      </c>
      <c r="FR5" s="549"/>
      <c r="FS5" s="550"/>
      <c r="FY5" s="353">
        <v>3</v>
      </c>
      <c r="FZ5" s="353" t="s">
        <v>131</v>
      </c>
      <c r="GA5" s="354">
        <v>309230</v>
      </c>
      <c r="GB5" s="752">
        <v>307694</v>
      </c>
      <c r="GC5" s="336">
        <f t="shared" ref="GC5:GC12" si="1">+GB5/GA5-1</f>
        <v>-4.9671765352650166E-3</v>
      </c>
      <c r="GE5" s="353">
        <v>3</v>
      </c>
      <c r="GF5" s="353" t="s">
        <v>131</v>
      </c>
      <c r="GG5" s="354">
        <v>170309</v>
      </c>
      <c r="GH5" s="752">
        <v>165221</v>
      </c>
      <c r="GI5" s="543">
        <f t="shared" si="0"/>
        <v>-2.987510936004556E-2</v>
      </c>
      <c r="GL5" s="353">
        <v>3</v>
      </c>
      <c r="GM5" s="353" t="s">
        <v>131</v>
      </c>
      <c r="GN5" s="353">
        <v>3000</v>
      </c>
      <c r="GO5" s="353">
        <v>3160</v>
      </c>
      <c r="GP5" s="353">
        <v>3774</v>
      </c>
      <c r="GQ5" s="353">
        <v>3535</v>
      </c>
      <c r="GR5" s="353">
        <v>3924</v>
      </c>
      <c r="GS5" s="353">
        <v>3037</v>
      </c>
      <c r="GT5" s="353">
        <v>3393</v>
      </c>
      <c r="GU5" s="353">
        <v>2565</v>
      </c>
      <c r="GV5" s="353">
        <v>4864</v>
      </c>
      <c r="GW5" s="353">
        <v>5630</v>
      </c>
      <c r="GX5" s="353">
        <v>4325</v>
      </c>
      <c r="GY5" s="353">
        <v>2948</v>
      </c>
      <c r="GZ5" s="353">
        <v>4000</v>
      </c>
      <c r="HA5" s="353">
        <v>3956</v>
      </c>
      <c r="HB5" s="353">
        <v>3897</v>
      </c>
      <c r="HC5" s="353">
        <v>2470</v>
      </c>
      <c r="HD5" s="353">
        <v>2432</v>
      </c>
      <c r="HE5" s="353">
        <v>4083</v>
      </c>
      <c r="HF5" s="353">
        <v>4151</v>
      </c>
      <c r="HG5" s="353">
        <v>3343</v>
      </c>
      <c r="HH5" s="353">
        <v>3510</v>
      </c>
      <c r="HI5" s="353">
        <v>3251</v>
      </c>
      <c r="HJ5" s="353">
        <v>2629</v>
      </c>
      <c r="HK5" s="353">
        <v>2401</v>
      </c>
      <c r="HL5" s="353">
        <v>3479</v>
      </c>
      <c r="HM5" s="353">
        <v>3819</v>
      </c>
      <c r="HN5" s="353">
        <v>3449</v>
      </c>
      <c r="HO5" s="353">
        <v>3117</v>
      </c>
      <c r="HP5" s="353">
        <v>3213</v>
      </c>
      <c r="HQ5" s="353">
        <v>4133</v>
      </c>
      <c r="HR5" s="353">
        <v>3076</v>
      </c>
      <c r="HS5" s="353">
        <v>3035</v>
      </c>
      <c r="HT5" s="353">
        <v>3163</v>
      </c>
      <c r="HU5" s="353">
        <v>4414</v>
      </c>
      <c r="HV5" s="353">
        <v>3276</v>
      </c>
      <c r="HW5" s="353">
        <v>2630</v>
      </c>
      <c r="HX5" s="592">
        <v>3103</v>
      </c>
      <c r="HY5" s="592">
        <v>3516</v>
      </c>
      <c r="HZ5" s="592">
        <v>4648</v>
      </c>
      <c r="IA5" s="592">
        <v>3505</v>
      </c>
      <c r="IB5" s="592">
        <v>3919</v>
      </c>
      <c r="IC5" s="592">
        <v>3945</v>
      </c>
      <c r="ID5" s="742">
        <v>3580</v>
      </c>
      <c r="IE5" s="753">
        <v>4131</v>
      </c>
      <c r="IF5" s="753">
        <v>3082</v>
      </c>
      <c r="IG5" s="775">
        <v>3785</v>
      </c>
      <c r="IH5" s="742">
        <v>3758</v>
      </c>
      <c r="II5" s="742">
        <v>2839</v>
      </c>
      <c r="IJ5" s="592">
        <v>5458</v>
      </c>
      <c r="IK5" s="862">
        <v>4004</v>
      </c>
      <c r="IL5" s="862">
        <v>4392</v>
      </c>
      <c r="IM5" s="862">
        <v>4367</v>
      </c>
      <c r="IN5" s="862">
        <v>4463</v>
      </c>
      <c r="IO5" s="890">
        <v>3348</v>
      </c>
      <c r="IP5" s="890">
        <v>2682</v>
      </c>
      <c r="IQ5" s="890">
        <v>3368</v>
      </c>
      <c r="IR5" s="897">
        <v>3502</v>
      </c>
      <c r="IS5" s="897">
        <v>4395</v>
      </c>
      <c r="IT5" s="897">
        <v>4187</v>
      </c>
      <c r="IU5" s="906">
        <v>3580</v>
      </c>
      <c r="IW5" s="353" t="s">
        <v>131</v>
      </c>
      <c r="IX5" s="353">
        <v>3000</v>
      </c>
      <c r="IY5" s="353">
        <v>3160</v>
      </c>
      <c r="IZ5" s="353">
        <v>3774</v>
      </c>
      <c r="JA5" s="353">
        <v>3535</v>
      </c>
      <c r="JB5" s="353">
        <v>3924</v>
      </c>
      <c r="JC5" s="353">
        <v>3037</v>
      </c>
      <c r="JD5" s="353">
        <v>3393</v>
      </c>
      <c r="JE5" s="353">
        <v>2565</v>
      </c>
      <c r="JF5" s="353">
        <v>4864</v>
      </c>
      <c r="JG5" s="353">
        <v>5630</v>
      </c>
      <c r="JH5" s="353">
        <v>4325</v>
      </c>
      <c r="JI5" s="353">
        <v>2948</v>
      </c>
      <c r="JJ5" s="353">
        <v>4000</v>
      </c>
      <c r="JK5" s="353">
        <v>3956</v>
      </c>
      <c r="JL5" s="353">
        <v>3897</v>
      </c>
      <c r="JM5" s="353">
        <v>2470</v>
      </c>
      <c r="JN5" s="353">
        <v>2432</v>
      </c>
      <c r="JO5" s="353">
        <v>4083</v>
      </c>
      <c r="JP5" s="353">
        <v>4151</v>
      </c>
      <c r="JQ5" s="353">
        <v>3343</v>
      </c>
      <c r="JR5" s="353">
        <v>3510</v>
      </c>
      <c r="JS5" s="353">
        <v>3251</v>
      </c>
      <c r="JT5" s="353">
        <v>2629</v>
      </c>
      <c r="JU5" s="353">
        <v>2401</v>
      </c>
      <c r="JV5" s="353">
        <v>3479</v>
      </c>
      <c r="JW5" s="353">
        <v>3819</v>
      </c>
      <c r="JX5" s="353">
        <v>3449</v>
      </c>
      <c r="JY5" s="353">
        <v>3117</v>
      </c>
      <c r="JZ5" s="353">
        <v>3213</v>
      </c>
      <c r="KA5" s="353">
        <v>4133</v>
      </c>
      <c r="KB5" s="353">
        <v>3076</v>
      </c>
      <c r="KC5" s="353">
        <v>3035</v>
      </c>
      <c r="KD5" s="592">
        <v>3163</v>
      </c>
      <c r="KE5" s="592">
        <v>4414</v>
      </c>
      <c r="KF5" s="592">
        <v>3276</v>
      </c>
      <c r="KG5" s="353">
        <v>2630</v>
      </c>
      <c r="KH5" s="592">
        <v>3103</v>
      </c>
      <c r="KI5" s="592">
        <v>3516</v>
      </c>
      <c r="KJ5" s="592">
        <v>4648</v>
      </c>
      <c r="KK5" s="592">
        <v>3505</v>
      </c>
      <c r="KL5" s="592">
        <v>3919</v>
      </c>
      <c r="KM5" s="713">
        <v>3945</v>
      </c>
      <c r="KN5" s="592">
        <v>3580</v>
      </c>
      <c r="KO5" s="753">
        <v>4131</v>
      </c>
      <c r="KP5" s="753">
        <v>3082</v>
      </c>
      <c r="KQ5" s="775">
        <v>3785</v>
      </c>
      <c r="KR5" s="592">
        <v>3758</v>
      </c>
      <c r="KS5" s="828">
        <v>2839</v>
      </c>
      <c r="KT5" s="592">
        <v>5458</v>
      </c>
      <c r="KU5" s="592">
        <v>4004</v>
      </c>
      <c r="KV5" s="592">
        <v>4392</v>
      </c>
      <c r="KW5" s="592">
        <v>4367</v>
      </c>
      <c r="KX5" s="592">
        <v>4463</v>
      </c>
      <c r="KY5" s="890">
        <v>3348</v>
      </c>
      <c r="KZ5" s="592">
        <v>2682</v>
      </c>
      <c r="LA5" s="592">
        <v>3368</v>
      </c>
      <c r="LB5" s="897">
        <v>3502</v>
      </c>
      <c r="LC5" s="592">
        <v>4395</v>
      </c>
      <c r="LD5" s="592">
        <v>4187</v>
      </c>
      <c r="LE5" s="906">
        <v>3580</v>
      </c>
    </row>
    <row r="6" spans="1:317" ht="15" thickBot="1">
      <c r="A6" s="984" t="s">
        <v>84</v>
      </c>
      <c r="B6" s="969"/>
      <c r="C6" s="969"/>
      <c r="D6" s="969"/>
      <c r="E6" s="969"/>
      <c r="F6" s="969"/>
      <c r="G6" s="970"/>
      <c r="H6" s="551">
        <v>5491</v>
      </c>
      <c r="I6" s="551">
        <v>5395</v>
      </c>
      <c r="J6" s="551">
        <v>5236</v>
      </c>
      <c r="K6" s="552">
        <v>-2.9471733085999999E-2</v>
      </c>
      <c r="L6" s="552">
        <v>-4.6439628481999999E-2</v>
      </c>
      <c r="M6" s="551">
        <v>-255</v>
      </c>
      <c r="N6" s="553"/>
      <c r="O6" s="554"/>
      <c r="Q6" s="984" t="s">
        <v>84</v>
      </c>
      <c r="R6" s="969"/>
      <c r="S6" s="969"/>
      <c r="T6" s="969"/>
      <c r="U6" s="969"/>
      <c r="V6" s="969"/>
      <c r="W6" s="970"/>
      <c r="X6" s="551">
        <v>13379</v>
      </c>
      <c r="Y6" s="551">
        <v>13263</v>
      </c>
      <c r="Z6" s="551">
        <v>13096</v>
      </c>
      <c r="AA6" s="552">
        <v>-1.2591419739E-2</v>
      </c>
      <c r="AB6" s="552">
        <v>-2.1152552506999999E-2</v>
      </c>
      <c r="AC6" s="551">
        <v>-283</v>
      </c>
      <c r="AD6" s="553"/>
      <c r="AE6" s="554"/>
      <c r="AG6" s="984" t="s">
        <v>84</v>
      </c>
      <c r="AH6" s="969"/>
      <c r="AI6" s="969"/>
      <c r="AJ6" s="969"/>
      <c r="AK6" s="969"/>
      <c r="AL6" s="969"/>
      <c r="AM6" s="970"/>
      <c r="AN6" s="551">
        <v>71150</v>
      </c>
      <c r="AO6" s="551">
        <v>71698</v>
      </c>
      <c r="AP6" s="551">
        <v>72763</v>
      </c>
      <c r="AQ6" s="552">
        <v>1.4853970822E-2</v>
      </c>
      <c r="AR6" s="552">
        <v>2.2670414617E-2</v>
      </c>
      <c r="AS6" s="551">
        <v>1613</v>
      </c>
      <c r="AT6" s="553"/>
      <c r="AU6" s="554"/>
      <c r="AW6" s="984" t="s">
        <v>84</v>
      </c>
      <c r="AX6" s="969"/>
      <c r="AY6" s="969"/>
      <c r="AZ6" s="969"/>
      <c r="BA6" s="969"/>
      <c r="BB6" s="969"/>
      <c r="BC6" s="970"/>
      <c r="BD6" s="551">
        <v>19993</v>
      </c>
      <c r="BE6" s="551">
        <v>20123</v>
      </c>
      <c r="BF6" s="551">
        <v>18554</v>
      </c>
      <c r="BG6" s="552">
        <v>-7.7970481538E-2</v>
      </c>
      <c r="BH6" s="552">
        <v>-7.1975191315999998E-2</v>
      </c>
      <c r="BI6" s="551">
        <v>-1439</v>
      </c>
      <c r="BJ6" s="553"/>
      <c r="BK6" s="554"/>
      <c r="BM6" s="984" t="s">
        <v>84</v>
      </c>
      <c r="BN6" s="969"/>
      <c r="BO6" s="969"/>
      <c r="BP6" s="969"/>
      <c r="BQ6" s="969"/>
      <c r="BR6" s="969"/>
      <c r="BS6" s="970"/>
      <c r="BT6" s="551">
        <v>742</v>
      </c>
      <c r="BU6" s="551">
        <v>760</v>
      </c>
      <c r="BV6" s="551">
        <v>775</v>
      </c>
      <c r="BW6" s="552">
        <v>1.9736842104999999E-2</v>
      </c>
      <c r="BX6" s="552">
        <v>4.4474393530000003E-2</v>
      </c>
      <c r="BY6" s="551">
        <v>33</v>
      </c>
      <c r="BZ6" s="553"/>
      <c r="CA6" s="554"/>
      <c r="CC6" s="984" t="s">
        <v>84</v>
      </c>
      <c r="CD6" s="969"/>
      <c r="CE6" s="969"/>
      <c r="CF6" s="969"/>
      <c r="CG6" s="969"/>
      <c r="CH6" s="969"/>
      <c r="CI6" s="970"/>
      <c r="CJ6" s="551">
        <v>41107</v>
      </c>
      <c r="CK6" s="551">
        <v>40945</v>
      </c>
      <c r="CL6" s="551">
        <v>40818</v>
      </c>
      <c r="CM6" s="552">
        <v>-3.1017218210000002E-3</v>
      </c>
      <c r="CN6" s="552">
        <v>-7.0304327729999996E-3</v>
      </c>
      <c r="CO6" s="551">
        <v>-289</v>
      </c>
      <c r="CP6" s="553"/>
      <c r="CQ6" s="554"/>
      <c r="CS6" s="984" t="s">
        <v>84</v>
      </c>
      <c r="CT6" s="969"/>
      <c r="CU6" s="969"/>
      <c r="CV6" s="969"/>
      <c r="CW6" s="969"/>
      <c r="CX6" s="969"/>
      <c r="CY6" s="970"/>
      <c r="CZ6" s="551">
        <v>7605</v>
      </c>
      <c r="DA6" s="551">
        <v>7563</v>
      </c>
      <c r="DB6" s="551">
        <v>7546</v>
      </c>
      <c r="DC6" s="552">
        <v>-2.2477852700000002E-3</v>
      </c>
      <c r="DD6" s="552">
        <v>-7.7580539110000003E-3</v>
      </c>
      <c r="DE6" s="551">
        <v>-59</v>
      </c>
      <c r="DF6" s="553"/>
      <c r="DG6" s="554"/>
      <c r="DI6" s="984" t="s">
        <v>84</v>
      </c>
      <c r="DJ6" s="969"/>
      <c r="DK6" s="969"/>
      <c r="DL6" s="969"/>
      <c r="DM6" s="969"/>
      <c r="DN6" s="969"/>
      <c r="DO6" s="970"/>
      <c r="DP6" s="551">
        <v>17821</v>
      </c>
      <c r="DQ6" s="551">
        <v>17087</v>
      </c>
      <c r="DR6" s="551">
        <v>17485</v>
      </c>
      <c r="DS6" s="552">
        <v>2.3292561595999999E-2</v>
      </c>
      <c r="DT6" s="552">
        <v>-1.8854160820999999E-2</v>
      </c>
      <c r="DU6" s="551">
        <v>-336</v>
      </c>
      <c r="DV6" s="553"/>
      <c r="DW6" s="554"/>
      <c r="DY6" s="984" t="s">
        <v>84</v>
      </c>
      <c r="DZ6" s="969"/>
      <c r="EA6" s="969"/>
      <c r="EB6" s="969"/>
      <c r="EC6" s="969"/>
      <c r="ED6" s="969"/>
      <c r="EE6" s="970"/>
      <c r="EF6" s="551">
        <v>1320</v>
      </c>
      <c r="EG6" s="551">
        <v>1317</v>
      </c>
      <c r="EH6" s="551">
        <v>1329</v>
      </c>
      <c r="EI6" s="552">
        <v>9.1116173119999994E-3</v>
      </c>
      <c r="EJ6" s="552">
        <v>6.8181818179999997E-3</v>
      </c>
      <c r="EK6" s="551">
        <v>9</v>
      </c>
      <c r="EL6" s="553"/>
      <c r="EM6" s="554"/>
      <c r="EO6" s="984" t="s">
        <v>84</v>
      </c>
      <c r="EP6" s="969"/>
      <c r="EQ6" s="969"/>
      <c r="ER6" s="969"/>
      <c r="ES6" s="969"/>
      <c r="ET6" s="969"/>
      <c r="EU6" s="970"/>
      <c r="EV6" s="551">
        <v>34997</v>
      </c>
      <c r="EW6" s="551">
        <v>34510</v>
      </c>
      <c r="EX6" s="551">
        <v>34326</v>
      </c>
      <c r="EY6" s="552">
        <v>-5.3317878869999996E-3</v>
      </c>
      <c r="EZ6" s="552">
        <v>-1.9173071977000002E-2</v>
      </c>
      <c r="FA6" s="551">
        <v>-671</v>
      </c>
      <c r="FB6" s="553"/>
      <c r="FC6" s="554"/>
      <c r="FE6" s="984" t="s">
        <v>84</v>
      </c>
      <c r="FF6" s="969"/>
      <c r="FG6" s="969"/>
      <c r="FH6" s="969"/>
      <c r="FI6" s="969"/>
      <c r="FJ6" s="969"/>
      <c r="FK6" s="970"/>
      <c r="FL6" s="551">
        <v>1541</v>
      </c>
      <c r="FM6" s="551">
        <v>1513</v>
      </c>
      <c r="FN6" s="551">
        <v>1501</v>
      </c>
      <c r="FO6" s="552">
        <v>-7.9312623919999999E-3</v>
      </c>
      <c r="FP6" s="552">
        <v>-2.5957170668000001E-2</v>
      </c>
      <c r="FQ6" s="551">
        <v>-40</v>
      </c>
      <c r="FR6" s="553"/>
      <c r="FS6" s="554"/>
      <c r="FY6" s="353">
        <v>4</v>
      </c>
      <c r="FZ6" s="353" t="s">
        <v>132</v>
      </c>
      <c r="GA6" s="354">
        <v>119196</v>
      </c>
      <c r="GB6" s="752">
        <v>139065</v>
      </c>
      <c r="GC6" s="336">
        <f t="shared" si="1"/>
        <v>0.16669183529648657</v>
      </c>
      <c r="GE6" s="353">
        <v>4</v>
      </c>
      <c r="GF6" s="353" t="s">
        <v>132</v>
      </c>
      <c r="GG6" s="354">
        <v>152641</v>
      </c>
      <c r="GH6" s="752">
        <v>148787</v>
      </c>
      <c r="GI6" s="543">
        <f t="shared" si="0"/>
        <v>-2.5248786368013865E-2</v>
      </c>
      <c r="GL6" s="353">
        <v>4</v>
      </c>
      <c r="GM6" s="353" t="s">
        <v>132</v>
      </c>
      <c r="GN6" s="353">
        <v>1659</v>
      </c>
      <c r="GO6" s="353">
        <v>1535</v>
      </c>
      <c r="GP6" s="353">
        <v>1806</v>
      </c>
      <c r="GQ6" s="353">
        <v>1923</v>
      </c>
      <c r="GR6" s="353">
        <v>1879</v>
      </c>
      <c r="GS6" s="353">
        <v>2559</v>
      </c>
      <c r="GT6" s="353">
        <v>1964</v>
      </c>
      <c r="GU6" s="353">
        <v>1765</v>
      </c>
      <c r="GV6" s="353">
        <v>2018</v>
      </c>
      <c r="GW6" s="353">
        <v>2011</v>
      </c>
      <c r="GX6" s="353">
        <v>1925</v>
      </c>
      <c r="GY6" s="353">
        <v>1424</v>
      </c>
      <c r="GZ6" s="353">
        <v>1848</v>
      </c>
      <c r="HA6" s="353">
        <v>1672</v>
      </c>
      <c r="HB6" s="353">
        <v>2364</v>
      </c>
      <c r="HC6" s="353">
        <v>1546</v>
      </c>
      <c r="HD6" s="353">
        <v>948</v>
      </c>
      <c r="HE6" s="353">
        <v>964</v>
      </c>
      <c r="HF6" s="353">
        <v>1091</v>
      </c>
      <c r="HG6" s="353">
        <v>957</v>
      </c>
      <c r="HH6" s="353">
        <v>1184</v>
      </c>
      <c r="HI6" s="353">
        <v>1261</v>
      </c>
      <c r="HJ6" s="353">
        <v>1115</v>
      </c>
      <c r="HK6" s="353">
        <v>889</v>
      </c>
      <c r="HL6" s="353">
        <v>1196</v>
      </c>
      <c r="HM6" s="353">
        <v>1244</v>
      </c>
      <c r="HN6" s="353">
        <v>1557</v>
      </c>
      <c r="HO6" s="353">
        <v>1605</v>
      </c>
      <c r="HP6" s="353">
        <v>1408</v>
      </c>
      <c r="HQ6" s="353">
        <v>1827</v>
      </c>
      <c r="HR6" s="353">
        <v>1580</v>
      </c>
      <c r="HS6" s="353">
        <v>1814</v>
      </c>
      <c r="HT6" s="353">
        <v>1788</v>
      </c>
      <c r="HU6" s="353">
        <v>1906</v>
      </c>
      <c r="HV6" s="353">
        <v>2204</v>
      </c>
      <c r="HW6" s="353">
        <v>1624</v>
      </c>
      <c r="HX6" s="592">
        <v>1516</v>
      </c>
      <c r="HY6" s="592">
        <v>1475</v>
      </c>
      <c r="HZ6" s="592">
        <v>1849</v>
      </c>
      <c r="IA6" s="592">
        <v>1734</v>
      </c>
      <c r="IB6" s="592">
        <v>1758</v>
      </c>
      <c r="IC6" s="592">
        <v>1880</v>
      </c>
      <c r="ID6" s="742">
        <v>1318</v>
      </c>
      <c r="IE6" s="753">
        <v>1369</v>
      </c>
      <c r="IF6" s="753">
        <v>1483</v>
      </c>
      <c r="IG6" s="775">
        <v>1740</v>
      </c>
      <c r="IH6" s="742">
        <v>2582</v>
      </c>
      <c r="II6" s="742">
        <v>1110</v>
      </c>
      <c r="IJ6" s="592">
        <v>1628</v>
      </c>
      <c r="IK6" s="862">
        <v>1653</v>
      </c>
      <c r="IL6" s="862">
        <v>2173</v>
      </c>
      <c r="IM6" s="862">
        <v>1710</v>
      </c>
      <c r="IN6" s="862">
        <v>1697</v>
      </c>
      <c r="IO6" s="890">
        <v>1684</v>
      </c>
      <c r="IP6" s="890">
        <v>1406</v>
      </c>
      <c r="IQ6" s="890">
        <v>1505</v>
      </c>
      <c r="IR6" s="897">
        <v>1420</v>
      </c>
      <c r="IS6" s="897">
        <v>1444</v>
      </c>
      <c r="IT6" s="897">
        <v>1403</v>
      </c>
      <c r="IU6" s="906">
        <v>1318</v>
      </c>
      <c r="IW6" s="353" t="s">
        <v>132</v>
      </c>
      <c r="IX6" s="353">
        <v>1659</v>
      </c>
      <c r="IY6" s="353">
        <v>1535</v>
      </c>
      <c r="IZ6" s="353">
        <v>1806</v>
      </c>
      <c r="JA6" s="353">
        <v>1923</v>
      </c>
      <c r="JB6" s="353">
        <v>1879</v>
      </c>
      <c r="JC6" s="353">
        <v>2559</v>
      </c>
      <c r="JD6" s="353">
        <v>1964</v>
      </c>
      <c r="JE6" s="353">
        <v>1765</v>
      </c>
      <c r="JF6" s="353">
        <v>2018</v>
      </c>
      <c r="JG6" s="353">
        <v>2011</v>
      </c>
      <c r="JH6" s="353">
        <v>1925</v>
      </c>
      <c r="JI6" s="353">
        <v>1424</v>
      </c>
      <c r="JJ6" s="353">
        <v>1848</v>
      </c>
      <c r="JK6" s="353">
        <v>1672</v>
      </c>
      <c r="JL6" s="353">
        <v>2364</v>
      </c>
      <c r="JM6" s="353">
        <v>1546</v>
      </c>
      <c r="JN6" s="353">
        <v>948</v>
      </c>
      <c r="JO6" s="353">
        <v>964</v>
      </c>
      <c r="JP6" s="353">
        <v>1091</v>
      </c>
      <c r="JQ6" s="353">
        <v>957</v>
      </c>
      <c r="JR6" s="353">
        <v>1184</v>
      </c>
      <c r="JS6" s="353">
        <v>1261</v>
      </c>
      <c r="JT6" s="353">
        <v>1115</v>
      </c>
      <c r="JU6" s="353">
        <v>889</v>
      </c>
      <c r="JV6" s="353">
        <v>1196</v>
      </c>
      <c r="JW6" s="353">
        <v>1244</v>
      </c>
      <c r="JX6" s="353">
        <v>1557</v>
      </c>
      <c r="JY6" s="353">
        <v>1605</v>
      </c>
      <c r="JZ6" s="353">
        <v>1408</v>
      </c>
      <c r="KA6" s="353">
        <v>1827</v>
      </c>
      <c r="KB6" s="353">
        <v>1580</v>
      </c>
      <c r="KC6" s="353">
        <v>1814</v>
      </c>
      <c r="KD6" s="592">
        <v>1788</v>
      </c>
      <c r="KE6" s="592">
        <v>1906</v>
      </c>
      <c r="KF6" s="592">
        <v>2204</v>
      </c>
      <c r="KG6" s="353">
        <v>1624</v>
      </c>
      <c r="KH6" s="592">
        <v>1516</v>
      </c>
      <c r="KI6" s="592">
        <v>1475</v>
      </c>
      <c r="KJ6" s="592">
        <v>1849</v>
      </c>
      <c r="KK6" s="592">
        <v>1734</v>
      </c>
      <c r="KL6" s="592">
        <v>1758</v>
      </c>
      <c r="KM6" s="713">
        <v>1880</v>
      </c>
      <c r="KN6" s="592">
        <v>1318</v>
      </c>
      <c r="KO6" s="753">
        <v>1369</v>
      </c>
      <c r="KP6" s="753">
        <v>1483</v>
      </c>
      <c r="KQ6" s="775">
        <v>1740</v>
      </c>
      <c r="KR6" s="592">
        <v>2582</v>
      </c>
      <c r="KS6" s="828">
        <v>1110</v>
      </c>
      <c r="KT6" s="592">
        <v>1628</v>
      </c>
      <c r="KU6" s="592">
        <v>1653</v>
      </c>
      <c r="KV6" s="592">
        <v>2173</v>
      </c>
      <c r="KW6" s="592">
        <v>1710</v>
      </c>
      <c r="KX6" s="592">
        <v>1697</v>
      </c>
      <c r="KY6" s="890">
        <v>1684</v>
      </c>
      <c r="KZ6" s="592">
        <v>1406</v>
      </c>
      <c r="LA6" s="592">
        <v>1505</v>
      </c>
      <c r="LB6" s="897">
        <v>1420</v>
      </c>
      <c r="LC6" s="592">
        <v>1444</v>
      </c>
      <c r="LD6" s="592">
        <v>1403</v>
      </c>
      <c r="LE6" s="906">
        <v>1318</v>
      </c>
    </row>
    <row r="7" spans="1:317" ht="15" thickBot="1">
      <c r="A7" s="990" t="s">
        <v>85</v>
      </c>
      <c r="B7" s="969"/>
      <c r="C7" s="969"/>
      <c r="D7" s="969"/>
      <c r="E7" s="969"/>
      <c r="F7" s="969"/>
      <c r="G7" s="970"/>
      <c r="H7" s="555">
        <v>3732</v>
      </c>
      <c r="I7" s="555">
        <v>3676</v>
      </c>
      <c r="J7" s="555">
        <v>3669</v>
      </c>
      <c r="K7" s="556">
        <v>-1.904243743E-3</v>
      </c>
      <c r="L7" s="556">
        <v>-1.6881028938E-2</v>
      </c>
      <c r="M7" s="555">
        <v>-63</v>
      </c>
      <c r="N7" s="553"/>
      <c r="O7" s="554"/>
      <c r="Q7" s="990" t="s">
        <v>85</v>
      </c>
      <c r="R7" s="969"/>
      <c r="S7" s="969"/>
      <c r="T7" s="969"/>
      <c r="U7" s="969"/>
      <c r="V7" s="969"/>
      <c r="W7" s="970"/>
      <c r="X7" s="555">
        <v>6005</v>
      </c>
      <c r="Y7" s="555">
        <v>6049</v>
      </c>
      <c r="Z7" s="555">
        <v>6076</v>
      </c>
      <c r="AA7" s="556">
        <v>4.4635476930000003E-3</v>
      </c>
      <c r="AB7" s="556">
        <v>1.1823480432000001E-2</v>
      </c>
      <c r="AC7" s="555">
        <v>71</v>
      </c>
      <c r="AD7" s="553"/>
      <c r="AE7" s="554"/>
      <c r="AG7" s="990" t="s">
        <v>125</v>
      </c>
      <c r="AH7" s="969"/>
      <c r="AI7" s="969"/>
      <c r="AJ7" s="969"/>
      <c r="AK7" s="969"/>
      <c r="AL7" s="969"/>
      <c r="AM7" s="970"/>
      <c r="AN7" s="555">
        <v>30</v>
      </c>
      <c r="AO7" s="555">
        <v>34</v>
      </c>
      <c r="AP7" s="555">
        <v>40</v>
      </c>
      <c r="AQ7" s="556">
        <v>0.176470588235</v>
      </c>
      <c r="AR7" s="556">
        <v>0.33333333333300003</v>
      </c>
      <c r="AS7" s="555">
        <v>10</v>
      </c>
      <c r="AT7" s="553"/>
      <c r="AU7" s="554"/>
      <c r="AW7" s="990" t="s">
        <v>85</v>
      </c>
      <c r="AX7" s="969"/>
      <c r="AY7" s="969"/>
      <c r="AZ7" s="969"/>
      <c r="BA7" s="969"/>
      <c r="BB7" s="969"/>
      <c r="BC7" s="970"/>
      <c r="BD7" s="555">
        <v>32022</v>
      </c>
      <c r="BE7" s="555">
        <v>32282</v>
      </c>
      <c r="BF7" s="555">
        <v>31417</v>
      </c>
      <c r="BG7" s="556">
        <v>-2.6795118021999999E-2</v>
      </c>
      <c r="BH7" s="556">
        <v>-1.8893260883000002E-2</v>
      </c>
      <c r="BI7" s="555">
        <v>-605</v>
      </c>
      <c r="BJ7" s="553"/>
      <c r="BK7" s="554"/>
      <c r="BM7" s="990" t="s">
        <v>85</v>
      </c>
      <c r="BN7" s="969"/>
      <c r="BO7" s="969"/>
      <c r="BP7" s="969"/>
      <c r="BQ7" s="969"/>
      <c r="BR7" s="969"/>
      <c r="BS7" s="970"/>
      <c r="BT7" s="555">
        <v>8445</v>
      </c>
      <c r="BU7" s="555">
        <v>8400</v>
      </c>
      <c r="BV7" s="555">
        <v>8512</v>
      </c>
      <c r="BW7" s="556">
        <v>1.3333333333E-2</v>
      </c>
      <c r="BX7" s="556">
        <v>7.9336885729999994E-3</v>
      </c>
      <c r="BY7" s="555">
        <v>67</v>
      </c>
      <c r="BZ7" s="553"/>
      <c r="CA7" s="554"/>
      <c r="CC7" s="990" t="s">
        <v>85</v>
      </c>
      <c r="CD7" s="969"/>
      <c r="CE7" s="969"/>
      <c r="CF7" s="969"/>
      <c r="CG7" s="969"/>
      <c r="CH7" s="969"/>
      <c r="CI7" s="970"/>
      <c r="CJ7" s="555">
        <v>22086</v>
      </c>
      <c r="CK7" s="555">
        <v>22138</v>
      </c>
      <c r="CL7" s="555">
        <v>22382</v>
      </c>
      <c r="CM7" s="556">
        <v>1.1021772516999999E-2</v>
      </c>
      <c r="CN7" s="556">
        <v>1.3402155210999999E-2</v>
      </c>
      <c r="CO7" s="555">
        <v>296</v>
      </c>
      <c r="CP7" s="553"/>
      <c r="CQ7" s="554"/>
      <c r="CS7" s="990" t="s">
        <v>85</v>
      </c>
      <c r="CT7" s="969"/>
      <c r="CU7" s="969"/>
      <c r="CV7" s="969"/>
      <c r="CW7" s="969"/>
      <c r="CX7" s="969"/>
      <c r="CY7" s="970"/>
      <c r="CZ7" s="555">
        <v>11321</v>
      </c>
      <c r="DA7" s="555">
        <v>11310</v>
      </c>
      <c r="DB7" s="555">
        <v>11202</v>
      </c>
      <c r="DC7" s="556">
        <v>-9.5490716179999994E-3</v>
      </c>
      <c r="DD7" s="556">
        <v>-1.0511438918E-2</v>
      </c>
      <c r="DE7" s="555">
        <v>-119</v>
      </c>
      <c r="DF7" s="553"/>
      <c r="DG7" s="554"/>
      <c r="DI7" s="990" t="s">
        <v>85</v>
      </c>
      <c r="DJ7" s="969"/>
      <c r="DK7" s="969"/>
      <c r="DL7" s="969"/>
      <c r="DM7" s="969"/>
      <c r="DN7" s="969"/>
      <c r="DO7" s="970"/>
      <c r="DP7" s="555">
        <v>33832</v>
      </c>
      <c r="DQ7" s="555">
        <v>33729</v>
      </c>
      <c r="DR7" s="555">
        <v>33558</v>
      </c>
      <c r="DS7" s="556">
        <v>-5.0698212220000004E-3</v>
      </c>
      <c r="DT7" s="556">
        <v>-8.0988413329999998E-3</v>
      </c>
      <c r="DU7" s="555">
        <v>-274</v>
      </c>
      <c r="DV7" s="553"/>
      <c r="DW7" s="554"/>
      <c r="DY7" s="990" t="s">
        <v>85</v>
      </c>
      <c r="DZ7" s="969"/>
      <c r="EA7" s="969"/>
      <c r="EB7" s="969"/>
      <c r="EC7" s="969"/>
      <c r="ED7" s="969"/>
      <c r="EE7" s="970"/>
      <c r="EF7" s="555">
        <v>3707</v>
      </c>
      <c r="EG7" s="555">
        <v>3580</v>
      </c>
      <c r="EH7" s="555">
        <v>3539</v>
      </c>
      <c r="EI7" s="556">
        <v>-1.1452513966E-2</v>
      </c>
      <c r="EJ7" s="556">
        <v>-4.5319665496999999E-2</v>
      </c>
      <c r="EK7" s="555">
        <v>-168</v>
      </c>
      <c r="EL7" s="553"/>
      <c r="EM7" s="554"/>
      <c r="EO7" s="990" t="s">
        <v>85</v>
      </c>
      <c r="EP7" s="969"/>
      <c r="EQ7" s="969"/>
      <c r="ER7" s="969"/>
      <c r="ES7" s="969"/>
      <c r="ET7" s="969"/>
      <c r="EU7" s="970"/>
      <c r="EV7" s="555">
        <v>16423</v>
      </c>
      <c r="EW7" s="555">
        <v>16215</v>
      </c>
      <c r="EX7" s="555">
        <v>16166</v>
      </c>
      <c r="EY7" s="556">
        <v>-3.021893308E-3</v>
      </c>
      <c r="EZ7" s="556">
        <v>-1.5648785240000001E-2</v>
      </c>
      <c r="FA7" s="555">
        <v>-257</v>
      </c>
      <c r="FB7" s="553"/>
      <c r="FC7" s="554"/>
      <c r="FE7" s="990" t="s">
        <v>85</v>
      </c>
      <c r="FF7" s="969"/>
      <c r="FG7" s="969"/>
      <c r="FH7" s="969"/>
      <c r="FI7" s="969"/>
      <c r="FJ7" s="969"/>
      <c r="FK7" s="970"/>
      <c r="FL7" s="555">
        <v>6467</v>
      </c>
      <c r="FM7" s="555">
        <v>6545</v>
      </c>
      <c r="FN7" s="555">
        <v>6646</v>
      </c>
      <c r="FO7" s="556">
        <v>1.5431627196000001E-2</v>
      </c>
      <c r="FP7" s="556">
        <v>2.7678985619E-2</v>
      </c>
      <c r="FQ7" s="555">
        <v>179</v>
      </c>
      <c r="FR7" s="553"/>
      <c r="FS7" s="554"/>
      <c r="FY7" s="353">
        <v>5</v>
      </c>
      <c r="FZ7" s="353" t="s">
        <v>135</v>
      </c>
      <c r="GA7" s="354">
        <v>13437</v>
      </c>
      <c r="GB7" s="752">
        <v>14992</v>
      </c>
      <c r="GC7" s="336">
        <f t="shared" si="1"/>
        <v>0.1157252362878618</v>
      </c>
      <c r="GE7" s="353">
        <v>5</v>
      </c>
      <c r="GF7" s="353" t="s">
        <v>135</v>
      </c>
      <c r="GG7" s="354">
        <v>17974</v>
      </c>
      <c r="GH7" s="752">
        <v>20130</v>
      </c>
      <c r="GI7" s="543">
        <f t="shared" si="0"/>
        <v>0.11995104039167681</v>
      </c>
      <c r="GL7" s="353">
        <v>5</v>
      </c>
      <c r="GM7" s="353" t="s">
        <v>135</v>
      </c>
      <c r="GN7" s="353">
        <v>258</v>
      </c>
      <c r="GO7" s="353">
        <v>232</v>
      </c>
      <c r="GP7" s="353">
        <v>303</v>
      </c>
      <c r="GQ7" s="353">
        <v>304</v>
      </c>
      <c r="GR7" s="353">
        <v>412</v>
      </c>
      <c r="GS7" s="353">
        <v>417</v>
      </c>
      <c r="GT7" s="353">
        <v>551</v>
      </c>
      <c r="GU7" s="353">
        <v>692</v>
      </c>
      <c r="GV7" s="353">
        <v>655</v>
      </c>
      <c r="GW7" s="353">
        <v>620</v>
      </c>
      <c r="GX7" s="353">
        <v>499</v>
      </c>
      <c r="GY7" s="353">
        <v>515</v>
      </c>
      <c r="GZ7" s="353">
        <v>565</v>
      </c>
      <c r="HA7" s="353">
        <v>443</v>
      </c>
      <c r="HB7" s="353">
        <v>412</v>
      </c>
      <c r="HC7" s="353">
        <v>46</v>
      </c>
      <c r="HD7" s="353">
        <v>84</v>
      </c>
      <c r="HE7" s="353">
        <v>229</v>
      </c>
      <c r="HF7" s="353">
        <v>349</v>
      </c>
      <c r="HG7" s="353">
        <v>367</v>
      </c>
      <c r="HH7" s="353">
        <v>496</v>
      </c>
      <c r="HI7" s="353">
        <v>363</v>
      </c>
      <c r="HJ7" s="353">
        <v>387</v>
      </c>
      <c r="HK7" s="353">
        <v>249</v>
      </c>
      <c r="HL7" s="353">
        <v>359</v>
      </c>
      <c r="HM7" s="353">
        <v>402</v>
      </c>
      <c r="HN7" s="353">
        <v>432</v>
      </c>
      <c r="HO7" s="353">
        <v>373</v>
      </c>
      <c r="HP7" s="353">
        <v>377</v>
      </c>
      <c r="HQ7" s="353">
        <v>448</v>
      </c>
      <c r="HR7" s="353">
        <v>515</v>
      </c>
      <c r="HS7" s="353">
        <v>464</v>
      </c>
      <c r="HT7" s="353">
        <v>461</v>
      </c>
      <c r="HU7" s="353">
        <v>338</v>
      </c>
      <c r="HV7" s="353">
        <v>419</v>
      </c>
      <c r="HW7" s="353">
        <v>377</v>
      </c>
      <c r="HX7" s="592">
        <v>428</v>
      </c>
      <c r="HY7" s="592">
        <v>432</v>
      </c>
      <c r="HZ7" s="592">
        <v>563</v>
      </c>
      <c r="IA7" s="592">
        <v>597</v>
      </c>
      <c r="IB7" s="592">
        <v>675</v>
      </c>
      <c r="IC7" s="592">
        <v>514</v>
      </c>
      <c r="ID7" s="742">
        <v>541</v>
      </c>
      <c r="IE7" s="753">
        <v>477</v>
      </c>
      <c r="IF7" s="753">
        <v>485</v>
      </c>
      <c r="IG7" s="775">
        <v>354</v>
      </c>
      <c r="IH7" s="742">
        <v>410</v>
      </c>
      <c r="II7" s="742">
        <v>382</v>
      </c>
      <c r="IJ7" s="592">
        <v>471</v>
      </c>
      <c r="IK7" s="862">
        <v>395</v>
      </c>
      <c r="IL7" s="862">
        <v>479</v>
      </c>
      <c r="IM7" s="862">
        <v>356</v>
      </c>
      <c r="IN7" s="862">
        <v>537</v>
      </c>
      <c r="IO7" s="890">
        <v>433</v>
      </c>
      <c r="IP7" s="890">
        <v>268</v>
      </c>
      <c r="IQ7" s="890">
        <v>227</v>
      </c>
      <c r="IR7" s="897">
        <v>193</v>
      </c>
      <c r="IS7" s="897">
        <v>151</v>
      </c>
      <c r="IT7" s="897">
        <v>106</v>
      </c>
      <c r="IU7" s="906">
        <v>0</v>
      </c>
      <c r="IW7" s="353" t="s">
        <v>135</v>
      </c>
      <c r="IX7" s="353">
        <v>258</v>
      </c>
      <c r="IY7" s="353">
        <v>232</v>
      </c>
      <c r="IZ7" s="353">
        <v>303</v>
      </c>
      <c r="JA7" s="353">
        <v>304</v>
      </c>
      <c r="JB7" s="353">
        <v>412</v>
      </c>
      <c r="JC7" s="353">
        <v>417</v>
      </c>
      <c r="JD7" s="353">
        <v>551</v>
      </c>
      <c r="JE7" s="353">
        <v>692</v>
      </c>
      <c r="JF7" s="353">
        <v>655</v>
      </c>
      <c r="JG7" s="353">
        <v>620</v>
      </c>
      <c r="JH7" s="353">
        <v>499</v>
      </c>
      <c r="JI7" s="353">
        <v>515</v>
      </c>
      <c r="JJ7" s="353">
        <v>565</v>
      </c>
      <c r="JK7" s="353">
        <v>443</v>
      </c>
      <c r="JL7" s="353">
        <v>412</v>
      </c>
      <c r="JM7" s="353">
        <v>46</v>
      </c>
      <c r="JN7" s="353">
        <v>84</v>
      </c>
      <c r="JO7" s="353">
        <v>229</v>
      </c>
      <c r="JP7" s="353">
        <v>349</v>
      </c>
      <c r="JQ7" s="353">
        <v>367</v>
      </c>
      <c r="JR7" s="353">
        <v>496</v>
      </c>
      <c r="JS7" s="353">
        <v>363</v>
      </c>
      <c r="JT7" s="353">
        <v>387</v>
      </c>
      <c r="JU7" s="353">
        <v>249</v>
      </c>
      <c r="JV7" s="353">
        <v>359</v>
      </c>
      <c r="JW7" s="353">
        <v>402</v>
      </c>
      <c r="JX7" s="353">
        <v>432</v>
      </c>
      <c r="JY7" s="353">
        <v>373</v>
      </c>
      <c r="JZ7" s="353">
        <v>377</v>
      </c>
      <c r="KA7" s="353">
        <v>448</v>
      </c>
      <c r="KB7" s="353">
        <v>515</v>
      </c>
      <c r="KC7" s="353">
        <v>464</v>
      </c>
      <c r="KD7" s="592">
        <v>461</v>
      </c>
      <c r="KE7" s="592">
        <v>338</v>
      </c>
      <c r="KF7" s="592">
        <v>419</v>
      </c>
      <c r="KG7" s="353">
        <v>377</v>
      </c>
      <c r="KH7" s="592">
        <v>428</v>
      </c>
      <c r="KI7" s="592">
        <v>432</v>
      </c>
      <c r="KJ7" s="592">
        <v>563</v>
      </c>
      <c r="KK7" s="592">
        <v>597</v>
      </c>
      <c r="KL7" s="592">
        <v>675</v>
      </c>
      <c r="KM7" s="713">
        <v>514</v>
      </c>
      <c r="KN7" s="592">
        <v>541</v>
      </c>
      <c r="KO7" s="753">
        <v>477</v>
      </c>
      <c r="KP7" s="753">
        <v>485</v>
      </c>
      <c r="KQ7" s="775">
        <v>354</v>
      </c>
      <c r="KR7" s="592">
        <v>410</v>
      </c>
      <c r="KS7" s="828">
        <v>382</v>
      </c>
      <c r="KT7" s="592">
        <v>471</v>
      </c>
      <c r="KU7" s="592">
        <v>395</v>
      </c>
      <c r="KV7" s="592">
        <v>479</v>
      </c>
      <c r="KW7" s="592">
        <v>356</v>
      </c>
      <c r="KX7" s="592">
        <v>537</v>
      </c>
      <c r="KY7" s="890">
        <v>433</v>
      </c>
      <c r="KZ7" s="592">
        <v>268</v>
      </c>
      <c r="LA7" s="592">
        <v>227</v>
      </c>
      <c r="LB7" s="897">
        <v>193</v>
      </c>
      <c r="LC7" s="592">
        <v>151</v>
      </c>
      <c r="LD7" s="592">
        <v>106</v>
      </c>
      <c r="LE7" s="906">
        <v>93</v>
      </c>
    </row>
    <row r="8" spans="1:317" ht="15" thickBot="1">
      <c r="A8" s="990" t="s">
        <v>86</v>
      </c>
      <c r="B8" s="969"/>
      <c r="C8" s="969"/>
      <c r="D8" s="969"/>
      <c r="E8" s="969"/>
      <c r="F8" s="969"/>
      <c r="G8" s="970"/>
      <c r="H8" s="555">
        <v>21278</v>
      </c>
      <c r="I8" s="555">
        <v>20721</v>
      </c>
      <c r="J8" s="555">
        <v>20429</v>
      </c>
      <c r="K8" s="556">
        <v>-1.4091983977000001E-2</v>
      </c>
      <c r="L8" s="556">
        <v>-3.9900366574999999E-2</v>
      </c>
      <c r="M8" s="555">
        <v>-849</v>
      </c>
      <c r="N8" s="553"/>
      <c r="O8" s="554"/>
      <c r="Q8" s="990" t="s">
        <v>86</v>
      </c>
      <c r="R8" s="969"/>
      <c r="S8" s="969"/>
      <c r="T8" s="969"/>
      <c r="U8" s="969"/>
      <c r="V8" s="969"/>
      <c r="W8" s="970"/>
      <c r="X8" s="555">
        <v>63529</v>
      </c>
      <c r="Y8" s="555">
        <v>63973</v>
      </c>
      <c r="Z8" s="555">
        <v>63874</v>
      </c>
      <c r="AA8" s="556">
        <v>-1.547527863E-3</v>
      </c>
      <c r="AB8" s="556">
        <v>5.4305907529999999E-3</v>
      </c>
      <c r="AC8" s="555">
        <v>345</v>
      </c>
      <c r="AD8" s="553"/>
      <c r="AE8" s="554"/>
      <c r="AG8" s="990" t="s">
        <v>85</v>
      </c>
      <c r="AH8" s="969"/>
      <c r="AI8" s="969"/>
      <c r="AJ8" s="969"/>
      <c r="AK8" s="969"/>
      <c r="AL8" s="969"/>
      <c r="AM8" s="970"/>
      <c r="AN8" s="555">
        <v>31810</v>
      </c>
      <c r="AO8" s="555">
        <v>32025</v>
      </c>
      <c r="AP8" s="555">
        <v>62679</v>
      </c>
      <c r="AQ8" s="556">
        <v>0.95718969555</v>
      </c>
      <c r="AR8" s="556">
        <v>0.97041810751299995</v>
      </c>
      <c r="AS8" s="555">
        <v>30869</v>
      </c>
      <c r="AT8" s="553"/>
      <c r="AU8" s="554"/>
      <c r="AW8" s="990" t="s">
        <v>86</v>
      </c>
      <c r="AX8" s="969"/>
      <c r="AY8" s="969"/>
      <c r="AZ8" s="969"/>
      <c r="BA8" s="969"/>
      <c r="BB8" s="969"/>
      <c r="BC8" s="970"/>
      <c r="BD8" s="555">
        <v>134565</v>
      </c>
      <c r="BE8" s="555">
        <v>134028</v>
      </c>
      <c r="BF8" s="555">
        <v>127326</v>
      </c>
      <c r="BG8" s="556">
        <v>-5.0004476675999998E-2</v>
      </c>
      <c r="BH8" s="556">
        <v>-5.3795563482E-2</v>
      </c>
      <c r="BI8" s="555">
        <v>-7239</v>
      </c>
      <c r="BJ8" s="553"/>
      <c r="BK8" s="554"/>
      <c r="BM8" s="990" t="s">
        <v>86</v>
      </c>
      <c r="BN8" s="969"/>
      <c r="BO8" s="969"/>
      <c r="BP8" s="969"/>
      <c r="BQ8" s="969"/>
      <c r="BR8" s="969"/>
      <c r="BS8" s="970"/>
      <c r="BT8" s="555">
        <v>4957</v>
      </c>
      <c r="BU8" s="555">
        <v>4981</v>
      </c>
      <c r="BV8" s="555">
        <v>5024</v>
      </c>
      <c r="BW8" s="556">
        <v>8.6328046570000004E-3</v>
      </c>
      <c r="BX8" s="556">
        <v>1.3516239661000001E-2</v>
      </c>
      <c r="BY8" s="555">
        <v>67</v>
      </c>
      <c r="BZ8" s="553"/>
      <c r="CA8" s="554"/>
      <c r="CC8" s="990" t="s">
        <v>86</v>
      </c>
      <c r="CD8" s="969"/>
      <c r="CE8" s="969"/>
      <c r="CF8" s="969"/>
      <c r="CG8" s="969"/>
      <c r="CH8" s="969"/>
      <c r="CI8" s="970"/>
      <c r="CJ8" s="555">
        <v>125741</v>
      </c>
      <c r="CK8" s="555">
        <v>125625</v>
      </c>
      <c r="CL8" s="555">
        <v>125182</v>
      </c>
      <c r="CM8" s="556">
        <v>-3.526368159E-3</v>
      </c>
      <c r="CN8" s="556">
        <v>-4.4456462089999997E-3</v>
      </c>
      <c r="CO8" s="555">
        <v>-559</v>
      </c>
      <c r="CP8" s="553"/>
      <c r="CQ8" s="554"/>
      <c r="CS8" s="990" t="s">
        <v>86</v>
      </c>
      <c r="CT8" s="969"/>
      <c r="CU8" s="969"/>
      <c r="CV8" s="969"/>
      <c r="CW8" s="969"/>
      <c r="CX8" s="969"/>
      <c r="CY8" s="970"/>
      <c r="CZ8" s="555">
        <v>58733</v>
      </c>
      <c r="DA8" s="555">
        <v>58937</v>
      </c>
      <c r="DB8" s="555">
        <v>58354</v>
      </c>
      <c r="DC8" s="556">
        <v>-9.8919184889999998E-3</v>
      </c>
      <c r="DD8" s="556">
        <v>-6.4529310600000001E-3</v>
      </c>
      <c r="DE8" s="555">
        <v>-379</v>
      </c>
      <c r="DF8" s="553"/>
      <c r="DG8" s="554"/>
      <c r="DI8" s="990" t="s">
        <v>86</v>
      </c>
      <c r="DJ8" s="969"/>
      <c r="DK8" s="969"/>
      <c r="DL8" s="969"/>
      <c r="DM8" s="969"/>
      <c r="DN8" s="969"/>
      <c r="DO8" s="970"/>
      <c r="DP8" s="555">
        <v>175418</v>
      </c>
      <c r="DQ8" s="555">
        <v>175116</v>
      </c>
      <c r="DR8" s="555">
        <v>175821</v>
      </c>
      <c r="DS8" s="556">
        <v>4.0259028299999998E-3</v>
      </c>
      <c r="DT8" s="556">
        <v>2.2973697109999998E-3</v>
      </c>
      <c r="DU8" s="555">
        <v>403</v>
      </c>
      <c r="DV8" s="553"/>
      <c r="DW8" s="554"/>
      <c r="DY8" s="990" t="s">
        <v>86</v>
      </c>
      <c r="DZ8" s="969"/>
      <c r="EA8" s="969"/>
      <c r="EB8" s="969"/>
      <c r="EC8" s="969"/>
      <c r="ED8" s="969"/>
      <c r="EE8" s="970"/>
      <c r="EF8" s="555">
        <v>19961</v>
      </c>
      <c r="EG8" s="555">
        <v>20202</v>
      </c>
      <c r="EH8" s="555">
        <v>20502</v>
      </c>
      <c r="EI8" s="556">
        <v>1.4850014850000001E-2</v>
      </c>
      <c r="EJ8" s="556">
        <v>2.7102850558000002E-2</v>
      </c>
      <c r="EK8" s="555">
        <v>541</v>
      </c>
      <c r="EL8" s="553"/>
      <c r="EM8" s="554"/>
      <c r="EO8" s="990" t="s">
        <v>86</v>
      </c>
      <c r="EP8" s="969"/>
      <c r="EQ8" s="969"/>
      <c r="ER8" s="969"/>
      <c r="ES8" s="969"/>
      <c r="ET8" s="969"/>
      <c r="EU8" s="970"/>
      <c r="EV8" s="555">
        <v>103507</v>
      </c>
      <c r="EW8" s="555">
        <v>103147</v>
      </c>
      <c r="EX8" s="555">
        <v>104128</v>
      </c>
      <c r="EY8" s="556">
        <v>9.5106983229999997E-3</v>
      </c>
      <c r="EZ8" s="556">
        <v>5.9995942300000004E-3</v>
      </c>
      <c r="FA8" s="555">
        <v>621</v>
      </c>
      <c r="FB8" s="553"/>
      <c r="FC8" s="554"/>
      <c r="FE8" s="990" t="s">
        <v>86</v>
      </c>
      <c r="FF8" s="969"/>
      <c r="FG8" s="969"/>
      <c r="FH8" s="969"/>
      <c r="FI8" s="969"/>
      <c r="FJ8" s="969"/>
      <c r="FK8" s="970"/>
      <c r="FL8" s="555">
        <v>27953</v>
      </c>
      <c r="FM8" s="555">
        <v>28078</v>
      </c>
      <c r="FN8" s="555">
        <v>28009</v>
      </c>
      <c r="FO8" s="556">
        <v>-2.457439988E-3</v>
      </c>
      <c r="FP8" s="556">
        <v>2.0033627870000002E-3</v>
      </c>
      <c r="FQ8" s="555">
        <v>56</v>
      </c>
      <c r="FR8" s="553"/>
      <c r="FS8" s="554"/>
      <c r="FY8" s="353">
        <v>6</v>
      </c>
      <c r="FZ8" s="353" t="s">
        <v>136</v>
      </c>
      <c r="GA8" s="354">
        <v>92810</v>
      </c>
      <c r="GB8" s="752">
        <v>63614</v>
      </c>
      <c r="GC8" s="336">
        <f t="shared" si="1"/>
        <v>-0.31457817045576986</v>
      </c>
      <c r="GE8" s="353">
        <v>6</v>
      </c>
      <c r="GF8" s="353" t="s">
        <v>136</v>
      </c>
      <c r="GG8" s="354">
        <v>65328</v>
      </c>
      <c r="GH8" s="752">
        <v>67184</v>
      </c>
      <c r="GI8" s="543">
        <f t="shared" si="0"/>
        <v>2.8410482488366418E-2</v>
      </c>
      <c r="GL8" s="353">
        <v>6</v>
      </c>
      <c r="GM8" s="353" t="s">
        <v>136</v>
      </c>
      <c r="GN8" s="353">
        <v>2087</v>
      </c>
      <c r="GO8" s="353">
        <v>2586</v>
      </c>
      <c r="GP8" s="353">
        <v>2521</v>
      </c>
      <c r="GQ8" s="353">
        <v>2429</v>
      </c>
      <c r="GR8" s="353">
        <v>2335</v>
      </c>
      <c r="GS8" s="353">
        <v>1908</v>
      </c>
      <c r="GT8" s="353">
        <v>2185</v>
      </c>
      <c r="GU8" s="353">
        <v>2089</v>
      </c>
      <c r="GV8" s="353">
        <v>2298</v>
      </c>
      <c r="GW8" s="353">
        <v>1666</v>
      </c>
      <c r="GX8" s="353">
        <v>1163</v>
      </c>
      <c r="GY8" s="353">
        <v>1160</v>
      </c>
      <c r="GZ8" s="353">
        <v>1615</v>
      </c>
      <c r="HA8" s="353">
        <v>1711</v>
      </c>
      <c r="HB8" s="353">
        <v>1420</v>
      </c>
      <c r="HC8" s="353">
        <v>724</v>
      </c>
      <c r="HD8" s="353">
        <v>947</v>
      </c>
      <c r="HE8" s="353">
        <v>839</v>
      </c>
      <c r="HF8" s="353">
        <v>956</v>
      </c>
      <c r="HG8" s="353">
        <v>854</v>
      </c>
      <c r="HH8" s="353">
        <v>1019</v>
      </c>
      <c r="HI8" s="353">
        <v>560</v>
      </c>
      <c r="HJ8" s="353">
        <v>649</v>
      </c>
      <c r="HK8" s="353">
        <v>508</v>
      </c>
      <c r="HL8" s="353">
        <v>891</v>
      </c>
      <c r="HM8" s="353">
        <v>679</v>
      </c>
      <c r="HN8" s="353">
        <v>830</v>
      </c>
      <c r="HO8" s="353">
        <v>849</v>
      </c>
      <c r="HP8" s="353">
        <v>513</v>
      </c>
      <c r="HQ8" s="353">
        <v>609</v>
      </c>
      <c r="HR8" s="353">
        <v>1009</v>
      </c>
      <c r="HS8" s="353">
        <v>523</v>
      </c>
      <c r="HT8" s="353">
        <v>790</v>
      </c>
      <c r="HU8" s="353">
        <v>745</v>
      </c>
      <c r="HV8" s="353">
        <v>471</v>
      </c>
      <c r="HW8" s="353">
        <v>322</v>
      </c>
      <c r="HX8" s="592">
        <v>1284</v>
      </c>
      <c r="HY8" s="592">
        <v>1878</v>
      </c>
      <c r="HZ8" s="592">
        <v>989</v>
      </c>
      <c r="IA8" s="592">
        <v>666</v>
      </c>
      <c r="IB8" s="592">
        <v>503</v>
      </c>
      <c r="IC8" s="592">
        <v>540</v>
      </c>
      <c r="ID8" s="742">
        <v>524</v>
      </c>
      <c r="IE8" s="753">
        <v>526</v>
      </c>
      <c r="IF8" s="753">
        <v>479</v>
      </c>
      <c r="IG8" s="775">
        <v>489</v>
      </c>
      <c r="IH8" s="742">
        <v>411</v>
      </c>
      <c r="II8" s="742">
        <v>249</v>
      </c>
      <c r="IJ8" s="592">
        <v>780</v>
      </c>
      <c r="IK8" s="862">
        <v>885</v>
      </c>
      <c r="IL8" s="862">
        <v>1084</v>
      </c>
      <c r="IM8" s="862">
        <v>480</v>
      </c>
      <c r="IN8" s="862">
        <v>847</v>
      </c>
      <c r="IO8" s="890">
        <v>789</v>
      </c>
      <c r="IP8" s="890">
        <v>904</v>
      </c>
      <c r="IQ8" s="890">
        <v>924</v>
      </c>
      <c r="IR8" s="897">
        <v>805</v>
      </c>
      <c r="IS8" s="897">
        <v>726</v>
      </c>
      <c r="IT8" s="897">
        <v>779</v>
      </c>
      <c r="IU8" s="906">
        <v>524</v>
      </c>
      <c r="IW8" s="353" t="s">
        <v>136</v>
      </c>
      <c r="IX8" s="353">
        <v>2087</v>
      </c>
      <c r="IY8" s="353">
        <v>2586</v>
      </c>
      <c r="IZ8" s="353">
        <v>2521</v>
      </c>
      <c r="JA8" s="353">
        <v>2429</v>
      </c>
      <c r="JB8" s="353">
        <v>2335</v>
      </c>
      <c r="JC8" s="353">
        <v>1908</v>
      </c>
      <c r="JD8" s="353">
        <v>2185</v>
      </c>
      <c r="JE8" s="353">
        <v>2089</v>
      </c>
      <c r="JF8" s="353">
        <v>2298</v>
      </c>
      <c r="JG8" s="353">
        <v>1666</v>
      </c>
      <c r="JH8" s="353">
        <v>1163</v>
      </c>
      <c r="JI8" s="353">
        <v>1160</v>
      </c>
      <c r="JJ8" s="353">
        <v>1615</v>
      </c>
      <c r="JK8" s="353">
        <v>1711</v>
      </c>
      <c r="JL8" s="353">
        <v>1420</v>
      </c>
      <c r="JM8" s="353">
        <v>724</v>
      </c>
      <c r="JN8" s="353">
        <v>947</v>
      </c>
      <c r="JO8" s="353">
        <v>839</v>
      </c>
      <c r="JP8" s="353">
        <v>956</v>
      </c>
      <c r="JQ8" s="353">
        <v>854</v>
      </c>
      <c r="JR8" s="353">
        <v>1019</v>
      </c>
      <c r="JS8" s="353">
        <v>560</v>
      </c>
      <c r="JT8" s="353">
        <v>649</v>
      </c>
      <c r="JU8" s="353">
        <v>508</v>
      </c>
      <c r="JV8" s="353">
        <v>891</v>
      </c>
      <c r="JW8" s="353">
        <v>679</v>
      </c>
      <c r="JX8" s="353">
        <v>830</v>
      </c>
      <c r="JY8" s="353">
        <v>849</v>
      </c>
      <c r="JZ8" s="353">
        <v>513</v>
      </c>
      <c r="KA8" s="353">
        <v>609</v>
      </c>
      <c r="KB8" s="353">
        <v>1009</v>
      </c>
      <c r="KC8" s="353">
        <v>523</v>
      </c>
      <c r="KD8" s="592">
        <v>790</v>
      </c>
      <c r="KE8" s="592">
        <v>745</v>
      </c>
      <c r="KF8" s="592">
        <v>471</v>
      </c>
      <c r="KG8" s="353">
        <v>322</v>
      </c>
      <c r="KH8" s="592">
        <v>1284</v>
      </c>
      <c r="KI8" s="592">
        <v>1878</v>
      </c>
      <c r="KJ8" s="592">
        <v>989</v>
      </c>
      <c r="KK8" s="592">
        <v>666</v>
      </c>
      <c r="KL8" s="592">
        <v>503</v>
      </c>
      <c r="KM8" s="713">
        <v>540</v>
      </c>
      <c r="KN8" s="592">
        <v>524</v>
      </c>
      <c r="KO8" s="753">
        <v>526</v>
      </c>
      <c r="KP8" s="753">
        <v>479</v>
      </c>
      <c r="KQ8" s="775">
        <v>489</v>
      </c>
      <c r="KR8" s="592">
        <v>411</v>
      </c>
      <c r="KS8" s="828">
        <v>249</v>
      </c>
      <c r="KT8" s="592">
        <v>780</v>
      </c>
      <c r="KU8" s="592">
        <v>885</v>
      </c>
      <c r="KV8" s="592">
        <v>1084</v>
      </c>
      <c r="KW8" s="592">
        <v>480</v>
      </c>
      <c r="KX8" s="592">
        <v>847</v>
      </c>
      <c r="KY8" s="890">
        <v>789</v>
      </c>
      <c r="KZ8" s="592">
        <v>904</v>
      </c>
      <c r="LA8" s="592">
        <v>924</v>
      </c>
      <c r="LB8" s="897">
        <v>805</v>
      </c>
      <c r="LC8" s="592">
        <v>726</v>
      </c>
      <c r="LD8" s="592">
        <v>779</v>
      </c>
      <c r="LE8" s="906">
        <v>524</v>
      </c>
    </row>
    <row r="9" spans="1:317" ht="15" thickBot="1">
      <c r="A9" s="990" t="s">
        <v>87</v>
      </c>
      <c r="B9" s="969"/>
      <c r="C9" s="969"/>
      <c r="D9" s="969"/>
      <c r="E9" s="969"/>
      <c r="F9" s="969"/>
      <c r="G9" s="970"/>
      <c r="H9" s="555">
        <v>2</v>
      </c>
      <c r="I9" s="555">
        <v>3</v>
      </c>
      <c r="J9" s="555">
        <v>2</v>
      </c>
      <c r="K9" s="556">
        <v>-0.33333333333300003</v>
      </c>
      <c r="L9" s="556">
        <v>0</v>
      </c>
      <c r="M9" s="555">
        <v>0</v>
      </c>
      <c r="N9" s="553"/>
      <c r="O9" s="554"/>
      <c r="Q9" s="990" t="s">
        <v>87</v>
      </c>
      <c r="R9" s="969"/>
      <c r="S9" s="969"/>
      <c r="T9" s="969"/>
      <c r="U9" s="969"/>
      <c r="V9" s="969"/>
      <c r="W9" s="970"/>
      <c r="X9" s="555">
        <v>27</v>
      </c>
      <c r="Y9" s="555">
        <v>27</v>
      </c>
      <c r="Z9" s="555">
        <v>27</v>
      </c>
      <c r="AA9" s="556">
        <v>0</v>
      </c>
      <c r="AB9" s="556">
        <v>0</v>
      </c>
      <c r="AC9" s="555">
        <v>0</v>
      </c>
      <c r="AD9" s="553"/>
      <c r="AE9" s="554"/>
      <c r="AG9" s="990" t="s">
        <v>86</v>
      </c>
      <c r="AH9" s="969"/>
      <c r="AI9" s="969"/>
      <c r="AJ9" s="969"/>
      <c r="AK9" s="969"/>
      <c r="AL9" s="969"/>
      <c r="AM9" s="970"/>
      <c r="AN9" s="555">
        <v>258610</v>
      </c>
      <c r="AO9" s="555">
        <v>258987</v>
      </c>
      <c r="AP9" s="555">
        <v>225893</v>
      </c>
      <c r="AQ9" s="556">
        <v>-0.12778247556799999</v>
      </c>
      <c r="AR9" s="556">
        <v>-0.126510962453</v>
      </c>
      <c r="AS9" s="555">
        <v>-32717</v>
      </c>
      <c r="AT9" s="553"/>
      <c r="AU9" s="554"/>
      <c r="AV9" s="335"/>
      <c r="AW9" s="990" t="s">
        <v>87</v>
      </c>
      <c r="AX9" s="969"/>
      <c r="AY9" s="969"/>
      <c r="AZ9" s="969"/>
      <c r="BA9" s="969"/>
      <c r="BB9" s="969"/>
      <c r="BC9" s="970"/>
      <c r="BD9" s="555">
        <v>208</v>
      </c>
      <c r="BE9" s="555">
        <v>199</v>
      </c>
      <c r="BF9" s="555">
        <v>172</v>
      </c>
      <c r="BG9" s="556">
        <v>-0.135678391959</v>
      </c>
      <c r="BH9" s="556">
        <v>-0.17307692307600001</v>
      </c>
      <c r="BI9" s="555">
        <v>-36</v>
      </c>
      <c r="BJ9" s="553"/>
      <c r="BK9" s="554"/>
      <c r="BM9" s="990" t="s">
        <v>87</v>
      </c>
      <c r="BN9" s="969"/>
      <c r="BO9" s="969"/>
      <c r="BP9" s="969"/>
      <c r="BQ9" s="969"/>
      <c r="BR9" s="969"/>
      <c r="BS9" s="970"/>
      <c r="BT9" s="555">
        <v>26</v>
      </c>
      <c r="BU9" s="555">
        <v>13</v>
      </c>
      <c r="BV9" s="555">
        <v>13</v>
      </c>
      <c r="BW9" s="556">
        <v>0</v>
      </c>
      <c r="BX9" s="556">
        <v>-0.5</v>
      </c>
      <c r="BY9" s="555">
        <v>-13</v>
      </c>
      <c r="BZ9" s="553"/>
      <c r="CA9" s="554"/>
      <c r="CC9" s="990" t="s">
        <v>87</v>
      </c>
      <c r="CD9" s="969"/>
      <c r="CE9" s="969"/>
      <c r="CF9" s="969"/>
      <c r="CG9" s="969"/>
      <c r="CH9" s="969"/>
      <c r="CI9" s="970"/>
      <c r="CJ9" s="555">
        <v>10</v>
      </c>
      <c r="CK9" s="555">
        <v>10</v>
      </c>
      <c r="CL9" s="555">
        <v>10</v>
      </c>
      <c r="CM9" s="556">
        <v>0</v>
      </c>
      <c r="CN9" s="556">
        <v>0</v>
      </c>
      <c r="CO9" s="555">
        <v>0</v>
      </c>
      <c r="CP9" s="553"/>
      <c r="CQ9" s="554"/>
      <c r="CS9" s="990" t="s">
        <v>87</v>
      </c>
      <c r="CT9" s="969"/>
      <c r="CU9" s="969"/>
      <c r="CV9" s="969"/>
      <c r="CW9" s="969"/>
      <c r="CX9" s="969"/>
      <c r="CY9" s="970"/>
      <c r="CZ9" s="555">
        <v>8</v>
      </c>
      <c r="DA9" s="555">
        <v>8</v>
      </c>
      <c r="DB9" s="555">
        <v>9</v>
      </c>
      <c r="DC9" s="556">
        <v>0.125</v>
      </c>
      <c r="DD9" s="556">
        <v>0.125</v>
      </c>
      <c r="DE9" s="555">
        <v>1</v>
      </c>
      <c r="DF9" s="553"/>
      <c r="DG9" s="554"/>
      <c r="DI9" s="990" t="s">
        <v>87</v>
      </c>
      <c r="DJ9" s="969"/>
      <c r="DK9" s="969"/>
      <c r="DL9" s="969"/>
      <c r="DM9" s="969"/>
      <c r="DN9" s="969"/>
      <c r="DO9" s="970"/>
      <c r="DP9" s="555">
        <v>31</v>
      </c>
      <c r="DQ9" s="555">
        <v>30</v>
      </c>
      <c r="DR9" s="555">
        <v>32</v>
      </c>
      <c r="DS9" s="556">
        <v>6.6666666666000005E-2</v>
      </c>
      <c r="DT9" s="556">
        <v>3.2258064516000003E-2</v>
      </c>
      <c r="DU9" s="555">
        <v>1</v>
      </c>
      <c r="DV9" s="553"/>
      <c r="DW9" s="554"/>
      <c r="DY9" s="990" t="s">
        <v>87</v>
      </c>
      <c r="DZ9" s="969"/>
      <c r="EA9" s="969"/>
      <c r="EB9" s="969"/>
      <c r="EC9" s="969"/>
      <c r="ED9" s="969"/>
      <c r="EE9" s="970"/>
      <c r="EF9" s="555">
        <v>192</v>
      </c>
      <c r="EG9" s="555">
        <v>190</v>
      </c>
      <c r="EH9" s="555">
        <v>185</v>
      </c>
      <c r="EI9" s="556">
        <v>-2.6315789472999999E-2</v>
      </c>
      <c r="EJ9" s="556">
        <v>-3.6458333332999998E-2</v>
      </c>
      <c r="EK9" s="555">
        <v>-7</v>
      </c>
      <c r="EL9" s="553"/>
      <c r="EM9" s="554"/>
      <c r="EO9" s="990" t="s">
        <v>87</v>
      </c>
      <c r="EP9" s="969"/>
      <c r="EQ9" s="969"/>
      <c r="ER9" s="969"/>
      <c r="ES9" s="969"/>
      <c r="ET9" s="969"/>
      <c r="EU9" s="970"/>
      <c r="EV9" s="555">
        <v>4272</v>
      </c>
      <c r="EW9" s="555">
        <v>4057</v>
      </c>
      <c r="EX9" s="555">
        <v>3897</v>
      </c>
      <c r="EY9" s="556">
        <v>-3.943800838E-2</v>
      </c>
      <c r="EZ9" s="556">
        <v>-8.7780898876000005E-2</v>
      </c>
      <c r="FA9" s="555">
        <v>-375</v>
      </c>
      <c r="FB9" s="553"/>
      <c r="FC9" s="554"/>
      <c r="FE9" s="990" t="s">
        <v>87</v>
      </c>
      <c r="FF9" s="969"/>
      <c r="FG9" s="969"/>
      <c r="FH9" s="969"/>
      <c r="FI9" s="969"/>
      <c r="FJ9" s="969"/>
      <c r="FK9" s="970"/>
      <c r="FL9" s="555">
        <v>42</v>
      </c>
      <c r="FM9" s="555">
        <v>45</v>
      </c>
      <c r="FN9" s="555">
        <v>45</v>
      </c>
      <c r="FO9" s="556">
        <v>0</v>
      </c>
      <c r="FP9" s="556">
        <v>7.1428571428000007E-2</v>
      </c>
      <c r="FQ9" s="555">
        <v>3</v>
      </c>
      <c r="FR9" s="553"/>
      <c r="FS9" s="554"/>
      <c r="FY9" s="353">
        <v>7</v>
      </c>
      <c r="FZ9" s="353" t="s">
        <v>137</v>
      </c>
      <c r="GA9" s="354">
        <v>45683</v>
      </c>
      <c r="GB9" s="752">
        <v>45288</v>
      </c>
      <c r="GC9" s="336">
        <f t="shared" si="1"/>
        <v>-8.6465424775080679E-3</v>
      </c>
      <c r="GE9" s="353">
        <v>7</v>
      </c>
      <c r="GF9" s="353" t="s">
        <v>137</v>
      </c>
      <c r="GG9" s="354">
        <v>42787</v>
      </c>
      <c r="GH9" s="752">
        <v>40523</v>
      </c>
      <c r="GI9" s="543">
        <f t="shared" si="0"/>
        <v>-5.291326804870633E-2</v>
      </c>
      <c r="GL9" s="353">
        <v>7</v>
      </c>
      <c r="GM9" s="353" t="s">
        <v>137</v>
      </c>
      <c r="GN9" s="353">
        <v>767</v>
      </c>
      <c r="GO9" s="353">
        <v>958</v>
      </c>
      <c r="GP9" s="353">
        <v>656</v>
      </c>
      <c r="GQ9" s="353">
        <v>1243</v>
      </c>
      <c r="GR9" s="353">
        <v>1247</v>
      </c>
      <c r="GS9" s="353">
        <v>641</v>
      </c>
      <c r="GT9" s="353">
        <v>751</v>
      </c>
      <c r="GU9" s="353">
        <v>545</v>
      </c>
      <c r="GV9" s="353">
        <v>668</v>
      </c>
      <c r="GW9" s="353">
        <v>678</v>
      </c>
      <c r="GX9" s="353">
        <v>1158</v>
      </c>
      <c r="GY9" s="353">
        <v>509</v>
      </c>
      <c r="GZ9" s="353">
        <v>718</v>
      </c>
      <c r="HA9" s="353">
        <v>534</v>
      </c>
      <c r="HB9" s="353">
        <v>523</v>
      </c>
      <c r="HC9" s="353">
        <v>223</v>
      </c>
      <c r="HD9" s="353">
        <v>267</v>
      </c>
      <c r="HE9" s="353">
        <v>832</v>
      </c>
      <c r="HF9" s="353">
        <v>669</v>
      </c>
      <c r="HG9" s="353">
        <v>719</v>
      </c>
      <c r="HH9" s="353">
        <v>737</v>
      </c>
      <c r="HI9" s="353">
        <v>621</v>
      </c>
      <c r="HJ9" s="353">
        <v>681</v>
      </c>
      <c r="HK9" s="353">
        <v>424</v>
      </c>
      <c r="HL9" s="353">
        <v>519</v>
      </c>
      <c r="HM9" s="353">
        <v>550</v>
      </c>
      <c r="HN9" s="353">
        <v>349</v>
      </c>
      <c r="HO9" s="353">
        <v>251</v>
      </c>
      <c r="HP9" s="353">
        <v>389</v>
      </c>
      <c r="HQ9" s="353">
        <v>432</v>
      </c>
      <c r="HR9" s="353">
        <v>406</v>
      </c>
      <c r="HS9" s="353">
        <v>367</v>
      </c>
      <c r="HT9" s="353">
        <v>333</v>
      </c>
      <c r="HU9" s="353">
        <v>314</v>
      </c>
      <c r="HV9" s="353">
        <v>405</v>
      </c>
      <c r="HW9" s="353">
        <v>302</v>
      </c>
      <c r="HX9" s="592">
        <v>544</v>
      </c>
      <c r="HY9" s="592">
        <v>580</v>
      </c>
      <c r="HZ9" s="592">
        <v>399</v>
      </c>
      <c r="IA9" s="592">
        <v>465</v>
      </c>
      <c r="IB9" s="592">
        <v>590</v>
      </c>
      <c r="IC9" s="592">
        <v>368</v>
      </c>
      <c r="ID9" s="742">
        <v>387</v>
      </c>
      <c r="IE9" s="753">
        <v>441</v>
      </c>
      <c r="IF9" s="753">
        <v>478</v>
      </c>
      <c r="IG9" s="775">
        <v>405</v>
      </c>
      <c r="IH9" s="742">
        <v>388</v>
      </c>
      <c r="II9" s="742">
        <v>295</v>
      </c>
      <c r="IJ9" s="592">
        <v>562</v>
      </c>
      <c r="IK9" s="862">
        <v>505</v>
      </c>
      <c r="IL9" s="862">
        <v>234</v>
      </c>
      <c r="IM9" s="862">
        <v>220</v>
      </c>
      <c r="IN9" s="862">
        <v>337</v>
      </c>
      <c r="IO9" s="890">
        <v>380</v>
      </c>
      <c r="IP9" s="890">
        <v>404</v>
      </c>
      <c r="IQ9" s="890">
        <v>345</v>
      </c>
      <c r="IR9" s="897">
        <v>274</v>
      </c>
      <c r="IS9" s="897">
        <v>248</v>
      </c>
      <c r="IT9" s="897">
        <v>300</v>
      </c>
      <c r="IU9" s="906">
        <v>387</v>
      </c>
      <c r="IW9" s="353" t="s">
        <v>137</v>
      </c>
      <c r="IX9" s="353">
        <v>767</v>
      </c>
      <c r="IY9" s="353">
        <v>958</v>
      </c>
      <c r="IZ9" s="353">
        <v>656</v>
      </c>
      <c r="JA9" s="353">
        <v>1243</v>
      </c>
      <c r="JB9" s="353">
        <v>1247</v>
      </c>
      <c r="JC9" s="353">
        <v>641</v>
      </c>
      <c r="JD9" s="353">
        <v>751</v>
      </c>
      <c r="JE9" s="353">
        <v>545</v>
      </c>
      <c r="JF9" s="353">
        <v>668</v>
      </c>
      <c r="JG9" s="353">
        <v>678</v>
      </c>
      <c r="JH9" s="353">
        <v>1158</v>
      </c>
      <c r="JI9" s="353">
        <v>509</v>
      </c>
      <c r="JJ9" s="353">
        <v>718</v>
      </c>
      <c r="JK9" s="353">
        <v>534</v>
      </c>
      <c r="JL9" s="353">
        <v>523</v>
      </c>
      <c r="JM9" s="353">
        <v>223</v>
      </c>
      <c r="JN9" s="353">
        <v>267</v>
      </c>
      <c r="JO9" s="353">
        <v>832</v>
      </c>
      <c r="JP9" s="353">
        <v>669</v>
      </c>
      <c r="JQ9" s="353">
        <v>719</v>
      </c>
      <c r="JR9" s="353">
        <v>737</v>
      </c>
      <c r="JS9" s="353">
        <v>621</v>
      </c>
      <c r="JT9" s="353">
        <v>681</v>
      </c>
      <c r="JU9" s="353">
        <v>424</v>
      </c>
      <c r="JV9" s="353">
        <v>519</v>
      </c>
      <c r="JW9" s="353">
        <v>550</v>
      </c>
      <c r="JX9" s="353">
        <v>349</v>
      </c>
      <c r="JY9" s="353">
        <v>251</v>
      </c>
      <c r="JZ9" s="353">
        <v>389</v>
      </c>
      <c r="KA9" s="353">
        <v>432</v>
      </c>
      <c r="KB9" s="353">
        <v>406</v>
      </c>
      <c r="KC9" s="353">
        <v>367</v>
      </c>
      <c r="KD9" s="592">
        <v>333</v>
      </c>
      <c r="KE9" s="592">
        <v>314</v>
      </c>
      <c r="KF9" s="592">
        <v>405</v>
      </c>
      <c r="KG9" s="353">
        <v>302</v>
      </c>
      <c r="KH9" s="592">
        <v>544</v>
      </c>
      <c r="KI9" s="592">
        <v>580</v>
      </c>
      <c r="KJ9" s="592">
        <v>399</v>
      </c>
      <c r="KK9" s="592">
        <v>465</v>
      </c>
      <c r="KL9" s="592">
        <v>590</v>
      </c>
      <c r="KM9" s="713">
        <v>368</v>
      </c>
      <c r="KN9" s="592">
        <v>387</v>
      </c>
      <c r="KO9" s="753">
        <v>441</v>
      </c>
      <c r="KP9" s="753">
        <v>478</v>
      </c>
      <c r="KQ9" s="775">
        <v>405</v>
      </c>
      <c r="KR9" s="592">
        <v>388</v>
      </c>
      <c r="KS9" s="828">
        <v>295</v>
      </c>
      <c r="KT9" s="592">
        <v>562</v>
      </c>
      <c r="KU9" s="592">
        <v>505</v>
      </c>
      <c r="KV9" s="592">
        <v>234</v>
      </c>
      <c r="KW9" s="592">
        <v>220</v>
      </c>
      <c r="KX9" s="592">
        <v>337</v>
      </c>
      <c r="KY9" s="890">
        <v>380</v>
      </c>
      <c r="KZ9" s="592">
        <v>404</v>
      </c>
      <c r="LA9" s="592">
        <v>345</v>
      </c>
      <c r="LB9" s="897">
        <v>274</v>
      </c>
      <c r="LC9" s="592">
        <v>248</v>
      </c>
      <c r="LD9" s="592">
        <v>300</v>
      </c>
      <c r="LE9" s="906">
        <v>387</v>
      </c>
    </row>
    <row r="10" spans="1:317" ht="15" thickBot="1">
      <c r="A10" s="990" t="s">
        <v>88</v>
      </c>
      <c r="B10" s="969"/>
      <c r="C10" s="969"/>
      <c r="D10" s="969"/>
      <c r="E10" s="969"/>
      <c r="F10" s="969"/>
      <c r="G10" s="970"/>
      <c r="H10" s="555">
        <v>782</v>
      </c>
      <c r="I10" s="555">
        <v>747</v>
      </c>
      <c r="J10" s="555">
        <v>728</v>
      </c>
      <c r="K10" s="556">
        <v>-2.5435073627E-2</v>
      </c>
      <c r="L10" s="556">
        <v>-6.9053708438999994E-2</v>
      </c>
      <c r="M10" s="555">
        <v>-54</v>
      </c>
      <c r="N10" s="553"/>
      <c r="O10" s="554"/>
      <c r="Q10" s="990" t="s">
        <v>88</v>
      </c>
      <c r="R10" s="969"/>
      <c r="S10" s="969"/>
      <c r="T10" s="969"/>
      <c r="U10" s="969"/>
      <c r="V10" s="969"/>
      <c r="W10" s="970"/>
      <c r="X10" s="555">
        <v>2128</v>
      </c>
      <c r="Y10" s="555">
        <v>2120</v>
      </c>
      <c r="Z10" s="555">
        <v>2122</v>
      </c>
      <c r="AA10" s="556">
        <v>9.4339622599999996E-4</v>
      </c>
      <c r="AB10" s="556">
        <v>-2.8195488719999998E-3</v>
      </c>
      <c r="AC10" s="555">
        <v>-6</v>
      </c>
      <c r="AD10" s="553"/>
      <c r="AE10" s="554"/>
      <c r="AG10" s="990" t="s">
        <v>87</v>
      </c>
      <c r="AH10" s="969"/>
      <c r="AI10" s="969"/>
      <c r="AJ10" s="969"/>
      <c r="AK10" s="969"/>
      <c r="AL10" s="969"/>
      <c r="AM10" s="970"/>
      <c r="AN10" s="555">
        <v>1180</v>
      </c>
      <c r="AO10" s="555">
        <v>1138</v>
      </c>
      <c r="AP10" s="555">
        <v>13</v>
      </c>
      <c r="AQ10" s="556">
        <v>-0.988576449912</v>
      </c>
      <c r="AR10" s="556">
        <v>-0.988983050847</v>
      </c>
      <c r="AS10" s="555">
        <v>-1167</v>
      </c>
      <c r="AT10" s="553"/>
      <c r="AU10" s="554"/>
      <c r="AW10" s="990" t="s">
        <v>88</v>
      </c>
      <c r="AX10" s="969"/>
      <c r="AY10" s="969"/>
      <c r="AZ10" s="969"/>
      <c r="BA10" s="969"/>
      <c r="BB10" s="969"/>
      <c r="BC10" s="970"/>
      <c r="BD10" s="555">
        <v>4053</v>
      </c>
      <c r="BE10" s="555">
        <v>4047</v>
      </c>
      <c r="BF10" s="555">
        <v>3916</v>
      </c>
      <c r="BG10" s="556">
        <v>-3.2369656534999999E-2</v>
      </c>
      <c r="BH10" s="556">
        <v>-3.3802121885000001E-2</v>
      </c>
      <c r="BI10" s="555">
        <v>-137</v>
      </c>
      <c r="BJ10" s="553"/>
      <c r="BK10" s="554"/>
      <c r="BM10" s="990" t="s">
        <v>88</v>
      </c>
      <c r="BN10" s="969"/>
      <c r="BO10" s="969"/>
      <c r="BP10" s="969"/>
      <c r="BQ10" s="969"/>
      <c r="BR10" s="969"/>
      <c r="BS10" s="970"/>
      <c r="BT10" s="555">
        <v>2409</v>
      </c>
      <c r="BU10" s="555">
        <v>2379</v>
      </c>
      <c r="BV10" s="555">
        <v>2407</v>
      </c>
      <c r="BW10" s="556">
        <v>1.1769651113000001E-2</v>
      </c>
      <c r="BX10" s="556">
        <v>-8.3022000799999997E-4</v>
      </c>
      <c r="BY10" s="555">
        <v>-2</v>
      </c>
      <c r="BZ10" s="553"/>
      <c r="CA10" s="554"/>
      <c r="CC10" s="990" t="s">
        <v>88</v>
      </c>
      <c r="CD10" s="969"/>
      <c r="CE10" s="969"/>
      <c r="CF10" s="969"/>
      <c r="CG10" s="969"/>
      <c r="CH10" s="969"/>
      <c r="CI10" s="970"/>
      <c r="CJ10" s="555">
        <v>2331</v>
      </c>
      <c r="CK10" s="555">
        <v>2318</v>
      </c>
      <c r="CL10" s="555">
        <v>2300</v>
      </c>
      <c r="CM10" s="556">
        <v>-7.7653149260000004E-3</v>
      </c>
      <c r="CN10" s="556">
        <v>-1.3299013299E-2</v>
      </c>
      <c r="CO10" s="555">
        <v>-31</v>
      </c>
      <c r="CP10" s="553"/>
      <c r="CQ10" s="554"/>
      <c r="CS10" s="990" t="s">
        <v>88</v>
      </c>
      <c r="CT10" s="969"/>
      <c r="CU10" s="969"/>
      <c r="CV10" s="969"/>
      <c r="CW10" s="969"/>
      <c r="CX10" s="969"/>
      <c r="CY10" s="970"/>
      <c r="CZ10" s="555">
        <v>1354</v>
      </c>
      <c r="DA10" s="555">
        <v>1352</v>
      </c>
      <c r="DB10" s="555">
        <v>1337</v>
      </c>
      <c r="DC10" s="556">
        <v>-1.1094674556E-2</v>
      </c>
      <c r="DD10" s="556">
        <v>-1.2555391432000001E-2</v>
      </c>
      <c r="DE10" s="555">
        <v>-17</v>
      </c>
      <c r="DF10" s="553"/>
      <c r="DG10" s="554"/>
      <c r="DI10" s="990" t="s">
        <v>88</v>
      </c>
      <c r="DJ10" s="969"/>
      <c r="DK10" s="969"/>
      <c r="DL10" s="969"/>
      <c r="DM10" s="969"/>
      <c r="DN10" s="969"/>
      <c r="DO10" s="970"/>
      <c r="DP10" s="555">
        <v>4590</v>
      </c>
      <c r="DQ10" s="555">
        <v>4618</v>
      </c>
      <c r="DR10" s="555">
        <v>4635</v>
      </c>
      <c r="DS10" s="556">
        <v>3.681247293E-3</v>
      </c>
      <c r="DT10" s="556">
        <v>9.8039215679999996E-3</v>
      </c>
      <c r="DU10" s="555">
        <v>45</v>
      </c>
      <c r="DV10" s="553"/>
      <c r="DW10" s="554"/>
      <c r="DY10" s="990" t="s">
        <v>88</v>
      </c>
      <c r="DZ10" s="969"/>
      <c r="EA10" s="969"/>
      <c r="EB10" s="969"/>
      <c r="EC10" s="969"/>
      <c r="ED10" s="969"/>
      <c r="EE10" s="970"/>
      <c r="EF10" s="555">
        <v>754</v>
      </c>
      <c r="EG10" s="555">
        <v>731</v>
      </c>
      <c r="EH10" s="555">
        <v>720</v>
      </c>
      <c r="EI10" s="556">
        <v>-1.5047879615999999E-2</v>
      </c>
      <c r="EJ10" s="556">
        <v>-4.5092838195999997E-2</v>
      </c>
      <c r="EK10" s="555">
        <v>-34</v>
      </c>
      <c r="EL10" s="553"/>
      <c r="EM10" s="554"/>
      <c r="EO10" s="990" t="s">
        <v>88</v>
      </c>
      <c r="EP10" s="969"/>
      <c r="EQ10" s="969"/>
      <c r="ER10" s="969"/>
      <c r="ES10" s="969"/>
      <c r="ET10" s="969"/>
      <c r="EU10" s="970"/>
      <c r="EV10" s="555">
        <v>4403</v>
      </c>
      <c r="EW10" s="555">
        <v>4319</v>
      </c>
      <c r="EX10" s="555">
        <v>4274</v>
      </c>
      <c r="EY10" s="556">
        <v>-1.0419078490000001E-2</v>
      </c>
      <c r="EZ10" s="556">
        <v>-2.9298205768000001E-2</v>
      </c>
      <c r="FA10" s="555">
        <v>-129</v>
      </c>
      <c r="FB10" s="553"/>
      <c r="FC10" s="554"/>
      <c r="FE10" s="990" t="s">
        <v>88</v>
      </c>
      <c r="FF10" s="969"/>
      <c r="FG10" s="969"/>
      <c r="FH10" s="969"/>
      <c r="FI10" s="969"/>
      <c r="FJ10" s="969"/>
      <c r="FK10" s="970"/>
      <c r="FL10" s="555">
        <v>1783</v>
      </c>
      <c r="FM10" s="555">
        <v>1795</v>
      </c>
      <c r="FN10" s="555">
        <v>1799</v>
      </c>
      <c r="FO10" s="556">
        <v>2.2284122560000002E-3</v>
      </c>
      <c r="FP10" s="556">
        <v>8.973639932E-3</v>
      </c>
      <c r="FQ10" s="555">
        <v>16</v>
      </c>
      <c r="FR10" s="553"/>
      <c r="FS10" s="554"/>
      <c r="FY10" s="353">
        <v>8</v>
      </c>
      <c r="FZ10" s="353" t="s">
        <v>138</v>
      </c>
      <c r="GA10" s="354">
        <v>235167</v>
      </c>
      <c r="GB10" s="752">
        <v>256944</v>
      </c>
      <c r="GC10" s="336">
        <f t="shared" si="1"/>
        <v>9.2602278380895298E-2</v>
      </c>
      <c r="GE10" s="353">
        <v>8</v>
      </c>
      <c r="GF10" s="353" t="s">
        <v>138</v>
      </c>
      <c r="GG10" s="354">
        <v>135638</v>
      </c>
      <c r="GH10" s="752">
        <v>234019</v>
      </c>
      <c r="GI10" s="543">
        <f t="shared" si="0"/>
        <v>0.72532033795838924</v>
      </c>
      <c r="GL10" s="353">
        <v>8</v>
      </c>
      <c r="GM10" s="353" t="s">
        <v>138</v>
      </c>
      <c r="GN10" s="353">
        <v>1821</v>
      </c>
      <c r="GO10" s="353">
        <v>2309</v>
      </c>
      <c r="GP10" s="353">
        <v>2511</v>
      </c>
      <c r="GQ10" s="353">
        <v>2860</v>
      </c>
      <c r="GR10" s="353">
        <v>2254</v>
      </c>
      <c r="GS10" s="353">
        <v>1922</v>
      </c>
      <c r="GT10" s="353">
        <v>3169</v>
      </c>
      <c r="GU10" s="353">
        <v>3350</v>
      </c>
      <c r="GV10" s="353">
        <v>2824</v>
      </c>
      <c r="GW10" s="353">
        <v>3377</v>
      </c>
      <c r="GX10" s="353">
        <v>3448</v>
      </c>
      <c r="GY10" s="353">
        <v>2968</v>
      </c>
      <c r="GZ10" s="353">
        <v>2576</v>
      </c>
      <c r="HA10" s="353">
        <v>2931</v>
      </c>
      <c r="HB10" s="353">
        <v>3240</v>
      </c>
      <c r="HC10" s="353">
        <v>1894</v>
      </c>
      <c r="HD10" s="353">
        <v>2151</v>
      </c>
      <c r="HE10" s="353">
        <v>1818</v>
      </c>
      <c r="HF10" s="353">
        <v>1476</v>
      </c>
      <c r="HG10" s="353">
        <v>1786</v>
      </c>
      <c r="HH10" s="353">
        <v>2701</v>
      </c>
      <c r="HI10" s="353">
        <v>2786</v>
      </c>
      <c r="HJ10" s="353">
        <v>3416</v>
      </c>
      <c r="HK10" s="353">
        <v>2760</v>
      </c>
      <c r="HL10" s="353">
        <v>2358</v>
      </c>
      <c r="HM10" s="353">
        <v>3335</v>
      </c>
      <c r="HN10" s="353">
        <v>3629</v>
      </c>
      <c r="HO10" s="353">
        <v>3272</v>
      </c>
      <c r="HP10" s="353">
        <v>3012</v>
      </c>
      <c r="HQ10" s="353">
        <v>3880</v>
      </c>
      <c r="HR10" s="353">
        <v>3060</v>
      </c>
      <c r="HS10" s="353">
        <v>3596</v>
      </c>
      <c r="HT10" s="353">
        <v>5917</v>
      </c>
      <c r="HU10" s="353">
        <v>3958</v>
      </c>
      <c r="HV10" s="353">
        <v>4273</v>
      </c>
      <c r="HW10" s="353">
        <v>2607</v>
      </c>
      <c r="HX10" s="592">
        <v>2740</v>
      </c>
      <c r="HY10" s="592">
        <v>3341</v>
      </c>
      <c r="HZ10" s="592">
        <v>4016</v>
      </c>
      <c r="IA10" s="592">
        <v>3731</v>
      </c>
      <c r="IB10" s="592">
        <v>4166</v>
      </c>
      <c r="IC10" s="592">
        <v>4130</v>
      </c>
      <c r="ID10" s="742">
        <v>4437</v>
      </c>
      <c r="IE10" s="753">
        <v>4275</v>
      </c>
      <c r="IF10" s="753">
        <v>4525</v>
      </c>
      <c r="IG10" s="775">
        <v>4500</v>
      </c>
      <c r="IH10" s="742">
        <v>4247</v>
      </c>
      <c r="II10" s="742">
        <v>3596</v>
      </c>
      <c r="IJ10" s="592">
        <v>3251</v>
      </c>
      <c r="IK10" s="862">
        <v>3643</v>
      </c>
      <c r="IL10" s="862">
        <v>3797</v>
      </c>
      <c r="IM10" s="862">
        <v>3353</v>
      </c>
      <c r="IN10" s="862">
        <v>3840</v>
      </c>
      <c r="IO10" s="890">
        <v>3546</v>
      </c>
      <c r="IP10" s="890">
        <v>5045</v>
      </c>
      <c r="IQ10" s="890">
        <v>4010</v>
      </c>
      <c r="IR10" s="897">
        <v>3994</v>
      </c>
      <c r="IS10" s="897">
        <v>4346</v>
      </c>
      <c r="IT10" s="897">
        <v>3245</v>
      </c>
      <c r="IU10" s="906">
        <v>4437</v>
      </c>
      <c r="IW10" s="353" t="s">
        <v>138</v>
      </c>
      <c r="IX10" s="353">
        <v>1821</v>
      </c>
      <c r="IY10" s="353">
        <v>2309</v>
      </c>
      <c r="IZ10" s="353">
        <v>2511</v>
      </c>
      <c r="JA10" s="353">
        <v>2860</v>
      </c>
      <c r="JB10" s="353">
        <v>2254</v>
      </c>
      <c r="JC10" s="353">
        <v>1922</v>
      </c>
      <c r="JD10" s="353">
        <v>3169</v>
      </c>
      <c r="JE10" s="353">
        <v>3350</v>
      </c>
      <c r="JF10" s="353">
        <v>2824</v>
      </c>
      <c r="JG10" s="353">
        <v>3377</v>
      </c>
      <c r="JH10" s="353">
        <v>3448</v>
      </c>
      <c r="JI10" s="353">
        <v>2968</v>
      </c>
      <c r="JJ10" s="353">
        <v>2576</v>
      </c>
      <c r="JK10" s="353">
        <v>2931</v>
      </c>
      <c r="JL10" s="353">
        <v>3240</v>
      </c>
      <c r="JM10" s="353">
        <v>1894</v>
      </c>
      <c r="JN10" s="353">
        <v>2151</v>
      </c>
      <c r="JO10" s="353">
        <v>1818</v>
      </c>
      <c r="JP10" s="353">
        <v>1476</v>
      </c>
      <c r="JQ10" s="353">
        <v>1786</v>
      </c>
      <c r="JR10" s="353">
        <v>2701</v>
      </c>
      <c r="JS10" s="353">
        <v>2786</v>
      </c>
      <c r="JT10" s="353">
        <v>3416</v>
      </c>
      <c r="JU10" s="353">
        <v>2760</v>
      </c>
      <c r="JV10" s="353">
        <v>2358</v>
      </c>
      <c r="JW10" s="353">
        <v>3335</v>
      </c>
      <c r="JX10" s="353">
        <v>3629</v>
      </c>
      <c r="JY10" s="353">
        <v>3272</v>
      </c>
      <c r="JZ10" s="353">
        <v>3012</v>
      </c>
      <c r="KA10" s="353">
        <v>3880</v>
      </c>
      <c r="KB10" s="353">
        <v>3060</v>
      </c>
      <c r="KC10" s="353">
        <v>3596</v>
      </c>
      <c r="KD10" s="592">
        <v>5917</v>
      </c>
      <c r="KE10" s="592">
        <v>3958</v>
      </c>
      <c r="KF10" s="592">
        <v>4273</v>
      </c>
      <c r="KG10" s="353">
        <v>2607</v>
      </c>
      <c r="KH10" s="592">
        <v>2740</v>
      </c>
      <c r="KI10" s="592">
        <v>3341</v>
      </c>
      <c r="KJ10" s="592">
        <v>4016</v>
      </c>
      <c r="KK10" s="592">
        <v>3731</v>
      </c>
      <c r="KL10" s="592">
        <v>4166</v>
      </c>
      <c r="KM10" s="713">
        <v>4130</v>
      </c>
      <c r="KN10" s="592">
        <v>4437</v>
      </c>
      <c r="KO10" s="753">
        <v>4275</v>
      </c>
      <c r="KP10" s="753">
        <v>4525</v>
      </c>
      <c r="KQ10" s="775">
        <v>4500</v>
      </c>
      <c r="KR10" s="592">
        <v>4247</v>
      </c>
      <c r="KS10" s="828">
        <v>3596</v>
      </c>
      <c r="KT10" s="592">
        <v>3251</v>
      </c>
      <c r="KU10" s="592">
        <v>3643</v>
      </c>
      <c r="KV10" s="592">
        <v>3797</v>
      </c>
      <c r="KW10" s="592">
        <v>3353</v>
      </c>
      <c r="KX10" s="592">
        <v>3840</v>
      </c>
      <c r="KY10" s="890">
        <v>3546</v>
      </c>
      <c r="KZ10" s="592">
        <v>5045</v>
      </c>
      <c r="LA10" s="592">
        <v>4010</v>
      </c>
      <c r="LB10" s="897">
        <v>3994</v>
      </c>
      <c r="LC10" s="592">
        <v>4346</v>
      </c>
      <c r="LD10" s="592">
        <v>3245</v>
      </c>
      <c r="LE10" s="906">
        <v>4437</v>
      </c>
    </row>
    <row r="11" spans="1:317" ht="15" thickBot="1">
      <c r="A11" s="985" t="s">
        <v>89</v>
      </c>
      <c r="B11" s="986"/>
      <c r="C11" s="986"/>
      <c r="D11" s="986"/>
      <c r="E11" s="986"/>
      <c r="F11" s="986"/>
      <c r="G11" s="987"/>
      <c r="H11" s="547">
        <v>11806</v>
      </c>
      <c r="I11" s="547">
        <v>11857</v>
      </c>
      <c r="J11" s="547">
        <v>11957</v>
      </c>
      <c r="K11" s="548">
        <v>8.4338365519999996E-3</v>
      </c>
      <c r="L11" s="548">
        <v>1.2790106725E-2</v>
      </c>
      <c r="M11" s="547">
        <v>151</v>
      </c>
      <c r="N11" s="549"/>
      <c r="O11" s="550"/>
      <c r="Q11" s="985" t="s">
        <v>89</v>
      </c>
      <c r="R11" s="986"/>
      <c r="S11" s="986"/>
      <c r="T11" s="986"/>
      <c r="U11" s="986"/>
      <c r="V11" s="986"/>
      <c r="W11" s="987"/>
      <c r="X11" s="547">
        <v>35797</v>
      </c>
      <c r="Y11" s="547">
        <v>35429</v>
      </c>
      <c r="Z11" s="547">
        <v>35959</v>
      </c>
      <c r="AA11" s="548">
        <v>1.4959496457E-2</v>
      </c>
      <c r="AB11" s="548">
        <v>4.525518898E-3</v>
      </c>
      <c r="AC11" s="547">
        <v>162</v>
      </c>
      <c r="AD11" s="549"/>
      <c r="AE11" s="550"/>
      <c r="AG11" s="990" t="s">
        <v>88</v>
      </c>
      <c r="AH11" s="969"/>
      <c r="AI11" s="969"/>
      <c r="AJ11" s="969"/>
      <c r="AK11" s="969"/>
      <c r="AL11" s="969"/>
      <c r="AM11" s="970"/>
      <c r="AN11" s="555">
        <v>6030</v>
      </c>
      <c r="AO11" s="555">
        <v>5993</v>
      </c>
      <c r="AP11" s="555">
        <v>13962</v>
      </c>
      <c r="AQ11" s="556">
        <v>1.3297180043379999</v>
      </c>
      <c r="AR11" s="556">
        <v>1.315422885572</v>
      </c>
      <c r="AS11" s="555">
        <v>7932</v>
      </c>
      <c r="AT11" s="553"/>
      <c r="AU11" s="554"/>
      <c r="AW11" s="985" t="s">
        <v>89</v>
      </c>
      <c r="AX11" s="986"/>
      <c r="AY11" s="986"/>
      <c r="AZ11" s="986"/>
      <c r="BA11" s="986"/>
      <c r="BB11" s="986"/>
      <c r="BC11" s="987"/>
      <c r="BD11" s="547">
        <v>66017</v>
      </c>
      <c r="BE11" s="547">
        <v>67732</v>
      </c>
      <c r="BF11" s="547">
        <v>71803</v>
      </c>
      <c r="BG11" s="548">
        <v>6.0104529615999998E-2</v>
      </c>
      <c r="BH11" s="548">
        <v>8.7644091672999996E-2</v>
      </c>
      <c r="BI11" s="547">
        <v>5786</v>
      </c>
      <c r="BJ11" s="549"/>
      <c r="BK11" s="550"/>
      <c r="BM11" s="598"/>
      <c r="BN11" s="595"/>
      <c r="BO11" s="595"/>
      <c r="BP11" s="595"/>
      <c r="BQ11" s="595"/>
      <c r="BR11" s="595"/>
      <c r="BS11" s="596"/>
      <c r="BT11" s="555"/>
      <c r="BU11" s="555"/>
      <c r="BV11" s="555"/>
      <c r="BW11" s="556"/>
      <c r="BX11" s="556"/>
      <c r="BY11" s="555"/>
      <c r="BZ11" s="553"/>
      <c r="CA11" s="554"/>
      <c r="CC11" s="985" t="s">
        <v>89</v>
      </c>
      <c r="CD11" s="986"/>
      <c r="CE11" s="986"/>
      <c r="CF11" s="986"/>
      <c r="CG11" s="986"/>
      <c r="CH11" s="986"/>
      <c r="CI11" s="987"/>
      <c r="CJ11" s="547">
        <v>166657</v>
      </c>
      <c r="CK11" s="547">
        <v>167911</v>
      </c>
      <c r="CL11" s="547">
        <v>169038</v>
      </c>
      <c r="CM11" s="548">
        <v>6.7118890360000003E-3</v>
      </c>
      <c r="CN11" s="548">
        <v>1.4286828636000001E-2</v>
      </c>
      <c r="CO11" s="547">
        <v>2381</v>
      </c>
      <c r="CP11" s="549"/>
      <c r="CQ11" s="550"/>
      <c r="CS11" s="985" t="s">
        <v>89</v>
      </c>
      <c r="CT11" s="986"/>
      <c r="CU11" s="986"/>
      <c r="CV11" s="986"/>
      <c r="CW11" s="986"/>
      <c r="CX11" s="986"/>
      <c r="CY11" s="987"/>
      <c r="CZ11" s="547">
        <v>32482</v>
      </c>
      <c r="DA11" s="547">
        <v>32492</v>
      </c>
      <c r="DB11" s="547">
        <v>31442</v>
      </c>
      <c r="DC11" s="548">
        <v>-3.2315646928E-2</v>
      </c>
      <c r="DD11" s="548">
        <v>-3.2017732898000001E-2</v>
      </c>
      <c r="DE11" s="547">
        <v>-1040</v>
      </c>
      <c r="DF11" s="549"/>
      <c r="DG11" s="550"/>
      <c r="DI11" s="598"/>
      <c r="DJ11" s="595"/>
      <c r="DK11" s="595"/>
      <c r="DL11" s="595"/>
      <c r="DM11" s="595"/>
      <c r="DN11" s="595"/>
      <c r="DO11" s="596"/>
      <c r="DP11" s="555"/>
      <c r="DQ11" s="555"/>
      <c r="DR11" s="555"/>
      <c r="DS11" s="556"/>
      <c r="DT11" s="556"/>
      <c r="DU11" s="555"/>
      <c r="DV11" s="553"/>
      <c r="DW11" s="554"/>
      <c r="DY11" s="985" t="s">
        <v>89</v>
      </c>
      <c r="DZ11" s="986"/>
      <c r="EA11" s="986"/>
      <c r="EB11" s="986"/>
      <c r="EC11" s="986"/>
      <c r="ED11" s="986"/>
      <c r="EE11" s="987"/>
      <c r="EF11" s="547">
        <v>6640</v>
      </c>
      <c r="EG11" s="547">
        <v>6633</v>
      </c>
      <c r="EH11" s="547">
        <v>6512</v>
      </c>
      <c r="EI11" s="548">
        <v>-1.8242122719000001E-2</v>
      </c>
      <c r="EJ11" s="548">
        <v>-1.9277108433000002E-2</v>
      </c>
      <c r="EK11" s="547">
        <v>-128</v>
      </c>
      <c r="EL11" s="549"/>
      <c r="EM11" s="550"/>
      <c r="EO11" s="985" t="s">
        <v>89</v>
      </c>
      <c r="EP11" s="986"/>
      <c r="EQ11" s="986"/>
      <c r="ER11" s="986"/>
      <c r="ES11" s="986"/>
      <c r="ET11" s="986"/>
      <c r="EU11" s="987"/>
      <c r="EV11" s="547">
        <v>92208</v>
      </c>
      <c r="EW11" s="547">
        <v>93790</v>
      </c>
      <c r="EX11" s="547">
        <v>94723</v>
      </c>
      <c r="EY11" s="548">
        <v>9.9477556240000001E-3</v>
      </c>
      <c r="EZ11" s="548">
        <v>2.7275290646999999E-2</v>
      </c>
      <c r="FA11" s="547">
        <v>2515</v>
      </c>
      <c r="FB11" s="549"/>
      <c r="FC11" s="550"/>
      <c r="FE11" s="598"/>
      <c r="FF11" s="595"/>
      <c r="FG11" s="595"/>
      <c r="FH11" s="595"/>
      <c r="FI11" s="595"/>
      <c r="FJ11" s="595"/>
      <c r="FK11" s="596"/>
      <c r="FL11" s="555"/>
      <c r="FM11" s="555"/>
      <c r="FN11" s="555"/>
      <c r="FO11" s="556"/>
      <c r="FP11" s="556"/>
      <c r="FQ11" s="555"/>
      <c r="FR11" s="553"/>
      <c r="FS11" s="554"/>
      <c r="FY11" s="353">
        <v>9</v>
      </c>
      <c r="FZ11" s="353" t="s">
        <v>139</v>
      </c>
      <c r="GA11" s="354">
        <v>14919</v>
      </c>
      <c r="GB11" s="752">
        <v>16071</v>
      </c>
      <c r="GC11" s="336">
        <f t="shared" si="1"/>
        <v>7.7216971646893118E-2</v>
      </c>
      <c r="GE11" s="353">
        <v>9</v>
      </c>
      <c r="GF11" s="353" t="s">
        <v>139</v>
      </c>
      <c r="GG11" s="354">
        <v>16839</v>
      </c>
      <c r="GH11" s="752">
        <v>15665</v>
      </c>
      <c r="GI11" s="543">
        <f t="shared" si="0"/>
        <v>-6.9719104459884829E-2</v>
      </c>
      <c r="GL11" s="353">
        <v>9</v>
      </c>
      <c r="GM11" s="353" t="s">
        <v>139</v>
      </c>
      <c r="GN11" s="353">
        <v>155</v>
      </c>
      <c r="GO11" s="353">
        <v>170</v>
      </c>
      <c r="GP11" s="353">
        <v>181</v>
      </c>
      <c r="GQ11" s="353">
        <v>170</v>
      </c>
      <c r="GR11" s="353">
        <v>153</v>
      </c>
      <c r="GS11" s="353">
        <v>127</v>
      </c>
      <c r="GT11" s="353">
        <v>214</v>
      </c>
      <c r="GU11" s="353">
        <v>157</v>
      </c>
      <c r="GV11" s="353">
        <v>183</v>
      </c>
      <c r="GW11" s="353">
        <v>258</v>
      </c>
      <c r="GX11" s="353">
        <v>265</v>
      </c>
      <c r="GY11" s="353">
        <v>275</v>
      </c>
      <c r="GZ11" s="353">
        <v>277</v>
      </c>
      <c r="HA11" s="353">
        <v>227</v>
      </c>
      <c r="HB11" s="353">
        <v>257</v>
      </c>
      <c r="HC11" s="353">
        <v>203</v>
      </c>
      <c r="HD11" s="353">
        <v>104</v>
      </c>
      <c r="HE11" s="353">
        <v>132</v>
      </c>
      <c r="HF11" s="353">
        <v>134</v>
      </c>
      <c r="HG11" s="353">
        <v>179</v>
      </c>
      <c r="HH11" s="353">
        <v>265</v>
      </c>
      <c r="HI11" s="353">
        <v>210</v>
      </c>
      <c r="HJ11" s="353">
        <v>325</v>
      </c>
      <c r="HK11" s="353">
        <v>223</v>
      </c>
      <c r="HL11" s="353">
        <v>247</v>
      </c>
      <c r="HM11" s="353">
        <v>191</v>
      </c>
      <c r="HN11" s="353">
        <v>265</v>
      </c>
      <c r="HO11" s="353">
        <v>207</v>
      </c>
      <c r="HP11" s="353">
        <v>167</v>
      </c>
      <c r="HQ11" s="353">
        <v>233</v>
      </c>
      <c r="HR11" s="353">
        <v>186</v>
      </c>
      <c r="HS11" s="353">
        <v>238</v>
      </c>
      <c r="HT11" s="353">
        <v>207</v>
      </c>
      <c r="HU11" s="353">
        <v>149</v>
      </c>
      <c r="HV11" s="353">
        <v>243</v>
      </c>
      <c r="HW11" s="353">
        <v>198</v>
      </c>
      <c r="HX11" s="592">
        <v>144</v>
      </c>
      <c r="HY11" s="592">
        <v>214</v>
      </c>
      <c r="HZ11" s="592">
        <v>195</v>
      </c>
      <c r="IA11" s="592">
        <v>161</v>
      </c>
      <c r="IB11" s="592">
        <v>176</v>
      </c>
      <c r="IC11" s="592">
        <v>436</v>
      </c>
      <c r="ID11" s="742">
        <v>190</v>
      </c>
      <c r="IE11" s="753">
        <v>271</v>
      </c>
      <c r="IF11" s="753">
        <v>230</v>
      </c>
      <c r="IG11" s="775">
        <v>257</v>
      </c>
      <c r="IH11" s="742">
        <v>214</v>
      </c>
      <c r="II11" s="742">
        <v>140</v>
      </c>
      <c r="IJ11" s="592">
        <v>232</v>
      </c>
      <c r="IK11" s="862">
        <v>180</v>
      </c>
      <c r="IL11" s="862">
        <v>146</v>
      </c>
      <c r="IM11" s="862">
        <v>94</v>
      </c>
      <c r="IN11" s="862">
        <v>155</v>
      </c>
      <c r="IO11" s="890">
        <v>246</v>
      </c>
      <c r="IP11" s="890">
        <v>280</v>
      </c>
      <c r="IQ11" s="890">
        <v>207</v>
      </c>
      <c r="IR11" s="897">
        <v>187</v>
      </c>
      <c r="IS11" s="897">
        <v>251</v>
      </c>
      <c r="IT11" s="897">
        <v>167</v>
      </c>
      <c r="IU11" s="906">
        <v>190</v>
      </c>
      <c r="IW11" s="353" t="s">
        <v>139</v>
      </c>
      <c r="IX11" s="353">
        <v>155</v>
      </c>
      <c r="IY11" s="353">
        <v>170</v>
      </c>
      <c r="IZ11" s="353">
        <v>181</v>
      </c>
      <c r="JA11" s="353">
        <v>170</v>
      </c>
      <c r="JB11" s="353">
        <v>153</v>
      </c>
      <c r="JC11" s="353">
        <v>127</v>
      </c>
      <c r="JD11" s="353">
        <v>214</v>
      </c>
      <c r="JE11" s="353">
        <v>157</v>
      </c>
      <c r="JF11" s="353">
        <v>183</v>
      </c>
      <c r="JG11" s="353">
        <v>258</v>
      </c>
      <c r="JH11" s="353">
        <v>265</v>
      </c>
      <c r="JI11" s="353">
        <v>275</v>
      </c>
      <c r="JJ11" s="353">
        <v>277</v>
      </c>
      <c r="JK11" s="353">
        <v>227</v>
      </c>
      <c r="JL11" s="353">
        <v>257</v>
      </c>
      <c r="JM11" s="353">
        <v>203</v>
      </c>
      <c r="JN11" s="353">
        <v>104</v>
      </c>
      <c r="JO11" s="353">
        <v>132</v>
      </c>
      <c r="JP11" s="353">
        <v>134</v>
      </c>
      <c r="JQ11" s="353">
        <v>179</v>
      </c>
      <c r="JR11" s="353">
        <v>265</v>
      </c>
      <c r="JS11" s="353">
        <v>210</v>
      </c>
      <c r="JT11" s="353">
        <v>325</v>
      </c>
      <c r="JU11" s="353">
        <v>223</v>
      </c>
      <c r="JV11" s="353">
        <v>247</v>
      </c>
      <c r="JW11" s="353">
        <v>191</v>
      </c>
      <c r="JX11" s="353">
        <v>265</v>
      </c>
      <c r="JY11" s="353">
        <v>207</v>
      </c>
      <c r="JZ11" s="353">
        <v>167</v>
      </c>
      <c r="KA11" s="353">
        <v>233</v>
      </c>
      <c r="KB11" s="353">
        <v>186</v>
      </c>
      <c r="KC11" s="353">
        <v>238</v>
      </c>
      <c r="KD11" s="592">
        <v>207</v>
      </c>
      <c r="KE11" s="592">
        <v>149</v>
      </c>
      <c r="KF11" s="592">
        <v>243</v>
      </c>
      <c r="KG11" s="353">
        <v>198</v>
      </c>
      <c r="KH11" s="592">
        <v>144</v>
      </c>
      <c r="KI11" s="592">
        <v>214</v>
      </c>
      <c r="KJ11" s="592">
        <v>195</v>
      </c>
      <c r="KK11" s="592">
        <v>161</v>
      </c>
      <c r="KL11" s="592">
        <v>176</v>
      </c>
      <c r="KM11" s="713">
        <v>436</v>
      </c>
      <c r="KN11" s="592">
        <v>190</v>
      </c>
      <c r="KO11" s="753">
        <v>271</v>
      </c>
      <c r="KP11" s="753">
        <v>230</v>
      </c>
      <c r="KQ11" s="775">
        <v>257</v>
      </c>
      <c r="KR11" s="592">
        <v>214</v>
      </c>
      <c r="KS11" s="828">
        <v>140</v>
      </c>
      <c r="KT11" s="592">
        <v>232</v>
      </c>
      <c r="KU11" s="592">
        <v>180</v>
      </c>
      <c r="KV11" s="592">
        <v>146</v>
      </c>
      <c r="KW11" s="592">
        <v>94</v>
      </c>
      <c r="KX11" s="592">
        <v>155</v>
      </c>
      <c r="KY11" s="890">
        <v>246</v>
      </c>
      <c r="KZ11" s="592">
        <v>280</v>
      </c>
      <c r="LA11" s="592">
        <v>207</v>
      </c>
      <c r="LB11" s="897">
        <v>187</v>
      </c>
      <c r="LC11" s="592">
        <v>251</v>
      </c>
      <c r="LD11" s="592">
        <v>167</v>
      </c>
      <c r="LE11" s="906">
        <v>190</v>
      </c>
    </row>
    <row r="12" spans="1:317" ht="15" thickBot="1">
      <c r="A12" s="984" t="s">
        <v>90</v>
      </c>
      <c r="B12" s="969"/>
      <c r="C12" s="969"/>
      <c r="D12" s="969"/>
      <c r="E12" s="969"/>
      <c r="F12" s="969"/>
      <c r="G12" s="970"/>
      <c r="H12" s="551">
        <v>9155</v>
      </c>
      <c r="I12" s="551">
        <v>9278</v>
      </c>
      <c r="J12" s="551">
        <v>9325</v>
      </c>
      <c r="K12" s="552">
        <v>5.0657469280000001E-3</v>
      </c>
      <c r="L12" s="552">
        <v>1.8569087929999999E-2</v>
      </c>
      <c r="M12" s="551">
        <v>170</v>
      </c>
      <c r="N12" s="553"/>
      <c r="O12" s="554"/>
      <c r="Q12" s="984" t="s">
        <v>90</v>
      </c>
      <c r="R12" s="969"/>
      <c r="S12" s="969"/>
      <c r="T12" s="969"/>
      <c r="U12" s="969"/>
      <c r="V12" s="969"/>
      <c r="W12" s="970"/>
      <c r="X12" s="551">
        <v>22373</v>
      </c>
      <c r="Y12" s="551">
        <v>22582</v>
      </c>
      <c r="Z12" s="551">
        <v>22877</v>
      </c>
      <c r="AA12" s="552">
        <v>1.3063501904E-2</v>
      </c>
      <c r="AB12" s="552">
        <v>2.2527153264999999E-2</v>
      </c>
      <c r="AC12" s="551">
        <v>504</v>
      </c>
      <c r="AD12" s="553"/>
      <c r="AE12" s="554"/>
      <c r="AG12" s="985" t="s">
        <v>89</v>
      </c>
      <c r="AH12" s="986"/>
      <c r="AI12" s="986"/>
      <c r="AJ12" s="986"/>
      <c r="AK12" s="986"/>
      <c r="AL12" s="986"/>
      <c r="AM12" s="987"/>
      <c r="AN12" s="547">
        <v>186246</v>
      </c>
      <c r="AO12" s="547">
        <v>190230</v>
      </c>
      <c r="AP12" s="547">
        <v>190644</v>
      </c>
      <c r="AQ12" s="548">
        <v>2.1763128840000001E-3</v>
      </c>
      <c r="AR12" s="548">
        <v>2.3613929963000001E-2</v>
      </c>
      <c r="AS12" s="547">
        <v>4398</v>
      </c>
      <c r="AT12" s="549"/>
      <c r="AU12" s="550"/>
      <c r="AW12" s="984" t="s">
        <v>90</v>
      </c>
      <c r="AX12" s="969"/>
      <c r="AY12" s="969"/>
      <c r="AZ12" s="969"/>
      <c r="BA12" s="969"/>
      <c r="BB12" s="969"/>
      <c r="BC12" s="970"/>
      <c r="BD12" s="551">
        <v>27295</v>
      </c>
      <c r="BE12" s="551">
        <v>27463</v>
      </c>
      <c r="BF12" s="551">
        <v>29537</v>
      </c>
      <c r="BG12" s="552">
        <v>7.5519790263E-2</v>
      </c>
      <c r="BH12" s="552">
        <v>8.2139586003999995E-2</v>
      </c>
      <c r="BI12" s="551">
        <v>2242</v>
      </c>
      <c r="BJ12" s="553"/>
      <c r="BK12" s="554"/>
      <c r="BM12" s="985" t="s">
        <v>89</v>
      </c>
      <c r="BN12" s="986"/>
      <c r="BO12" s="986"/>
      <c r="BP12" s="986"/>
      <c r="BQ12" s="986"/>
      <c r="BR12" s="986"/>
      <c r="BS12" s="987"/>
      <c r="BT12" s="547">
        <v>3345</v>
      </c>
      <c r="BU12" s="547">
        <v>3772</v>
      </c>
      <c r="BV12" s="547">
        <v>3982</v>
      </c>
      <c r="BW12" s="548">
        <v>5.5673382819999999E-2</v>
      </c>
      <c r="BX12" s="548">
        <v>0.19043348281</v>
      </c>
      <c r="BY12" s="547">
        <v>637</v>
      </c>
      <c r="BZ12" s="549"/>
      <c r="CA12" s="550"/>
      <c r="CC12" s="984" t="s">
        <v>90</v>
      </c>
      <c r="CD12" s="969"/>
      <c r="CE12" s="969"/>
      <c r="CF12" s="969"/>
      <c r="CG12" s="969"/>
      <c r="CH12" s="969"/>
      <c r="CI12" s="970"/>
      <c r="CJ12" s="551">
        <v>73449</v>
      </c>
      <c r="CK12" s="551">
        <v>75023</v>
      </c>
      <c r="CL12" s="551">
        <v>75216</v>
      </c>
      <c r="CM12" s="552">
        <v>2.572544419E-3</v>
      </c>
      <c r="CN12" s="552">
        <v>2.4057509291999998E-2</v>
      </c>
      <c r="CO12" s="551">
        <v>1767</v>
      </c>
      <c r="CP12" s="553"/>
      <c r="CQ12" s="554"/>
      <c r="CS12" s="984" t="s">
        <v>90</v>
      </c>
      <c r="CT12" s="969"/>
      <c r="CU12" s="969"/>
      <c r="CV12" s="969"/>
      <c r="CW12" s="969"/>
      <c r="CX12" s="969"/>
      <c r="CY12" s="970"/>
      <c r="CZ12" s="551">
        <v>20319</v>
      </c>
      <c r="DA12" s="551">
        <v>20301</v>
      </c>
      <c r="DB12" s="551">
        <v>20338</v>
      </c>
      <c r="DC12" s="552">
        <v>1.822570316E-3</v>
      </c>
      <c r="DD12" s="552">
        <v>9.3508538799999996E-4</v>
      </c>
      <c r="DE12" s="551">
        <v>19</v>
      </c>
      <c r="DF12" s="553"/>
      <c r="DG12" s="554"/>
      <c r="DI12" s="985" t="s">
        <v>89</v>
      </c>
      <c r="DJ12" s="986"/>
      <c r="DK12" s="986"/>
      <c r="DL12" s="986"/>
      <c r="DM12" s="986"/>
      <c r="DN12" s="986"/>
      <c r="DO12" s="987"/>
      <c r="DP12" s="547">
        <v>34375</v>
      </c>
      <c r="DQ12" s="547">
        <v>36511</v>
      </c>
      <c r="DR12" s="547">
        <v>36451</v>
      </c>
      <c r="DS12" s="548">
        <v>-1.6433403629999999E-3</v>
      </c>
      <c r="DT12" s="548">
        <v>6.0392727271999999E-2</v>
      </c>
      <c r="DU12" s="547">
        <v>2076</v>
      </c>
      <c r="DV12" s="549"/>
      <c r="DW12" s="550"/>
      <c r="DY12" s="984" t="s">
        <v>90</v>
      </c>
      <c r="DZ12" s="969"/>
      <c r="EA12" s="969"/>
      <c r="EB12" s="969"/>
      <c r="EC12" s="969"/>
      <c r="ED12" s="969"/>
      <c r="EE12" s="970"/>
      <c r="EF12" s="551">
        <v>919</v>
      </c>
      <c r="EG12" s="551">
        <v>860</v>
      </c>
      <c r="EH12" s="551">
        <v>862</v>
      </c>
      <c r="EI12" s="552">
        <v>2.3255813949999999E-3</v>
      </c>
      <c r="EJ12" s="552">
        <v>-6.2023939064E-2</v>
      </c>
      <c r="EK12" s="551">
        <v>-57</v>
      </c>
      <c r="EL12" s="553"/>
      <c r="EM12" s="554"/>
      <c r="EO12" s="984" t="s">
        <v>90</v>
      </c>
      <c r="EP12" s="969"/>
      <c r="EQ12" s="969"/>
      <c r="ER12" s="969"/>
      <c r="ES12" s="969"/>
      <c r="ET12" s="969"/>
      <c r="EU12" s="970"/>
      <c r="EV12" s="551">
        <v>57844</v>
      </c>
      <c r="EW12" s="551">
        <v>58197</v>
      </c>
      <c r="EX12" s="551">
        <v>58577</v>
      </c>
      <c r="EY12" s="552">
        <v>6.5295461959999999E-3</v>
      </c>
      <c r="EZ12" s="552">
        <v>1.2672014383E-2</v>
      </c>
      <c r="FA12" s="551">
        <v>733</v>
      </c>
      <c r="FB12" s="553"/>
      <c r="FC12" s="554"/>
      <c r="FE12" s="985" t="s">
        <v>89</v>
      </c>
      <c r="FF12" s="986"/>
      <c r="FG12" s="986"/>
      <c r="FH12" s="986"/>
      <c r="FI12" s="986"/>
      <c r="FJ12" s="986"/>
      <c r="FK12" s="987"/>
      <c r="FL12" s="547">
        <v>19394</v>
      </c>
      <c r="FM12" s="547">
        <v>19185</v>
      </c>
      <c r="FN12" s="547">
        <v>19264</v>
      </c>
      <c r="FO12" s="548">
        <v>4.1178003639999999E-3</v>
      </c>
      <c r="FP12" s="548">
        <v>-6.7031040520000003E-3</v>
      </c>
      <c r="FQ12" s="547">
        <v>-130</v>
      </c>
      <c r="FR12" s="549"/>
      <c r="FS12" s="550"/>
      <c r="FY12" s="353">
        <v>10</v>
      </c>
      <c r="FZ12" s="353" t="s">
        <v>141</v>
      </c>
      <c r="GA12" s="354">
        <v>97932</v>
      </c>
      <c r="GB12" s="752">
        <v>96813</v>
      </c>
      <c r="GC12" s="336">
        <f t="shared" si="1"/>
        <v>-1.1426295797083652E-2</v>
      </c>
      <c r="GE12" s="353">
        <v>10</v>
      </c>
      <c r="GF12" s="353" t="s">
        <v>141</v>
      </c>
      <c r="GG12" s="354">
        <v>80434</v>
      </c>
      <c r="GH12" s="752">
        <v>78304</v>
      </c>
      <c r="GI12" s="543">
        <f t="shared" si="0"/>
        <v>-2.6481338737349924E-2</v>
      </c>
      <c r="GL12" s="353">
        <v>10</v>
      </c>
      <c r="GM12" s="353" t="s">
        <v>141</v>
      </c>
      <c r="GN12" s="353">
        <v>1278</v>
      </c>
      <c r="GO12" s="353">
        <v>983</v>
      </c>
      <c r="GP12" s="353">
        <v>1093</v>
      </c>
      <c r="GQ12" s="353">
        <v>1109</v>
      </c>
      <c r="GR12" s="353">
        <v>1672</v>
      </c>
      <c r="GS12" s="353">
        <v>1045</v>
      </c>
      <c r="GT12" s="353">
        <v>959</v>
      </c>
      <c r="GU12" s="353">
        <v>732</v>
      </c>
      <c r="GV12" s="353">
        <v>754</v>
      </c>
      <c r="GW12" s="353">
        <v>1141</v>
      </c>
      <c r="GX12" s="353">
        <v>1205</v>
      </c>
      <c r="GY12" s="353">
        <v>1364</v>
      </c>
      <c r="GZ12" s="353">
        <v>1532</v>
      </c>
      <c r="HA12" s="353">
        <v>1750</v>
      </c>
      <c r="HB12" s="353">
        <v>915</v>
      </c>
      <c r="HC12" s="353">
        <v>613</v>
      </c>
      <c r="HD12" s="353">
        <v>531</v>
      </c>
      <c r="HE12" s="353">
        <v>728</v>
      </c>
      <c r="HF12" s="353">
        <v>819</v>
      </c>
      <c r="HG12" s="353">
        <v>915</v>
      </c>
      <c r="HH12" s="353">
        <v>1123</v>
      </c>
      <c r="HI12" s="353">
        <v>949</v>
      </c>
      <c r="HJ12" s="353">
        <v>879</v>
      </c>
      <c r="HK12" s="353">
        <v>921</v>
      </c>
      <c r="HL12" s="353">
        <v>943</v>
      </c>
      <c r="HM12" s="353">
        <v>1462</v>
      </c>
      <c r="HN12" s="353">
        <v>2085</v>
      </c>
      <c r="HO12" s="353">
        <v>1614</v>
      </c>
      <c r="HP12" s="353">
        <v>1331</v>
      </c>
      <c r="HQ12" s="353">
        <v>1750</v>
      </c>
      <c r="HR12" s="353">
        <v>845</v>
      </c>
      <c r="HS12" s="353">
        <v>974</v>
      </c>
      <c r="HT12" s="353">
        <v>1041</v>
      </c>
      <c r="HU12" s="353">
        <v>1193</v>
      </c>
      <c r="HV12" s="353">
        <v>1119</v>
      </c>
      <c r="HW12" s="353">
        <v>1176</v>
      </c>
      <c r="HX12" s="592">
        <v>986</v>
      </c>
      <c r="HY12" s="592">
        <v>1494</v>
      </c>
      <c r="HZ12" s="592">
        <v>1955</v>
      </c>
      <c r="IA12" s="592">
        <v>1235</v>
      </c>
      <c r="IB12" s="592">
        <v>1368</v>
      </c>
      <c r="IC12" s="592">
        <v>1119</v>
      </c>
      <c r="ID12" s="742">
        <v>1016</v>
      </c>
      <c r="IE12" s="753">
        <v>1127</v>
      </c>
      <c r="IF12" s="753">
        <v>1466</v>
      </c>
      <c r="IG12" s="775">
        <v>1131</v>
      </c>
      <c r="IH12" s="742">
        <v>1252</v>
      </c>
      <c r="II12" s="742">
        <v>1170</v>
      </c>
      <c r="IJ12" s="592">
        <v>1244</v>
      </c>
      <c r="IK12" s="862">
        <v>1343</v>
      </c>
      <c r="IL12" s="862">
        <v>1425</v>
      </c>
      <c r="IM12" s="862">
        <v>1163</v>
      </c>
      <c r="IN12" s="862">
        <v>1227</v>
      </c>
      <c r="IO12" s="890">
        <v>703</v>
      </c>
      <c r="IP12" s="890">
        <v>910</v>
      </c>
      <c r="IQ12" s="890">
        <v>1188</v>
      </c>
      <c r="IR12" s="897">
        <v>869</v>
      </c>
      <c r="IS12" s="897">
        <v>1053</v>
      </c>
      <c r="IT12" s="897">
        <v>966</v>
      </c>
      <c r="IU12" s="906">
        <v>1016</v>
      </c>
      <c r="IW12" s="353" t="s">
        <v>141</v>
      </c>
      <c r="IX12" s="353">
        <v>1278</v>
      </c>
      <c r="IY12" s="353">
        <v>983</v>
      </c>
      <c r="IZ12" s="353">
        <v>1093</v>
      </c>
      <c r="JA12" s="353">
        <v>1109</v>
      </c>
      <c r="JB12" s="353">
        <v>1672</v>
      </c>
      <c r="JC12" s="353">
        <v>1045</v>
      </c>
      <c r="JD12" s="353">
        <v>959</v>
      </c>
      <c r="JE12" s="353">
        <v>732</v>
      </c>
      <c r="JF12" s="353">
        <v>754</v>
      </c>
      <c r="JG12" s="353">
        <v>1141</v>
      </c>
      <c r="JH12" s="353">
        <v>1205</v>
      </c>
      <c r="JI12" s="353">
        <v>1364</v>
      </c>
      <c r="JJ12" s="353">
        <v>1532</v>
      </c>
      <c r="JK12" s="353">
        <v>1750</v>
      </c>
      <c r="JL12" s="353">
        <v>915</v>
      </c>
      <c r="JM12" s="353">
        <v>613</v>
      </c>
      <c r="JN12" s="353">
        <v>531</v>
      </c>
      <c r="JO12" s="353">
        <v>728</v>
      </c>
      <c r="JP12" s="353">
        <v>819</v>
      </c>
      <c r="JQ12" s="353">
        <v>915</v>
      </c>
      <c r="JR12" s="353">
        <v>1123</v>
      </c>
      <c r="JS12" s="353">
        <v>949</v>
      </c>
      <c r="JT12" s="353">
        <v>879</v>
      </c>
      <c r="JU12" s="353">
        <v>921</v>
      </c>
      <c r="JV12" s="353">
        <v>943</v>
      </c>
      <c r="JW12" s="353">
        <v>1462</v>
      </c>
      <c r="JX12" s="353">
        <v>2085</v>
      </c>
      <c r="JY12" s="353">
        <v>1614</v>
      </c>
      <c r="JZ12" s="353">
        <v>1331</v>
      </c>
      <c r="KA12" s="353">
        <v>1750</v>
      </c>
      <c r="KB12" s="353">
        <v>845</v>
      </c>
      <c r="KC12" s="353">
        <v>974</v>
      </c>
      <c r="KD12" s="592">
        <v>1041</v>
      </c>
      <c r="KE12" s="592">
        <v>1193</v>
      </c>
      <c r="KF12" s="592">
        <v>1119</v>
      </c>
      <c r="KG12" s="353">
        <v>1176</v>
      </c>
      <c r="KH12" s="592">
        <v>986</v>
      </c>
      <c r="KI12" s="592">
        <v>1494</v>
      </c>
      <c r="KJ12" s="592">
        <v>1955</v>
      </c>
      <c r="KK12" s="592">
        <v>1235</v>
      </c>
      <c r="KL12" s="592">
        <v>1368</v>
      </c>
      <c r="KM12" s="713">
        <v>1119</v>
      </c>
      <c r="KN12" s="592">
        <v>1016</v>
      </c>
      <c r="KO12" s="753">
        <v>1127</v>
      </c>
      <c r="KP12" s="753">
        <v>1466</v>
      </c>
      <c r="KQ12" s="775">
        <v>1131</v>
      </c>
      <c r="KR12" s="592">
        <v>1252</v>
      </c>
      <c r="KS12" s="828">
        <v>1170</v>
      </c>
      <c r="KT12" s="592">
        <v>1244</v>
      </c>
      <c r="KU12" s="592">
        <v>1343</v>
      </c>
      <c r="KV12" s="592">
        <v>1425</v>
      </c>
      <c r="KW12" s="592">
        <v>1163</v>
      </c>
      <c r="KX12" s="592">
        <v>1227</v>
      </c>
      <c r="KY12" s="890">
        <v>703</v>
      </c>
      <c r="KZ12" s="592">
        <v>910</v>
      </c>
      <c r="LA12" s="592">
        <v>1188</v>
      </c>
      <c r="LB12" s="897">
        <v>869</v>
      </c>
      <c r="LC12" s="592">
        <v>1053</v>
      </c>
      <c r="LD12" s="592">
        <v>966</v>
      </c>
      <c r="LE12" s="906">
        <v>1016</v>
      </c>
    </row>
    <row r="13" spans="1:317" ht="15" thickBot="1">
      <c r="A13" s="990" t="s">
        <v>91</v>
      </c>
      <c r="B13" s="969"/>
      <c r="C13" s="969"/>
      <c r="D13" s="969"/>
      <c r="E13" s="969"/>
      <c r="F13" s="969"/>
      <c r="G13" s="970"/>
      <c r="H13" s="555">
        <v>1367</v>
      </c>
      <c r="I13" s="555">
        <v>1383</v>
      </c>
      <c r="J13" s="555">
        <v>1406</v>
      </c>
      <c r="K13" s="556">
        <v>1.6630513376000002E-2</v>
      </c>
      <c r="L13" s="556">
        <v>2.8529626919999999E-2</v>
      </c>
      <c r="M13" s="555">
        <v>39</v>
      </c>
      <c r="N13" s="553"/>
      <c r="O13" s="554"/>
      <c r="Q13" s="990" t="s">
        <v>91</v>
      </c>
      <c r="R13" s="969"/>
      <c r="S13" s="969"/>
      <c r="T13" s="969"/>
      <c r="U13" s="969"/>
      <c r="V13" s="969"/>
      <c r="W13" s="970"/>
      <c r="X13" s="555">
        <v>1097</v>
      </c>
      <c r="Y13" s="555">
        <v>1093</v>
      </c>
      <c r="Z13" s="555">
        <v>1126</v>
      </c>
      <c r="AA13" s="556">
        <v>3.0192131747000001E-2</v>
      </c>
      <c r="AB13" s="556">
        <v>2.6435733818999999E-2</v>
      </c>
      <c r="AC13" s="555">
        <v>29</v>
      </c>
      <c r="AD13" s="553"/>
      <c r="AE13" s="554"/>
      <c r="AG13" s="984" t="s">
        <v>90</v>
      </c>
      <c r="AH13" s="969"/>
      <c r="AI13" s="969"/>
      <c r="AJ13" s="969"/>
      <c r="AK13" s="969"/>
      <c r="AL13" s="969"/>
      <c r="AM13" s="970"/>
      <c r="AN13" s="551">
        <v>68830</v>
      </c>
      <c r="AO13" s="551">
        <v>69458</v>
      </c>
      <c r="AP13" s="551">
        <v>69364</v>
      </c>
      <c r="AQ13" s="552">
        <v>-1.3533358279999999E-3</v>
      </c>
      <c r="AR13" s="552">
        <v>7.7582449510000002E-3</v>
      </c>
      <c r="AS13" s="551">
        <v>534</v>
      </c>
      <c r="AT13" s="553"/>
      <c r="AU13" s="554"/>
      <c r="AW13" s="990" t="s">
        <v>91</v>
      </c>
      <c r="AX13" s="969"/>
      <c r="AY13" s="969"/>
      <c r="AZ13" s="969"/>
      <c r="BA13" s="969"/>
      <c r="BB13" s="969"/>
      <c r="BC13" s="970"/>
      <c r="BD13" s="555">
        <v>8746</v>
      </c>
      <c r="BE13" s="555">
        <v>8512</v>
      </c>
      <c r="BF13" s="555">
        <v>9154</v>
      </c>
      <c r="BG13" s="556">
        <v>7.5422932329999998E-2</v>
      </c>
      <c r="BH13" s="556">
        <v>4.6649897094999997E-2</v>
      </c>
      <c r="BI13" s="555">
        <v>408</v>
      </c>
      <c r="BJ13" s="553"/>
      <c r="BK13" s="554"/>
      <c r="BM13" s="984" t="s">
        <v>90</v>
      </c>
      <c r="BN13" s="969"/>
      <c r="BO13" s="969"/>
      <c r="BP13" s="969"/>
      <c r="BQ13" s="969"/>
      <c r="BR13" s="969"/>
      <c r="BS13" s="970"/>
      <c r="BT13" s="551">
        <v>248</v>
      </c>
      <c r="BU13" s="551">
        <v>261</v>
      </c>
      <c r="BV13" s="551">
        <v>263</v>
      </c>
      <c r="BW13" s="552">
        <v>7.6628352490000001E-3</v>
      </c>
      <c r="BX13" s="552">
        <v>6.0483870967000003E-2</v>
      </c>
      <c r="BY13" s="551">
        <v>15</v>
      </c>
      <c r="BZ13" s="553"/>
      <c r="CA13" s="554"/>
      <c r="CC13" s="990" t="s">
        <v>91</v>
      </c>
      <c r="CD13" s="969"/>
      <c r="CE13" s="969"/>
      <c r="CF13" s="969"/>
      <c r="CG13" s="969"/>
      <c r="CH13" s="969"/>
      <c r="CI13" s="970"/>
      <c r="CJ13" s="555">
        <v>6930</v>
      </c>
      <c r="CK13" s="555">
        <v>7060</v>
      </c>
      <c r="CL13" s="555">
        <v>7169</v>
      </c>
      <c r="CM13" s="556">
        <v>1.5439093484000001E-2</v>
      </c>
      <c r="CN13" s="556">
        <v>3.4487734487000002E-2</v>
      </c>
      <c r="CO13" s="555">
        <v>239</v>
      </c>
      <c r="CP13" s="553"/>
      <c r="CQ13" s="554"/>
      <c r="CS13" s="990" t="s">
        <v>91</v>
      </c>
      <c r="CT13" s="969"/>
      <c r="CU13" s="969"/>
      <c r="CV13" s="969"/>
      <c r="CW13" s="969"/>
      <c r="CX13" s="969"/>
      <c r="CY13" s="970"/>
      <c r="CZ13" s="555">
        <v>2404</v>
      </c>
      <c r="DA13" s="555">
        <v>2410</v>
      </c>
      <c r="DB13" s="555">
        <v>2236</v>
      </c>
      <c r="DC13" s="556">
        <v>-7.2199170123999998E-2</v>
      </c>
      <c r="DD13" s="556">
        <v>-6.9883527454000005E-2</v>
      </c>
      <c r="DE13" s="555">
        <v>-168</v>
      </c>
      <c r="DF13" s="553"/>
      <c r="DG13" s="554"/>
      <c r="DI13" s="984" t="s">
        <v>90</v>
      </c>
      <c r="DJ13" s="969"/>
      <c r="DK13" s="969"/>
      <c r="DL13" s="969"/>
      <c r="DM13" s="969"/>
      <c r="DN13" s="969"/>
      <c r="DO13" s="970"/>
      <c r="DP13" s="551">
        <v>22107</v>
      </c>
      <c r="DQ13" s="551">
        <v>22814</v>
      </c>
      <c r="DR13" s="551">
        <v>22808</v>
      </c>
      <c r="DS13" s="552">
        <v>-2.62996405E-4</v>
      </c>
      <c r="DT13" s="552">
        <v>3.1709413307999999E-2</v>
      </c>
      <c r="DU13" s="551">
        <v>701</v>
      </c>
      <c r="DV13" s="553"/>
      <c r="DW13" s="554"/>
      <c r="DY13" s="990" t="s">
        <v>91</v>
      </c>
      <c r="DZ13" s="969"/>
      <c r="EA13" s="969"/>
      <c r="EB13" s="969"/>
      <c r="EC13" s="969"/>
      <c r="ED13" s="969"/>
      <c r="EE13" s="970"/>
      <c r="EF13" s="555">
        <v>589</v>
      </c>
      <c r="EG13" s="555">
        <v>579</v>
      </c>
      <c r="EH13" s="555">
        <v>574</v>
      </c>
      <c r="EI13" s="556">
        <v>-8.6355785830000004E-3</v>
      </c>
      <c r="EJ13" s="556">
        <v>-2.5466893038999999E-2</v>
      </c>
      <c r="EK13" s="555">
        <v>-15</v>
      </c>
      <c r="EL13" s="553"/>
      <c r="EM13" s="554"/>
      <c r="EO13" s="990" t="s">
        <v>91</v>
      </c>
      <c r="EP13" s="969"/>
      <c r="EQ13" s="969"/>
      <c r="ER13" s="969"/>
      <c r="ES13" s="969"/>
      <c r="ET13" s="969"/>
      <c r="EU13" s="970"/>
      <c r="EV13" s="555">
        <v>2878</v>
      </c>
      <c r="EW13" s="555">
        <v>3043</v>
      </c>
      <c r="EX13" s="555">
        <v>3138</v>
      </c>
      <c r="EY13" s="556">
        <v>3.1219191587000001E-2</v>
      </c>
      <c r="EZ13" s="556">
        <v>9.0340514245999995E-2</v>
      </c>
      <c r="FA13" s="555">
        <v>260</v>
      </c>
      <c r="FB13" s="553"/>
      <c r="FC13" s="554"/>
      <c r="FE13" s="984" t="s">
        <v>90</v>
      </c>
      <c r="FF13" s="969"/>
      <c r="FG13" s="969"/>
      <c r="FH13" s="969"/>
      <c r="FI13" s="969"/>
      <c r="FJ13" s="969"/>
      <c r="FK13" s="970"/>
      <c r="FL13" s="551">
        <v>3288</v>
      </c>
      <c r="FM13" s="551">
        <v>3337</v>
      </c>
      <c r="FN13" s="551">
        <v>3349</v>
      </c>
      <c r="FO13" s="552">
        <v>3.596044351E-3</v>
      </c>
      <c r="FP13" s="552">
        <v>1.8552311435E-2</v>
      </c>
      <c r="FQ13" s="551">
        <v>61</v>
      </c>
      <c r="FR13" s="553"/>
      <c r="FS13" s="554"/>
      <c r="FY13" s="353">
        <v>11</v>
      </c>
      <c r="FZ13" s="353" t="s">
        <v>140</v>
      </c>
      <c r="GA13" s="354">
        <v>23153</v>
      </c>
      <c r="GB13" s="752">
        <v>23774</v>
      </c>
      <c r="GC13" s="336">
        <f>+GB13/GA13-1</f>
        <v>2.6821578197209872E-2</v>
      </c>
      <c r="GE13" s="353">
        <v>11</v>
      </c>
      <c r="GF13" s="353" t="s">
        <v>140</v>
      </c>
      <c r="GG13" s="354">
        <v>28231</v>
      </c>
      <c r="GH13" s="752">
        <v>30428</v>
      </c>
      <c r="GI13" s="543">
        <f t="shared" si="0"/>
        <v>7.7822252134178704E-2</v>
      </c>
      <c r="GL13" s="353">
        <v>11</v>
      </c>
      <c r="GM13" s="353" t="s">
        <v>140</v>
      </c>
      <c r="GN13" s="353">
        <v>232</v>
      </c>
      <c r="GO13" s="353">
        <v>230</v>
      </c>
      <c r="GP13" s="353">
        <v>353</v>
      </c>
      <c r="GQ13" s="353">
        <v>314</v>
      </c>
      <c r="GR13" s="353">
        <v>192</v>
      </c>
      <c r="GS13" s="353">
        <v>153</v>
      </c>
      <c r="GT13" s="353">
        <v>189</v>
      </c>
      <c r="GU13" s="353">
        <v>219</v>
      </c>
      <c r="GV13" s="353">
        <v>1372</v>
      </c>
      <c r="GW13" s="353">
        <v>1331</v>
      </c>
      <c r="GX13" s="353">
        <v>733</v>
      </c>
      <c r="GY13" s="353">
        <v>1002</v>
      </c>
      <c r="GZ13" s="353">
        <v>743</v>
      </c>
      <c r="HA13" s="353">
        <v>817</v>
      </c>
      <c r="HB13" s="353">
        <v>750</v>
      </c>
      <c r="HC13" s="353">
        <v>1028</v>
      </c>
      <c r="HD13" s="353">
        <v>439</v>
      </c>
      <c r="HE13" s="353">
        <v>423</v>
      </c>
      <c r="HF13" s="353">
        <v>249</v>
      </c>
      <c r="HG13" s="353">
        <v>170</v>
      </c>
      <c r="HH13" s="353">
        <v>194</v>
      </c>
      <c r="HI13" s="353">
        <v>182</v>
      </c>
      <c r="HJ13" s="353">
        <v>208</v>
      </c>
      <c r="HK13" s="353">
        <v>264</v>
      </c>
      <c r="HL13" s="353">
        <v>506</v>
      </c>
      <c r="HM13" s="353">
        <v>194</v>
      </c>
      <c r="HN13" s="353">
        <v>109</v>
      </c>
      <c r="HO13" s="353">
        <v>80</v>
      </c>
      <c r="HP13" s="353">
        <v>124</v>
      </c>
      <c r="HQ13" s="353">
        <v>141</v>
      </c>
      <c r="HR13" s="353">
        <v>173</v>
      </c>
      <c r="HS13" s="353">
        <v>117</v>
      </c>
      <c r="HT13" s="353">
        <v>169</v>
      </c>
      <c r="HU13" s="353">
        <v>140</v>
      </c>
      <c r="HV13" s="353">
        <v>156</v>
      </c>
      <c r="HW13" s="353">
        <v>98</v>
      </c>
      <c r="HX13" s="592">
        <v>468</v>
      </c>
      <c r="HY13" s="592">
        <v>170</v>
      </c>
      <c r="HZ13" s="592">
        <v>193</v>
      </c>
      <c r="IA13" s="592">
        <v>268</v>
      </c>
      <c r="IB13" s="592">
        <v>181</v>
      </c>
      <c r="IC13" s="592">
        <v>193</v>
      </c>
      <c r="ID13" s="742">
        <v>116</v>
      </c>
      <c r="IE13" s="753">
        <v>155</v>
      </c>
      <c r="IF13" s="753">
        <v>176</v>
      </c>
      <c r="IG13" s="775">
        <v>446</v>
      </c>
      <c r="IH13" s="742">
        <v>281</v>
      </c>
      <c r="II13" s="742">
        <v>143</v>
      </c>
      <c r="IJ13" s="592">
        <v>719</v>
      </c>
      <c r="IK13" s="862">
        <v>252</v>
      </c>
      <c r="IL13" s="862">
        <v>166</v>
      </c>
      <c r="IM13" s="862">
        <v>124</v>
      </c>
      <c r="IN13" s="862">
        <v>218</v>
      </c>
      <c r="IO13" s="890">
        <v>238</v>
      </c>
      <c r="IP13" s="890">
        <v>177</v>
      </c>
      <c r="IQ13" s="890">
        <v>131</v>
      </c>
      <c r="IR13" s="897">
        <v>130</v>
      </c>
      <c r="IS13" s="897">
        <v>293</v>
      </c>
      <c r="IT13" s="897">
        <v>210</v>
      </c>
      <c r="IU13" s="906">
        <v>116</v>
      </c>
      <c r="IW13" s="353" t="s">
        <v>140</v>
      </c>
      <c r="IX13" s="353">
        <v>232</v>
      </c>
      <c r="IY13" s="353">
        <v>230</v>
      </c>
      <c r="IZ13" s="353">
        <v>353</v>
      </c>
      <c r="JA13" s="353">
        <v>314</v>
      </c>
      <c r="JB13" s="353">
        <v>192</v>
      </c>
      <c r="JC13" s="353">
        <v>153</v>
      </c>
      <c r="JD13" s="353">
        <v>189</v>
      </c>
      <c r="JE13" s="353">
        <v>219</v>
      </c>
      <c r="JF13" s="353">
        <v>1372</v>
      </c>
      <c r="JG13" s="353">
        <v>1331</v>
      </c>
      <c r="JH13" s="353">
        <v>733</v>
      </c>
      <c r="JI13" s="353">
        <v>1002</v>
      </c>
      <c r="JJ13" s="353">
        <v>743</v>
      </c>
      <c r="JK13" s="353">
        <v>817</v>
      </c>
      <c r="JL13" s="353">
        <v>750</v>
      </c>
      <c r="JM13" s="353">
        <v>1028</v>
      </c>
      <c r="JN13" s="353">
        <v>439</v>
      </c>
      <c r="JO13" s="353">
        <v>423</v>
      </c>
      <c r="JP13" s="353">
        <v>249</v>
      </c>
      <c r="JQ13" s="353">
        <v>170</v>
      </c>
      <c r="JR13" s="353">
        <v>194</v>
      </c>
      <c r="JS13" s="353">
        <v>182</v>
      </c>
      <c r="JT13" s="353">
        <v>208</v>
      </c>
      <c r="JU13" s="353">
        <v>264</v>
      </c>
      <c r="JV13" s="353">
        <v>506</v>
      </c>
      <c r="JW13" s="353">
        <v>194</v>
      </c>
      <c r="JX13" s="353">
        <v>109</v>
      </c>
      <c r="JY13" s="353">
        <v>80</v>
      </c>
      <c r="JZ13" s="353">
        <v>124</v>
      </c>
      <c r="KA13" s="353">
        <v>141</v>
      </c>
      <c r="KB13" s="353">
        <v>173</v>
      </c>
      <c r="KC13" s="353">
        <v>117</v>
      </c>
      <c r="KD13" s="592">
        <v>169</v>
      </c>
      <c r="KE13" s="592">
        <v>140</v>
      </c>
      <c r="KF13" s="592">
        <v>156</v>
      </c>
      <c r="KG13" s="353">
        <v>98</v>
      </c>
      <c r="KH13" s="592">
        <v>468</v>
      </c>
      <c r="KI13" s="592">
        <v>170</v>
      </c>
      <c r="KJ13" s="592">
        <v>193</v>
      </c>
      <c r="KK13" s="592">
        <v>268</v>
      </c>
      <c r="KL13" s="592">
        <v>181</v>
      </c>
      <c r="KM13" s="713">
        <v>193</v>
      </c>
      <c r="KN13" s="592">
        <v>116</v>
      </c>
      <c r="KO13" s="753">
        <v>155</v>
      </c>
      <c r="KP13" s="753">
        <v>176</v>
      </c>
      <c r="KQ13" s="775">
        <v>446</v>
      </c>
      <c r="KR13" s="592">
        <v>281</v>
      </c>
      <c r="KS13" s="828">
        <v>143</v>
      </c>
      <c r="KT13" s="592">
        <v>719</v>
      </c>
      <c r="KU13" s="592">
        <v>252</v>
      </c>
      <c r="KV13" s="592">
        <v>166</v>
      </c>
      <c r="KW13" s="592">
        <v>124</v>
      </c>
      <c r="KX13" s="592">
        <v>218</v>
      </c>
      <c r="KY13" s="890">
        <v>238</v>
      </c>
      <c r="KZ13" s="592">
        <v>177</v>
      </c>
      <c r="LA13" s="592">
        <v>131</v>
      </c>
      <c r="LB13" s="897">
        <v>130</v>
      </c>
      <c r="LC13" s="592">
        <v>293</v>
      </c>
      <c r="LD13" s="592">
        <v>210</v>
      </c>
      <c r="LE13" s="906">
        <v>116</v>
      </c>
    </row>
    <row r="14" spans="1:317" ht="15" thickBot="1">
      <c r="A14" s="990" t="s">
        <v>92</v>
      </c>
      <c r="B14" s="969"/>
      <c r="C14" s="969"/>
      <c r="D14" s="969"/>
      <c r="E14" s="969"/>
      <c r="F14" s="969"/>
      <c r="G14" s="970"/>
      <c r="H14" s="555">
        <v>10312</v>
      </c>
      <c r="I14" s="555">
        <v>10343</v>
      </c>
      <c r="J14" s="555">
        <v>10415</v>
      </c>
      <c r="K14" s="556">
        <v>6.961229817E-3</v>
      </c>
      <c r="L14" s="556">
        <v>9.9883630719999998E-3</v>
      </c>
      <c r="M14" s="555">
        <v>103</v>
      </c>
      <c r="N14" s="553"/>
      <c r="O14" s="554"/>
      <c r="Q14" s="990" t="s">
        <v>92</v>
      </c>
      <c r="R14" s="969"/>
      <c r="S14" s="969"/>
      <c r="T14" s="969"/>
      <c r="U14" s="969"/>
      <c r="V14" s="969"/>
      <c r="W14" s="970"/>
      <c r="X14" s="555">
        <v>34226</v>
      </c>
      <c r="Y14" s="555">
        <v>33843</v>
      </c>
      <c r="Z14" s="555">
        <v>34326</v>
      </c>
      <c r="AA14" s="556">
        <v>1.4271784415999999E-2</v>
      </c>
      <c r="AB14" s="556">
        <v>2.92175539E-3</v>
      </c>
      <c r="AC14" s="555">
        <v>100</v>
      </c>
      <c r="AD14" s="553"/>
      <c r="AE14" s="554"/>
      <c r="AG14" s="990" t="s">
        <v>126</v>
      </c>
      <c r="AH14" s="969"/>
      <c r="AI14" s="969"/>
      <c r="AJ14" s="969"/>
      <c r="AK14" s="969"/>
      <c r="AL14" s="969"/>
      <c r="AM14" s="970"/>
      <c r="AN14" s="555">
        <v>0</v>
      </c>
      <c r="AO14" s="555">
        <v>0</v>
      </c>
      <c r="AP14" s="555">
        <v>0</v>
      </c>
      <c r="AQ14" s="553"/>
      <c r="AR14" s="553"/>
      <c r="AS14" s="555">
        <v>0</v>
      </c>
      <c r="AT14" s="553"/>
      <c r="AU14" s="554"/>
      <c r="AW14" s="990" t="s">
        <v>92</v>
      </c>
      <c r="AX14" s="969"/>
      <c r="AY14" s="969"/>
      <c r="AZ14" s="969"/>
      <c r="BA14" s="969"/>
      <c r="BB14" s="969"/>
      <c r="BC14" s="970"/>
      <c r="BD14" s="555">
        <v>55212</v>
      </c>
      <c r="BE14" s="555">
        <v>57164</v>
      </c>
      <c r="BF14" s="555">
        <v>60439</v>
      </c>
      <c r="BG14" s="556">
        <v>5.7291302218000002E-2</v>
      </c>
      <c r="BH14" s="556">
        <v>9.4671448234999997E-2</v>
      </c>
      <c r="BI14" s="555">
        <v>5227</v>
      </c>
      <c r="BJ14" s="553"/>
      <c r="BK14" s="554"/>
      <c r="BM14" s="990" t="s">
        <v>91</v>
      </c>
      <c r="BN14" s="969"/>
      <c r="BO14" s="969"/>
      <c r="BP14" s="969"/>
      <c r="BQ14" s="969"/>
      <c r="BR14" s="969"/>
      <c r="BS14" s="970"/>
      <c r="BT14" s="555">
        <v>1589</v>
      </c>
      <c r="BU14" s="555">
        <v>1772</v>
      </c>
      <c r="BV14" s="555">
        <v>1835</v>
      </c>
      <c r="BW14" s="556">
        <v>3.5553047403999997E-2</v>
      </c>
      <c r="BX14" s="556">
        <v>0.15481434864599999</v>
      </c>
      <c r="BY14" s="555">
        <v>246</v>
      </c>
      <c r="BZ14" s="553"/>
      <c r="CA14" s="554"/>
      <c r="CC14" s="990" t="s">
        <v>92</v>
      </c>
      <c r="CD14" s="969"/>
      <c r="CE14" s="969"/>
      <c r="CF14" s="969"/>
      <c r="CG14" s="969"/>
      <c r="CH14" s="969"/>
      <c r="CI14" s="970"/>
      <c r="CJ14" s="555">
        <v>158576</v>
      </c>
      <c r="CK14" s="555">
        <v>159680</v>
      </c>
      <c r="CL14" s="555">
        <v>160705</v>
      </c>
      <c r="CM14" s="556">
        <v>6.419088176E-3</v>
      </c>
      <c r="CN14" s="556">
        <v>1.3425739076999999E-2</v>
      </c>
      <c r="CO14" s="555">
        <v>2129</v>
      </c>
      <c r="CP14" s="553"/>
      <c r="CQ14" s="554"/>
      <c r="CS14" s="990" t="s">
        <v>92</v>
      </c>
      <c r="CT14" s="969"/>
      <c r="CU14" s="969"/>
      <c r="CV14" s="969"/>
      <c r="CW14" s="969"/>
      <c r="CX14" s="969"/>
      <c r="CY14" s="970"/>
      <c r="CZ14" s="555">
        <v>29607</v>
      </c>
      <c r="DA14" s="555">
        <v>29610</v>
      </c>
      <c r="DB14" s="555">
        <v>28831</v>
      </c>
      <c r="DC14" s="556">
        <v>-2.6308679500000001E-2</v>
      </c>
      <c r="DD14" s="556">
        <v>-2.6210017900999999E-2</v>
      </c>
      <c r="DE14" s="555">
        <v>-776</v>
      </c>
      <c r="DF14" s="553"/>
      <c r="DG14" s="554"/>
      <c r="DI14" s="990" t="s">
        <v>91</v>
      </c>
      <c r="DJ14" s="969"/>
      <c r="DK14" s="969"/>
      <c r="DL14" s="969"/>
      <c r="DM14" s="969"/>
      <c r="DN14" s="969"/>
      <c r="DO14" s="970"/>
      <c r="DP14" s="555">
        <v>1170</v>
      </c>
      <c r="DQ14" s="555">
        <v>1270</v>
      </c>
      <c r="DR14" s="555">
        <v>1281</v>
      </c>
      <c r="DS14" s="556">
        <v>8.6614173220000007E-3</v>
      </c>
      <c r="DT14" s="556">
        <v>9.4871794871000004E-2</v>
      </c>
      <c r="DU14" s="555">
        <v>111</v>
      </c>
      <c r="DV14" s="553"/>
      <c r="DW14" s="554"/>
      <c r="DY14" s="990" t="s">
        <v>92</v>
      </c>
      <c r="DZ14" s="969"/>
      <c r="EA14" s="969"/>
      <c r="EB14" s="969"/>
      <c r="EC14" s="969"/>
      <c r="ED14" s="969"/>
      <c r="EE14" s="970"/>
      <c r="EF14" s="555">
        <v>5936</v>
      </c>
      <c r="EG14" s="555">
        <v>5940</v>
      </c>
      <c r="EH14" s="555">
        <v>5822</v>
      </c>
      <c r="EI14" s="556">
        <v>-1.9865319865000002E-2</v>
      </c>
      <c r="EJ14" s="556">
        <v>-1.9204851751999999E-2</v>
      </c>
      <c r="EK14" s="555">
        <v>-114</v>
      </c>
      <c r="EL14" s="553"/>
      <c r="EM14" s="554"/>
      <c r="EO14" s="990" t="s">
        <v>92</v>
      </c>
      <c r="EP14" s="969"/>
      <c r="EQ14" s="969"/>
      <c r="ER14" s="969"/>
      <c r="ES14" s="969"/>
      <c r="ET14" s="969"/>
      <c r="EU14" s="970"/>
      <c r="EV14" s="555">
        <v>84282</v>
      </c>
      <c r="EW14" s="555">
        <v>85443</v>
      </c>
      <c r="EX14" s="555">
        <v>86131</v>
      </c>
      <c r="EY14" s="556">
        <v>8.0521517260000001E-3</v>
      </c>
      <c r="EZ14" s="556">
        <v>2.1938254906000001E-2</v>
      </c>
      <c r="FA14" s="555">
        <v>1849</v>
      </c>
      <c r="FB14" s="553"/>
      <c r="FC14" s="554"/>
      <c r="FE14" s="990" t="s">
        <v>91</v>
      </c>
      <c r="FF14" s="969"/>
      <c r="FG14" s="969"/>
      <c r="FH14" s="969"/>
      <c r="FI14" s="969"/>
      <c r="FJ14" s="969"/>
      <c r="FK14" s="970"/>
      <c r="FL14" s="555">
        <v>1474</v>
      </c>
      <c r="FM14" s="555">
        <v>1508</v>
      </c>
      <c r="FN14" s="555">
        <v>1540</v>
      </c>
      <c r="FO14" s="556">
        <v>2.1220159151E-2</v>
      </c>
      <c r="FP14" s="556">
        <v>4.4776119401999999E-2</v>
      </c>
      <c r="FQ14" s="555">
        <v>66</v>
      </c>
      <c r="FR14" s="553"/>
      <c r="FS14" s="554"/>
      <c r="GG14" s="323"/>
      <c r="GH14" s="323"/>
    </row>
    <row r="15" spans="1:317" ht="15" thickBot="1">
      <c r="A15" s="990" t="s">
        <v>93</v>
      </c>
      <c r="B15" s="969"/>
      <c r="C15" s="969"/>
      <c r="D15" s="969"/>
      <c r="E15" s="969"/>
      <c r="F15" s="969"/>
      <c r="G15" s="970"/>
      <c r="H15" s="555">
        <v>16</v>
      </c>
      <c r="I15" s="555">
        <v>15</v>
      </c>
      <c r="J15" s="555">
        <v>15</v>
      </c>
      <c r="K15" s="556">
        <v>0</v>
      </c>
      <c r="L15" s="556">
        <v>-6.25E-2</v>
      </c>
      <c r="M15" s="555">
        <v>-1</v>
      </c>
      <c r="N15" s="553"/>
      <c r="O15" s="554"/>
      <c r="Q15" s="990" t="s">
        <v>93</v>
      </c>
      <c r="R15" s="969"/>
      <c r="S15" s="969"/>
      <c r="T15" s="969"/>
      <c r="U15" s="969"/>
      <c r="V15" s="969"/>
      <c r="W15" s="970"/>
      <c r="X15" s="555">
        <v>11</v>
      </c>
      <c r="Y15" s="555">
        <v>11</v>
      </c>
      <c r="Z15" s="555">
        <v>11</v>
      </c>
      <c r="AA15" s="556">
        <v>0</v>
      </c>
      <c r="AB15" s="556">
        <v>0</v>
      </c>
      <c r="AC15" s="555">
        <v>0</v>
      </c>
      <c r="AD15" s="553"/>
      <c r="AE15" s="554"/>
      <c r="AG15" s="990" t="s">
        <v>91</v>
      </c>
      <c r="AH15" s="969"/>
      <c r="AI15" s="969"/>
      <c r="AJ15" s="969"/>
      <c r="AK15" s="969"/>
      <c r="AL15" s="969"/>
      <c r="AM15" s="970"/>
      <c r="AN15" s="555">
        <v>5024</v>
      </c>
      <c r="AO15" s="555">
        <v>5202</v>
      </c>
      <c r="AP15" s="555">
        <v>4899</v>
      </c>
      <c r="AQ15" s="556">
        <v>-5.8246828143000001E-2</v>
      </c>
      <c r="AR15" s="556">
        <v>-2.4880573247999999E-2</v>
      </c>
      <c r="AS15" s="555">
        <v>-125</v>
      </c>
      <c r="AT15" s="553"/>
      <c r="AU15" s="554"/>
      <c r="AW15" s="990" t="s">
        <v>93</v>
      </c>
      <c r="AX15" s="969"/>
      <c r="AY15" s="969"/>
      <c r="AZ15" s="969"/>
      <c r="BA15" s="969"/>
      <c r="BB15" s="969"/>
      <c r="BC15" s="970"/>
      <c r="BD15" s="555">
        <v>669</v>
      </c>
      <c r="BE15" s="555">
        <v>676</v>
      </c>
      <c r="BF15" s="555">
        <v>689</v>
      </c>
      <c r="BG15" s="556">
        <v>1.923076923E-2</v>
      </c>
      <c r="BH15" s="556">
        <v>2.9895366218E-2</v>
      </c>
      <c r="BI15" s="555">
        <v>20</v>
      </c>
      <c r="BJ15" s="553"/>
      <c r="BK15" s="554"/>
      <c r="BM15" s="990" t="s">
        <v>92</v>
      </c>
      <c r="BN15" s="969"/>
      <c r="BO15" s="969"/>
      <c r="BP15" s="969"/>
      <c r="BQ15" s="969"/>
      <c r="BR15" s="969"/>
      <c r="BS15" s="970"/>
      <c r="BT15" s="555">
        <v>1509</v>
      </c>
      <c r="BU15" s="555">
        <v>1721</v>
      </c>
      <c r="BV15" s="555">
        <v>1855</v>
      </c>
      <c r="BW15" s="556">
        <v>7.7861708308999994E-2</v>
      </c>
      <c r="BX15" s="556">
        <v>0.22929092113899999</v>
      </c>
      <c r="BY15" s="555">
        <v>346</v>
      </c>
      <c r="BZ15" s="553"/>
      <c r="CA15" s="554"/>
      <c r="CC15" s="990" t="s">
        <v>93</v>
      </c>
      <c r="CD15" s="969"/>
      <c r="CE15" s="969"/>
      <c r="CF15" s="969"/>
      <c r="CG15" s="969"/>
      <c r="CH15" s="969"/>
      <c r="CI15" s="970"/>
      <c r="CJ15" s="555">
        <v>1</v>
      </c>
      <c r="CK15" s="555">
        <v>1</v>
      </c>
      <c r="CL15" s="555">
        <v>1</v>
      </c>
      <c r="CM15" s="556">
        <v>0</v>
      </c>
      <c r="CN15" s="556">
        <v>0</v>
      </c>
      <c r="CO15" s="555">
        <v>0</v>
      </c>
      <c r="CP15" s="553"/>
      <c r="CQ15" s="554"/>
      <c r="CS15" s="990" t="s">
        <v>93</v>
      </c>
      <c r="CT15" s="969"/>
      <c r="CU15" s="969"/>
      <c r="CV15" s="969"/>
      <c r="CW15" s="969"/>
      <c r="CX15" s="969"/>
      <c r="CY15" s="970"/>
      <c r="CZ15" s="555">
        <v>6</v>
      </c>
      <c r="DA15" s="555">
        <v>6</v>
      </c>
      <c r="DB15" s="555">
        <v>7</v>
      </c>
      <c r="DC15" s="556">
        <v>0.166666666666</v>
      </c>
      <c r="DD15" s="556">
        <v>0.166666666666</v>
      </c>
      <c r="DE15" s="555">
        <v>1</v>
      </c>
      <c r="DF15" s="553"/>
      <c r="DG15" s="554"/>
      <c r="DI15" s="990" t="s">
        <v>92</v>
      </c>
      <c r="DJ15" s="969"/>
      <c r="DK15" s="969"/>
      <c r="DL15" s="969"/>
      <c r="DM15" s="969"/>
      <c r="DN15" s="969"/>
      <c r="DO15" s="970"/>
      <c r="DP15" s="555">
        <v>32881</v>
      </c>
      <c r="DQ15" s="555">
        <v>34919</v>
      </c>
      <c r="DR15" s="555">
        <v>34851</v>
      </c>
      <c r="DS15" s="556">
        <v>-1.947363899E-3</v>
      </c>
      <c r="DT15" s="556">
        <v>5.9913019677000003E-2</v>
      </c>
      <c r="DU15" s="555">
        <v>1970</v>
      </c>
      <c r="DV15" s="553"/>
      <c r="DW15" s="554"/>
      <c r="DY15" s="990" t="s">
        <v>93</v>
      </c>
      <c r="DZ15" s="969"/>
      <c r="EA15" s="969"/>
      <c r="EB15" s="969"/>
      <c r="EC15" s="969"/>
      <c r="ED15" s="969"/>
      <c r="EE15" s="970"/>
      <c r="EF15" s="555">
        <v>9</v>
      </c>
      <c r="EG15" s="555">
        <v>9</v>
      </c>
      <c r="EH15" s="555">
        <v>9</v>
      </c>
      <c r="EI15" s="556">
        <v>0</v>
      </c>
      <c r="EJ15" s="556">
        <v>0</v>
      </c>
      <c r="EK15" s="555">
        <v>0</v>
      </c>
      <c r="EL15" s="553"/>
      <c r="EM15" s="554"/>
      <c r="EO15" s="990" t="s">
        <v>93</v>
      </c>
      <c r="EP15" s="969"/>
      <c r="EQ15" s="969"/>
      <c r="ER15" s="969"/>
      <c r="ES15" s="969"/>
      <c r="ET15" s="969"/>
      <c r="EU15" s="970"/>
      <c r="EV15" s="555">
        <v>4420</v>
      </c>
      <c r="EW15" s="555">
        <v>4636</v>
      </c>
      <c r="EX15" s="555">
        <v>4763</v>
      </c>
      <c r="EY15" s="556">
        <v>2.7394305434999999E-2</v>
      </c>
      <c r="EZ15" s="556">
        <v>7.7601809953999998E-2</v>
      </c>
      <c r="FA15" s="555">
        <v>343</v>
      </c>
      <c r="FB15" s="553"/>
      <c r="FC15" s="554"/>
      <c r="FE15" s="990" t="s">
        <v>92</v>
      </c>
      <c r="FF15" s="969"/>
      <c r="FG15" s="969"/>
      <c r="FH15" s="969"/>
      <c r="FI15" s="969"/>
      <c r="FJ15" s="969"/>
      <c r="FK15" s="970"/>
      <c r="FL15" s="555">
        <v>17163</v>
      </c>
      <c r="FM15" s="555">
        <v>16922</v>
      </c>
      <c r="FN15" s="555">
        <v>16947</v>
      </c>
      <c r="FO15" s="556">
        <v>1.477366741E-3</v>
      </c>
      <c r="FP15" s="556">
        <v>-1.2585212375E-2</v>
      </c>
      <c r="FQ15" s="555">
        <v>-216</v>
      </c>
      <c r="FR15" s="553"/>
      <c r="FS15" s="554"/>
      <c r="GG15" s="323"/>
    </row>
    <row r="16" spans="1:317" ht="15" thickBot="1">
      <c r="A16" s="990" t="s">
        <v>94</v>
      </c>
      <c r="B16" s="969"/>
      <c r="C16" s="969"/>
      <c r="D16" s="969"/>
      <c r="E16" s="969"/>
      <c r="F16" s="969"/>
      <c r="G16" s="970"/>
      <c r="H16" s="555">
        <v>111</v>
      </c>
      <c r="I16" s="555">
        <v>116</v>
      </c>
      <c r="J16" s="555">
        <v>121</v>
      </c>
      <c r="K16" s="556">
        <v>4.3103448274999998E-2</v>
      </c>
      <c r="L16" s="556">
        <v>9.0090090090000005E-2</v>
      </c>
      <c r="M16" s="555">
        <v>10</v>
      </c>
      <c r="N16" s="553"/>
      <c r="O16" s="554"/>
      <c r="Q16" s="990" t="s">
        <v>94</v>
      </c>
      <c r="R16" s="969"/>
      <c r="S16" s="969"/>
      <c r="T16" s="969"/>
      <c r="U16" s="969"/>
      <c r="V16" s="969"/>
      <c r="W16" s="970"/>
      <c r="X16" s="555">
        <v>463</v>
      </c>
      <c r="Y16" s="555">
        <v>482</v>
      </c>
      <c r="Z16" s="555">
        <v>496</v>
      </c>
      <c r="AA16" s="556">
        <v>2.9045643153000001E-2</v>
      </c>
      <c r="AB16" s="556">
        <v>7.1274298055999996E-2</v>
      </c>
      <c r="AC16" s="555">
        <v>33</v>
      </c>
      <c r="AD16" s="553"/>
      <c r="AE16" s="554"/>
      <c r="AG16" s="990" t="s">
        <v>92</v>
      </c>
      <c r="AH16" s="969"/>
      <c r="AI16" s="969"/>
      <c r="AJ16" s="969"/>
      <c r="AK16" s="969"/>
      <c r="AL16" s="969"/>
      <c r="AM16" s="970"/>
      <c r="AN16" s="555">
        <v>175020</v>
      </c>
      <c r="AO16" s="555">
        <v>178758</v>
      </c>
      <c r="AP16" s="555">
        <v>184361</v>
      </c>
      <c r="AQ16" s="556">
        <v>3.1344051733999997E-2</v>
      </c>
      <c r="AR16" s="556">
        <v>5.3371043308999999E-2</v>
      </c>
      <c r="AS16" s="555">
        <v>9341</v>
      </c>
      <c r="AT16" s="553"/>
      <c r="AU16" s="554"/>
      <c r="AW16" s="990" t="s">
        <v>94</v>
      </c>
      <c r="AX16" s="969"/>
      <c r="AY16" s="969"/>
      <c r="AZ16" s="969"/>
      <c r="BA16" s="969"/>
      <c r="BB16" s="969"/>
      <c r="BC16" s="970"/>
      <c r="BD16" s="555">
        <v>1390</v>
      </c>
      <c r="BE16" s="555">
        <v>1380</v>
      </c>
      <c r="BF16" s="555">
        <v>1521</v>
      </c>
      <c r="BG16" s="556">
        <v>0.102173913043</v>
      </c>
      <c r="BH16" s="556">
        <v>9.4244604316E-2</v>
      </c>
      <c r="BI16" s="555">
        <v>131</v>
      </c>
      <c r="BJ16" s="553"/>
      <c r="BK16" s="554"/>
      <c r="BM16" s="990" t="s">
        <v>93</v>
      </c>
      <c r="BN16" s="969"/>
      <c r="BO16" s="969"/>
      <c r="BP16" s="969"/>
      <c r="BQ16" s="969"/>
      <c r="BR16" s="969"/>
      <c r="BS16" s="970"/>
      <c r="BT16" s="555">
        <v>1</v>
      </c>
      <c r="BU16" s="555">
        <v>1</v>
      </c>
      <c r="BV16" s="555">
        <v>1</v>
      </c>
      <c r="BW16" s="556">
        <v>0</v>
      </c>
      <c r="BX16" s="556">
        <v>0</v>
      </c>
      <c r="BY16" s="555">
        <v>0</v>
      </c>
      <c r="BZ16" s="553"/>
      <c r="CA16" s="554"/>
      <c r="CC16" s="990" t="s">
        <v>94</v>
      </c>
      <c r="CD16" s="969"/>
      <c r="CE16" s="969"/>
      <c r="CF16" s="969"/>
      <c r="CG16" s="969"/>
      <c r="CH16" s="969"/>
      <c r="CI16" s="970"/>
      <c r="CJ16" s="555">
        <v>1150</v>
      </c>
      <c r="CK16" s="555">
        <v>1170</v>
      </c>
      <c r="CL16" s="555">
        <v>1163</v>
      </c>
      <c r="CM16" s="556">
        <v>-5.9829059819999997E-3</v>
      </c>
      <c r="CN16" s="556">
        <v>1.1304347826E-2</v>
      </c>
      <c r="CO16" s="555">
        <v>13</v>
      </c>
      <c r="CP16" s="553"/>
      <c r="CQ16" s="554"/>
      <c r="CS16" s="990" t="s">
        <v>94</v>
      </c>
      <c r="CT16" s="969"/>
      <c r="CU16" s="969"/>
      <c r="CV16" s="969"/>
      <c r="CW16" s="969"/>
      <c r="CX16" s="969"/>
      <c r="CY16" s="970"/>
      <c r="CZ16" s="555">
        <v>465</v>
      </c>
      <c r="DA16" s="555">
        <v>466</v>
      </c>
      <c r="DB16" s="555">
        <v>368</v>
      </c>
      <c r="DC16" s="556">
        <v>-0.21030042918399999</v>
      </c>
      <c r="DD16" s="556">
        <v>-0.20860215053699999</v>
      </c>
      <c r="DE16" s="555">
        <v>-97</v>
      </c>
      <c r="DF16" s="553"/>
      <c r="DG16" s="554"/>
      <c r="DI16" s="990" t="s">
        <v>93</v>
      </c>
      <c r="DJ16" s="969"/>
      <c r="DK16" s="969"/>
      <c r="DL16" s="969"/>
      <c r="DM16" s="969"/>
      <c r="DN16" s="969"/>
      <c r="DO16" s="970"/>
      <c r="DP16" s="555">
        <v>70</v>
      </c>
      <c r="DQ16" s="555">
        <v>71</v>
      </c>
      <c r="DR16" s="555">
        <v>67</v>
      </c>
      <c r="DS16" s="556">
        <v>-5.6338028169E-2</v>
      </c>
      <c r="DT16" s="556">
        <v>-4.2857142857E-2</v>
      </c>
      <c r="DU16" s="555">
        <v>-3</v>
      </c>
      <c r="DV16" s="553"/>
      <c r="DW16" s="554"/>
      <c r="DY16" s="990" t="s">
        <v>94</v>
      </c>
      <c r="DZ16" s="969"/>
      <c r="EA16" s="969"/>
      <c r="EB16" s="969"/>
      <c r="EC16" s="969"/>
      <c r="ED16" s="969"/>
      <c r="EE16" s="970"/>
      <c r="EF16" s="555">
        <v>106</v>
      </c>
      <c r="EG16" s="555">
        <v>105</v>
      </c>
      <c r="EH16" s="555">
        <v>107</v>
      </c>
      <c r="EI16" s="556">
        <v>1.9047619046999999E-2</v>
      </c>
      <c r="EJ16" s="556">
        <v>9.4339622639999995E-3</v>
      </c>
      <c r="EK16" s="555">
        <v>1</v>
      </c>
      <c r="EL16" s="553"/>
      <c r="EM16" s="554"/>
      <c r="EO16" s="990" t="s">
        <v>94</v>
      </c>
      <c r="EP16" s="969"/>
      <c r="EQ16" s="969"/>
      <c r="ER16" s="969"/>
      <c r="ES16" s="969"/>
      <c r="ET16" s="969"/>
      <c r="EU16" s="970"/>
      <c r="EV16" s="555">
        <v>628</v>
      </c>
      <c r="EW16" s="555">
        <v>668</v>
      </c>
      <c r="EX16" s="555">
        <v>691</v>
      </c>
      <c r="EY16" s="556">
        <v>3.4431137723999999E-2</v>
      </c>
      <c r="EZ16" s="556">
        <v>0.100318471337</v>
      </c>
      <c r="FA16" s="555">
        <v>63</v>
      </c>
      <c r="FB16" s="553"/>
      <c r="FC16" s="554"/>
      <c r="FE16" s="990" t="s">
        <v>93</v>
      </c>
      <c r="FF16" s="969"/>
      <c r="FG16" s="969"/>
      <c r="FH16" s="969"/>
      <c r="FI16" s="969"/>
      <c r="FJ16" s="969"/>
      <c r="FK16" s="970"/>
      <c r="FL16" s="555">
        <v>341</v>
      </c>
      <c r="FM16" s="555">
        <v>339</v>
      </c>
      <c r="FN16" s="555">
        <v>339</v>
      </c>
      <c r="FO16" s="556">
        <v>0</v>
      </c>
      <c r="FP16" s="556">
        <v>-5.8651026390000001E-3</v>
      </c>
      <c r="FQ16" s="555">
        <v>-2</v>
      </c>
      <c r="FR16" s="553"/>
      <c r="FS16" s="554"/>
      <c r="GD16" s="967" t="s">
        <v>445</v>
      </c>
      <c r="GE16" s="967"/>
      <c r="GF16" s="967"/>
      <c r="GG16" s="967"/>
      <c r="GH16" s="967"/>
      <c r="GM16" s="967" t="s">
        <v>166</v>
      </c>
      <c r="GN16" s="967"/>
      <c r="GO16" s="967"/>
      <c r="GP16" s="967"/>
      <c r="GQ16" s="967"/>
      <c r="GR16" s="967"/>
      <c r="GS16" s="967"/>
      <c r="GT16" s="967"/>
      <c r="GU16" s="967"/>
      <c r="GV16" s="967"/>
      <c r="GW16" s="967"/>
      <c r="GX16" s="967"/>
      <c r="GY16" s="967"/>
      <c r="GZ16" s="967"/>
      <c r="HA16" s="967"/>
      <c r="HB16" s="967"/>
      <c r="HC16" s="967"/>
      <c r="HD16" s="967"/>
      <c r="HE16" s="967"/>
      <c r="HF16" s="967"/>
      <c r="HG16" s="967"/>
      <c r="HH16" s="967"/>
      <c r="HI16" s="967"/>
      <c r="HJ16" s="967"/>
      <c r="HK16" s="967"/>
      <c r="HL16" s="967"/>
      <c r="HM16" s="967"/>
      <c r="IW16" s="967" t="s">
        <v>172</v>
      </c>
      <c r="IX16" s="967"/>
      <c r="IY16" s="967"/>
      <c r="IZ16" s="967"/>
      <c r="JA16" s="967"/>
      <c r="JB16" s="967"/>
      <c r="JC16" s="967"/>
      <c r="JD16" s="967"/>
      <c r="JE16" s="967"/>
      <c r="JF16" s="967"/>
      <c r="JG16" s="967"/>
      <c r="JH16" s="967"/>
      <c r="JI16" s="967"/>
      <c r="JJ16" s="967"/>
      <c r="JK16" s="967"/>
      <c r="JL16" s="967"/>
      <c r="JM16" s="967"/>
      <c r="JN16" s="967"/>
      <c r="JO16" s="967"/>
      <c r="JP16" s="967"/>
      <c r="JQ16" s="967"/>
      <c r="JR16" s="967"/>
      <c r="JS16" s="967"/>
      <c r="JT16" s="967"/>
      <c r="JU16" s="967"/>
      <c r="JV16" s="967"/>
      <c r="JW16" s="967"/>
    </row>
    <row r="17" spans="1:301" ht="15" thickBot="1">
      <c r="A17" s="991" t="s">
        <v>95</v>
      </c>
      <c r="B17" s="992"/>
      <c r="C17" s="992"/>
      <c r="D17" s="992"/>
      <c r="E17" s="992"/>
      <c r="F17" s="992"/>
      <c r="G17" s="993"/>
      <c r="H17" s="557">
        <v>37600</v>
      </c>
      <c r="I17" s="557">
        <v>37004</v>
      </c>
      <c r="J17" s="557">
        <v>36785</v>
      </c>
      <c r="K17" s="558">
        <v>-5.9182791039999998E-3</v>
      </c>
      <c r="L17" s="558">
        <v>-2.1675531913999999E-2</v>
      </c>
      <c r="M17" s="557">
        <v>-815</v>
      </c>
      <c r="N17" s="559"/>
      <c r="O17" s="560"/>
      <c r="Q17" s="991" t="s">
        <v>95</v>
      </c>
      <c r="R17" s="992"/>
      <c r="S17" s="992"/>
      <c r="T17" s="992"/>
      <c r="U17" s="992"/>
      <c r="V17" s="992"/>
      <c r="W17" s="993"/>
      <c r="X17" s="557">
        <v>107486</v>
      </c>
      <c r="Y17" s="557">
        <v>107598</v>
      </c>
      <c r="Z17" s="557">
        <v>108058</v>
      </c>
      <c r="AA17" s="558">
        <v>4.2751724E-3</v>
      </c>
      <c r="AB17" s="558">
        <v>5.3216232810000003E-3</v>
      </c>
      <c r="AC17" s="557">
        <v>572</v>
      </c>
      <c r="AD17" s="559"/>
      <c r="AE17" s="560"/>
      <c r="AG17" s="990" t="s">
        <v>93</v>
      </c>
      <c r="AH17" s="969"/>
      <c r="AI17" s="969"/>
      <c r="AJ17" s="969"/>
      <c r="AK17" s="969"/>
      <c r="AL17" s="969"/>
      <c r="AM17" s="970"/>
      <c r="AN17" s="555">
        <v>4944</v>
      </c>
      <c r="AO17" s="555">
        <v>4979</v>
      </c>
      <c r="AP17" s="555">
        <v>1</v>
      </c>
      <c r="AQ17" s="556">
        <v>-0.99979915645700002</v>
      </c>
      <c r="AR17" s="556">
        <v>-0.99979773462699995</v>
      </c>
      <c r="AS17" s="555">
        <v>-4943</v>
      </c>
      <c r="AT17" s="553"/>
      <c r="AU17" s="554"/>
      <c r="AW17" s="561"/>
      <c r="AX17" s="562"/>
      <c r="AY17" s="562"/>
      <c r="AZ17" s="562"/>
      <c r="BA17" s="562"/>
      <c r="BB17" s="562"/>
      <c r="BC17" s="563"/>
      <c r="BD17" s="564"/>
      <c r="BE17" s="564"/>
      <c r="BF17" s="564"/>
      <c r="BG17" s="565"/>
      <c r="BH17" s="565"/>
      <c r="BI17" s="564"/>
      <c r="BJ17" s="566"/>
      <c r="BK17" s="567"/>
      <c r="BM17" s="990" t="s">
        <v>94</v>
      </c>
      <c r="BN17" s="969"/>
      <c r="BO17" s="969"/>
      <c r="BP17" s="969"/>
      <c r="BQ17" s="969"/>
      <c r="BR17" s="969"/>
      <c r="BS17" s="970"/>
      <c r="BT17" s="555">
        <v>246</v>
      </c>
      <c r="BU17" s="555">
        <v>278</v>
      </c>
      <c r="BV17" s="555">
        <v>291</v>
      </c>
      <c r="BW17" s="556">
        <v>4.6762589928000003E-2</v>
      </c>
      <c r="BX17" s="556">
        <v>0.182926829268</v>
      </c>
      <c r="BY17" s="555">
        <v>45</v>
      </c>
      <c r="BZ17" s="553"/>
      <c r="CA17" s="554"/>
      <c r="CC17" s="991" t="s">
        <v>95</v>
      </c>
      <c r="CD17" s="992"/>
      <c r="CE17" s="992"/>
      <c r="CF17" s="992"/>
      <c r="CG17" s="992"/>
      <c r="CH17" s="992"/>
      <c r="CI17" s="993"/>
      <c r="CJ17" s="557">
        <v>316825</v>
      </c>
      <c r="CK17" s="557">
        <v>318002</v>
      </c>
      <c r="CL17" s="557">
        <v>318912</v>
      </c>
      <c r="CM17" s="558">
        <v>2.8616172219999999E-3</v>
      </c>
      <c r="CN17" s="558">
        <v>6.5872326990000004E-3</v>
      </c>
      <c r="CO17" s="557">
        <v>2087</v>
      </c>
      <c r="CP17" s="559"/>
      <c r="CQ17" s="560"/>
      <c r="CS17" s="991" t="s">
        <v>95</v>
      </c>
      <c r="CT17" s="992"/>
      <c r="CU17" s="992"/>
      <c r="CV17" s="992"/>
      <c r="CW17" s="992"/>
      <c r="CX17" s="992"/>
      <c r="CY17" s="993"/>
      <c r="CZ17" s="557">
        <v>103898</v>
      </c>
      <c r="DA17" s="557">
        <v>104099</v>
      </c>
      <c r="DB17" s="557">
        <v>102344</v>
      </c>
      <c r="DC17" s="558">
        <v>-1.6858951574000001E-2</v>
      </c>
      <c r="DD17" s="558">
        <v>-1.4956977034999999E-2</v>
      </c>
      <c r="DE17" s="557">
        <v>-1554</v>
      </c>
      <c r="DF17" s="559"/>
      <c r="DG17" s="560"/>
      <c r="DI17" s="990" t="s">
        <v>94</v>
      </c>
      <c r="DJ17" s="969"/>
      <c r="DK17" s="969"/>
      <c r="DL17" s="969"/>
      <c r="DM17" s="969"/>
      <c r="DN17" s="969"/>
      <c r="DO17" s="970"/>
      <c r="DP17" s="555">
        <v>254</v>
      </c>
      <c r="DQ17" s="555">
        <v>251</v>
      </c>
      <c r="DR17" s="555">
        <v>252</v>
      </c>
      <c r="DS17" s="556">
        <v>3.9840637450000004E-3</v>
      </c>
      <c r="DT17" s="556">
        <v>-7.8740157480000003E-3</v>
      </c>
      <c r="DU17" s="555">
        <v>-2</v>
      </c>
      <c r="DV17" s="553"/>
      <c r="DW17" s="554"/>
      <c r="DY17" s="991" t="s">
        <v>95</v>
      </c>
      <c r="DZ17" s="992"/>
      <c r="EA17" s="992"/>
      <c r="EB17" s="992"/>
      <c r="EC17" s="992"/>
      <c r="ED17" s="992"/>
      <c r="EE17" s="993"/>
      <c r="EF17" s="557">
        <v>31254</v>
      </c>
      <c r="EG17" s="557">
        <v>31336</v>
      </c>
      <c r="EH17" s="557">
        <v>31458</v>
      </c>
      <c r="EI17" s="558">
        <v>3.8932856770000001E-3</v>
      </c>
      <c r="EJ17" s="558">
        <v>6.5271645219999999E-3</v>
      </c>
      <c r="EK17" s="557">
        <v>204</v>
      </c>
      <c r="EL17" s="559"/>
      <c r="EM17" s="560"/>
      <c r="EO17" s="991" t="s">
        <v>95</v>
      </c>
      <c r="EP17" s="992"/>
      <c r="EQ17" s="992"/>
      <c r="ER17" s="992"/>
      <c r="ES17" s="992"/>
      <c r="ET17" s="992"/>
      <c r="EU17" s="993"/>
      <c r="EV17" s="557">
        <v>220813</v>
      </c>
      <c r="EW17" s="557">
        <v>221528</v>
      </c>
      <c r="EX17" s="557">
        <v>223188</v>
      </c>
      <c r="EY17" s="558">
        <v>7.4934094099999996E-3</v>
      </c>
      <c r="EZ17" s="558">
        <v>1.0755707317000001E-2</v>
      </c>
      <c r="FA17" s="557">
        <v>2375</v>
      </c>
      <c r="FB17" s="559"/>
      <c r="FC17" s="560"/>
      <c r="FE17" s="990" t="s">
        <v>94</v>
      </c>
      <c r="FF17" s="969"/>
      <c r="FG17" s="969"/>
      <c r="FH17" s="969"/>
      <c r="FI17" s="969"/>
      <c r="FJ17" s="969"/>
      <c r="FK17" s="970"/>
      <c r="FL17" s="555">
        <v>416</v>
      </c>
      <c r="FM17" s="555">
        <v>416</v>
      </c>
      <c r="FN17" s="555">
        <v>438</v>
      </c>
      <c r="FO17" s="556">
        <v>5.2884615384000001E-2</v>
      </c>
      <c r="FP17" s="556">
        <v>5.2884615384000001E-2</v>
      </c>
      <c r="FQ17" s="555">
        <v>22</v>
      </c>
      <c r="FR17" s="553"/>
      <c r="FS17" s="554"/>
      <c r="FZ17" s="592"/>
      <c r="GD17" s="568" t="s">
        <v>436</v>
      </c>
      <c r="GE17" s="568"/>
      <c r="GF17" s="568" t="s">
        <v>432</v>
      </c>
      <c r="GG17" s="717" t="s">
        <v>433</v>
      </c>
      <c r="GH17" s="568" t="s">
        <v>434</v>
      </c>
      <c r="GI17" s="604"/>
      <c r="GM17" s="592" t="s">
        <v>149</v>
      </c>
      <c r="GN17" s="442">
        <v>43496</v>
      </c>
      <c r="GO17" s="442">
        <v>43524</v>
      </c>
      <c r="GP17" s="442">
        <v>43555</v>
      </c>
      <c r="GQ17" s="442">
        <v>43585</v>
      </c>
      <c r="GR17" s="442">
        <v>43616</v>
      </c>
      <c r="GS17" s="442">
        <v>43646</v>
      </c>
      <c r="GT17" s="442">
        <v>43677</v>
      </c>
      <c r="GU17" s="442">
        <v>43708</v>
      </c>
      <c r="GV17" s="442">
        <v>43738</v>
      </c>
      <c r="GW17" s="442">
        <v>43769</v>
      </c>
      <c r="GX17" s="442">
        <v>43799</v>
      </c>
      <c r="GY17" s="442">
        <v>43830</v>
      </c>
      <c r="GZ17" s="442">
        <v>43861</v>
      </c>
      <c r="HA17" s="442">
        <v>43890</v>
      </c>
      <c r="HB17" s="442">
        <v>43921</v>
      </c>
      <c r="HC17" s="442">
        <v>43951</v>
      </c>
      <c r="HD17" s="442">
        <v>43982</v>
      </c>
      <c r="HE17" s="442">
        <v>44012</v>
      </c>
      <c r="HF17" s="442">
        <v>44043</v>
      </c>
      <c r="HG17" s="442">
        <v>44074</v>
      </c>
      <c r="HH17" s="442">
        <v>44104</v>
      </c>
      <c r="HI17" s="442">
        <v>44135</v>
      </c>
      <c r="HJ17" s="442">
        <v>44165</v>
      </c>
      <c r="HK17" s="442">
        <v>44196</v>
      </c>
      <c r="HL17" s="442">
        <v>44227</v>
      </c>
      <c r="HM17" s="442">
        <v>44255</v>
      </c>
      <c r="HN17" s="442">
        <v>44286</v>
      </c>
      <c r="HO17" s="442">
        <v>44316</v>
      </c>
      <c r="HP17" s="442">
        <v>44347</v>
      </c>
      <c r="HQ17" s="442">
        <v>44377</v>
      </c>
      <c r="HR17" s="442">
        <v>44408</v>
      </c>
      <c r="HS17" s="442">
        <v>44439</v>
      </c>
      <c r="HT17" s="442">
        <v>44469</v>
      </c>
      <c r="HU17" s="542">
        <v>44500</v>
      </c>
      <c r="HV17" s="606">
        <v>44530</v>
      </c>
      <c r="HW17" s="442">
        <v>44561</v>
      </c>
      <c r="HX17" s="442">
        <v>44592</v>
      </c>
      <c r="HY17" s="442">
        <v>44620</v>
      </c>
      <c r="HZ17" s="442">
        <v>44651</v>
      </c>
      <c r="IA17" s="442">
        <v>44681</v>
      </c>
      <c r="IB17" s="830">
        <v>44896</v>
      </c>
      <c r="IC17" s="830">
        <v>44927</v>
      </c>
      <c r="IW17" s="592" t="s">
        <v>149</v>
      </c>
      <c r="IX17" s="442">
        <v>43496</v>
      </c>
      <c r="IY17" s="442">
        <v>43524</v>
      </c>
      <c r="IZ17" s="442">
        <v>43555</v>
      </c>
      <c r="JA17" s="442">
        <v>43585</v>
      </c>
      <c r="JB17" s="442">
        <v>43616</v>
      </c>
      <c r="JC17" s="442">
        <v>43646</v>
      </c>
      <c r="JD17" s="442">
        <v>43677</v>
      </c>
      <c r="JE17" s="442">
        <v>43708</v>
      </c>
      <c r="JF17" s="442">
        <v>43738</v>
      </c>
      <c r="JG17" s="442">
        <v>43769</v>
      </c>
      <c r="JH17" s="442">
        <v>43799</v>
      </c>
      <c r="JI17" s="442">
        <v>43830</v>
      </c>
      <c r="JJ17" s="442">
        <v>43861</v>
      </c>
      <c r="JK17" s="442">
        <v>43890</v>
      </c>
      <c r="JL17" s="442">
        <v>43921</v>
      </c>
      <c r="JM17" s="442">
        <v>43951</v>
      </c>
      <c r="JN17" s="442">
        <v>43982</v>
      </c>
      <c r="JO17" s="442">
        <v>44012</v>
      </c>
      <c r="JP17" s="442">
        <v>44043</v>
      </c>
      <c r="JQ17" s="442">
        <v>44074</v>
      </c>
      <c r="JR17" s="442">
        <v>44104</v>
      </c>
      <c r="JS17" s="442">
        <v>44135</v>
      </c>
      <c r="JT17" s="442">
        <v>44165</v>
      </c>
      <c r="JU17" s="442">
        <v>44196</v>
      </c>
      <c r="JV17" s="442">
        <v>44227</v>
      </c>
      <c r="JW17" s="442">
        <v>44255</v>
      </c>
      <c r="JX17" s="442">
        <v>44286</v>
      </c>
      <c r="JY17" s="442">
        <v>44316</v>
      </c>
      <c r="JZ17" s="442">
        <v>44347</v>
      </c>
      <c r="KA17" s="442">
        <v>44377</v>
      </c>
      <c r="KB17" s="442">
        <v>44408</v>
      </c>
      <c r="KC17" s="442">
        <v>44439</v>
      </c>
      <c r="KD17" s="442">
        <v>44469</v>
      </c>
      <c r="KE17" s="442">
        <v>44500</v>
      </c>
      <c r="KF17" s="442">
        <v>44530</v>
      </c>
      <c r="KG17" s="442">
        <v>44561</v>
      </c>
      <c r="KH17" s="442">
        <v>44592</v>
      </c>
      <c r="KI17" s="442">
        <v>44620</v>
      </c>
      <c r="KJ17" s="442">
        <v>44651</v>
      </c>
      <c r="KK17" s="442">
        <v>44681</v>
      </c>
      <c r="KL17" s="442">
        <v>44712</v>
      </c>
      <c r="KM17" s="442">
        <v>44742</v>
      </c>
      <c r="KN17" s="830">
        <v>44896</v>
      </c>
      <c r="KO17" s="830">
        <v>44927</v>
      </c>
    </row>
    <row r="18" spans="1:301" ht="15.6" thickBot="1">
      <c r="A18" s="975" t="s">
        <v>96</v>
      </c>
      <c r="B18" s="976"/>
      <c r="C18" s="976"/>
      <c r="D18" s="976"/>
      <c r="E18" s="976"/>
      <c r="F18" s="976"/>
      <c r="G18" s="976"/>
      <c r="H18" s="976"/>
      <c r="I18" s="976"/>
      <c r="J18" s="976"/>
      <c r="K18" s="976"/>
      <c r="L18" s="976"/>
      <c r="M18" s="976"/>
      <c r="N18" s="976"/>
      <c r="O18" s="976"/>
      <c r="Q18" s="975" t="s">
        <v>96</v>
      </c>
      <c r="R18" s="976"/>
      <c r="S18" s="976"/>
      <c r="T18" s="976"/>
      <c r="U18" s="976"/>
      <c r="V18" s="976"/>
      <c r="W18" s="976"/>
      <c r="X18" s="976"/>
      <c r="Y18" s="976"/>
      <c r="Z18" s="976"/>
      <c r="AA18" s="976"/>
      <c r="AB18" s="976"/>
      <c r="AC18" s="976"/>
      <c r="AD18" s="976"/>
      <c r="AE18" s="976"/>
      <c r="AG18" s="990" t="s">
        <v>94</v>
      </c>
      <c r="AH18" s="969"/>
      <c r="AI18" s="969"/>
      <c r="AJ18" s="969"/>
      <c r="AK18" s="969"/>
      <c r="AL18" s="969"/>
      <c r="AM18" s="970"/>
      <c r="AN18" s="555">
        <v>1258</v>
      </c>
      <c r="AO18" s="555">
        <v>1291</v>
      </c>
      <c r="AP18" s="555">
        <v>1383</v>
      </c>
      <c r="AQ18" s="556">
        <v>7.1262587141000006E-2</v>
      </c>
      <c r="AR18" s="556">
        <v>9.9364069952000006E-2</v>
      </c>
      <c r="AS18" s="555">
        <v>125</v>
      </c>
      <c r="AT18" s="553"/>
      <c r="AU18" s="554"/>
      <c r="AW18" s="991" t="s">
        <v>95</v>
      </c>
      <c r="AX18" s="992"/>
      <c r="AY18" s="992"/>
      <c r="AZ18" s="992"/>
      <c r="BA18" s="992"/>
      <c r="BB18" s="992"/>
      <c r="BC18" s="993"/>
      <c r="BD18" s="557">
        <v>236865</v>
      </c>
      <c r="BE18" s="557">
        <v>238288</v>
      </c>
      <c r="BF18" s="557">
        <v>234634</v>
      </c>
      <c r="BG18" s="558">
        <v>-1.5334385281E-2</v>
      </c>
      <c r="BH18" s="558">
        <v>-9.4188672869999993E-3</v>
      </c>
      <c r="BI18" s="557">
        <v>-2231</v>
      </c>
      <c r="BJ18" s="559"/>
      <c r="BK18" s="560"/>
      <c r="BM18" s="561"/>
      <c r="BN18" s="562"/>
      <c r="BO18" s="562"/>
      <c r="BP18" s="562"/>
      <c r="BQ18" s="562"/>
      <c r="BR18" s="562"/>
      <c r="BS18" s="563"/>
      <c r="BT18" s="564"/>
      <c r="BU18" s="564"/>
      <c r="BV18" s="564"/>
      <c r="BW18" s="565"/>
      <c r="BX18" s="565"/>
      <c r="BY18" s="564"/>
      <c r="BZ18" s="566"/>
      <c r="CA18" s="567"/>
      <c r="CC18" s="975" t="s">
        <v>96</v>
      </c>
      <c r="CD18" s="976"/>
      <c r="CE18" s="976"/>
      <c r="CF18" s="976"/>
      <c r="CG18" s="976"/>
      <c r="CH18" s="976"/>
      <c r="CI18" s="976"/>
      <c r="CJ18" s="976"/>
      <c r="CK18" s="976"/>
      <c r="CL18" s="976"/>
      <c r="CM18" s="976"/>
      <c r="CN18" s="976"/>
      <c r="CO18" s="976"/>
      <c r="CP18" s="976"/>
      <c r="CQ18" s="976"/>
      <c r="CS18" s="975" t="s">
        <v>96</v>
      </c>
      <c r="CT18" s="976"/>
      <c r="CU18" s="976"/>
      <c r="CV18" s="976"/>
      <c r="CW18" s="976"/>
      <c r="CX18" s="976"/>
      <c r="CY18" s="976"/>
      <c r="CZ18" s="976"/>
      <c r="DA18" s="976"/>
      <c r="DB18" s="976"/>
      <c r="DC18" s="976"/>
      <c r="DD18" s="976"/>
      <c r="DE18" s="976"/>
      <c r="DF18" s="976"/>
      <c r="DG18" s="976"/>
      <c r="DI18" s="561"/>
      <c r="DJ18" s="562"/>
      <c r="DK18" s="562"/>
      <c r="DL18" s="562"/>
      <c r="DM18" s="562"/>
      <c r="DN18" s="562"/>
      <c r="DO18" s="563"/>
      <c r="DP18" s="564"/>
      <c r="DQ18" s="564"/>
      <c r="DR18" s="564"/>
      <c r="DS18" s="565"/>
      <c r="DT18" s="565"/>
      <c r="DU18" s="564"/>
      <c r="DV18" s="566"/>
      <c r="DW18" s="567"/>
      <c r="DY18" s="975" t="s">
        <v>96</v>
      </c>
      <c r="DZ18" s="976"/>
      <c r="EA18" s="976"/>
      <c r="EB18" s="976"/>
      <c r="EC18" s="976"/>
      <c r="ED18" s="976"/>
      <c r="EE18" s="976"/>
      <c r="EF18" s="976"/>
      <c r="EG18" s="976"/>
      <c r="EH18" s="976"/>
      <c r="EI18" s="976"/>
      <c r="EJ18" s="976"/>
      <c r="EK18" s="976"/>
      <c r="EL18" s="976"/>
      <c r="EM18" s="976"/>
      <c r="EO18" s="975" t="s">
        <v>96</v>
      </c>
      <c r="EP18" s="976"/>
      <c r="EQ18" s="976"/>
      <c r="ER18" s="976"/>
      <c r="ES18" s="976"/>
      <c r="ET18" s="976"/>
      <c r="EU18" s="976"/>
      <c r="EV18" s="976"/>
      <c r="EW18" s="976"/>
      <c r="EX18" s="976"/>
      <c r="EY18" s="976"/>
      <c r="EZ18" s="976"/>
      <c r="FA18" s="976"/>
      <c r="FB18" s="976"/>
      <c r="FC18" s="976"/>
      <c r="FE18" s="561"/>
      <c r="FF18" s="562"/>
      <c r="FG18" s="562"/>
      <c r="FH18" s="562"/>
      <c r="FI18" s="562"/>
      <c r="FJ18" s="562"/>
      <c r="FK18" s="563"/>
      <c r="FL18" s="564"/>
      <c r="FM18" s="564"/>
      <c r="FN18" s="564"/>
      <c r="FO18" s="565"/>
      <c r="FP18" s="565"/>
      <c r="FQ18" s="564"/>
      <c r="FR18" s="566"/>
      <c r="FS18" s="567"/>
      <c r="FZ18" s="749"/>
      <c r="GD18" s="718" t="s">
        <v>137</v>
      </c>
      <c r="GE18" s="568"/>
      <c r="GF18" s="719" t="s">
        <v>435</v>
      </c>
      <c r="GG18" s="752">
        <v>39483</v>
      </c>
      <c r="GH18" s="752">
        <v>42647</v>
      </c>
      <c r="GI18" s="604"/>
      <c r="GJ18" s="353"/>
      <c r="GL18" s="353">
        <v>1</v>
      </c>
      <c r="GM18" s="353" t="s">
        <v>123</v>
      </c>
      <c r="GN18" s="353">
        <v>437</v>
      </c>
      <c r="GO18" s="353">
        <v>248</v>
      </c>
      <c r="GP18" s="353">
        <v>89</v>
      </c>
      <c r="GQ18" s="353">
        <v>167</v>
      </c>
      <c r="GR18" s="353">
        <v>81</v>
      </c>
      <c r="GS18" s="353">
        <v>70</v>
      </c>
      <c r="GT18" s="353">
        <v>89</v>
      </c>
      <c r="GU18" s="353">
        <v>144</v>
      </c>
      <c r="GV18" s="353">
        <v>57</v>
      </c>
      <c r="GW18" s="353">
        <v>87</v>
      </c>
      <c r="GX18" s="353">
        <v>55</v>
      </c>
      <c r="GY18" s="353">
        <v>56</v>
      </c>
      <c r="GZ18" s="592">
        <v>57</v>
      </c>
      <c r="HA18" s="592">
        <v>58</v>
      </c>
      <c r="HB18" s="592">
        <v>56</v>
      </c>
      <c r="HC18" s="592">
        <v>25</v>
      </c>
      <c r="HD18" s="592">
        <v>23</v>
      </c>
      <c r="HE18" s="592">
        <v>24</v>
      </c>
      <c r="HF18" s="592">
        <v>44</v>
      </c>
      <c r="HG18" s="592">
        <v>26</v>
      </c>
      <c r="HH18" s="592">
        <v>27</v>
      </c>
      <c r="HI18" s="568">
        <v>44</v>
      </c>
      <c r="HJ18" s="568">
        <v>28</v>
      </c>
      <c r="HK18" s="568">
        <v>27</v>
      </c>
      <c r="HL18" s="592">
        <v>12</v>
      </c>
      <c r="HM18" s="592">
        <v>8</v>
      </c>
      <c r="HN18" s="592">
        <v>33</v>
      </c>
      <c r="HO18" s="592">
        <v>26</v>
      </c>
      <c r="HP18" s="592">
        <v>20</v>
      </c>
      <c r="HQ18" s="592">
        <v>29</v>
      </c>
      <c r="HR18" s="592">
        <v>16</v>
      </c>
      <c r="HS18" s="592">
        <v>13</v>
      </c>
      <c r="HT18" s="592">
        <v>16</v>
      </c>
      <c r="HU18" s="592">
        <v>19</v>
      </c>
      <c r="HV18" s="592">
        <v>21</v>
      </c>
      <c r="HW18" s="721">
        <v>12</v>
      </c>
      <c r="HX18" s="753">
        <v>14</v>
      </c>
      <c r="HY18" s="753">
        <v>12</v>
      </c>
      <c r="HZ18" s="753">
        <v>14</v>
      </c>
      <c r="IA18" s="592">
        <v>20</v>
      </c>
      <c r="IB18" s="828">
        <v>17</v>
      </c>
      <c r="IC18" s="592">
        <v>16</v>
      </c>
      <c r="IV18" s="353">
        <v>1</v>
      </c>
      <c r="IW18" s="353" t="s">
        <v>123</v>
      </c>
      <c r="IX18" s="353">
        <v>474</v>
      </c>
      <c r="IY18" s="353">
        <v>222</v>
      </c>
      <c r="IZ18" s="353">
        <v>83</v>
      </c>
      <c r="JA18" s="353">
        <v>135</v>
      </c>
      <c r="JB18" s="353">
        <v>67</v>
      </c>
      <c r="JC18" s="353">
        <v>63</v>
      </c>
      <c r="JD18" s="592">
        <v>76</v>
      </c>
      <c r="JE18" s="592">
        <v>121</v>
      </c>
      <c r="JF18" s="592">
        <v>57</v>
      </c>
      <c r="JG18" s="592">
        <v>72</v>
      </c>
      <c r="JH18" s="592">
        <v>53</v>
      </c>
      <c r="JI18" s="592">
        <v>43</v>
      </c>
      <c r="JJ18" s="592">
        <v>57</v>
      </c>
      <c r="JK18" s="592">
        <v>59</v>
      </c>
      <c r="JL18" s="353">
        <v>56</v>
      </c>
      <c r="JM18" s="353">
        <v>24</v>
      </c>
      <c r="JN18" s="353">
        <v>22</v>
      </c>
      <c r="JO18" s="353">
        <v>27</v>
      </c>
      <c r="JP18" s="592">
        <v>40</v>
      </c>
      <c r="JQ18" s="592">
        <v>24</v>
      </c>
      <c r="JR18" s="592">
        <v>28</v>
      </c>
      <c r="JS18" s="592">
        <v>40</v>
      </c>
      <c r="JT18" s="592">
        <v>30</v>
      </c>
      <c r="JU18" s="592">
        <v>28</v>
      </c>
      <c r="JV18" s="592">
        <v>14</v>
      </c>
      <c r="JW18" s="592">
        <v>8</v>
      </c>
      <c r="JX18" s="592">
        <v>33</v>
      </c>
      <c r="JY18" s="592">
        <v>9</v>
      </c>
      <c r="JZ18" s="592">
        <v>19</v>
      </c>
      <c r="KA18" s="592">
        <v>11</v>
      </c>
      <c r="KB18" s="592">
        <v>15</v>
      </c>
      <c r="KC18" s="592">
        <v>11</v>
      </c>
      <c r="KD18" s="592">
        <v>12</v>
      </c>
      <c r="KE18" s="592">
        <v>16</v>
      </c>
      <c r="KF18" s="592">
        <v>14</v>
      </c>
      <c r="KG18" s="592">
        <v>5</v>
      </c>
      <c r="KH18" s="592">
        <v>14</v>
      </c>
      <c r="KI18" s="721">
        <v>12</v>
      </c>
      <c r="KJ18" s="753">
        <v>15</v>
      </c>
      <c r="KK18" s="753">
        <v>19</v>
      </c>
      <c r="KL18" s="753">
        <v>14</v>
      </c>
      <c r="KM18" s="592">
        <v>15</v>
      </c>
      <c r="KN18" s="828">
        <v>16</v>
      </c>
      <c r="KO18" s="592">
        <v>17</v>
      </c>
    </row>
    <row r="19" spans="1:301" ht="15.6" thickBot="1">
      <c r="A19" s="544"/>
      <c r="B19" s="545"/>
      <c r="C19" s="545"/>
      <c r="D19" s="545"/>
      <c r="E19" s="545"/>
      <c r="F19" s="545"/>
      <c r="G19" s="546"/>
      <c r="H19" s="593" t="s">
        <v>202</v>
      </c>
      <c r="I19" s="593" t="s">
        <v>211</v>
      </c>
      <c r="J19" s="593" t="s">
        <v>212</v>
      </c>
      <c r="K19" s="593" t="s">
        <v>79</v>
      </c>
      <c r="L19" s="593" t="s">
        <v>80</v>
      </c>
      <c r="M19" s="593" t="s">
        <v>81</v>
      </c>
      <c r="N19" s="593" t="s">
        <v>447</v>
      </c>
      <c r="O19" s="593" t="s">
        <v>82</v>
      </c>
      <c r="Q19" s="544"/>
      <c r="R19" s="545"/>
      <c r="S19" s="545"/>
      <c r="T19" s="545"/>
      <c r="U19" s="545"/>
      <c r="V19" s="545"/>
      <c r="W19" s="546"/>
      <c r="X19" s="593" t="s">
        <v>202</v>
      </c>
      <c r="Y19" s="593" t="s">
        <v>211</v>
      </c>
      <c r="Z19" s="593" t="s">
        <v>212</v>
      </c>
      <c r="AA19" s="593" t="s">
        <v>79</v>
      </c>
      <c r="AB19" s="593" t="s">
        <v>80</v>
      </c>
      <c r="AC19" s="593" t="s">
        <v>81</v>
      </c>
      <c r="AD19" s="593" t="s">
        <v>447</v>
      </c>
      <c r="AE19" s="593" t="s">
        <v>82</v>
      </c>
      <c r="AG19" s="991" t="s">
        <v>95</v>
      </c>
      <c r="AH19" s="992"/>
      <c r="AI19" s="992"/>
      <c r="AJ19" s="992"/>
      <c r="AK19" s="992"/>
      <c r="AL19" s="992"/>
      <c r="AM19" s="993"/>
      <c r="AN19" s="557">
        <v>483906</v>
      </c>
      <c r="AO19" s="557">
        <v>488407</v>
      </c>
      <c r="AP19" s="557">
        <v>493231</v>
      </c>
      <c r="AQ19" s="558">
        <v>9.8770083139999992E-3</v>
      </c>
      <c r="AR19" s="558">
        <v>1.9270271499E-2</v>
      </c>
      <c r="AS19" s="557">
        <v>9325</v>
      </c>
      <c r="AT19" s="559"/>
      <c r="AU19" s="560"/>
      <c r="AW19" s="975" t="s">
        <v>96</v>
      </c>
      <c r="AX19" s="976"/>
      <c r="AY19" s="976"/>
      <c r="AZ19" s="976"/>
      <c r="BA19" s="976"/>
      <c r="BB19" s="976"/>
      <c r="BC19" s="976"/>
      <c r="BD19" s="976"/>
      <c r="BE19" s="976"/>
      <c r="BF19" s="976"/>
      <c r="BG19" s="976"/>
      <c r="BH19" s="976"/>
      <c r="BI19" s="976"/>
      <c r="BJ19" s="976"/>
      <c r="BK19" s="976"/>
      <c r="BM19" s="991" t="s">
        <v>95</v>
      </c>
      <c r="BN19" s="992"/>
      <c r="BO19" s="992"/>
      <c r="BP19" s="992"/>
      <c r="BQ19" s="992"/>
      <c r="BR19" s="992"/>
      <c r="BS19" s="993"/>
      <c r="BT19" s="557">
        <v>19182</v>
      </c>
      <c r="BU19" s="557">
        <v>19545</v>
      </c>
      <c r="BV19" s="557">
        <v>19938</v>
      </c>
      <c r="BW19" s="558">
        <v>2.0107444358999998E-2</v>
      </c>
      <c r="BX19" s="558">
        <v>3.9411948701000003E-2</v>
      </c>
      <c r="BY19" s="557">
        <v>756</v>
      </c>
      <c r="BZ19" s="559"/>
      <c r="CA19" s="560"/>
      <c r="CC19" s="544"/>
      <c r="CD19" s="545"/>
      <c r="CE19" s="545"/>
      <c r="CF19" s="545"/>
      <c r="CG19" s="545"/>
      <c r="CH19" s="545"/>
      <c r="CI19" s="546"/>
      <c r="CJ19" s="593" t="s">
        <v>202</v>
      </c>
      <c r="CK19" s="593" t="s">
        <v>211</v>
      </c>
      <c r="CL19" s="593" t="s">
        <v>212</v>
      </c>
      <c r="CM19" s="593" t="s">
        <v>79</v>
      </c>
      <c r="CN19" s="593" t="s">
        <v>80</v>
      </c>
      <c r="CO19" s="593" t="s">
        <v>81</v>
      </c>
      <c r="CP19" s="593" t="s">
        <v>447</v>
      </c>
      <c r="CQ19" s="593" t="s">
        <v>82</v>
      </c>
      <c r="CS19" s="544"/>
      <c r="CT19" s="545"/>
      <c r="CU19" s="545"/>
      <c r="CV19" s="545"/>
      <c r="CW19" s="545"/>
      <c r="CX19" s="545"/>
      <c r="CY19" s="546"/>
      <c r="CZ19" s="593" t="s">
        <v>202</v>
      </c>
      <c r="DA19" s="593" t="s">
        <v>211</v>
      </c>
      <c r="DB19" s="593" t="s">
        <v>212</v>
      </c>
      <c r="DC19" s="593" t="s">
        <v>79</v>
      </c>
      <c r="DD19" s="593" t="s">
        <v>80</v>
      </c>
      <c r="DE19" s="593" t="s">
        <v>81</v>
      </c>
      <c r="DF19" s="593" t="s">
        <v>447</v>
      </c>
      <c r="DG19" s="593" t="s">
        <v>82</v>
      </c>
      <c r="DI19" s="991" t="s">
        <v>95</v>
      </c>
      <c r="DJ19" s="992"/>
      <c r="DK19" s="992"/>
      <c r="DL19" s="992"/>
      <c r="DM19" s="992"/>
      <c r="DN19" s="992"/>
      <c r="DO19" s="993"/>
      <c r="DP19" s="557">
        <v>248246</v>
      </c>
      <c r="DQ19" s="557">
        <v>250004</v>
      </c>
      <c r="DR19" s="557">
        <v>250497</v>
      </c>
      <c r="DS19" s="558">
        <v>1.9719684480000001E-3</v>
      </c>
      <c r="DT19" s="558">
        <v>9.0676184100000005E-3</v>
      </c>
      <c r="DU19" s="557">
        <v>2251</v>
      </c>
      <c r="DV19" s="559"/>
      <c r="DW19" s="560"/>
      <c r="DY19" s="544"/>
      <c r="DZ19" s="545"/>
      <c r="EA19" s="545"/>
      <c r="EB19" s="545"/>
      <c r="EC19" s="545"/>
      <c r="ED19" s="545"/>
      <c r="EE19" s="546"/>
      <c r="EF19" s="593" t="s">
        <v>202</v>
      </c>
      <c r="EG19" s="593" t="s">
        <v>211</v>
      </c>
      <c r="EH19" s="593" t="s">
        <v>212</v>
      </c>
      <c r="EI19" s="593" t="s">
        <v>79</v>
      </c>
      <c r="EJ19" s="593" t="s">
        <v>80</v>
      </c>
      <c r="EK19" s="593" t="s">
        <v>81</v>
      </c>
      <c r="EL19" s="593" t="s">
        <v>447</v>
      </c>
      <c r="EM19" s="593" t="s">
        <v>82</v>
      </c>
      <c r="EO19" s="544"/>
      <c r="EP19" s="545"/>
      <c r="EQ19" s="545"/>
      <c r="ER19" s="545"/>
      <c r="ES19" s="545"/>
      <c r="ET19" s="545"/>
      <c r="EU19" s="546"/>
      <c r="EV19" s="593" t="s">
        <v>202</v>
      </c>
      <c r="EW19" s="593" t="s">
        <v>211</v>
      </c>
      <c r="EX19" s="593" t="s">
        <v>212</v>
      </c>
      <c r="EY19" s="593" t="s">
        <v>79</v>
      </c>
      <c r="EZ19" s="593" t="s">
        <v>80</v>
      </c>
      <c r="FA19" s="593" t="s">
        <v>81</v>
      </c>
      <c r="FB19" s="593" t="s">
        <v>447</v>
      </c>
      <c r="FC19" s="593" t="s">
        <v>82</v>
      </c>
      <c r="FE19" s="991" t="s">
        <v>95</v>
      </c>
      <c r="FF19" s="992"/>
      <c r="FG19" s="992"/>
      <c r="FH19" s="992"/>
      <c r="FI19" s="992"/>
      <c r="FJ19" s="992"/>
      <c r="FK19" s="993"/>
      <c r="FL19" s="557">
        <v>55639</v>
      </c>
      <c r="FM19" s="557">
        <v>55648</v>
      </c>
      <c r="FN19" s="557">
        <v>55763</v>
      </c>
      <c r="FO19" s="558">
        <v>2.0665612420000001E-3</v>
      </c>
      <c r="FP19" s="558">
        <v>2.2286525630000002E-3</v>
      </c>
      <c r="FQ19" s="557">
        <v>124</v>
      </c>
      <c r="FR19" s="559"/>
      <c r="FS19" s="560"/>
      <c r="FZ19" s="749"/>
      <c r="GD19" s="718" t="s">
        <v>137</v>
      </c>
      <c r="GE19" s="568"/>
      <c r="GF19" s="719" t="s">
        <v>390</v>
      </c>
      <c r="GG19" s="752">
        <v>1399</v>
      </c>
      <c r="GH19" s="752">
        <v>1447</v>
      </c>
      <c r="GI19" s="604">
        <f>SUM(GH18:GH19)</f>
        <v>44094</v>
      </c>
      <c r="GJ19" s="353"/>
      <c r="GL19" s="353">
        <v>2</v>
      </c>
      <c r="GM19" s="353" t="s">
        <v>124</v>
      </c>
      <c r="GN19" s="353">
        <v>261</v>
      </c>
      <c r="GO19" s="353">
        <v>98</v>
      </c>
      <c r="GP19" s="353">
        <v>158</v>
      </c>
      <c r="GQ19" s="353">
        <v>251</v>
      </c>
      <c r="GR19" s="353">
        <v>141</v>
      </c>
      <c r="GS19" s="353">
        <v>52</v>
      </c>
      <c r="GT19" s="353">
        <v>102</v>
      </c>
      <c r="GU19" s="353">
        <v>46</v>
      </c>
      <c r="GV19" s="353">
        <v>43</v>
      </c>
      <c r="GW19" s="353">
        <v>47</v>
      </c>
      <c r="GX19" s="353">
        <v>25</v>
      </c>
      <c r="GY19" s="353">
        <v>64</v>
      </c>
      <c r="GZ19" s="592">
        <v>48</v>
      </c>
      <c r="HA19" s="592">
        <v>58</v>
      </c>
      <c r="HB19" s="592">
        <v>69</v>
      </c>
      <c r="HC19" s="592">
        <v>41</v>
      </c>
      <c r="HD19" s="592">
        <v>16</v>
      </c>
      <c r="HE19" s="592">
        <v>56</v>
      </c>
      <c r="HF19" s="592">
        <v>104</v>
      </c>
      <c r="HG19" s="592">
        <v>24</v>
      </c>
      <c r="HH19" s="592">
        <v>34</v>
      </c>
      <c r="HI19" s="568">
        <v>22</v>
      </c>
      <c r="HJ19" s="568">
        <v>24</v>
      </c>
      <c r="HK19" s="568">
        <v>19</v>
      </c>
      <c r="HL19" s="592">
        <v>11</v>
      </c>
      <c r="HM19" s="592">
        <v>184</v>
      </c>
      <c r="HN19" s="592">
        <v>32</v>
      </c>
      <c r="HO19" s="592">
        <v>134</v>
      </c>
      <c r="HP19" s="592">
        <v>126</v>
      </c>
      <c r="HQ19" s="592">
        <v>135</v>
      </c>
      <c r="HR19" s="592">
        <v>51</v>
      </c>
      <c r="HS19" s="592">
        <v>19</v>
      </c>
      <c r="HT19" s="592">
        <v>38</v>
      </c>
      <c r="HU19" s="592">
        <v>24</v>
      </c>
      <c r="HV19" s="592">
        <v>86</v>
      </c>
      <c r="HW19" s="721">
        <v>50</v>
      </c>
      <c r="HX19" s="753">
        <v>51</v>
      </c>
      <c r="HY19" s="753">
        <v>17</v>
      </c>
      <c r="HZ19" s="753">
        <v>49</v>
      </c>
      <c r="IA19" s="592">
        <v>37</v>
      </c>
      <c r="IB19" s="828">
        <v>72</v>
      </c>
      <c r="IC19" s="592">
        <v>21</v>
      </c>
      <c r="IV19" s="353">
        <v>2</v>
      </c>
      <c r="IW19" s="353" t="s">
        <v>124</v>
      </c>
      <c r="IX19" s="353">
        <v>83</v>
      </c>
      <c r="IY19" s="353">
        <v>54</v>
      </c>
      <c r="IZ19" s="353">
        <v>51</v>
      </c>
      <c r="JA19" s="353">
        <v>110</v>
      </c>
      <c r="JB19" s="353">
        <v>93</v>
      </c>
      <c r="JC19" s="353">
        <v>29</v>
      </c>
      <c r="JD19" s="592">
        <v>53</v>
      </c>
      <c r="JE19" s="592">
        <v>25</v>
      </c>
      <c r="JF19" s="592">
        <v>30</v>
      </c>
      <c r="JG19" s="592">
        <v>20</v>
      </c>
      <c r="JH19" s="592">
        <v>20</v>
      </c>
      <c r="JI19" s="592">
        <v>35</v>
      </c>
      <c r="JJ19" s="592">
        <v>51</v>
      </c>
      <c r="JK19" s="592">
        <v>71</v>
      </c>
      <c r="JL19" s="353">
        <v>62</v>
      </c>
      <c r="JM19" s="353">
        <v>38</v>
      </c>
      <c r="JN19" s="353">
        <v>13</v>
      </c>
      <c r="JO19" s="353">
        <v>53</v>
      </c>
      <c r="JP19" s="592">
        <v>106</v>
      </c>
      <c r="JQ19" s="592">
        <v>21</v>
      </c>
      <c r="JR19" s="592">
        <v>39</v>
      </c>
      <c r="JS19" s="592">
        <v>19</v>
      </c>
      <c r="JT19" s="592">
        <v>19</v>
      </c>
      <c r="JU19" s="592">
        <v>17</v>
      </c>
      <c r="JV19" s="592">
        <v>7</v>
      </c>
      <c r="JW19" s="592">
        <v>180</v>
      </c>
      <c r="JX19" s="592">
        <v>25</v>
      </c>
      <c r="JY19" s="592">
        <v>12</v>
      </c>
      <c r="JZ19" s="592">
        <v>120</v>
      </c>
      <c r="KA19" s="592">
        <v>18</v>
      </c>
      <c r="KB19" s="592">
        <v>51</v>
      </c>
      <c r="KC19" s="592">
        <v>10</v>
      </c>
      <c r="KD19" s="592">
        <v>12</v>
      </c>
      <c r="KE19" s="592">
        <v>26</v>
      </c>
      <c r="KF19" s="592">
        <v>82</v>
      </c>
      <c r="KG19" s="592">
        <v>41</v>
      </c>
      <c r="KH19" s="592">
        <v>42</v>
      </c>
      <c r="KI19" s="721">
        <v>16</v>
      </c>
      <c r="KJ19" s="753">
        <v>40</v>
      </c>
      <c r="KK19" s="753">
        <v>32</v>
      </c>
      <c r="KL19" s="753">
        <v>47</v>
      </c>
      <c r="KM19" s="592">
        <v>77</v>
      </c>
      <c r="KN19" s="828">
        <v>17</v>
      </c>
      <c r="KO19" s="592">
        <v>45</v>
      </c>
    </row>
    <row r="20" spans="1:301" ht="15.6" thickBot="1">
      <c r="A20" s="994" t="s">
        <v>45</v>
      </c>
      <c r="B20" s="978"/>
      <c r="C20" s="978"/>
      <c r="D20" s="978"/>
      <c r="E20" s="978"/>
      <c r="F20" s="978"/>
      <c r="G20" s="979"/>
      <c r="H20" s="555">
        <v>22660</v>
      </c>
      <c r="I20" s="555">
        <v>22049</v>
      </c>
      <c r="J20" s="555">
        <v>21941</v>
      </c>
      <c r="K20" s="556">
        <v>-4.8981813229999997E-3</v>
      </c>
      <c r="L20" s="556">
        <v>-3.1729920564000001E-2</v>
      </c>
      <c r="M20" s="555">
        <v>-719</v>
      </c>
      <c r="N20" s="553"/>
      <c r="O20" s="554"/>
      <c r="Q20" s="994" t="s">
        <v>45</v>
      </c>
      <c r="R20" s="978"/>
      <c r="S20" s="978"/>
      <c r="T20" s="978"/>
      <c r="U20" s="978"/>
      <c r="V20" s="978"/>
      <c r="W20" s="979"/>
      <c r="X20" s="555">
        <v>70017</v>
      </c>
      <c r="Y20" s="555">
        <v>69989</v>
      </c>
      <c r="Z20" s="555">
        <v>70228</v>
      </c>
      <c r="AA20" s="556">
        <v>3.4148223290000001E-3</v>
      </c>
      <c r="AB20" s="556">
        <v>3.013553851E-3</v>
      </c>
      <c r="AC20" s="555">
        <v>211</v>
      </c>
      <c r="AD20" s="553"/>
      <c r="AE20" s="554"/>
      <c r="AG20" s="975" t="s">
        <v>96</v>
      </c>
      <c r="AH20" s="976"/>
      <c r="AI20" s="976"/>
      <c r="AJ20" s="976"/>
      <c r="AK20" s="976"/>
      <c r="AL20" s="976"/>
      <c r="AM20" s="976"/>
      <c r="AN20" s="976"/>
      <c r="AO20" s="976"/>
      <c r="AP20" s="976"/>
      <c r="AQ20" s="976"/>
      <c r="AR20" s="976"/>
      <c r="AS20" s="976"/>
      <c r="AT20" s="976"/>
      <c r="AU20" s="976"/>
      <c r="AW20" s="544"/>
      <c r="AX20" s="545"/>
      <c r="AY20" s="545"/>
      <c r="AZ20" s="545"/>
      <c r="BA20" s="545"/>
      <c r="BB20" s="545"/>
      <c r="BC20" s="546"/>
      <c r="BD20" s="593" t="s">
        <v>202</v>
      </c>
      <c r="BE20" s="593" t="s">
        <v>211</v>
      </c>
      <c r="BF20" s="593" t="s">
        <v>212</v>
      </c>
      <c r="BG20" s="593" t="s">
        <v>79</v>
      </c>
      <c r="BH20" s="593" t="s">
        <v>80</v>
      </c>
      <c r="BI20" s="593" t="s">
        <v>81</v>
      </c>
      <c r="BJ20" s="593" t="s">
        <v>447</v>
      </c>
      <c r="BK20" s="593" t="s">
        <v>82</v>
      </c>
      <c r="BM20" s="975" t="s">
        <v>96</v>
      </c>
      <c r="BN20" s="976"/>
      <c r="BO20" s="976"/>
      <c r="BP20" s="976"/>
      <c r="BQ20" s="976"/>
      <c r="BR20" s="976"/>
      <c r="BS20" s="976"/>
      <c r="BT20" s="976"/>
      <c r="BU20" s="976"/>
      <c r="BV20" s="976"/>
      <c r="BW20" s="976"/>
      <c r="BX20" s="976"/>
      <c r="BY20" s="976"/>
      <c r="BZ20" s="976"/>
      <c r="CA20" s="976"/>
      <c r="CC20" s="994" t="s">
        <v>45</v>
      </c>
      <c r="CD20" s="978"/>
      <c r="CE20" s="978"/>
      <c r="CF20" s="978"/>
      <c r="CG20" s="978"/>
      <c r="CH20" s="978"/>
      <c r="CI20" s="979"/>
      <c r="CJ20" s="555">
        <v>193068</v>
      </c>
      <c r="CK20" s="555">
        <v>193911</v>
      </c>
      <c r="CL20" s="555">
        <v>194544</v>
      </c>
      <c r="CM20" s="556">
        <v>3.2643841760000001E-3</v>
      </c>
      <c r="CN20" s="556">
        <v>7.6449748270000003E-3</v>
      </c>
      <c r="CO20" s="555">
        <v>1476</v>
      </c>
      <c r="CP20" s="553"/>
      <c r="CQ20" s="554"/>
      <c r="CS20" s="994" t="s">
        <v>45</v>
      </c>
      <c r="CT20" s="978"/>
      <c r="CU20" s="978"/>
      <c r="CV20" s="978"/>
      <c r="CW20" s="978"/>
      <c r="CX20" s="978"/>
      <c r="CY20" s="979"/>
      <c r="CZ20" s="555">
        <v>76169</v>
      </c>
      <c r="DA20" s="555">
        <v>76374</v>
      </c>
      <c r="DB20" s="555">
        <v>74548</v>
      </c>
      <c r="DC20" s="556">
        <v>-2.3908660014999999E-2</v>
      </c>
      <c r="DD20" s="556">
        <v>-2.1281623757E-2</v>
      </c>
      <c r="DE20" s="555">
        <v>-1621</v>
      </c>
      <c r="DF20" s="553"/>
      <c r="DG20" s="554"/>
      <c r="DI20" s="975" t="s">
        <v>96</v>
      </c>
      <c r="DJ20" s="976"/>
      <c r="DK20" s="976"/>
      <c r="DL20" s="976"/>
      <c r="DM20" s="976"/>
      <c r="DN20" s="976"/>
      <c r="DO20" s="976"/>
      <c r="DP20" s="976"/>
      <c r="DQ20" s="976"/>
      <c r="DR20" s="976"/>
      <c r="DS20" s="976"/>
      <c r="DT20" s="976"/>
      <c r="DU20" s="976"/>
      <c r="DV20" s="976"/>
      <c r="DW20" s="976"/>
      <c r="DY20" s="994" t="s">
        <v>45</v>
      </c>
      <c r="DZ20" s="978"/>
      <c r="EA20" s="978"/>
      <c r="EB20" s="978"/>
      <c r="EC20" s="978"/>
      <c r="ED20" s="978"/>
      <c r="EE20" s="979"/>
      <c r="EF20" s="555">
        <v>29321</v>
      </c>
      <c r="EG20" s="555">
        <v>29457</v>
      </c>
      <c r="EH20" s="555">
        <v>29570</v>
      </c>
      <c r="EI20" s="556">
        <v>3.836100078E-3</v>
      </c>
      <c r="EJ20" s="556">
        <v>8.4922069499999992E-3</v>
      </c>
      <c r="EK20" s="555">
        <v>249</v>
      </c>
      <c r="EL20" s="553"/>
      <c r="EM20" s="554"/>
      <c r="EO20" s="994" t="s">
        <v>45</v>
      </c>
      <c r="EP20" s="978"/>
      <c r="EQ20" s="978"/>
      <c r="ER20" s="978"/>
      <c r="ES20" s="978"/>
      <c r="ET20" s="978"/>
      <c r="EU20" s="979"/>
      <c r="EV20" s="555">
        <v>119612</v>
      </c>
      <c r="EW20" s="555">
        <v>120147</v>
      </c>
      <c r="EX20" s="555">
        <v>121359</v>
      </c>
      <c r="EY20" s="556">
        <v>1.0087642637E-2</v>
      </c>
      <c r="EZ20" s="556">
        <v>1.460555797E-2</v>
      </c>
      <c r="FA20" s="555">
        <v>1747</v>
      </c>
      <c r="FB20" s="553"/>
      <c r="FC20" s="554"/>
      <c r="FE20" s="975" t="s">
        <v>96</v>
      </c>
      <c r="FF20" s="976"/>
      <c r="FG20" s="976"/>
      <c r="FH20" s="976"/>
      <c r="FI20" s="976"/>
      <c r="FJ20" s="976"/>
      <c r="FK20" s="976"/>
      <c r="FL20" s="976"/>
      <c r="FM20" s="976"/>
      <c r="FN20" s="976"/>
      <c r="FO20" s="976"/>
      <c r="FP20" s="976"/>
      <c r="FQ20" s="976"/>
      <c r="FR20" s="976"/>
      <c r="FS20" s="976"/>
      <c r="FZ20" s="749"/>
      <c r="GD20" s="719" t="s">
        <v>139</v>
      </c>
      <c r="GE20" s="568"/>
      <c r="GF20" s="720" t="s">
        <v>435</v>
      </c>
      <c r="GG20" s="752">
        <v>14659</v>
      </c>
      <c r="GH20" s="752">
        <v>18074</v>
      </c>
      <c r="GI20" s="604"/>
      <c r="GJ20" s="353"/>
      <c r="GL20" s="353">
        <v>3</v>
      </c>
      <c r="GM20" s="353" t="s">
        <v>131</v>
      </c>
      <c r="GN20" s="353">
        <v>802</v>
      </c>
      <c r="GO20" s="353">
        <v>872</v>
      </c>
      <c r="GP20" s="353">
        <v>1131</v>
      </c>
      <c r="GQ20" s="353">
        <v>992</v>
      </c>
      <c r="GR20" s="353">
        <v>1357</v>
      </c>
      <c r="GS20" s="353">
        <v>1145</v>
      </c>
      <c r="GT20" s="353">
        <v>1140</v>
      </c>
      <c r="GU20" s="353">
        <v>953</v>
      </c>
      <c r="GV20" s="353">
        <v>2805</v>
      </c>
      <c r="GW20" s="353">
        <v>2358</v>
      </c>
      <c r="GX20" s="353">
        <v>1602</v>
      </c>
      <c r="GY20" s="353">
        <v>940</v>
      </c>
      <c r="GZ20" s="592">
        <v>950</v>
      </c>
      <c r="HA20" s="592">
        <v>1040</v>
      </c>
      <c r="HB20" s="592">
        <v>1076</v>
      </c>
      <c r="HC20" s="592">
        <v>706</v>
      </c>
      <c r="HD20" s="592">
        <v>661</v>
      </c>
      <c r="HE20" s="592">
        <v>1280</v>
      </c>
      <c r="HF20" s="592">
        <v>1114</v>
      </c>
      <c r="HG20" s="592">
        <v>724</v>
      </c>
      <c r="HH20" s="592">
        <v>666</v>
      </c>
      <c r="HI20" s="568">
        <v>587</v>
      </c>
      <c r="HJ20" s="568">
        <v>570</v>
      </c>
      <c r="HK20" s="568">
        <v>432</v>
      </c>
      <c r="HL20" s="592">
        <v>775</v>
      </c>
      <c r="HM20" s="592">
        <v>921</v>
      </c>
      <c r="HN20" s="592">
        <v>770</v>
      </c>
      <c r="HO20" s="592">
        <v>1214</v>
      </c>
      <c r="HP20" s="592">
        <v>842</v>
      </c>
      <c r="HQ20" s="592">
        <v>994</v>
      </c>
      <c r="HR20" s="592">
        <v>840</v>
      </c>
      <c r="HS20" s="592">
        <v>681</v>
      </c>
      <c r="HT20" s="592">
        <v>822</v>
      </c>
      <c r="HU20" s="592">
        <v>1156</v>
      </c>
      <c r="HV20" s="592">
        <v>793</v>
      </c>
      <c r="HW20" s="721">
        <v>639</v>
      </c>
      <c r="HX20" s="753">
        <v>592</v>
      </c>
      <c r="HY20" s="753">
        <v>1120</v>
      </c>
      <c r="HZ20" s="753">
        <v>1459</v>
      </c>
      <c r="IA20" s="592">
        <v>791</v>
      </c>
      <c r="IB20" s="828">
        <v>1058</v>
      </c>
      <c r="IC20" s="592">
        <v>1291</v>
      </c>
      <c r="IV20" s="353">
        <v>3</v>
      </c>
      <c r="IW20" s="353" t="s">
        <v>131</v>
      </c>
      <c r="IX20" s="353">
        <v>730</v>
      </c>
      <c r="IY20" s="353">
        <v>796</v>
      </c>
      <c r="IZ20" s="353">
        <v>1044</v>
      </c>
      <c r="JA20" s="353">
        <v>725</v>
      </c>
      <c r="JB20" s="353">
        <v>752</v>
      </c>
      <c r="JC20" s="353">
        <v>470</v>
      </c>
      <c r="JD20" s="592">
        <v>834</v>
      </c>
      <c r="JE20" s="592">
        <v>731</v>
      </c>
      <c r="JF20" s="592">
        <v>2438</v>
      </c>
      <c r="JG20" s="592">
        <v>1635</v>
      </c>
      <c r="JH20" s="592">
        <v>1301</v>
      </c>
      <c r="JI20" s="592">
        <v>682</v>
      </c>
      <c r="JJ20" s="592">
        <v>1087</v>
      </c>
      <c r="JK20" s="592">
        <v>1195</v>
      </c>
      <c r="JL20" s="353">
        <v>1048</v>
      </c>
      <c r="JM20" s="353">
        <v>588</v>
      </c>
      <c r="JN20" s="353">
        <v>639</v>
      </c>
      <c r="JO20" s="353">
        <v>1310</v>
      </c>
      <c r="JP20" s="592">
        <v>1085</v>
      </c>
      <c r="JQ20" s="592">
        <v>678</v>
      </c>
      <c r="JR20" s="592">
        <v>685</v>
      </c>
      <c r="JS20" s="592">
        <v>599</v>
      </c>
      <c r="JT20" s="592">
        <v>542</v>
      </c>
      <c r="JU20" s="592">
        <v>425</v>
      </c>
      <c r="JV20" s="592">
        <v>467</v>
      </c>
      <c r="JW20" s="592">
        <v>1110</v>
      </c>
      <c r="JX20" s="592">
        <v>769</v>
      </c>
      <c r="JY20" s="592">
        <v>758</v>
      </c>
      <c r="JZ20" s="592">
        <v>899</v>
      </c>
      <c r="KA20" s="592">
        <v>716</v>
      </c>
      <c r="KB20" s="592">
        <v>673</v>
      </c>
      <c r="KC20" s="592">
        <v>727</v>
      </c>
      <c r="KD20" s="592">
        <v>613</v>
      </c>
      <c r="KE20" s="592">
        <v>1832</v>
      </c>
      <c r="KF20" s="592">
        <v>874</v>
      </c>
      <c r="KG20" s="592">
        <v>565</v>
      </c>
      <c r="KH20" s="592">
        <v>554</v>
      </c>
      <c r="KI20" s="721">
        <v>838</v>
      </c>
      <c r="KJ20" s="753">
        <v>1360</v>
      </c>
      <c r="KK20" s="753">
        <v>740</v>
      </c>
      <c r="KL20" s="753">
        <v>1042</v>
      </c>
      <c r="KM20" s="592">
        <v>1112</v>
      </c>
      <c r="KN20" s="828">
        <v>1273</v>
      </c>
      <c r="KO20" s="592">
        <v>1405</v>
      </c>
    </row>
    <row r="21" spans="1:301" ht="15.6" thickBot="1">
      <c r="A21" s="597"/>
      <c r="B21" s="595"/>
      <c r="C21" s="595"/>
      <c r="D21" s="595"/>
      <c r="E21" s="595"/>
      <c r="F21" s="595"/>
      <c r="G21" s="596"/>
      <c r="H21" s="555"/>
      <c r="I21" s="555"/>
      <c r="J21" s="555"/>
      <c r="K21" s="556"/>
      <c r="L21" s="556"/>
      <c r="M21" s="555"/>
      <c r="N21" s="553"/>
      <c r="O21" s="554"/>
      <c r="Q21" s="597"/>
      <c r="R21" s="595"/>
      <c r="S21" s="595"/>
      <c r="T21" s="595"/>
      <c r="U21" s="595"/>
      <c r="V21" s="595"/>
      <c r="W21" s="596"/>
      <c r="X21" s="555"/>
      <c r="Y21" s="555"/>
      <c r="Z21" s="555"/>
      <c r="AA21" s="556"/>
      <c r="AB21" s="556"/>
      <c r="AC21" s="555"/>
      <c r="AD21" s="553"/>
      <c r="AE21" s="554"/>
      <c r="AG21" s="544"/>
      <c r="AH21" s="545"/>
      <c r="AI21" s="545"/>
      <c r="AJ21" s="545"/>
      <c r="AK21" s="545"/>
      <c r="AL21" s="545"/>
      <c r="AM21" s="546"/>
      <c r="AN21" s="593" t="s">
        <v>202</v>
      </c>
      <c r="AO21" s="593" t="s">
        <v>211</v>
      </c>
      <c r="AP21" s="593" t="s">
        <v>212</v>
      </c>
      <c r="AQ21" s="593" t="s">
        <v>79</v>
      </c>
      <c r="AR21" s="593" t="s">
        <v>80</v>
      </c>
      <c r="AS21" s="593" t="s">
        <v>81</v>
      </c>
      <c r="AT21" s="593" t="s">
        <v>447</v>
      </c>
      <c r="AU21" s="593" t="s">
        <v>82</v>
      </c>
      <c r="AW21" s="994" t="s">
        <v>45</v>
      </c>
      <c r="AX21" s="978"/>
      <c r="AY21" s="978"/>
      <c r="AZ21" s="978"/>
      <c r="BA21" s="978"/>
      <c r="BB21" s="978"/>
      <c r="BC21" s="979"/>
      <c r="BD21" s="555">
        <v>188071</v>
      </c>
      <c r="BE21" s="555">
        <v>189198</v>
      </c>
      <c r="BF21" s="555">
        <v>185620</v>
      </c>
      <c r="BG21" s="556">
        <v>-1.8911404983000001E-2</v>
      </c>
      <c r="BH21" s="556">
        <v>-1.3032312265E-2</v>
      </c>
      <c r="BI21" s="555">
        <v>-2451</v>
      </c>
      <c r="BJ21" s="553"/>
      <c r="BK21" s="554"/>
      <c r="BM21" s="544"/>
      <c r="BN21" s="545"/>
      <c r="BO21" s="545"/>
      <c r="BP21" s="545"/>
      <c r="BQ21" s="545"/>
      <c r="BR21" s="545"/>
      <c r="BS21" s="546"/>
      <c r="BT21" s="593" t="s">
        <v>202</v>
      </c>
      <c r="BU21" s="593" t="s">
        <v>211</v>
      </c>
      <c r="BV21" s="593" t="s">
        <v>212</v>
      </c>
      <c r="BW21" s="593" t="s">
        <v>79</v>
      </c>
      <c r="BX21" s="593" t="s">
        <v>80</v>
      </c>
      <c r="BY21" s="593" t="s">
        <v>81</v>
      </c>
      <c r="BZ21" s="593" t="s">
        <v>447</v>
      </c>
      <c r="CA21" s="593" t="s">
        <v>82</v>
      </c>
      <c r="CC21" s="597"/>
      <c r="CD21" s="595"/>
      <c r="CE21" s="595"/>
      <c r="CF21" s="595"/>
      <c r="CG21" s="595"/>
      <c r="CH21" s="595"/>
      <c r="CI21" s="596"/>
      <c r="CJ21" s="555"/>
      <c r="CK21" s="555"/>
      <c r="CL21" s="555"/>
      <c r="CM21" s="556"/>
      <c r="CN21" s="556"/>
      <c r="CO21" s="555"/>
      <c r="CP21" s="553"/>
      <c r="CQ21" s="554"/>
      <c r="CS21" s="597"/>
      <c r="CT21" s="595"/>
      <c r="CU21" s="595"/>
      <c r="CV21" s="595"/>
      <c r="CW21" s="595"/>
      <c r="CX21" s="595"/>
      <c r="CY21" s="596"/>
      <c r="CZ21" s="555"/>
      <c r="DA21" s="555"/>
      <c r="DB21" s="555"/>
      <c r="DC21" s="556"/>
      <c r="DD21" s="556"/>
      <c r="DE21" s="555"/>
      <c r="DF21" s="553"/>
      <c r="DG21" s="554"/>
      <c r="DI21" s="544"/>
      <c r="DJ21" s="545"/>
      <c r="DK21" s="545"/>
      <c r="DL21" s="545"/>
      <c r="DM21" s="545"/>
      <c r="DN21" s="545"/>
      <c r="DO21" s="546"/>
      <c r="DP21" s="593" t="s">
        <v>202</v>
      </c>
      <c r="DQ21" s="593" t="s">
        <v>211</v>
      </c>
      <c r="DR21" s="593" t="s">
        <v>212</v>
      </c>
      <c r="DS21" s="593" t="s">
        <v>79</v>
      </c>
      <c r="DT21" s="593" t="s">
        <v>80</v>
      </c>
      <c r="DU21" s="593" t="s">
        <v>81</v>
      </c>
      <c r="DV21" s="593" t="s">
        <v>447</v>
      </c>
      <c r="DW21" s="593" t="s">
        <v>82</v>
      </c>
      <c r="DY21" s="597"/>
      <c r="DZ21" s="595"/>
      <c r="EA21" s="595"/>
      <c r="EB21" s="595"/>
      <c r="EC21" s="595"/>
      <c r="ED21" s="595"/>
      <c r="EE21" s="596"/>
      <c r="EF21" s="555"/>
      <c r="EG21" s="555"/>
      <c r="EH21" s="555"/>
      <c r="EI21" s="556"/>
      <c r="EJ21" s="556"/>
      <c r="EK21" s="555"/>
      <c r="EL21" s="553"/>
      <c r="EM21" s="554"/>
      <c r="EO21" s="984" t="s">
        <v>127</v>
      </c>
      <c r="EP21" s="969"/>
      <c r="EQ21" s="969"/>
      <c r="ER21" s="969"/>
      <c r="ES21" s="969"/>
      <c r="ET21" s="969"/>
      <c r="EU21" s="970"/>
      <c r="EV21" s="551">
        <v>118190</v>
      </c>
      <c r="EW21" s="551">
        <v>118719</v>
      </c>
      <c r="EX21" s="551">
        <v>119941</v>
      </c>
      <c r="EY21" s="552">
        <v>1.0293213386E-2</v>
      </c>
      <c r="EZ21" s="552">
        <v>1.4815128182999999E-2</v>
      </c>
      <c r="FA21" s="551">
        <v>1751</v>
      </c>
      <c r="FB21" s="553"/>
      <c r="FC21" s="554"/>
      <c r="FE21" s="544"/>
      <c r="FF21" s="545"/>
      <c r="FG21" s="545"/>
      <c r="FH21" s="545"/>
      <c r="FI21" s="545"/>
      <c r="FJ21" s="545"/>
      <c r="FK21" s="546"/>
      <c r="FL21" s="593" t="s">
        <v>202</v>
      </c>
      <c r="FM21" s="593" t="s">
        <v>211</v>
      </c>
      <c r="FN21" s="593" t="s">
        <v>212</v>
      </c>
      <c r="FO21" s="593" t="s">
        <v>79</v>
      </c>
      <c r="FP21" s="593" t="s">
        <v>80</v>
      </c>
      <c r="FQ21" s="593" t="s">
        <v>81</v>
      </c>
      <c r="FR21" s="593" t="s">
        <v>447</v>
      </c>
      <c r="FS21" s="593" t="s">
        <v>82</v>
      </c>
      <c r="FZ21" s="749"/>
      <c r="GD21" s="718" t="s">
        <v>139</v>
      </c>
      <c r="GE21" s="568"/>
      <c r="GF21" s="718" t="s">
        <v>390</v>
      </c>
      <c r="GG21" s="752">
        <v>1027</v>
      </c>
      <c r="GH21" s="752">
        <v>1223</v>
      </c>
      <c r="GI21" s="604">
        <f>SUM(GH20:GH21)</f>
        <v>19297</v>
      </c>
      <c r="GJ21" s="353"/>
      <c r="GL21" s="353">
        <v>4</v>
      </c>
      <c r="GM21" s="353" t="s">
        <v>132</v>
      </c>
      <c r="GN21" s="353">
        <v>246</v>
      </c>
      <c r="GO21" s="353">
        <v>236</v>
      </c>
      <c r="GP21" s="353">
        <v>327</v>
      </c>
      <c r="GQ21" s="353">
        <v>409</v>
      </c>
      <c r="GR21" s="353">
        <v>516</v>
      </c>
      <c r="GS21" s="353">
        <v>832</v>
      </c>
      <c r="GT21" s="353">
        <v>432</v>
      </c>
      <c r="GU21" s="353">
        <v>391</v>
      </c>
      <c r="GV21" s="353">
        <v>479</v>
      </c>
      <c r="GW21" s="353">
        <v>526</v>
      </c>
      <c r="GX21" s="353">
        <v>654</v>
      </c>
      <c r="GY21" s="353">
        <v>597</v>
      </c>
      <c r="GZ21" s="592">
        <v>534</v>
      </c>
      <c r="HA21" s="592">
        <v>520</v>
      </c>
      <c r="HB21" s="592">
        <v>918</v>
      </c>
      <c r="HC21" s="592">
        <v>498</v>
      </c>
      <c r="HD21" s="592">
        <v>324</v>
      </c>
      <c r="HE21" s="592">
        <v>194</v>
      </c>
      <c r="HF21" s="592">
        <v>171</v>
      </c>
      <c r="HG21" s="592">
        <v>139</v>
      </c>
      <c r="HH21" s="592">
        <v>342</v>
      </c>
      <c r="HI21" s="568">
        <v>293</v>
      </c>
      <c r="HJ21" s="568">
        <v>231</v>
      </c>
      <c r="HK21" s="568">
        <v>188</v>
      </c>
      <c r="HL21" s="592">
        <v>204</v>
      </c>
      <c r="HM21" s="592">
        <v>243</v>
      </c>
      <c r="HN21" s="592">
        <v>174</v>
      </c>
      <c r="HO21" s="592">
        <v>382</v>
      </c>
      <c r="HP21" s="592">
        <v>94</v>
      </c>
      <c r="HQ21" s="592">
        <v>292</v>
      </c>
      <c r="HR21" s="592">
        <v>442</v>
      </c>
      <c r="HS21" s="592">
        <v>557</v>
      </c>
      <c r="HT21" s="592">
        <v>551</v>
      </c>
      <c r="HU21" s="592">
        <v>344</v>
      </c>
      <c r="HV21" s="592">
        <v>830</v>
      </c>
      <c r="HW21" s="721">
        <v>278</v>
      </c>
      <c r="HX21" s="753">
        <v>385</v>
      </c>
      <c r="HY21" s="753">
        <v>370</v>
      </c>
      <c r="HZ21" s="753">
        <v>422</v>
      </c>
      <c r="IA21" s="592">
        <v>472</v>
      </c>
      <c r="IB21" s="828">
        <v>371</v>
      </c>
      <c r="IC21" s="592">
        <v>256</v>
      </c>
      <c r="IV21" s="353">
        <v>4</v>
      </c>
      <c r="IW21" s="353" t="s">
        <v>132</v>
      </c>
      <c r="IX21" s="353">
        <v>139</v>
      </c>
      <c r="IY21" s="353">
        <v>157</v>
      </c>
      <c r="IZ21" s="353">
        <v>246</v>
      </c>
      <c r="JA21" s="353">
        <v>317</v>
      </c>
      <c r="JB21" s="353">
        <v>396</v>
      </c>
      <c r="JC21" s="353">
        <v>815</v>
      </c>
      <c r="JD21" s="592">
        <v>344</v>
      </c>
      <c r="JE21" s="592">
        <v>266</v>
      </c>
      <c r="JF21" s="592">
        <v>413</v>
      </c>
      <c r="JG21" s="592">
        <v>252</v>
      </c>
      <c r="JH21" s="592">
        <v>397</v>
      </c>
      <c r="JI21" s="592">
        <v>489</v>
      </c>
      <c r="JJ21" s="592">
        <v>505</v>
      </c>
      <c r="JK21" s="592">
        <v>542</v>
      </c>
      <c r="JL21" s="353">
        <v>954</v>
      </c>
      <c r="JM21" s="353">
        <v>599</v>
      </c>
      <c r="JN21" s="353">
        <v>318</v>
      </c>
      <c r="JO21" s="353">
        <v>210</v>
      </c>
      <c r="JP21" s="592">
        <v>167</v>
      </c>
      <c r="JQ21" s="592">
        <v>126</v>
      </c>
      <c r="JR21" s="592">
        <v>280</v>
      </c>
      <c r="JS21" s="592">
        <v>246</v>
      </c>
      <c r="JT21" s="592">
        <v>189</v>
      </c>
      <c r="JU21" s="592">
        <v>127</v>
      </c>
      <c r="JV21" s="592">
        <v>147</v>
      </c>
      <c r="JW21" s="592">
        <v>197</v>
      </c>
      <c r="JX21" s="592">
        <v>244</v>
      </c>
      <c r="JY21" s="592">
        <v>200</v>
      </c>
      <c r="JZ21" s="592">
        <v>115</v>
      </c>
      <c r="KA21" s="592">
        <v>86</v>
      </c>
      <c r="KB21" s="592">
        <v>356</v>
      </c>
      <c r="KC21" s="592">
        <v>472</v>
      </c>
      <c r="KD21" s="592">
        <v>501</v>
      </c>
      <c r="KE21" s="592">
        <v>478</v>
      </c>
      <c r="KF21" s="592">
        <v>739</v>
      </c>
      <c r="KG21" s="592">
        <v>355</v>
      </c>
      <c r="KH21" s="592">
        <v>294</v>
      </c>
      <c r="KI21" s="721">
        <v>330</v>
      </c>
      <c r="KJ21" s="753">
        <v>335</v>
      </c>
      <c r="KK21" s="753">
        <v>356</v>
      </c>
      <c r="KL21" s="753">
        <v>470</v>
      </c>
      <c r="KM21" s="592">
        <v>329</v>
      </c>
      <c r="KN21" s="828">
        <v>240</v>
      </c>
      <c r="KO21" s="592">
        <v>516</v>
      </c>
    </row>
    <row r="22" spans="1:301" ht="15" thickBot="1">
      <c r="A22" s="989" t="s">
        <v>97</v>
      </c>
      <c r="B22" s="969"/>
      <c r="C22" s="969"/>
      <c r="D22" s="969"/>
      <c r="E22" s="969"/>
      <c r="F22" s="969"/>
      <c r="G22" s="970"/>
      <c r="H22" s="555">
        <v>19562</v>
      </c>
      <c r="I22" s="555">
        <v>19504</v>
      </c>
      <c r="J22" s="555">
        <v>19367</v>
      </c>
      <c r="K22" s="556">
        <v>-7.0242001639999998E-3</v>
      </c>
      <c r="L22" s="556">
        <v>-9.9683058989999997E-3</v>
      </c>
      <c r="M22" s="555">
        <v>-195</v>
      </c>
      <c r="N22" s="553"/>
      <c r="O22" s="554"/>
      <c r="Q22" s="989" t="s">
        <v>97</v>
      </c>
      <c r="R22" s="969"/>
      <c r="S22" s="969"/>
      <c r="T22" s="969"/>
      <c r="U22" s="969"/>
      <c r="V22" s="969"/>
      <c r="W22" s="970"/>
      <c r="X22" s="555">
        <v>82360</v>
      </c>
      <c r="Y22" s="555">
        <v>82967</v>
      </c>
      <c r="Z22" s="555">
        <v>83772</v>
      </c>
      <c r="AA22" s="556">
        <v>9.7026528609999996E-3</v>
      </c>
      <c r="AB22" s="556">
        <v>1.7144244778999999E-2</v>
      </c>
      <c r="AC22" s="555">
        <v>1412</v>
      </c>
      <c r="AD22" s="553"/>
      <c r="AE22" s="554"/>
      <c r="AG22" s="994" t="s">
        <v>45</v>
      </c>
      <c r="AH22" s="978"/>
      <c r="AI22" s="978"/>
      <c r="AJ22" s="978"/>
      <c r="AK22" s="978"/>
      <c r="AL22" s="978"/>
      <c r="AM22" s="979"/>
      <c r="AN22" s="555">
        <v>342569</v>
      </c>
      <c r="AO22" s="555">
        <v>345821</v>
      </c>
      <c r="AP22" s="555">
        <v>349393</v>
      </c>
      <c r="AQ22" s="556">
        <v>1.0329043059000001E-2</v>
      </c>
      <c r="AR22" s="556">
        <v>1.9920074494999999E-2</v>
      </c>
      <c r="AS22" s="555">
        <v>6824</v>
      </c>
      <c r="AT22" s="553"/>
      <c r="AU22" s="554"/>
      <c r="AW22" s="597"/>
      <c r="AX22" s="595"/>
      <c r="AY22" s="595"/>
      <c r="AZ22" s="595"/>
      <c r="BA22" s="595"/>
      <c r="BB22" s="595"/>
      <c r="BC22" s="596"/>
      <c r="BD22" s="555"/>
      <c r="BE22" s="555"/>
      <c r="BF22" s="555"/>
      <c r="BG22" s="556"/>
      <c r="BH22" s="556"/>
      <c r="BI22" s="555"/>
      <c r="BJ22" s="553"/>
      <c r="BK22" s="554"/>
      <c r="BM22" s="994" t="s">
        <v>45</v>
      </c>
      <c r="BN22" s="978"/>
      <c r="BO22" s="978"/>
      <c r="BP22" s="978"/>
      <c r="BQ22" s="978"/>
      <c r="BR22" s="978"/>
      <c r="BS22" s="979"/>
      <c r="BT22" s="555">
        <v>18289</v>
      </c>
      <c r="BU22" s="555">
        <v>18622</v>
      </c>
      <c r="BV22" s="555">
        <v>18999</v>
      </c>
      <c r="BW22" s="556">
        <v>2.0244871657000001E-2</v>
      </c>
      <c r="BX22" s="556">
        <v>3.8821149324E-2</v>
      </c>
      <c r="BY22" s="555">
        <v>710</v>
      </c>
      <c r="BZ22" s="553"/>
      <c r="CA22" s="554"/>
      <c r="CC22" s="989" t="s">
        <v>97</v>
      </c>
      <c r="CD22" s="969"/>
      <c r="CE22" s="969"/>
      <c r="CF22" s="969"/>
      <c r="CG22" s="969"/>
      <c r="CH22" s="969"/>
      <c r="CI22" s="970"/>
      <c r="CJ22" s="555">
        <v>146960</v>
      </c>
      <c r="CK22" s="555">
        <v>140309</v>
      </c>
      <c r="CL22" s="555">
        <v>140612</v>
      </c>
      <c r="CM22" s="556">
        <v>2.1595193459999999E-3</v>
      </c>
      <c r="CN22" s="556">
        <v>-4.3195427326999998E-2</v>
      </c>
      <c r="CO22" s="555">
        <v>-6348</v>
      </c>
      <c r="CP22" s="553"/>
      <c r="CQ22" s="554"/>
      <c r="CS22" s="989" t="s">
        <v>97</v>
      </c>
      <c r="CT22" s="969"/>
      <c r="CU22" s="969"/>
      <c r="CV22" s="969"/>
      <c r="CW22" s="969"/>
      <c r="CX22" s="969"/>
      <c r="CY22" s="970"/>
      <c r="CZ22" s="555">
        <v>42407</v>
      </c>
      <c r="DA22" s="555">
        <v>42343</v>
      </c>
      <c r="DB22" s="555">
        <v>42133</v>
      </c>
      <c r="DC22" s="556">
        <v>-4.9594974369999998E-3</v>
      </c>
      <c r="DD22" s="556">
        <v>-6.4611974429999997E-3</v>
      </c>
      <c r="DE22" s="555">
        <v>-274</v>
      </c>
      <c r="DF22" s="553"/>
      <c r="DG22" s="554"/>
      <c r="DI22" s="994" t="s">
        <v>45</v>
      </c>
      <c r="DJ22" s="978"/>
      <c r="DK22" s="978"/>
      <c r="DL22" s="978"/>
      <c r="DM22" s="978"/>
      <c r="DN22" s="978"/>
      <c r="DO22" s="979"/>
      <c r="DP22" s="555">
        <v>208274</v>
      </c>
      <c r="DQ22" s="555">
        <v>210079</v>
      </c>
      <c r="DR22" s="555">
        <v>210090</v>
      </c>
      <c r="DS22" s="556">
        <v>5.23612545756596E-5</v>
      </c>
      <c r="DT22" s="556">
        <v>8.7192832509999998E-3</v>
      </c>
      <c r="DU22" s="555">
        <v>1816</v>
      </c>
      <c r="DV22" s="553"/>
      <c r="DW22" s="554"/>
      <c r="DY22" s="989" t="s">
        <v>97</v>
      </c>
      <c r="DZ22" s="969"/>
      <c r="EA22" s="969"/>
      <c r="EB22" s="969"/>
      <c r="EC22" s="969"/>
      <c r="ED22" s="969"/>
      <c r="EE22" s="970"/>
      <c r="EF22" s="555">
        <v>3162</v>
      </c>
      <c r="EG22" s="555">
        <v>3093</v>
      </c>
      <c r="EH22" s="555">
        <v>3114</v>
      </c>
      <c r="EI22" s="556">
        <v>6.789524733E-3</v>
      </c>
      <c r="EJ22" s="556">
        <v>-1.5180265654E-2</v>
      </c>
      <c r="EK22" s="555">
        <v>-48</v>
      </c>
      <c r="EL22" s="553"/>
      <c r="EM22" s="554"/>
      <c r="EO22" s="989" t="s">
        <v>97</v>
      </c>
      <c r="EP22" s="969"/>
      <c r="EQ22" s="969"/>
      <c r="ER22" s="969"/>
      <c r="ES22" s="969"/>
      <c r="ET22" s="969"/>
      <c r="EU22" s="970"/>
      <c r="EV22" s="555">
        <v>120762</v>
      </c>
      <c r="EW22" s="555">
        <v>120712</v>
      </c>
      <c r="EX22" s="555">
        <v>120875</v>
      </c>
      <c r="EY22" s="556">
        <v>1.3503214260000001E-3</v>
      </c>
      <c r="EZ22" s="556">
        <v>9.3572481399999997E-4</v>
      </c>
      <c r="FA22" s="555">
        <v>113</v>
      </c>
      <c r="FB22" s="553"/>
      <c r="FC22" s="554"/>
      <c r="FE22" s="994" t="s">
        <v>45</v>
      </c>
      <c r="FF22" s="978"/>
      <c r="FG22" s="978"/>
      <c r="FH22" s="978"/>
      <c r="FI22" s="978"/>
      <c r="FJ22" s="978"/>
      <c r="FK22" s="979"/>
      <c r="FL22" s="555">
        <v>51054</v>
      </c>
      <c r="FM22" s="555">
        <v>51343</v>
      </c>
      <c r="FN22" s="555">
        <v>51452</v>
      </c>
      <c r="FO22" s="556">
        <v>2.122976842E-3</v>
      </c>
      <c r="FP22" s="556">
        <v>7.7956673319999996E-3</v>
      </c>
      <c r="FQ22" s="555">
        <v>398</v>
      </c>
      <c r="FR22" s="553"/>
      <c r="FS22" s="554"/>
      <c r="FZ22" s="749"/>
      <c r="GD22" s="718" t="s">
        <v>141</v>
      </c>
      <c r="GE22" s="568"/>
      <c r="GF22" s="720" t="s">
        <v>390</v>
      </c>
      <c r="GG22" s="752">
        <v>7801</v>
      </c>
      <c r="GH22" s="752">
        <v>8448</v>
      </c>
      <c r="GI22" s="604"/>
      <c r="GJ22" s="353"/>
      <c r="GL22" s="353">
        <v>5</v>
      </c>
      <c r="GM22" s="353" t="s">
        <v>135</v>
      </c>
      <c r="GN22" s="353">
        <v>40</v>
      </c>
      <c r="GO22" s="353">
        <v>49</v>
      </c>
      <c r="GP22" s="353">
        <v>39</v>
      </c>
      <c r="GQ22" s="353">
        <v>27</v>
      </c>
      <c r="GR22" s="353">
        <v>58</v>
      </c>
      <c r="GS22" s="353">
        <v>78</v>
      </c>
      <c r="GT22" s="353">
        <v>117</v>
      </c>
      <c r="GU22" s="353">
        <v>180</v>
      </c>
      <c r="GV22" s="353">
        <v>179</v>
      </c>
      <c r="GW22" s="353">
        <v>171</v>
      </c>
      <c r="GX22" s="353">
        <v>129</v>
      </c>
      <c r="GY22" s="353">
        <v>184</v>
      </c>
      <c r="GZ22" s="592">
        <v>152</v>
      </c>
      <c r="HA22" s="592">
        <v>122</v>
      </c>
      <c r="HB22" s="592">
        <v>124</v>
      </c>
      <c r="HC22" s="592">
        <v>16</v>
      </c>
      <c r="HD22" s="592">
        <v>10</v>
      </c>
      <c r="HE22" s="592">
        <v>51</v>
      </c>
      <c r="HF22" s="592">
        <v>82</v>
      </c>
      <c r="HG22" s="592">
        <v>83</v>
      </c>
      <c r="HH22" s="592">
        <v>106</v>
      </c>
      <c r="HI22" s="568">
        <v>91</v>
      </c>
      <c r="HJ22" s="568">
        <v>109</v>
      </c>
      <c r="HK22" s="568">
        <v>63</v>
      </c>
      <c r="HL22" s="592">
        <v>81</v>
      </c>
      <c r="HM22" s="592">
        <v>116</v>
      </c>
      <c r="HN22" s="592">
        <v>120</v>
      </c>
      <c r="HO22" s="592">
        <v>75</v>
      </c>
      <c r="HP22" s="592">
        <v>73</v>
      </c>
      <c r="HQ22" s="592">
        <v>94</v>
      </c>
      <c r="HR22" s="592">
        <v>120</v>
      </c>
      <c r="HS22" s="592">
        <v>84</v>
      </c>
      <c r="HT22" s="592">
        <v>85</v>
      </c>
      <c r="HU22" s="592">
        <v>57</v>
      </c>
      <c r="HV22" s="592">
        <v>66</v>
      </c>
      <c r="HW22" s="721">
        <v>51</v>
      </c>
      <c r="HX22" s="753">
        <v>42</v>
      </c>
      <c r="HY22" s="753">
        <v>53</v>
      </c>
      <c r="HZ22" s="753">
        <v>93</v>
      </c>
      <c r="IA22" s="592">
        <v>80</v>
      </c>
      <c r="IB22" s="828">
        <v>53</v>
      </c>
      <c r="IC22" s="592">
        <v>36</v>
      </c>
      <c r="IV22" s="353">
        <v>5</v>
      </c>
      <c r="IW22" s="353" t="s">
        <v>135</v>
      </c>
      <c r="IX22" s="353">
        <v>25</v>
      </c>
      <c r="IY22" s="353">
        <v>37</v>
      </c>
      <c r="IZ22" s="353">
        <v>34</v>
      </c>
      <c r="JA22" s="353">
        <v>15</v>
      </c>
      <c r="JB22" s="353">
        <v>38</v>
      </c>
      <c r="JC22" s="353">
        <v>60</v>
      </c>
      <c r="JD22" s="592">
        <v>83</v>
      </c>
      <c r="JE22" s="592">
        <v>161</v>
      </c>
      <c r="JF22" s="592">
        <v>135</v>
      </c>
      <c r="JG22" s="592">
        <v>122</v>
      </c>
      <c r="JH22" s="592">
        <v>98</v>
      </c>
      <c r="JI22" s="592">
        <v>135</v>
      </c>
      <c r="JJ22" s="592">
        <v>141</v>
      </c>
      <c r="JK22" s="592">
        <v>119</v>
      </c>
      <c r="JL22" s="353">
        <v>119</v>
      </c>
      <c r="JM22" s="353">
        <v>17</v>
      </c>
      <c r="JN22" s="353">
        <v>9</v>
      </c>
      <c r="JO22" s="353">
        <v>37</v>
      </c>
      <c r="JP22" s="592">
        <v>59</v>
      </c>
      <c r="JQ22" s="592">
        <v>57</v>
      </c>
      <c r="JR22" s="592">
        <v>125</v>
      </c>
      <c r="JS22" s="592">
        <v>79</v>
      </c>
      <c r="JT22" s="592">
        <v>92</v>
      </c>
      <c r="JU22" s="592">
        <v>52</v>
      </c>
      <c r="JV22" s="592">
        <v>76</v>
      </c>
      <c r="JW22" s="592">
        <v>100</v>
      </c>
      <c r="JX22" s="592">
        <v>121</v>
      </c>
      <c r="JY22" s="592">
        <v>94</v>
      </c>
      <c r="JZ22" s="592">
        <v>67</v>
      </c>
      <c r="KA22" s="592">
        <v>101</v>
      </c>
      <c r="KB22" s="592">
        <v>102</v>
      </c>
      <c r="KC22" s="592">
        <v>73</v>
      </c>
      <c r="KD22" s="592">
        <v>75</v>
      </c>
      <c r="KE22" s="592">
        <v>56</v>
      </c>
      <c r="KF22" s="592">
        <v>83</v>
      </c>
      <c r="KG22" s="592">
        <v>54</v>
      </c>
      <c r="KH22" s="592">
        <v>39</v>
      </c>
      <c r="KI22" s="721">
        <v>49</v>
      </c>
      <c r="KJ22" s="753">
        <v>81</v>
      </c>
      <c r="KK22" s="753">
        <v>81</v>
      </c>
      <c r="KL22" s="753">
        <v>91</v>
      </c>
      <c r="KM22" s="592">
        <v>55</v>
      </c>
      <c r="KN22" s="828">
        <v>38</v>
      </c>
      <c r="KO22" s="592">
        <v>93</v>
      </c>
    </row>
    <row r="23" spans="1:301" ht="15" thickBot="1">
      <c r="A23" s="989" t="s">
        <v>98</v>
      </c>
      <c r="B23" s="969"/>
      <c r="C23" s="969"/>
      <c r="D23" s="969"/>
      <c r="E23" s="969"/>
      <c r="F23" s="969"/>
      <c r="G23" s="970"/>
      <c r="H23" s="555">
        <v>479</v>
      </c>
      <c r="I23" s="555">
        <v>481</v>
      </c>
      <c r="J23" s="555">
        <v>488</v>
      </c>
      <c r="K23" s="556">
        <v>1.4553014552999999E-2</v>
      </c>
      <c r="L23" s="556">
        <v>1.8789144050000001E-2</v>
      </c>
      <c r="M23" s="555">
        <v>9</v>
      </c>
      <c r="N23" s="553"/>
      <c r="O23" s="554"/>
      <c r="Q23" s="989" t="s">
        <v>98</v>
      </c>
      <c r="R23" s="969"/>
      <c r="S23" s="969"/>
      <c r="T23" s="969"/>
      <c r="U23" s="969"/>
      <c r="V23" s="969"/>
      <c r="W23" s="970"/>
      <c r="X23" s="555">
        <v>907</v>
      </c>
      <c r="Y23" s="555">
        <v>904</v>
      </c>
      <c r="Z23" s="555">
        <v>905</v>
      </c>
      <c r="AA23" s="556">
        <v>1.1061946900000001E-3</v>
      </c>
      <c r="AB23" s="556">
        <v>-2.2050716639999998E-3</v>
      </c>
      <c r="AC23" s="555">
        <v>-2</v>
      </c>
      <c r="AD23" s="553"/>
      <c r="AE23" s="554"/>
      <c r="AG23" s="984" t="s">
        <v>127</v>
      </c>
      <c r="AH23" s="969"/>
      <c r="AI23" s="969"/>
      <c r="AJ23" s="969"/>
      <c r="AK23" s="969"/>
      <c r="AL23" s="969"/>
      <c r="AM23" s="970"/>
      <c r="AN23" s="551">
        <v>266637</v>
      </c>
      <c r="AO23" s="551">
        <v>269379</v>
      </c>
      <c r="AP23" s="551">
        <v>272153</v>
      </c>
      <c r="AQ23" s="552">
        <v>1.0297758919E-2</v>
      </c>
      <c r="AR23" s="552">
        <v>2.0687301461999999E-2</v>
      </c>
      <c r="AS23" s="551">
        <v>5516</v>
      </c>
      <c r="AT23" s="553"/>
      <c r="AU23" s="554"/>
      <c r="AW23" s="989" t="s">
        <v>97</v>
      </c>
      <c r="AX23" s="969"/>
      <c r="AY23" s="969"/>
      <c r="AZ23" s="969"/>
      <c r="BA23" s="969"/>
      <c r="BB23" s="969"/>
      <c r="BC23" s="970"/>
      <c r="BD23" s="555">
        <v>83709</v>
      </c>
      <c r="BE23" s="555">
        <v>84330</v>
      </c>
      <c r="BF23" s="555">
        <v>83847</v>
      </c>
      <c r="BG23" s="556">
        <v>-5.72749911E-3</v>
      </c>
      <c r="BH23" s="556">
        <v>1.6485682540000001E-3</v>
      </c>
      <c r="BI23" s="555">
        <v>138</v>
      </c>
      <c r="BJ23" s="553"/>
      <c r="BK23" s="554"/>
      <c r="BM23" s="597"/>
      <c r="BN23" s="595"/>
      <c r="BO23" s="595"/>
      <c r="BP23" s="595"/>
      <c r="BQ23" s="595"/>
      <c r="BR23" s="595"/>
      <c r="BS23" s="596"/>
      <c r="BT23" s="555"/>
      <c r="BU23" s="555"/>
      <c r="BV23" s="555"/>
      <c r="BW23" s="556"/>
      <c r="BX23" s="556"/>
      <c r="BY23" s="555"/>
      <c r="BZ23" s="553"/>
      <c r="CA23" s="554"/>
      <c r="CC23" s="989" t="s">
        <v>98</v>
      </c>
      <c r="CD23" s="969"/>
      <c r="CE23" s="969"/>
      <c r="CF23" s="969"/>
      <c r="CG23" s="969"/>
      <c r="CH23" s="969"/>
      <c r="CI23" s="970"/>
      <c r="CJ23" s="555">
        <v>4855</v>
      </c>
      <c r="CK23" s="555">
        <v>4854</v>
      </c>
      <c r="CL23" s="555">
        <v>4687</v>
      </c>
      <c r="CM23" s="556">
        <v>-3.440461475E-2</v>
      </c>
      <c r="CN23" s="556">
        <v>-3.4603501544E-2</v>
      </c>
      <c r="CO23" s="555">
        <v>-168</v>
      </c>
      <c r="CP23" s="553"/>
      <c r="CQ23" s="554"/>
      <c r="CS23" s="989" t="s">
        <v>98</v>
      </c>
      <c r="CT23" s="969"/>
      <c r="CU23" s="969"/>
      <c r="CV23" s="969"/>
      <c r="CW23" s="969"/>
      <c r="CX23" s="969"/>
      <c r="CY23" s="970"/>
      <c r="CZ23" s="555">
        <v>139</v>
      </c>
      <c r="DA23" s="555">
        <v>135</v>
      </c>
      <c r="DB23" s="555">
        <v>129</v>
      </c>
      <c r="DC23" s="556">
        <v>-4.4444444444000003E-2</v>
      </c>
      <c r="DD23" s="556">
        <v>-7.1942446043E-2</v>
      </c>
      <c r="DE23" s="555">
        <v>-10</v>
      </c>
      <c r="DF23" s="553"/>
      <c r="DG23" s="554"/>
      <c r="DI23" s="597"/>
      <c r="DJ23" s="595"/>
      <c r="DK23" s="595"/>
      <c r="DL23" s="595"/>
      <c r="DM23" s="595"/>
      <c r="DN23" s="595"/>
      <c r="DO23" s="596"/>
      <c r="DP23" s="555"/>
      <c r="DQ23" s="555"/>
      <c r="DR23" s="555"/>
      <c r="DS23" s="556"/>
      <c r="DT23" s="556"/>
      <c r="DU23" s="555"/>
      <c r="DV23" s="553"/>
      <c r="DW23" s="554"/>
      <c r="DY23" s="989" t="s">
        <v>98</v>
      </c>
      <c r="DZ23" s="969"/>
      <c r="EA23" s="969"/>
      <c r="EB23" s="969"/>
      <c r="EC23" s="969"/>
      <c r="ED23" s="969"/>
      <c r="EE23" s="970"/>
      <c r="EF23" s="555">
        <v>28</v>
      </c>
      <c r="EG23" s="555">
        <v>27</v>
      </c>
      <c r="EH23" s="555">
        <v>30</v>
      </c>
      <c r="EI23" s="556">
        <v>0.111111111111</v>
      </c>
      <c r="EJ23" s="556">
        <v>7.1428571428000007E-2</v>
      </c>
      <c r="EK23" s="555">
        <v>2</v>
      </c>
      <c r="EL23" s="553"/>
      <c r="EM23" s="554"/>
      <c r="EO23" s="989" t="s">
        <v>98</v>
      </c>
      <c r="EP23" s="969"/>
      <c r="EQ23" s="969"/>
      <c r="ER23" s="969"/>
      <c r="ES23" s="969"/>
      <c r="ET23" s="969"/>
      <c r="EU23" s="970"/>
      <c r="EV23" s="555">
        <v>4402</v>
      </c>
      <c r="EW23" s="555">
        <v>4314</v>
      </c>
      <c r="EX23" s="555">
        <v>4204</v>
      </c>
      <c r="EY23" s="556">
        <v>-2.5498377374999999E-2</v>
      </c>
      <c r="EZ23" s="556">
        <v>-4.4979554747000002E-2</v>
      </c>
      <c r="FA23" s="555">
        <v>-198</v>
      </c>
      <c r="FB23" s="553"/>
      <c r="FC23" s="554"/>
      <c r="FE23" s="597"/>
      <c r="FF23" s="595"/>
      <c r="FG23" s="595"/>
      <c r="FH23" s="595"/>
      <c r="FI23" s="595"/>
      <c r="FJ23" s="595"/>
      <c r="FK23" s="596"/>
      <c r="FL23" s="555"/>
      <c r="FM23" s="555"/>
      <c r="FN23" s="555"/>
      <c r="FO23" s="556"/>
      <c r="FP23" s="556"/>
      <c r="FQ23" s="555"/>
      <c r="FR23" s="553"/>
      <c r="FS23" s="554"/>
      <c r="FZ23" s="749"/>
      <c r="GD23" s="718" t="s">
        <v>141</v>
      </c>
      <c r="GE23" s="568"/>
      <c r="GF23" s="718" t="s">
        <v>435</v>
      </c>
      <c r="GG23" s="752">
        <v>78551</v>
      </c>
      <c r="GH23" s="752">
        <v>89831</v>
      </c>
      <c r="GI23" s="864">
        <f>SUM(GH22:GH23)</f>
        <v>98279</v>
      </c>
      <c r="GJ23" s="353"/>
      <c r="GL23" s="353">
        <v>6</v>
      </c>
      <c r="GM23" s="353" t="s">
        <v>136</v>
      </c>
      <c r="GN23" s="353">
        <v>394</v>
      </c>
      <c r="GO23" s="353">
        <v>507</v>
      </c>
      <c r="GP23" s="353">
        <v>549</v>
      </c>
      <c r="GQ23" s="353">
        <v>580</v>
      </c>
      <c r="GR23" s="353">
        <v>420</v>
      </c>
      <c r="GS23" s="353">
        <v>397</v>
      </c>
      <c r="GT23" s="353">
        <v>472</v>
      </c>
      <c r="GU23" s="353">
        <v>405</v>
      </c>
      <c r="GV23" s="353">
        <v>463</v>
      </c>
      <c r="GW23" s="353">
        <v>296</v>
      </c>
      <c r="GX23" s="353">
        <v>388</v>
      </c>
      <c r="GY23" s="353">
        <v>250</v>
      </c>
      <c r="GZ23" s="592">
        <v>305</v>
      </c>
      <c r="HA23" s="592">
        <v>416</v>
      </c>
      <c r="HB23" s="592">
        <v>340</v>
      </c>
      <c r="HC23" s="592">
        <v>140</v>
      </c>
      <c r="HD23" s="592">
        <v>190</v>
      </c>
      <c r="HE23" s="592">
        <v>161</v>
      </c>
      <c r="HF23" s="592">
        <v>164</v>
      </c>
      <c r="HG23" s="592">
        <v>163</v>
      </c>
      <c r="HH23" s="592">
        <v>208</v>
      </c>
      <c r="HI23" s="568">
        <v>114</v>
      </c>
      <c r="HJ23" s="568">
        <v>179</v>
      </c>
      <c r="HK23" s="568">
        <v>85</v>
      </c>
      <c r="HL23" s="592">
        <v>166</v>
      </c>
      <c r="HM23" s="592">
        <v>151</v>
      </c>
      <c r="HN23" s="592">
        <v>246</v>
      </c>
      <c r="HO23" s="592">
        <v>135</v>
      </c>
      <c r="HP23" s="592">
        <v>112</v>
      </c>
      <c r="HQ23" s="592">
        <v>142</v>
      </c>
      <c r="HR23" s="592">
        <v>330</v>
      </c>
      <c r="HS23" s="592">
        <v>137</v>
      </c>
      <c r="HT23" s="592">
        <v>276</v>
      </c>
      <c r="HU23" s="592">
        <v>237</v>
      </c>
      <c r="HV23" s="592">
        <v>158</v>
      </c>
      <c r="HW23" s="721">
        <v>90</v>
      </c>
      <c r="HX23" s="753">
        <v>523</v>
      </c>
      <c r="HY23" s="753">
        <v>440</v>
      </c>
      <c r="HZ23" s="753">
        <v>266</v>
      </c>
      <c r="IA23" s="592">
        <v>146</v>
      </c>
      <c r="IB23" s="828">
        <v>114</v>
      </c>
      <c r="IC23" s="592">
        <v>124</v>
      </c>
      <c r="IV23" s="353">
        <v>6</v>
      </c>
      <c r="IW23" s="353" t="s">
        <v>136</v>
      </c>
      <c r="IX23" s="353">
        <v>346</v>
      </c>
      <c r="IY23" s="353">
        <v>442</v>
      </c>
      <c r="IZ23" s="353">
        <v>436</v>
      </c>
      <c r="JA23" s="353">
        <v>475</v>
      </c>
      <c r="JB23" s="353">
        <v>103</v>
      </c>
      <c r="JC23" s="353">
        <v>330</v>
      </c>
      <c r="JD23" s="592">
        <v>123</v>
      </c>
      <c r="JE23" s="592">
        <v>349</v>
      </c>
      <c r="JF23" s="592">
        <v>379</v>
      </c>
      <c r="JG23" s="592">
        <v>96</v>
      </c>
      <c r="JH23" s="592">
        <v>282</v>
      </c>
      <c r="JI23" s="592">
        <v>74</v>
      </c>
      <c r="JJ23" s="592">
        <v>307</v>
      </c>
      <c r="JK23" s="592">
        <v>424</v>
      </c>
      <c r="JL23" s="353">
        <v>339</v>
      </c>
      <c r="JM23" s="353">
        <v>152</v>
      </c>
      <c r="JN23" s="353">
        <v>163</v>
      </c>
      <c r="JO23" s="353">
        <v>139</v>
      </c>
      <c r="JP23" s="592">
        <v>172</v>
      </c>
      <c r="JQ23" s="592">
        <v>182</v>
      </c>
      <c r="JR23" s="592">
        <v>324</v>
      </c>
      <c r="JS23" s="592">
        <v>106</v>
      </c>
      <c r="JT23" s="592">
        <v>186</v>
      </c>
      <c r="JU23" s="592">
        <v>89</v>
      </c>
      <c r="JV23" s="592">
        <v>213</v>
      </c>
      <c r="JW23" s="592">
        <v>153</v>
      </c>
      <c r="JX23" s="592">
        <v>267</v>
      </c>
      <c r="JY23" s="592">
        <v>383</v>
      </c>
      <c r="JZ23" s="592">
        <v>91</v>
      </c>
      <c r="KA23" s="592">
        <v>337</v>
      </c>
      <c r="KB23" s="592">
        <v>294</v>
      </c>
      <c r="KC23" s="592">
        <v>144</v>
      </c>
      <c r="KD23" s="592">
        <v>303</v>
      </c>
      <c r="KE23" s="592">
        <v>271</v>
      </c>
      <c r="KF23" s="592">
        <v>167</v>
      </c>
      <c r="KG23" s="592">
        <v>131</v>
      </c>
      <c r="KH23" s="592">
        <v>529</v>
      </c>
      <c r="KI23" s="721">
        <v>356</v>
      </c>
      <c r="KJ23" s="753">
        <v>275</v>
      </c>
      <c r="KK23" s="753">
        <v>133</v>
      </c>
      <c r="KL23" s="753">
        <v>122</v>
      </c>
      <c r="KM23" s="592">
        <v>105</v>
      </c>
      <c r="KN23" s="828">
        <v>123</v>
      </c>
      <c r="KO23" s="592">
        <v>255</v>
      </c>
    </row>
    <row r="24" spans="1:301" ht="15" thickBot="1">
      <c r="A24" s="989" t="s">
        <v>99</v>
      </c>
      <c r="B24" s="969"/>
      <c r="C24" s="969"/>
      <c r="D24" s="969"/>
      <c r="E24" s="969"/>
      <c r="F24" s="969"/>
      <c r="G24" s="970"/>
      <c r="H24" s="555">
        <v>2268</v>
      </c>
      <c r="I24" s="555">
        <v>2109</v>
      </c>
      <c r="J24" s="555">
        <v>1945</v>
      </c>
      <c r="K24" s="556">
        <v>-7.7761972498000001E-2</v>
      </c>
      <c r="L24" s="556">
        <v>-0.14241622574900001</v>
      </c>
      <c r="M24" s="555">
        <v>-323</v>
      </c>
      <c r="N24" s="553"/>
      <c r="O24" s="554"/>
      <c r="Q24" s="989" t="s">
        <v>99</v>
      </c>
      <c r="R24" s="969"/>
      <c r="S24" s="969"/>
      <c r="T24" s="969"/>
      <c r="U24" s="969"/>
      <c r="V24" s="969"/>
      <c r="W24" s="970"/>
      <c r="X24" s="555">
        <v>0</v>
      </c>
      <c r="Y24" s="555">
        <v>0</v>
      </c>
      <c r="Z24" s="555">
        <v>0</v>
      </c>
      <c r="AA24" s="553"/>
      <c r="AB24" s="553"/>
      <c r="AC24" s="555">
        <v>0</v>
      </c>
      <c r="AD24" s="553"/>
      <c r="AE24" s="554"/>
      <c r="AG24" s="989" t="s">
        <v>97</v>
      </c>
      <c r="AH24" s="969"/>
      <c r="AI24" s="969"/>
      <c r="AJ24" s="969"/>
      <c r="AK24" s="969"/>
      <c r="AL24" s="969"/>
      <c r="AM24" s="970"/>
      <c r="AN24" s="555">
        <v>414600</v>
      </c>
      <c r="AO24" s="555">
        <v>419273</v>
      </c>
      <c r="AP24" s="555">
        <v>422894</v>
      </c>
      <c r="AQ24" s="556">
        <v>8.6363777300000003E-3</v>
      </c>
      <c r="AR24" s="556">
        <v>2.0004823926E-2</v>
      </c>
      <c r="AS24" s="555">
        <v>8294</v>
      </c>
      <c r="AT24" s="553"/>
      <c r="AU24" s="554"/>
      <c r="AW24" s="989" t="s">
        <v>98</v>
      </c>
      <c r="AX24" s="969"/>
      <c r="AY24" s="969"/>
      <c r="AZ24" s="969"/>
      <c r="BA24" s="969"/>
      <c r="BB24" s="969"/>
      <c r="BC24" s="970"/>
      <c r="BD24" s="555">
        <v>1072</v>
      </c>
      <c r="BE24" s="555">
        <v>1033</v>
      </c>
      <c r="BF24" s="555">
        <v>995</v>
      </c>
      <c r="BG24" s="556">
        <v>-3.6786060018999998E-2</v>
      </c>
      <c r="BH24" s="556">
        <v>-7.1828358208000001E-2</v>
      </c>
      <c r="BI24" s="555">
        <v>-77</v>
      </c>
      <c r="BJ24" s="553"/>
      <c r="BK24" s="554"/>
      <c r="BM24" s="989" t="s">
        <v>97</v>
      </c>
      <c r="BN24" s="969"/>
      <c r="BO24" s="969"/>
      <c r="BP24" s="969"/>
      <c r="BQ24" s="969"/>
      <c r="BR24" s="969"/>
      <c r="BS24" s="970"/>
      <c r="BT24" s="555">
        <v>9703</v>
      </c>
      <c r="BU24" s="555">
        <v>9868</v>
      </c>
      <c r="BV24" s="555">
        <v>9998</v>
      </c>
      <c r="BW24" s="556">
        <v>1.3173895418999999E-2</v>
      </c>
      <c r="BX24" s="556">
        <v>3.0402968153999999E-2</v>
      </c>
      <c r="BY24" s="555">
        <v>295</v>
      </c>
      <c r="BZ24" s="553"/>
      <c r="CA24" s="554"/>
      <c r="CC24" s="989" t="s">
        <v>99</v>
      </c>
      <c r="CD24" s="969"/>
      <c r="CE24" s="969"/>
      <c r="CF24" s="969"/>
      <c r="CG24" s="969"/>
      <c r="CH24" s="969"/>
      <c r="CI24" s="970"/>
      <c r="CJ24" s="555">
        <v>144059</v>
      </c>
      <c r="CK24" s="555">
        <v>145218</v>
      </c>
      <c r="CL24" s="555">
        <v>146554</v>
      </c>
      <c r="CM24" s="556">
        <v>9.199961437E-3</v>
      </c>
      <c r="CN24" s="556">
        <v>1.7319292789000001E-2</v>
      </c>
      <c r="CO24" s="555">
        <v>2495</v>
      </c>
      <c r="CP24" s="553"/>
      <c r="CQ24" s="554"/>
      <c r="CS24" s="989" t="s">
        <v>99</v>
      </c>
      <c r="CT24" s="969"/>
      <c r="CU24" s="969"/>
      <c r="CV24" s="969"/>
      <c r="CW24" s="969"/>
      <c r="CX24" s="969"/>
      <c r="CY24" s="970"/>
      <c r="CZ24" s="555">
        <v>46016</v>
      </c>
      <c r="DA24" s="555">
        <v>45919</v>
      </c>
      <c r="DB24" s="555">
        <v>46217</v>
      </c>
      <c r="DC24" s="556">
        <v>6.4896883639999998E-3</v>
      </c>
      <c r="DD24" s="556">
        <v>4.3680458970000004E-3</v>
      </c>
      <c r="DE24" s="555">
        <v>201</v>
      </c>
      <c r="DF24" s="553"/>
      <c r="DG24" s="554"/>
      <c r="DI24" s="989" t="s">
        <v>97</v>
      </c>
      <c r="DJ24" s="969"/>
      <c r="DK24" s="969"/>
      <c r="DL24" s="969"/>
      <c r="DM24" s="969"/>
      <c r="DN24" s="969"/>
      <c r="DO24" s="970"/>
      <c r="DP24" s="555">
        <v>108102</v>
      </c>
      <c r="DQ24" s="555">
        <v>108651</v>
      </c>
      <c r="DR24" s="555">
        <v>109535</v>
      </c>
      <c r="DS24" s="556">
        <v>8.1361423270000007E-3</v>
      </c>
      <c r="DT24" s="556">
        <v>1.3255998963000001E-2</v>
      </c>
      <c r="DU24" s="555">
        <v>1433</v>
      </c>
      <c r="DV24" s="553"/>
      <c r="DW24" s="554"/>
      <c r="DY24" s="989" t="s">
        <v>99</v>
      </c>
      <c r="DZ24" s="969"/>
      <c r="EA24" s="969"/>
      <c r="EB24" s="969"/>
      <c r="EC24" s="969"/>
      <c r="ED24" s="969"/>
      <c r="EE24" s="970"/>
      <c r="EF24" s="555">
        <v>18451</v>
      </c>
      <c r="EG24" s="555">
        <v>18551</v>
      </c>
      <c r="EH24" s="555">
        <v>18844</v>
      </c>
      <c r="EI24" s="556">
        <v>1.5794296802999999E-2</v>
      </c>
      <c r="EJ24" s="556">
        <v>2.1299658555E-2</v>
      </c>
      <c r="EK24" s="555">
        <v>393</v>
      </c>
      <c r="EL24" s="553"/>
      <c r="EM24" s="554"/>
      <c r="EO24" s="989" t="s">
        <v>99</v>
      </c>
      <c r="EP24" s="969"/>
      <c r="EQ24" s="969"/>
      <c r="ER24" s="969"/>
      <c r="ES24" s="969"/>
      <c r="ET24" s="969"/>
      <c r="EU24" s="970"/>
      <c r="EV24" s="555">
        <v>12496</v>
      </c>
      <c r="EW24" s="555">
        <v>12886</v>
      </c>
      <c r="EX24" s="555">
        <v>12989</v>
      </c>
      <c r="EY24" s="556">
        <v>7.9931708830000003E-3</v>
      </c>
      <c r="EZ24" s="556">
        <v>3.9452624839E-2</v>
      </c>
      <c r="FA24" s="555">
        <v>493</v>
      </c>
      <c r="FB24" s="553"/>
      <c r="FC24" s="554"/>
      <c r="FE24" s="989" t="s">
        <v>97</v>
      </c>
      <c r="FF24" s="969"/>
      <c r="FG24" s="969"/>
      <c r="FH24" s="969"/>
      <c r="FI24" s="969"/>
      <c r="FJ24" s="969"/>
      <c r="FK24" s="970"/>
      <c r="FL24" s="555">
        <v>9881</v>
      </c>
      <c r="FM24" s="555">
        <v>9929</v>
      </c>
      <c r="FN24" s="555">
        <v>9954</v>
      </c>
      <c r="FO24" s="556">
        <v>2.5178769259999998E-3</v>
      </c>
      <c r="FP24" s="556">
        <v>7.3879162019999996E-3</v>
      </c>
      <c r="FQ24" s="555">
        <v>73</v>
      </c>
      <c r="FR24" s="553"/>
      <c r="FS24" s="554"/>
      <c r="FZ24" s="749"/>
      <c r="GC24" s="330">
        <v>2022</v>
      </c>
      <c r="GD24" s="718" t="s">
        <v>137</v>
      </c>
      <c r="GE24" s="568"/>
      <c r="GF24" s="719" t="s">
        <v>435</v>
      </c>
      <c r="GG24" s="752">
        <v>41892</v>
      </c>
      <c r="GH24" s="752">
        <v>46936</v>
      </c>
      <c r="GJ24" s="353"/>
      <c r="GL24" s="353">
        <v>7</v>
      </c>
      <c r="GM24" s="353" t="s">
        <v>137</v>
      </c>
      <c r="GN24" s="353">
        <v>178</v>
      </c>
      <c r="GO24" s="353">
        <v>263</v>
      </c>
      <c r="GP24" s="353">
        <v>210</v>
      </c>
      <c r="GQ24" s="353">
        <v>239</v>
      </c>
      <c r="GR24" s="353">
        <v>388</v>
      </c>
      <c r="GS24" s="353">
        <v>157</v>
      </c>
      <c r="GT24" s="353">
        <v>235</v>
      </c>
      <c r="GU24" s="353">
        <v>166</v>
      </c>
      <c r="GV24" s="353">
        <v>165</v>
      </c>
      <c r="GW24" s="353">
        <v>250</v>
      </c>
      <c r="GX24" s="353">
        <v>372</v>
      </c>
      <c r="GY24" s="353">
        <v>206</v>
      </c>
      <c r="GZ24" s="592">
        <v>309</v>
      </c>
      <c r="HA24" s="592">
        <v>242</v>
      </c>
      <c r="HB24" s="592">
        <v>193</v>
      </c>
      <c r="HC24" s="592">
        <v>70</v>
      </c>
      <c r="HD24" s="592">
        <v>67</v>
      </c>
      <c r="HE24" s="592">
        <v>118</v>
      </c>
      <c r="HF24" s="592">
        <v>62</v>
      </c>
      <c r="HG24" s="592">
        <v>123</v>
      </c>
      <c r="HH24" s="592">
        <v>139</v>
      </c>
      <c r="HI24" s="568">
        <v>30</v>
      </c>
      <c r="HJ24" s="568">
        <v>142</v>
      </c>
      <c r="HK24" s="568">
        <v>101</v>
      </c>
      <c r="HL24" s="592">
        <v>71</v>
      </c>
      <c r="HM24" s="592">
        <v>94</v>
      </c>
      <c r="HN24" s="592">
        <v>119</v>
      </c>
      <c r="HO24" s="592">
        <v>144</v>
      </c>
      <c r="HP24" s="592">
        <v>120</v>
      </c>
      <c r="HQ24" s="592">
        <v>144</v>
      </c>
      <c r="HR24" s="592">
        <v>93</v>
      </c>
      <c r="HS24" s="592">
        <v>73</v>
      </c>
      <c r="HT24" s="592">
        <v>125</v>
      </c>
      <c r="HU24" s="592">
        <v>73</v>
      </c>
      <c r="HV24" s="592">
        <v>124</v>
      </c>
      <c r="HW24" s="721">
        <v>93</v>
      </c>
      <c r="HX24" s="753">
        <v>100</v>
      </c>
      <c r="HY24" s="753">
        <v>111</v>
      </c>
      <c r="HZ24" s="753">
        <v>126</v>
      </c>
      <c r="IA24" s="592">
        <v>126</v>
      </c>
      <c r="IB24" s="828">
        <v>87</v>
      </c>
      <c r="IC24" s="592">
        <v>113</v>
      </c>
      <c r="IV24" s="353">
        <v>7</v>
      </c>
      <c r="IW24" s="353" t="s">
        <v>137</v>
      </c>
      <c r="IX24" s="353">
        <v>140</v>
      </c>
      <c r="IY24" s="353">
        <v>241</v>
      </c>
      <c r="IZ24" s="353">
        <v>199</v>
      </c>
      <c r="JA24" s="353">
        <v>245</v>
      </c>
      <c r="JB24" s="353">
        <v>348</v>
      </c>
      <c r="JC24" s="353">
        <v>163</v>
      </c>
      <c r="JD24" s="592">
        <v>210</v>
      </c>
      <c r="JE24" s="592">
        <v>145</v>
      </c>
      <c r="JF24" s="592">
        <v>157</v>
      </c>
      <c r="JG24" s="592">
        <v>215</v>
      </c>
      <c r="JH24" s="592">
        <v>325</v>
      </c>
      <c r="JI24" s="592">
        <v>189</v>
      </c>
      <c r="JJ24" s="592">
        <v>347</v>
      </c>
      <c r="JK24" s="532">
        <v>272</v>
      </c>
      <c r="JL24" s="353">
        <v>225</v>
      </c>
      <c r="JM24" s="353">
        <v>72</v>
      </c>
      <c r="JN24" s="353">
        <v>68</v>
      </c>
      <c r="JO24" s="353">
        <v>128</v>
      </c>
      <c r="JP24" s="592">
        <v>59</v>
      </c>
      <c r="JQ24" s="592">
        <v>107</v>
      </c>
      <c r="JR24" s="592">
        <v>139</v>
      </c>
      <c r="JS24" s="592">
        <v>105</v>
      </c>
      <c r="JT24" s="592">
        <v>150</v>
      </c>
      <c r="JU24" s="592">
        <v>105</v>
      </c>
      <c r="JV24" s="592">
        <v>143</v>
      </c>
      <c r="JW24" s="592">
        <v>157</v>
      </c>
      <c r="JX24" s="592">
        <v>105</v>
      </c>
      <c r="JY24" s="592">
        <v>61</v>
      </c>
      <c r="JZ24" s="592">
        <v>118</v>
      </c>
      <c r="KA24" s="592">
        <v>68</v>
      </c>
      <c r="KB24" s="592">
        <v>89</v>
      </c>
      <c r="KC24" s="592">
        <v>76</v>
      </c>
      <c r="KD24" s="592">
        <v>129</v>
      </c>
      <c r="KE24" s="592">
        <v>65</v>
      </c>
      <c r="KF24" s="592">
        <v>120</v>
      </c>
      <c r="KG24" s="592">
        <v>67</v>
      </c>
      <c r="KH24" s="592">
        <v>126</v>
      </c>
      <c r="KI24" s="721">
        <v>116</v>
      </c>
      <c r="KJ24" s="753">
        <v>124</v>
      </c>
      <c r="KK24" s="753">
        <v>128</v>
      </c>
      <c r="KL24" s="753">
        <v>100</v>
      </c>
      <c r="KM24" s="592">
        <v>84</v>
      </c>
      <c r="KN24" s="828">
        <v>112</v>
      </c>
      <c r="KO24" s="592">
        <v>137</v>
      </c>
    </row>
    <row r="25" spans="1:301" ht="15" thickBot="1">
      <c r="A25" s="989" t="s">
        <v>100</v>
      </c>
      <c r="B25" s="969"/>
      <c r="C25" s="969"/>
      <c r="D25" s="969"/>
      <c r="E25" s="969"/>
      <c r="F25" s="969"/>
      <c r="G25" s="970"/>
      <c r="H25" s="555">
        <v>19278</v>
      </c>
      <c r="I25" s="555">
        <v>19841</v>
      </c>
      <c r="J25" s="555">
        <v>20274</v>
      </c>
      <c r="K25" s="556">
        <v>2.1823496798999999E-2</v>
      </c>
      <c r="L25" s="556">
        <v>5.1665110488000002E-2</v>
      </c>
      <c r="M25" s="555">
        <v>996</v>
      </c>
      <c r="N25" s="553"/>
      <c r="O25" s="554"/>
      <c r="Q25" s="989" t="s">
        <v>100</v>
      </c>
      <c r="R25" s="969"/>
      <c r="S25" s="969"/>
      <c r="T25" s="969"/>
      <c r="U25" s="969"/>
      <c r="V25" s="969"/>
      <c r="W25" s="970"/>
      <c r="X25" s="555">
        <v>50202</v>
      </c>
      <c r="Y25" s="555">
        <v>50061</v>
      </c>
      <c r="Z25" s="555">
        <v>49633</v>
      </c>
      <c r="AA25" s="556">
        <v>-8.549569525E-3</v>
      </c>
      <c r="AB25" s="556">
        <v>-1.1334209792E-2</v>
      </c>
      <c r="AC25" s="555">
        <v>-569</v>
      </c>
      <c r="AD25" s="553"/>
      <c r="AE25" s="554"/>
      <c r="AG25" s="989" t="s">
        <v>98</v>
      </c>
      <c r="AH25" s="969"/>
      <c r="AI25" s="969"/>
      <c r="AJ25" s="969"/>
      <c r="AK25" s="969"/>
      <c r="AL25" s="969"/>
      <c r="AM25" s="970"/>
      <c r="AN25" s="555">
        <v>123603</v>
      </c>
      <c r="AO25" s="555">
        <v>124216</v>
      </c>
      <c r="AP25" s="555">
        <v>124532</v>
      </c>
      <c r="AQ25" s="556">
        <v>2.5439556899999999E-3</v>
      </c>
      <c r="AR25" s="556">
        <v>7.5159988019999997E-3</v>
      </c>
      <c r="AS25" s="555">
        <v>929</v>
      </c>
      <c r="AT25" s="553"/>
      <c r="AU25" s="554"/>
      <c r="AW25" s="989" t="s">
        <v>99</v>
      </c>
      <c r="AX25" s="969"/>
      <c r="AY25" s="969"/>
      <c r="AZ25" s="969"/>
      <c r="BA25" s="969"/>
      <c r="BB25" s="969"/>
      <c r="BC25" s="970"/>
      <c r="BD25" s="555">
        <v>30429</v>
      </c>
      <c r="BE25" s="555">
        <v>1</v>
      </c>
      <c r="BF25" s="555">
        <v>8</v>
      </c>
      <c r="BG25" s="556">
        <v>7</v>
      </c>
      <c r="BH25" s="556">
        <v>-0.99973709290400004</v>
      </c>
      <c r="BI25" s="555">
        <v>-30421</v>
      </c>
      <c r="BJ25" s="553"/>
      <c r="BK25" s="554"/>
      <c r="BM25" s="989" t="s">
        <v>98</v>
      </c>
      <c r="BN25" s="969"/>
      <c r="BO25" s="969"/>
      <c r="BP25" s="969"/>
      <c r="BQ25" s="969"/>
      <c r="BR25" s="969"/>
      <c r="BS25" s="970"/>
      <c r="BT25" s="555">
        <v>148</v>
      </c>
      <c r="BU25" s="555">
        <v>167</v>
      </c>
      <c r="BV25" s="555">
        <v>183</v>
      </c>
      <c r="BW25" s="556">
        <v>9.5808383233000005E-2</v>
      </c>
      <c r="BX25" s="556">
        <v>0.23648648648600001</v>
      </c>
      <c r="BY25" s="555">
        <v>35</v>
      </c>
      <c r="BZ25" s="553"/>
      <c r="CA25" s="554"/>
      <c r="CC25" s="989" t="s">
        <v>100</v>
      </c>
      <c r="CD25" s="969"/>
      <c r="CE25" s="969"/>
      <c r="CF25" s="969"/>
      <c r="CG25" s="969"/>
      <c r="CH25" s="969"/>
      <c r="CI25" s="970"/>
      <c r="CJ25" s="555">
        <v>25057</v>
      </c>
      <c r="CK25" s="555">
        <v>25415</v>
      </c>
      <c r="CL25" s="555">
        <v>25900</v>
      </c>
      <c r="CM25" s="556">
        <v>1.9083218571E-2</v>
      </c>
      <c r="CN25" s="556">
        <v>3.3643293291E-2</v>
      </c>
      <c r="CO25" s="555">
        <v>843</v>
      </c>
      <c r="CP25" s="553"/>
      <c r="CQ25" s="554"/>
      <c r="CS25" s="989" t="s">
        <v>100</v>
      </c>
      <c r="CT25" s="969"/>
      <c r="CU25" s="969"/>
      <c r="CV25" s="969"/>
      <c r="CW25" s="969"/>
      <c r="CX25" s="969"/>
      <c r="CY25" s="970"/>
      <c r="CZ25" s="555">
        <v>5842</v>
      </c>
      <c r="DA25" s="555">
        <v>6112</v>
      </c>
      <c r="DB25" s="555">
        <v>6099</v>
      </c>
      <c r="DC25" s="556">
        <v>-2.1269633499999998E-3</v>
      </c>
      <c r="DD25" s="556">
        <v>4.3991783634999997E-2</v>
      </c>
      <c r="DE25" s="555">
        <v>257</v>
      </c>
      <c r="DF25" s="553"/>
      <c r="DG25" s="554"/>
      <c r="DI25" s="989" t="s">
        <v>98</v>
      </c>
      <c r="DJ25" s="969"/>
      <c r="DK25" s="969"/>
      <c r="DL25" s="969"/>
      <c r="DM25" s="969"/>
      <c r="DN25" s="969"/>
      <c r="DO25" s="970"/>
      <c r="DP25" s="555">
        <v>11011</v>
      </c>
      <c r="DQ25" s="555">
        <v>10826</v>
      </c>
      <c r="DR25" s="555">
        <v>10858</v>
      </c>
      <c r="DS25" s="556">
        <v>2.955847034E-3</v>
      </c>
      <c r="DT25" s="556">
        <v>-1.3895195713E-2</v>
      </c>
      <c r="DU25" s="555">
        <v>-153</v>
      </c>
      <c r="DV25" s="553"/>
      <c r="DW25" s="554"/>
      <c r="DY25" s="989" t="s">
        <v>100</v>
      </c>
      <c r="DZ25" s="969"/>
      <c r="EA25" s="969"/>
      <c r="EB25" s="969"/>
      <c r="EC25" s="969"/>
      <c r="ED25" s="969"/>
      <c r="EE25" s="970"/>
      <c r="EF25" s="555">
        <v>0</v>
      </c>
      <c r="EG25" s="555">
        <v>0</v>
      </c>
      <c r="EH25" s="555">
        <v>0</v>
      </c>
      <c r="EI25" s="553"/>
      <c r="EJ25" s="553"/>
      <c r="EK25" s="555">
        <v>0</v>
      </c>
      <c r="EL25" s="553"/>
      <c r="EM25" s="554"/>
      <c r="EO25" s="989" t="s">
        <v>100</v>
      </c>
      <c r="EP25" s="969"/>
      <c r="EQ25" s="969"/>
      <c r="ER25" s="969"/>
      <c r="ES25" s="969"/>
      <c r="ET25" s="969"/>
      <c r="EU25" s="970"/>
      <c r="EV25" s="555">
        <v>66872</v>
      </c>
      <c r="EW25" s="555">
        <v>68396</v>
      </c>
      <c r="EX25" s="555">
        <v>67707</v>
      </c>
      <c r="EY25" s="556">
        <v>-1.0073688519E-2</v>
      </c>
      <c r="EZ25" s="556">
        <v>1.2486541452E-2</v>
      </c>
      <c r="FA25" s="555">
        <v>835</v>
      </c>
      <c r="FB25" s="553"/>
      <c r="FC25" s="554"/>
      <c r="FE25" s="989" t="s">
        <v>98</v>
      </c>
      <c r="FF25" s="969"/>
      <c r="FG25" s="969"/>
      <c r="FH25" s="969"/>
      <c r="FI25" s="969"/>
      <c r="FJ25" s="969"/>
      <c r="FK25" s="970"/>
      <c r="FL25" s="555">
        <v>106</v>
      </c>
      <c r="FM25" s="555">
        <v>107</v>
      </c>
      <c r="FN25" s="555">
        <v>102</v>
      </c>
      <c r="FO25" s="556">
        <v>-4.6728971962000002E-2</v>
      </c>
      <c r="FP25" s="556">
        <v>-3.7735849055999998E-2</v>
      </c>
      <c r="FQ25" s="555">
        <v>-4</v>
      </c>
      <c r="FR25" s="553"/>
      <c r="FS25" s="554"/>
      <c r="FZ25" s="749"/>
      <c r="GC25" s="330">
        <v>2022</v>
      </c>
      <c r="GD25" s="718" t="s">
        <v>137</v>
      </c>
      <c r="GE25" s="568"/>
      <c r="GF25" s="719" t="s">
        <v>390</v>
      </c>
      <c r="GG25" s="752">
        <v>1250</v>
      </c>
      <c r="GH25" s="752">
        <v>1314</v>
      </c>
      <c r="GI25" s="604">
        <f>SUM(GH24:GH25)</f>
        <v>48250</v>
      </c>
      <c r="GJ25" s="353"/>
      <c r="GL25" s="353">
        <v>8</v>
      </c>
      <c r="GM25" s="353" t="s">
        <v>138</v>
      </c>
      <c r="GN25" s="353">
        <v>220</v>
      </c>
      <c r="GO25" s="353">
        <v>280</v>
      </c>
      <c r="GP25" s="353">
        <v>353</v>
      </c>
      <c r="GQ25" s="353">
        <v>432</v>
      </c>
      <c r="GR25" s="353">
        <v>254</v>
      </c>
      <c r="GS25" s="353">
        <v>239</v>
      </c>
      <c r="GT25" s="353">
        <v>476</v>
      </c>
      <c r="GU25" s="353">
        <v>500</v>
      </c>
      <c r="GV25" s="353">
        <v>355</v>
      </c>
      <c r="GW25" s="353">
        <v>423</v>
      </c>
      <c r="GX25" s="353">
        <v>696</v>
      </c>
      <c r="GY25" s="353">
        <v>491</v>
      </c>
      <c r="GZ25" s="592">
        <v>218</v>
      </c>
      <c r="HA25" s="592">
        <v>269</v>
      </c>
      <c r="HB25" s="592">
        <v>357</v>
      </c>
      <c r="HC25" s="592">
        <v>122</v>
      </c>
      <c r="HD25" s="592">
        <v>118</v>
      </c>
      <c r="HE25" s="592">
        <v>116</v>
      </c>
      <c r="HF25" s="592">
        <v>182</v>
      </c>
      <c r="HG25" s="592">
        <v>322</v>
      </c>
      <c r="HH25" s="592">
        <v>546</v>
      </c>
      <c r="HI25" s="568">
        <v>465</v>
      </c>
      <c r="HJ25" s="568">
        <v>641</v>
      </c>
      <c r="HK25" s="568">
        <v>611</v>
      </c>
      <c r="HL25" s="592">
        <v>397</v>
      </c>
      <c r="HM25" s="592">
        <v>609</v>
      </c>
      <c r="HN25" s="592">
        <v>487</v>
      </c>
      <c r="HO25" s="592">
        <v>728</v>
      </c>
      <c r="HP25" s="592">
        <v>537</v>
      </c>
      <c r="HQ25" s="592">
        <v>625</v>
      </c>
      <c r="HR25" s="592">
        <v>475</v>
      </c>
      <c r="HS25" s="592">
        <v>620</v>
      </c>
      <c r="HT25" s="592">
        <v>2238</v>
      </c>
      <c r="HU25" s="592">
        <v>1158</v>
      </c>
      <c r="HV25" s="592">
        <v>1174</v>
      </c>
      <c r="HW25" s="721">
        <v>500</v>
      </c>
      <c r="HX25" s="753">
        <v>517</v>
      </c>
      <c r="HY25" s="753">
        <v>562</v>
      </c>
      <c r="HZ25" s="753">
        <v>689</v>
      </c>
      <c r="IA25" s="592">
        <v>690</v>
      </c>
      <c r="IB25" s="828">
        <v>708</v>
      </c>
      <c r="IC25" s="592">
        <v>620</v>
      </c>
      <c r="IV25" s="353">
        <v>8</v>
      </c>
      <c r="IW25" s="353" t="s">
        <v>138</v>
      </c>
      <c r="IX25" s="353">
        <v>115</v>
      </c>
      <c r="IY25" s="353">
        <v>131</v>
      </c>
      <c r="IZ25" s="353">
        <v>164</v>
      </c>
      <c r="JA25" s="353">
        <v>326</v>
      </c>
      <c r="JB25" s="353">
        <v>125</v>
      </c>
      <c r="JC25" s="353">
        <v>78</v>
      </c>
      <c r="JD25" s="592">
        <v>152</v>
      </c>
      <c r="JE25" s="592">
        <v>238</v>
      </c>
      <c r="JF25" s="592">
        <v>123</v>
      </c>
      <c r="JG25" s="592">
        <v>126</v>
      </c>
      <c r="JH25" s="592">
        <v>235</v>
      </c>
      <c r="JI25" s="592">
        <v>220</v>
      </c>
      <c r="JJ25" s="592">
        <v>275</v>
      </c>
      <c r="JK25" s="592">
        <v>273</v>
      </c>
      <c r="JL25" s="353">
        <v>361</v>
      </c>
      <c r="JM25" s="353">
        <v>87</v>
      </c>
      <c r="JN25" s="353">
        <v>81</v>
      </c>
      <c r="JO25" s="353">
        <v>62</v>
      </c>
      <c r="JP25" s="592">
        <v>115</v>
      </c>
      <c r="JQ25" s="592">
        <v>247</v>
      </c>
      <c r="JR25" s="592">
        <v>459</v>
      </c>
      <c r="JS25" s="592">
        <v>378</v>
      </c>
      <c r="JT25" s="592">
        <v>484</v>
      </c>
      <c r="JU25" s="592">
        <v>362</v>
      </c>
      <c r="JV25" s="592">
        <v>264</v>
      </c>
      <c r="JW25" s="592">
        <v>477</v>
      </c>
      <c r="JX25" s="592">
        <v>387</v>
      </c>
      <c r="JY25" s="592">
        <v>536</v>
      </c>
      <c r="JZ25" s="592">
        <v>464</v>
      </c>
      <c r="KA25" s="592">
        <v>596</v>
      </c>
      <c r="KB25" s="592">
        <v>346</v>
      </c>
      <c r="KC25" s="592">
        <v>500</v>
      </c>
      <c r="KD25" s="592">
        <v>1493</v>
      </c>
      <c r="KE25" s="592">
        <v>942</v>
      </c>
      <c r="KF25" s="592">
        <v>1154</v>
      </c>
      <c r="KG25" s="592">
        <v>463</v>
      </c>
      <c r="KH25" s="592">
        <v>289</v>
      </c>
      <c r="KI25" s="721">
        <v>365</v>
      </c>
      <c r="KJ25" s="753">
        <v>453</v>
      </c>
      <c r="KK25" s="753">
        <v>528</v>
      </c>
      <c r="KL25" s="753">
        <v>588</v>
      </c>
      <c r="KM25" s="592">
        <v>567</v>
      </c>
      <c r="KN25" s="828">
        <v>472</v>
      </c>
      <c r="KO25" s="592">
        <v>998</v>
      </c>
    </row>
    <row r="26" spans="1:301" ht="15" thickBot="1">
      <c r="A26" s="989" t="s">
        <v>101</v>
      </c>
      <c r="B26" s="969"/>
      <c r="C26" s="969"/>
      <c r="D26" s="969"/>
      <c r="E26" s="969"/>
      <c r="F26" s="969"/>
      <c r="G26" s="970"/>
      <c r="H26" s="555">
        <v>1067</v>
      </c>
      <c r="I26" s="555">
        <v>1079</v>
      </c>
      <c r="J26" s="555">
        <v>1043</v>
      </c>
      <c r="K26" s="556">
        <v>-3.3364226135000001E-2</v>
      </c>
      <c r="L26" s="556">
        <v>-2.2492970946000002E-2</v>
      </c>
      <c r="M26" s="555">
        <v>-24</v>
      </c>
      <c r="N26" s="553"/>
      <c r="O26" s="554"/>
      <c r="Q26" s="989" t="s">
        <v>101</v>
      </c>
      <c r="R26" s="969"/>
      <c r="S26" s="969"/>
      <c r="T26" s="969"/>
      <c r="U26" s="969"/>
      <c r="V26" s="969"/>
      <c r="W26" s="970"/>
      <c r="X26" s="555">
        <v>0</v>
      </c>
      <c r="Y26" s="555">
        <v>0</v>
      </c>
      <c r="Z26" s="555">
        <v>0</v>
      </c>
      <c r="AA26" s="553"/>
      <c r="AB26" s="553"/>
      <c r="AC26" s="555">
        <v>0</v>
      </c>
      <c r="AD26" s="553"/>
      <c r="AE26" s="554"/>
      <c r="AG26" s="989" t="s">
        <v>99</v>
      </c>
      <c r="AH26" s="969"/>
      <c r="AI26" s="969"/>
      <c r="AJ26" s="969"/>
      <c r="AK26" s="969"/>
      <c r="AL26" s="969"/>
      <c r="AM26" s="970"/>
      <c r="AN26" s="555">
        <v>162028</v>
      </c>
      <c r="AO26" s="555">
        <v>164469</v>
      </c>
      <c r="AP26" s="555">
        <v>170061</v>
      </c>
      <c r="AQ26" s="556">
        <v>3.4000328328999997E-2</v>
      </c>
      <c r="AR26" s="556">
        <v>4.9577850740999997E-2</v>
      </c>
      <c r="AS26" s="555">
        <v>8033</v>
      </c>
      <c r="AT26" s="553"/>
      <c r="AU26" s="554"/>
      <c r="AW26" s="989" t="s">
        <v>100</v>
      </c>
      <c r="AX26" s="969"/>
      <c r="AY26" s="969"/>
      <c r="AZ26" s="969"/>
      <c r="BA26" s="969"/>
      <c r="BB26" s="969"/>
      <c r="BC26" s="970"/>
      <c r="BD26" s="555">
        <v>227528</v>
      </c>
      <c r="BE26" s="555">
        <v>234437</v>
      </c>
      <c r="BF26" s="555">
        <v>241061</v>
      </c>
      <c r="BG26" s="556">
        <v>2.825492563E-2</v>
      </c>
      <c r="BH26" s="556">
        <v>5.9478393868000003E-2</v>
      </c>
      <c r="BI26" s="555">
        <v>13533</v>
      </c>
      <c r="BJ26" s="553"/>
      <c r="BK26" s="554"/>
      <c r="BM26" s="989" t="s">
        <v>99</v>
      </c>
      <c r="BN26" s="969"/>
      <c r="BO26" s="969"/>
      <c r="BP26" s="969"/>
      <c r="BQ26" s="969"/>
      <c r="BR26" s="969"/>
      <c r="BS26" s="970"/>
      <c r="BT26" s="555">
        <v>0</v>
      </c>
      <c r="BU26" s="555">
        <v>0</v>
      </c>
      <c r="BV26" s="555">
        <v>0</v>
      </c>
      <c r="BW26" s="553"/>
      <c r="BX26" s="553"/>
      <c r="BY26" s="555">
        <v>0</v>
      </c>
      <c r="BZ26" s="553"/>
      <c r="CA26" s="554"/>
      <c r="CC26" s="989" t="s">
        <v>101</v>
      </c>
      <c r="CD26" s="969"/>
      <c r="CE26" s="969"/>
      <c r="CF26" s="969"/>
      <c r="CG26" s="969"/>
      <c r="CH26" s="969"/>
      <c r="CI26" s="970"/>
      <c r="CJ26" s="555">
        <v>701</v>
      </c>
      <c r="CK26" s="555">
        <v>699</v>
      </c>
      <c r="CL26" s="555">
        <v>695</v>
      </c>
      <c r="CM26" s="556">
        <v>-5.7224606580000004E-3</v>
      </c>
      <c r="CN26" s="556">
        <v>-8.5592011410000005E-3</v>
      </c>
      <c r="CO26" s="555">
        <v>-6</v>
      </c>
      <c r="CP26" s="553"/>
      <c r="CQ26" s="554"/>
      <c r="CS26" s="989" t="s">
        <v>101</v>
      </c>
      <c r="CT26" s="969"/>
      <c r="CU26" s="969"/>
      <c r="CV26" s="969"/>
      <c r="CW26" s="969"/>
      <c r="CX26" s="969"/>
      <c r="CY26" s="970"/>
      <c r="CZ26" s="555">
        <v>17</v>
      </c>
      <c r="DA26" s="555">
        <v>16</v>
      </c>
      <c r="DB26" s="555">
        <v>15</v>
      </c>
      <c r="DC26" s="556">
        <v>-6.25E-2</v>
      </c>
      <c r="DD26" s="556">
        <v>-0.117647058823</v>
      </c>
      <c r="DE26" s="555">
        <v>-2</v>
      </c>
      <c r="DF26" s="553"/>
      <c r="DG26" s="554"/>
      <c r="DI26" s="989" t="s">
        <v>99</v>
      </c>
      <c r="DJ26" s="969"/>
      <c r="DK26" s="969"/>
      <c r="DL26" s="969"/>
      <c r="DM26" s="969"/>
      <c r="DN26" s="969"/>
      <c r="DO26" s="970"/>
      <c r="DP26" s="555">
        <v>154162</v>
      </c>
      <c r="DQ26" s="555">
        <v>148732</v>
      </c>
      <c r="DR26" s="555">
        <v>141987</v>
      </c>
      <c r="DS26" s="556">
        <v>-4.5350025549E-2</v>
      </c>
      <c r="DT26" s="556">
        <v>-7.8975363578000002E-2</v>
      </c>
      <c r="DU26" s="555">
        <v>-12175</v>
      </c>
      <c r="DV26" s="553"/>
      <c r="DW26" s="554"/>
      <c r="DY26" s="989" t="s">
        <v>101</v>
      </c>
      <c r="DZ26" s="969"/>
      <c r="EA26" s="969"/>
      <c r="EB26" s="969"/>
      <c r="EC26" s="969"/>
      <c r="ED26" s="969"/>
      <c r="EE26" s="970"/>
      <c r="EF26" s="555">
        <v>1275</v>
      </c>
      <c r="EG26" s="555">
        <v>1254</v>
      </c>
      <c r="EH26" s="555">
        <v>1236</v>
      </c>
      <c r="EI26" s="556">
        <v>-1.4354066985E-2</v>
      </c>
      <c r="EJ26" s="556">
        <v>-3.0588235294E-2</v>
      </c>
      <c r="EK26" s="555">
        <v>-39</v>
      </c>
      <c r="EL26" s="553"/>
      <c r="EM26" s="554"/>
      <c r="EO26" s="989" t="s">
        <v>101</v>
      </c>
      <c r="EP26" s="969"/>
      <c r="EQ26" s="969"/>
      <c r="ER26" s="969"/>
      <c r="ES26" s="969"/>
      <c r="ET26" s="969"/>
      <c r="EU26" s="970"/>
      <c r="EV26" s="555">
        <v>20116</v>
      </c>
      <c r="EW26" s="555">
        <v>19998</v>
      </c>
      <c r="EX26" s="555">
        <v>19969</v>
      </c>
      <c r="EY26" s="556">
        <v>-1.4501450140000001E-3</v>
      </c>
      <c r="EZ26" s="556">
        <v>-7.3076158280000001E-3</v>
      </c>
      <c r="FA26" s="555">
        <v>-147</v>
      </c>
      <c r="FB26" s="553"/>
      <c r="FC26" s="554"/>
      <c r="FE26" s="989" t="s">
        <v>99</v>
      </c>
      <c r="FF26" s="969"/>
      <c r="FG26" s="969"/>
      <c r="FH26" s="969"/>
      <c r="FI26" s="969"/>
      <c r="FJ26" s="969"/>
      <c r="FK26" s="970"/>
      <c r="FL26" s="555">
        <v>12</v>
      </c>
      <c r="FM26" s="555">
        <v>0</v>
      </c>
      <c r="FN26" s="555">
        <v>0</v>
      </c>
      <c r="FO26" s="553"/>
      <c r="FP26" s="556">
        <v>-1</v>
      </c>
      <c r="FQ26" s="555">
        <v>-12</v>
      </c>
      <c r="FR26" s="553"/>
      <c r="FS26" s="554"/>
      <c r="FZ26" s="749"/>
      <c r="GH26" s="541"/>
      <c r="GJ26" s="353"/>
      <c r="GL26" s="353">
        <v>9</v>
      </c>
      <c r="GM26" s="353" t="s">
        <v>139</v>
      </c>
      <c r="GN26" s="353">
        <v>43</v>
      </c>
      <c r="GO26" s="353">
        <v>31</v>
      </c>
      <c r="GP26" s="353">
        <v>45</v>
      </c>
      <c r="GQ26" s="353">
        <v>21</v>
      </c>
      <c r="GR26" s="353">
        <v>24</v>
      </c>
      <c r="GS26" s="353">
        <v>20</v>
      </c>
      <c r="GT26" s="353">
        <v>28</v>
      </c>
      <c r="GU26" s="353">
        <v>14</v>
      </c>
      <c r="GV26" s="353">
        <v>22</v>
      </c>
      <c r="GW26" s="353">
        <v>67</v>
      </c>
      <c r="GX26" s="353">
        <v>47</v>
      </c>
      <c r="GY26" s="353">
        <v>87</v>
      </c>
      <c r="GZ26" s="592">
        <v>48</v>
      </c>
      <c r="HA26" s="592">
        <v>13</v>
      </c>
      <c r="HB26" s="592">
        <v>34</v>
      </c>
      <c r="HC26" s="592">
        <v>36</v>
      </c>
      <c r="HD26" s="592">
        <v>14</v>
      </c>
      <c r="HE26" s="592">
        <v>32</v>
      </c>
      <c r="HF26" s="592">
        <v>31</v>
      </c>
      <c r="HG26" s="592">
        <v>33</v>
      </c>
      <c r="HH26" s="592">
        <v>59</v>
      </c>
      <c r="HI26" s="568">
        <v>32</v>
      </c>
      <c r="HJ26" s="568">
        <v>14</v>
      </c>
      <c r="HK26" s="568">
        <v>13</v>
      </c>
      <c r="HL26" s="592">
        <v>24</v>
      </c>
      <c r="HM26" s="592">
        <v>33</v>
      </c>
      <c r="HN26" s="592">
        <v>58</v>
      </c>
      <c r="HO26" s="592">
        <v>46</v>
      </c>
      <c r="HP26" s="592">
        <v>49</v>
      </c>
      <c r="HQ26" s="592">
        <v>45</v>
      </c>
      <c r="HR26" s="592">
        <v>32</v>
      </c>
      <c r="HS26" s="592">
        <v>70</v>
      </c>
      <c r="HT26" s="592">
        <v>67</v>
      </c>
      <c r="HU26" s="592">
        <v>21</v>
      </c>
      <c r="HV26" s="592">
        <v>48</v>
      </c>
      <c r="HW26" s="721">
        <v>32</v>
      </c>
      <c r="HX26" s="753">
        <v>24</v>
      </c>
      <c r="HY26" s="753">
        <v>25</v>
      </c>
      <c r="HZ26" s="753">
        <v>37</v>
      </c>
      <c r="IA26" s="592">
        <v>21</v>
      </c>
      <c r="IB26" s="828">
        <v>35</v>
      </c>
      <c r="IC26" s="592">
        <v>46</v>
      </c>
      <c r="IV26" s="353">
        <v>9</v>
      </c>
      <c r="IW26" s="353" t="s">
        <v>139</v>
      </c>
      <c r="IX26" s="353">
        <v>32</v>
      </c>
      <c r="IY26" s="353">
        <v>19</v>
      </c>
      <c r="IZ26" s="353">
        <v>24</v>
      </c>
      <c r="JA26" s="353">
        <v>16</v>
      </c>
      <c r="JB26" s="353">
        <v>16</v>
      </c>
      <c r="JC26" s="353">
        <v>16</v>
      </c>
      <c r="JD26" s="592">
        <v>22</v>
      </c>
      <c r="JE26" s="592">
        <v>17</v>
      </c>
      <c r="JF26" s="592">
        <v>17</v>
      </c>
      <c r="JG26" s="592">
        <v>18</v>
      </c>
      <c r="JH26" s="592">
        <v>25</v>
      </c>
      <c r="JI26" s="592">
        <v>79</v>
      </c>
      <c r="JJ26" s="592">
        <v>39</v>
      </c>
      <c r="JK26" s="592">
        <v>15</v>
      </c>
      <c r="JL26" s="353">
        <v>31</v>
      </c>
      <c r="JM26" s="353">
        <v>28</v>
      </c>
      <c r="JN26" s="353">
        <v>10</v>
      </c>
      <c r="JO26" s="353">
        <v>23</v>
      </c>
      <c r="JP26" s="592">
        <v>25</v>
      </c>
      <c r="JQ26" s="592">
        <v>38</v>
      </c>
      <c r="JR26" s="592">
        <v>48</v>
      </c>
      <c r="JS26" s="592">
        <v>39</v>
      </c>
      <c r="JT26" s="592">
        <v>30</v>
      </c>
      <c r="JU26" s="592">
        <v>30</v>
      </c>
      <c r="JV26" s="592">
        <v>12</v>
      </c>
      <c r="JW26" s="592">
        <v>10</v>
      </c>
      <c r="JX26" s="592">
        <v>12</v>
      </c>
      <c r="JY26" s="592">
        <v>50</v>
      </c>
      <c r="JZ26" s="592">
        <v>43</v>
      </c>
      <c r="KA26" s="592">
        <v>53</v>
      </c>
      <c r="KB26" s="592">
        <v>33</v>
      </c>
      <c r="KC26" s="592">
        <v>69</v>
      </c>
      <c r="KD26" s="592">
        <v>55</v>
      </c>
      <c r="KE26" s="592">
        <v>19</v>
      </c>
      <c r="KF26" s="592">
        <v>40</v>
      </c>
      <c r="KG26" s="592">
        <v>78</v>
      </c>
      <c r="KH26" s="592">
        <v>25</v>
      </c>
      <c r="KI26" s="721">
        <v>27</v>
      </c>
      <c r="KJ26" s="753">
        <v>32</v>
      </c>
      <c r="KK26" s="753">
        <v>19</v>
      </c>
      <c r="KL26" s="753">
        <v>25</v>
      </c>
      <c r="KM26" s="592">
        <v>39</v>
      </c>
      <c r="KN26" s="828">
        <v>44</v>
      </c>
      <c r="KO26" s="592">
        <v>38</v>
      </c>
    </row>
    <row r="27" spans="1:301" ht="15" thickBot="1">
      <c r="A27" s="989" t="s">
        <v>102</v>
      </c>
      <c r="B27" s="969"/>
      <c r="C27" s="969"/>
      <c r="D27" s="969"/>
      <c r="E27" s="969"/>
      <c r="F27" s="969"/>
      <c r="G27" s="970"/>
      <c r="H27" s="555">
        <v>17126</v>
      </c>
      <c r="I27" s="555">
        <v>17377</v>
      </c>
      <c r="J27" s="555">
        <v>17612</v>
      </c>
      <c r="K27" s="556">
        <v>1.352362318E-2</v>
      </c>
      <c r="L27" s="556">
        <v>2.8377904939000002E-2</v>
      </c>
      <c r="M27" s="555">
        <v>486</v>
      </c>
      <c r="N27" s="553"/>
      <c r="O27" s="554"/>
      <c r="Q27" s="989" t="s">
        <v>102</v>
      </c>
      <c r="R27" s="969"/>
      <c r="S27" s="969"/>
      <c r="T27" s="969"/>
      <c r="U27" s="969"/>
      <c r="V27" s="969"/>
      <c r="W27" s="970"/>
      <c r="X27" s="555">
        <v>64388</v>
      </c>
      <c r="Y27" s="555">
        <v>64989</v>
      </c>
      <c r="Z27" s="555">
        <v>66380</v>
      </c>
      <c r="AA27" s="556">
        <v>2.1403622151000001E-2</v>
      </c>
      <c r="AB27" s="556">
        <v>3.0937441759000001E-2</v>
      </c>
      <c r="AC27" s="555">
        <v>1992</v>
      </c>
      <c r="AD27" s="553"/>
      <c r="AE27" s="554"/>
      <c r="AG27" s="989" t="s">
        <v>100</v>
      </c>
      <c r="AH27" s="969"/>
      <c r="AI27" s="969"/>
      <c r="AJ27" s="969"/>
      <c r="AK27" s="969"/>
      <c r="AL27" s="969"/>
      <c r="AM27" s="970"/>
      <c r="AN27" s="555">
        <v>301988</v>
      </c>
      <c r="AO27" s="555">
        <v>307234</v>
      </c>
      <c r="AP27" s="555">
        <v>319773</v>
      </c>
      <c r="AQ27" s="556">
        <v>4.0812540277999999E-2</v>
      </c>
      <c r="AR27" s="556">
        <v>5.8893068597999997E-2</v>
      </c>
      <c r="AS27" s="555">
        <v>17785</v>
      </c>
      <c r="AT27" s="553"/>
      <c r="AU27" s="554"/>
      <c r="AW27" s="989" t="s">
        <v>101</v>
      </c>
      <c r="AX27" s="969"/>
      <c r="AY27" s="969"/>
      <c r="AZ27" s="969"/>
      <c r="BA27" s="969"/>
      <c r="BB27" s="969"/>
      <c r="BC27" s="970"/>
      <c r="BD27" s="555">
        <v>8975</v>
      </c>
      <c r="BE27" s="555">
        <v>8886</v>
      </c>
      <c r="BF27" s="555">
        <v>8792</v>
      </c>
      <c r="BG27" s="556">
        <v>-1.0578437992000001E-2</v>
      </c>
      <c r="BH27" s="556">
        <v>-2.0389972143999999E-2</v>
      </c>
      <c r="BI27" s="555">
        <v>-183</v>
      </c>
      <c r="BJ27" s="553"/>
      <c r="BK27" s="554"/>
      <c r="BM27" s="989" t="s">
        <v>100</v>
      </c>
      <c r="BN27" s="969"/>
      <c r="BO27" s="969"/>
      <c r="BP27" s="969"/>
      <c r="BQ27" s="969"/>
      <c r="BR27" s="969"/>
      <c r="BS27" s="970"/>
      <c r="BT27" s="555">
        <v>13429</v>
      </c>
      <c r="BU27" s="555">
        <v>13656</v>
      </c>
      <c r="BV27" s="555">
        <v>14060</v>
      </c>
      <c r="BW27" s="556">
        <v>2.9584065611999999E-2</v>
      </c>
      <c r="BX27" s="556">
        <v>4.6987862089E-2</v>
      </c>
      <c r="BY27" s="555">
        <v>631</v>
      </c>
      <c r="BZ27" s="553"/>
      <c r="CA27" s="554"/>
      <c r="CC27" s="989" t="s">
        <v>102</v>
      </c>
      <c r="CD27" s="969"/>
      <c r="CE27" s="969"/>
      <c r="CF27" s="969"/>
      <c r="CG27" s="969"/>
      <c r="CH27" s="969"/>
      <c r="CI27" s="970"/>
      <c r="CJ27" s="555">
        <v>208655</v>
      </c>
      <c r="CK27" s="555">
        <v>208349</v>
      </c>
      <c r="CL27" s="555">
        <v>208722</v>
      </c>
      <c r="CM27" s="556">
        <v>1.7902653719999999E-3</v>
      </c>
      <c r="CN27" s="556">
        <v>3.2110421500000002E-4</v>
      </c>
      <c r="CO27" s="555">
        <v>67</v>
      </c>
      <c r="CP27" s="553"/>
      <c r="CQ27" s="554"/>
      <c r="CS27" s="989" t="s">
        <v>102</v>
      </c>
      <c r="CT27" s="969"/>
      <c r="CU27" s="969"/>
      <c r="CV27" s="969"/>
      <c r="CW27" s="969"/>
      <c r="CX27" s="969"/>
      <c r="CY27" s="970"/>
      <c r="CZ27" s="555">
        <v>65484</v>
      </c>
      <c r="DA27" s="555">
        <v>66136</v>
      </c>
      <c r="DB27" s="555">
        <v>65839</v>
      </c>
      <c r="DC27" s="556">
        <v>-4.4907463399999998E-3</v>
      </c>
      <c r="DD27" s="556">
        <v>5.4211715829999996E-3</v>
      </c>
      <c r="DE27" s="555">
        <v>355</v>
      </c>
      <c r="DF27" s="553"/>
      <c r="DG27" s="554"/>
      <c r="DI27" s="989" t="s">
        <v>100</v>
      </c>
      <c r="DJ27" s="969"/>
      <c r="DK27" s="969"/>
      <c r="DL27" s="969"/>
      <c r="DM27" s="969"/>
      <c r="DN27" s="969"/>
      <c r="DO27" s="970"/>
      <c r="DP27" s="555">
        <v>19249</v>
      </c>
      <c r="DQ27" s="555">
        <v>19464</v>
      </c>
      <c r="DR27" s="555">
        <v>25575</v>
      </c>
      <c r="DS27" s="556">
        <v>0.31396424167600001</v>
      </c>
      <c r="DT27" s="556">
        <v>0.32864044885400001</v>
      </c>
      <c r="DU27" s="555">
        <v>6326</v>
      </c>
      <c r="DV27" s="553"/>
      <c r="DW27" s="554"/>
      <c r="DY27" s="989" t="s">
        <v>102</v>
      </c>
      <c r="DZ27" s="969"/>
      <c r="EA27" s="969"/>
      <c r="EB27" s="969"/>
      <c r="EC27" s="969"/>
      <c r="ED27" s="969"/>
      <c r="EE27" s="970"/>
      <c r="EF27" s="555">
        <v>12517</v>
      </c>
      <c r="EG27" s="555">
        <v>12555</v>
      </c>
      <c r="EH27" s="555">
        <v>12518</v>
      </c>
      <c r="EI27" s="556">
        <v>-2.9470330540000002E-3</v>
      </c>
      <c r="EJ27" s="556">
        <v>7.9891347767036805E-5</v>
      </c>
      <c r="EK27" s="555">
        <v>1</v>
      </c>
      <c r="EL27" s="553"/>
      <c r="EM27" s="554"/>
      <c r="EO27" s="989" t="s">
        <v>102</v>
      </c>
      <c r="EP27" s="969"/>
      <c r="EQ27" s="969"/>
      <c r="ER27" s="969"/>
      <c r="ES27" s="969"/>
      <c r="ET27" s="969"/>
      <c r="EU27" s="970"/>
      <c r="EV27" s="555">
        <v>86716</v>
      </c>
      <c r="EW27" s="555">
        <v>87876</v>
      </c>
      <c r="EX27" s="555">
        <v>89592</v>
      </c>
      <c r="EY27" s="556">
        <v>1.9527516044999998E-2</v>
      </c>
      <c r="EZ27" s="556">
        <v>3.3165736426E-2</v>
      </c>
      <c r="FA27" s="555">
        <v>2876</v>
      </c>
      <c r="FB27" s="553"/>
      <c r="FC27" s="554"/>
      <c r="FE27" s="989" t="s">
        <v>100</v>
      </c>
      <c r="FF27" s="969"/>
      <c r="FG27" s="969"/>
      <c r="FH27" s="969"/>
      <c r="FI27" s="969"/>
      <c r="FJ27" s="969"/>
      <c r="FK27" s="970"/>
      <c r="FL27" s="555">
        <v>23706</v>
      </c>
      <c r="FM27" s="555">
        <v>24160</v>
      </c>
      <c r="FN27" s="555">
        <v>24015</v>
      </c>
      <c r="FO27" s="556">
        <v>-6.0016556290000004E-3</v>
      </c>
      <c r="FP27" s="556">
        <v>1.3034674765E-2</v>
      </c>
      <c r="FQ27" s="555">
        <v>309</v>
      </c>
      <c r="FR27" s="553"/>
      <c r="FS27" s="554"/>
      <c r="FZ27" s="749"/>
      <c r="GH27" s="541"/>
      <c r="GJ27" s="353"/>
      <c r="GL27" s="353">
        <v>10</v>
      </c>
      <c r="GM27" s="353" t="s">
        <v>141</v>
      </c>
      <c r="GN27" s="353">
        <v>469</v>
      </c>
      <c r="GO27" s="353">
        <v>276</v>
      </c>
      <c r="GP27" s="353">
        <v>269</v>
      </c>
      <c r="GQ27" s="353">
        <v>304</v>
      </c>
      <c r="GR27" s="353">
        <v>527</v>
      </c>
      <c r="GS27" s="353">
        <v>247</v>
      </c>
      <c r="GT27" s="353">
        <v>237</v>
      </c>
      <c r="GU27" s="353">
        <v>137</v>
      </c>
      <c r="GV27" s="353">
        <v>145</v>
      </c>
      <c r="GW27" s="353">
        <v>375</v>
      </c>
      <c r="GX27" s="353">
        <v>349</v>
      </c>
      <c r="GY27" s="353">
        <v>598</v>
      </c>
      <c r="GZ27" s="592">
        <v>417</v>
      </c>
      <c r="HA27" s="592">
        <v>712</v>
      </c>
      <c r="HB27" s="592">
        <v>361</v>
      </c>
      <c r="HC27" s="592">
        <v>210</v>
      </c>
      <c r="HD27" s="592">
        <v>145</v>
      </c>
      <c r="HE27" s="592">
        <v>182</v>
      </c>
      <c r="HF27" s="592">
        <v>191</v>
      </c>
      <c r="HG27" s="592">
        <v>229</v>
      </c>
      <c r="HH27" s="592">
        <v>252</v>
      </c>
      <c r="HI27" s="568">
        <v>236</v>
      </c>
      <c r="HJ27" s="568">
        <v>191</v>
      </c>
      <c r="HK27" s="568">
        <v>212</v>
      </c>
      <c r="HL27" s="592">
        <v>196</v>
      </c>
      <c r="HM27" s="592">
        <v>486</v>
      </c>
      <c r="HN27" s="592">
        <v>714</v>
      </c>
      <c r="HO27" s="592">
        <v>624</v>
      </c>
      <c r="HP27" s="592">
        <v>378</v>
      </c>
      <c r="HQ27" s="592">
        <v>593</v>
      </c>
      <c r="HR27" s="592">
        <v>288</v>
      </c>
      <c r="HS27" s="592">
        <v>284</v>
      </c>
      <c r="HT27" s="592">
        <v>292</v>
      </c>
      <c r="HU27" s="592">
        <v>429</v>
      </c>
      <c r="HV27" s="592">
        <v>336</v>
      </c>
      <c r="HW27" s="721">
        <v>344</v>
      </c>
      <c r="HX27" s="753">
        <v>283</v>
      </c>
      <c r="HY27" s="753">
        <v>504</v>
      </c>
      <c r="HZ27" s="753">
        <v>652</v>
      </c>
      <c r="IA27" s="592">
        <v>462</v>
      </c>
      <c r="IB27" s="828">
        <v>383</v>
      </c>
      <c r="IC27" s="592">
        <v>333</v>
      </c>
      <c r="IV27" s="353">
        <v>10</v>
      </c>
      <c r="IW27" s="353" t="s">
        <v>141</v>
      </c>
      <c r="IX27" s="353">
        <v>436</v>
      </c>
      <c r="IY27" s="353">
        <v>229</v>
      </c>
      <c r="IZ27" s="353">
        <v>236</v>
      </c>
      <c r="JA27" s="353">
        <v>284</v>
      </c>
      <c r="JB27" s="353">
        <v>423</v>
      </c>
      <c r="JC27" s="353">
        <v>213</v>
      </c>
      <c r="JD27" s="592">
        <v>158</v>
      </c>
      <c r="JE27" s="592">
        <v>120</v>
      </c>
      <c r="JF27" s="592">
        <v>115</v>
      </c>
      <c r="JG27" s="592">
        <v>320</v>
      </c>
      <c r="JH27" s="592">
        <v>252</v>
      </c>
      <c r="JI27" s="592">
        <v>519</v>
      </c>
      <c r="JJ27" s="592">
        <v>402</v>
      </c>
      <c r="JK27" s="592">
        <v>720</v>
      </c>
      <c r="JL27" s="353">
        <v>368</v>
      </c>
      <c r="JM27" s="353">
        <v>214</v>
      </c>
      <c r="JN27" s="353">
        <v>125</v>
      </c>
      <c r="JO27" s="353">
        <v>191</v>
      </c>
      <c r="JP27" s="592">
        <v>190</v>
      </c>
      <c r="JQ27" s="592">
        <v>224</v>
      </c>
      <c r="JR27" s="592">
        <v>230</v>
      </c>
      <c r="JS27" s="592">
        <v>225</v>
      </c>
      <c r="JT27" s="592">
        <v>173</v>
      </c>
      <c r="JU27" s="592">
        <v>205</v>
      </c>
      <c r="JV27" s="592">
        <v>186</v>
      </c>
      <c r="JW27" s="592">
        <v>470</v>
      </c>
      <c r="JX27" s="592">
        <v>682</v>
      </c>
      <c r="JY27" s="592">
        <v>327</v>
      </c>
      <c r="JZ27" s="592">
        <v>337</v>
      </c>
      <c r="KA27" s="592">
        <v>409</v>
      </c>
      <c r="KB27" s="592">
        <v>274</v>
      </c>
      <c r="KC27" s="592">
        <v>253</v>
      </c>
      <c r="KD27" s="592">
        <v>271</v>
      </c>
      <c r="KE27" s="592">
        <v>434</v>
      </c>
      <c r="KF27" s="592">
        <v>316</v>
      </c>
      <c r="KG27" s="592">
        <v>316</v>
      </c>
      <c r="KH27" s="592">
        <v>254</v>
      </c>
      <c r="KI27" s="721">
        <v>506</v>
      </c>
      <c r="KJ27" s="753">
        <v>607</v>
      </c>
      <c r="KK27" s="753">
        <v>433</v>
      </c>
      <c r="KL27" s="753">
        <v>426</v>
      </c>
      <c r="KM27" s="592">
        <v>380</v>
      </c>
      <c r="KN27" s="828">
        <v>312</v>
      </c>
      <c r="KO27" s="592">
        <v>751</v>
      </c>
    </row>
    <row r="28" spans="1:301" ht="15.6" thickBot="1">
      <c r="A28" s="989" t="s">
        <v>199</v>
      </c>
      <c r="B28" s="969"/>
      <c r="C28" s="969"/>
      <c r="D28" s="969"/>
      <c r="E28" s="969"/>
      <c r="F28" s="969"/>
      <c r="G28" s="970"/>
      <c r="H28" s="555">
        <v>0</v>
      </c>
      <c r="I28" s="555">
        <v>0</v>
      </c>
      <c r="J28" s="555">
        <v>0</v>
      </c>
      <c r="K28" s="553"/>
      <c r="L28" s="553"/>
      <c r="M28" s="555">
        <v>0</v>
      </c>
      <c r="N28" s="553"/>
      <c r="O28" s="554"/>
      <c r="Q28" s="989" t="s">
        <v>199</v>
      </c>
      <c r="R28" s="969"/>
      <c r="S28" s="969"/>
      <c r="T28" s="969"/>
      <c r="U28" s="969"/>
      <c r="V28" s="969"/>
      <c r="W28" s="970"/>
      <c r="X28" s="555">
        <v>0</v>
      </c>
      <c r="Y28" s="555">
        <v>0</v>
      </c>
      <c r="Z28" s="555">
        <v>0</v>
      </c>
      <c r="AA28" s="553"/>
      <c r="AB28" s="553"/>
      <c r="AC28" s="555">
        <v>0</v>
      </c>
      <c r="AD28" s="553"/>
      <c r="AE28" s="554"/>
      <c r="AG28" s="989" t="s">
        <v>101</v>
      </c>
      <c r="AH28" s="969"/>
      <c r="AI28" s="969"/>
      <c r="AJ28" s="969"/>
      <c r="AK28" s="969"/>
      <c r="AL28" s="969"/>
      <c r="AM28" s="970"/>
      <c r="AN28" s="555">
        <v>3939</v>
      </c>
      <c r="AO28" s="555">
        <v>2519</v>
      </c>
      <c r="AP28" s="555">
        <v>2521</v>
      </c>
      <c r="AQ28" s="556">
        <v>7.9396585900000003E-4</v>
      </c>
      <c r="AR28" s="556">
        <v>-0.35998984513799998</v>
      </c>
      <c r="AS28" s="555">
        <v>-1418</v>
      </c>
      <c r="AT28" s="553"/>
      <c r="AU28" s="554"/>
      <c r="AW28" s="989" t="s">
        <v>102</v>
      </c>
      <c r="AX28" s="969"/>
      <c r="AY28" s="969"/>
      <c r="AZ28" s="969"/>
      <c r="BA28" s="969"/>
      <c r="BB28" s="969"/>
      <c r="BC28" s="970"/>
      <c r="BD28" s="555">
        <v>137306</v>
      </c>
      <c r="BE28" s="555">
        <v>135319</v>
      </c>
      <c r="BF28" s="555">
        <v>134101</v>
      </c>
      <c r="BG28" s="556">
        <v>-9.0009533020000004E-3</v>
      </c>
      <c r="BH28" s="556">
        <v>-2.3342024382999999E-2</v>
      </c>
      <c r="BI28" s="555">
        <v>-3205</v>
      </c>
      <c r="BJ28" s="553"/>
      <c r="BK28" s="554"/>
      <c r="BM28" s="989" t="s">
        <v>101</v>
      </c>
      <c r="BN28" s="969"/>
      <c r="BO28" s="969"/>
      <c r="BP28" s="969"/>
      <c r="BQ28" s="969"/>
      <c r="BR28" s="969"/>
      <c r="BS28" s="970"/>
      <c r="BT28" s="555">
        <v>2187</v>
      </c>
      <c r="BU28" s="555">
        <v>2174</v>
      </c>
      <c r="BV28" s="555">
        <v>2165</v>
      </c>
      <c r="BW28" s="556">
        <v>-4.1398344060000003E-3</v>
      </c>
      <c r="BX28" s="556">
        <v>-1.0059442158E-2</v>
      </c>
      <c r="BY28" s="555">
        <v>-22</v>
      </c>
      <c r="BZ28" s="553"/>
      <c r="CA28" s="554"/>
      <c r="CC28" s="989" t="s">
        <v>199</v>
      </c>
      <c r="CD28" s="969"/>
      <c r="CE28" s="969"/>
      <c r="CF28" s="969"/>
      <c r="CG28" s="969"/>
      <c r="CH28" s="969"/>
      <c r="CI28" s="970"/>
      <c r="CJ28" s="555">
        <v>10942</v>
      </c>
      <c r="CK28" s="555">
        <v>10921</v>
      </c>
      <c r="CL28" s="555">
        <v>10902</v>
      </c>
      <c r="CM28" s="556">
        <v>-1.73976742E-3</v>
      </c>
      <c r="CN28" s="556">
        <v>-3.6556388219999999E-3</v>
      </c>
      <c r="CO28" s="555">
        <v>-40</v>
      </c>
      <c r="CP28" s="553"/>
      <c r="CQ28" s="554"/>
      <c r="CS28" s="980" t="s">
        <v>103</v>
      </c>
      <c r="CT28" s="972"/>
      <c r="CU28" s="972"/>
      <c r="CV28" s="972"/>
      <c r="CW28" s="972"/>
      <c r="CX28" s="972"/>
      <c r="CY28" s="973"/>
      <c r="CZ28" s="569">
        <v>17355</v>
      </c>
      <c r="DA28" s="569">
        <v>17446</v>
      </c>
      <c r="DB28" s="569">
        <v>17168</v>
      </c>
      <c r="DC28" s="570">
        <v>-1.5934884787E-2</v>
      </c>
      <c r="DD28" s="570">
        <v>-1.0774992797E-2</v>
      </c>
      <c r="DE28" s="569">
        <v>-187</v>
      </c>
      <c r="DF28" s="571"/>
      <c r="DG28" s="572"/>
      <c r="DI28" s="989" t="s">
        <v>101</v>
      </c>
      <c r="DJ28" s="969"/>
      <c r="DK28" s="969"/>
      <c r="DL28" s="969"/>
      <c r="DM28" s="969"/>
      <c r="DN28" s="969"/>
      <c r="DO28" s="970"/>
      <c r="DP28" s="555">
        <v>8271</v>
      </c>
      <c r="DQ28" s="555">
        <v>8080</v>
      </c>
      <c r="DR28" s="555">
        <v>7978</v>
      </c>
      <c r="DS28" s="556">
        <v>-1.2623762376E-2</v>
      </c>
      <c r="DT28" s="556">
        <v>-3.5424978841000002E-2</v>
      </c>
      <c r="DU28" s="555">
        <v>-293</v>
      </c>
      <c r="DV28" s="553"/>
      <c r="DW28" s="554"/>
      <c r="DY28" s="975" t="s">
        <v>104</v>
      </c>
      <c r="DZ28" s="976"/>
      <c r="EA28" s="976"/>
      <c r="EB28" s="976"/>
      <c r="EC28" s="976"/>
      <c r="ED28" s="976"/>
      <c r="EE28" s="976"/>
      <c r="EF28" s="976"/>
      <c r="EG28" s="976"/>
      <c r="EH28" s="976"/>
      <c r="EI28" s="976"/>
      <c r="EJ28" s="976"/>
      <c r="EK28" s="976"/>
      <c r="EL28" s="976"/>
      <c r="EM28" s="976"/>
      <c r="EO28" s="989" t="s">
        <v>199</v>
      </c>
      <c r="EP28" s="969"/>
      <c r="EQ28" s="969"/>
      <c r="ER28" s="969"/>
      <c r="ES28" s="969"/>
      <c r="ET28" s="969"/>
      <c r="EU28" s="970"/>
      <c r="EV28" s="555">
        <v>0</v>
      </c>
      <c r="EW28" s="555">
        <v>0</v>
      </c>
      <c r="EX28" s="555">
        <v>0</v>
      </c>
      <c r="EY28" s="553"/>
      <c r="EZ28" s="553"/>
      <c r="FA28" s="555">
        <v>0</v>
      </c>
      <c r="FB28" s="553"/>
      <c r="FC28" s="554"/>
      <c r="FE28" s="989" t="s">
        <v>101</v>
      </c>
      <c r="FF28" s="969"/>
      <c r="FG28" s="969"/>
      <c r="FH28" s="969"/>
      <c r="FI28" s="969"/>
      <c r="FJ28" s="969"/>
      <c r="FK28" s="970"/>
      <c r="FL28" s="555">
        <v>0</v>
      </c>
      <c r="FM28" s="555">
        <v>0</v>
      </c>
      <c r="FN28" s="555">
        <v>0</v>
      </c>
      <c r="FO28" s="553"/>
      <c r="FP28" s="553"/>
      <c r="FQ28" s="555">
        <v>0</v>
      </c>
      <c r="FR28" s="553"/>
      <c r="FS28" s="554"/>
      <c r="FZ28" s="749"/>
      <c r="GG28" s="541"/>
      <c r="GH28" s="541"/>
      <c r="GJ28" s="353"/>
      <c r="GL28" s="353">
        <v>11</v>
      </c>
      <c r="GM28" s="353" t="s">
        <v>140</v>
      </c>
      <c r="GN28" s="353">
        <v>45</v>
      </c>
      <c r="GO28" s="353">
        <v>43</v>
      </c>
      <c r="GP28" s="353">
        <v>84</v>
      </c>
      <c r="GQ28" s="353">
        <v>52</v>
      </c>
      <c r="GR28" s="353">
        <v>29</v>
      </c>
      <c r="GS28" s="353">
        <v>24</v>
      </c>
      <c r="GT28" s="353">
        <v>36</v>
      </c>
      <c r="GU28" s="353">
        <v>43</v>
      </c>
      <c r="GV28" s="353">
        <v>32</v>
      </c>
      <c r="GW28" s="353">
        <v>32</v>
      </c>
      <c r="GX28" s="353">
        <v>36</v>
      </c>
      <c r="GY28" s="353">
        <v>38</v>
      </c>
      <c r="GZ28" s="592">
        <v>57</v>
      </c>
      <c r="HA28" s="592">
        <v>70</v>
      </c>
      <c r="HB28" s="592">
        <v>56</v>
      </c>
      <c r="HC28" s="592">
        <v>16</v>
      </c>
      <c r="HD28" s="592">
        <v>23</v>
      </c>
      <c r="HE28" s="592">
        <v>84</v>
      </c>
      <c r="HF28" s="592">
        <v>57</v>
      </c>
      <c r="HG28" s="592">
        <v>32</v>
      </c>
      <c r="HH28" s="592">
        <v>32</v>
      </c>
      <c r="HI28" s="568">
        <v>62</v>
      </c>
      <c r="HJ28" s="568">
        <v>78</v>
      </c>
      <c r="HK28" s="568">
        <v>49</v>
      </c>
      <c r="HL28" s="592">
        <v>51</v>
      </c>
      <c r="HM28" s="592">
        <v>28</v>
      </c>
      <c r="HN28" s="592">
        <v>23</v>
      </c>
      <c r="HO28" s="592">
        <v>35</v>
      </c>
      <c r="HP28" s="592">
        <v>26</v>
      </c>
      <c r="HQ28" s="592">
        <v>39</v>
      </c>
      <c r="HR28" s="592">
        <v>36</v>
      </c>
      <c r="HS28" s="592">
        <v>17</v>
      </c>
      <c r="HT28" s="592">
        <v>39</v>
      </c>
      <c r="HU28" s="592">
        <v>19</v>
      </c>
      <c r="HV28" s="592">
        <v>34</v>
      </c>
      <c r="HW28" s="721">
        <v>23</v>
      </c>
      <c r="HX28" s="753">
        <v>49</v>
      </c>
      <c r="HY28" s="753">
        <v>40</v>
      </c>
      <c r="HZ28" s="753">
        <v>33</v>
      </c>
      <c r="IA28" s="592">
        <v>40</v>
      </c>
      <c r="IB28" s="828">
        <v>48</v>
      </c>
      <c r="IC28" s="592">
        <v>45</v>
      </c>
      <c r="IV28" s="353">
        <v>11</v>
      </c>
      <c r="IW28" s="353" t="s">
        <v>140</v>
      </c>
      <c r="IX28" s="353">
        <v>61</v>
      </c>
      <c r="IY28" s="353">
        <v>30</v>
      </c>
      <c r="IZ28" s="353">
        <v>118</v>
      </c>
      <c r="JA28" s="353">
        <v>49</v>
      </c>
      <c r="JB28" s="353">
        <v>22</v>
      </c>
      <c r="JC28" s="353">
        <v>23</v>
      </c>
      <c r="JD28" s="592">
        <v>24</v>
      </c>
      <c r="JE28" s="592">
        <v>37</v>
      </c>
      <c r="JF28" s="592">
        <v>35</v>
      </c>
      <c r="JG28" s="592">
        <v>34</v>
      </c>
      <c r="JH28" s="592">
        <v>46</v>
      </c>
      <c r="JI28" s="592">
        <v>28</v>
      </c>
      <c r="JJ28" s="592">
        <v>53</v>
      </c>
      <c r="JK28" s="532">
        <v>166</v>
      </c>
      <c r="JL28" s="353">
        <v>101</v>
      </c>
      <c r="JM28" s="353">
        <v>19</v>
      </c>
      <c r="JN28" s="353">
        <v>32</v>
      </c>
      <c r="JO28" s="353">
        <v>118</v>
      </c>
      <c r="JP28" s="592">
        <v>57</v>
      </c>
      <c r="JQ28" s="592">
        <v>32</v>
      </c>
      <c r="JR28" s="592">
        <v>34</v>
      </c>
      <c r="JS28" s="592">
        <v>68</v>
      </c>
      <c r="JT28" s="592">
        <v>92</v>
      </c>
      <c r="JU28" s="592">
        <v>151</v>
      </c>
      <c r="JV28" s="592">
        <v>79</v>
      </c>
      <c r="JW28" s="592">
        <v>42</v>
      </c>
      <c r="JX28" s="592">
        <v>25</v>
      </c>
      <c r="JY28" s="592">
        <v>11</v>
      </c>
      <c r="JZ28" s="592">
        <v>30</v>
      </c>
      <c r="KA28" s="592">
        <v>14</v>
      </c>
      <c r="KB28" s="592">
        <v>34</v>
      </c>
      <c r="KC28" s="592">
        <v>21</v>
      </c>
      <c r="KD28" s="592">
        <v>39</v>
      </c>
      <c r="KE28" s="592">
        <v>22</v>
      </c>
      <c r="KF28" s="592">
        <v>35</v>
      </c>
      <c r="KG28" s="592">
        <v>28</v>
      </c>
      <c r="KH28" s="592">
        <v>53</v>
      </c>
      <c r="KI28" s="721">
        <v>35</v>
      </c>
      <c r="KJ28" s="753">
        <v>28</v>
      </c>
      <c r="KK28" s="753">
        <v>39</v>
      </c>
      <c r="KL28" s="753">
        <v>36</v>
      </c>
      <c r="KM28" s="592">
        <v>55</v>
      </c>
      <c r="KN28" s="828">
        <v>40</v>
      </c>
      <c r="KO28" s="592">
        <v>31</v>
      </c>
    </row>
    <row r="29" spans="1:301" ht="15.6" thickBot="1">
      <c r="A29" s="989" t="s">
        <v>200</v>
      </c>
      <c r="B29" s="969"/>
      <c r="C29" s="969"/>
      <c r="D29" s="969"/>
      <c r="E29" s="969"/>
      <c r="F29" s="969"/>
      <c r="G29" s="970"/>
      <c r="H29" s="555">
        <v>0</v>
      </c>
      <c r="I29" s="555">
        <v>0</v>
      </c>
      <c r="J29" s="555">
        <v>0</v>
      </c>
      <c r="K29" s="553"/>
      <c r="L29" s="553"/>
      <c r="M29" s="555">
        <v>0</v>
      </c>
      <c r="N29" s="553"/>
      <c r="O29" s="554"/>
      <c r="Q29" s="989" t="s">
        <v>200</v>
      </c>
      <c r="R29" s="969"/>
      <c r="S29" s="969"/>
      <c r="T29" s="969"/>
      <c r="U29" s="969"/>
      <c r="V29" s="969"/>
      <c r="W29" s="970"/>
      <c r="X29" s="555">
        <v>1581</v>
      </c>
      <c r="Y29" s="555">
        <v>1581</v>
      </c>
      <c r="Z29" s="555">
        <v>1576</v>
      </c>
      <c r="AA29" s="556">
        <v>-3.162555344E-3</v>
      </c>
      <c r="AB29" s="556">
        <v>-3.162555344E-3</v>
      </c>
      <c r="AC29" s="555">
        <v>-5</v>
      </c>
      <c r="AD29" s="553"/>
      <c r="AE29" s="554"/>
      <c r="AG29" s="989" t="s">
        <v>102</v>
      </c>
      <c r="AH29" s="969"/>
      <c r="AI29" s="969"/>
      <c r="AJ29" s="969"/>
      <c r="AK29" s="969"/>
      <c r="AL29" s="969"/>
      <c r="AM29" s="970"/>
      <c r="AN29" s="555">
        <v>400171</v>
      </c>
      <c r="AO29" s="555">
        <v>401481</v>
      </c>
      <c r="AP29" s="555">
        <v>401692</v>
      </c>
      <c r="AQ29" s="556">
        <v>5.2555413500000002E-4</v>
      </c>
      <c r="AR29" s="556">
        <v>3.8008751249999999E-3</v>
      </c>
      <c r="AS29" s="555">
        <v>1521</v>
      </c>
      <c r="AT29" s="553"/>
      <c r="AU29" s="554"/>
      <c r="AW29" s="980" t="s">
        <v>103</v>
      </c>
      <c r="AX29" s="972"/>
      <c r="AY29" s="972"/>
      <c r="AZ29" s="972"/>
      <c r="BA29" s="972"/>
      <c r="BB29" s="972"/>
      <c r="BC29" s="973"/>
      <c r="BD29" s="569">
        <v>121259</v>
      </c>
      <c r="BE29" s="569">
        <v>120765</v>
      </c>
      <c r="BF29" s="569">
        <v>121831</v>
      </c>
      <c r="BG29" s="570">
        <v>8.8270608199999996E-3</v>
      </c>
      <c r="BH29" s="570">
        <v>4.7171756319999997E-3</v>
      </c>
      <c r="BI29" s="569">
        <v>572</v>
      </c>
      <c r="BJ29" s="571"/>
      <c r="BK29" s="572"/>
      <c r="BM29" s="989" t="s">
        <v>102</v>
      </c>
      <c r="BN29" s="969"/>
      <c r="BO29" s="969"/>
      <c r="BP29" s="969"/>
      <c r="BQ29" s="969"/>
      <c r="BR29" s="969"/>
      <c r="BS29" s="970"/>
      <c r="BT29" s="555">
        <v>5090</v>
      </c>
      <c r="BU29" s="555">
        <v>5068</v>
      </c>
      <c r="BV29" s="555">
        <v>5038</v>
      </c>
      <c r="BW29" s="556">
        <v>-5.9194948690000004E-3</v>
      </c>
      <c r="BX29" s="556">
        <v>-1.0216110019E-2</v>
      </c>
      <c r="BY29" s="555">
        <v>-52</v>
      </c>
      <c r="BZ29" s="553"/>
      <c r="CA29" s="554"/>
      <c r="CC29" s="989" t="s">
        <v>200</v>
      </c>
      <c r="CD29" s="969"/>
      <c r="CE29" s="969"/>
      <c r="CF29" s="969"/>
      <c r="CG29" s="969"/>
      <c r="CH29" s="969"/>
      <c r="CI29" s="970"/>
      <c r="CJ29" s="555">
        <v>24918</v>
      </c>
      <c r="CK29" s="555">
        <v>24971</v>
      </c>
      <c r="CL29" s="555">
        <v>25550</v>
      </c>
      <c r="CM29" s="556">
        <v>2.3186896799999999E-2</v>
      </c>
      <c r="CN29" s="556">
        <v>2.5363191266999999E-2</v>
      </c>
      <c r="CO29" s="555">
        <v>632</v>
      </c>
      <c r="CP29" s="553"/>
      <c r="CQ29" s="554"/>
      <c r="CS29" s="975" t="s">
        <v>104</v>
      </c>
      <c r="CT29" s="976"/>
      <c r="CU29" s="976"/>
      <c r="CV29" s="976"/>
      <c r="CW29" s="976"/>
      <c r="CX29" s="976"/>
      <c r="CY29" s="976"/>
      <c r="CZ29" s="976"/>
      <c r="DA29" s="976"/>
      <c r="DB29" s="976"/>
      <c r="DC29" s="976"/>
      <c r="DD29" s="976"/>
      <c r="DE29" s="976"/>
      <c r="DF29" s="976"/>
      <c r="DG29" s="976"/>
      <c r="DI29" s="989" t="s">
        <v>102</v>
      </c>
      <c r="DJ29" s="969"/>
      <c r="DK29" s="969"/>
      <c r="DL29" s="969"/>
      <c r="DM29" s="969"/>
      <c r="DN29" s="969"/>
      <c r="DO29" s="970"/>
      <c r="DP29" s="555">
        <v>186676</v>
      </c>
      <c r="DQ29" s="555">
        <v>188307</v>
      </c>
      <c r="DR29" s="555">
        <v>192831</v>
      </c>
      <c r="DS29" s="556">
        <v>2.4024598128999999E-2</v>
      </c>
      <c r="DT29" s="556">
        <v>3.2971565707000001E-2</v>
      </c>
      <c r="DU29" s="555">
        <v>6155</v>
      </c>
      <c r="DV29" s="553"/>
      <c r="DW29" s="554"/>
      <c r="DY29" s="544"/>
      <c r="DZ29" s="545"/>
      <c r="EA29" s="545"/>
      <c r="EB29" s="545"/>
      <c r="EC29" s="545"/>
      <c r="ED29" s="545"/>
      <c r="EE29" s="546"/>
      <c r="EF29" s="593" t="s">
        <v>202</v>
      </c>
      <c r="EG29" s="593" t="s">
        <v>211</v>
      </c>
      <c r="EH29" s="593" t="s">
        <v>212</v>
      </c>
      <c r="EI29" s="593" t="s">
        <v>79</v>
      </c>
      <c r="EJ29" s="593" t="s">
        <v>80</v>
      </c>
      <c r="EK29" s="593" t="s">
        <v>81</v>
      </c>
      <c r="EL29" s="593" t="s">
        <v>447</v>
      </c>
      <c r="EM29" s="593" t="s">
        <v>82</v>
      </c>
      <c r="EO29" s="989" t="s">
        <v>200</v>
      </c>
      <c r="EP29" s="969"/>
      <c r="EQ29" s="969"/>
      <c r="ER29" s="969"/>
      <c r="ES29" s="969"/>
      <c r="ET29" s="969"/>
      <c r="EU29" s="970"/>
      <c r="EV29" s="555">
        <v>93423</v>
      </c>
      <c r="EW29" s="555">
        <v>94545</v>
      </c>
      <c r="EX29" s="555">
        <v>96085</v>
      </c>
      <c r="EY29" s="556">
        <v>1.6288539848000001E-2</v>
      </c>
      <c r="EZ29" s="556">
        <v>2.8494053926000001E-2</v>
      </c>
      <c r="FA29" s="555">
        <v>2662</v>
      </c>
      <c r="FB29" s="553"/>
      <c r="FC29" s="554"/>
      <c r="FE29" s="989" t="s">
        <v>102</v>
      </c>
      <c r="FF29" s="969"/>
      <c r="FG29" s="969"/>
      <c r="FH29" s="969"/>
      <c r="FI29" s="969"/>
      <c r="FJ29" s="969"/>
      <c r="FK29" s="970"/>
      <c r="FL29" s="555">
        <v>11049</v>
      </c>
      <c r="FM29" s="555">
        <v>11498</v>
      </c>
      <c r="FN29" s="555">
        <v>12130</v>
      </c>
      <c r="FO29" s="556">
        <v>5.4966081057000002E-2</v>
      </c>
      <c r="FP29" s="556">
        <v>9.7836908316999996E-2</v>
      </c>
      <c r="FQ29" s="555">
        <v>1081</v>
      </c>
      <c r="FR29" s="553"/>
      <c r="FS29" s="554"/>
      <c r="FZ29" s="836">
        <f>GG24/'Mois Y-1'!C16</f>
        <v>0.59979382624133781</v>
      </c>
      <c r="GB29" s="585">
        <f>GG18/'Mois courant'!C18</f>
        <v>0.57364735282152612</v>
      </c>
      <c r="GC29" s="585">
        <f>GG20/'Mois courant'!C19</f>
        <v>0.56248800890219097</v>
      </c>
      <c r="GD29" s="585">
        <f>GG23/'Mois courant'!C20</f>
        <v>0.61080223633974329</v>
      </c>
      <c r="GG29" s="541"/>
      <c r="GH29" s="541"/>
    </row>
    <row r="30" spans="1:301" ht="15.6" thickBot="1">
      <c r="A30" s="980" t="s">
        <v>103</v>
      </c>
      <c r="B30" s="972"/>
      <c r="C30" s="972"/>
      <c r="D30" s="972"/>
      <c r="E30" s="972"/>
      <c r="F30" s="972"/>
      <c r="G30" s="973"/>
      <c r="H30" s="569">
        <v>9736</v>
      </c>
      <c r="I30" s="569">
        <v>9859</v>
      </c>
      <c r="J30" s="569">
        <v>9896</v>
      </c>
      <c r="K30" s="570">
        <v>3.7529161170000002E-3</v>
      </c>
      <c r="L30" s="570">
        <v>1.6433853738E-2</v>
      </c>
      <c r="M30" s="569">
        <v>160</v>
      </c>
      <c r="N30" s="571"/>
      <c r="O30" s="572"/>
      <c r="Q30" s="980" t="s">
        <v>103</v>
      </c>
      <c r="R30" s="972"/>
      <c r="S30" s="972"/>
      <c r="T30" s="972"/>
      <c r="U30" s="972"/>
      <c r="V30" s="972"/>
      <c r="W30" s="973"/>
      <c r="X30" s="569">
        <v>37014</v>
      </c>
      <c r="Y30" s="569">
        <v>36756</v>
      </c>
      <c r="Z30" s="569">
        <v>36879</v>
      </c>
      <c r="AA30" s="570">
        <v>3.3463924250000002E-3</v>
      </c>
      <c r="AB30" s="570">
        <v>-3.6472686010000002E-3</v>
      </c>
      <c r="AC30" s="569">
        <v>-135</v>
      </c>
      <c r="AD30" s="571"/>
      <c r="AE30" s="572"/>
      <c r="AG30" s="980" t="s">
        <v>103</v>
      </c>
      <c r="AH30" s="972"/>
      <c r="AI30" s="972"/>
      <c r="AJ30" s="972"/>
      <c r="AK30" s="972"/>
      <c r="AL30" s="972"/>
      <c r="AM30" s="973"/>
      <c r="AN30" s="569">
        <v>177015</v>
      </c>
      <c r="AO30" s="569">
        <v>179687</v>
      </c>
      <c r="AP30" s="569">
        <v>182545</v>
      </c>
      <c r="AQ30" s="570">
        <v>1.5905435562000001E-2</v>
      </c>
      <c r="AR30" s="570">
        <v>3.124029037E-2</v>
      </c>
      <c r="AS30" s="569">
        <v>5530</v>
      </c>
      <c r="AT30" s="571"/>
      <c r="AU30" s="572"/>
      <c r="AW30" s="975" t="s">
        <v>104</v>
      </c>
      <c r="AX30" s="976"/>
      <c r="AY30" s="976"/>
      <c r="AZ30" s="976"/>
      <c r="BA30" s="976"/>
      <c r="BB30" s="976"/>
      <c r="BC30" s="976"/>
      <c r="BD30" s="976"/>
      <c r="BE30" s="976"/>
      <c r="BF30" s="976"/>
      <c r="BG30" s="976"/>
      <c r="BH30" s="976"/>
      <c r="BI30" s="976"/>
      <c r="BJ30" s="976"/>
      <c r="BK30" s="976"/>
      <c r="BM30" s="980" t="s">
        <v>103</v>
      </c>
      <c r="BN30" s="972"/>
      <c r="BO30" s="972"/>
      <c r="BP30" s="972"/>
      <c r="BQ30" s="972"/>
      <c r="BR30" s="972"/>
      <c r="BS30" s="973"/>
      <c r="BT30" s="569">
        <v>3826</v>
      </c>
      <c r="BU30" s="569">
        <v>3834</v>
      </c>
      <c r="BV30" s="569">
        <v>4011</v>
      </c>
      <c r="BW30" s="570">
        <v>4.6165884194000001E-2</v>
      </c>
      <c r="BX30" s="570">
        <v>4.8353371667000003E-2</v>
      </c>
      <c r="BY30" s="569">
        <v>185</v>
      </c>
      <c r="BZ30" s="571"/>
      <c r="CA30" s="572"/>
      <c r="CC30" s="980" t="s">
        <v>103</v>
      </c>
      <c r="CD30" s="972"/>
      <c r="CE30" s="972"/>
      <c r="CF30" s="972"/>
      <c r="CG30" s="972"/>
      <c r="CH30" s="972"/>
      <c r="CI30" s="973"/>
      <c r="CJ30" s="569">
        <v>36814</v>
      </c>
      <c r="CK30" s="569">
        <v>36762</v>
      </c>
      <c r="CL30" s="569">
        <v>36762</v>
      </c>
      <c r="CM30" s="570">
        <v>0</v>
      </c>
      <c r="CN30" s="570">
        <v>-1.412506111E-3</v>
      </c>
      <c r="CO30" s="569">
        <v>-52</v>
      </c>
      <c r="CP30" s="571"/>
      <c r="CQ30" s="572"/>
      <c r="CS30" s="544"/>
      <c r="CT30" s="545"/>
      <c r="CU30" s="545"/>
      <c r="CV30" s="545"/>
      <c r="CW30" s="545"/>
      <c r="CX30" s="545"/>
      <c r="CY30" s="546"/>
      <c r="CZ30" s="593" t="s">
        <v>202</v>
      </c>
      <c r="DA30" s="593" t="s">
        <v>211</v>
      </c>
      <c r="DB30" s="593" t="s">
        <v>212</v>
      </c>
      <c r="DC30" s="593" t="s">
        <v>79</v>
      </c>
      <c r="DD30" s="593" t="s">
        <v>80</v>
      </c>
      <c r="DE30" s="593" t="s">
        <v>81</v>
      </c>
      <c r="DF30" s="593" t="s">
        <v>447</v>
      </c>
      <c r="DG30" s="593" t="s">
        <v>82</v>
      </c>
      <c r="DI30" s="989" t="s">
        <v>199</v>
      </c>
      <c r="DJ30" s="969"/>
      <c r="DK30" s="969"/>
      <c r="DL30" s="969"/>
      <c r="DM30" s="969"/>
      <c r="DN30" s="969"/>
      <c r="DO30" s="970"/>
      <c r="DP30" s="555">
        <v>0</v>
      </c>
      <c r="DQ30" s="555">
        <v>0</v>
      </c>
      <c r="DR30" s="555">
        <v>0</v>
      </c>
      <c r="DS30" s="553"/>
      <c r="DT30" s="553"/>
      <c r="DU30" s="555">
        <v>0</v>
      </c>
      <c r="DV30" s="553"/>
      <c r="DW30" s="554"/>
      <c r="DY30" s="981" t="s">
        <v>105</v>
      </c>
      <c r="DZ30" s="982"/>
      <c r="EA30" s="982"/>
      <c r="EB30" s="982"/>
      <c r="EC30" s="982"/>
      <c r="ED30" s="982"/>
      <c r="EE30" s="983"/>
      <c r="EF30" s="547">
        <v>3470695.0676799999</v>
      </c>
      <c r="EG30" s="547">
        <v>3506164.7488099998</v>
      </c>
      <c r="EH30" s="547">
        <v>3564932.1375600002</v>
      </c>
      <c r="EI30" s="548">
        <v>1.6761160115999998E-2</v>
      </c>
      <c r="EJ30" s="548">
        <v>2.7152218227000001E-2</v>
      </c>
      <c r="EK30" s="547">
        <v>94237.069880000097</v>
      </c>
      <c r="EL30" s="549"/>
      <c r="EM30" s="550"/>
      <c r="EO30" s="980" t="s">
        <v>103</v>
      </c>
      <c r="EP30" s="972"/>
      <c r="EQ30" s="972"/>
      <c r="ER30" s="972"/>
      <c r="ES30" s="972"/>
      <c r="ET30" s="972"/>
      <c r="EU30" s="973"/>
      <c r="EV30" s="569">
        <v>39243</v>
      </c>
      <c r="EW30" s="569">
        <v>40891</v>
      </c>
      <c r="EX30" s="569">
        <v>43433</v>
      </c>
      <c r="EY30" s="570">
        <v>6.2165268640999999E-2</v>
      </c>
      <c r="EZ30" s="570">
        <v>0.106770634253</v>
      </c>
      <c r="FA30" s="569">
        <v>4190</v>
      </c>
      <c r="FB30" s="571"/>
      <c r="FC30" s="572"/>
      <c r="FE30" s="980" t="s">
        <v>103</v>
      </c>
      <c r="FF30" s="972"/>
      <c r="FG30" s="972"/>
      <c r="FH30" s="972"/>
      <c r="FI30" s="972"/>
      <c r="FJ30" s="972"/>
      <c r="FK30" s="973"/>
      <c r="FL30" s="569">
        <v>11104</v>
      </c>
      <c r="FM30" s="569">
        <v>11529</v>
      </c>
      <c r="FN30" s="569">
        <v>12141</v>
      </c>
      <c r="FO30" s="570">
        <v>5.3083528493E-2</v>
      </c>
      <c r="FP30" s="570">
        <v>9.3389769452000004E-2</v>
      </c>
      <c r="FQ30" s="569">
        <v>1037</v>
      </c>
      <c r="FR30" s="571"/>
      <c r="FS30" s="572"/>
      <c r="GL30" s="967" t="s">
        <v>167</v>
      </c>
      <c r="GM30" s="967"/>
      <c r="GN30" s="967"/>
      <c r="GO30" s="967"/>
      <c r="GP30" s="967"/>
      <c r="GQ30" s="967"/>
      <c r="GR30" s="967"/>
      <c r="GS30" s="967"/>
      <c r="GT30" s="967"/>
      <c r="GU30" s="967"/>
      <c r="GV30" s="967"/>
      <c r="GW30" s="967"/>
      <c r="GX30" s="967"/>
      <c r="GY30" s="967"/>
      <c r="GZ30" s="967"/>
      <c r="HA30" s="967"/>
      <c r="HB30" s="967"/>
      <c r="HC30" s="967"/>
      <c r="HD30" s="967"/>
      <c r="HE30" s="967"/>
      <c r="HF30" s="967"/>
      <c r="HG30" s="967"/>
      <c r="HH30" s="967"/>
      <c r="HI30" s="967"/>
      <c r="HJ30" s="967"/>
      <c r="HK30" s="967"/>
      <c r="HL30" s="967"/>
      <c r="HM30" s="967"/>
      <c r="IV30" s="967" t="s">
        <v>173</v>
      </c>
      <c r="IW30" s="967"/>
      <c r="IX30" s="967"/>
      <c r="IY30" s="967"/>
      <c r="IZ30" s="967"/>
      <c r="JA30" s="967"/>
      <c r="JB30" s="967"/>
      <c r="JC30" s="967"/>
      <c r="JD30" s="967"/>
      <c r="JE30" s="967"/>
      <c r="JF30" s="967"/>
      <c r="JG30" s="967"/>
      <c r="JH30" s="967"/>
      <c r="JI30" s="967"/>
      <c r="JJ30" s="967"/>
      <c r="JK30" s="967"/>
      <c r="JL30" s="967"/>
      <c r="JM30" s="967"/>
      <c r="JN30" s="967"/>
      <c r="JO30" s="967"/>
      <c r="JP30" s="967"/>
      <c r="JQ30" s="967"/>
      <c r="JR30" s="967"/>
      <c r="JS30" s="967"/>
      <c r="JT30" s="967"/>
      <c r="JU30" s="967"/>
      <c r="JV30" s="967"/>
      <c r="JW30" s="967"/>
    </row>
    <row r="31" spans="1:301" ht="15.6" thickBot="1">
      <c r="A31" s="975" t="s">
        <v>104</v>
      </c>
      <c r="B31" s="976"/>
      <c r="C31" s="976"/>
      <c r="D31" s="976"/>
      <c r="E31" s="976"/>
      <c r="F31" s="976"/>
      <c r="G31" s="976"/>
      <c r="H31" s="976"/>
      <c r="I31" s="976"/>
      <c r="J31" s="976"/>
      <c r="K31" s="976"/>
      <c r="L31" s="976"/>
      <c r="M31" s="976"/>
      <c r="N31" s="976"/>
      <c r="O31" s="976"/>
      <c r="Q31" s="975" t="s">
        <v>104</v>
      </c>
      <c r="R31" s="976"/>
      <c r="S31" s="976"/>
      <c r="T31" s="976"/>
      <c r="U31" s="976"/>
      <c r="V31" s="976"/>
      <c r="W31" s="976"/>
      <c r="X31" s="976"/>
      <c r="Y31" s="976"/>
      <c r="Z31" s="976"/>
      <c r="AA31" s="976"/>
      <c r="AB31" s="976"/>
      <c r="AC31" s="976"/>
      <c r="AD31" s="976"/>
      <c r="AE31" s="976"/>
      <c r="AG31" s="975" t="s">
        <v>104</v>
      </c>
      <c r="AH31" s="976"/>
      <c r="AI31" s="976"/>
      <c r="AJ31" s="976"/>
      <c r="AK31" s="976"/>
      <c r="AL31" s="976"/>
      <c r="AM31" s="976"/>
      <c r="AN31" s="976"/>
      <c r="AO31" s="976"/>
      <c r="AP31" s="976"/>
      <c r="AQ31" s="976"/>
      <c r="AR31" s="976"/>
      <c r="AS31" s="976"/>
      <c r="AT31" s="976"/>
      <c r="AU31" s="976"/>
      <c r="AW31" s="544"/>
      <c r="AX31" s="545"/>
      <c r="AY31" s="545"/>
      <c r="AZ31" s="545"/>
      <c r="BA31" s="545"/>
      <c r="BB31" s="545"/>
      <c r="BC31" s="546"/>
      <c r="BD31" s="593" t="s">
        <v>202</v>
      </c>
      <c r="BE31" s="593" t="s">
        <v>211</v>
      </c>
      <c r="BF31" s="593" t="s">
        <v>212</v>
      </c>
      <c r="BG31" s="593" t="s">
        <v>79</v>
      </c>
      <c r="BH31" s="593" t="s">
        <v>80</v>
      </c>
      <c r="BI31" s="593" t="s">
        <v>81</v>
      </c>
      <c r="BJ31" s="593" t="s">
        <v>447</v>
      </c>
      <c r="BK31" s="593" t="s">
        <v>82</v>
      </c>
      <c r="BM31" s="975" t="s">
        <v>104</v>
      </c>
      <c r="BN31" s="976"/>
      <c r="BO31" s="976"/>
      <c r="BP31" s="976"/>
      <c r="BQ31" s="976"/>
      <c r="BR31" s="976"/>
      <c r="BS31" s="976"/>
      <c r="BT31" s="976"/>
      <c r="BU31" s="976"/>
      <c r="BV31" s="976"/>
      <c r="BW31" s="976"/>
      <c r="BX31" s="976"/>
      <c r="BY31" s="976"/>
      <c r="BZ31" s="976"/>
      <c r="CA31" s="976"/>
      <c r="CC31" s="975" t="s">
        <v>104</v>
      </c>
      <c r="CD31" s="976"/>
      <c r="CE31" s="976"/>
      <c r="CF31" s="976"/>
      <c r="CG31" s="976"/>
      <c r="CH31" s="976"/>
      <c r="CI31" s="976"/>
      <c r="CJ31" s="976"/>
      <c r="CK31" s="976"/>
      <c r="CL31" s="976"/>
      <c r="CM31" s="976"/>
      <c r="CN31" s="976"/>
      <c r="CO31" s="976"/>
      <c r="CP31" s="976"/>
      <c r="CQ31" s="976"/>
      <c r="CS31" s="981" t="s">
        <v>105</v>
      </c>
      <c r="CT31" s="982"/>
      <c r="CU31" s="982"/>
      <c r="CV31" s="982"/>
      <c r="CW31" s="982"/>
      <c r="CX31" s="982"/>
      <c r="CY31" s="983"/>
      <c r="CZ31" s="547">
        <v>1188766814.7516</v>
      </c>
      <c r="DA31" s="547">
        <v>1193480286.4876001</v>
      </c>
      <c r="DB31" s="547">
        <v>1206751760.5555999</v>
      </c>
      <c r="DC31" s="548">
        <v>1.1119977612999999E-2</v>
      </c>
      <c r="DD31" s="548">
        <v>1.5129077949E-2</v>
      </c>
      <c r="DE31" s="547">
        <v>17984945.803999901</v>
      </c>
      <c r="DF31" s="549"/>
      <c r="DG31" s="550"/>
      <c r="DI31" s="989" t="s">
        <v>200</v>
      </c>
      <c r="DJ31" s="969"/>
      <c r="DK31" s="969"/>
      <c r="DL31" s="969"/>
      <c r="DM31" s="969"/>
      <c r="DN31" s="969"/>
      <c r="DO31" s="970"/>
      <c r="DP31" s="555">
        <v>631</v>
      </c>
      <c r="DQ31" s="555">
        <v>619</v>
      </c>
      <c r="DR31" s="555">
        <v>617</v>
      </c>
      <c r="DS31" s="556">
        <v>-3.23101777E-3</v>
      </c>
      <c r="DT31" s="556">
        <v>-2.2187004754000001E-2</v>
      </c>
      <c r="DU31" s="555">
        <v>-14</v>
      </c>
      <c r="DV31" s="553"/>
      <c r="DW31" s="554"/>
      <c r="DY31" s="984" t="s">
        <v>106</v>
      </c>
      <c r="DZ31" s="969"/>
      <c r="EA31" s="969"/>
      <c r="EB31" s="969"/>
      <c r="EC31" s="969"/>
      <c r="ED31" s="969"/>
      <c r="EE31" s="970"/>
      <c r="EF31" s="551">
        <v>3133135.5857099998</v>
      </c>
      <c r="EG31" s="551">
        <v>3170358.37108</v>
      </c>
      <c r="EH31" s="551">
        <v>3226463.86161</v>
      </c>
      <c r="EI31" s="552">
        <v>1.7696892262999999E-2</v>
      </c>
      <c r="EJ31" s="552">
        <v>2.9787499884999999E-2</v>
      </c>
      <c r="EK31" s="551">
        <v>93328.275900000197</v>
      </c>
      <c r="EL31" s="553"/>
      <c r="EM31" s="554"/>
      <c r="EO31" s="975" t="s">
        <v>104</v>
      </c>
      <c r="EP31" s="976"/>
      <c r="EQ31" s="976"/>
      <c r="ER31" s="976"/>
      <c r="ES31" s="976"/>
      <c r="ET31" s="976"/>
      <c r="EU31" s="976"/>
      <c r="EV31" s="976"/>
      <c r="EW31" s="976"/>
      <c r="EX31" s="976"/>
      <c r="EY31" s="976"/>
      <c r="EZ31" s="976"/>
      <c r="FA31" s="976"/>
      <c r="FB31" s="976"/>
      <c r="FC31" s="976"/>
      <c r="FE31" s="975" t="s">
        <v>104</v>
      </c>
      <c r="FF31" s="976"/>
      <c r="FG31" s="976"/>
      <c r="FH31" s="976"/>
      <c r="FI31" s="976"/>
      <c r="FJ31" s="976"/>
      <c r="FK31" s="976"/>
      <c r="FL31" s="976"/>
      <c r="FM31" s="976"/>
      <c r="FN31" s="976"/>
      <c r="FO31" s="976"/>
      <c r="FP31" s="976"/>
      <c r="FQ31" s="976"/>
      <c r="FR31" s="976"/>
      <c r="FS31" s="976"/>
      <c r="GG31" s="592" t="e">
        <f>SUM(Source!GH3:GH5,Source!GH8:GH9,Source!GH11:GH12)/F62</f>
        <v>#DIV/0!</v>
      </c>
      <c r="GM31" s="592" t="s">
        <v>149</v>
      </c>
      <c r="GN31" s="442">
        <v>43496</v>
      </c>
      <c r="GO31" s="442">
        <v>43524</v>
      </c>
      <c r="GP31" s="442">
        <v>43555</v>
      </c>
      <c r="GQ31" s="442">
        <v>43585</v>
      </c>
      <c r="GR31" s="442">
        <v>43616</v>
      </c>
      <c r="GS31" s="442">
        <v>43646</v>
      </c>
      <c r="GT31" s="442">
        <v>43677</v>
      </c>
      <c r="GU31" s="442">
        <v>43708</v>
      </c>
      <c r="GV31" s="442">
        <v>43738</v>
      </c>
      <c r="GW31" s="442">
        <v>43769</v>
      </c>
      <c r="GX31" s="442">
        <v>43799</v>
      </c>
      <c r="GY31" s="442">
        <v>43830</v>
      </c>
      <c r="GZ31" s="442">
        <v>43861</v>
      </c>
      <c r="HA31" s="442">
        <v>43890</v>
      </c>
      <c r="HB31" s="442">
        <v>43921</v>
      </c>
      <c r="HC31" s="442">
        <v>43951</v>
      </c>
      <c r="HD31" s="442">
        <v>43982</v>
      </c>
      <c r="HE31" s="442">
        <v>44012</v>
      </c>
      <c r="HF31" s="442">
        <v>44043</v>
      </c>
      <c r="HG31" s="442">
        <v>44074</v>
      </c>
      <c r="HH31" s="442">
        <v>44104</v>
      </c>
      <c r="HI31" s="442">
        <v>44135</v>
      </c>
      <c r="HJ31" s="442">
        <v>44165</v>
      </c>
      <c r="HK31" s="442">
        <v>44196</v>
      </c>
      <c r="HL31" s="442">
        <v>44227</v>
      </c>
      <c r="HM31" s="442">
        <v>44255</v>
      </c>
      <c r="HN31" s="442">
        <v>44286</v>
      </c>
      <c r="HO31" s="442">
        <v>44316</v>
      </c>
      <c r="HP31" s="442">
        <v>44347</v>
      </c>
      <c r="HQ31" s="442">
        <v>44377</v>
      </c>
      <c r="HR31" s="442">
        <v>44408</v>
      </c>
      <c r="HS31" s="442">
        <v>44439</v>
      </c>
      <c r="HT31" s="442">
        <v>44469</v>
      </c>
      <c r="HU31" s="542">
        <v>44500</v>
      </c>
      <c r="HV31" s="606">
        <v>44530</v>
      </c>
      <c r="HW31" s="442">
        <v>44561</v>
      </c>
      <c r="HX31" s="442">
        <v>44592</v>
      </c>
      <c r="HY31" s="442">
        <v>44620</v>
      </c>
      <c r="HZ31" s="442">
        <v>44651</v>
      </c>
      <c r="IA31" s="442">
        <v>44681</v>
      </c>
      <c r="IB31" s="830">
        <v>44896</v>
      </c>
      <c r="IC31" s="830">
        <v>44927</v>
      </c>
      <c r="IW31" s="592" t="s">
        <v>149</v>
      </c>
      <c r="IX31" s="442">
        <v>43496</v>
      </c>
      <c r="IY31" s="442">
        <v>43524</v>
      </c>
      <c r="IZ31" s="442">
        <v>43555</v>
      </c>
      <c r="JA31" s="442">
        <v>43585</v>
      </c>
      <c r="JB31" s="442">
        <v>43616</v>
      </c>
      <c r="JC31" s="442">
        <v>43646</v>
      </c>
      <c r="JD31" s="442">
        <v>43677</v>
      </c>
      <c r="JE31" s="442">
        <v>43708</v>
      </c>
      <c r="JF31" s="442">
        <v>43738</v>
      </c>
      <c r="JG31" s="442">
        <v>43769</v>
      </c>
      <c r="JH31" s="442">
        <v>43799</v>
      </c>
      <c r="JI31" s="442">
        <v>43830</v>
      </c>
      <c r="JJ31" s="442">
        <v>43861</v>
      </c>
      <c r="JK31" s="442">
        <v>43890</v>
      </c>
      <c r="JL31" s="442">
        <v>43921</v>
      </c>
      <c r="JM31" s="442">
        <v>43951</v>
      </c>
      <c r="JN31" s="442">
        <v>43982</v>
      </c>
      <c r="JO31" s="442">
        <v>44012</v>
      </c>
      <c r="JP31" s="442">
        <v>44043</v>
      </c>
      <c r="JQ31" s="442">
        <v>44074</v>
      </c>
      <c r="JR31" s="442">
        <v>44104</v>
      </c>
      <c r="JS31" s="442">
        <v>44135</v>
      </c>
      <c r="JT31" s="442">
        <v>44165</v>
      </c>
      <c r="JU31" s="442">
        <v>44196</v>
      </c>
      <c r="JV31" s="442">
        <v>44227</v>
      </c>
      <c r="JW31" s="442">
        <v>44255</v>
      </c>
      <c r="JX31" s="442">
        <v>44286</v>
      </c>
      <c r="JY31" s="442">
        <v>44316</v>
      </c>
      <c r="JZ31" s="442">
        <v>44347</v>
      </c>
      <c r="KA31" s="442">
        <v>44377</v>
      </c>
      <c r="KB31" s="442">
        <v>44408</v>
      </c>
      <c r="KC31" s="442">
        <v>44439</v>
      </c>
      <c r="KD31" s="442">
        <v>44469</v>
      </c>
      <c r="KE31" s="442">
        <v>44500</v>
      </c>
      <c r="KF31" s="442">
        <v>44530</v>
      </c>
      <c r="KG31" s="442">
        <v>44561</v>
      </c>
      <c r="KH31" s="442">
        <v>44592</v>
      </c>
      <c r="KI31" s="442">
        <v>44620</v>
      </c>
      <c r="KJ31" s="442">
        <v>44651</v>
      </c>
      <c r="KK31" s="442">
        <v>44681</v>
      </c>
      <c r="KL31" s="442">
        <v>44712</v>
      </c>
      <c r="KM31" s="442">
        <v>44742</v>
      </c>
      <c r="KN31" s="830">
        <v>44896</v>
      </c>
      <c r="KO31" s="830">
        <v>44927</v>
      </c>
    </row>
    <row r="32" spans="1:301" ht="15.6" thickBot="1">
      <c r="A32" s="544"/>
      <c r="B32" s="545"/>
      <c r="C32" s="545"/>
      <c r="D32" s="545"/>
      <c r="E32" s="545"/>
      <c r="F32" s="545"/>
      <c r="G32" s="546"/>
      <c r="H32" s="593" t="s">
        <v>202</v>
      </c>
      <c r="I32" s="593" t="s">
        <v>211</v>
      </c>
      <c r="J32" s="593" t="s">
        <v>212</v>
      </c>
      <c r="K32" s="593" t="s">
        <v>79</v>
      </c>
      <c r="L32" s="593" t="s">
        <v>80</v>
      </c>
      <c r="M32" s="593" t="s">
        <v>81</v>
      </c>
      <c r="N32" s="593" t="s">
        <v>447</v>
      </c>
      <c r="O32" s="593" t="s">
        <v>82</v>
      </c>
      <c r="Q32" s="544"/>
      <c r="R32" s="545"/>
      <c r="S32" s="545"/>
      <c r="T32" s="545"/>
      <c r="U32" s="545"/>
      <c r="V32" s="545"/>
      <c r="W32" s="546"/>
      <c r="X32" s="593" t="s">
        <v>202</v>
      </c>
      <c r="Y32" s="593" t="s">
        <v>211</v>
      </c>
      <c r="Z32" s="593" t="s">
        <v>212</v>
      </c>
      <c r="AA32" s="593" t="s">
        <v>79</v>
      </c>
      <c r="AB32" s="593" t="s">
        <v>80</v>
      </c>
      <c r="AC32" s="593" t="s">
        <v>81</v>
      </c>
      <c r="AD32" s="593" t="s">
        <v>447</v>
      </c>
      <c r="AE32" s="593" t="s">
        <v>82</v>
      </c>
      <c r="AG32" s="544"/>
      <c r="AH32" s="545"/>
      <c r="AI32" s="545"/>
      <c r="AJ32" s="545"/>
      <c r="AK32" s="545"/>
      <c r="AL32" s="545"/>
      <c r="AM32" s="546"/>
      <c r="AN32" s="593" t="s">
        <v>202</v>
      </c>
      <c r="AO32" s="593" t="s">
        <v>211</v>
      </c>
      <c r="AP32" s="593" t="s">
        <v>212</v>
      </c>
      <c r="AQ32" s="593" t="s">
        <v>79</v>
      </c>
      <c r="AR32" s="593" t="s">
        <v>80</v>
      </c>
      <c r="AS32" s="593" t="s">
        <v>81</v>
      </c>
      <c r="AT32" s="593" t="s">
        <v>447</v>
      </c>
      <c r="AU32" s="593" t="s">
        <v>82</v>
      </c>
      <c r="AW32" s="981" t="s">
        <v>105</v>
      </c>
      <c r="AX32" s="982"/>
      <c r="AY32" s="982"/>
      <c r="AZ32" s="982"/>
      <c r="BA32" s="982"/>
      <c r="BB32" s="982"/>
      <c r="BC32" s="983"/>
      <c r="BD32" s="547">
        <v>136642875.79866999</v>
      </c>
      <c r="BE32" s="547">
        <v>136505729.94150001</v>
      </c>
      <c r="BF32" s="547">
        <v>137241395.817</v>
      </c>
      <c r="BG32" s="548">
        <v>5.3892673639999999E-3</v>
      </c>
      <c r="BH32" s="548">
        <v>4.3801772670000001E-3</v>
      </c>
      <c r="BI32" s="547">
        <v>598520.01833000605</v>
      </c>
      <c r="BJ32" s="549"/>
      <c r="BK32" s="550"/>
      <c r="BM32" s="544"/>
      <c r="BN32" s="545"/>
      <c r="BO32" s="545"/>
      <c r="BP32" s="545"/>
      <c r="BQ32" s="545"/>
      <c r="BR32" s="545"/>
      <c r="BS32" s="546"/>
      <c r="BT32" s="593" t="s">
        <v>202</v>
      </c>
      <c r="BU32" s="593" t="s">
        <v>211</v>
      </c>
      <c r="BV32" s="593" t="s">
        <v>212</v>
      </c>
      <c r="BW32" s="593" t="s">
        <v>79</v>
      </c>
      <c r="BX32" s="593" t="s">
        <v>80</v>
      </c>
      <c r="BY32" s="593" t="s">
        <v>81</v>
      </c>
      <c r="BZ32" s="593" t="s">
        <v>447</v>
      </c>
      <c r="CA32" s="593" t="s">
        <v>82</v>
      </c>
      <c r="CC32" s="544"/>
      <c r="CD32" s="545"/>
      <c r="CE32" s="545"/>
      <c r="CF32" s="545"/>
      <c r="CG32" s="545"/>
      <c r="CH32" s="545"/>
      <c r="CI32" s="546"/>
      <c r="CJ32" s="593" t="s">
        <v>202</v>
      </c>
      <c r="CK32" s="593" t="s">
        <v>211</v>
      </c>
      <c r="CL32" s="593" t="s">
        <v>212</v>
      </c>
      <c r="CM32" s="593" t="s">
        <v>79</v>
      </c>
      <c r="CN32" s="593" t="s">
        <v>80</v>
      </c>
      <c r="CO32" s="593" t="s">
        <v>81</v>
      </c>
      <c r="CP32" s="593" t="s">
        <v>447</v>
      </c>
      <c r="CQ32" s="593" t="s">
        <v>82</v>
      </c>
      <c r="CS32" s="984" t="s">
        <v>106</v>
      </c>
      <c r="CT32" s="969"/>
      <c r="CU32" s="969"/>
      <c r="CV32" s="969"/>
      <c r="CW32" s="969"/>
      <c r="CX32" s="969"/>
      <c r="CY32" s="970"/>
      <c r="CZ32" s="551">
        <v>1123297496.2855999</v>
      </c>
      <c r="DA32" s="551">
        <v>1124805675.5896001</v>
      </c>
      <c r="DB32" s="551">
        <v>1138703377.4605999</v>
      </c>
      <c r="DC32" s="552">
        <v>1.2355646999E-2</v>
      </c>
      <c r="DD32" s="552">
        <v>1.3714871817000001E-2</v>
      </c>
      <c r="DE32" s="551">
        <v>15405881.175000099</v>
      </c>
      <c r="DF32" s="553"/>
      <c r="DG32" s="554"/>
      <c r="DI32" s="980" t="s">
        <v>103</v>
      </c>
      <c r="DJ32" s="972"/>
      <c r="DK32" s="972"/>
      <c r="DL32" s="972"/>
      <c r="DM32" s="972"/>
      <c r="DN32" s="972"/>
      <c r="DO32" s="973"/>
      <c r="DP32" s="569">
        <v>132738</v>
      </c>
      <c r="DQ32" s="569">
        <v>134483</v>
      </c>
      <c r="DR32" s="569">
        <v>138383</v>
      </c>
      <c r="DS32" s="570">
        <v>2.8999947948E-2</v>
      </c>
      <c r="DT32" s="570">
        <v>4.2527384772999999E-2</v>
      </c>
      <c r="DU32" s="569">
        <v>5645</v>
      </c>
      <c r="DV32" s="571"/>
      <c r="DW32" s="572"/>
      <c r="DY32" s="984" t="s">
        <v>107</v>
      </c>
      <c r="DZ32" s="969"/>
      <c r="EA32" s="969"/>
      <c r="EB32" s="969"/>
      <c r="EC32" s="969"/>
      <c r="ED32" s="969"/>
      <c r="EE32" s="970"/>
      <c r="EF32" s="551">
        <v>337559.48197000002</v>
      </c>
      <c r="EG32" s="551">
        <v>335806.37773000001</v>
      </c>
      <c r="EH32" s="551">
        <v>338468.27594999998</v>
      </c>
      <c r="EI32" s="552">
        <v>7.9268840509999997E-3</v>
      </c>
      <c r="EJ32" s="552">
        <v>2.692248414E-3</v>
      </c>
      <c r="EK32" s="551">
        <v>908.79398000005403</v>
      </c>
      <c r="EL32" s="553"/>
      <c r="EM32" s="554"/>
      <c r="EO32" s="544"/>
      <c r="EP32" s="545"/>
      <c r="EQ32" s="545"/>
      <c r="ER32" s="545"/>
      <c r="ES32" s="545"/>
      <c r="ET32" s="545"/>
      <c r="EU32" s="546"/>
      <c r="EV32" s="593" t="s">
        <v>202</v>
      </c>
      <c r="EW32" s="593" t="s">
        <v>211</v>
      </c>
      <c r="EX32" s="593" t="s">
        <v>212</v>
      </c>
      <c r="EY32" s="593" t="s">
        <v>79</v>
      </c>
      <c r="EZ32" s="593" t="s">
        <v>80</v>
      </c>
      <c r="FA32" s="593" t="s">
        <v>81</v>
      </c>
      <c r="FB32" s="593" t="s">
        <v>447</v>
      </c>
      <c r="FC32" s="593" t="s">
        <v>82</v>
      </c>
      <c r="FE32" s="544"/>
      <c r="FF32" s="545"/>
      <c r="FG32" s="545"/>
      <c r="FH32" s="545"/>
      <c r="FI32" s="545"/>
      <c r="FJ32" s="545"/>
      <c r="FK32" s="546"/>
      <c r="FL32" s="593" t="s">
        <v>202</v>
      </c>
      <c r="FM32" s="593" t="s">
        <v>211</v>
      </c>
      <c r="FN32" s="593" t="s">
        <v>212</v>
      </c>
      <c r="FO32" s="593" t="s">
        <v>79</v>
      </c>
      <c r="FP32" s="593" t="s">
        <v>80</v>
      </c>
      <c r="FQ32" s="593" t="s">
        <v>81</v>
      </c>
      <c r="FR32" s="593" t="s">
        <v>447</v>
      </c>
      <c r="FS32" s="593" t="s">
        <v>82</v>
      </c>
      <c r="GL32" s="353">
        <v>1</v>
      </c>
      <c r="GM32" s="353" t="s">
        <v>123</v>
      </c>
      <c r="GN32" s="353">
        <v>6</v>
      </c>
      <c r="GO32" s="353">
        <v>142</v>
      </c>
      <c r="GP32" s="353">
        <v>4</v>
      </c>
      <c r="GQ32" s="353">
        <v>4</v>
      </c>
      <c r="GR32" s="353">
        <v>7</v>
      </c>
      <c r="GS32" s="353">
        <v>7</v>
      </c>
      <c r="GT32" s="353">
        <v>13</v>
      </c>
      <c r="GU32" s="353">
        <v>17</v>
      </c>
      <c r="GV32" s="353">
        <v>9</v>
      </c>
      <c r="GW32" s="353">
        <v>21</v>
      </c>
      <c r="GX32" s="353">
        <v>1</v>
      </c>
      <c r="GY32" s="353">
        <v>2</v>
      </c>
      <c r="GZ32" s="592">
        <v>5</v>
      </c>
      <c r="HA32" s="592">
        <v>1</v>
      </c>
      <c r="HB32" s="592">
        <v>9</v>
      </c>
      <c r="HC32" s="592">
        <v>4</v>
      </c>
      <c r="HD32" s="592">
        <v>12</v>
      </c>
      <c r="HE32" s="592">
        <v>7</v>
      </c>
      <c r="HF32" s="592">
        <v>20</v>
      </c>
      <c r="HG32" s="592">
        <v>17</v>
      </c>
      <c r="HH32" s="592">
        <v>2</v>
      </c>
      <c r="HI32" s="592">
        <v>9</v>
      </c>
      <c r="HJ32" s="592">
        <v>10</v>
      </c>
      <c r="HK32" s="592">
        <v>18</v>
      </c>
      <c r="HL32" s="592">
        <v>8</v>
      </c>
      <c r="HO32" s="592">
        <v>19</v>
      </c>
      <c r="HP32" s="592">
        <v>15</v>
      </c>
      <c r="HQ32" s="592">
        <v>21</v>
      </c>
      <c r="HR32" s="592">
        <v>11</v>
      </c>
      <c r="HS32" s="592">
        <v>8</v>
      </c>
      <c r="HT32" s="592">
        <v>9</v>
      </c>
      <c r="HU32" s="592">
        <v>10</v>
      </c>
      <c r="HV32" s="592">
        <v>14</v>
      </c>
      <c r="HW32" s="721">
        <v>8</v>
      </c>
      <c r="HX32" s="753">
        <v>10</v>
      </c>
      <c r="HY32" s="753">
        <v>11</v>
      </c>
      <c r="HZ32" s="753">
        <v>8</v>
      </c>
      <c r="IA32" s="592">
        <v>3</v>
      </c>
      <c r="IB32" s="828">
        <v>7</v>
      </c>
      <c r="IC32" s="592">
        <v>13</v>
      </c>
      <c r="IV32" s="353">
        <v>1</v>
      </c>
      <c r="IW32" s="353" t="s">
        <v>123</v>
      </c>
      <c r="IX32" s="353">
        <v>4</v>
      </c>
      <c r="IY32" s="353">
        <v>1</v>
      </c>
      <c r="IZ32" s="353">
        <v>3</v>
      </c>
      <c r="JA32" s="592">
        <v>4</v>
      </c>
      <c r="JB32" s="592">
        <v>2</v>
      </c>
      <c r="JC32" s="592">
        <v>5</v>
      </c>
      <c r="JD32" s="592">
        <v>4</v>
      </c>
      <c r="JE32" s="592">
        <v>11</v>
      </c>
      <c r="JF32" s="592">
        <v>8</v>
      </c>
      <c r="JG32" s="592">
        <v>14</v>
      </c>
      <c r="JH32" s="592">
        <v>0</v>
      </c>
      <c r="JI32" s="592">
        <v>2</v>
      </c>
      <c r="JJ32" s="592">
        <v>3</v>
      </c>
      <c r="JK32" s="592">
        <v>0</v>
      </c>
      <c r="JL32" s="592">
        <v>0</v>
      </c>
      <c r="JM32" s="592">
        <v>2</v>
      </c>
      <c r="JN32" s="592">
        <v>0</v>
      </c>
      <c r="JO32" s="592">
        <v>1</v>
      </c>
      <c r="JP32" s="592">
        <v>1</v>
      </c>
      <c r="JQ32" s="592">
        <v>8</v>
      </c>
      <c r="JR32" s="592">
        <v>1</v>
      </c>
      <c r="JS32" s="592">
        <v>5</v>
      </c>
      <c r="JT32" s="592">
        <v>2</v>
      </c>
      <c r="JU32" s="592">
        <v>2</v>
      </c>
      <c r="JV32" s="592">
        <v>1</v>
      </c>
      <c r="JW32" s="592">
        <v>5</v>
      </c>
      <c r="JX32" s="592">
        <v>28</v>
      </c>
      <c r="JY32" s="592">
        <v>6</v>
      </c>
      <c r="JZ32" s="592">
        <v>4</v>
      </c>
      <c r="KA32" s="592">
        <v>8</v>
      </c>
      <c r="KB32" s="592">
        <v>13</v>
      </c>
      <c r="KC32" s="592">
        <v>6</v>
      </c>
      <c r="KD32" s="592">
        <v>3</v>
      </c>
      <c r="KE32" s="592">
        <v>2</v>
      </c>
      <c r="KF32" s="592">
        <v>4</v>
      </c>
      <c r="KG32" s="592">
        <v>3</v>
      </c>
      <c r="KH32" s="592">
        <v>1</v>
      </c>
      <c r="KI32" s="721">
        <v>2</v>
      </c>
      <c r="KJ32" s="753">
        <v>2</v>
      </c>
      <c r="KK32" s="753">
        <v>1</v>
      </c>
      <c r="KL32" s="753">
        <v>1</v>
      </c>
      <c r="KM32" s="592">
        <v>3</v>
      </c>
      <c r="KN32" s="828">
        <v>0</v>
      </c>
      <c r="KO32" s="592">
        <v>1</v>
      </c>
    </row>
    <row r="33" spans="1:301" ht="15.6" thickBot="1">
      <c r="A33" s="981" t="s">
        <v>105</v>
      </c>
      <c r="B33" s="982"/>
      <c r="C33" s="982"/>
      <c r="D33" s="982"/>
      <c r="E33" s="982"/>
      <c r="F33" s="982"/>
      <c r="G33" s="983"/>
      <c r="H33" s="547">
        <v>45260903.024130002</v>
      </c>
      <c r="I33" s="547">
        <v>44685541.216880001</v>
      </c>
      <c r="J33" s="547">
        <v>44431593.507380001</v>
      </c>
      <c r="K33" s="548">
        <v>-5.682995049E-3</v>
      </c>
      <c r="L33" s="548">
        <v>-1.8322867228E-2</v>
      </c>
      <c r="M33" s="547">
        <v>-829309.51674999995</v>
      </c>
      <c r="N33" s="549"/>
      <c r="O33" s="550"/>
      <c r="Q33" s="981" t="s">
        <v>105</v>
      </c>
      <c r="R33" s="982"/>
      <c r="S33" s="982"/>
      <c r="T33" s="982"/>
      <c r="U33" s="982"/>
      <c r="V33" s="982"/>
      <c r="W33" s="983"/>
      <c r="X33" s="547">
        <v>164009148.76565999</v>
      </c>
      <c r="Y33" s="547">
        <v>163706567.16165999</v>
      </c>
      <c r="Z33" s="547">
        <v>164245526.04466</v>
      </c>
      <c r="AA33" s="548">
        <v>3.2922251819999999E-3</v>
      </c>
      <c r="AB33" s="548">
        <v>1.441244471E-3</v>
      </c>
      <c r="AC33" s="547">
        <v>236377.278999995</v>
      </c>
      <c r="AD33" s="549"/>
      <c r="AE33" s="550"/>
      <c r="AG33" s="981" t="s">
        <v>105</v>
      </c>
      <c r="AH33" s="982"/>
      <c r="AI33" s="982"/>
      <c r="AJ33" s="982"/>
      <c r="AK33" s="982"/>
      <c r="AL33" s="982"/>
      <c r="AM33" s="983"/>
      <c r="AN33" s="547">
        <v>336301502.49981999</v>
      </c>
      <c r="AO33" s="547">
        <v>340534561.98462999</v>
      </c>
      <c r="AP33" s="547">
        <v>345255094.94590998</v>
      </c>
      <c r="AQ33" s="548">
        <v>1.3862125869E-2</v>
      </c>
      <c r="AR33" s="548">
        <v>2.6623706345000001E-2</v>
      </c>
      <c r="AS33" s="547">
        <v>8953592.4460899998</v>
      </c>
      <c r="AT33" s="549"/>
      <c r="AU33" s="550"/>
      <c r="AW33" s="984" t="s">
        <v>106</v>
      </c>
      <c r="AX33" s="969"/>
      <c r="AY33" s="969"/>
      <c r="AZ33" s="969"/>
      <c r="BA33" s="969"/>
      <c r="BB33" s="969"/>
      <c r="BC33" s="970"/>
      <c r="BD33" s="551">
        <v>131566649.42767</v>
      </c>
      <c r="BE33" s="551">
        <v>131432721.7555</v>
      </c>
      <c r="BF33" s="551">
        <v>132125725.859</v>
      </c>
      <c r="BG33" s="552">
        <v>5.2726908049999998E-3</v>
      </c>
      <c r="BH33" s="552">
        <v>4.2493780430000001E-3</v>
      </c>
      <c r="BI33" s="551">
        <v>559076.43133000995</v>
      </c>
      <c r="BJ33" s="553"/>
      <c r="BK33" s="554"/>
      <c r="BM33" s="981" t="s">
        <v>105</v>
      </c>
      <c r="BN33" s="982"/>
      <c r="BO33" s="982"/>
      <c r="BP33" s="982"/>
      <c r="BQ33" s="982"/>
      <c r="BR33" s="982"/>
      <c r="BS33" s="983"/>
      <c r="BT33" s="547">
        <v>18298284.559999999</v>
      </c>
      <c r="BU33" s="547">
        <v>18364405.977000002</v>
      </c>
      <c r="BV33" s="547">
        <v>18345852.18</v>
      </c>
      <c r="BW33" s="548">
        <v>-1.0103129399999999E-3</v>
      </c>
      <c r="BX33" s="548">
        <v>2.5995671799999998E-3</v>
      </c>
      <c r="BY33" s="547">
        <v>47567.62</v>
      </c>
      <c r="BZ33" s="549"/>
      <c r="CA33" s="550"/>
      <c r="CC33" s="981" t="s">
        <v>105</v>
      </c>
      <c r="CD33" s="982"/>
      <c r="CE33" s="982"/>
      <c r="CF33" s="982"/>
      <c r="CG33" s="982"/>
      <c r="CH33" s="982"/>
      <c r="CI33" s="983"/>
      <c r="CJ33" s="547">
        <v>878765.66315000004</v>
      </c>
      <c r="CK33" s="547">
        <v>873510.98589999997</v>
      </c>
      <c r="CL33" s="547">
        <v>887663.57982000103</v>
      </c>
      <c r="CM33" s="548">
        <v>1.6201964425999998E-2</v>
      </c>
      <c r="CN33" s="548">
        <v>1.0125471491E-2</v>
      </c>
      <c r="CO33" s="547">
        <v>8897.9166699999496</v>
      </c>
      <c r="CP33" s="549"/>
      <c r="CQ33" s="550"/>
      <c r="CS33" s="984" t="s">
        <v>107</v>
      </c>
      <c r="CT33" s="969"/>
      <c r="CU33" s="969"/>
      <c r="CV33" s="969"/>
      <c r="CW33" s="969"/>
      <c r="CX33" s="969"/>
      <c r="CY33" s="970"/>
      <c r="CZ33" s="551">
        <v>65845620.092</v>
      </c>
      <c r="DA33" s="551">
        <v>69047299.841999993</v>
      </c>
      <c r="DB33" s="551">
        <v>68419084.113999993</v>
      </c>
      <c r="DC33" s="552">
        <v>-9.0983388110000007E-3</v>
      </c>
      <c r="DD33" s="552">
        <v>3.9083298454E-2</v>
      </c>
      <c r="DE33" s="551">
        <v>2573464.0219999901</v>
      </c>
      <c r="DF33" s="553"/>
      <c r="DG33" s="554"/>
      <c r="DI33" s="975" t="s">
        <v>104</v>
      </c>
      <c r="DJ33" s="976"/>
      <c r="DK33" s="976"/>
      <c r="DL33" s="976"/>
      <c r="DM33" s="976"/>
      <c r="DN33" s="976"/>
      <c r="DO33" s="976"/>
      <c r="DP33" s="976"/>
      <c r="DQ33" s="976"/>
      <c r="DR33" s="976"/>
      <c r="DS33" s="976"/>
      <c r="DT33" s="976"/>
      <c r="DU33" s="976"/>
      <c r="DV33" s="976"/>
      <c r="DW33" s="976"/>
      <c r="DY33" s="985" t="s">
        <v>108</v>
      </c>
      <c r="DZ33" s="986"/>
      <c r="EA33" s="986"/>
      <c r="EB33" s="986"/>
      <c r="EC33" s="986"/>
      <c r="ED33" s="986"/>
      <c r="EE33" s="987"/>
      <c r="EF33" s="547">
        <v>2604830.98367</v>
      </c>
      <c r="EG33" s="547">
        <v>2655084.5520700002</v>
      </c>
      <c r="EH33" s="547">
        <v>2722591.3953200001</v>
      </c>
      <c r="EI33" s="548">
        <v>2.5425496599000001E-2</v>
      </c>
      <c r="EJ33" s="548">
        <v>4.5208465496000001E-2</v>
      </c>
      <c r="EK33" s="547">
        <v>117760.41164999999</v>
      </c>
      <c r="EL33" s="549"/>
      <c r="EM33" s="550"/>
      <c r="EO33" s="981" t="s">
        <v>105</v>
      </c>
      <c r="EP33" s="982"/>
      <c r="EQ33" s="982"/>
      <c r="ER33" s="982"/>
      <c r="ES33" s="982"/>
      <c r="ET33" s="982"/>
      <c r="EU33" s="983"/>
      <c r="EV33" s="547">
        <v>172405617.07640001</v>
      </c>
      <c r="EW33" s="547">
        <v>172915709.75139999</v>
      </c>
      <c r="EX33" s="547">
        <v>173640731.3779</v>
      </c>
      <c r="EY33" s="548">
        <v>4.1929193560000001E-3</v>
      </c>
      <c r="EZ33" s="548">
        <v>7.164002672E-3</v>
      </c>
      <c r="FA33" s="547">
        <v>1235114.30149999</v>
      </c>
      <c r="FB33" s="549"/>
      <c r="FC33" s="550"/>
      <c r="FE33" s="981" t="s">
        <v>105</v>
      </c>
      <c r="FF33" s="982"/>
      <c r="FG33" s="982"/>
      <c r="FH33" s="982"/>
      <c r="FI33" s="982"/>
      <c r="FJ33" s="982"/>
      <c r="FK33" s="983"/>
      <c r="FL33" s="547">
        <v>26061343.67221</v>
      </c>
      <c r="FM33" s="547">
        <v>25915332.207789999</v>
      </c>
      <c r="FN33" s="547">
        <v>26878579.305709999</v>
      </c>
      <c r="FO33" s="548">
        <v>3.716900444E-2</v>
      </c>
      <c r="FP33" s="548">
        <v>3.1358154197999998E-2</v>
      </c>
      <c r="FQ33" s="547">
        <v>817235.6335</v>
      </c>
      <c r="FR33" s="549"/>
      <c r="FS33" s="550"/>
      <c r="GG33" s="592">
        <f>SUM(Source!GH3:GH13)/'Tableau détaillé'!G85</f>
        <v>0.58820980718112237</v>
      </c>
      <c r="GL33" s="353">
        <v>2</v>
      </c>
      <c r="GM33" s="353" t="s">
        <v>124</v>
      </c>
      <c r="GN33" s="353">
        <v>11</v>
      </c>
      <c r="GO33" s="353">
        <v>13</v>
      </c>
      <c r="GP33" s="353">
        <v>14</v>
      </c>
      <c r="GQ33" s="353">
        <v>21</v>
      </c>
      <c r="GR33" s="353">
        <v>8</v>
      </c>
      <c r="GS33" s="353">
        <v>8</v>
      </c>
      <c r="GT33" s="353">
        <v>7</v>
      </c>
      <c r="GU33" s="353">
        <v>9</v>
      </c>
      <c r="GV33" s="353">
        <v>6</v>
      </c>
      <c r="GW33" s="353">
        <v>1</v>
      </c>
      <c r="GX33" s="353">
        <v>4</v>
      </c>
      <c r="GY33" s="353">
        <v>1</v>
      </c>
      <c r="GZ33" s="592">
        <v>3</v>
      </c>
      <c r="HA33" s="592">
        <v>6</v>
      </c>
      <c r="HB33" s="592">
        <v>6</v>
      </c>
      <c r="HC33" s="592">
        <v>3</v>
      </c>
      <c r="HD33" s="592">
        <v>2</v>
      </c>
      <c r="HE33" s="592">
        <v>8</v>
      </c>
      <c r="HF33" s="592">
        <v>9</v>
      </c>
      <c r="HG33" s="592">
        <v>5</v>
      </c>
      <c r="HH33" s="592">
        <v>2</v>
      </c>
      <c r="HI33" s="592">
        <v>3</v>
      </c>
      <c r="HJ33" s="592">
        <v>4</v>
      </c>
      <c r="HK33" s="592">
        <v>9</v>
      </c>
      <c r="HL33" s="592">
        <v>4</v>
      </c>
      <c r="HO33" s="592">
        <v>9</v>
      </c>
      <c r="HP33" s="592">
        <v>6</v>
      </c>
      <c r="HQ33" s="592">
        <v>12</v>
      </c>
      <c r="HR33" s="592">
        <v>1</v>
      </c>
      <c r="HS33" s="592">
        <v>1</v>
      </c>
      <c r="HT33" s="592">
        <v>2</v>
      </c>
      <c r="HU33" s="592">
        <v>1</v>
      </c>
      <c r="HV33" s="592">
        <v>8</v>
      </c>
      <c r="HW33" s="721">
        <v>10</v>
      </c>
      <c r="HX33" s="753">
        <v>9</v>
      </c>
      <c r="HY33" s="753">
        <v>2</v>
      </c>
      <c r="HZ33" s="753">
        <v>3</v>
      </c>
      <c r="IA33" s="592">
        <v>0</v>
      </c>
      <c r="IB33" s="828">
        <v>3</v>
      </c>
      <c r="IC33" s="592">
        <v>12</v>
      </c>
      <c r="IV33" s="353">
        <v>2</v>
      </c>
      <c r="IW33" s="353" t="s">
        <v>124</v>
      </c>
      <c r="IX33" s="353">
        <v>8</v>
      </c>
      <c r="IY33" s="353">
        <v>11</v>
      </c>
      <c r="IZ33" s="353">
        <v>11</v>
      </c>
      <c r="JA33" s="592">
        <v>8</v>
      </c>
      <c r="JB33" s="592">
        <v>3</v>
      </c>
      <c r="JC33" s="592">
        <v>3</v>
      </c>
      <c r="JD33" s="592">
        <v>4</v>
      </c>
      <c r="JE33" s="592">
        <v>4</v>
      </c>
      <c r="JF33" s="592">
        <v>1</v>
      </c>
      <c r="JG33" s="592">
        <v>1</v>
      </c>
      <c r="JH33" s="592">
        <v>4</v>
      </c>
      <c r="JI33" s="592">
        <v>1</v>
      </c>
      <c r="JJ33" s="592">
        <v>0</v>
      </c>
      <c r="JK33" s="592">
        <v>5</v>
      </c>
      <c r="JL33" s="592">
        <v>2</v>
      </c>
      <c r="JM33" s="592">
        <v>2</v>
      </c>
      <c r="JN33" s="592">
        <v>2</v>
      </c>
      <c r="JO33" s="592">
        <v>2</v>
      </c>
      <c r="JP33" s="592">
        <v>0</v>
      </c>
      <c r="JQ33" s="592">
        <v>6</v>
      </c>
      <c r="JR33" s="592">
        <v>1</v>
      </c>
      <c r="JS33" s="592">
        <v>1</v>
      </c>
      <c r="JT33" s="592">
        <v>1</v>
      </c>
      <c r="JU33" s="592">
        <v>2</v>
      </c>
      <c r="JV33" s="592">
        <v>0</v>
      </c>
      <c r="JW33" s="592">
        <v>8</v>
      </c>
      <c r="JX33" s="592">
        <v>3</v>
      </c>
      <c r="JY33" s="592">
        <v>0</v>
      </c>
      <c r="JZ33" s="592">
        <v>0</v>
      </c>
      <c r="KA33" s="592">
        <v>2</v>
      </c>
      <c r="KB33" s="592">
        <v>0</v>
      </c>
      <c r="KC33" s="592">
        <v>1</v>
      </c>
      <c r="KD33" s="592">
        <v>1</v>
      </c>
      <c r="KE33" s="592">
        <v>0</v>
      </c>
      <c r="KF33" s="592">
        <v>4</v>
      </c>
      <c r="KG33" s="592">
        <v>4</v>
      </c>
      <c r="KH33" s="592">
        <v>6</v>
      </c>
      <c r="KI33" s="721">
        <v>1</v>
      </c>
      <c r="KJ33" s="753">
        <v>4</v>
      </c>
      <c r="KK33" s="753">
        <v>0</v>
      </c>
      <c r="KL33" s="753">
        <v>1</v>
      </c>
      <c r="KM33" s="592">
        <v>2</v>
      </c>
      <c r="KN33" s="828">
        <v>2</v>
      </c>
      <c r="KO33" s="592">
        <v>0</v>
      </c>
    </row>
    <row r="34" spans="1:301" ht="15.6" thickBot="1">
      <c r="A34" s="984" t="s">
        <v>106</v>
      </c>
      <c r="B34" s="969"/>
      <c r="C34" s="969"/>
      <c r="D34" s="969"/>
      <c r="E34" s="969"/>
      <c r="F34" s="969"/>
      <c r="G34" s="970"/>
      <c r="H34" s="551">
        <v>43005379.75513</v>
      </c>
      <c r="I34" s="551">
        <v>42458949.672880001</v>
      </c>
      <c r="J34" s="551">
        <v>42210788.358379997</v>
      </c>
      <c r="K34" s="552">
        <v>-5.8447351239999997E-3</v>
      </c>
      <c r="L34" s="552">
        <v>-1.8476558077999999E-2</v>
      </c>
      <c r="M34" s="551">
        <v>-794591.39674999996</v>
      </c>
      <c r="N34" s="553"/>
      <c r="O34" s="554"/>
      <c r="Q34" s="984" t="s">
        <v>106</v>
      </c>
      <c r="R34" s="969"/>
      <c r="S34" s="969"/>
      <c r="T34" s="969"/>
      <c r="U34" s="969"/>
      <c r="V34" s="969"/>
      <c r="W34" s="970"/>
      <c r="X34" s="551">
        <v>156686867.56132999</v>
      </c>
      <c r="Y34" s="551">
        <v>156195722.26032999</v>
      </c>
      <c r="Z34" s="551">
        <v>156412367.12632999</v>
      </c>
      <c r="AA34" s="552">
        <v>1.387008958E-3</v>
      </c>
      <c r="AB34" s="552">
        <v>-1.7519045420000001E-3</v>
      </c>
      <c r="AC34" s="551">
        <v>-274500.43499998603</v>
      </c>
      <c r="AD34" s="553"/>
      <c r="AE34" s="554"/>
      <c r="AG34" s="984" t="s">
        <v>106</v>
      </c>
      <c r="AH34" s="969"/>
      <c r="AI34" s="969"/>
      <c r="AJ34" s="969"/>
      <c r="AK34" s="969"/>
      <c r="AL34" s="969"/>
      <c r="AM34" s="970"/>
      <c r="AN34" s="551">
        <v>288871917.33781999</v>
      </c>
      <c r="AO34" s="551">
        <v>292709784.48623002</v>
      </c>
      <c r="AP34" s="551">
        <v>297266762.09191</v>
      </c>
      <c r="AQ34" s="552">
        <v>1.5568244885999999E-2</v>
      </c>
      <c r="AR34" s="552">
        <v>2.9060785248000001E-2</v>
      </c>
      <c r="AS34" s="551">
        <v>8394844.7540900204</v>
      </c>
      <c r="AT34" s="553"/>
      <c r="AU34" s="554"/>
      <c r="AW34" s="984" t="s">
        <v>107</v>
      </c>
      <c r="AX34" s="969"/>
      <c r="AY34" s="969"/>
      <c r="AZ34" s="969"/>
      <c r="BA34" s="969"/>
      <c r="BB34" s="969"/>
      <c r="BC34" s="970"/>
      <c r="BD34" s="551">
        <v>5076226.3710000003</v>
      </c>
      <c r="BE34" s="551">
        <v>5073008.1859999998</v>
      </c>
      <c r="BF34" s="551">
        <v>5115669.9579999996</v>
      </c>
      <c r="BG34" s="552">
        <v>8.4095610399999993E-3</v>
      </c>
      <c r="BH34" s="552">
        <v>7.7702576899999999E-3</v>
      </c>
      <c r="BI34" s="551">
        <v>39443.586999999301</v>
      </c>
      <c r="BJ34" s="553"/>
      <c r="BK34" s="554"/>
      <c r="BM34" s="984" t="s">
        <v>106</v>
      </c>
      <c r="BN34" s="969"/>
      <c r="BO34" s="969"/>
      <c r="BP34" s="969"/>
      <c r="BQ34" s="969"/>
      <c r="BR34" s="969"/>
      <c r="BS34" s="970"/>
      <c r="BT34" s="551">
        <v>15518822.497</v>
      </c>
      <c r="BU34" s="551">
        <v>15547741.944</v>
      </c>
      <c r="BV34" s="551">
        <v>15465056.754000001</v>
      </c>
      <c r="BW34" s="552">
        <v>-5.3181478239999998E-3</v>
      </c>
      <c r="BX34" s="552">
        <v>-3.4645504199999999E-3</v>
      </c>
      <c r="BY34" s="551">
        <v>-53765.743000000199</v>
      </c>
      <c r="BZ34" s="553"/>
      <c r="CA34" s="554"/>
      <c r="CC34" s="984" t="s">
        <v>106</v>
      </c>
      <c r="CD34" s="969"/>
      <c r="CE34" s="969"/>
      <c r="CF34" s="969"/>
      <c r="CG34" s="969"/>
      <c r="CH34" s="969"/>
      <c r="CI34" s="970"/>
      <c r="CJ34" s="551">
        <v>848764.90251000004</v>
      </c>
      <c r="CK34" s="551">
        <v>842563.80747</v>
      </c>
      <c r="CL34" s="551">
        <v>856320.35268000001</v>
      </c>
      <c r="CM34" s="552">
        <v>1.6327007032000001E-2</v>
      </c>
      <c r="CN34" s="552">
        <v>8.9016995720000002E-3</v>
      </c>
      <c r="CO34" s="551">
        <v>7555.45016999993</v>
      </c>
      <c r="CP34" s="553"/>
      <c r="CQ34" s="554"/>
      <c r="CS34" s="985" t="s">
        <v>108</v>
      </c>
      <c r="CT34" s="986"/>
      <c r="CU34" s="986"/>
      <c r="CV34" s="986"/>
      <c r="CW34" s="986"/>
      <c r="CX34" s="986"/>
      <c r="CY34" s="987"/>
      <c r="CZ34" s="547">
        <v>1438438609.58901</v>
      </c>
      <c r="DA34" s="547">
        <v>1475100952.7302499</v>
      </c>
      <c r="DB34" s="547">
        <v>1462025551.5971601</v>
      </c>
      <c r="DC34" s="548">
        <v>-8.8640720539999995E-3</v>
      </c>
      <c r="DD34" s="548">
        <v>1.6397600738999998E-2</v>
      </c>
      <c r="DE34" s="547">
        <v>23586942.00815</v>
      </c>
      <c r="DF34" s="549"/>
      <c r="DG34" s="550"/>
      <c r="DI34" s="544"/>
      <c r="DJ34" s="545"/>
      <c r="DK34" s="545"/>
      <c r="DL34" s="545"/>
      <c r="DM34" s="545"/>
      <c r="DN34" s="545"/>
      <c r="DO34" s="546"/>
      <c r="DP34" s="593" t="s">
        <v>202</v>
      </c>
      <c r="DQ34" s="593" t="s">
        <v>211</v>
      </c>
      <c r="DR34" s="593" t="s">
        <v>212</v>
      </c>
      <c r="DS34" s="593" t="s">
        <v>79</v>
      </c>
      <c r="DT34" s="593" t="s">
        <v>80</v>
      </c>
      <c r="DU34" s="593" t="s">
        <v>81</v>
      </c>
      <c r="DV34" s="593" t="s">
        <v>447</v>
      </c>
      <c r="DW34" s="593" t="s">
        <v>82</v>
      </c>
      <c r="DY34" s="984" t="s">
        <v>109</v>
      </c>
      <c r="DZ34" s="969"/>
      <c r="EA34" s="969"/>
      <c r="EB34" s="969"/>
      <c r="EC34" s="969"/>
      <c r="ED34" s="969"/>
      <c r="EE34" s="970"/>
      <c r="EF34" s="551">
        <v>1436340.6574899999</v>
      </c>
      <c r="EG34" s="551">
        <v>1477198.9173300001</v>
      </c>
      <c r="EH34" s="551">
        <v>1484033.6198499999</v>
      </c>
      <c r="EI34" s="552">
        <v>4.6267990310000003E-3</v>
      </c>
      <c r="EJ34" s="552">
        <v>3.3204492340000002E-2</v>
      </c>
      <c r="EK34" s="551">
        <v>47692.9623600001</v>
      </c>
      <c r="EL34" s="553"/>
      <c r="EM34" s="554"/>
      <c r="EO34" s="984" t="s">
        <v>106</v>
      </c>
      <c r="EP34" s="969"/>
      <c r="EQ34" s="969"/>
      <c r="ER34" s="969"/>
      <c r="ES34" s="969"/>
      <c r="ET34" s="969"/>
      <c r="EU34" s="970"/>
      <c r="EV34" s="551">
        <v>150585082.04539999</v>
      </c>
      <c r="EW34" s="551">
        <v>151163410.61340001</v>
      </c>
      <c r="EX34" s="551">
        <v>151789223.7349</v>
      </c>
      <c r="EY34" s="552">
        <v>4.1399775180000001E-3</v>
      </c>
      <c r="EZ34" s="552">
        <v>7.9964208480000007E-3</v>
      </c>
      <c r="FA34" s="551">
        <v>1204141.6895000001</v>
      </c>
      <c r="FB34" s="553"/>
      <c r="FC34" s="554"/>
      <c r="FE34" s="984" t="s">
        <v>106</v>
      </c>
      <c r="FF34" s="969"/>
      <c r="FG34" s="969"/>
      <c r="FH34" s="969"/>
      <c r="FI34" s="969"/>
      <c r="FJ34" s="969"/>
      <c r="FK34" s="970"/>
      <c r="FL34" s="551">
        <v>23069502.818240002</v>
      </c>
      <c r="FM34" s="551">
        <v>22957390.858240001</v>
      </c>
      <c r="FN34" s="551">
        <v>23894488.894159999</v>
      </c>
      <c r="FO34" s="552">
        <v>4.0819013001E-2</v>
      </c>
      <c r="FP34" s="552">
        <v>3.5760895342999997E-2</v>
      </c>
      <c r="FQ34" s="551">
        <v>824986.07591999997</v>
      </c>
      <c r="FR34" s="553"/>
      <c r="FS34" s="554"/>
      <c r="GL34" s="353">
        <v>3</v>
      </c>
      <c r="GM34" s="353" t="s">
        <v>131</v>
      </c>
      <c r="GN34" s="353">
        <v>10</v>
      </c>
      <c r="GO34" s="353">
        <v>14</v>
      </c>
      <c r="GP34" s="353">
        <v>10</v>
      </c>
      <c r="GQ34" s="353">
        <v>12</v>
      </c>
      <c r="GR34" s="353">
        <v>15</v>
      </c>
      <c r="GS34" s="353">
        <v>12</v>
      </c>
      <c r="GT34" s="353">
        <v>5</v>
      </c>
      <c r="GU34" s="353">
        <v>11</v>
      </c>
      <c r="GV34" s="353">
        <v>85</v>
      </c>
      <c r="GW34" s="353">
        <v>50</v>
      </c>
      <c r="GX34" s="353">
        <v>28</v>
      </c>
      <c r="GY34" s="353">
        <v>9</v>
      </c>
      <c r="GZ34" s="592">
        <v>13</v>
      </c>
      <c r="HA34" s="592">
        <v>13</v>
      </c>
      <c r="HB34" s="592">
        <v>47</v>
      </c>
      <c r="HC34" s="592">
        <v>7</v>
      </c>
      <c r="HD34" s="592">
        <v>7</v>
      </c>
      <c r="HE34" s="592">
        <v>21</v>
      </c>
      <c r="HF34" s="592">
        <v>13</v>
      </c>
      <c r="HG34" s="592">
        <v>11</v>
      </c>
      <c r="HH34" s="592">
        <v>14</v>
      </c>
      <c r="HI34" s="592">
        <v>13</v>
      </c>
      <c r="HJ34" s="592">
        <v>4</v>
      </c>
      <c r="HK34" s="592">
        <v>26</v>
      </c>
      <c r="HL34" s="592">
        <v>11</v>
      </c>
      <c r="HO34" s="592">
        <v>7</v>
      </c>
      <c r="HP34" s="592">
        <v>14</v>
      </c>
      <c r="HQ34" s="592">
        <v>8</v>
      </c>
      <c r="HR34" s="592">
        <v>14</v>
      </c>
      <c r="HS34" s="592">
        <v>12</v>
      </c>
      <c r="HT34" s="592">
        <v>3</v>
      </c>
      <c r="HU34" s="592">
        <v>10</v>
      </c>
      <c r="HV34" s="592">
        <v>12</v>
      </c>
      <c r="HW34" s="721">
        <v>12</v>
      </c>
      <c r="HX34" s="753">
        <v>5</v>
      </c>
      <c r="HY34" s="753">
        <v>21</v>
      </c>
      <c r="HZ34" s="753">
        <v>31</v>
      </c>
      <c r="IA34" s="592">
        <v>5</v>
      </c>
      <c r="IB34" s="828">
        <v>1</v>
      </c>
      <c r="IC34" s="592">
        <v>8</v>
      </c>
      <c r="IV34" s="353">
        <v>3</v>
      </c>
      <c r="IW34" s="353" t="s">
        <v>131</v>
      </c>
      <c r="IX34" s="353">
        <v>5</v>
      </c>
      <c r="IY34" s="353">
        <v>10</v>
      </c>
      <c r="IZ34" s="353">
        <v>7</v>
      </c>
      <c r="JA34" s="592">
        <v>10</v>
      </c>
      <c r="JB34" s="592">
        <v>13</v>
      </c>
      <c r="JC34" s="592">
        <v>11</v>
      </c>
      <c r="JD34" s="592">
        <v>4</v>
      </c>
      <c r="JE34" s="592">
        <v>7</v>
      </c>
      <c r="JF34" s="592">
        <v>17</v>
      </c>
      <c r="JG34" s="592">
        <v>8</v>
      </c>
      <c r="JH34" s="592">
        <v>8</v>
      </c>
      <c r="JI34" s="592">
        <v>6</v>
      </c>
      <c r="JJ34" s="592">
        <v>9</v>
      </c>
      <c r="JK34" s="592">
        <v>5</v>
      </c>
      <c r="JL34" s="592">
        <v>45</v>
      </c>
      <c r="JM34" s="592">
        <v>7</v>
      </c>
      <c r="JN34" s="592">
        <v>5</v>
      </c>
      <c r="JO34" s="592">
        <v>17</v>
      </c>
      <c r="JP34" s="592">
        <v>8</v>
      </c>
      <c r="JQ34" s="592">
        <v>5</v>
      </c>
      <c r="JR34" s="592">
        <v>9</v>
      </c>
      <c r="JS34" s="592">
        <v>9</v>
      </c>
      <c r="JT34" s="592">
        <v>3</v>
      </c>
      <c r="JU34" s="592">
        <v>3</v>
      </c>
      <c r="JV34" s="592">
        <v>8</v>
      </c>
      <c r="JW34" s="592">
        <v>10</v>
      </c>
      <c r="JX34" s="592">
        <v>9</v>
      </c>
      <c r="JY34" s="592">
        <v>7</v>
      </c>
      <c r="JZ34" s="592">
        <v>13</v>
      </c>
      <c r="KA34" s="592">
        <v>13</v>
      </c>
      <c r="KB34" s="592">
        <v>11</v>
      </c>
      <c r="KC34" s="592">
        <v>10</v>
      </c>
      <c r="KD34" s="592">
        <v>2</v>
      </c>
      <c r="KE34" s="592">
        <v>9</v>
      </c>
      <c r="KF34" s="592">
        <v>6</v>
      </c>
      <c r="KG34" s="592">
        <v>7</v>
      </c>
      <c r="KH34" s="592">
        <v>4</v>
      </c>
      <c r="KI34" s="721">
        <v>17</v>
      </c>
      <c r="KJ34" s="753">
        <v>28</v>
      </c>
      <c r="KK34" s="753">
        <v>5</v>
      </c>
      <c r="KL34" s="753">
        <v>3</v>
      </c>
      <c r="KM34" s="592">
        <v>1</v>
      </c>
      <c r="KN34" s="828">
        <v>2</v>
      </c>
      <c r="KO34" s="592">
        <v>6</v>
      </c>
    </row>
    <row r="35" spans="1:301" ht="15" thickBot="1">
      <c r="A35" s="984" t="s">
        <v>107</v>
      </c>
      <c r="B35" s="969"/>
      <c r="C35" s="969"/>
      <c r="D35" s="969"/>
      <c r="E35" s="969"/>
      <c r="F35" s="969"/>
      <c r="G35" s="970"/>
      <c r="H35" s="551">
        <v>2418631.0750000002</v>
      </c>
      <c r="I35" s="551">
        <v>2389041.7719999999</v>
      </c>
      <c r="J35" s="551">
        <v>2384108.9920000001</v>
      </c>
      <c r="K35" s="552">
        <v>-2.0647525110000001E-3</v>
      </c>
      <c r="L35" s="552">
        <v>-1.4273397607000001E-2</v>
      </c>
      <c r="M35" s="551">
        <v>-34522.082999999999</v>
      </c>
      <c r="N35" s="553"/>
      <c r="O35" s="554"/>
      <c r="Q35" s="984" t="s">
        <v>107</v>
      </c>
      <c r="R35" s="969"/>
      <c r="S35" s="969"/>
      <c r="T35" s="969"/>
      <c r="U35" s="969"/>
      <c r="V35" s="969"/>
      <c r="W35" s="970"/>
      <c r="X35" s="551">
        <v>7751372.2523299996</v>
      </c>
      <c r="Y35" s="551">
        <v>7910009.8843299998</v>
      </c>
      <c r="Z35" s="551">
        <v>8220911.5493299998</v>
      </c>
      <c r="AA35" s="552">
        <v>3.9304839001E-2</v>
      </c>
      <c r="AB35" s="552">
        <v>6.0574990042000003E-2</v>
      </c>
      <c r="AC35" s="551">
        <v>469539.29700000101</v>
      </c>
      <c r="AD35" s="553"/>
      <c r="AE35" s="554"/>
      <c r="AG35" s="984" t="s">
        <v>107</v>
      </c>
      <c r="AH35" s="969"/>
      <c r="AI35" s="969"/>
      <c r="AJ35" s="969"/>
      <c r="AK35" s="969"/>
      <c r="AL35" s="969"/>
      <c r="AM35" s="970"/>
      <c r="AN35" s="551">
        <v>47480984.452</v>
      </c>
      <c r="AO35" s="551">
        <v>47876176.788400002</v>
      </c>
      <c r="AP35" s="551">
        <v>48039732.144000001</v>
      </c>
      <c r="AQ35" s="552">
        <v>3.4162158830000002E-3</v>
      </c>
      <c r="AR35" s="552">
        <v>1.1767820284999999E-2</v>
      </c>
      <c r="AS35" s="551">
        <v>558747.69199999899</v>
      </c>
      <c r="AT35" s="553"/>
      <c r="AU35" s="554"/>
      <c r="AW35" s="985" t="s">
        <v>108</v>
      </c>
      <c r="AX35" s="986"/>
      <c r="AY35" s="986"/>
      <c r="AZ35" s="986"/>
      <c r="BA35" s="986"/>
      <c r="BB35" s="986"/>
      <c r="BC35" s="987"/>
      <c r="BD35" s="547">
        <v>296654663.07916999</v>
      </c>
      <c r="BE35" s="547">
        <v>299201526.83117002</v>
      </c>
      <c r="BF35" s="547">
        <v>302711101.33149999</v>
      </c>
      <c r="BG35" s="548">
        <v>1.172980144E-2</v>
      </c>
      <c r="BH35" s="548">
        <v>2.0415786455000001E-2</v>
      </c>
      <c r="BI35" s="547">
        <v>6056438.25232998</v>
      </c>
      <c r="BJ35" s="549"/>
      <c r="BK35" s="550"/>
      <c r="BM35" s="984" t="s">
        <v>107</v>
      </c>
      <c r="BN35" s="969"/>
      <c r="BO35" s="969"/>
      <c r="BP35" s="969"/>
      <c r="BQ35" s="969"/>
      <c r="BR35" s="969"/>
      <c r="BS35" s="970"/>
      <c r="BT35" s="551">
        <v>2858308.1460000002</v>
      </c>
      <c r="BU35" s="551">
        <v>2894733.8339999998</v>
      </c>
      <c r="BV35" s="551">
        <v>2958105.7080000001</v>
      </c>
      <c r="BW35" s="552">
        <v>2.1892124676000001E-2</v>
      </c>
      <c r="BX35" s="552">
        <v>3.4914906615999997E-2</v>
      </c>
      <c r="BY35" s="551">
        <v>99797.562000000005</v>
      </c>
      <c r="BZ35" s="553"/>
      <c r="CA35" s="554"/>
      <c r="CC35" s="984" t="s">
        <v>107</v>
      </c>
      <c r="CD35" s="969"/>
      <c r="CE35" s="969"/>
      <c r="CF35" s="969"/>
      <c r="CG35" s="969"/>
      <c r="CH35" s="969"/>
      <c r="CI35" s="970"/>
      <c r="CJ35" s="551">
        <v>30000.76064</v>
      </c>
      <c r="CK35" s="551">
        <v>30947.17843</v>
      </c>
      <c r="CL35" s="551">
        <v>31343.227139999999</v>
      </c>
      <c r="CM35" s="552">
        <v>1.2797570895999999E-2</v>
      </c>
      <c r="CN35" s="552">
        <v>4.4747748768999999E-2</v>
      </c>
      <c r="CO35" s="551">
        <v>1342.4665</v>
      </c>
      <c r="CP35" s="553"/>
      <c r="CQ35" s="554"/>
      <c r="CS35" s="984" t="s">
        <v>109</v>
      </c>
      <c r="CT35" s="969"/>
      <c r="CU35" s="969"/>
      <c r="CV35" s="969"/>
      <c r="CW35" s="969"/>
      <c r="CX35" s="969"/>
      <c r="CY35" s="970"/>
      <c r="CZ35" s="551">
        <v>533891996.38846999</v>
      </c>
      <c r="DA35" s="551">
        <v>570084716.85530996</v>
      </c>
      <c r="DB35" s="551">
        <v>572851423.24966002</v>
      </c>
      <c r="DC35" s="552">
        <v>4.8531495619999997E-3</v>
      </c>
      <c r="DD35" s="552">
        <v>7.2972487178000006E-2</v>
      </c>
      <c r="DE35" s="551">
        <v>38959426.861189999</v>
      </c>
      <c r="DF35" s="553"/>
      <c r="DG35" s="554"/>
      <c r="DI35" s="981" t="s">
        <v>105</v>
      </c>
      <c r="DJ35" s="982"/>
      <c r="DK35" s="982"/>
      <c r="DL35" s="982"/>
      <c r="DM35" s="982"/>
      <c r="DN35" s="982"/>
      <c r="DO35" s="983"/>
      <c r="DP35" s="547">
        <v>683740284.44807994</v>
      </c>
      <c r="DQ35" s="547">
        <v>689002628.92693996</v>
      </c>
      <c r="DR35" s="547">
        <v>699868824.40250003</v>
      </c>
      <c r="DS35" s="548">
        <v>1.5770905682E-2</v>
      </c>
      <c r="DT35" s="548">
        <v>2.3588693428000001E-2</v>
      </c>
      <c r="DU35" s="547">
        <v>16128539.95442</v>
      </c>
      <c r="DV35" s="549"/>
      <c r="DW35" s="550"/>
      <c r="DY35" s="984" t="s">
        <v>110</v>
      </c>
      <c r="DZ35" s="969"/>
      <c r="EA35" s="969"/>
      <c r="EB35" s="969"/>
      <c r="EC35" s="969"/>
      <c r="ED35" s="969"/>
      <c r="EE35" s="970"/>
      <c r="EF35" s="551">
        <v>503664.63617999997</v>
      </c>
      <c r="EG35" s="551">
        <v>513907.63474000001</v>
      </c>
      <c r="EH35" s="551">
        <v>519079.77546999999</v>
      </c>
      <c r="EI35" s="552">
        <v>1.0064339154000001E-2</v>
      </c>
      <c r="EJ35" s="552">
        <v>3.0605959169E-2</v>
      </c>
      <c r="EK35" s="551">
        <v>15415.139289999999</v>
      </c>
      <c r="EL35" s="553"/>
      <c r="EM35" s="554"/>
      <c r="EO35" s="984" t="s">
        <v>107</v>
      </c>
      <c r="EP35" s="969"/>
      <c r="EQ35" s="969"/>
      <c r="ER35" s="969"/>
      <c r="ES35" s="969"/>
      <c r="ET35" s="969"/>
      <c r="EU35" s="970"/>
      <c r="EV35" s="551">
        <v>21820535.030999999</v>
      </c>
      <c r="EW35" s="551">
        <v>21752299.138</v>
      </c>
      <c r="EX35" s="551">
        <v>21851507.642999999</v>
      </c>
      <c r="EY35" s="552">
        <v>4.5608284600000002E-3</v>
      </c>
      <c r="EZ35" s="552">
        <v>1.4194249569999999E-3</v>
      </c>
      <c r="FA35" s="551">
        <v>30972.6120000017</v>
      </c>
      <c r="FB35" s="553"/>
      <c r="FC35" s="554"/>
      <c r="FE35" s="984" t="s">
        <v>107</v>
      </c>
      <c r="FF35" s="969"/>
      <c r="FG35" s="969"/>
      <c r="FH35" s="969"/>
      <c r="FI35" s="969"/>
      <c r="FJ35" s="969"/>
      <c r="FK35" s="970"/>
      <c r="FL35" s="551">
        <v>2994321.8839699998</v>
      </c>
      <c r="FM35" s="551">
        <v>2959632.6705499999</v>
      </c>
      <c r="FN35" s="551">
        <v>2985783.93255</v>
      </c>
      <c r="FO35" s="552">
        <v>8.8359823359999996E-3</v>
      </c>
      <c r="FP35" s="552">
        <v>-2.8513806299999998E-3</v>
      </c>
      <c r="FQ35" s="551">
        <v>-8537.9514199998794</v>
      </c>
      <c r="FR35" s="553"/>
      <c r="FS35" s="554"/>
      <c r="GL35" s="353">
        <v>4</v>
      </c>
      <c r="GM35" s="353" t="s">
        <v>132</v>
      </c>
      <c r="GN35" s="353">
        <v>12</v>
      </c>
      <c r="GO35" s="353">
        <v>7</v>
      </c>
      <c r="GP35" s="353">
        <v>3</v>
      </c>
      <c r="GQ35" s="353">
        <v>4</v>
      </c>
      <c r="GR35" s="353">
        <v>17</v>
      </c>
      <c r="GS35" s="353">
        <v>67</v>
      </c>
      <c r="GT35" s="353">
        <v>18</v>
      </c>
      <c r="GU35" s="353">
        <v>6</v>
      </c>
      <c r="GV35" s="353">
        <v>2</v>
      </c>
      <c r="GW35" s="353">
        <v>13</v>
      </c>
      <c r="GX35" s="353">
        <v>4</v>
      </c>
      <c r="GY35" s="353">
        <v>3</v>
      </c>
      <c r="GZ35" s="592">
        <v>5</v>
      </c>
      <c r="HA35" s="592">
        <v>3</v>
      </c>
      <c r="HB35" s="592">
        <v>1</v>
      </c>
      <c r="HC35" s="592">
        <v>47</v>
      </c>
      <c r="HD35" s="592">
        <v>58</v>
      </c>
      <c r="HE35" s="592">
        <v>17</v>
      </c>
      <c r="HF35" s="592">
        <v>4</v>
      </c>
      <c r="HG35" s="592">
        <v>17</v>
      </c>
      <c r="HH35" s="592">
        <v>210</v>
      </c>
      <c r="HI35" s="592">
        <v>18</v>
      </c>
      <c r="HJ35" s="592">
        <v>17</v>
      </c>
      <c r="HK35" s="592">
        <v>18</v>
      </c>
      <c r="HL35" s="592">
        <v>10</v>
      </c>
      <c r="HO35" s="592">
        <v>1</v>
      </c>
      <c r="HP35" s="592">
        <v>14</v>
      </c>
      <c r="HQ35" s="592">
        <v>68</v>
      </c>
      <c r="HR35" s="592">
        <v>48</v>
      </c>
      <c r="HS35" s="592">
        <v>85</v>
      </c>
      <c r="HT35" s="592">
        <v>112</v>
      </c>
      <c r="HU35" s="592">
        <v>146</v>
      </c>
      <c r="HV35" s="592">
        <v>613</v>
      </c>
      <c r="HW35" s="721">
        <v>187</v>
      </c>
      <c r="HX35" s="753">
        <v>262</v>
      </c>
      <c r="HY35" s="753">
        <v>43</v>
      </c>
      <c r="HZ35" s="753">
        <v>70</v>
      </c>
      <c r="IA35" s="592">
        <v>250</v>
      </c>
      <c r="IB35" s="828">
        <v>62</v>
      </c>
      <c r="IC35" s="592">
        <v>336</v>
      </c>
      <c r="IV35" s="353">
        <v>4</v>
      </c>
      <c r="IW35" s="353" t="s">
        <v>132</v>
      </c>
      <c r="IX35" s="353">
        <v>13</v>
      </c>
      <c r="IY35" s="353">
        <v>6</v>
      </c>
      <c r="IZ35" s="353">
        <v>3</v>
      </c>
      <c r="JA35" s="592">
        <v>3</v>
      </c>
      <c r="JB35" s="592">
        <v>17</v>
      </c>
      <c r="JC35" s="592">
        <v>65</v>
      </c>
      <c r="JD35" s="592">
        <v>6</v>
      </c>
      <c r="JE35" s="592">
        <v>4</v>
      </c>
      <c r="JF35" s="592">
        <v>0</v>
      </c>
      <c r="JG35" s="592">
        <v>12</v>
      </c>
      <c r="JH35" s="592">
        <v>4</v>
      </c>
      <c r="JI35" s="592">
        <v>3</v>
      </c>
      <c r="JJ35" s="592">
        <v>5</v>
      </c>
      <c r="JK35" s="592">
        <v>3</v>
      </c>
      <c r="JL35" s="592">
        <v>4</v>
      </c>
      <c r="JM35" s="592">
        <v>21</v>
      </c>
      <c r="JN35" s="592">
        <v>0</v>
      </c>
      <c r="JO35" s="592">
        <v>6</v>
      </c>
      <c r="JP35" s="592">
        <v>1</v>
      </c>
      <c r="JQ35" s="592">
        <v>2</v>
      </c>
      <c r="JR35" s="592">
        <v>3</v>
      </c>
      <c r="JS35" s="592">
        <v>7</v>
      </c>
      <c r="JT35" s="592">
        <v>12</v>
      </c>
      <c r="JU35" s="592">
        <v>10</v>
      </c>
      <c r="JV35" s="592">
        <v>6</v>
      </c>
      <c r="JW35" s="592">
        <v>9</v>
      </c>
      <c r="JX35" s="592">
        <v>7</v>
      </c>
      <c r="JY35" s="592">
        <v>6</v>
      </c>
      <c r="JZ35" s="592">
        <v>2</v>
      </c>
      <c r="KA35" s="592">
        <v>8</v>
      </c>
      <c r="KB35" s="592">
        <v>20</v>
      </c>
      <c r="KC35" s="592">
        <v>15</v>
      </c>
      <c r="KD35" s="592">
        <v>24</v>
      </c>
      <c r="KE35" s="592">
        <v>78</v>
      </c>
      <c r="KF35" s="592">
        <v>148</v>
      </c>
      <c r="KG35" s="592">
        <v>82</v>
      </c>
      <c r="KH35" s="592">
        <v>44</v>
      </c>
      <c r="KI35" s="721">
        <v>35</v>
      </c>
      <c r="KJ35" s="753">
        <v>73</v>
      </c>
      <c r="KK35" s="753">
        <v>91</v>
      </c>
      <c r="KL35" s="753">
        <v>104</v>
      </c>
      <c r="KM35" s="592">
        <v>57</v>
      </c>
      <c r="KN35" s="828">
        <v>22</v>
      </c>
      <c r="KO35" s="592">
        <v>41</v>
      </c>
    </row>
    <row r="36" spans="1:301" ht="15" thickBot="1">
      <c r="A36" s="985" t="s">
        <v>108</v>
      </c>
      <c r="B36" s="986"/>
      <c r="C36" s="986"/>
      <c r="D36" s="986"/>
      <c r="E36" s="986"/>
      <c r="F36" s="986"/>
      <c r="G36" s="987"/>
      <c r="H36" s="547">
        <v>54780045.334969997</v>
      </c>
      <c r="I36" s="547">
        <v>56582298.938079998</v>
      </c>
      <c r="J36" s="547">
        <v>54788023.66652</v>
      </c>
      <c r="K36" s="548">
        <v>-3.1710893780999998E-2</v>
      </c>
      <c r="L36" s="548">
        <v>1.45643025E-4</v>
      </c>
      <c r="M36" s="547">
        <v>7978.3315499991004</v>
      </c>
      <c r="N36" s="549"/>
      <c r="O36" s="550"/>
      <c r="Q36" s="985" t="s">
        <v>108</v>
      </c>
      <c r="R36" s="986"/>
      <c r="S36" s="986"/>
      <c r="T36" s="986"/>
      <c r="U36" s="986"/>
      <c r="V36" s="986"/>
      <c r="W36" s="987"/>
      <c r="X36" s="547">
        <v>122166859.74896</v>
      </c>
      <c r="Y36" s="547">
        <v>122604961.07903001</v>
      </c>
      <c r="Z36" s="547">
        <v>125996884.50478999</v>
      </c>
      <c r="AA36" s="548">
        <v>2.7665466355000001E-2</v>
      </c>
      <c r="AB36" s="548">
        <v>3.1350767005000002E-2</v>
      </c>
      <c r="AC36" s="547">
        <v>3830024.7558300202</v>
      </c>
      <c r="AD36" s="549"/>
      <c r="AE36" s="550"/>
      <c r="AG36" s="985" t="s">
        <v>108</v>
      </c>
      <c r="AH36" s="986"/>
      <c r="AI36" s="986"/>
      <c r="AJ36" s="986"/>
      <c r="AK36" s="986"/>
      <c r="AL36" s="986"/>
      <c r="AM36" s="987"/>
      <c r="AN36" s="547">
        <v>1048692885.83499</v>
      </c>
      <c r="AO36" s="547">
        <v>1070259794.96365</v>
      </c>
      <c r="AP36" s="547">
        <v>1084204629.1458499</v>
      </c>
      <c r="AQ36" s="548">
        <v>1.3029391786000001E-2</v>
      </c>
      <c r="AR36" s="548">
        <v>3.3862862798E-2</v>
      </c>
      <c r="AS36" s="547">
        <v>35511743.310860097</v>
      </c>
      <c r="AT36" s="549"/>
      <c r="AU36" s="550"/>
      <c r="AW36" s="984" t="s">
        <v>109</v>
      </c>
      <c r="AX36" s="969"/>
      <c r="AY36" s="969"/>
      <c r="AZ36" s="969"/>
      <c r="BA36" s="969"/>
      <c r="BB36" s="969"/>
      <c r="BC36" s="970"/>
      <c r="BD36" s="551">
        <v>108686064.48017</v>
      </c>
      <c r="BE36" s="551">
        <v>109087214.24617</v>
      </c>
      <c r="BF36" s="551">
        <v>112978509.0095</v>
      </c>
      <c r="BG36" s="552">
        <v>3.5671410165999999E-2</v>
      </c>
      <c r="BH36" s="552">
        <v>3.9493973305999998E-2</v>
      </c>
      <c r="BI36" s="551">
        <v>4292444.52932999</v>
      </c>
      <c r="BJ36" s="553"/>
      <c r="BK36" s="554"/>
      <c r="BM36" s="985" t="s">
        <v>108</v>
      </c>
      <c r="BN36" s="986"/>
      <c r="BO36" s="986"/>
      <c r="BP36" s="986"/>
      <c r="BQ36" s="986"/>
      <c r="BR36" s="986"/>
      <c r="BS36" s="987"/>
      <c r="BT36" s="547">
        <v>54245590.891149998</v>
      </c>
      <c r="BU36" s="547">
        <v>54706088.32852</v>
      </c>
      <c r="BV36" s="547">
        <v>55839426.395010002</v>
      </c>
      <c r="BW36" s="548">
        <v>2.0716854396E-2</v>
      </c>
      <c r="BX36" s="548">
        <v>2.9381844269E-2</v>
      </c>
      <c r="BY36" s="547">
        <v>1593835.50385999</v>
      </c>
      <c r="BZ36" s="549"/>
      <c r="CA36" s="550"/>
      <c r="CC36" s="985" t="s">
        <v>108</v>
      </c>
      <c r="CD36" s="986"/>
      <c r="CE36" s="986"/>
      <c r="CF36" s="986"/>
      <c r="CG36" s="986"/>
      <c r="CH36" s="986"/>
      <c r="CI36" s="987"/>
      <c r="CJ36" s="547">
        <v>1511824.1052399999</v>
      </c>
      <c r="CK36" s="547">
        <v>1478077.34568</v>
      </c>
      <c r="CL36" s="547">
        <v>1504878.7257099999</v>
      </c>
      <c r="CM36" s="548">
        <v>1.8132596449000001E-2</v>
      </c>
      <c r="CN36" s="548">
        <v>-4.5940394160000004E-3</v>
      </c>
      <c r="CO36" s="547">
        <v>-6945.3795300000502</v>
      </c>
      <c r="CP36" s="549"/>
      <c r="CQ36" s="550"/>
      <c r="CS36" s="984" t="s">
        <v>110</v>
      </c>
      <c r="CT36" s="969"/>
      <c r="CU36" s="969"/>
      <c r="CV36" s="969"/>
      <c r="CW36" s="969"/>
      <c r="CX36" s="969"/>
      <c r="CY36" s="970"/>
      <c r="CZ36" s="551">
        <v>821693055.15670002</v>
      </c>
      <c r="DA36" s="551">
        <v>824229813.34089005</v>
      </c>
      <c r="DB36" s="551">
        <v>811850752.84484005</v>
      </c>
      <c r="DC36" s="552">
        <v>-1.5018942891E-2</v>
      </c>
      <c r="DD36" s="552">
        <v>-1.1978076545000001E-2</v>
      </c>
      <c r="DE36" s="551">
        <v>-9842302.3118599299</v>
      </c>
      <c r="DF36" s="553"/>
      <c r="DG36" s="554"/>
      <c r="DI36" s="984" t="s">
        <v>106</v>
      </c>
      <c r="DJ36" s="969"/>
      <c r="DK36" s="969"/>
      <c r="DL36" s="969"/>
      <c r="DM36" s="969"/>
      <c r="DN36" s="969"/>
      <c r="DO36" s="970"/>
      <c r="DP36" s="551">
        <v>668221212.68312001</v>
      </c>
      <c r="DQ36" s="551">
        <v>672974009.07579994</v>
      </c>
      <c r="DR36" s="551">
        <v>683608687.62250102</v>
      </c>
      <c r="DS36" s="552">
        <v>1.5802510057000001E-2</v>
      </c>
      <c r="DT36" s="552">
        <v>2.3027516408E-2</v>
      </c>
      <c r="DU36" s="551">
        <v>15387474.939379901</v>
      </c>
      <c r="DV36" s="553"/>
      <c r="DW36" s="554"/>
      <c r="DY36" s="988" t="s">
        <v>111</v>
      </c>
      <c r="DZ36" s="972"/>
      <c r="EA36" s="972"/>
      <c r="EB36" s="972"/>
      <c r="EC36" s="972"/>
      <c r="ED36" s="972"/>
      <c r="EE36" s="973"/>
      <c r="EF36" s="573">
        <v>664825.68999999994</v>
      </c>
      <c r="EG36" s="573">
        <v>663978</v>
      </c>
      <c r="EH36" s="573">
        <v>719478</v>
      </c>
      <c r="EI36" s="574">
        <v>8.3587106800999997E-2</v>
      </c>
      <c r="EJ36" s="574">
        <v>8.2205472535000004E-2</v>
      </c>
      <c r="EK36" s="573">
        <v>54652.3100000001</v>
      </c>
      <c r="EL36" s="571"/>
      <c r="EM36" s="572"/>
      <c r="EO36" s="985" t="s">
        <v>108</v>
      </c>
      <c r="EP36" s="986"/>
      <c r="EQ36" s="986"/>
      <c r="ER36" s="986"/>
      <c r="ES36" s="986"/>
      <c r="ET36" s="986"/>
      <c r="EU36" s="987"/>
      <c r="EV36" s="547">
        <v>444072266.11592001</v>
      </c>
      <c r="EW36" s="547">
        <v>438607307.14648998</v>
      </c>
      <c r="EX36" s="547">
        <v>447070772.90331</v>
      </c>
      <c r="EY36" s="548">
        <v>1.9296226074E-2</v>
      </c>
      <c r="EZ36" s="548">
        <v>6.7522946510000003E-3</v>
      </c>
      <c r="FA36" s="547">
        <v>2998506.7873900002</v>
      </c>
      <c r="FB36" s="549"/>
      <c r="FC36" s="550"/>
      <c r="FE36" s="985" t="s">
        <v>108</v>
      </c>
      <c r="FF36" s="986"/>
      <c r="FG36" s="986"/>
      <c r="FH36" s="986"/>
      <c r="FI36" s="986"/>
      <c r="FJ36" s="986"/>
      <c r="FK36" s="987"/>
      <c r="FL36" s="547">
        <v>49336176.01258</v>
      </c>
      <c r="FM36" s="547">
        <v>50698802.94139</v>
      </c>
      <c r="FN36" s="547">
        <v>48114555.122850001</v>
      </c>
      <c r="FO36" s="548">
        <v>-5.0972560861000001E-2</v>
      </c>
      <c r="FP36" s="548">
        <v>-2.4761158817999999E-2</v>
      </c>
      <c r="FQ36" s="547">
        <v>-1221620.8897299999</v>
      </c>
      <c r="FR36" s="549"/>
      <c r="FS36" s="550"/>
      <c r="GF36" s="575" t="s">
        <v>270</v>
      </c>
      <c r="GG36" s="575" t="s">
        <v>399</v>
      </c>
      <c r="GH36" s="575" t="s">
        <v>400</v>
      </c>
      <c r="GI36" s="575" t="s">
        <v>401</v>
      </c>
      <c r="GL36" s="353">
        <v>5</v>
      </c>
      <c r="GM36" s="353" t="s">
        <v>135</v>
      </c>
      <c r="GN36" s="353">
        <v>1</v>
      </c>
      <c r="GO36" s="353">
        <v>1</v>
      </c>
      <c r="GP36" s="353">
        <v>2</v>
      </c>
      <c r="GQ36" s="353">
        <v>0</v>
      </c>
      <c r="GR36" s="353">
        <v>4</v>
      </c>
      <c r="GS36" s="353">
        <v>4</v>
      </c>
      <c r="GT36" s="353">
        <v>3</v>
      </c>
      <c r="GU36" s="353">
        <v>7</v>
      </c>
      <c r="GV36" s="353">
        <v>68</v>
      </c>
      <c r="GW36" s="353">
        <v>2</v>
      </c>
      <c r="GX36" s="353">
        <v>1</v>
      </c>
      <c r="GY36" s="353">
        <v>0</v>
      </c>
      <c r="GZ36" s="592">
        <v>1</v>
      </c>
      <c r="HA36" s="592">
        <v>5</v>
      </c>
      <c r="HB36" s="592">
        <v>24</v>
      </c>
      <c r="HC36" s="592">
        <v>0</v>
      </c>
      <c r="HD36" s="592">
        <v>0</v>
      </c>
      <c r="HE36" s="592">
        <v>5</v>
      </c>
      <c r="HF36" s="592">
        <v>2</v>
      </c>
      <c r="HG36" s="592">
        <v>2</v>
      </c>
      <c r="HH36" s="592">
        <v>30</v>
      </c>
      <c r="HI36" s="592">
        <v>9</v>
      </c>
      <c r="HJ36" s="592">
        <v>6</v>
      </c>
      <c r="HK36" s="592">
        <v>21</v>
      </c>
      <c r="HL36" s="592">
        <v>3</v>
      </c>
      <c r="HO36" s="592">
        <v>1</v>
      </c>
      <c r="HP36" s="592">
        <v>4</v>
      </c>
      <c r="HQ36" s="592">
        <v>1</v>
      </c>
      <c r="HR36" s="592">
        <v>1</v>
      </c>
      <c r="HS36" s="592">
        <v>6</v>
      </c>
      <c r="HT36" s="592">
        <v>9</v>
      </c>
      <c r="HU36" s="592">
        <v>6</v>
      </c>
      <c r="HV36" s="592">
        <v>10</v>
      </c>
      <c r="HW36" s="721">
        <v>4</v>
      </c>
      <c r="HX36" s="753">
        <v>6</v>
      </c>
      <c r="HY36" s="753">
        <v>6</v>
      </c>
      <c r="HZ36" s="753">
        <v>17</v>
      </c>
      <c r="IA36" s="592">
        <v>26</v>
      </c>
      <c r="IB36" s="828">
        <v>12</v>
      </c>
      <c r="IC36" s="592">
        <v>16</v>
      </c>
      <c r="IV36" s="353">
        <v>5</v>
      </c>
      <c r="IW36" s="353" t="s">
        <v>135</v>
      </c>
      <c r="IX36" s="353">
        <v>0</v>
      </c>
      <c r="IY36" s="353">
        <v>1</v>
      </c>
      <c r="IZ36" s="353">
        <v>2</v>
      </c>
      <c r="JA36" s="592">
        <v>0</v>
      </c>
      <c r="JB36" s="592">
        <v>3</v>
      </c>
      <c r="JC36" s="592">
        <v>0</v>
      </c>
      <c r="JD36" s="592">
        <v>1</v>
      </c>
      <c r="JE36" s="592">
        <v>1</v>
      </c>
      <c r="JF36" s="592">
        <v>1</v>
      </c>
      <c r="JG36" s="592">
        <v>1</v>
      </c>
      <c r="JH36" s="592">
        <v>0</v>
      </c>
      <c r="JI36" s="592">
        <v>0</v>
      </c>
      <c r="JJ36" s="592">
        <v>1</v>
      </c>
      <c r="JK36" s="592">
        <v>0</v>
      </c>
      <c r="JL36" s="592">
        <v>0</v>
      </c>
      <c r="JM36" s="592">
        <v>0</v>
      </c>
      <c r="JN36" s="592">
        <v>0</v>
      </c>
      <c r="JO36" s="592">
        <v>0</v>
      </c>
      <c r="JP36" s="592">
        <v>2</v>
      </c>
      <c r="JQ36" s="592">
        <v>2</v>
      </c>
      <c r="JR36" s="592">
        <v>20</v>
      </c>
      <c r="JS36" s="592">
        <v>4</v>
      </c>
      <c r="JT36" s="592">
        <v>0</v>
      </c>
      <c r="JU36" s="592">
        <v>0</v>
      </c>
      <c r="JV36" s="592">
        <v>1</v>
      </c>
      <c r="JW36" s="592">
        <v>2</v>
      </c>
      <c r="JX36" s="592">
        <v>1</v>
      </c>
      <c r="JY36" s="592">
        <v>1</v>
      </c>
      <c r="JZ36" s="592">
        <v>2</v>
      </c>
      <c r="KA36" s="592">
        <v>1</v>
      </c>
      <c r="KB36" s="592">
        <v>0</v>
      </c>
      <c r="KC36" s="592">
        <v>5</v>
      </c>
      <c r="KD36" s="592">
        <v>0</v>
      </c>
      <c r="KE36" s="592">
        <v>5</v>
      </c>
      <c r="KF36" s="592">
        <v>5</v>
      </c>
      <c r="KG36" s="592">
        <v>3</v>
      </c>
      <c r="KH36" s="592">
        <v>3</v>
      </c>
      <c r="KI36" s="721">
        <v>4</v>
      </c>
      <c r="KJ36" s="753">
        <v>3</v>
      </c>
      <c r="KK36" s="753">
        <v>5</v>
      </c>
      <c r="KL36" s="753">
        <v>16</v>
      </c>
      <c r="KM36" s="592">
        <v>8</v>
      </c>
      <c r="KN36" s="828">
        <v>3</v>
      </c>
      <c r="KO36" s="592">
        <v>5</v>
      </c>
    </row>
    <row r="37" spans="1:301" ht="20.399999999999999" thickBot="1">
      <c r="A37" s="984" t="s">
        <v>109</v>
      </c>
      <c r="B37" s="969"/>
      <c r="C37" s="969"/>
      <c r="D37" s="969"/>
      <c r="E37" s="969"/>
      <c r="F37" s="969"/>
      <c r="G37" s="970"/>
      <c r="H37" s="551">
        <v>20713900.618969999</v>
      </c>
      <c r="I37" s="551">
        <v>22441184.777079999</v>
      </c>
      <c r="J37" s="551">
        <v>21040528.38352</v>
      </c>
      <c r="K37" s="552">
        <v>-6.2414547514000003E-2</v>
      </c>
      <c r="L37" s="552">
        <v>1.5768530058999999E-2</v>
      </c>
      <c r="M37" s="551">
        <v>326627.76455000101</v>
      </c>
      <c r="N37" s="553"/>
      <c r="O37" s="554"/>
      <c r="Q37" s="984" t="s">
        <v>109</v>
      </c>
      <c r="R37" s="969"/>
      <c r="S37" s="969"/>
      <c r="T37" s="969"/>
      <c r="U37" s="969"/>
      <c r="V37" s="969"/>
      <c r="W37" s="970"/>
      <c r="X37" s="551">
        <v>31747347.931960002</v>
      </c>
      <c r="Y37" s="551">
        <v>31846789.46903</v>
      </c>
      <c r="Z37" s="551">
        <v>33763680.900789998</v>
      </c>
      <c r="AA37" s="552">
        <v>6.0191041661999997E-2</v>
      </c>
      <c r="AB37" s="552">
        <v>6.3511855325000005E-2</v>
      </c>
      <c r="AC37" s="551">
        <v>2016332.9688299999</v>
      </c>
      <c r="AD37" s="553"/>
      <c r="AE37" s="554"/>
      <c r="AG37" s="984" t="s">
        <v>109</v>
      </c>
      <c r="AH37" s="969"/>
      <c r="AI37" s="969"/>
      <c r="AJ37" s="969"/>
      <c r="AK37" s="969"/>
      <c r="AL37" s="969"/>
      <c r="AM37" s="970"/>
      <c r="AN37" s="551">
        <v>254912135.76899001</v>
      </c>
      <c r="AO37" s="551">
        <v>260641309.36465001</v>
      </c>
      <c r="AP37" s="551">
        <v>263297292.87285</v>
      </c>
      <c r="AQ37" s="552">
        <v>1.0190186331E-2</v>
      </c>
      <c r="AR37" s="552">
        <v>3.2894303280000002E-2</v>
      </c>
      <c r="AS37" s="551">
        <v>8385157.1038599899</v>
      </c>
      <c r="AT37" s="553"/>
      <c r="AU37" s="554"/>
      <c r="AW37" s="984" t="s">
        <v>110</v>
      </c>
      <c r="AX37" s="969"/>
      <c r="AY37" s="969"/>
      <c r="AZ37" s="969"/>
      <c r="BA37" s="969"/>
      <c r="BB37" s="969"/>
      <c r="BC37" s="970"/>
      <c r="BD37" s="551">
        <v>136233411.75299999</v>
      </c>
      <c r="BE37" s="551">
        <v>138405936.71399999</v>
      </c>
      <c r="BF37" s="551">
        <v>139345345.07100001</v>
      </c>
      <c r="BG37" s="552">
        <v>6.7873414920000003E-3</v>
      </c>
      <c r="BH37" s="552">
        <v>2.2842658625000001E-2</v>
      </c>
      <c r="BI37" s="551">
        <v>3111933.3180000102</v>
      </c>
      <c r="BJ37" s="553"/>
      <c r="BK37" s="554"/>
      <c r="BM37" s="984" t="s">
        <v>109</v>
      </c>
      <c r="BN37" s="969"/>
      <c r="BO37" s="969"/>
      <c r="BP37" s="969"/>
      <c r="BQ37" s="969"/>
      <c r="BR37" s="969"/>
      <c r="BS37" s="970"/>
      <c r="BT37" s="551">
        <v>30630385.316149998</v>
      </c>
      <c r="BU37" s="551">
        <v>29933493.69052</v>
      </c>
      <c r="BV37" s="551">
        <v>29956354.276009999</v>
      </c>
      <c r="BW37" s="552">
        <v>7.6371257300000004E-4</v>
      </c>
      <c r="BX37" s="552">
        <v>-2.2005307251999999E-2</v>
      </c>
      <c r="BY37" s="551">
        <v>-674031.04014000099</v>
      </c>
      <c r="BZ37" s="553"/>
      <c r="CA37" s="554"/>
      <c r="CC37" s="984" t="s">
        <v>109</v>
      </c>
      <c r="CD37" s="969"/>
      <c r="CE37" s="969"/>
      <c r="CF37" s="969"/>
      <c r="CG37" s="969"/>
      <c r="CH37" s="969"/>
      <c r="CI37" s="970"/>
      <c r="CJ37" s="551">
        <v>614914.65844999999</v>
      </c>
      <c r="CK37" s="551">
        <v>611824.57530999999</v>
      </c>
      <c r="CL37" s="551">
        <v>623061.44958000001</v>
      </c>
      <c r="CM37" s="552">
        <v>1.8366170179E-2</v>
      </c>
      <c r="CN37" s="552">
        <v>1.3248653318E-2</v>
      </c>
      <c r="CO37" s="551">
        <v>8146.7911299999896</v>
      </c>
      <c r="CP37" s="553"/>
      <c r="CQ37" s="554"/>
      <c r="CS37" s="988" t="s">
        <v>111</v>
      </c>
      <c r="CT37" s="972"/>
      <c r="CU37" s="972"/>
      <c r="CV37" s="972"/>
      <c r="CW37" s="972"/>
      <c r="CX37" s="972"/>
      <c r="CY37" s="973"/>
      <c r="CZ37" s="573">
        <v>82853558.043840006</v>
      </c>
      <c r="DA37" s="573">
        <v>80786422.534050003</v>
      </c>
      <c r="DB37" s="573">
        <v>77323375.502660006</v>
      </c>
      <c r="DC37" s="574">
        <v>-4.2866696193999999E-2</v>
      </c>
      <c r="DD37" s="574">
        <v>-6.6746470178000006E-2</v>
      </c>
      <c r="DE37" s="573">
        <v>-5530182.5411799997</v>
      </c>
      <c r="DF37" s="571"/>
      <c r="DG37" s="572"/>
      <c r="DI37" s="984" t="s">
        <v>107</v>
      </c>
      <c r="DJ37" s="969"/>
      <c r="DK37" s="969"/>
      <c r="DL37" s="969"/>
      <c r="DM37" s="969"/>
      <c r="DN37" s="969"/>
      <c r="DO37" s="970"/>
      <c r="DP37" s="551">
        <v>15519071.76496</v>
      </c>
      <c r="DQ37" s="551">
        <v>16028619.85114</v>
      </c>
      <c r="DR37" s="551">
        <v>16260136.779999999</v>
      </c>
      <c r="DS37" s="552">
        <v>1.4443971534E-2</v>
      </c>
      <c r="DT37" s="552">
        <v>4.7751890465000002E-2</v>
      </c>
      <c r="DU37" s="551">
        <v>741065.01503999997</v>
      </c>
      <c r="DV37" s="553"/>
      <c r="DW37" s="554"/>
      <c r="DY37" s="974" t="s">
        <v>112</v>
      </c>
      <c r="DZ37" s="923"/>
      <c r="EA37" s="923"/>
      <c r="EB37" s="923"/>
      <c r="EC37" s="923"/>
      <c r="ED37" s="923"/>
      <c r="EE37" s="923"/>
      <c r="EF37" s="923"/>
      <c r="EG37" s="923"/>
      <c r="EH37" s="923"/>
      <c r="EI37" s="923"/>
      <c r="EJ37" s="923"/>
      <c r="EK37" s="923"/>
      <c r="EL37" s="923"/>
      <c r="EM37" s="923"/>
      <c r="EO37" s="984" t="s">
        <v>109</v>
      </c>
      <c r="EP37" s="969"/>
      <c r="EQ37" s="969"/>
      <c r="ER37" s="969"/>
      <c r="ES37" s="969"/>
      <c r="ET37" s="969"/>
      <c r="EU37" s="970"/>
      <c r="EV37" s="551">
        <v>186333782.14300999</v>
      </c>
      <c r="EW37" s="551">
        <v>188004142.28858</v>
      </c>
      <c r="EX37" s="551">
        <v>195259812.36140001</v>
      </c>
      <c r="EY37" s="552">
        <v>3.8593139408999999E-2</v>
      </c>
      <c r="EZ37" s="552">
        <v>4.7903445718000003E-2</v>
      </c>
      <c r="FA37" s="551">
        <v>8926030.2183899898</v>
      </c>
      <c r="FB37" s="553"/>
      <c r="FC37" s="554"/>
      <c r="FE37" s="984" t="s">
        <v>109</v>
      </c>
      <c r="FF37" s="969"/>
      <c r="FG37" s="969"/>
      <c r="FH37" s="969"/>
      <c r="FI37" s="969"/>
      <c r="FJ37" s="969"/>
      <c r="FK37" s="970"/>
      <c r="FL37" s="551">
        <v>33026653.78458</v>
      </c>
      <c r="FM37" s="551">
        <v>33967023.596390001</v>
      </c>
      <c r="FN37" s="551">
        <v>31726892.08185</v>
      </c>
      <c r="FO37" s="552">
        <v>-6.5950185719999999E-2</v>
      </c>
      <c r="FP37" s="552">
        <v>-3.9354931661999999E-2</v>
      </c>
      <c r="FQ37" s="551">
        <v>-1299761.70273</v>
      </c>
      <c r="FR37" s="553"/>
      <c r="FS37" s="554"/>
      <c r="GF37" s="834">
        <v>44926</v>
      </c>
      <c r="GG37" s="575" t="s">
        <v>402</v>
      </c>
      <c r="GH37" s="575" t="s">
        <v>403</v>
      </c>
      <c r="GI37" s="871">
        <v>9.1456999999999997</v>
      </c>
      <c r="GL37" s="353">
        <v>6</v>
      </c>
      <c r="GM37" s="353" t="s">
        <v>136</v>
      </c>
      <c r="GN37" s="353">
        <v>3</v>
      </c>
      <c r="GO37" s="353">
        <v>6</v>
      </c>
      <c r="GP37" s="353">
        <v>10</v>
      </c>
      <c r="GQ37" s="353">
        <v>7</v>
      </c>
      <c r="GR37" s="353">
        <v>8</v>
      </c>
      <c r="GS37" s="353">
        <v>4</v>
      </c>
      <c r="GT37" s="353">
        <v>29</v>
      </c>
      <c r="GU37" s="353">
        <v>33</v>
      </c>
      <c r="GV37" s="353">
        <v>16</v>
      </c>
      <c r="GW37" s="353">
        <v>10</v>
      </c>
      <c r="GX37" s="353">
        <v>63</v>
      </c>
      <c r="GY37" s="353">
        <v>4</v>
      </c>
      <c r="GZ37" s="592">
        <v>6</v>
      </c>
      <c r="HA37" s="592">
        <v>19</v>
      </c>
      <c r="HB37" s="592">
        <v>8</v>
      </c>
      <c r="HC37" s="592">
        <v>5</v>
      </c>
      <c r="HD37" s="592">
        <v>5</v>
      </c>
      <c r="HE37" s="592">
        <v>4</v>
      </c>
      <c r="HF37" s="592">
        <v>5</v>
      </c>
      <c r="HG37" s="592">
        <v>2</v>
      </c>
      <c r="HH37" s="592">
        <v>8</v>
      </c>
      <c r="HI37" s="592">
        <v>7</v>
      </c>
      <c r="HJ37" s="592">
        <v>3</v>
      </c>
      <c r="HK37" s="592">
        <v>4</v>
      </c>
      <c r="HL37" s="592">
        <v>3</v>
      </c>
      <c r="HO37" s="592">
        <v>1</v>
      </c>
      <c r="HP37" s="592">
        <v>4</v>
      </c>
      <c r="HQ37" s="592">
        <v>3</v>
      </c>
      <c r="HR37" s="592">
        <v>1</v>
      </c>
      <c r="HS37" s="592">
        <v>0</v>
      </c>
      <c r="HT37" s="592">
        <v>7</v>
      </c>
      <c r="HU37" s="592">
        <v>6</v>
      </c>
      <c r="HV37" s="592">
        <v>2</v>
      </c>
      <c r="HW37" s="721">
        <v>7</v>
      </c>
      <c r="HX37" s="753">
        <v>3</v>
      </c>
      <c r="HY37" s="753">
        <v>9</v>
      </c>
      <c r="HZ37" s="753">
        <v>2</v>
      </c>
      <c r="IA37" s="592">
        <v>1</v>
      </c>
      <c r="IB37" s="828">
        <v>2</v>
      </c>
      <c r="IC37" s="592">
        <v>5</v>
      </c>
      <c r="IV37" s="353">
        <v>6</v>
      </c>
      <c r="IW37" s="353" t="s">
        <v>136</v>
      </c>
      <c r="IX37" s="353">
        <v>3</v>
      </c>
      <c r="IY37" s="353">
        <v>3</v>
      </c>
      <c r="IZ37" s="353">
        <v>9</v>
      </c>
      <c r="JA37" s="592">
        <v>7</v>
      </c>
      <c r="JB37" s="592">
        <v>7</v>
      </c>
      <c r="JC37" s="592">
        <v>3</v>
      </c>
      <c r="JD37" s="592">
        <v>11</v>
      </c>
      <c r="JE37" s="592">
        <v>19</v>
      </c>
      <c r="JF37" s="592">
        <v>13</v>
      </c>
      <c r="JG37" s="592">
        <v>10</v>
      </c>
      <c r="JH37" s="592">
        <v>63</v>
      </c>
      <c r="JI37" s="592">
        <v>4</v>
      </c>
      <c r="JJ37" s="592">
        <v>3</v>
      </c>
      <c r="JK37" s="592">
        <v>10</v>
      </c>
      <c r="JL37" s="592">
        <v>3</v>
      </c>
      <c r="JM37" s="592">
        <v>4</v>
      </c>
      <c r="JN37" s="592">
        <v>5</v>
      </c>
      <c r="JO37" s="592">
        <v>3</v>
      </c>
      <c r="JP37" s="592">
        <v>5</v>
      </c>
      <c r="JQ37" s="592">
        <v>2</v>
      </c>
      <c r="JR37" s="592">
        <v>5</v>
      </c>
      <c r="JS37" s="592">
        <v>6</v>
      </c>
      <c r="JT37" s="592">
        <v>1</v>
      </c>
      <c r="JU37" s="592">
        <v>4</v>
      </c>
      <c r="JV37" s="592">
        <v>2</v>
      </c>
      <c r="JW37" s="592">
        <v>6</v>
      </c>
      <c r="JX37" s="592">
        <v>4</v>
      </c>
      <c r="JY37" s="592">
        <v>2</v>
      </c>
      <c r="JZ37" s="592">
        <v>2</v>
      </c>
      <c r="KA37" s="592">
        <v>3</v>
      </c>
      <c r="KB37" s="592">
        <v>1</v>
      </c>
      <c r="KC37" s="592">
        <v>0</v>
      </c>
      <c r="KD37" s="592">
        <v>5</v>
      </c>
      <c r="KE37" s="592">
        <v>6</v>
      </c>
      <c r="KF37" s="592">
        <v>1</v>
      </c>
      <c r="KG37" s="592">
        <v>4</v>
      </c>
      <c r="KH37" s="592">
        <v>2</v>
      </c>
      <c r="KI37" s="721">
        <v>3</v>
      </c>
      <c r="KJ37" s="753">
        <v>1</v>
      </c>
      <c r="KK37" s="753">
        <v>1</v>
      </c>
      <c r="KL37" s="753">
        <v>2</v>
      </c>
      <c r="KM37" s="592">
        <v>2</v>
      </c>
      <c r="KN37" s="828">
        <v>5</v>
      </c>
      <c r="KO37" s="592">
        <v>1</v>
      </c>
    </row>
    <row r="38" spans="1:301" ht="20.399999999999999" thickBot="1">
      <c r="A38" s="984" t="s">
        <v>110</v>
      </c>
      <c r="B38" s="969"/>
      <c r="C38" s="969"/>
      <c r="D38" s="969"/>
      <c r="E38" s="969"/>
      <c r="F38" s="969"/>
      <c r="G38" s="970"/>
      <c r="H38" s="551">
        <v>15880977.694</v>
      </c>
      <c r="I38" s="551">
        <v>15939509.193</v>
      </c>
      <c r="J38" s="551">
        <v>15627390.314999999</v>
      </c>
      <c r="K38" s="552">
        <v>-1.9581461022999999E-2</v>
      </c>
      <c r="L38" s="552">
        <v>-1.5967995414E-2</v>
      </c>
      <c r="M38" s="551">
        <v>-253587.378999999</v>
      </c>
      <c r="N38" s="553"/>
      <c r="O38" s="554"/>
      <c r="Q38" s="984" t="s">
        <v>110</v>
      </c>
      <c r="R38" s="969"/>
      <c r="S38" s="969"/>
      <c r="T38" s="969"/>
      <c r="U38" s="969"/>
      <c r="V38" s="969"/>
      <c r="W38" s="970"/>
      <c r="X38" s="551">
        <v>50728944.633000001</v>
      </c>
      <c r="Y38" s="551">
        <v>50910335.666000001</v>
      </c>
      <c r="Z38" s="551">
        <v>52029495.686999999</v>
      </c>
      <c r="AA38" s="552">
        <v>2.1982962916E-2</v>
      </c>
      <c r="AB38" s="552">
        <v>2.5637258243000002E-2</v>
      </c>
      <c r="AC38" s="551">
        <v>1300551.054</v>
      </c>
      <c r="AD38" s="553"/>
      <c r="AE38" s="554"/>
      <c r="AG38" s="984" t="s">
        <v>110</v>
      </c>
      <c r="AH38" s="969"/>
      <c r="AI38" s="969"/>
      <c r="AJ38" s="969"/>
      <c r="AK38" s="969"/>
      <c r="AL38" s="969"/>
      <c r="AM38" s="970"/>
      <c r="AN38" s="551">
        <v>447455496.28899997</v>
      </c>
      <c r="AO38" s="551">
        <v>450342927.06199998</v>
      </c>
      <c r="AP38" s="551">
        <v>452328224.71799999</v>
      </c>
      <c r="AQ38" s="552">
        <v>4.4084130920000004E-3</v>
      </c>
      <c r="AR38" s="552">
        <v>1.0889861605E-2</v>
      </c>
      <c r="AS38" s="551">
        <v>4872728.4289999995</v>
      </c>
      <c r="AT38" s="553"/>
      <c r="AU38" s="554"/>
      <c r="AW38" s="988" t="s">
        <v>111</v>
      </c>
      <c r="AX38" s="972"/>
      <c r="AY38" s="972"/>
      <c r="AZ38" s="972"/>
      <c r="BA38" s="972"/>
      <c r="BB38" s="972"/>
      <c r="BC38" s="973"/>
      <c r="BD38" s="573">
        <v>51735186.846000001</v>
      </c>
      <c r="BE38" s="573">
        <v>51708375.870999999</v>
      </c>
      <c r="BF38" s="573">
        <v>50387247.251000002</v>
      </c>
      <c r="BG38" s="574">
        <v>-2.5549605797999999E-2</v>
      </c>
      <c r="BH38" s="574">
        <v>-2.6054599918E-2</v>
      </c>
      <c r="BI38" s="573">
        <v>-1347939.595</v>
      </c>
      <c r="BJ38" s="571"/>
      <c r="BK38" s="572"/>
      <c r="BM38" s="984" t="s">
        <v>110</v>
      </c>
      <c r="BN38" s="969"/>
      <c r="BO38" s="969"/>
      <c r="BP38" s="969"/>
      <c r="BQ38" s="969"/>
      <c r="BR38" s="969"/>
      <c r="BS38" s="970"/>
      <c r="BT38" s="551">
        <v>18271955.574999999</v>
      </c>
      <c r="BU38" s="551">
        <v>18440334.638</v>
      </c>
      <c r="BV38" s="551">
        <v>18614822.118999999</v>
      </c>
      <c r="BW38" s="552">
        <v>9.4622730240000001E-3</v>
      </c>
      <c r="BX38" s="552">
        <v>1.8764633188E-2</v>
      </c>
      <c r="BY38" s="551">
        <v>342866.543999999</v>
      </c>
      <c r="BZ38" s="553"/>
      <c r="CA38" s="554"/>
      <c r="CC38" s="984" t="s">
        <v>110</v>
      </c>
      <c r="CD38" s="969"/>
      <c r="CE38" s="969"/>
      <c r="CF38" s="969"/>
      <c r="CG38" s="969"/>
      <c r="CH38" s="969"/>
      <c r="CI38" s="970"/>
      <c r="CJ38" s="551">
        <v>503572.03652000002</v>
      </c>
      <c r="CK38" s="551">
        <v>476971.75575999997</v>
      </c>
      <c r="CL38" s="551">
        <v>484371.52863000002</v>
      </c>
      <c r="CM38" s="552">
        <v>1.5514069292999999E-2</v>
      </c>
      <c r="CN38" s="552">
        <v>-3.8128622118E-2</v>
      </c>
      <c r="CO38" s="551">
        <v>-19200.507890000001</v>
      </c>
      <c r="CP38" s="553"/>
      <c r="CQ38" s="554"/>
      <c r="CS38" s="974" t="s">
        <v>112</v>
      </c>
      <c r="CT38" s="923"/>
      <c r="CU38" s="923"/>
      <c r="CV38" s="923"/>
      <c r="CW38" s="923"/>
      <c r="CX38" s="923"/>
      <c r="CY38" s="923"/>
      <c r="CZ38" s="923"/>
      <c r="DA38" s="923"/>
      <c r="DB38" s="923"/>
      <c r="DC38" s="923"/>
      <c r="DD38" s="923"/>
      <c r="DE38" s="923"/>
      <c r="DF38" s="923"/>
      <c r="DG38" s="923"/>
      <c r="DI38" s="985" t="s">
        <v>108</v>
      </c>
      <c r="DJ38" s="986"/>
      <c r="DK38" s="986"/>
      <c r="DL38" s="986"/>
      <c r="DM38" s="986"/>
      <c r="DN38" s="986"/>
      <c r="DO38" s="987"/>
      <c r="DP38" s="547">
        <v>794833966.00479996</v>
      </c>
      <c r="DQ38" s="547">
        <v>811316680.14968002</v>
      </c>
      <c r="DR38" s="547">
        <v>829526819.58532095</v>
      </c>
      <c r="DS38" s="548">
        <v>2.2445168306000001E-2</v>
      </c>
      <c r="DT38" s="548">
        <v>4.3647925307999998E-2</v>
      </c>
      <c r="DU38" s="547">
        <v>34692853.5805199</v>
      </c>
      <c r="DV38" s="549"/>
      <c r="DW38" s="550"/>
      <c r="DY38" s="975" t="s">
        <v>113</v>
      </c>
      <c r="DZ38" s="976"/>
      <c r="EA38" s="976"/>
      <c r="EB38" s="976"/>
      <c r="EC38" s="976"/>
      <c r="ED38" s="976"/>
      <c r="EE38" s="976"/>
      <c r="EF38" s="976"/>
      <c r="EG38" s="976"/>
      <c r="EH38" s="976"/>
      <c r="EI38" s="976"/>
      <c r="EJ38" s="976"/>
      <c r="EO38" s="984" t="s">
        <v>110</v>
      </c>
      <c r="EP38" s="969"/>
      <c r="EQ38" s="969"/>
      <c r="ER38" s="969"/>
      <c r="ES38" s="969"/>
      <c r="ET38" s="969"/>
      <c r="EU38" s="970"/>
      <c r="EV38" s="551">
        <v>148998797.64199999</v>
      </c>
      <c r="EW38" s="551">
        <v>149420987.51899999</v>
      </c>
      <c r="EX38" s="551">
        <v>150563383.04100001</v>
      </c>
      <c r="EY38" s="552">
        <v>7.6454823439999998E-3</v>
      </c>
      <c r="EZ38" s="552">
        <v>1.0500657882000001E-2</v>
      </c>
      <c r="FA38" s="551">
        <v>1564585.39899999</v>
      </c>
      <c r="FB38" s="553"/>
      <c r="FC38" s="554"/>
      <c r="FE38" s="984" t="s">
        <v>110</v>
      </c>
      <c r="FF38" s="969"/>
      <c r="FG38" s="969"/>
      <c r="FH38" s="969"/>
      <c r="FI38" s="969"/>
      <c r="FJ38" s="969"/>
      <c r="FK38" s="970"/>
      <c r="FL38" s="551">
        <v>13657578.407</v>
      </c>
      <c r="FM38" s="551">
        <v>14092017.429</v>
      </c>
      <c r="FN38" s="551">
        <v>14004301.125</v>
      </c>
      <c r="FO38" s="552">
        <v>-6.224538426E-3</v>
      </c>
      <c r="FP38" s="552">
        <v>2.5386837084999999E-2</v>
      </c>
      <c r="FQ38" s="551">
        <v>346722.71799999999</v>
      </c>
      <c r="FR38" s="553"/>
      <c r="FS38" s="554"/>
      <c r="GF38" s="834">
        <v>45291</v>
      </c>
      <c r="GG38" s="575" t="s">
        <v>402</v>
      </c>
      <c r="GH38" s="575" t="s">
        <v>403</v>
      </c>
      <c r="GI38" s="871">
        <v>13.1264</v>
      </c>
      <c r="GL38" s="353">
        <v>7</v>
      </c>
      <c r="GM38" s="353" t="s">
        <v>137</v>
      </c>
      <c r="GN38" s="353">
        <v>52</v>
      </c>
      <c r="GO38" s="353">
        <v>57</v>
      </c>
      <c r="GP38" s="353">
        <v>57</v>
      </c>
      <c r="GQ38" s="353">
        <v>2</v>
      </c>
      <c r="GR38" s="353">
        <v>30</v>
      </c>
      <c r="GS38" s="353">
        <v>123</v>
      </c>
      <c r="GT38" s="353">
        <v>194</v>
      </c>
      <c r="GU38" s="353">
        <v>7</v>
      </c>
      <c r="GV38" s="353">
        <v>5</v>
      </c>
      <c r="GW38" s="353">
        <v>3</v>
      </c>
      <c r="GX38" s="353">
        <v>4</v>
      </c>
      <c r="GY38" s="353">
        <v>6</v>
      </c>
      <c r="GZ38" s="592">
        <v>32</v>
      </c>
      <c r="HA38" s="592">
        <v>55</v>
      </c>
      <c r="HB38" s="592">
        <v>48</v>
      </c>
      <c r="HC38" s="592">
        <v>3</v>
      </c>
      <c r="HD38" s="592">
        <v>8</v>
      </c>
      <c r="HE38" s="592">
        <v>11</v>
      </c>
      <c r="HF38" s="592">
        <v>18</v>
      </c>
      <c r="HG38" s="592">
        <v>74</v>
      </c>
      <c r="HH38" s="592">
        <v>14</v>
      </c>
      <c r="HI38" s="592">
        <v>5</v>
      </c>
      <c r="HJ38" s="592">
        <v>89</v>
      </c>
      <c r="HK38" s="592">
        <v>3</v>
      </c>
      <c r="HL38" s="592">
        <v>52</v>
      </c>
      <c r="HO38" s="592">
        <v>5</v>
      </c>
      <c r="HP38" s="592">
        <v>86</v>
      </c>
      <c r="HQ38" s="592">
        <v>124</v>
      </c>
      <c r="HR38" s="592">
        <v>2</v>
      </c>
      <c r="HS38" s="592">
        <v>3</v>
      </c>
      <c r="HT38" s="592">
        <v>6</v>
      </c>
      <c r="HU38" s="592">
        <v>2</v>
      </c>
      <c r="HV38" s="592">
        <v>4</v>
      </c>
      <c r="HW38" s="721">
        <v>2</v>
      </c>
      <c r="HX38" s="753">
        <v>4</v>
      </c>
      <c r="HY38" s="753">
        <v>4</v>
      </c>
      <c r="HZ38" s="753">
        <v>2</v>
      </c>
      <c r="IA38" s="592">
        <v>2</v>
      </c>
      <c r="IB38" s="828">
        <v>3</v>
      </c>
      <c r="IC38" s="592">
        <v>48</v>
      </c>
      <c r="IV38" s="353">
        <v>7</v>
      </c>
      <c r="IW38" s="353" t="s">
        <v>137</v>
      </c>
      <c r="IX38" s="353">
        <v>21</v>
      </c>
      <c r="IY38" s="353">
        <v>18</v>
      </c>
      <c r="IZ38" s="353">
        <v>4</v>
      </c>
      <c r="JA38" s="592">
        <v>1</v>
      </c>
      <c r="JB38" s="592">
        <v>4</v>
      </c>
      <c r="JC38" s="592">
        <v>3</v>
      </c>
      <c r="JD38" s="592">
        <v>2</v>
      </c>
      <c r="JE38" s="592">
        <v>5</v>
      </c>
      <c r="JF38" s="592">
        <v>5</v>
      </c>
      <c r="JG38" s="592">
        <v>2</v>
      </c>
      <c r="JH38" s="592">
        <v>4</v>
      </c>
      <c r="JI38" s="592">
        <v>6</v>
      </c>
      <c r="JJ38" s="592">
        <v>5</v>
      </c>
      <c r="JK38" s="592">
        <v>2</v>
      </c>
      <c r="JL38" s="592">
        <v>29</v>
      </c>
      <c r="JM38" s="592">
        <v>2</v>
      </c>
      <c r="JN38" s="592">
        <v>1</v>
      </c>
      <c r="JO38" s="592">
        <v>3</v>
      </c>
      <c r="JP38" s="592">
        <v>11</v>
      </c>
      <c r="JQ38" s="592">
        <v>17</v>
      </c>
      <c r="JR38" s="592">
        <v>6</v>
      </c>
      <c r="JS38" s="592">
        <v>5</v>
      </c>
      <c r="JT38" s="592">
        <v>4</v>
      </c>
      <c r="JU38" s="592">
        <v>1</v>
      </c>
      <c r="JV38" s="592">
        <v>1</v>
      </c>
      <c r="JW38" s="592">
        <v>0</v>
      </c>
      <c r="JX38" s="592">
        <v>4</v>
      </c>
      <c r="JY38" s="592">
        <v>0</v>
      </c>
      <c r="JZ38" s="592">
        <v>0</v>
      </c>
      <c r="KA38" s="592">
        <v>49</v>
      </c>
      <c r="KB38" s="592">
        <v>1</v>
      </c>
      <c r="KC38" s="592">
        <v>2</v>
      </c>
      <c r="KD38" s="592">
        <v>4</v>
      </c>
      <c r="KE38" s="592">
        <v>1</v>
      </c>
      <c r="KF38" s="592">
        <v>2</v>
      </c>
      <c r="KG38" s="592">
        <v>1</v>
      </c>
      <c r="KH38" s="592">
        <v>4</v>
      </c>
      <c r="KI38" s="721">
        <v>4</v>
      </c>
      <c r="KJ38" s="753">
        <v>1</v>
      </c>
      <c r="KK38" s="753">
        <v>1</v>
      </c>
      <c r="KL38" s="753">
        <v>0</v>
      </c>
      <c r="KM38" s="592">
        <v>2</v>
      </c>
      <c r="KN38" s="828">
        <v>2</v>
      </c>
      <c r="KO38" s="592">
        <v>3</v>
      </c>
    </row>
    <row r="39" spans="1:301" ht="20.399999999999999" thickBot="1">
      <c r="A39" s="988" t="s">
        <v>111</v>
      </c>
      <c r="B39" s="972"/>
      <c r="C39" s="972"/>
      <c r="D39" s="972"/>
      <c r="E39" s="972"/>
      <c r="F39" s="972"/>
      <c r="G39" s="973"/>
      <c r="H39" s="573">
        <v>18185167.022</v>
      </c>
      <c r="I39" s="573">
        <v>18201604.967999998</v>
      </c>
      <c r="J39" s="573">
        <v>18120104.967999998</v>
      </c>
      <c r="K39" s="574">
        <v>-4.477627118E-3</v>
      </c>
      <c r="L39" s="574">
        <v>-3.5777539969999998E-3</v>
      </c>
      <c r="M39" s="573">
        <v>-65062.054000000899</v>
      </c>
      <c r="N39" s="571"/>
      <c r="O39" s="572"/>
      <c r="Q39" s="988" t="s">
        <v>111</v>
      </c>
      <c r="R39" s="972"/>
      <c r="S39" s="972"/>
      <c r="T39" s="972"/>
      <c r="U39" s="972"/>
      <c r="V39" s="972"/>
      <c r="W39" s="973"/>
      <c r="X39" s="573">
        <v>39690567.184</v>
      </c>
      <c r="Y39" s="573">
        <v>39847835.943999998</v>
      </c>
      <c r="Z39" s="573">
        <v>40203707.917000003</v>
      </c>
      <c r="AA39" s="574">
        <v>8.9307728900000008E-3</v>
      </c>
      <c r="AB39" s="574">
        <v>1.2928531118999999E-2</v>
      </c>
      <c r="AC39" s="573">
        <v>513140.73300000001</v>
      </c>
      <c r="AD39" s="571"/>
      <c r="AE39" s="572"/>
      <c r="AG39" s="988" t="s">
        <v>111</v>
      </c>
      <c r="AH39" s="972"/>
      <c r="AI39" s="972"/>
      <c r="AJ39" s="972"/>
      <c r="AK39" s="972"/>
      <c r="AL39" s="972"/>
      <c r="AM39" s="973"/>
      <c r="AN39" s="573">
        <v>346325253.77700001</v>
      </c>
      <c r="AO39" s="573">
        <v>359275558.537</v>
      </c>
      <c r="AP39" s="573">
        <v>368579111.55500001</v>
      </c>
      <c r="AQ39" s="574">
        <v>2.5895312933999999E-2</v>
      </c>
      <c r="AR39" s="574">
        <v>6.4257103792000003E-2</v>
      </c>
      <c r="AS39" s="573">
        <v>22253857.778000001</v>
      </c>
      <c r="AT39" s="571"/>
      <c r="AU39" s="572"/>
      <c r="AW39" s="974" t="s">
        <v>112</v>
      </c>
      <c r="AX39" s="923"/>
      <c r="AY39" s="923"/>
      <c r="AZ39" s="923"/>
      <c r="BA39" s="923"/>
      <c r="BB39" s="923"/>
      <c r="BC39" s="923"/>
      <c r="BD39" s="923"/>
      <c r="BE39" s="923"/>
      <c r="BF39" s="923"/>
      <c r="BG39" s="923"/>
      <c r="BH39" s="923"/>
      <c r="BI39" s="923"/>
      <c r="BJ39" s="923"/>
      <c r="BK39" s="923"/>
      <c r="BM39" s="988" t="s">
        <v>111</v>
      </c>
      <c r="BN39" s="972"/>
      <c r="BO39" s="972"/>
      <c r="BP39" s="972"/>
      <c r="BQ39" s="972"/>
      <c r="BR39" s="972"/>
      <c r="BS39" s="973"/>
      <c r="BT39" s="573">
        <v>5343250</v>
      </c>
      <c r="BU39" s="573">
        <v>6332260</v>
      </c>
      <c r="BV39" s="573">
        <v>7268250</v>
      </c>
      <c r="BW39" s="574">
        <v>0.14781294514099999</v>
      </c>
      <c r="BX39" s="574">
        <v>0.36026762738000001</v>
      </c>
      <c r="BY39" s="573">
        <v>1925000</v>
      </c>
      <c r="BZ39" s="571"/>
      <c r="CA39" s="572"/>
      <c r="CC39" s="988" t="s">
        <v>111</v>
      </c>
      <c r="CD39" s="972"/>
      <c r="CE39" s="972"/>
      <c r="CF39" s="972"/>
      <c r="CG39" s="972"/>
      <c r="CH39" s="972"/>
      <c r="CI39" s="973"/>
      <c r="CJ39" s="573">
        <v>393337.41026999999</v>
      </c>
      <c r="CK39" s="573">
        <v>389281.01461000001</v>
      </c>
      <c r="CL39" s="573">
        <v>397445.7475</v>
      </c>
      <c r="CM39" s="574">
        <v>2.0973878979999999E-2</v>
      </c>
      <c r="CN39" s="574">
        <v>1.0444816899E-2</v>
      </c>
      <c r="CO39" s="573">
        <v>4108.3372300000001</v>
      </c>
      <c r="CP39" s="571"/>
      <c r="CQ39" s="572"/>
      <c r="CS39" s="975" t="s">
        <v>113</v>
      </c>
      <c r="CT39" s="976"/>
      <c r="CU39" s="976"/>
      <c r="CV39" s="976"/>
      <c r="CW39" s="976"/>
      <c r="CX39" s="976"/>
      <c r="CY39" s="976"/>
      <c r="CZ39" s="976"/>
      <c r="DA39" s="976"/>
      <c r="DB39" s="976"/>
      <c r="DC39" s="976"/>
      <c r="DD39" s="976"/>
      <c r="DI39" s="984" t="s">
        <v>109</v>
      </c>
      <c r="DJ39" s="969"/>
      <c r="DK39" s="969"/>
      <c r="DL39" s="969"/>
      <c r="DM39" s="969"/>
      <c r="DN39" s="969"/>
      <c r="DO39" s="970"/>
      <c r="DP39" s="551">
        <v>385570603.34943002</v>
      </c>
      <c r="DQ39" s="551">
        <v>395713876.79945999</v>
      </c>
      <c r="DR39" s="551">
        <v>400871252.35610002</v>
      </c>
      <c r="DS39" s="552">
        <v>1.3033092491000001E-2</v>
      </c>
      <c r="DT39" s="552">
        <v>3.9683131633000003E-2</v>
      </c>
      <c r="DU39" s="551">
        <v>15300649.00667</v>
      </c>
      <c r="DV39" s="553"/>
      <c r="DW39" s="554"/>
      <c r="DY39" s="544"/>
      <c r="DZ39" s="545"/>
      <c r="EA39" s="545"/>
      <c r="EB39" s="545"/>
      <c r="EC39" s="545"/>
      <c r="ED39" s="545"/>
      <c r="EE39" s="546"/>
      <c r="EF39" s="593" t="s">
        <v>202</v>
      </c>
      <c r="EG39" s="593" t="s">
        <v>211</v>
      </c>
      <c r="EH39" s="593" t="s">
        <v>212</v>
      </c>
      <c r="EI39" s="593" t="s">
        <v>79</v>
      </c>
      <c r="EJ39" s="593" t="s">
        <v>80</v>
      </c>
      <c r="EO39" s="988" t="s">
        <v>111</v>
      </c>
      <c r="EP39" s="972"/>
      <c r="EQ39" s="972"/>
      <c r="ER39" s="972"/>
      <c r="ES39" s="972"/>
      <c r="ET39" s="972"/>
      <c r="EU39" s="973"/>
      <c r="EV39" s="573">
        <v>108739686.33091</v>
      </c>
      <c r="EW39" s="573">
        <v>101182177.33891</v>
      </c>
      <c r="EX39" s="573">
        <v>101247577.50091</v>
      </c>
      <c r="EY39" s="574">
        <v>6.46360492E-4</v>
      </c>
      <c r="EZ39" s="574">
        <v>-6.8899489071000006E-2</v>
      </c>
      <c r="FA39" s="573">
        <v>-7492108.8300000001</v>
      </c>
      <c r="FB39" s="571"/>
      <c r="FC39" s="572"/>
      <c r="FE39" s="988" t="s">
        <v>111</v>
      </c>
      <c r="FF39" s="972"/>
      <c r="FG39" s="972"/>
      <c r="FH39" s="972"/>
      <c r="FI39" s="972"/>
      <c r="FJ39" s="972"/>
      <c r="FK39" s="973"/>
      <c r="FL39" s="573">
        <v>2651943.821</v>
      </c>
      <c r="FM39" s="573">
        <v>2639761.9160000002</v>
      </c>
      <c r="FN39" s="573">
        <v>2383361.9160000002</v>
      </c>
      <c r="FO39" s="574">
        <v>-9.7129971625000006E-2</v>
      </c>
      <c r="FP39" s="574">
        <v>-0.10127737355200001</v>
      </c>
      <c r="FQ39" s="573">
        <v>-268581.90500000003</v>
      </c>
      <c r="FR39" s="571"/>
      <c r="FS39" s="572"/>
      <c r="GF39" s="834">
        <v>44926</v>
      </c>
      <c r="GG39" s="575" t="s">
        <v>404</v>
      </c>
      <c r="GH39" s="575" t="s">
        <v>403</v>
      </c>
      <c r="GI39" s="871">
        <v>9085.2922999999992</v>
      </c>
      <c r="GL39" s="353">
        <v>8</v>
      </c>
      <c r="GM39" s="353" t="s">
        <v>138</v>
      </c>
      <c r="GN39" s="353">
        <v>19</v>
      </c>
      <c r="GO39" s="353">
        <v>36</v>
      </c>
      <c r="GP39" s="353">
        <v>15</v>
      </c>
      <c r="GQ39" s="353">
        <v>41</v>
      </c>
      <c r="GR39" s="353">
        <v>21</v>
      </c>
      <c r="GS39" s="353">
        <v>20</v>
      </c>
      <c r="GT39" s="353">
        <v>42</v>
      </c>
      <c r="GU39" s="353">
        <v>83</v>
      </c>
      <c r="GV39" s="353">
        <v>35</v>
      </c>
      <c r="GW39" s="353">
        <v>45</v>
      </c>
      <c r="GX39" s="353">
        <v>70</v>
      </c>
      <c r="GY39" s="353">
        <v>37</v>
      </c>
      <c r="GZ39" s="592">
        <v>30</v>
      </c>
      <c r="HA39" s="592">
        <v>54</v>
      </c>
      <c r="HB39" s="592">
        <v>173</v>
      </c>
      <c r="HC39" s="592">
        <v>40</v>
      </c>
      <c r="HD39" s="592">
        <v>52</v>
      </c>
      <c r="HE39" s="592">
        <v>71</v>
      </c>
      <c r="HF39" s="592">
        <v>57</v>
      </c>
      <c r="HG39" s="592">
        <v>55</v>
      </c>
      <c r="HH39" s="592">
        <v>86</v>
      </c>
      <c r="HI39" s="592">
        <v>68</v>
      </c>
      <c r="HJ39" s="592">
        <v>101</v>
      </c>
      <c r="HK39" s="592">
        <v>212</v>
      </c>
      <c r="HL39" s="592">
        <v>106</v>
      </c>
      <c r="HO39" s="592">
        <v>20</v>
      </c>
      <c r="HP39" s="592">
        <v>72</v>
      </c>
      <c r="HQ39" s="592">
        <v>32</v>
      </c>
      <c r="HR39" s="592">
        <v>51</v>
      </c>
      <c r="HS39" s="592">
        <v>75</v>
      </c>
      <c r="HT39" s="592">
        <v>729</v>
      </c>
      <c r="HU39" s="592">
        <v>662</v>
      </c>
      <c r="HV39" s="592">
        <v>574</v>
      </c>
      <c r="HW39" s="721">
        <v>79</v>
      </c>
      <c r="HX39" s="753">
        <v>63</v>
      </c>
      <c r="HY39" s="753">
        <v>46</v>
      </c>
      <c r="HZ39" s="753">
        <v>303</v>
      </c>
      <c r="IA39" s="592">
        <v>346</v>
      </c>
      <c r="IB39" s="828">
        <v>154</v>
      </c>
      <c r="IC39" s="592">
        <v>243</v>
      </c>
      <c r="IV39" s="353">
        <v>8</v>
      </c>
      <c r="IW39" s="353" t="s">
        <v>138</v>
      </c>
      <c r="IX39" s="353">
        <v>9</v>
      </c>
      <c r="IY39" s="353">
        <v>15</v>
      </c>
      <c r="IZ39" s="353">
        <v>6</v>
      </c>
      <c r="JA39" s="592">
        <v>24</v>
      </c>
      <c r="JB39" s="592">
        <v>13</v>
      </c>
      <c r="JC39" s="592">
        <v>11</v>
      </c>
      <c r="JD39" s="592">
        <v>18</v>
      </c>
      <c r="JE39" s="592">
        <v>22</v>
      </c>
      <c r="JF39" s="592">
        <v>15</v>
      </c>
      <c r="JG39" s="592">
        <v>25</v>
      </c>
      <c r="JH39" s="592">
        <v>17</v>
      </c>
      <c r="JI39" s="592">
        <v>16</v>
      </c>
      <c r="JJ39" s="592">
        <v>16</v>
      </c>
      <c r="JK39" s="592">
        <v>32</v>
      </c>
      <c r="JL39" s="592">
        <v>15</v>
      </c>
      <c r="JM39" s="592">
        <v>10</v>
      </c>
      <c r="JN39" s="592">
        <v>11</v>
      </c>
      <c r="JO39" s="592">
        <v>19</v>
      </c>
      <c r="JP39" s="592">
        <v>8</v>
      </c>
      <c r="JQ39" s="592">
        <v>22</v>
      </c>
      <c r="JR39" s="592">
        <v>32</v>
      </c>
      <c r="JS39" s="592">
        <v>24</v>
      </c>
      <c r="JT39" s="592">
        <v>13</v>
      </c>
      <c r="JU39" s="592">
        <v>25</v>
      </c>
      <c r="JV39" s="592">
        <v>24</v>
      </c>
      <c r="JW39" s="592">
        <v>138</v>
      </c>
      <c r="JX39" s="592">
        <v>61</v>
      </c>
      <c r="JY39" s="592">
        <v>20</v>
      </c>
      <c r="JZ39" s="592">
        <v>55</v>
      </c>
      <c r="KA39" s="592">
        <v>94</v>
      </c>
      <c r="KB39" s="592">
        <v>8</v>
      </c>
      <c r="KC39" s="592">
        <v>18</v>
      </c>
      <c r="KD39" s="592">
        <v>523</v>
      </c>
      <c r="KE39" s="592">
        <v>313</v>
      </c>
      <c r="KF39" s="592">
        <v>366</v>
      </c>
      <c r="KG39" s="592">
        <v>64</v>
      </c>
      <c r="KH39" s="592">
        <v>38</v>
      </c>
      <c r="KI39" s="721">
        <v>24</v>
      </c>
      <c r="KJ39" s="753">
        <v>69</v>
      </c>
      <c r="KK39" s="753">
        <v>81</v>
      </c>
      <c r="KL39" s="753">
        <v>81</v>
      </c>
      <c r="KM39" s="592">
        <v>83</v>
      </c>
      <c r="KN39" s="828">
        <v>88</v>
      </c>
      <c r="KO39" s="592">
        <v>127</v>
      </c>
    </row>
    <row r="40" spans="1:301" ht="20.399999999999999" thickBot="1">
      <c r="A40" s="974" t="s">
        <v>112</v>
      </c>
      <c r="B40" s="923"/>
      <c r="C40" s="923"/>
      <c r="D40" s="923"/>
      <c r="E40" s="923"/>
      <c r="F40" s="923"/>
      <c r="G40" s="923"/>
      <c r="H40" s="923"/>
      <c r="I40" s="923"/>
      <c r="J40" s="923"/>
      <c r="K40" s="923"/>
      <c r="L40" s="923"/>
      <c r="M40" s="923"/>
      <c r="N40" s="923"/>
      <c r="O40" s="923"/>
      <c r="Q40" s="974" t="s">
        <v>112</v>
      </c>
      <c r="R40" s="923"/>
      <c r="S40" s="923"/>
      <c r="T40" s="923"/>
      <c r="U40" s="923"/>
      <c r="V40" s="923"/>
      <c r="W40" s="923"/>
      <c r="X40" s="923"/>
      <c r="Y40" s="923"/>
      <c r="Z40" s="923"/>
      <c r="AA40" s="923"/>
      <c r="AB40" s="923"/>
      <c r="AC40" s="923"/>
      <c r="AD40" s="923"/>
      <c r="AE40" s="923"/>
      <c r="AG40" s="974" t="s">
        <v>112</v>
      </c>
      <c r="AH40" s="923"/>
      <c r="AI40" s="923"/>
      <c r="AJ40" s="923"/>
      <c r="AK40" s="923"/>
      <c r="AL40" s="923"/>
      <c r="AM40" s="923"/>
      <c r="AN40" s="923"/>
      <c r="AO40" s="923"/>
      <c r="AP40" s="923"/>
      <c r="AQ40" s="923"/>
      <c r="AR40" s="923"/>
      <c r="AS40" s="923"/>
      <c r="AT40" s="923"/>
      <c r="AU40" s="923"/>
      <c r="AW40" s="975" t="s">
        <v>113</v>
      </c>
      <c r="AX40" s="976"/>
      <c r="AY40" s="976"/>
      <c r="AZ40" s="976"/>
      <c r="BA40" s="976"/>
      <c r="BB40" s="976"/>
      <c r="BC40" s="976"/>
      <c r="BD40" s="976"/>
      <c r="BE40" s="976"/>
      <c r="BF40" s="976"/>
      <c r="BG40" s="976"/>
      <c r="BH40" s="976"/>
      <c r="BM40" s="974" t="s">
        <v>112</v>
      </c>
      <c r="BN40" s="923"/>
      <c r="BO40" s="923"/>
      <c r="BP40" s="923"/>
      <c r="BQ40" s="923"/>
      <c r="BR40" s="923"/>
      <c r="BS40" s="923"/>
      <c r="BT40" s="923"/>
      <c r="BU40" s="923"/>
      <c r="BV40" s="923"/>
      <c r="BW40" s="923"/>
      <c r="BX40" s="923"/>
      <c r="BY40" s="923"/>
      <c r="BZ40" s="923"/>
      <c r="CA40" s="923"/>
      <c r="CC40" s="974" t="s">
        <v>112</v>
      </c>
      <c r="CD40" s="923"/>
      <c r="CE40" s="923"/>
      <c r="CF40" s="923"/>
      <c r="CG40" s="923"/>
      <c r="CH40" s="923"/>
      <c r="CI40" s="923"/>
      <c r="CJ40" s="923"/>
      <c r="CK40" s="923"/>
      <c r="CL40" s="923"/>
      <c r="CM40" s="923"/>
      <c r="CN40" s="923"/>
      <c r="CO40" s="923"/>
      <c r="CP40" s="923"/>
      <c r="CQ40" s="923"/>
      <c r="CS40" s="544"/>
      <c r="CT40" s="545"/>
      <c r="CU40" s="545"/>
      <c r="CV40" s="545"/>
      <c r="CW40" s="545"/>
      <c r="CX40" s="545"/>
      <c r="CY40" s="546"/>
      <c r="CZ40" s="593" t="s">
        <v>202</v>
      </c>
      <c r="DA40" s="593" t="s">
        <v>211</v>
      </c>
      <c r="DB40" s="593" t="s">
        <v>212</v>
      </c>
      <c r="DC40" s="593" t="s">
        <v>79</v>
      </c>
      <c r="DD40" s="593" t="s">
        <v>80</v>
      </c>
      <c r="DI40" s="984" t="s">
        <v>110</v>
      </c>
      <c r="DJ40" s="969"/>
      <c r="DK40" s="969"/>
      <c r="DL40" s="969"/>
      <c r="DM40" s="969"/>
      <c r="DN40" s="969"/>
      <c r="DO40" s="970"/>
      <c r="DP40" s="551">
        <v>230667436.92901999</v>
      </c>
      <c r="DQ40" s="551">
        <v>237583091.36801001</v>
      </c>
      <c r="DR40" s="551">
        <v>247668937.80379999</v>
      </c>
      <c r="DS40" s="552">
        <v>4.2451869692000002E-2</v>
      </c>
      <c r="DT40" s="552">
        <v>7.3705682522999999E-2</v>
      </c>
      <c r="DU40" s="551">
        <v>17001500.874779999</v>
      </c>
      <c r="DV40" s="553"/>
      <c r="DW40" s="554"/>
      <c r="DY40" s="977" t="s">
        <v>114</v>
      </c>
      <c r="DZ40" s="978"/>
      <c r="EA40" s="978"/>
      <c r="EB40" s="978"/>
      <c r="EC40" s="978"/>
      <c r="ED40" s="978"/>
      <c r="EE40" s="979"/>
      <c r="EF40" s="576">
        <v>0.78754719395899997</v>
      </c>
      <c r="EG40" s="576">
        <v>0.78832652540199999</v>
      </c>
      <c r="EH40" s="576">
        <v>0.792993833047</v>
      </c>
      <c r="EI40" s="576">
        <v>5.920525942E-3</v>
      </c>
      <c r="EJ40" s="577">
        <v>6.9159526299999996E-3</v>
      </c>
      <c r="EO40" s="974" t="s">
        <v>112</v>
      </c>
      <c r="EP40" s="923"/>
      <c r="EQ40" s="923"/>
      <c r="ER40" s="923"/>
      <c r="ES40" s="923"/>
      <c r="ET40" s="923"/>
      <c r="EU40" s="923"/>
      <c r="EV40" s="923"/>
      <c r="EW40" s="923"/>
      <c r="EX40" s="923"/>
      <c r="EY40" s="923"/>
      <c r="EZ40" s="923"/>
      <c r="FA40" s="923"/>
      <c r="FB40" s="923"/>
      <c r="FC40" s="923"/>
      <c r="FE40" s="974" t="s">
        <v>112</v>
      </c>
      <c r="FF40" s="923"/>
      <c r="FG40" s="923"/>
      <c r="FH40" s="923"/>
      <c r="FI40" s="923"/>
      <c r="FJ40" s="923"/>
      <c r="FK40" s="923"/>
      <c r="FL40" s="923"/>
      <c r="FM40" s="923"/>
      <c r="FN40" s="923"/>
      <c r="FO40" s="923"/>
      <c r="FP40" s="923"/>
      <c r="FQ40" s="923"/>
      <c r="FR40" s="923"/>
      <c r="FS40" s="923"/>
      <c r="GF40" s="834">
        <v>45291</v>
      </c>
      <c r="GG40" s="575" t="s">
        <v>404</v>
      </c>
      <c r="GH40" s="575" t="s">
        <v>403</v>
      </c>
      <c r="GI40" s="871">
        <v>9379.9896000000008</v>
      </c>
      <c r="GL40" s="353">
        <v>9</v>
      </c>
      <c r="GM40" s="353" t="s">
        <v>139</v>
      </c>
      <c r="GN40" s="353">
        <v>5</v>
      </c>
      <c r="GO40" s="353">
        <v>2</v>
      </c>
      <c r="GP40" s="353">
        <v>5</v>
      </c>
      <c r="GQ40" s="353">
        <v>6</v>
      </c>
      <c r="GR40" s="353">
        <v>5</v>
      </c>
      <c r="GS40" s="353">
        <v>3</v>
      </c>
      <c r="GT40" s="353">
        <v>0</v>
      </c>
      <c r="GU40" s="353">
        <v>1</v>
      </c>
      <c r="GV40" s="353">
        <v>2</v>
      </c>
      <c r="GW40" s="353">
        <v>6</v>
      </c>
      <c r="GX40" s="353">
        <v>1</v>
      </c>
      <c r="GY40" s="353">
        <v>10</v>
      </c>
      <c r="GZ40" s="592">
        <v>10</v>
      </c>
      <c r="HA40" s="592">
        <v>3</v>
      </c>
      <c r="HB40" s="592">
        <v>1</v>
      </c>
      <c r="HC40" s="592">
        <v>0</v>
      </c>
      <c r="HD40" s="592">
        <v>5</v>
      </c>
      <c r="HE40" s="592">
        <v>12</v>
      </c>
      <c r="HF40" s="592">
        <v>6</v>
      </c>
      <c r="HG40" s="592">
        <v>5</v>
      </c>
      <c r="HH40" s="592">
        <v>11</v>
      </c>
      <c r="HI40" s="592">
        <v>8</v>
      </c>
      <c r="HJ40" s="592">
        <v>14</v>
      </c>
      <c r="HK40" s="592">
        <v>13</v>
      </c>
      <c r="HL40" s="592">
        <v>23</v>
      </c>
      <c r="HO40" s="592">
        <v>10</v>
      </c>
      <c r="HP40" s="592">
        <v>24</v>
      </c>
      <c r="HQ40" s="592">
        <v>20</v>
      </c>
      <c r="HR40" s="592">
        <v>9</v>
      </c>
      <c r="HS40" s="592">
        <v>13</v>
      </c>
      <c r="HT40" s="592">
        <v>13</v>
      </c>
      <c r="HU40" s="592">
        <v>2</v>
      </c>
      <c r="HV40" s="592">
        <v>23</v>
      </c>
      <c r="HW40" s="721">
        <v>9</v>
      </c>
      <c r="HX40" s="753">
        <v>3</v>
      </c>
      <c r="HY40" s="753">
        <v>4</v>
      </c>
      <c r="HZ40" s="753">
        <v>3</v>
      </c>
      <c r="IA40" s="592">
        <v>1</v>
      </c>
      <c r="IB40" s="828">
        <v>7</v>
      </c>
      <c r="IC40" s="592">
        <v>6</v>
      </c>
      <c r="IV40" s="353">
        <v>9</v>
      </c>
      <c r="IW40" s="353" t="s">
        <v>139</v>
      </c>
      <c r="IX40" s="353">
        <v>4</v>
      </c>
      <c r="IY40" s="353">
        <v>1</v>
      </c>
      <c r="IZ40" s="353">
        <v>3</v>
      </c>
      <c r="JA40" s="592">
        <v>5</v>
      </c>
      <c r="JB40" s="592">
        <v>4</v>
      </c>
      <c r="JC40" s="592">
        <v>3</v>
      </c>
      <c r="JD40" s="592">
        <v>0</v>
      </c>
      <c r="JE40" s="592">
        <v>0</v>
      </c>
      <c r="JF40" s="592">
        <v>2</v>
      </c>
      <c r="JG40" s="592">
        <v>5</v>
      </c>
      <c r="JH40" s="592">
        <v>0</v>
      </c>
      <c r="JI40" s="592">
        <v>8</v>
      </c>
      <c r="JJ40" s="592">
        <v>6</v>
      </c>
      <c r="JK40" s="592">
        <v>2</v>
      </c>
      <c r="JL40" s="592">
        <v>1</v>
      </c>
      <c r="JM40" s="592">
        <v>1</v>
      </c>
      <c r="JN40" s="592">
        <v>0</v>
      </c>
      <c r="JO40" s="592">
        <v>3</v>
      </c>
      <c r="JP40" s="592">
        <v>5</v>
      </c>
      <c r="JQ40" s="592">
        <v>1</v>
      </c>
      <c r="JR40" s="592">
        <v>1</v>
      </c>
      <c r="JS40" s="592">
        <v>0</v>
      </c>
      <c r="JT40" s="592">
        <v>8</v>
      </c>
      <c r="JU40" s="592">
        <v>3</v>
      </c>
      <c r="JV40" s="592">
        <v>11</v>
      </c>
      <c r="JW40" s="592">
        <v>10</v>
      </c>
      <c r="JX40" s="592">
        <v>8</v>
      </c>
      <c r="JY40" s="592">
        <v>3</v>
      </c>
      <c r="JZ40" s="592">
        <v>10</v>
      </c>
      <c r="KA40" s="592">
        <v>9</v>
      </c>
      <c r="KB40" s="592">
        <v>3</v>
      </c>
      <c r="KC40" s="592">
        <v>4</v>
      </c>
      <c r="KD40" s="592">
        <v>6</v>
      </c>
      <c r="KE40" s="592">
        <v>1</v>
      </c>
      <c r="KF40" s="592">
        <v>15</v>
      </c>
      <c r="KG40" s="592">
        <v>3</v>
      </c>
      <c r="KH40" s="592">
        <v>3</v>
      </c>
      <c r="KI40" s="721">
        <v>4</v>
      </c>
      <c r="KJ40" s="753">
        <v>4</v>
      </c>
      <c r="KK40" s="753">
        <v>0</v>
      </c>
      <c r="KL40" s="753">
        <v>1</v>
      </c>
      <c r="KM40" s="592">
        <v>4</v>
      </c>
      <c r="KN40" s="828">
        <v>4</v>
      </c>
      <c r="KO40" s="592">
        <v>0</v>
      </c>
    </row>
    <row r="41" spans="1:301" ht="15.6" thickBot="1">
      <c r="A41" s="975" t="s">
        <v>113</v>
      </c>
      <c r="B41" s="976"/>
      <c r="C41" s="976"/>
      <c r="D41" s="976"/>
      <c r="E41" s="976"/>
      <c r="F41" s="976"/>
      <c r="G41" s="976"/>
      <c r="H41" s="976"/>
      <c r="I41" s="976"/>
      <c r="J41" s="976"/>
      <c r="K41" s="976"/>
      <c r="L41" s="976"/>
      <c r="Q41" s="975" t="s">
        <v>113</v>
      </c>
      <c r="R41" s="976"/>
      <c r="S41" s="976"/>
      <c r="T41" s="976"/>
      <c r="U41" s="976"/>
      <c r="V41" s="976"/>
      <c r="W41" s="976"/>
      <c r="X41" s="976"/>
      <c r="Y41" s="976"/>
      <c r="Z41" s="976"/>
      <c r="AA41" s="976"/>
      <c r="AB41" s="976"/>
      <c r="AG41" s="975" t="s">
        <v>113</v>
      </c>
      <c r="AH41" s="976"/>
      <c r="AI41" s="976"/>
      <c r="AJ41" s="976"/>
      <c r="AK41" s="976"/>
      <c r="AL41" s="976"/>
      <c r="AM41" s="976"/>
      <c r="AN41" s="976"/>
      <c r="AO41" s="976"/>
      <c r="AP41" s="976"/>
      <c r="AQ41" s="976"/>
      <c r="AR41" s="976"/>
      <c r="AW41" s="544"/>
      <c r="AX41" s="545"/>
      <c r="AY41" s="545"/>
      <c r="AZ41" s="545"/>
      <c r="BA41" s="545"/>
      <c r="BB41" s="545"/>
      <c r="BC41" s="546"/>
      <c r="BD41" s="593" t="s">
        <v>202</v>
      </c>
      <c r="BE41" s="593" t="s">
        <v>211</v>
      </c>
      <c r="BF41" s="593" t="s">
        <v>212</v>
      </c>
      <c r="BG41" s="593" t="s">
        <v>79</v>
      </c>
      <c r="BH41" s="593" t="s">
        <v>80</v>
      </c>
      <c r="BM41" s="975" t="s">
        <v>113</v>
      </c>
      <c r="BN41" s="976"/>
      <c r="BO41" s="976"/>
      <c r="BP41" s="976"/>
      <c r="BQ41" s="976"/>
      <c r="BR41" s="976"/>
      <c r="BS41" s="976"/>
      <c r="BT41" s="976"/>
      <c r="BU41" s="976"/>
      <c r="BV41" s="976"/>
      <c r="BW41" s="976"/>
      <c r="BX41" s="976"/>
      <c r="CC41" s="975" t="s">
        <v>113</v>
      </c>
      <c r="CD41" s="976"/>
      <c r="CE41" s="976"/>
      <c r="CF41" s="976"/>
      <c r="CG41" s="976"/>
      <c r="CH41" s="976"/>
      <c r="CI41" s="976"/>
      <c r="CJ41" s="976"/>
      <c r="CK41" s="976"/>
      <c r="CL41" s="976"/>
      <c r="CM41" s="976"/>
      <c r="CN41" s="976"/>
      <c r="CS41" s="977" t="s">
        <v>114</v>
      </c>
      <c r="CT41" s="978"/>
      <c r="CU41" s="978"/>
      <c r="CV41" s="978"/>
      <c r="CW41" s="978"/>
      <c r="CX41" s="978"/>
      <c r="CY41" s="979"/>
      <c r="CZ41" s="576">
        <v>0.68736645556200004</v>
      </c>
      <c r="DA41" s="576">
        <v>0.68787404297800003</v>
      </c>
      <c r="DB41" s="576">
        <v>0.69278120847299995</v>
      </c>
      <c r="DC41" s="576">
        <v>7.1338140240000004E-3</v>
      </c>
      <c r="DD41" s="577">
        <v>7.8775344170000008E-3</v>
      </c>
      <c r="DI41" s="988" t="s">
        <v>111</v>
      </c>
      <c r="DJ41" s="972"/>
      <c r="DK41" s="972"/>
      <c r="DL41" s="972"/>
      <c r="DM41" s="972"/>
      <c r="DN41" s="972"/>
      <c r="DO41" s="973"/>
      <c r="DP41" s="573">
        <v>178595925.72635001</v>
      </c>
      <c r="DQ41" s="573">
        <v>178019711.98221001</v>
      </c>
      <c r="DR41" s="573">
        <v>180986629.42541999</v>
      </c>
      <c r="DS41" s="574">
        <v>1.6666229880000001E-2</v>
      </c>
      <c r="DT41" s="574">
        <v>1.3386104354000001E-2</v>
      </c>
      <c r="DU41" s="573">
        <v>2390703.6990699898</v>
      </c>
      <c r="DV41" s="571"/>
      <c r="DW41" s="572"/>
      <c r="DY41" s="968" t="s">
        <v>115</v>
      </c>
      <c r="DZ41" s="969"/>
      <c r="EA41" s="969"/>
      <c r="EB41" s="969"/>
      <c r="EC41" s="969"/>
      <c r="ED41" s="969"/>
      <c r="EE41" s="970"/>
      <c r="EF41" s="576">
        <v>9.5604110889999996E-2</v>
      </c>
      <c r="EG41" s="576">
        <v>9.9828546934999998E-2</v>
      </c>
      <c r="EH41" s="576">
        <v>9.4701958618000001E-2</v>
      </c>
      <c r="EI41" s="576">
        <v>-5.1353931057E-2</v>
      </c>
      <c r="EJ41" s="577">
        <v>-9.4363334759999997E-3</v>
      </c>
      <c r="EO41" s="975" t="s">
        <v>113</v>
      </c>
      <c r="EP41" s="976"/>
      <c r="EQ41" s="976"/>
      <c r="ER41" s="976"/>
      <c r="ES41" s="976"/>
      <c r="ET41" s="976"/>
      <c r="EU41" s="976"/>
      <c r="EV41" s="976"/>
      <c r="EW41" s="976"/>
      <c r="EX41" s="976"/>
      <c r="EY41" s="976"/>
      <c r="EZ41" s="976"/>
      <c r="FE41" s="975" t="s">
        <v>113</v>
      </c>
      <c r="FF41" s="976"/>
      <c r="FG41" s="976"/>
      <c r="FH41" s="976"/>
      <c r="FI41" s="976"/>
      <c r="FJ41" s="976"/>
      <c r="FK41" s="976"/>
      <c r="FL41" s="976"/>
      <c r="FM41" s="976"/>
      <c r="FN41" s="976"/>
      <c r="FO41" s="976"/>
      <c r="FP41" s="976"/>
      <c r="GF41" s="834">
        <v>44926</v>
      </c>
      <c r="GG41" s="575" t="s">
        <v>405</v>
      </c>
      <c r="GH41" s="575" t="s">
        <v>403</v>
      </c>
      <c r="GI41" s="871">
        <v>4728.55</v>
      </c>
      <c r="GL41" s="353">
        <v>10</v>
      </c>
      <c r="GM41" s="353" t="s">
        <v>141</v>
      </c>
      <c r="GN41" s="353">
        <v>9</v>
      </c>
      <c r="GO41" s="353">
        <v>8</v>
      </c>
      <c r="GP41" s="353">
        <v>9</v>
      </c>
      <c r="GQ41" s="353">
        <v>19</v>
      </c>
      <c r="GR41" s="353">
        <v>8</v>
      </c>
      <c r="GS41" s="353">
        <v>13</v>
      </c>
      <c r="GT41" s="353">
        <v>9</v>
      </c>
      <c r="GU41" s="353">
        <v>9</v>
      </c>
      <c r="GV41" s="353">
        <v>1</v>
      </c>
      <c r="GW41" s="353">
        <v>29</v>
      </c>
      <c r="GX41" s="353">
        <v>54</v>
      </c>
      <c r="GY41" s="353">
        <v>190</v>
      </c>
      <c r="GZ41" s="592">
        <v>39</v>
      </c>
      <c r="HA41" s="592">
        <v>57</v>
      </c>
      <c r="HB41" s="592">
        <v>5</v>
      </c>
      <c r="HC41" s="592">
        <v>4</v>
      </c>
      <c r="HD41" s="592">
        <v>12</v>
      </c>
      <c r="HE41" s="592">
        <v>33</v>
      </c>
      <c r="HF41" s="592">
        <v>20</v>
      </c>
      <c r="HG41" s="592">
        <v>19</v>
      </c>
      <c r="HH41" s="592">
        <v>16</v>
      </c>
      <c r="HI41" s="592">
        <v>9</v>
      </c>
      <c r="HJ41" s="592">
        <v>5</v>
      </c>
      <c r="HK41" s="592">
        <v>9</v>
      </c>
      <c r="HL41" s="592">
        <v>5</v>
      </c>
      <c r="HO41" s="592">
        <v>15</v>
      </c>
      <c r="HP41" s="592">
        <v>5</v>
      </c>
      <c r="HQ41" s="592">
        <v>25</v>
      </c>
      <c r="HR41" s="592">
        <v>5</v>
      </c>
      <c r="HS41" s="592">
        <v>5</v>
      </c>
      <c r="HT41" s="592">
        <v>10</v>
      </c>
      <c r="HU41" s="592">
        <v>4</v>
      </c>
      <c r="HV41" s="592">
        <v>6</v>
      </c>
      <c r="HW41" s="721">
        <v>37</v>
      </c>
      <c r="HX41" s="753">
        <v>43</v>
      </c>
      <c r="HY41" s="753">
        <v>97</v>
      </c>
      <c r="HZ41" s="753">
        <v>56</v>
      </c>
      <c r="IA41" s="592">
        <v>156</v>
      </c>
      <c r="IB41" s="828">
        <v>156</v>
      </c>
      <c r="IC41" s="592">
        <v>218</v>
      </c>
      <c r="IV41" s="353">
        <v>10</v>
      </c>
      <c r="IW41" s="353" t="s">
        <v>141</v>
      </c>
      <c r="IX41" s="353">
        <v>4</v>
      </c>
      <c r="IY41" s="353">
        <v>5</v>
      </c>
      <c r="IZ41" s="353">
        <v>3</v>
      </c>
      <c r="JA41" s="592">
        <v>11</v>
      </c>
      <c r="JB41" s="592">
        <v>6</v>
      </c>
      <c r="JC41" s="592">
        <v>8</v>
      </c>
      <c r="JD41" s="592">
        <v>4</v>
      </c>
      <c r="JE41" s="592">
        <v>4</v>
      </c>
      <c r="JF41" s="592">
        <v>1</v>
      </c>
      <c r="JG41" s="592">
        <v>1</v>
      </c>
      <c r="JH41" s="592">
        <v>3</v>
      </c>
      <c r="JI41" s="592">
        <v>191</v>
      </c>
      <c r="JJ41" s="592">
        <v>11</v>
      </c>
      <c r="JK41" s="592">
        <v>32</v>
      </c>
      <c r="JL41" s="592">
        <v>4</v>
      </c>
      <c r="JM41" s="592">
        <v>1</v>
      </c>
      <c r="JN41" s="592">
        <v>4</v>
      </c>
      <c r="JO41" s="592">
        <v>10</v>
      </c>
      <c r="JP41" s="592">
        <v>16</v>
      </c>
      <c r="JQ41" s="592">
        <v>18</v>
      </c>
      <c r="JR41" s="592">
        <v>17</v>
      </c>
      <c r="JS41" s="592">
        <v>9</v>
      </c>
      <c r="JT41" s="592">
        <v>6</v>
      </c>
      <c r="JU41" s="592">
        <v>8</v>
      </c>
      <c r="JV41" s="592">
        <v>4</v>
      </c>
      <c r="JW41" s="592">
        <v>5</v>
      </c>
      <c r="JX41" s="592">
        <v>10</v>
      </c>
      <c r="JY41" s="592">
        <v>11</v>
      </c>
      <c r="JZ41" s="592">
        <v>1</v>
      </c>
      <c r="KA41" s="592">
        <v>14</v>
      </c>
      <c r="KB41" s="592">
        <v>3</v>
      </c>
      <c r="KC41" s="592">
        <v>3</v>
      </c>
      <c r="KD41" s="592">
        <v>8</v>
      </c>
      <c r="KE41" s="592">
        <v>3</v>
      </c>
      <c r="KF41" s="592">
        <v>4</v>
      </c>
      <c r="KG41" s="592">
        <v>6</v>
      </c>
      <c r="KH41" s="592">
        <v>4</v>
      </c>
      <c r="KI41" s="721">
        <v>19</v>
      </c>
      <c r="KJ41" s="753">
        <v>22</v>
      </c>
      <c r="KK41" s="753">
        <v>3</v>
      </c>
      <c r="KL41" s="753">
        <v>6</v>
      </c>
      <c r="KM41" s="592">
        <v>34</v>
      </c>
      <c r="KN41" s="828">
        <v>27</v>
      </c>
      <c r="KO41" s="592">
        <v>15</v>
      </c>
    </row>
    <row r="42" spans="1:301" ht="20.399999999999999" thickBot="1">
      <c r="A42" s="544"/>
      <c r="B42" s="545"/>
      <c r="C42" s="545"/>
      <c r="D42" s="545"/>
      <c r="E42" s="545"/>
      <c r="F42" s="545"/>
      <c r="G42" s="546"/>
      <c r="H42" s="593" t="s">
        <v>202</v>
      </c>
      <c r="I42" s="593" t="s">
        <v>211</v>
      </c>
      <c r="J42" s="593" t="s">
        <v>212</v>
      </c>
      <c r="K42" s="593" t="s">
        <v>79</v>
      </c>
      <c r="L42" s="593" t="s">
        <v>80</v>
      </c>
      <c r="Q42" s="544"/>
      <c r="R42" s="545"/>
      <c r="S42" s="545"/>
      <c r="T42" s="545"/>
      <c r="U42" s="545"/>
      <c r="V42" s="545"/>
      <c r="W42" s="546"/>
      <c r="X42" s="593" t="s">
        <v>202</v>
      </c>
      <c r="Y42" s="593" t="s">
        <v>211</v>
      </c>
      <c r="Z42" s="593" t="s">
        <v>212</v>
      </c>
      <c r="AA42" s="593" t="s">
        <v>79</v>
      </c>
      <c r="AB42" s="593" t="s">
        <v>80</v>
      </c>
      <c r="AG42" s="544"/>
      <c r="AH42" s="545"/>
      <c r="AI42" s="545"/>
      <c r="AJ42" s="545"/>
      <c r="AK42" s="545"/>
      <c r="AL42" s="545"/>
      <c r="AM42" s="546"/>
      <c r="AN42" s="593" t="s">
        <v>202</v>
      </c>
      <c r="AO42" s="593" t="s">
        <v>211</v>
      </c>
      <c r="AP42" s="593" t="s">
        <v>212</v>
      </c>
      <c r="AQ42" s="593" t="s">
        <v>79</v>
      </c>
      <c r="AR42" s="593" t="s">
        <v>80</v>
      </c>
      <c r="AW42" s="977" t="s">
        <v>114</v>
      </c>
      <c r="AX42" s="978"/>
      <c r="AY42" s="978"/>
      <c r="AZ42" s="978"/>
      <c r="BA42" s="978"/>
      <c r="BB42" s="978"/>
      <c r="BC42" s="979"/>
      <c r="BD42" s="576">
        <v>0.72128849766699998</v>
      </c>
      <c r="BE42" s="576">
        <v>0.715755724165</v>
      </c>
      <c r="BF42" s="576">
        <v>0.69397870726300004</v>
      </c>
      <c r="BG42" s="576">
        <v>-3.0425208164E-2</v>
      </c>
      <c r="BH42" s="577">
        <v>-3.7862506461999998E-2</v>
      </c>
      <c r="BM42" s="544"/>
      <c r="BN42" s="545"/>
      <c r="BO42" s="545"/>
      <c r="BP42" s="545"/>
      <c r="BQ42" s="545"/>
      <c r="BR42" s="545"/>
      <c r="BS42" s="546"/>
      <c r="BT42" s="593" t="s">
        <v>202</v>
      </c>
      <c r="BU42" s="593" t="s">
        <v>211</v>
      </c>
      <c r="BV42" s="593" t="s">
        <v>212</v>
      </c>
      <c r="BW42" s="593" t="s">
        <v>79</v>
      </c>
      <c r="BX42" s="593" t="s">
        <v>80</v>
      </c>
      <c r="CC42" s="544"/>
      <c r="CD42" s="545"/>
      <c r="CE42" s="545"/>
      <c r="CF42" s="545"/>
      <c r="CG42" s="545"/>
      <c r="CH42" s="545"/>
      <c r="CI42" s="546"/>
      <c r="CJ42" s="593" t="s">
        <v>202</v>
      </c>
      <c r="CK42" s="593" t="s">
        <v>211</v>
      </c>
      <c r="CL42" s="593" t="s">
        <v>212</v>
      </c>
      <c r="CM42" s="593" t="s">
        <v>79</v>
      </c>
      <c r="CN42" s="593" t="s">
        <v>80</v>
      </c>
      <c r="CS42" s="968" t="s">
        <v>115</v>
      </c>
      <c r="CT42" s="969"/>
      <c r="CU42" s="969"/>
      <c r="CV42" s="969"/>
      <c r="CW42" s="969"/>
      <c r="CX42" s="969"/>
      <c r="CY42" s="970"/>
      <c r="CZ42" s="576">
        <v>0.12036359695399999</v>
      </c>
      <c r="DA42" s="576">
        <v>0.117932192374</v>
      </c>
      <c r="DB42" s="576">
        <v>0.118093366629</v>
      </c>
      <c r="DC42" s="576">
        <v>1.3666688639999999E-3</v>
      </c>
      <c r="DD42" s="577">
        <v>-1.8861436366E-2</v>
      </c>
      <c r="DI42" s="974" t="s">
        <v>112</v>
      </c>
      <c r="DJ42" s="923"/>
      <c r="DK42" s="923"/>
      <c r="DL42" s="923"/>
      <c r="DM42" s="923"/>
      <c r="DN42" s="923"/>
      <c r="DO42" s="923"/>
      <c r="DP42" s="923"/>
      <c r="DQ42" s="923"/>
      <c r="DR42" s="923"/>
      <c r="DS42" s="923"/>
      <c r="DT42" s="923"/>
      <c r="DU42" s="923"/>
      <c r="DV42" s="923"/>
      <c r="DW42" s="923"/>
      <c r="DY42" s="968" t="s">
        <v>116</v>
      </c>
      <c r="DZ42" s="969"/>
      <c r="EA42" s="969"/>
      <c r="EB42" s="969"/>
      <c r="EC42" s="969"/>
      <c r="ED42" s="969"/>
      <c r="EE42" s="970"/>
      <c r="EF42" s="578">
        <v>3.7711058747049999</v>
      </c>
      <c r="EG42" s="578">
        <v>3.759057604339</v>
      </c>
      <c r="EH42" s="578">
        <v>3.7452096528499998</v>
      </c>
      <c r="EI42" s="576">
        <v>-3.683889141E-3</v>
      </c>
      <c r="EJ42" s="577">
        <v>-6.8670100270000001E-3</v>
      </c>
      <c r="EO42" s="544"/>
      <c r="EP42" s="545"/>
      <c r="EQ42" s="545"/>
      <c r="ER42" s="545"/>
      <c r="ES42" s="545"/>
      <c r="ET42" s="545"/>
      <c r="EU42" s="546"/>
      <c r="EV42" s="593" t="s">
        <v>202</v>
      </c>
      <c r="EW42" s="593" t="s">
        <v>211</v>
      </c>
      <c r="EX42" s="593" t="s">
        <v>212</v>
      </c>
      <c r="EY42" s="593" t="s">
        <v>79</v>
      </c>
      <c r="EZ42" s="593" t="s">
        <v>80</v>
      </c>
      <c r="FE42" s="544"/>
      <c r="FF42" s="545"/>
      <c r="FG42" s="545"/>
      <c r="FH42" s="545"/>
      <c r="FI42" s="545"/>
      <c r="FJ42" s="545"/>
      <c r="FK42" s="546"/>
      <c r="FL42" s="593" t="s">
        <v>202</v>
      </c>
      <c r="FM42" s="593" t="s">
        <v>211</v>
      </c>
      <c r="FN42" s="593" t="s">
        <v>212</v>
      </c>
      <c r="FO42" s="593" t="s">
        <v>79</v>
      </c>
      <c r="FP42" s="593" t="s">
        <v>80</v>
      </c>
      <c r="GF42" s="834">
        <v>45291</v>
      </c>
      <c r="GG42" s="575" t="s">
        <v>405</v>
      </c>
      <c r="GH42" s="575" t="s">
        <v>403</v>
      </c>
      <c r="GI42" s="871">
        <v>4986.57</v>
      </c>
      <c r="GL42" s="353">
        <v>11</v>
      </c>
      <c r="GM42" s="353" t="s">
        <v>140</v>
      </c>
      <c r="GN42" s="353">
        <v>2</v>
      </c>
      <c r="GO42" s="353">
        <v>2</v>
      </c>
      <c r="GP42" s="353">
        <v>7</v>
      </c>
      <c r="GQ42" s="353">
        <v>3</v>
      </c>
      <c r="GR42" s="353">
        <v>1</v>
      </c>
      <c r="GS42" s="353">
        <v>1</v>
      </c>
      <c r="GT42" s="353">
        <v>2</v>
      </c>
      <c r="GU42" s="353">
        <v>3</v>
      </c>
      <c r="GV42" s="353">
        <v>1</v>
      </c>
      <c r="GW42" s="353">
        <v>0</v>
      </c>
      <c r="GX42" s="353">
        <v>1</v>
      </c>
      <c r="GY42" s="353">
        <v>0</v>
      </c>
      <c r="GZ42" s="592">
        <v>0</v>
      </c>
      <c r="HA42" s="592">
        <v>0</v>
      </c>
      <c r="HB42" s="592">
        <v>0</v>
      </c>
      <c r="HC42" s="592">
        <v>0</v>
      </c>
      <c r="HD42" s="592">
        <v>0</v>
      </c>
      <c r="HE42" s="592">
        <v>1</v>
      </c>
      <c r="HF42" s="592">
        <v>0</v>
      </c>
      <c r="HG42" s="592">
        <v>0</v>
      </c>
      <c r="HH42" s="592">
        <v>0</v>
      </c>
      <c r="HI42" s="592">
        <v>0</v>
      </c>
      <c r="HJ42" s="592">
        <v>0</v>
      </c>
      <c r="HK42" s="592">
        <v>2</v>
      </c>
      <c r="HL42" s="592">
        <v>1</v>
      </c>
      <c r="HO42" s="592">
        <v>0</v>
      </c>
      <c r="HP42" s="592">
        <v>1</v>
      </c>
      <c r="HQ42" s="592">
        <v>0</v>
      </c>
      <c r="HR42" s="592">
        <v>0</v>
      </c>
      <c r="HS42" s="592">
        <v>0</v>
      </c>
      <c r="HT42" s="592">
        <v>0</v>
      </c>
      <c r="HU42" s="592">
        <v>0</v>
      </c>
      <c r="HV42" s="592">
        <v>0</v>
      </c>
      <c r="HW42" s="721">
        <v>0</v>
      </c>
      <c r="HX42" s="753">
        <v>0</v>
      </c>
      <c r="HY42" s="753">
        <v>0</v>
      </c>
      <c r="HZ42" s="753">
        <v>0</v>
      </c>
      <c r="IA42" s="592">
        <v>0</v>
      </c>
      <c r="IB42" s="828">
        <v>0</v>
      </c>
      <c r="IC42" s="592">
        <v>1</v>
      </c>
      <c r="IV42" s="353">
        <v>11</v>
      </c>
      <c r="IW42" s="353" t="s">
        <v>140</v>
      </c>
      <c r="IX42" s="353">
        <v>0</v>
      </c>
      <c r="IY42" s="353">
        <v>2</v>
      </c>
      <c r="IZ42" s="353">
        <v>1</v>
      </c>
      <c r="JA42" s="592">
        <v>1</v>
      </c>
      <c r="JB42" s="592">
        <v>1</v>
      </c>
      <c r="JC42" s="592">
        <v>1</v>
      </c>
      <c r="JD42" s="592">
        <v>1</v>
      </c>
      <c r="JE42" s="592">
        <v>3</v>
      </c>
      <c r="JF42" s="592">
        <v>1</v>
      </c>
      <c r="JG42" s="592">
        <v>0</v>
      </c>
      <c r="JH42" s="592">
        <v>1</v>
      </c>
      <c r="JI42" s="592">
        <v>0</v>
      </c>
      <c r="JJ42" s="592">
        <v>0</v>
      </c>
      <c r="JK42" s="592">
        <v>0</v>
      </c>
      <c r="JL42" s="592">
        <v>0</v>
      </c>
      <c r="JM42" s="592">
        <v>0</v>
      </c>
      <c r="JN42" s="592">
        <v>0</v>
      </c>
      <c r="JO42" s="592">
        <v>0</v>
      </c>
      <c r="JP42" s="592">
        <v>0</v>
      </c>
      <c r="JQ42" s="592">
        <v>0</v>
      </c>
      <c r="JR42" s="592">
        <v>0</v>
      </c>
      <c r="JS42" s="592">
        <v>0</v>
      </c>
      <c r="JT42" s="592">
        <v>0</v>
      </c>
      <c r="JU42" s="592">
        <v>0</v>
      </c>
      <c r="JV42" s="592">
        <v>0</v>
      </c>
      <c r="JW42" s="592">
        <v>0</v>
      </c>
      <c r="JX42" s="592">
        <v>0</v>
      </c>
      <c r="JY42" s="592">
        <v>0</v>
      </c>
      <c r="JZ42" s="592">
        <v>1</v>
      </c>
      <c r="KA42" s="592">
        <v>0</v>
      </c>
      <c r="KB42" s="592">
        <v>0</v>
      </c>
      <c r="KC42" s="592">
        <v>0</v>
      </c>
      <c r="KD42" s="592">
        <v>0</v>
      </c>
      <c r="KE42" s="592">
        <v>0</v>
      </c>
      <c r="KF42" s="592">
        <v>0</v>
      </c>
      <c r="KG42" s="592">
        <v>0</v>
      </c>
      <c r="KH42" s="592">
        <v>0</v>
      </c>
      <c r="KI42" s="721">
        <v>0</v>
      </c>
      <c r="KJ42" s="753">
        <v>0</v>
      </c>
      <c r="KK42" s="753">
        <v>0</v>
      </c>
      <c r="KL42" s="753">
        <v>0</v>
      </c>
      <c r="KM42" s="592">
        <v>0</v>
      </c>
      <c r="KN42" s="828">
        <v>0</v>
      </c>
      <c r="KO42" s="592">
        <v>1</v>
      </c>
    </row>
    <row r="43" spans="1:301" ht="15.6" thickBot="1">
      <c r="A43" s="977" t="s">
        <v>114</v>
      </c>
      <c r="B43" s="978"/>
      <c r="C43" s="978"/>
      <c r="D43" s="978"/>
      <c r="E43" s="978"/>
      <c r="F43" s="978"/>
      <c r="G43" s="979"/>
      <c r="H43" s="576">
        <v>0.68601063829700004</v>
      </c>
      <c r="I43" s="576">
        <v>0.67957518106100001</v>
      </c>
      <c r="J43" s="576">
        <v>0.674949028136</v>
      </c>
      <c r="K43" s="576">
        <v>-6.8074188899999999E-3</v>
      </c>
      <c r="L43" s="577">
        <v>-1.6124546098E-2</v>
      </c>
      <c r="Q43" s="977" t="s">
        <v>114</v>
      </c>
      <c r="R43" s="978"/>
      <c r="S43" s="978"/>
      <c r="T43" s="978"/>
      <c r="U43" s="978"/>
      <c r="V43" s="978"/>
      <c r="W43" s="979"/>
      <c r="X43" s="576">
        <v>0.66696127867800004</v>
      </c>
      <c r="Y43" s="576">
        <v>0.67072808044700005</v>
      </c>
      <c r="Z43" s="576">
        <v>0.667225008791</v>
      </c>
      <c r="AA43" s="576">
        <v>-5.2227896189999999E-3</v>
      </c>
      <c r="AB43" s="577">
        <v>3.9542042599999998E-4</v>
      </c>
      <c r="AG43" s="977" t="s">
        <v>114</v>
      </c>
      <c r="AH43" s="978"/>
      <c r="AI43" s="978"/>
      <c r="AJ43" s="978"/>
      <c r="AK43" s="978"/>
      <c r="AL43" s="978"/>
      <c r="AM43" s="979"/>
      <c r="AN43" s="576">
        <v>0.61511946534999995</v>
      </c>
      <c r="AO43" s="576">
        <v>0.61050926788500004</v>
      </c>
      <c r="AP43" s="576">
        <v>0.61347928252600004</v>
      </c>
      <c r="AQ43" s="576">
        <v>4.8648149959999998E-3</v>
      </c>
      <c r="AR43" s="577">
        <v>-2.6664459769999999E-3</v>
      </c>
      <c r="AW43" s="968" t="s">
        <v>115</v>
      </c>
      <c r="AX43" s="969"/>
      <c r="AY43" s="969"/>
      <c r="AZ43" s="969"/>
      <c r="BA43" s="969"/>
      <c r="BB43" s="969"/>
      <c r="BC43" s="970"/>
      <c r="BD43" s="576">
        <v>0.13350458411499999</v>
      </c>
      <c r="BE43" s="576">
        <v>0.132591463774</v>
      </c>
      <c r="BF43" s="576">
        <v>0.154165120539</v>
      </c>
      <c r="BG43" s="576">
        <v>0.16270773509899999</v>
      </c>
      <c r="BH43" s="577">
        <v>0.154755258487</v>
      </c>
      <c r="BM43" s="977" t="s">
        <v>114</v>
      </c>
      <c r="BN43" s="978"/>
      <c r="BO43" s="978"/>
      <c r="BP43" s="978"/>
      <c r="BQ43" s="978"/>
      <c r="BR43" s="978"/>
      <c r="BS43" s="979"/>
      <c r="BT43" s="576">
        <v>0.82561776665599995</v>
      </c>
      <c r="BU43" s="576">
        <v>0.80700946533600004</v>
      </c>
      <c r="BV43" s="576">
        <v>0.800280870699</v>
      </c>
      <c r="BW43" s="576">
        <v>-8.3376898609999993E-3</v>
      </c>
      <c r="BX43" s="577">
        <v>-3.0688409310000001E-2</v>
      </c>
      <c r="CC43" s="977" t="s">
        <v>114</v>
      </c>
      <c r="CD43" s="978"/>
      <c r="CE43" s="978"/>
      <c r="CF43" s="978"/>
      <c r="CG43" s="978"/>
      <c r="CH43" s="978"/>
      <c r="CI43" s="979"/>
      <c r="CJ43" s="576">
        <v>0.47397774796800002</v>
      </c>
      <c r="CK43" s="576">
        <v>0.471981308293</v>
      </c>
      <c r="CL43" s="576">
        <v>0.469954093919</v>
      </c>
      <c r="CM43" s="576">
        <v>-4.2951157990000002E-3</v>
      </c>
      <c r="CN43" s="577">
        <v>-8.4891201449999992E-3</v>
      </c>
      <c r="CS43" s="968" t="s">
        <v>116</v>
      </c>
      <c r="CT43" s="969"/>
      <c r="CU43" s="969"/>
      <c r="CV43" s="969"/>
      <c r="CW43" s="969"/>
      <c r="CX43" s="969"/>
      <c r="CY43" s="970"/>
      <c r="CZ43" s="578">
        <v>5.112887868264</v>
      </c>
      <c r="DA43" s="578">
        <v>5.127794768667</v>
      </c>
      <c r="DB43" s="578">
        <v>5.1638599757410004</v>
      </c>
      <c r="DC43" s="576">
        <v>7.0332781819999997E-3</v>
      </c>
      <c r="DD43" s="577">
        <v>9.9693380310000006E-3</v>
      </c>
      <c r="DI43" s="975" t="s">
        <v>113</v>
      </c>
      <c r="DJ43" s="976"/>
      <c r="DK43" s="976"/>
      <c r="DL43" s="976"/>
      <c r="DM43" s="976"/>
      <c r="DN43" s="976"/>
      <c r="DO43" s="976"/>
      <c r="DP43" s="976"/>
      <c r="DQ43" s="976"/>
      <c r="DR43" s="976"/>
      <c r="DS43" s="976"/>
      <c r="DT43" s="976"/>
      <c r="DY43" s="971" t="s">
        <v>117</v>
      </c>
      <c r="DZ43" s="972"/>
      <c r="EA43" s="972"/>
      <c r="EB43" s="972"/>
      <c r="EC43" s="972"/>
      <c r="ED43" s="972"/>
      <c r="EE43" s="973"/>
      <c r="EF43" s="579">
        <v>0.63006335188999996</v>
      </c>
      <c r="EG43" s="579">
        <v>5.4027316823999999E-2</v>
      </c>
      <c r="EH43" s="579">
        <v>0.11043295823</v>
      </c>
      <c r="EI43" s="579">
        <v>1.044020779147</v>
      </c>
      <c r="EJ43" s="580">
        <v>-0.82472721528899995</v>
      </c>
      <c r="EO43" s="977" t="s">
        <v>114</v>
      </c>
      <c r="EP43" s="978"/>
      <c r="EQ43" s="978"/>
      <c r="ER43" s="978"/>
      <c r="ES43" s="978"/>
      <c r="ET43" s="978"/>
      <c r="EU43" s="979"/>
      <c r="EV43" s="576">
        <v>0.58241589036800001</v>
      </c>
      <c r="EW43" s="576">
        <v>0.57662236827799995</v>
      </c>
      <c r="EX43" s="576">
        <v>0.57559098159300004</v>
      </c>
      <c r="EY43" s="576">
        <v>-1.7886692240000001E-3</v>
      </c>
      <c r="EZ43" s="577">
        <v>-1.1718273638E-2</v>
      </c>
      <c r="FE43" s="977" t="s">
        <v>114</v>
      </c>
      <c r="FF43" s="978"/>
      <c r="FG43" s="978"/>
      <c r="FH43" s="978"/>
      <c r="FI43" s="978"/>
      <c r="FJ43" s="978"/>
      <c r="FK43" s="979"/>
      <c r="FL43" s="576">
        <v>0.65143154981200002</v>
      </c>
      <c r="FM43" s="576">
        <v>0.65524367452499999</v>
      </c>
      <c r="FN43" s="576">
        <v>0.65453795527500003</v>
      </c>
      <c r="FO43" s="576">
        <v>-1.07703329E-3</v>
      </c>
      <c r="FP43" s="577">
        <v>4.7685830740000004E-3</v>
      </c>
      <c r="GF43" s="834">
        <v>44926</v>
      </c>
      <c r="GG43" s="575" t="s">
        <v>406</v>
      </c>
      <c r="GH43" s="575" t="s">
        <v>403</v>
      </c>
      <c r="GI43" s="871">
        <v>38.979999999999997</v>
      </c>
    </row>
    <row r="44" spans="1:301" ht="15.6" thickBot="1">
      <c r="A44" s="968" t="s">
        <v>115</v>
      </c>
      <c r="B44" s="969"/>
      <c r="C44" s="969"/>
      <c r="D44" s="969"/>
      <c r="E44" s="969"/>
      <c r="F44" s="969"/>
      <c r="G44" s="970"/>
      <c r="H44" s="576">
        <v>0.234345100626</v>
      </c>
      <c r="I44" s="576">
        <v>0.24734994037300001</v>
      </c>
      <c r="J44" s="576">
        <v>0.25309740345300002</v>
      </c>
      <c r="K44" s="576">
        <v>2.3236161168000001E-2</v>
      </c>
      <c r="L44" s="577">
        <v>8.0020033601000004E-2</v>
      </c>
      <c r="Q44" s="968" t="s">
        <v>115</v>
      </c>
      <c r="R44" s="969"/>
      <c r="S44" s="969"/>
      <c r="T44" s="969"/>
      <c r="U44" s="969"/>
      <c r="V44" s="969"/>
      <c r="W44" s="970"/>
      <c r="X44" s="576">
        <v>0.13153817385200001</v>
      </c>
      <c r="Y44" s="576">
        <v>0.124661246612</v>
      </c>
      <c r="Z44" s="576">
        <v>0.12618936411500001</v>
      </c>
      <c r="AA44" s="576">
        <v>1.225815997E-2</v>
      </c>
      <c r="AB44" s="577">
        <v>-4.0663554772000003E-2</v>
      </c>
      <c r="AG44" s="968" t="s">
        <v>115</v>
      </c>
      <c r="AH44" s="969"/>
      <c r="AI44" s="969"/>
      <c r="AJ44" s="969"/>
      <c r="AK44" s="969"/>
      <c r="AL44" s="969"/>
      <c r="AM44" s="970"/>
      <c r="AN44" s="576">
        <v>0.14850161481900001</v>
      </c>
      <c r="AO44" s="576">
        <v>0.14855088207100001</v>
      </c>
      <c r="AP44" s="576">
        <v>0.14526788074499999</v>
      </c>
      <c r="AQ44" s="576">
        <v>-2.2100180630999999E-2</v>
      </c>
      <c r="AR44" s="577">
        <v>-2.1775750238000002E-2</v>
      </c>
      <c r="AW44" s="968" t="s">
        <v>116</v>
      </c>
      <c r="AX44" s="969"/>
      <c r="AY44" s="969"/>
      <c r="AZ44" s="969"/>
      <c r="BA44" s="969"/>
      <c r="BB44" s="969"/>
      <c r="BC44" s="970"/>
      <c r="BD44" s="578">
        <v>5.8893929106570004</v>
      </c>
      <c r="BE44" s="578">
        <v>5.9489844977599997</v>
      </c>
      <c r="BF44" s="578">
        <v>6.2169242957420003</v>
      </c>
      <c r="BG44" s="576">
        <v>4.5039585845000001E-2</v>
      </c>
      <c r="BH44" s="577">
        <v>5.5613777183999999E-2</v>
      </c>
      <c r="BM44" s="968" t="s">
        <v>115</v>
      </c>
      <c r="BN44" s="969"/>
      <c r="BO44" s="969"/>
      <c r="BP44" s="969"/>
      <c r="BQ44" s="969"/>
      <c r="BR44" s="969"/>
      <c r="BS44" s="970"/>
      <c r="BT44" s="576">
        <v>0.20533351428300001</v>
      </c>
      <c r="BU44" s="576">
        <v>0.216223404255</v>
      </c>
      <c r="BV44" s="576">
        <v>0.21145143306799999</v>
      </c>
      <c r="BW44" s="576">
        <v>-2.2069633038999999E-2</v>
      </c>
      <c r="BX44" s="577">
        <v>2.9795032761000002E-2</v>
      </c>
      <c r="CC44" s="968" t="s">
        <v>115</v>
      </c>
      <c r="CD44" s="969"/>
      <c r="CE44" s="969"/>
      <c r="CF44" s="969"/>
      <c r="CG44" s="969"/>
      <c r="CH44" s="969"/>
      <c r="CI44" s="970"/>
      <c r="CJ44" s="576">
        <v>0.197038417987</v>
      </c>
      <c r="CK44" s="576">
        <v>0.19247168429100001</v>
      </c>
      <c r="CL44" s="576">
        <v>0.197127413127</v>
      </c>
      <c r="CM44" s="576">
        <v>2.4189162436E-2</v>
      </c>
      <c r="CN44" s="577">
        <v>4.5166389899999997E-4</v>
      </c>
      <c r="CS44" s="971" t="s">
        <v>117</v>
      </c>
      <c r="CT44" s="972"/>
      <c r="CU44" s="972"/>
      <c r="CV44" s="972"/>
      <c r="CW44" s="972"/>
      <c r="CX44" s="972"/>
      <c r="CY44" s="973"/>
      <c r="CZ44" s="579">
        <v>0.391200985582</v>
      </c>
      <c r="DA44" s="579">
        <v>4.9606624463000001E-2</v>
      </c>
      <c r="DB44" s="579">
        <v>9.0498710231999999E-2</v>
      </c>
      <c r="DC44" s="579">
        <v>0.82432711782599999</v>
      </c>
      <c r="DD44" s="580">
        <v>-0.76866441147200004</v>
      </c>
      <c r="DI44" s="544"/>
      <c r="DJ44" s="545"/>
      <c r="DK44" s="545"/>
      <c r="DL44" s="545"/>
      <c r="DM44" s="545"/>
      <c r="DN44" s="545"/>
      <c r="DO44" s="546"/>
      <c r="DP44" s="593" t="s">
        <v>202</v>
      </c>
      <c r="DQ44" s="593" t="s">
        <v>211</v>
      </c>
      <c r="DR44" s="593" t="s">
        <v>212</v>
      </c>
      <c r="DS44" s="593" t="s">
        <v>79</v>
      </c>
      <c r="DT44" s="593" t="s">
        <v>80</v>
      </c>
      <c r="DY44" s="975" t="s">
        <v>118</v>
      </c>
      <c r="DZ44" s="976"/>
      <c r="EA44" s="976"/>
      <c r="EB44" s="976"/>
      <c r="EC44" s="976"/>
      <c r="ED44" s="976"/>
      <c r="EE44" s="976"/>
      <c r="EF44" s="976"/>
      <c r="EG44" s="976"/>
      <c r="EH44" s="976"/>
      <c r="EI44" s="976"/>
      <c r="EJ44" s="976"/>
      <c r="EO44" s="968" t="s">
        <v>115</v>
      </c>
      <c r="EP44" s="969"/>
      <c r="EQ44" s="969"/>
      <c r="ER44" s="969"/>
      <c r="ES44" s="969"/>
      <c r="ET44" s="969"/>
      <c r="EU44" s="970"/>
      <c r="EV44" s="576">
        <v>0.178873843698</v>
      </c>
      <c r="EW44" s="576">
        <v>0.172313355083</v>
      </c>
      <c r="EX44" s="576">
        <v>0.17172968696300001</v>
      </c>
      <c r="EY44" s="576">
        <v>-3.3872483049999999E-3</v>
      </c>
      <c r="EZ44" s="577">
        <v>-3.9939638951999999E-2</v>
      </c>
      <c r="FE44" s="968" t="s">
        <v>115</v>
      </c>
      <c r="FF44" s="969"/>
      <c r="FG44" s="969"/>
      <c r="FH44" s="969"/>
      <c r="FI44" s="969"/>
      <c r="FJ44" s="969"/>
      <c r="FK44" s="970"/>
      <c r="FL44" s="576">
        <v>8.6293285824999996E-2</v>
      </c>
      <c r="FM44" s="576">
        <v>8.7541436464000005E-2</v>
      </c>
      <c r="FN44" s="576">
        <v>8.5740171315000002E-2</v>
      </c>
      <c r="FO44" s="576">
        <v>-2.0576143381000001E-2</v>
      </c>
      <c r="FP44" s="577">
        <v>-6.4097050499999997E-3</v>
      </c>
      <c r="GF44" s="834">
        <v>45291</v>
      </c>
      <c r="GG44" s="575" t="s">
        <v>406</v>
      </c>
      <c r="GH44" s="575" t="s">
        <v>403</v>
      </c>
      <c r="GI44" s="871">
        <v>43.43</v>
      </c>
      <c r="GL44" s="967" t="s">
        <v>168</v>
      </c>
      <c r="GM44" s="967"/>
      <c r="GN44" s="967"/>
      <c r="GO44" s="967"/>
      <c r="GP44" s="967"/>
      <c r="GQ44" s="967"/>
      <c r="GR44" s="967"/>
      <c r="GS44" s="967"/>
      <c r="GT44" s="967"/>
      <c r="GU44" s="967"/>
      <c r="IV44" s="967" t="s">
        <v>174</v>
      </c>
      <c r="IW44" s="967"/>
      <c r="IX44" s="967"/>
      <c r="IY44" s="967"/>
      <c r="IZ44" s="967"/>
      <c r="JA44" s="967"/>
      <c r="JB44" s="967"/>
      <c r="JC44" s="967"/>
      <c r="JD44" s="967"/>
      <c r="JE44" s="967"/>
      <c r="JF44" s="967"/>
      <c r="JG44" s="967"/>
      <c r="JH44" s="967"/>
      <c r="JI44" s="967"/>
      <c r="JJ44" s="967"/>
      <c r="JK44" s="967"/>
      <c r="JL44" s="967"/>
      <c r="JM44" s="967"/>
      <c r="JN44" s="967"/>
      <c r="JO44" s="967"/>
      <c r="JP44" s="967"/>
      <c r="JQ44" s="967"/>
      <c r="JR44" s="967"/>
      <c r="JS44" s="967"/>
      <c r="JT44" s="967"/>
      <c r="JU44" s="967"/>
      <c r="JV44" s="967"/>
      <c r="JW44" s="967"/>
    </row>
    <row r="45" spans="1:301" ht="15.6" thickBot="1">
      <c r="A45" s="968" t="s">
        <v>116</v>
      </c>
      <c r="B45" s="969"/>
      <c r="C45" s="969"/>
      <c r="D45" s="969"/>
      <c r="E45" s="969"/>
      <c r="F45" s="969"/>
      <c r="G45" s="970"/>
      <c r="H45" s="578">
        <v>5.4424284717370002</v>
      </c>
      <c r="I45" s="578">
        <v>5.5582375631280003</v>
      </c>
      <c r="J45" s="578">
        <v>5.630095053971</v>
      </c>
      <c r="K45" s="576">
        <v>1.2928107160999999E-2</v>
      </c>
      <c r="L45" s="577">
        <v>3.4482140318000003E-2</v>
      </c>
      <c r="Q45" s="968" t="s">
        <v>116</v>
      </c>
      <c r="R45" s="969"/>
      <c r="S45" s="969"/>
      <c r="T45" s="969"/>
      <c r="U45" s="969"/>
      <c r="V45" s="969"/>
      <c r="W45" s="970"/>
      <c r="X45" s="578">
        <v>6.54164516174</v>
      </c>
      <c r="Y45" s="578">
        <v>6.5205282046299997</v>
      </c>
      <c r="Z45" s="578">
        <v>6.5525458050729997</v>
      </c>
      <c r="AA45" s="576">
        <v>4.9102771179999997E-3</v>
      </c>
      <c r="AB45" s="577">
        <v>1.6663458600000001E-3</v>
      </c>
      <c r="AG45" s="968" t="s">
        <v>116</v>
      </c>
      <c r="AH45" s="969"/>
      <c r="AI45" s="969"/>
      <c r="AJ45" s="969"/>
      <c r="AK45" s="969"/>
      <c r="AL45" s="969"/>
      <c r="AM45" s="970"/>
      <c r="AN45" s="578">
        <v>8.6144628099170006</v>
      </c>
      <c r="AO45" s="578">
        <v>8.6500803214190007</v>
      </c>
      <c r="AP45" s="578">
        <v>8.6149338867819996</v>
      </c>
      <c r="AQ45" s="576">
        <v>-4.0631339050000003E-3</v>
      </c>
      <c r="AR45" s="577">
        <v>5.4684415733633202E-5</v>
      </c>
      <c r="AW45" s="971" t="s">
        <v>117</v>
      </c>
      <c r="AX45" s="972"/>
      <c r="AY45" s="972"/>
      <c r="AZ45" s="972"/>
      <c r="BA45" s="972"/>
      <c r="BB45" s="972"/>
      <c r="BC45" s="973"/>
      <c r="BD45" s="579">
        <v>0.61739809596100004</v>
      </c>
      <c r="BE45" s="579">
        <v>8.0742630765999995E-2</v>
      </c>
      <c r="BF45" s="579">
        <v>0.167831601558</v>
      </c>
      <c r="BG45" s="579">
        <v>1.0785996191310001</v>
      </c>
      <c r="BH45" s="580">
        <v>-0.72816307232499999</v>
      </c>
      <c r="BM45" s="968" t="s">
        <v>116</v>
      </c>
      <c r="BN45" s="969"/>
      <c r="BO45" s="969"/>
      <c r="BP45" s="969"/>
      <c r="BQ45" s="969"/>
      <c r="BR45" s="969"/>
      <c r="BS45" s="970"/>
      <c r="BT45" s="578">
        <v>4.5323609269430003</v>
      </c>
      <c r="BU45" s="578">
        <v>4.6224560958599996</v>
      </c>
      <c r="BV45" s="578">
        <v>4.658686387565</v>
      </c>
      <c r="BW45" s="576">
        <v>7.8378876840000007E-3</v>
      </c>
      <c r="BX45" s="577">
        <v>2.787188899E-2</v>
      </c>
      <c r="CC45" s="968" t="s">
        <v>116</v>
      </c>
      <c r="CD45" s="969"/>
      <c r="CE45" s="969"/>
      <c r="CF45" s="969"/>
      <c r="CG45" s="969"/>
      <c r="CH45" s="969"/>
      <c r="CI45" s="970"/>
      <c r="CJ45" s="578">
        <v>6.3907357093380002</v>
      </c>
      <c r="CK45" s="578">
        <v>6.3622802166680001</v>
      </c>
      <c r="CL45" s="578">
        <v>6.3975739621279999</v>
      </c>
      <c r="CM45" s="576">
        <v>5.5473421880000004E-3</v>
      </c>
      <c r="CN45" s="577">
        <v>1.0700259089999999E-3</v>
      </c>
      <c r="CS45" s="975" t="s">
        <v>118</v>
      </c>
      <c r="CT45" s="976"/>
      <c r="CU45" s="976"/>
      <c r="CV45" s="976"/>
      <c r="CW45" s="976"/>
      <c r="CX45" s="976"/>
      <c r="CY45" s="976"/>
      <c r="CZ45" s="976"/>
      <c r="DA45" s="976"/>
      <c r="DB45" s="976"/>
      <c r="DC45" s="976"/>
      <c r="DD45" s="976"/>
      <c r="DI45" s="977" t="s">
        <v>114</v>
      </c>
      <c r="DJ45" s="978"/>
      <c r="DK45" s="978"/>
      <c r="DL45" s="978"/>
      <c r="DM45" s="978"/>
      <c r="DN45" s="978"/>
      <c r="DO45" s="979"/>
      <c r="DP45" s="576">
        <v>0.86152848384199998</v>
      </c>
      <c r="DQ45" s="576">
        <v>0.85395833666599996</v>
      </c>
      <c r="DR45" s="576">
        <v>0.85448528325600004</v>
      </c>
      <c r="DS45" s="576">
        <v>6.17063582E-4</v>
      </c>
      <c r="DT45" s="577">
        <v>-8.1752382160000005E-3</v>
      </c>
      <c r="DY45" s="544"/>
      <c r="DZ45" s="545"/>
      <c r="EA45" s="545"/>
      <c r="EB45" s="545"/>
      <c r="EC45" s="545"/>
      <c r="ED45" s="545"/>
      <c r="EE45" s="546"/>
      <c r="EF45" s="593" t="s">
        <v>202</v>
      </c>
      <c r="EG45" s="593" t="s">
        <v>211</v>
      </c>
      <c r="EH45" s="593" t="s">
        <v>212</v>
      </c>
      <c r="EI45" s="593" t="s">
        <v>79</v>
      </c>
      <c r="EJ45" s="593" t="s">
        <v>80</v>
      </c>
      <c r="EO45" s="968" t="s">
        <v>116</v>
      </c>
      <c r="EP45" s="969"/>
      <c r="EQ45" s="969"/>
      <c r="ER45" s="969"/>
      <c r="ES45" s="969"/>
      <c r="ET45" s="969"/>
      <c r="EU45" s="970"/>
      <c r="EV45" s="578">
        <v>5.8835095559189998</v>
      </c>
      <c r="EW45" s="578">
        <v>5.9417068416449998</v>
      </c>
      <c r="EX45" s="578">
        <v>5.9241884733339996</v>
      </c>
      <c r="EY45" s="576">
        <v>-2.948373047E-3</v>
      </c>
      <c r="EZ45" s="577">
        <v>6.9140564870000002E-3</v>
      </c>
      <c r="FE45" s="968" t="s">
        <v>116</v>
      </c>
      <c r="FF45" s="969"/>
      <c r="FG45" s="969"/>
      <c r="FH45" s="969"/>
      <c r="FI45" s="969"/>
      <c r="FJ45" s="969"/>
      <c r="FK45" s="970"/>
      <c r="FL45" s="578">
        <v>4.0656475068290003</v>
      </c>
      <c r="FM45" s="578">
        <v>4.0979483240979997</v>
      </c>
      <c r="FN45" s="578">
        <v>4.1653103164810004</v>
      </c>
      <c r="FO45" s="576">
        <v>1.6437979948E-2</v>
      </c>
      <c r="FP45" s="577">
        <v>2.4513391650999999E-2</v>
      </c>
      <c r="GM45" s="592" t="s">
        <v>149</v>
      </c>
      <c r="GN45" s="442">
        <v>43496</v>
      </c>
      <c r="GO45" s="442">
        <v>43524</v>
      </c>
      <c r="GP45" s="442">
        <v>43555</v>
      </c>
      <c r="GQ45" s="442">
        <v>43585</v>
      </c>
      <c r="GR45" s="442">
        <v>43616</v>
      </c>
      <c r="GS45" s="442">
        <v>43646</v>
      </c>
      <c r="GT45" s="442">
        <v>43677</v>
      </c>
      <c r="GU45" s="442">
        <v>43708</v>
      </c>
      <c r="GV45" s="442">
        <v>43738</v>
      </c>
      <c r="GW45" s="442">
        <v>43769</v>
      </c>
      <c r="GX45" s="442">
        <v>43799</v>
      </c>
      <c r="GY45" s="442">
        <v>43830</v>
      </c>
      <c r="GZ45" s="442">
        <v>43861</v>
      </c>
      <c r="HA45" s="442">
        <v>43890</v>
      </c>
      <c r="HB45" s="442">
        <v>43921</v>
      </c>
      <c r="HC45" s="442">
        <v>43951</v>
      </c>
      <c r="HD45" s="442">
        <v>43982</v>
      </c>
      <c r="HE45" s="442">
        <v>44012</v>
      </c>
      <c r="HF45" s="442">
        <v>44043</v>
      </c>
      <c r="HG45" s="442">
        <v>44074</v>
      </c>
      <c r="HH45" s="442">
        <v>44104</v>
      </c>
      <c r="HI45" s="442">
        <v>44135</v>
      </c>
      <c r="HJ45" s="442">
        <v>44165</v>
      </c>
      <c r="HK45" s="442">
        <v>44196</v>
      </c>
      <c r="HL45" s="442">
        <v>44227</v>
      </c>
      <c r="HM45" s="442">
        <v>44255</v>
      </c>
      <c r="HN45" s="442">
        <v>44286</v>
      </c>
      <c r="HO45" s="442">
        <v>44316</v>
      </c>
      <c r="HP45" s="442">
        <v>44347</v>
      </c>
      <c r="HQ45" s="442">
        <v>44377</v>
      </c>
      <c r="HR45" s="442">
        <v>44408</v>
      </c>
      <c r="HS45" s="442">
        <v>44439</v>
      </c>
      <c r="HT45" s="442">
        <v>44469</v>
      </c>
      <c r="HU45" s="542">
        <v>44500</v>
      </c>
      <c r="HV45" s="606">
        <v>44530</v>
      </c>
      <c r="HW45" s="442">
        <v>44561</v>
      </c>
      <c r="HX45" s="442">
        <v>44592</v>
      </c>
      <c r="HY45" s="442">
        <v>44620</v>
      </c>
      <c r="HZ45" s="442">
        <v>44651</v>
      </c>
      <c r="IA45" s="442">
        <v>44681</v>
      </c>
      <c r="IB45" s="830">
        <v>44896</v>
      </c>
      <c r="IC45" s="830">
        <v>44927</v>
      </c>
      <c r="IW45" s="592" t="s">
        <v>149</v>
      </c>
      <c r="IX45" s="442">
        <v>43496</v>
      </c>
      <c r="IY45" s="442">
        <v>43524</v>
      </c>
      <c r="IZ45" s="442">
        <v>43555</v>
      </c>
      <c r="JA45" s="442">
        <v>43585</v>
      </c>
      <c r="JB45" s="442">
        <v>43616</v>
      </c>
      <c r="JC45" s="442">
        <v>43646</v>
      </c>
      <c r="JD45" s="442">
        <v>43677</v>
      </c>
      <c r="JE45" s="442">
        <v>43708</v>
      </c>
      <c r="JF45" s="442">
        <v>43738</v>
      </c>
      <c r="JG45" s="442">
        <v>43769</v>
      </c>
      <c r="JH45" s="442">
        <v>43799</v>
      </c>
      <c r="JI45" s="442">
        <v>43830</v>
      </c>
      <c r="JJ45" s="442">
        <v>43861</v>
      </c>
      <c r="JK45" s="442">
        <v>43890</v>
      </c>
      <c r="JL45" s="442">
        <v>43921</v>
      </c>
      <c r="JM45" s="442">
        <v>43951</v>
      </c>
      <c r="JN45" s="442">
        <v>43982</v>
      </c>
      <c r="JO45" s="442">
        <v>44012</v>
      </c>
      <c r="JP45" s="442">
        <v>44043</v>
      </c>
      <c r="JQ45" s="442">
        <v>44074</v>
      </c>
      <c r="JR45" s="442">
        <v>44104</v>
      </c>
      <c r="JS45" s="442">
        <v>44135</v>
      </c>
      <c r="JT45" s="442">
        <v>44165</v>
      </c>
      <c r="JU45" s="442">
        <v>44196</v>
      </c>
      <c r="JV45" s="442">
        <v>44227</v>
      </c>
      <c r="JW45" s="442">
        <v>44255</v>
      </c>
      <c r="JX45" s="442">
        <v>44286</v>
      </c>
      <c r="JY45" s="442">
        <v>44316</v>
      </c>
      <c r="JZ45" s="442">
        <v>44347</v>
      </c>
      <c r="KA45" s="442">
        <v>44377</v>
      </c>
      <c r="KB45" s="442">
        <v>44408</v>
      </c>
      <c r="KC45" s="442">
        <v>44439</v>
      </c>
      <c r="KD45" s="442">
        <v>44469</v>
      </c>
      <c r="KE45" s="442">
        <v>44500</v>
      </c>
      <c r="KF45" s="442">
        <v>44530</v>
      </c>
      <c r="KG45" s="442">
        <v>44561</v>
      </c>
      <c r="KH45" s="442">
        <v>44592</v>
      </c>
      <c r="KI45" s="442">
        <v>44620</v>
      </c>
      <c r="KJ45" s="442">
        <v>44651</v>
      </c>
      <c r="KK45" s="442">
        <v>44681</v>
      </c>
      <c r="KL45" s="442">
        <v>44712</v>
      </c>
      <c r="KM45" s="442">
        <v>44742</v>
      </c>
      <c r="KN45" s="830">
        <v>44896</v>
      </c>
      <c r="KO45" s="830">
        <v>44927</v>
      </c>
    </row>
    <row r="46" spans="1:301" ht="15.6" thickBot="1">
      <c r="A46" s="971" t="s">
        <v>117</v>
      </c>
      <c r="B46" s="972"/>
      <c r="C46" s="972"/>
      <c r="D46" s="972"/>
      <c r="E46" s="972"/>
      <c r="F46" s="972"/>
      <c r="G46" s="973"/>
      <c r="H46" s="579">
        <v>0.30218085106300002</v>
      </c>
      <c r="I46" s="579">
        <v>3.5590746946E-2</v>
      </c>
      <c r="J46" s="579">
        <v>5.8393366861000003E-2</v>
      </c>
      <c r="K46" s="579">
        <v>0.64068955758699997</v>
      </c>
      <c r="L46" s="580">
        <v>-0.80676020119699998</v>
      </c>
      <c r="Q46" s="971" t="s">
        <v>117</v>
      </c>
      <c r="R46" s="972"/>
      <c r="S46" s="972"/>
      <c r="T46" s="972"/>
      <c r="U46" s="972"/>
      <c r="V46" s="972"/>
      <c r="W46" s="973"/>
      <c r="X46" s="579">
        <v>0.47235919096399998</v>
      </c>
      <c r="Y46" s="579">
        <v>5.3486124277000002E-2</v>
      </c>
      <c r="Z46" s="579">
        <v>0.101278942789</v>
      </c>
      <c r="AA46" s="579">
        <v>0.89355546243499995</v>
      </c>
      <c r="AB46" s="580">
        <v>-0.78558913486299997</v>
      </c>
      <c r="AG46" s="971" t="s">
        <v>117</v>
      </c>
      <c r="AH46" s="972"/>
      <c r="AI46" s="972"/>
      <c r="AJ46" s="972"/>
      <c r="AK46" s="972"/>
      <c r="AL46" s="972"/>
      <c r="AM46" s="973"/>
      <c r="AN46" s="579">
        <v>0.550086173761</v>
      </c>
      <c r="AO46" s="579">
        <v>5.8328402336E-2</v>
      </c>
      <c r="AP46" s="579">
        <v>0.47208711536699999</v>
      </c>
      <c r="AQ46" s="579">
        <v>7.0936061413739999</v>
      </c>
      <c r="AR46" s="580">
        <v>-0.14179425354299999</v>
      </c>
      <c r="AW46" s="975" t="s">
        <v>118</v>
      </c>
      <c r="AX46" s="976"/>
      <c r="AY46" s="976"/>
      <c r="AZ46" s="976"/>
      <c r="BA46" s="976"/>
      <c r="BB46" s="976"/>
      <c r="BC46" s="976"/>
      <c r="BD46" s="976"/>
      <c r="BE46" s="976"/>
      <c r="BF46" s="976"/>
      <c r="BG46" s="976"/>
      <c r="BH46" s="976"/>
      <c r="BM46" s="971" t="s">
        <v>117</v>
      </c>
      <c r="BN46" s="972"/>
      <c r="BO46" s="972"/>
      <c r="BP46" s="972"/>
      <c r="BQ46" s="972"/>
      <c r="BR46" s="972"/>
      <c r="BS46" s="973"/>
      <c r="BT46" s="579">
        <v>0.50156396621800003</v>
      </c>
      <c r="BU46" s="579">
        <v>5.2596572012999998E-2</v>
      </c>
      <c r="BV46" s="579">
        <v>9.8555522118000005E-2</v>
      </c>
      <c r="BW46" s="579">
        <v>0.87380124494800004</v>
      </c>
      <c r="BX46" s="580">
        <v>-0.80350358327799998</v>
      </c>
      <c r="CC46" s="971" t="s">
        <v>117</v>
      </c>
      <c r="CD46" s="972"/>
      <c r="CE46" s="972"/>
      <c r="CF46" s="972"/>
      <c r="CG46" s="972"/>
      <c r="CH46" s="972"/>
      <c r="CI46" s="973"/>
      <c r="CJ46" s="579">
        <v>0.20333938294000001</v>
      </c>
      <c r="CK46" s="579">
        <v>1.7968440450000001E-2</v>
      </c>
      <c r="CL46" s="579">
        <v>3.6524182219000001E-2</v>
      </c>
      <c r="CM46" s="579">
        <v>1.032685158239</v>
      </c>
      <c r="CN46" s="580">
        <v>-0.82037821846600001</v>
      </c>
      <c r="CS46" s="544"/>
      <c r="CT46" s="545"/>
      <c r="CU46" s="545"/>
      <c r="CV46" s="545"/>
      <c r="CW46" s="545"/>
      <c r="CX46" s="545"/>
      <c r="CY46" s="546"/>
      <c r="CZ46" s="593" t="s">
        <v>202</v>
      </c>
      <c r="DA46" s="593" t="s">
        <v>211</v>
      </c>
      <c r="DB46" s="593" t="s">
        <v>212</v>
      </c>
      <c r="DC46" s="593" t="s">
        <v>79</v>
      </c>
      <c r="DD46" s="593" t="s">
        <v>80</v>
      </c>
      <c r="DI46" s="968" t="s">
        <v>115</v>
      </c>
      <c r="DJ46" s="969"/>
      <c r="DK46" s="969"/>
      <c r="DL46" s="969"/>
      <c r="DM46" s="969"/>
      <c r="DN46" s="969"/>
      <c r="DO46" s="970"/>
      <c r="DP46" s="576">
        <v>0.1168633793</v>
      </c>
      <c r="DQ46" s="576">
        <v>0.118512131677</v>
      </c>
      <c r="DR46" s="576">
        <v>0.123087047159</v>
      </c>
      <c r="DS46" s="576">
        <v>3.8602929649000001E-2</v>
      </c>
      <c r="DT46" s="577">
        <v>5.3255929243000003E-2</v>
      </c>
      <c r="DY46" s="977" t="s">
        <v>119</v>
      </c>
      <c r="DZ46" s="978"/>
      <c r="EA46" s="978"/>
      <c r="EB46" s="978"/>
      <c r="EC46" s="978"/>
      <c r="ED46" s="978"/>
      <c r="EE46" s="979"/>
      <c r="EF46" s="576">
        <v>0.94616884699699999</v>
      </c>
      <c r="EG46" s="576">
        <v>0.94628182811799999</v>
      </c>
      <c r="EH46" s="576">
        <v>0.94648440631700004</v>
      </c>
      <c r="EI46" s="576">
        <v>2.14078082E-4</v>
      </c>
      <c r="EJ46" s="577">
        <v>3.33512692E-4</v>
      </c>
      <c r="EO46" s="971" t="s">
        <v>117</v>
      </c>
      <c r="EP46" s="972"/>
      <c r="EQ46" s="972"/>
      <c r="ER46" s="972"/>
      <c r="ES46" s="972"/>
      <c r="ET46" s="972"/>
      <c r="EU46" s="973"/>
      <c r="EV46" s="579">
        <v>0.34143071934399999</v>
      </c>
      <c r="EW46" s="579">
        <v>3.8370040671999998E-2</v>
      </c>
      <c r="EX46" s="579">
        <v>7.4139622826999999E-2</v>
      </c>
      <c r="EY46" s="579">
        <v>0.93222685012999995</v>
      </c>
      <c r="EZ46" s="580">
        <v>-0.78285602722000003</v>
      </c>
      <c r="FE46" s="971" t="s">
        <v>117</v>
      </c>
      <c r="FF46" s="972"/>
      <c r="FG46" s="972"/>
      <c r="FH46" s="972"/>
      <c r="FI46" s="972"/>
      <c r="FJ46" s="972"/>
      <c r="FK46" s="973"/>
      <c r="FL46" s="579">
        <v>0.46747784827099997</v>
      </c>
      <c r="FM46" s="579">
        <v>4.0414749856E-2</v>
      </c>
      <c r="FN46" s="579">
        <v>8.5953051306000006E-2</v>
      </c>
      <c r="FO46" s="579">
        <v>1.1267742992880001</v>
      </c>
      <c r="FP46" s="580">
        <v>-0.81613449359300005</v>
      </c>
      <c r="GL46" s="353">
        <v>1</v>
      </c>
      <c r="GM46" s="353" t="s">
        <v>123</v>
      </c>
      <c r="GN46" s="353">
        <f t="shared" ref="GN46:HL46" si="2">+GN18-GN32</f>
        <v>431</v>
      </c>
      <c r="GO46" s="353">
        <f t="shared" si="2"/>
        <v>106</v>
      </c>
      <c r="GP46" s="353">
        <f t="shared" si="2"/>
        <v>85</v>
      </c>
      <c r="GQ46" s="353">
        <f t="shared" si="2"/>
        <v>163</v>
      </c>
      <c r="GR46" s="353">
        <f t="shared" si="2"/>
        <v>74</v>
      </c>
      <c r="GS46" s="353">
        <f t="shared" si="2"/>
        <v>63</v>
      </c>
      <c r="GT46" s="353">
        <f t="shared" si="2"/>
        <v>76</v>
      </c>
      <c r="GU46" s="353">
        <f t="shared" si="2"/>
        <v>127</v>
      </c>
      <c r="GV46" s="353">
        <f t="shared" si="2"/>
        <v>48</v>
      </c>
      <c r="GW46" s="353">
        <f t="shared" si="2"/>
        <v>66</v>
      </c>
      <c r="GX46" s="353">
        <f t="shared" si="2"/>
        <v>54</v>
      </c>
      <c r="GY46" s="353">
        <f t="shared" si="2"/>
        <v>54</v>
      </c>
      <c r="GZ46" s="353">
        <f t="shared" si="2"/>
        <v>52</v>
      </c>
      <c r="HA46" s="353">
        <f t="shared" si="2"/>
        <v>57</v>
      </c>
      <c r="HB46" s="353">
        <f t="shared" si="2"/>
        <v>47</v>
      </c>
      <c r="HC46" s="353">
        <f t="shared" si="2"/>
        <v>21</v>
      </c>
      <c r="HD46" s="353">
        <f t="shared" si="2"/>
        <v>11</v>
      </c>
      <c r="HE46" s="353">
        <f t="shared" si="2"/>
        <v>17</v>
      </c>
      <c r="HF46" s="353">
        <f t="shared" si="2"/>
        <v>24</v>
      </c>
      <c r="HG46" s="353">
        <f t="shared" si="2"/>
        <v>9</v>
      </c>
      <c r="HH46" s="353">
        <f t="shared" si="2"/>
        <v>25</v>
      </c>
      <c r="HI46" s="353">
        <f t="shared" si="2"/>
        <v>35</v>
      </c>
      <c r="HJ46" s="353">
        <f t="shared" si="2"/>
        <v>18</v>
      </c>
      <c r="HK46" s="353">
        <f t="shared" si="2"/>
        <v>9</v>
      </c>
      <c r="HL46" s="353">
        <f t="shared" si="2"/>
        <v>4</v>
      </c>
      <c r="HM46" s="353">
        <f t="shared" ref="HM46:HO46" si="3">+HM18-HM32</f>
        <v>8</v>
      </c>
      <c r="HN46" s="353">
        <f t="shared" si="3"/>
        <v>33</v>
      </c>
      <c r="HO46" s="353">
        <f t="shared" si="3"/>
        <v>7</v>
      </c>
      <c r="HP46" s="353">
        <f t="shared" ref="HP46:HR46" si="4">+HP18-HP32</f>
        <v>5</v>
      </c>
      <c r="HQ46" s="353">
        <f t="shared" si="4"/>
        <v>8</v>
      </c>
      <c r="HR46" s="353">
        <f t="shared" si="4"/>
        <v>5</v>
      </c>
      <c r="HS46" s="353">
        <f t="shared" ref="HS46:HT46" si="5">+HS18-HS32</f>
        <v>5</v>
      </c>
      <c r="HT46" s="353">
        <f t="shared" si="5"/>
        <v>7</v>
      </c>
      <c r="HU46" s="353">
        <f t="shared" ref="HU46:HV46" si="6">+HU18-HU32</f>
        <v>9</v>
      </c>
      <c r="HV46" s="353">
        <f t="shared" si="6"/>
        <v>7</v>
      </c>
      <c r="HW46" s="353">
        <f t="shared" ref="HW46:HX46" si="7">+HW18-HW32</f>
        <v>4</v>
      </c>
      <c r="HX46" s="353">
        <f t="shared" si="7"/>
        <v>4</v>
      </c>
      <c r="HY46" s="753">
        <v>12</v>
      </c>
      <c r="HZ46" s="753">
        <v>14</v>
      </c>
      <c r="IA46" s="592">
        <v>20</v>
      </c>
      <c r="IB46" s="828">
        <v>17</v>
      </c>
      <c r="IC46" s="592">
        <v>16</v>
      </c>
      <c r="IV46" s="353">
        <v>1</v>
      </c>
      <c r="IW46" s="353" t="s">
        <v>123</v>
      </c>
      <c r="IX46" s="353">
        <f t="shared" ref="IX46:JY56" si="8">+IX18-IX32</f>
        <v>470</v>
      </c>
      <c r="IY46" s="353">
        <f t="shared" si="8"/>
        <v>221</v>
      </c>
      <c r="IZ46" s="353">
        <f t="shared" si="8"/>
        <v>80</v>
      </c>
      <c r="JA46" s="353">
        <f t="shared" si="8"/>
        <v>131</v>
      </c>
      <c r="JB46" s="353">
        <f t="shared" si="8"/>
        <v>65</v>
      </c>
      <c r="JC46" s="353">
        <f t="shared" si="8"/>
        <v>58</v>
      </c>
      <c r="JD46" s="353">
        <f t="shared" si="8"/>
        <v>72</v>
      </c>
      <c r="JE46" s="353">
        <f t="shared" si="8"/>
        <v>110</v>
      </c>
      <c r="JF46" s="353">
        <f t="shared" si="8"/>
        <v>49</v>
      </c>
      <c r="JG46" s="353">
        <f t="shared" si="8"/>
        <v>58</v>
      </c>
      <c r="JH46" s="353">
        <f t="shared" si="8"/>
        <v>53</v>
      </c>
      <c r="JI46" s="353">
        <f t="shared" si="8"/>
        <v>41</v>
      </c>
      <c r="JJ46" s="353">
        <f t="shared" si="8"/>
        <v>54</v>
      </c>
      <c r="JK46" s="353">
        <f t="shared" si="8"/>
        <v>59</v>
      </c>
      <c r="JL46" s="353">
        <f t="shared" si="8"/>
        <v>56</v>
      </c>
      <c r="JM46" s="353">
        <f t="shared" si="8"/>
        <v>22</v>
      </c>
      <c r="JN46" s="353">
        <f t="shared" si="8"/>
        <v>22</v>
      </c>
      <c r="JO46" s="353">
        <f t="shared" si="8"/>
        <v>26</v>
      </c>
      <c r="JP46" s="353">
        <f t="shared" si="8"/>
        <v>39</v>
      </c>
      <c r="JQ46" s="353">
        <f t="shared" si="8"/>
        <v>16</v>
      </c>
      <c r="JR46" s="353">
        <f t="shared" si="8"/>
        <v>27</v>
      </c>
      <c r="JS46" s="353">
        <f t="shared" si="8"/>
        <v>35</v>
      </c>
      <c r="JT46" s="353">
        <f t="shared" si="8"/>
        <v>28</v>
      </c>
      <c r="JU46" s="353">
        <f t="shared" si="8"/>
        <v>26</v>
      </c>
      <c r="JV46" s="353">
        <f t="shared" si="8"/>
        <v>13</v>
      </c>
      <c r="JW46" s="353">
        <f t="shared" si="8"/>
        <v>3</v>
      </c>
      <c r="JX46" s="353">
        <f t="shared" si="8"/>
        <v>5</v>
      </c>
      <c r="JY46" s="353">
        <f t="shared" si="8"/>
        <v>3</v>
      </c>
      <c r="JZ46" s="353">
        <f t="shared" ref="JZ46:KB46" si="9">+JZ18-JZ32</f>
        <v>15</v>
      </c>
      <c r="KA46" s="353">
        <f t="shared" si="9"/>
        <v>3</v>
      </c>
      <c r="KB46" s="353">
        <f t="shared" si="9"/>
        <v>2</v>
      </c>
      <c r="KC46" s="353">
        <f t="shared" ref="KC46:KD46" si="10">+KC18-KC32</f>
        <v>5</v>
      </c>
      <c r="KD46" s="353">
        <f t="shared" si="10"/>
        <v>9</v>
      </c>
      <c r="KE46" s="353">
        <f t="shared" ref="KE46:KF46" si="11">+KE18-KE32</f>
        <v>14</v>
      </c>
      <c r="KF46" s="353">
        <f t="shared" si="11"/>
        <v>10</v>
      </c>
      <c r="KG46" s="353">
        <f t="shared" ref="KG46:KI46" si="12">+KG18-KG32</f>
        <v>2</v>
      </c>
      <c r="KH46" s="353">
        <f t="shared" si="12"/>
        <v>13</v>
      </c>
      <c r="KI46" s="353">
        <f t="shared" si="12"/>
        <v>10</v>
      </c>
      <c r="KJ46" s="353">
        <f t="shared" ref="KJ46" si="13">+KJ18-KJ32</f>
        <v>13</v>
      </c>
      <c r="KK46" s="753">
        <v>19</v>
      </c>
      <c r="KL46" s="753">
        <v>14</v>
      </c>
      <c r="KM46" s="592">
        <v>15</v>
      </c>
      <c r="KN46" s="828">
        <v>16</v>
      </c>
      <c r="KO46" s="592">
        <v>17</v>
      </c>
    </row>
    <row r="47" spans="1:301" ht="15.6" thickBot="1">
      <c r="A47" s="975" t="s">
        <v>118</v>
      </c>
      <c r="B47" s="976"/>
      <c r="C47" s="976"/>
      <c r="D47" s="976"/>
      <c r="E47" s="976"/>
      <c r="F47" s="976"/>
      <c r="G47" s="976"/>
      <c r="H47" s="976"/>
      <c r="I47" s="976"/>
      <c r="J47" s="976"/>
      <c r="K47" s="976"/>
      <c r="L47" s="976"/>
      <c r="Q47" s="975" t="s">
        <v>118</v>
      </c>
      <c r="R47" s="976"/>
      <c r="S47" s="976"/>
      <c r="T47" s="976"/>
      <c r="U47" s="976"/>
      <c r="V47" s="976"/>
      <c r="W47" s="976"/>
      <c r="X47" s="976"/>
      <c r="Y47" s="976"/>
      <c r="Z47" s="976"/>
      <c r="AA47" s="976"/>
      <c r="AB47" s="976"/>
      <c r="AG47" s="975" t="s">
        <v>118</v>
      </c>
      <c r="AH47" s="976"/>
      <c r="AI47" s="976"/>
      <c r="AJ47" s="976"/>
      <c r="AK47" s="976"/>
      <c r="AL47" s="976"/>
      <c r="AM47" s="976"/>
      <c r="AN47" s="976"/>
      <c r="AO47" s="976"/>
      <c r="AP47" s="976"/>
      <c r="AQ47" s="976"/>
      <c r="AR47" s="976"/>
      <c r="AW47" s="544"/>
      <c r="AX47" s="545"/>
      <c r="AY47" s="545"/>
      <c r="AZ47" s="545"/>
      <c r="BA47" s="545"/>
      <c r="BB47" s="545"/>
      <c r="BC47" s="546"/>
      <c r="BD47" s="593" t="s">
        <v>202</v>
      </c>
      <c r="BE47" s="593" t="s">
        <v>211</v>
      </c>
      <c r="BF47" s="593" t="s">
        <v>212</v>
      </c>
      <c r="BG47" s="593" t="s">
        <v>79</v>
      </c>
      <c r="BH47" s="593" t="s">
        <v>80</v>
      </c>
      <c r="BM47" s="975" t="s">
        <v>118</v>
      </c>
      <c r="BN47" s="976"/>
      <c r="BO47" s="976"/>
      <c r="BP47" s="976"/>
      <c r="BQ47" s="976"/>
      <c r="BR47" s="976"/>
      <c r="BS47" s="976"/>
      <c r="BT47" s="976"/>
      <c r="BU47" s="976"/>
      <c r="BV47" s="976"/>
      <c r="BW47" s="976"/>
      <c r="BX47" s="976"/>
      <c r="CC47" s="975" t="s">
        <v>118</v>
      </c>
      <c r="CD47" s="976"/>
      <c r="CE47" s="976"/>
      <c r="CF47" s="976"/>
      <c r="CG47" s="976"/>
      <c r="CH47" s="976"/>
      <c r="CI47" s="976"/>
      <c r="CJ47" s="976"/>
      <c r="CK47" s="976"/>
      <c r="CL47" s="976"/>
      <c r="CM47" s="976"/>
      <c r="CN47" s="976"/>
      <c r="CS47" s="977" t="s">
        <v>119</v>
      </c>
      <c r="CT47" s="978"/>
      <c r="CU47" s="978"/>
      <c r="CV47" s="978"/>
      <c r="CW47" s="978"/>
      <c r="CX47" s="978"/>
      <c r="CY47" s="979"/>
      <c r="CZ47" s="576">
        <v>0.89141088831600002</v>
      </c>
      <c r="DA47" s="576">
        <v>0.89274791570599998</v>
      </c>
      <c r="DB47" s="576">
        <v>0.89155454006900003</v>
      </c>
      <c r="DC47" s="576">
        <v>-1.3367442430000001E-3</v>
      </c>
      <c r="DD47" s="577">
        <v>1.6115099599999999E-4</v>
      </c>
      <c r="DI47" s="968" t="s">
        <v>116</v>
      </c>
      <c r="DJ47" s="969"/>
      <c r="DK47" s="969"/>
      <c r="DL47" s="969"/>
      <c r="DM47" s="969"/>
      <c r="DN47" s="969"/>
      <c r="DO47" s="970"/>
      <c r="DP47" s="578">
        <v>5.4282628313319998</v>
      </c>
      <c r="DQ47" s="578">
        <v>5.4637903818859996</v>
      </c>
      <c r="DR47" s="578">
        <v>5.5470599777610001</v>
      </c>
      <c r="DS47" s="576">
        <v>1.5240261806000001E-2</v>
      </c>
      <c r="DT47" s="577">
        <v>2.1884928957000001E-2</v>
      </c>
      <c r="DY47" s="968" t="s">
        <v>120</v>
      </c>
      <c r="DZ47" s="969"/>
      <c r="EA47" s="969"/>
      <c r="EB47" s="969"/>
      <c r="EC47" s="969"/>
      <c r="ED47" s="969"/>
      <c r="EE47" s="970"/>
      <c r="EF47" s="576">
        <v>8.7429917932000001E-2</v>
      </c>
      <c r="EG47" s="576">
        <v>8.6669635265999995E-2</v>
      </c>
      <c r="EH47" s="576">
        <v>8.6587027979999995E-2</v>
      </c>
      <c r="EI47" s="576">
        <v>-9.5312835000000004E-4</v>
      </c>
      <c r="EJ47" s="577">
        <v>-9.640749669E-3</v>
      </c>
      <c r="EO47" s="975" t="s">
        <v>118</v>
      </c>
      <c r="EP47" s="976"/>
      <c r="EQ47" s="976"/>
      <c r="ER47" s="976"/>
      <c r="ES47" s="976"/>
      <c r="ET47" s="976"/>
      <c r="EU47" s="976"/>
      <c r="EV47" s="976"/>
      <c r="EW47" s="976"/>
      <c r="EX47" s="976"/>
      <c r="EY47" s="976"/>
      <c r="EZ47" s="976"/>
      <c r="FE47" s="975" t="s">
        <v>118</v>
      </c>
      <c r="FF47" s="976"/>
      <c r="FG47" s="976"/>
      <c r="FH47" s="976"/>
      <c r="FI47" s="976"/>
      <c r="FJ47" s="976"/>
      <c r="FK47" s="976"/>
      <c r="FL47" s="976"/>
      <c r="FM47" s="976"/>
      <c r="FN47" s="976"/>
      <c r="FO47" s="976"/>
      <c r="FP47" s="976"/>
      <c r="GL47" s="353">
        <v>2</v>
      </c>
      <c r="GM47" s="353" t="s">
        <v>124</v>
      </c>
      <c r="GN47" s="353">
        <f t="shared" ref="GN47:GN56" si="14">+GN19-GN33</f>
        <v>250</v>
      </c>
      <c r="GO47" s="353">
        <f t="shared" ref="GO47:GP56" si="15">+GO19-GO33</f>
        <v>85</v>
      </c>
      <c r="GP47" s="353">
        <f t="shared" si="15"/>
        <v>144</v>
      </c>
      <c r="GQ47" s="353">
        <f t="shared" ref="GQ47:HL47" si="16">+GQ19-GQ33</f>
        <v>230</v>
      </c>
      <c r="GR47" s="353">
        <f t="shared" si="16"/>
        <v>133</v>
      </c>
      <c r="GS47" s="353">
        <f t="shared" si="16"/>
        <v>44</v>
      </c>
      <c r="GT47" s="353">
        <f t="shared" si="16"/>
        <v>95</v>
      </c>
      <c r="GU47" s="353">
        <f t="shared" si="16"/>
        <v>37</v>
      </c>
      <c r="GV47" s="353">
        <f t="shared" si="16"/>
        <v>37</v>
      </c>
      <c r="GW47" s="353">
        <f t="shared" si="16"/>
        <v>46</v>
      </c>
      <c r="GX47" s="353">
        <f t="shared" si="16"/>
        <v>21</v>
      </c>
      <c r="GY47" s="353">
        <f t="shared" si="16"/>
        <v>63</v>
      </c>
      <c r="GZ47" s="353">
        <f t="shared" si="16"/>
        <v>45</v>
      </c>
      <c r="HA47" s="353">
        <f t="shared" si="16"/>
        <v>52</v>
      </c>
      <c r="HB47" s="353">
        <f t="shared" si="16"/>
        <v>63</v>
      </c>
      <c r="HC47" s="353">
        <f t="shared" si="16"/>
        <v>38</v>
      </c>
      <c r="HD47" s="353">
        <f t="shared" si="16"/>
        <v>14</v>
      </c>
      <c r="HE47" s="353">
        <f t="shared" si="16"/>
        <v>48</v>
      </c>
      <c r="HF47" s="353">
        <f t="shared" si="16"/>
        <v>95</v>
      </c>
      <c r="HG47" s="353">
        <f t="shared" si="16"/>
        <v>19</v>
      </c>
      <c r="HH47" s="353">
        <f t="shared" si="16"/>
        <v>32</v>
      </c>
      <c r="HI47" s="353">
        <f t="shared" si="16"/>
        <v>19</v>
      </c>
      <c r="HJ47" s="353">
        <f t="shared" si="16"/>
        <v>20</v>
      </c>
      <c r="HK47" s="353">
        <f t="shared" si="16"/>
        <v>10</v>
      </c>
      <c r="HL47" s="353">
        <f t="shared" si="16"/>
        <v>7</v>
      </c>
      <c r="HM47" s="353">
        <f t="shared" ref="HM47:HO47" si="17">+HM19-HM33</f>
        <v>184</v>
      </c>
      <c r="HN47" s="353">
        <f t="shared" si="17"/>
        <v>32</v>
      </c>
      <c r="HO47" s="353">
        <f t="shared" si="17"/>
        <v>125</v>
      </c>
      <c r="HP47" s="353">
        <f t="shared" ref="HP47:HR47" si="18">+HP19-HP33</f>
        <v>120</v>
      </c>
      <c r="HQ47" s="353">
        <f t="shared" si="18"/>
        <v>123</v>
      </c>
      <c r="HR47" s="353">
        <f t="shared" si="18"/>
        <v>50</v>
      </c>
      <c r="HS47" s="353">
        <f t="shared" ref="HS47:HT47" si="19">+HS19-HS33</f>
        <v>18</v>
      </c>
      <c r="HT47" s="353">
        <f t="shared" si="19"/>
        <v>36</v>
      </c>
      <c r="HU47" s="353">
        <f t="shared" ref="HU47:HV47" si="20">+HU19-HU33</f>
        <v>23</v>
      </c>
      <c r="HV47" s="353">
        <f t="shared" si="20"/>
        <v>78</v>
      </c>
      <c r="HW47" s="353">
        <f t="shared" ref="HW47:HX47" si="21">+HW19-HW33</f>
        <v>40</v>
      </c>
      <c r="HX47" s="353">
        <f t="shared" si="21"/>
        <v>42</v>
      </c>
      <c r="HY47" s="753">
        <v>17</v>
      </c>
      <c r="HZ47" s="753">
        <v>49</v>
      </c>
      <c r="IA47" s="592">
        <v>37</v>
      </c>
      <c r="IB47" s="828">
        <v>72</v>
      </c>
      <c r="IC47" s="592">
        <v>21</v>
      </c>
      <c r="IV47" s="353">
        <v>2</v>
      </c>
      <c r="IW47" s="353" t="s">
        <v>124</v>
      </c>
      <c r="IX47" s="353">
        <f t="shared" ref="IX47:JC47" si="22">+IX19-IX33</f>
        <v>75</v>
      </c>
      <c r="IY47" s="353">
        <f t="shared" si="22"/>
        <v>43</v>
      </c>
      <c r="IZ47" s="353">
        <f t="shared" si="22"/>
        <v>40</v>
      </c>
      <c r="JA47" s="353">
        <f t="shared" si="22"/>
        <v>102</v>
      </c>
      <c r="JB47" s="353">
        <f t="shared" si="22"/>
        <v>90</v>
      </c>
      <c r="JC47" s="353">
        <f t="shared" si="22"/>
        <v>26</v>
      </c>
      <c r="JD47" s="353">
        <f t="shared" ref="JD47:JX47" si="23">+JD19-JD33</f>
        <v>49</v>
      </c>
      <c r="JE47" s="353">
        <f t="shared" si="23"/>
        <v>21</v>
      </c>
      <c r="JF47" s="353">
        <f t="shared" si="23"/>
        <v>29</v>
      </c>
      <c r="JG47" s="353">
        <f t="shared" si="23"/>
        <v>19</v>
      </c>
      <c r="JH47" s="353">
        <f t="shared" si="23"/>
        <v>16</v>
      </c>
      <c r="JI47" s="353">
        <f t="shared" si="23"/>
        <v>34</v>
      </c>
      <c r="JJ47" s="353">
        <f t="shared" si="23"/>
        <v>51</v>
      </c>
      <c r="JK47" s="353">
        <f t="shared" si="23"/>
        <v>66</v>
      </c>
      <c r="JL47" s="353">
        <f t="shared" si="23"/>
        <v>60</v>
      </c>
      <c r="JM47" s="353">
        <f t="shared" si="23"/>
        <v>36</v>
      </c>
      <c r="JN47" s="353">
        <f t="shared" si="23"/>
        <v>11</v>
      </c>
      <c r="JO47" s="353">
        <f t="shared" si="23"/>
        <v>51</v>
      </c>
      <c r="JP47" s="353">
        <f t="shared" si="23"/>
        <v>106</v>
      </c>
      <c r="JQ47" s="353">
        <f t="shared" si="23"/>
        <v>15</v>
      </c>
      <c r="JR47" s="353">
        <f t="shared" si="23"/>
        <v>38</v>
      </c>
      <c r="JS47" s="353">
        <f t="shared" si="23"/>
        <v>18</v>
      </c>
      <c r="JT47" s="353">
        <f t="shared" si="23"/>
        <v>18</v>
      </c>
      <c r="JU47" s="353">
        <f t="shared" si="23"/>
        <v>15</v>
      </c>
      <c r="JV47" s="353">
        <f t="shared" si="23"/>
        <v>7</v>
      </c>
      <c r="JW47" s="353">
        <f t="shared" si="23"/>
        <v>172</v>
      </c>
      <c r="JX47" s="353">
        <f t="shared" si="23"/>
        <v>22</v>
      </c>
      <c r="JY47" s="353">
        <f t="shared" si="8"/>
        <v>12</v>
      </c>
      <c r="JZ47" s="353">
        <f t="shared" ref="JZ47:KB47" si="24">+JZ19-JZ33</f>
        <v>120</v>
      </c>
      <c r="KA47" s="353">
        <f t="shared" si="24"/>
        <v>16</v>
      </c>
      <c r="KB47" s="353">
        <f t="shared" si="24"/>
        <v>51</v>
      </c>
      <c r="KC47" s="353">
        <f t="shared" ref="KC47:KD47" si="25">+KC19-KC33</f>
        <v>9</v>
      </c>
      <c r="KD47" s="353">
        <f t="shared" si="25"/>
        <v>11</v>
      </c>
      <c r="KE47" s="353">
        <f t="shared" ref="KE47:KF47" si="26">+KE19-KE33</f>
        <v>26</v>
      </c>
      <c r="KF47" s="353">
        <f t="shared" si="26"/>
        <v>78</v>
      </c>
      <c r="KG47" s="353">
        <f t="shared" ref="KG47:KI47" si="27">+KG19-KG33</f>
        <v>37</v>
      </c>
      <c r="KH47" s="353">
        <f t="shared" si="27"/>
        <v>36</v>
      </c>
      <c r="KI47" s="353">
        <f t="shared" si="27"/>
        <v>15</v>
      </c>
      <c r="KJ47" s="353">
        <f t="shared" ref="KJ47" si="28">+KJ19-KJ33</f>
        <v>36</v>
      </c>
      <c r="KK47" s="753">
        <v>32</v>
      </c>
      <c r="KL47" s="753">
        <v>47</v>
      </c>
      <c r="KM47" s="592">
        <v>77</v>
      </c>
      <c r="KN47" s="828">
        <v>17</v>
      </c>
      <c r="KO47" s="592">
        <v>45</v>
      </c>
    </row>
    <row r="48" spans="1:301" ht="15.6" thickBot="1">
      <c r="A48" s="544"/>
      <c r="B48" s="545"/>
      <c r="C48" s="545"/>
      <c r="D48" s="545"/>
      <c r="E48" s="545"/>
      <c r="F48" s="545"/>
      <c r="G48" s="546"/>
      <c r="H48" s="593" t="s">
        <v>202</v>
      </c>
      <c r="I48" s="593" t="s">
        <v>211</v>
      </c>
      <c r="J48" s="593" t="s">
        <v>212</v>
      </c>
      <c r="K48" s="593" t="s">
        <v>79</v>
      </c>
      <c r="L48" s="593" t="s">
        <v>80</v>
      </c>
      <c r="Q48" s="544"/>
      <c r="R48" s="545"/>
      <c r="S48" s="545"/>
      <c r="T48" s="545"/>
      <c r="U48" s="545"/>
      <c r="V48" s="545"/>
      <c r="W48" s="546"/>
      <c r="X48" s="593" t="s">
        <v>202</v>
      </c>
      <c r="Y48" s="593" t="s">
        <v>211</v>
      </c>
      <c r="Z48" s="593" t="s">
        <v>212</v>
      </c>
      <c r="AA48" s="593" t="s">
        <v>79</v>
      </c>
      <c r="AB48" s="593" t="s">
        <v>80</v>
      </c>
      <c r="AG48" s="544"/>
      <c r="AH48" s="545"/>
      <c r="AI48" s="545"/>
      <c r="AJ48" s="545"/>
      <c r="AK48" s="545"/>
      <c r="AL48" s="545"/>
      <c r="AM48" s="546"/>
      <c r="AN48" s="593" t="s">
        <v>202</v>
      </c>
      <c r="AO48" s="593" t="s">
        <v>211</v>
      </c>
      <c r="AP48" s="593" t="s">
        <v>212</v>
      </c>
      <c r="AQ48" s="593" t="s">
        <v>79</v>
      </c>
      <c r="AR48" s="593" t="s">
        <v>80</v>
      </c>
      <c r="AW48" s="977" t="s">
        <v>119</v>
      </c>
      <c r="AX48" s="978"/>
      <c r="AY48" s="978"/>
      <c r="AZ48" s="978"/>
      <c r="BA48" s="978"/>
      <c r="BB48" s="978"/>
      <c r="BC48" s="979"/>
      <c r="BD48" s="576">
        <v>0.870569160891</v>
      </c>
      <c r="BE48" s="576">
        <v>0.87433452942099998</v>
      </c>
      <c r="BF48" s="576">
        <v>0.88256535917599999</v>
      </c>
      <c r="BG48" s="576">
        <v>9.4138221439999999E-3</v>
      </c>
      <c r="BH48" s="577">
        <v>1.3779718858999999E-2</v>
      </c>
      <c r="BM48" s="544"/>
      <c r="BN48" s="545"/>
      <c r="BO48" s="545"/>
      <c r="BP48" s="545"/>
      <c r="BQ48" s="545"/>
      <c r="BR48" s="545"/>
      <c r="BS48" s="546"/>
      <c r="BT48" s="593" t="s">
        <v>202</v>
      </c>
      <c r="BU48" s="593" t="s">
        <v>211</v>
      </c>
      <c r="BV48" s="593" t="s">
        <v>212</v>
      </c>
      <c r="BW48" s="593" t="s">
        <v>79</v>
      </c>
      <c r="BX48" s="593" t="s">
        <v>80</v>
      </c>
      <c r="CC48" s="544"/>
      <c r="CD48" s="545"/>
      <c r="CE48" s="545"/>
      <c r="CF48" s="545"/>
      <c r="CG48" s="545"/>
      <c r="CH48" s="545"/>
      <c r="CI48" s="546"/>
      <c r="CJ48" s="593" t="s">
        <v>202</v>
      </c>
      <c r="CK48" s="593" t="s">
        <v>211</v>
      </c>
      <c r="CL48" s="593" t="s">
        <v>212</v>
      </c>
      <c r="CM48" s="593" t="s">
        <v>79</v>
      </c>
      <c r="CN48" s="593" t="s">
        <v>80</v>
      </c>
      <c r="CS48" s="968" t="s">
        <v>120</v>
      </c>
      <c r="CT48" s="969"/>
      <c r="CU48" s="969"/>
      <c r="CV48" s="969"/>
      <c r="CW48" s="969"/>
      <c r="CX48" s="969"/>
      <c r="CY48" s="970"/>
      <c r="CZ48" s="576">
        <v>0.25894757477300001</v>
      </c>
      <c r="DA48" s="576">
        <v>0.257782060413</v>
      </c>
      <c r="DB48" s="576">
        <v>0.25800400552800001</v>
      </c>
      <c r="DC48" s="576">
        <v>8.60979679E-4</v>
      </c>
      <c r="DD48" s="577">
        <v>-3.6438620640000001E-3</v>
      </c>
      <c r="DI48" s="971" t="s">
        <v>117</v>
      </c>
      <c r="DJ48" s="972"/>
      <c r="DK48" s="972"/>
      <c r="DL48" s="972"/>
      <c r="DM48" s="972"/>
      <c r="DN48" s="972"/>
      <c r="DO48" s="973"/>
      <c r="DP48" s="579">
        <v>0.61599381258899999</v>
      </c>
      <c r="DQ48" s="579">
        <v>9.8374426008999996E-2</v>
      </c>
      <c r="DR48" s="579">
        <v>0.214485602621</v>
      </c>
      <c r="DS48" s="579">
        <v>1.180298389766</v>
      </c>
      <c r="DT48" s="580">
        <v>-0.651805589214</v>
      </c>
      <c r="DY48" s="968" t="s">
        <v>121</v>
      </c>
      <c r="DZ48" s="969"/>
      <c r="EA48" s="969"/>
      <c r="EB48" s="969"/>
      <c r="EC48" s="969"/>
      <c r="ED48" s="969"/>
      <c r="EE48" s="970"/>
      <c r="EF48" s="576">
        <v>0.61249463288899997</v>
      </c>
      <c r="EG48" s="576">
        <v>0.612636892539</v>
      </c>
      <c r="EH48" s="576">
        <v>0.61331582736800005</v>
      </c>
      <c r="EI48" s="576">
        <v>1.108217342E-3</v>
      </c>
      <c r="EJ48" s="577">
        <v>1.3407374280000001E-3</v>
      </c>
      <c r="EO48" s="544"/>
      <c r="EP48" s="545"/>
      <c r="EQ48" s="545"/>
      <c r="ER48" s="545"/>
      <c r="ES48" s="545"/>
      <c r="ET48" s="545"/>
      <c r="EU48" s="546"/>
      <c r="EV48" s="593" t="s">
        <v>202</v>
      </c>
      <c r="EW48" s="593" t="s">
        <v>211</v>
      </c>
      <c r="EX48" s="593" t="s">
        <v>212</v>
      </c>
      <c r="EY48" s="593" t="s">
        <v>79</v>
      </c>
      <c r="EZ48" s="593" t="s">
        <v>80</v>
      </c>
      <c r="FE48" s="544"/>
      <c r="FF48" s="545"/>
      <c r="FG48" s="545"/>
      <c r="FH48" s="545"/>
      <c r="FI48" s="545"/>
      <c r="FJ48" s="545"/>
      <c r="FK48" s="546"/>
      <c r="FL48" s="593" t="s">
        <v>202</v>
      </c>
      <c r="FM48" s="593" t="s">
        <v>211</v>
      </c>
      <c r="FN48" s="593" t="s">
        <v>212</v>
      </c>
      <c r="FO48" s="593" t="s">
        <v>79</v>
      </c>
      <c r="FP48" s="593" t="s">
        <v>80</v>
      </c>
      <c r="GL48" s="353">
        <v>3</v>
      </c>
      <c r="GM48" s="353" t="s">
        <v>131</v>
      </c>
      <c r="GN48" s="353">
        <f t="shared" si="14"/>
        <v>792</v>
      </c>
      <c r="GO48" s="353">
        <f t="shared" si="15"/>
        <v>858</v>
      </c>
      <c r="GP48" s="353">
        <f t="shared" si="15"/>
        <v>1121</v>
      </c>
      <c r="GQ48" s="353">
        <f t="shared" ref="GQ48:HL48" si="29">+GQ20-GQ34</f>
        <v>980</v>
      </c>
      <c r="GR48" s="353">
        <f t="shared" si="29"/>
        <v>1342</v>
      </c>
      <c r="GS48" s="353">
        <f t="shared" si="29"/>
        <v>1133</v>
      </c>
      <c r="GT48" s="353">
        <f t="shared" si="29"/>
        <v>1135</v>
      </c>
      <c r="GU48" s="353">
        <f t="shared" si="29"/>
        <v>942</v>
      </c>
      <c r="GV48" s="353">
        <f t="shared" si="29"/>
        <v>2720</v>
      </c>
      <c r="GW48" s="353">
        <f t="shared" si="29"/>
        <v>2308</v>
      </c>
      <c r="GX48" s="353">
        <f t="shared" si="29"/>
        <v>1574</v>
      </c>
      <c r="GY48" s="353">
        <f t="shared" si="29"/>
        <v>931</v>
      </c>
      <c r="GZ48" s="353">
        <f t="shared" si="29"/>
        <v>937</v>
      </c>
      <c r="HA48" s="353">
        <f t="shared" si="29"/>
        <v>1027</v>
      </c>
      <c r="HB48" s="353">
        <f t="shared" si="29"/>
        <v>1029</v>
      </c>
      <c r="HC48" s="353">
        <f t="shared" si="29"/>
        <v>699</v>
      </c>
      <c r="HD48" s="353">
        <f t="shared" si="29"/>
        <v>654</v>
      </c>
      <c r="HE48" s="353">
        <f t="shared" si="29"/>
        <v>1259</v>
      </c>
      <c r="HF48" s="353">
        <f t="shared" si="29"/>
        <v>1101</v>
      </c>
      <c r="HG48" s="353">
        <f t="shared" si="29"/>
        <v>713</v>
      </c>
      <c r="HH48" s="353">
        <f t="shared" si="29"/>
        <v>652</v>
      </c>
      <c r="HI48" s="353">
        <f t="shared" si="29"/>
        <v>574</v>
      </c>
      <c r="HJ48" s="353">
        <f t="shared" si="29"/>
        <v>566</v>
      </c>
      <c r="HK48" s="353">
        <f t="shared" si="29"/>
        <v>406</v>
      </c>
      <c r="HL48" s="353">
        <f t="shared" si="29"/>
        <v>764</v>
      </c>
      <c r="HM48" s="353">
        <f t="shared" ref="HM48:HO48" si="30">+HM20-HM34</f>
        <v>921</v>
      </c>
      <c r="HN48" s="353">
        <f t="shared" si="30"/>
        <v>770</v>
      </c>
      <c r="HO48" s="353">
        <f t="shared" si="30"/>
        <v>1207</v>
      </c>
      <c r="HP48" s="353">
        <f t="shared" ref="HP48:HR48" si="31">+HP20-HP34</f>
        <v>828</v>
      </c>
      <c r="HQ48" s="353">
        <f t="shared" si="31"/>
        <v>986</v>
      </c>
      <c r="HR48" s="353">
        <f t="shared" si="31"/>
        <v>826</v>
      </c>
      <c r="HS48" s="353">
        <f t="shared" ref="HS48:HT48" si="32">+HS20-HS34</f>
        <v>669</v>
      </c>
      <c r="HT48" s="353">
        <f t="shared" si="32"/>
        <v>819</v>
      </c>
      <c r="HU48" s="353">
        <f t="shared" ref="HU48:HV48" si="33">+HU20-HU34</f>
        <v>1146</v>
      </c>
      <c r="HV48" s="353">
        <f t="shared" si="33"/>
        <v>781</v>
      </c>
      <c r="HW48" s="353">
        <f t="shared" ref="HW48:HX48" si="34">+HW20-HW34</f>
        <v>627</v>
      </c>
      <c r="HX48" s="353">
        <f t="shared" si="34"/>
        <v>587</v>
      </c>
      <c r="HY48" s="753">
        <v>1120</v>
      </c>
      <c r="HZ48" s="753">
        <v>1459</v>
      </c>
      <c r="IA48" s="592">
        <v>791</v>
      </c>
      <c r="IB48" s="828">
        <v>1058</v>
      </c>
      <c r="IC48" s="592">
        <v>1291</v>
      </c>
      <c r="IV48" s="353">
        <v>3</v>
      </c>
      <c r="IW48" s="353" t="s">
        <v>131</v>
      </c>
      <c r="IX48" s="353">
        <f t="shared" ref="IX48:JC48" si="35">+IX20-IX34</f>
        <v>725</v>
      </c>
      <c r="IY48" s="353">
        <f t="shared" si="35"/>
        <v>786</v>
      </c>
      <c r="IZ48" s="353">
        <f t="shared" si="35"/>
        <v>1037</v>
      </c>
      <c r="JA48" s="353">
        <f t="shared" si="35"/>
        <v>715</v>
      </c>
      <c r="JB48" s="353">
        <f t="shared" si="35"/>
        <v>739</v>
      </c>
      <c r="JC48" s="353">
        <f t="shared" si="35"/>
        <v>459</v>
      </c>
      <c r="JD48" s="353">
        <f t="shared" ref="JD48:JX48" si="36">+JD20-JD34</f>
        <v>830</v>
      </c>
      <c r="JE48" s="353">
        <f t="shared" si="36"/>
        <v>724</v>
      </c>
      <c r="JF48" s="353">
        <f t="shared" si="36"/>
        <v>2421</v>
      </c>
      <c r="JG48" s="353">
        <f t="shared" si="36"/>
        <v>1627</v>
      </c>
      <c r="JH48" s="353">
        <f t="shared" si="36"/>
        <v>1293</v>
      </c>
      <c r="JI48" s="353">
        <f t="shared" si="36"/>
        <v>676</v>
      </c>
      <c r="JJ48" s="353">
        <f t="shared" si="36"/>
        <v>1078</v>
      </c>
      <c r="JK48" s="353">
        <f t="shared" si="36"/>
        <v>1190</v>
      </c>
      <c r="JL48" s="353">
        <f t="shared" si="36"/>
        <v>1003</v>
      </c>
      <c r="JM48" s="353">
        <f t="shared" si="36"/>
        <v>581</v>
      </c>
      <c r="JN48" s="353">
        <f t="shared" si="36"/>
        <v>634</v>
      </c>
      <c r="JO48" s="353">
        <f t="shared" si="36"/>
        <v>1293</v>
      </c>
      <c r="JP48" s="353">
        <f t="shared" si="36"/>
        <v>1077</v>
      </c>
      <c r="JQ48" s="353">
        <f t="shared" si="36"/>
        <v>673</v>
      </c>
      <c r="JR48" s="353">
        <f t="shared" si="36"/>
        <v>676</v>
      </c>
      <c r="JS48" s="353">
        <f t="shared" si="36"/>
        <v>590</v>
      </c>
      <c r="JT48" s="353">
        <f t="shared" si="36"/>
        <v>539</v>
      </c>
      <c r="JU48" s="353">
        <f t="shared" si="36"/>
        <v>422</v>
      </c>
      <c r="JV48" s="353">
        <f t="shared" si="36"/>
        <v>459</v>
      </c>
      <c r="JW48" s="353">
        <f t="shared" si="36"/>
        <v>1100</v>
      </c>
      <c r="JX48" s="353">
        <f t="shared" si="36"/>
        <v>760</v>
      </c>
      <c r="JY48" s="353">
        <f t="shared" si="8"/>
        <v>751</v>
      </c>
      <c r="JZ48" s="353">
        <f t="shared" ref="JZ48:KB48" si="37">+JZ20-JZ34</f>
        <v>886</v>
      </c>
      <c r="KA48" s="353">
        <f t="shared" si="37"/>
        <v>703</v>
      </c>
      <c r="KB48" s="353">
        <f t="shared" si="37"/>
        <v>662</v>
      </c>
      <c r="KC48" s="353">
        <f t="shared" ref="KC48:KD48" si="38">+KC20-KC34</f>
        <v>717</v>
      </c>
      <c r="KD48" s="353">
        <f t="shared" si="38"/>
        <v>611</v>
      </c>
      <c r="KE48" s="353">
        <f t="shared" ref="KE48:KF48" si="39">+KE20-KE34</f>
        <v>1823</v>
      </c>
      <c r="KF48" s="353">
        <f t="shared" si="39"/>
        <v>868</v>
      </c>
      <c r="KG48" s="353">
        <f t="shared" ref="KG48:KI48" si="40">+KG20-KG34</f>
        <v>558</v>
      </c>
      <c r="KH48" s="353">
        <f t="shared" si="40"/>
        <v>550</v>
      </c>
      <c r="KI48" s="353">
        <f t="shared" si="40"/>
        <v>821</v>
      </c>
      <c r="KJ48" s="353">
        <f t="shared" ref="KJ48" si="41">+KJ20-KJ34</f>
        <v>1332</v>
      </c>
      <c r="KK48" s="753">
        <v>740</v>
      </c>
      <c r="KL48" s="753">
        <v>1042</v>
      </c>
      <c r="KM48" s="592">
        <v>1112</v>
      </c>
      <c r="KN48" s="828">
        <v>1273</v>
      </c>
      <c r="KO48" s="592">
        <v>1405</v>
      </c>
    </row>
    <row r="49" spans="1:301" ht="15.6" thickBot="1">
      <c r="A49" s="977" t="s">
        <v>119</v>
      </c>
      <c r="B49" s="978"/>
      <c r="C49" s="978"/>
      <c r="D49" s="978"/>
      <c r="E49" s="978"/>
      <c r="F49" s="978"/>
      <c r="G49" s="979"/>
      <c r="H49" s="576">
        <v>0.77878576413099998</v>
      </c>
      <c r="I49" s="576">
        <v>0.77754801765600001</v>
      </c>
      <c r="J49" s="576">
        <v>0.78153697438299996</v>
      </c>
      <c r="K49" s="576">
        <v>5.1301741330000003E-3</v>
      </c>
      <c r="L49" s="577">
        <v>3.532692017E-3</v>
      </c>
      <c r="Q49" s="977" t="s">
        <v>119</v>
      </c>
      <c r="R49" s="978"/>
      <c r="S49" s="978"/>
      <c r="T49" s="978"/>
      <c r="U49" s="978"/>
      <c r="V49" s="978"/>
      <c r="W49" s="979"/>
      <c r="X49" s="576">
        <v>0.806985730028</v>
      </c>
      <c r="Y49" s="576">
        <v>0.80923942412899996</v>
      </c>
      <c r="Z49" s="576">
        <v>0.81120403889000003</v>
      </c>
      <c r="AA49" s="576">
        <v>2.4277299179999998E-3</v>
      </c>
      <c r="AB49" s="577">
        <v>5.2272409599999998E-3</v>
      </c>
      <c r="AG49" s="977" t="s">
        <v>119</v>
      </c>
      <c r="AH49" s="978"/>
      <c r="AI49" s="978"/>
      <c r="AJ49" s="978"/>
      <c r="AK49" s="978"/>
      <c r="AL49" s="978"/>
      <c r="AM49" s="979"/>
      <c r="AN49" s="576">
        <v>0.74521937781299996</v>
      </c>
      <c r="AO49" s="576">
        <v>0.74357177112899997</v>
      </c>
      <c r="AP49" s="576">
        <v>0.74254016200200001</v>
      </c>
      <c r="AQ49" s="576">
        <v>-1.387369943E-3</v>
      </c>
      <c r="AR49" s="577">
        <v>-3.5952041640000001E-3</v>
      </c>
      <c r="AW49" s="968" t="s">
        <v>120</v>
      </c>
      <c r="AX49" s="969"/>
      <c r="AY49" s="969"/>
      <c r="AZ49" s="969"/>
      <c r="BA49" s="969"/>
      <c r="BB49" s="969"/>
      <c r="BC49" s="970"/>
      <c r="BD49" s="576">
        <v>0.29620481363500001</v>
      </c>
      <c r="BE49" s="576">
        <v>0.29993081451199999</v>
      </c>
      <c r="BF49" s="576">
        <v>0.30340045814299998</v>
      </c>
      <c r="BG49" s="576">
        <v>1.1568146596000001E-2</v>
      </c>
      <c r="BH49" s="577">
        <v>2.4292800714000001E-2</v>
      </c>
      <c r="BM49" s="977" t="s">
        <v>119</v>
      </c>
      <c r="BN49" s="978"/>
      <c r="BO49" s="978"/>
      <c r="BP49" s="978"/>
      <c r="BQ49" s="978"/>
      <c r="BR49" s="978"/>
      <c r="BS49" s="979"/>
      <c r="BT49" s="576">
        <v>0.95049567468499996</v>
      </c>
      <c r="BU49" s="576">
        <v>0.94909021746</v>
      </c>
      <c r="BV49" s="576">
        <v>0.94873401855100004</v>
      </c>
      <c r="BW49" s="576">
        <v>-3.7530563699999999E-4</v>
      </c>
      <c r="BX49" s="577">
        <v>-1.853407839E-3</v>
      </c>
      <c r="CC49" s="977" t="s">
        <v>119</v>
      </c>
      <c r="CD49" s="978"/>
      <c r="CE49" s="978"/>
      <c r="CF49" s="978"/>
      <c r="CG49" s="978"/>
      <c r="CH49" s="978"/>
      <c r="CI49" s="979"/>
      <c r="CJ49" s="576">
        <v>0.71036439188099998</v>
      </c>
      <c r="CK49" s="576">
        <v>0.71189478383100002</v>
      </c>
      <c r="CL49" s="576">
        <v>0.712618599623</v>
      </c>
      <c r="CM49" s="576">
        <v>1.016745464E-3</v>
      </c>
      <c r="CN49" s="577">
        <v>3.1733118499999999E-3</v>
      </c>
      <c r="CS49" s="968" t="s">
        <v>121</v>
      </c>
      <c r="CT49" s="969"/>
      <c r="CU49" s="969"/>
      <c r="CV49" s="969"/>
      <c r="CW49" s="969"/>
      <c r="CX49" s="969"/>
      <c r="CY49" s="970"/>
      <c r="CZ49" s="576">
        <v>0.50536401476399995</v>
      </c>
      <c r="DA49" s="576">
        <v>0.50340231826899995</v>
      </c>
      <c r="DB49" s="576">
        <v>0.51114485944300003</v>
      </c>
      <c r="DC49" s="576">
        <v>1.5380424152E-2</v>
      </c>
      <c r="DD49" s="577">
        <v>1.1438971730000001E-2</v>
      </c>
      <c r="DI49" s="975" t="s">
        <v>118</v>
      </c>
      <c r="DJ49" s="976"/>
      <c r="DK49" s="976"/>
      <c r="DL49" s="976"/>
      <c r="DM49" s="976"/>
      <c r="DN49" s="976"/>
      <c r="DO49" s="976"/>
      <c r="DP49" s="976"/>
      <c r="DQ49" s="976"/>
      <c r="DR49" s="976"/>
      <c r="DS49" s="976"/>
      <c r="DT49" s="976"/>
      <c r="DY49" s="594"/>
      <c r="DZ49" s="595"/>
      <c r="EA49" s="595"/>
      <c r="EB49" s="595"/>
      <c r="EC49" s="595"/>
      <c r="ED49" s="595"/>
      <c r="EE49" s="596"/>
      <c r="EF49" s="576"/>
      <c r="EG49" s="576"/>
      <c r="EH49" s="576"/>
      <c r="EI49" s="576"/>
      <c r="EJ49" s="577"/>
      <c r="EO49" s="977" t="s">
        <v>119</v>
      </c>
      <c r="EP49" s="978"/>
      <c r="EQ49" s="978"/>
      <c r="ER49" s="978"/>
      <c r="ES49" s="978"/>
      <c r="ET49" s="978"/>
      <c r="EU49" s="979"/>
      <c r="EV49" s="576">
        <v>0.71275585524399998</v>
      </c>
      <c r="EW49" s="576">
        <v>0.71437395217499999</v>
      </c>
      <c r="EX49" s="576">
        <v>0.71629426056400003</v>
      </c>
      <c r="EY49" s="576">
        <v>2.6880996760000001E-3</v>
      </c>
      <c r="EZ49" s="577">
        <v>4.9644002130000003E-3</v>
      </c>
      <c r="FE49" s="977" t="s">
        <v>119</v>
      </c>
      <c r="FF49" s="978"/>
      <c r="FG49" s="978"/>
      <c r="FH49" s="978"/>
      <c r="FI49" s="978"/>
      <c r="FJ49" s="978"/>
      <c r="FK49" s="979"/>
      <c r="FL49" s="576">
        <v>0.95681448163500005</v>
      </c>
      <c r="FM49" s="576">
        <v>0.95786932909099998</v>
      </c>
      <c r="FN49" s="576">
        <v>0.95818605288299996</v>
      </c>
      <c r="FO49" s="576">
        <v>3.30654488E-4</v>
      </c>
      <c r="FP49" s="577">
        <v>1.433476681E-3</v>
      </c>
      <c r="GL49" s="353">
        <v>4</v>
      </c>
      <c r="GM49" s="353" t="s">
        <v>132</v>
      </c>
      <c r="GN49" s="353">
        <f t="shared" si="14"/>
        <v>234</v>
      </c>
      <c r="GO49" s="353">
        <f t="shared" si="15"/>
        <v>229</v>
      </c>
      <c r="GP49" s="353">
        <f t="shared" si="15"/>
        <v>324</v>
      </c>
      <c r="GQ49" s="353">
        <f t="shared" ref="GQ49:HL49" si="42">+GQ21-GQ35</f>
        <v>405</v>
      </c>
      <c r="GR49" s="353">
        <f t="shared" si="42"/>
        <v>499</v>
      </c>
      <c r="GS49" s="353">
        <f t="shared" si="42"/>
        <v>765</v>
      </c>
      <c r="GT49" s="353">
        <f t="shared" si="42"/>
        <v>414</v>
      </c>
      <c r="GU49" s="353">
        <f t="shared" si="42"/>
        <v>385</v>
      </c>
      <c r="GV49" s="353">
        <f t="shared" si="42"/>
        <v>477</v>
      </c>
      <c r="GW49" s="353">
        <f t="shared" si="42"/>
        <v>513</v>
      </c>
      <c r="GX49" s="353">
        <f t="shared" si="42"/>
        <v>650</v>
      </c>
      <c r="GY49" s="353">
        <f t="shared" si="42"/>
        <v>594</v>
      </c>
      <c r="GZ49" s="353">
        <f t="shared" si="42"/>
        <v>529</v>
      </c>
      <c r="HA49" s="353">
        <f t="shared" si="42"/>
        <v>517</v>
      </c>
      <c r="HB49" s="353">
        <f t="shared" si="42"/>
        <v>917</v>
      </c>
      <c r="HC49" s="353">
        <f t="shared" si="42"/>
        <v>451</v>
      </c>
      <c r="HD49" s="353">
        <f t="shared" si="42"/>
        <v>266</v>
      </c>
      <c r="HE49" s="353">
        <f t="shared" si="42"/>
        <v>177</v>
      </c>
      <c r="HF49" s="353">
        <f t="shared" si="42"/>
        <v>167</v>
      </c>
      <c r="HG49" s="353">
        <f t="shared" si="42"/>
        <v>122</v>
      </c>
      <c r="HH49" s="353">
        <f t="shared" si="42"/>
        <v>132</v>
      </c>
      <c r="HI49" s="353">
        <f t="shared" si="42"/>
        <v>275</v>
      </c>
      <c r="HJ49" s="353">
        <f t="shared" si="42"/>
        <v>214</v>
      </c>
      <c r="HK49" s="353">
        <f t="shared" si="42"/>
        <v>170</v>
      </c>
      <c r="HL49" s="353">
        <f t="shared" si="42"/>
        <v>194</v>
      </c>
      <c r="HM49" s="353">
        <f t="shared" ref="HM49:HO49" si="43">+HM21-HM35</f>
        <v>243</v>
      </c>
      <c r="HN49" s="353">
        <f t="shared" si="43"/>
        <v>174</v>
      </c>
      <c r="HO49" s="353">
        <f t="shared" si="43"/>
        <v>381</v>
      </c>
      <c r="HP49" s="353">
        <f t="shared" ref="HP49:HR49" si="44">+HP21-HP35</f>
        <v>80</v>
      </c>
      <c r="HQ49" s="353">
        <f t="shared" si="44"/>
        <v>224</v>
      </c>
      <c r="HR49" s="353">
        <f t="shared" si="44"/>
        <v>394</v>
      </c>
      <c r="HS49" s="353">
        <f t="shared" ref="HS49:HT49" si="45">+HS21-HS35</f>
        <v>472</v>
      </c>
      <c r="HT49" s="353">
        <f t="shared" si="45"/>
        <v>439</v>
      </c>
      <c r="HU49" s="353">
        <f t="shared" ref="HU49:HV49" si="46">+HU21-HU35</f>
        <v>198</v>
      </c>
      <c r="HV49" s="353">
        <f t="shared" si="46"/>
        <v>217</v>
      </c>
      <c r="HW49" s="353">
        <f t="shared" ref="HW49:HX49" si="47">+HW21-HW35</f>
        <v>91</v>
      </c>
      <c r="HX49" s="353">
        <f t="shared" si="47"/>
        <v>123</v>
      </c>
      <c r="HY49" s="753">
        <v>370</v>
      </c>
      <c r="HZ49" s="753">
        <v>422</v>
      </c>
      <c r="IA49" s="592">
        <v>472</v>
      </c>
      <c r="IB49" s="828">
        <v>371</v>
      </c>
      <c r="IC49" s="592">
        <v>256</v>
      </c>
      <c r="IV49" s="353">
        <v>4</v>
      </c>
      <c r="IW49" s="353" t="s">
        <v>132</v>
      </c>
      <c r="IX49" s="353">
        <f t="shared" ref="IX49:JC49" si="48">+IX21-IX35</f>
        <v>126</v>
      </c>
      <c r="IY49" s="353">
        <f t="shared" si="48"/>
        <v>151</v>
      </c>
      <c r="IZ49" s="353">
        <f t="shared" si="48"/>
        <v>243</v>
      </c>
      <c r="JA49" s="353">
        <f t="shared" si="48"/>
        <v>314</v>
      </c>
      <c r="JB49" s="353">
        <f t="shared" si="48"/>
        <v>379</v>
      </c>
      <c r="JC49" s="353">
        <f t="shared" si="48"/>
        <v>750</v>
      </c>
      <c r="JD49" s="353">
        <f t="shared" ref="JD49:JX49" si="49">+JD21-JD35</f>
        <v>338</v>
      </c>
      <c r="JE49" s="353">
        <f t="shared" si="49"/>
        <v>262</v>
      </c>
      <c r="JF49" s="353">
        <f t="shared" si="49"/>
        <v>413</v>
      </c>
      <c r="JG49" s="353">
        <f t="shared" si="49"/>
        <v>240</v>
      </c>
      <c r="JH49" s="353">
        <f t="shared" si="49"/>
        <v>393</v>
      </c>
      <c r="JI49" s="353">
        <f t="shared" si="49"/>
        <v>486</v>
      </c>
      <c r="JJ49" s="353">
        <f t="shared" si="49"/>
        <v>500</v>
      </c>
      <c r="JK49" s="353">
        <f t="shared" si="49"/>
        <v>539</v>
      </c>
      <c r="JL49" s="353">
        <f t="shared" si="49"/>
        <v>950</v>
      </c>
      <c r="JM49" s="353">
        <f t="shared" si="49"/>
        <v>578</v>
      </c>
      <c r="JN49" s="353">
        <f t="shared" si="49"/>
        <v>318</v>
      </c>
      <c r="JO49" s="353">
        <f t="shared" si="49"/>
        <v>204</v>
      </c>
      <c r="JP49" s="353">
        <f t="shared" si="49"/>
        <v>166</v>
      </c>
      <c r="JQ49" s="353">
        <f t="shared" si="49"/>
        <v>124</v>
      </c>
      <c r="JR49" s="353">
        <f t="shared" si="49"/>
        <v>277</v>
      </c>
      <c r="JS49" s="353">
        <f t="shared" si="49"/>
        <v>239</v>
      </c>
      <c r="JT49" s="353">
        <f t="shared" si="49"/>
        <v>177</v>
      </c>
      <c r="JU49" s="353">
        <f t="shared" si="49"/>
        <v>117</v>
      </c>
      <c r="JV49" s="353">
        <f t="shared" si="49"/>
        <v>141</v>
      </c>
      <c r="JW49" s="353">
        <f t="shared" si="49"/>
        <v>188</v>
      </c>
      <c r="JX49" s="353">
        <f t="shared" si="49"/>
        <v>237</v>
      </c>
      <c r="JY49" s="353">
        <f t="shared" si="8"/>
        <v>194</v>
      </c>
      <c r="JZ49" s="353">
        <f t="shared" ref="JZ49:KB49" si="50">+JZ21-JZ35</f>
        <v>113</v>
      </c>
      <c r="KA49" s="353">
        <f t="shared" si="50"/>
        <v>78</v>
      </c>
      <c r="KB49" s="353">
        <f t="shared" si="50"/>
        <v>336</v>
      </c>
      <c r="KC49" s="353">
        <f t="shared" ref="KC49:KD49" si="51">+KC21-KC35</f>
        <v>457</v>
      </c>
      <c r="KD49" s="353">
        <f t="shared" si="51"/>
        <v>477</v>
      </c>
      <c r="KE49" s="353">
        <f t="shared" ref="KE49:KF49" si="52">+KE21-KE35</f>
        <v>400</v>
      </c>
      <c r="KF49" s="353">
        <f t="shared" si="52"/>
        <v>591</v>
      </c>
      <c r="KG49" s="353">
        <f t="shared" ref="KG49:KI49" si="53">+KG21-KG35</f>
        <v>273</v>
      </c>
      <c r="KH49" s="353">
        <f t="shared" si="53"/>
        <v>250</v>
      </c>
      <c r="KI49" s="353">
        <f t="shared" si="53"/>
        <v>295</v>
      </c>
      <c r="KJ49" s="353">
        <f t="shared" ref="KJ49" si="54">+KJ21-KJ35</f>
        <v>262</v>
      </c>
      <c r="KK49" s="753">
        <v>356</v>
      </c>
      <c r="KL49" s="753">
        <v>470</v>
      </c>
      <c r="KM49" s="592">
        <v>329</v>
      </c>
      <c r="KN49" s="828">
        <v>240</v>
      </c>
      <c r="KO49" s="592">
        <v>516</v>
      </c>
    </row>
    <row r="50" spans="1:301" ht="15.6" thickBot="1">
      <c r="A50" s="968" t="s">
        <v>120</v>
      </c>
      <c r="B50" s="969"/>
      <c r="C50" s="969"/>
      <c r="D50" s="969"/>
      <c r="E50" s="969"/>
      <c r="F50" s="969"/>
      <c r="G50" s="970"/>
      <c r="H50" s="576">
        <v>0.38877258277100002</v>
      </c>
      <c r="I50" s="576">
        <v>0.39177635503199998</v>
      </c>
      <c r="J50" s="576">
        <v>0.38911712582500002</v>
      </c>
      <c r="K50" s="576">
        <v>-6.7876204689999997E-3</v>
      </c>
      <c r="L50" s="577">
        <v>8.8623290200000001E-4</v>
      </c>
      <c r="Q50" s="968" t="s">
        <v>120</v>
      </c>
      <c r="R50" s="969"/>
      <c r="S50" s="969"/>
      <c r="T50" s="969"/>
      <c r="U50" s="969"/>
      <c r="V50" s="969"/>
      <c r="W50" s="970"/>
      <c r="X50" s="576">
        <v>0.69314678681499997</v>
      </c>
      <c r="Y50" s="576">
        <v>0.68994997852200002</v>
      </c>
      <c r="Z50" s="576">
        <v>0.69190973522499999</v>
      </c>
      <c r="AA50" s="576">
        <v>2.8404330220000002E-3</v>
      </c>
      <c r="AB50" s="577">
        <v>-1.7846892079999999E-3</v>
      </c>
      <c r="AG50" s="968" t="s">
        <v>120</v>
      </c>
      <c r="AH50" s="969"/>
      <c r="AI50" s="969"/>
      <c r="AJ50" s="969"/>
      <c r="AK50" s="969"/>
      <c r="AL50" s="969"/>
      <c r="AM50" s="970"/>
      <c r="AN50" s="576">
        <v>0.74116777531400002</v>
      </c>
      <c r="AO50" s="576">
        <v>0.74668066282699996</v>
      </c>
      <c r="AP50" s="576">
        <v>0.74457924497700001</v>
      </c>
      <c r="AQ50" s="576">
        <v>-2.8143461519999999E-3</v>
      </c>
      <c r="AR50" s="577">
        <v>4.6028305289999996E-3</v>
      </c>
      <c r="AW50" s="968" t="s">
        <v>121</v>
      </c>
      <c r="AX50" s="969"/>
      <c r="AY50" s="969"/>
      <c r="AZ50" s="969"/>
      <c r="BA50" s="969"/>
      <c r="BB50" s="969"/>
      <c r="BC50" s="970"/>
      <c r="BD50" s="576">
        <v>0.35549803341500003</v>
      </c>
      <c r="BE50" s="576">
        <v>0.35662506789600001</v>
      </c>
      <c r="BF50" s="576">
        <v>0.371672117458</v>
      </c>
      <c r="BG50" s="576">
        <v>4.2192910471000003E-2</v>
      </c>
      <c r="BH50" s="577">
        <v>4.5496971918999998E-2</v>
      </c>
      <c r="BM50" s="968" t="s">
        <v>120</v>
      </c>
      <c r="BN50" s="969"/>
      <c r="BO50" s="969"/>
      <c r="BP50" s="969"/>
      <c r="BQ50" s="969"/>
      <c r="BR50" s="969"/>
      <c r="BS50" s="970"/>
      <c r="BT50" s="576">
        <v>0.50880848645499999</v>
      </c>
      <c r="BU50" s="576">
        <v>0.51271159576400005</v>
      </c>
      <c r="BV50" s="576">
        <v>0.50990223113499999</v>
      </c>
      <c r="BW50" s="576">
        <v>-5.4794247920000004E-3</v>
      </c>
      <c r="BX50" s="577">
        <v>2.1496195690000001E-3</v>
      </c>
      <c r="CC50" s="968" t="s">
        <v>120</v>
      </c>
      <c r="CD50" s="969"/>
      <c r="CE50" s="969"/>
      <c r="CF50" s="969"/>
      <c r="CG50" s="969"/>
      <c r="CH50" s="969"/>
      <c r="CI50" s="970"/>
      <c r="CJ50" s="576">
        <v>0.388751265249</v>
      </c>
      <c r="CK50" s="576">
        <v>0.38735833594199998</v>
      </c>
      <c r="CL50" s="576">
        <v>0.38679157158600003</v>
      </c>
      <c r="CM50" s="576">
        <v>-1.4631525990000001E-3</v>
      </c>
      <c r="CN50" s="577">
        <v>-5.0409962299999998E-3</v>
      </c>
      <c r="CS50" s="594"/>
      <c r="CT50" s="595"/>
      <c r="CU50" s="595"/>
      <c r="CV50" s="595"/>
      <c r="CW50" s="595"/>
      <c r="CX50" s="595"/>
      <c r="CY50" s="596"/>
      <c r="CZ50" s="576"/>
      <c r="DA50" s="576"/>
      <c r="DB50" s="576"/>
      <c r="DC50" s="576"/>
      <c r="DD50" s="577"/>
      <c r="DI50" s="544"/>
      <c r="DJ50" s="545"/>
      <c r="DK50" s="545"/>
      <c r="DL50" s="545"/>
      <c r="DM50" s="545"/>
      <c r="DN50" s="545"/>
      <c r="DO50" s="546"/>
      <c r="DP50" s="593" t="s">
        <v>202</v>
      </c>
      <c r="DQ50" s="593" t="s">
        <v>211</v>
      </c>
      <c r="DR50" s="593" t="s">
        <v>212</v>
      </c>
      <c r="DS50" s="593" t="s">
        <v>79</v>
      </c>
      <c r="DT50" s="593" t="s">
        <v>80</v>
      </c>
      <c r="DY50" s="968" t="s">
        <v>39</v>
      </c>
      <c r="DZ50" s="969"/>
      <c r="EA50" s="969"/>
      <c r="EB50" s="969"/>
      <c r="EC50" s="969"/>
      <c r="ED50" s="969"/>
      <c r="EE50" s="970"/>
      <c r="EF50" s="576">
        <v>0.59218331031100002</v>
      </c>
      <c r="EG50" s="576">
        <v>0.59215479901199997</v>
      </c>
      <c r="EH50" s="576">
        <v>0.59604746251899998</v>
      </c>
      <c r="EI50" s="576">
        <v>6.5737261829999999E-3</v>
      </c>
      <c r="EJ50" s="577">
        <v>6.525263614E-3</v>
      </c>
      <c r="EO50" s="968" t="s">
        <v>120</v>
      </c>
      <c r="EP50" s="969"/>
      <c r="EQ50" s="969"/>
      <c r="ER50" s="969"/>
      <c r="ES50" s="969"/>
      <c r="ET50" s="969"/>
      <c r="EU50" s="970"/>
      <c r="EV50" s="576">
        <v>0.47421298328200001</v>
      </c>
      <c r="EW50" s="576">
        <v>0.47253796234599998</v>
      </c>
      <c r="EX50" s="576">
        <v>0.46760664356499998</v>
      </c>
      <c r="EY50" s="576">
        <v>-1.0435815053E-2</v>
      </c>
      <c r="EZ50" s="577">
        <v>-1.3931165846E-2</v>
      </c>
      <c r="FE50" s="968" t="s">
        <v>120</v>
      </c>
      <c r="FF50" s="969"/>
      <c r="FG50" s="969"/>
      <c r="FH50" s="969"/>
      <c r="FI50" s="969"/>
      <c r="FJ50" s="969"/>
      <c r="FK50" s="970"/>
      <c r="FL50" s="576">
        <v>0.15872402660099999</v>
      </c>
      <c r="FM50" s="576">
        <v>0.15757858357499999</v>
      </c>
      <c r="FN50" s="576">
        <v>0.15744622551000001</v>
      </c>
      <c r="FO50" s="576">
        <v>-8.3994958099999995E-4</v>
      </c>
      <c r="FP50" s="577">
        <v>-8.0504578800000004E-3</v>
      </c>
      <c r="GL50" s="353">
        <v>5</v>
      </c>
      <c r="GM50" s="353" t="s">
        <v>135</v>
      </c>
      <c r="GN50" s="353">
        <f t="shared" si="14"/>
        <v>39</v>
      </c>
      <c r="GO50" s="353">
        <f t="shared" si="15"/>
        <v>48</v>
      </c>
      <c r="GP50" s="353">
        <f t="shared" si="15"/>
        <v>37</v>
      </c>
      <c r="GQ50" s="353">
        <f t="shared" ref="GQ50:HL50" si="55">+GQ22-GQ36</f>
        <v>27</v>
      </c>
      <c r="GR50" s="353">
        <f t="shared" si="55"/>
        <v>54</v>
      </c>
      <c r="GS50" s="353">
        <f t="shared" si="55"/>
        <v>74</v>
      </c>
      <c r="GT50" s="353">
        <f t="shared" si="55"/>
        <v>114</v>
      </c>
      <c r="GU50" s="353">
        <f t="shared" si="55"/>
        <v>173</v>
      </c>
      <c r="GV50" s="353">
        <f t="shared" si="55"/>
        <v>111</v>
      </c>
      <c r="GW50" s="353">
        <f t="shared" si="55"/>
        <v>169</v>
      </c>
      <c r="GX50" s="353">
        <f t="shared" si="55"/>
        <v>128</v>
      </c>
      <c r="GY50" s="353">
        <f t="shared" si="55"/>
        <v>184</v>
      </c>
      <c r="GZ50" s="353">
        <f t="shared" si="55"/>
        <v>151</v>
      </c>
      <c r="HA50" s="353">
        <f t="shared" si="55"/>
        <v>117</v>
      </c>
      <c r="HB50" s="353">
        <f t="shared" si="55"/>
        <v>100</v>
      </c>
      <c r="HC50" s="353">
        <f t="shared" si="55"/>
        <v>16</v>
      </c>
      <c r="HD50" s="353">
        <f t="shared" si="55"/>
        <v>10</v>
      </c>
      <c r="HE50" s="353">
        <f t="shared" si="55"/>
        <v>46</v>
      </c>
      <c r="HF50" s="353">
        <f t="shared" si="55"/>
        <v>80</v>
      </c>
      <c r="HG50" s="353">
        <f t="shared" si="55"/>
        <v>81</v>
      </c>
      <c r="HH50" s="353">
        <f t="shared" si="55"/>
        <v>76</v>
      </c>
      <c r="HI50" s="353">
        <f t="shared" si="55"/>
        <v>82</v>
      </c>
      <c r="HJ50" s="353">
        <f t="shared" si="55"/>
        <v>103</v>
      </c>
      <c r="HK50" s="353">
        <f t="shared" si="55"/>
        <v>42</v>
      </c>
      <c r="HL50" s="353">
        <f t="shared" si="55"/>
        <v>78</v>
      </c>
      <c r="HM50" s="353">
        <f t="shared" ref="HM50:HO50" si="56">+HM22-HM36</f>
        <v>116</v>
      </c>
      <c r="HN50" s="353">
        <f t="shared" si="56"/>
        <v>120</v>
      </c>
      <c r="HO50" s="353">
        <f t="shared" si="56"/>
        <v>74</v>
      </c>
      <c r="HP50" s="353">
        <f t="shared" ref="HP50:HR50" si="57">+HP22-HP36</f>
        <v>69</v>
      </c>
      <c r="HQ50" s="353">
        <f t="shared" si="57"/>
        <v>93</v>
      </c>
      <c r="HR50" s="353">
        <f t="shared" si="57"/>
        <v>119</v>
      </c>
      <c r="HS50" s="353">
        <f t="shared" ref="HS50:HT50" si="58">+HS22-HS36</f>
        <v>78</v>
      </c>
      <c r="HT50" s="353">
        <f t="shared" si="58"/>
        <v>76</v>
      </c>
      <c r="HU50" s="353">
        <f t="shared" ref="HU50:HV50" si="59">+HU22-HU36</f>
        <v>51</v>
      </c>
      <c r="HV50" s="353">
        <f t="shared" si="59"/>
        <v>56</v>
      </c>
      <c r="HW50" s="353">
        <f t="shared" ref="HW50:HX50" si="60">+HW22-HW36</f>
        <v>47</v>
      </c>
      <c r="HX50" s="353">
        <f t="shared" si="60"/>
        <v>36</v>
      </c>
      <c r="HY50" s="753">
        <v>53</v>
      </c>
      <c r="HZ50" s="753">
        <v>93</v>
      </c>
      <c r="IA50" s="592">
        <v>80</v>
      </c>
      <c r="IB50" s="828">
        <v>53</v>
      </c>
      <c r="IC50" s="592">
        <v>36</v>
      </c>
      <c r="IV50" s="353">
        <v>5</v>
      </c>
      <c r="IW50" s="353" t="s">
        <v>135</v>
      </c>
      <c r="IX50" s="353">
        <f t="shared" ref="IX50:JC50" si="61">+IX22-IX36</f>
        <v>25</v>
      </c>
      <c r="IY50" s="353">
        <f t="shared" si="61"/>
        <v>36</v>
      </c>
      <c r="IZ50" s="353">
        <f t="shared" si="61"/>
        <v>32</v>
      </c>
      <c r="JA50" s="353">
        <f t="shared" si="61"/>
        <v>15</v>
      </c>
      <c r="JB50" s="353">
        <f t="shared" si="61"/>
        <v>35</v>
      </c>
      <c r="JC50" s="353">
        <f t="shared" si="61"/>
        <v>60</v>
      </c>
      <c r="JD50" s="353">
        <f t="shared" ref="JD50:JX50" si="62">+JD22-JD36</f>
        <v>82</v>
      </c>
      <c r="JE50" s="353">
        <f t="shared" si="62"/>
        <v>160</v>
      </c>
      <c r="JF50" s="353">
        <f t="shared" si="62"/>
        <v>134</v>
      </c>
      <c r="JG50" s="353">
        <f t="shared" si="62"/>
        <v>121</v>
      </c>
      <c r="JH50" s="353">
        <f t="shared" si="62"/>
        <v>98</v>
      </c>
      <c r="JI50" s="353">
        <f t="shared" si="62"/>
        <v>135</v>
      </c>
      <c r="JJ50" s="353">
        <f t="shared" si="62"/>
        <v>140</v>
      </c>
      <c r="JK50" s="353">
        <f t="shared" si="62"/>
        <v>119</v>
      </c>
      <c r="JL50" s="353">
        <f t="shared" si="62"/>
        <v>119</v>
      </c>
      <c r="JM50" s="353">
        <f t="shared" si="62"/>
        <v>17</v>
      </c>
      <c r="JN50" s="353">
        <f t="shared" si="62"/>
        <v>9</v>
      </c>
      <c r="JO50" s="353">
        <f t="shared" si="62"/>
        <v>37</v>
      </c>
      <c r="JP50" s="353">
        <f t="shared" si="62"/>
        <v>57</v>
      </c>
      <c r="JQ50" s="353">
        <f t="shared" si="62"/>
        <v>55</v>
      </c>
      <c r="JR50" s="353">
        <f t="shared" si="62"/>
        <v>105</v>
      </c>
      <c r="JS50" s="353">
        <f t="shared" si="62"/>
        <v>75</v>
      </c>
      <c r="JT50" s="353">
        <f t="shared" si="62"/>
        <v>92</v>
      </c>
      <c r="JU50" s="353">
        <f t="shared" si="62"/>
        <v>52</v>
      </c>
      <c r="JV50" s="353">
        <f t="shared" si="62"/>
        <v>75</v>
      </c>
      <c r="JW50" s="353">
        <f t="shared" si="62"/>
        <v>98</v>
      </c>
      <c r="JX50" s="353">
        <f t="shared" si="62"/>
        <v>120</v>
      </c>
      <c r="JY50" s="353">
        <f t="shared" si="8"/>
        <v>93</v>
      </c>
      <c r="JZ50" s="353">
        <f t="shared" ref="JZ50:KB50" si="63">+JZ22-JZ36</f>
        <v>65</v>
      </c>
      <c r="KA50" s="353">
        <f t="shared" si="63"/>
        <v>100</v>
      </c>
      <c r="KB50" s="353">
        <f t="shared" si="63"/>
        <v>102</v>
      </c>
      <c r="KC50" s="353">
        <f t="shared" ref="KC50:KD50" si="64">+KC22-KC36</f>
        <v>68</v>
      </c>
      <c r="KD50" s="353">
        <f t="shared" si="64"/>
        <v>75</v>
      </c>
      <c r="KE50" s="353">
        <f t="shared" ref="KE50:KF50" si="65">+KE22-KE36</f>
        <v>51</v>
      </c>
      <c r="KF50" s="353">
        <f t="shared" si="65"/>
        <v>78</v>
      </c>
      <c r="KG50" s="353">
        <f t="shared" ref="KG50:KI50" si="66">+KG22-KG36</f>
        <v>51</v>
      </c>
      <c r="KH50" s="353">
        <f t="shared" si="66"/>
        <v>36</v>
      </c>
      <c r="KI50" s="353">
        <f t="shared" si="66"/>
        <v>45</v>
      </c>
      <c r="KJ50" s="353">
        <f t="shared" ref="KJ50" si="67">+KJ22-KJ36</f>
        <v>78</v>
      </c>
      <c r="KK50" s="753">
        <v>81</v>
      </c>
      <c r="KL50" s="753">
        <v>91</v>
      </c>
      <c r="KM50" s="592">
        <v>55</v>
      </c>
      <c r="KN50" s="828">
        <v>38</v>
      </c>
      <c r="KO50" s="592">
        <v>93</v>
      </c>
    </row>
    <row r="51" spans="1:301" ht="15" thickBot="1">
      <c r="A51" s="968" t="s">
        <v>121</v>
      </c>
      <c r="B51" s="969"/>
      <c r="C51" s="969"/>
      <c r="D51" s="969"/>
      <c r="E51" s="969"/>
      <c r="F51" s="969"/>
      <c r="G51" s="970"/>
      <c r="H51" s="576">
        <v>0.46759581881500001</v>
      </c>
      <c r="I51" s="576">
        <v>0.47476090625400003</v>
      </c>
      <c r="J51" s="576">
        <v>0.47284065141199999</v>
      </c>
      <c r="K51" s="576">
        <v>-4.0446776830000003E-3</v>
      </c>
      <c r="L51" s="577">
        <v>1.1216594301000001E-2</v>
      </c>
      <c r="Q51" s="968" t="s">
        <v>121</v>
      </c>
      <c r="R51" s="969"/>
      <c r="S51" s="969"/>
      <c r="T51" s="969"/>
      <c r="U51" s="969"/>
      <c r="V51" s="969"/>
      <c r="W51" s="970"/>
      <c r="X51" s="576">
        <v>0.70308718799600001</v>
      </c>
      <c r="Y51" s="576">
        <v>0.69716790520799998</v>
      </c>
      <c r="Z51" s="576">
        <v>0.69536820148</v>
      </c>
      <c r="AA51" s="576">
        <v>-2.5814494819999998E-3</v>
      </c>
      <c r="AB51" s="577">
        <v>-1.0978704559E-2</v>
      </c>
      <c r="AG51" s="968" t="s">
        <v>121</v>
      </c>
      <c r="AH51" s="969"/>
      <c r="AI51" s="969"/>
      <c r="AJ51" s="969"/>
      <c r="AK51" s="969"/>
      <c r="AL51" s="969"/>
      <c r="AM51" s="970"/>
      <c r="AN51" s="576">
        <v>0.33752184656099998</v>
      </c>
      <c r="AO51" s="576">
        <v>0.33765269893400002</v>
      </c>
      <c r="AP51" s="576">
        <v>0.33496705331299997</v>
      </c>
      <c r="AQ51" s="576">
        <v>-7.9538698470000002E-3</v>
      </c>
      <c r="AR51" s="577">
        <v>-7.569267809E-3</v>
      </c>
      <c r="AW51" s="594"/>
      <c r="AX51" s="595"/>
      <c r="AY51" s="595"/>
      <c r="AZ51" s="595"/>
      <c r="BA51" s="595"/>
      <c r="BB51" s="595"/>
      <c r="BC51" s="596"/>
      <c r="BD51" s="576"/>
      <c r="BE51" s="576"/>
      <c r="BF51" s="576"/>
      <c r="BG51" s="576"/>
      <c r="BH51" s="577"/>
      <c r="BM51" s="968" t="s">
        <v>121</v>
      </c>
      <c r="BN51" s="969"/>
      <c r="BO51" s="969"/>
      <c r="BP51" s="969"/>
      <c r="BQ51" s="969"/>
      <c r="BR51" s="969"/>
      <c r="BS51" s="970"/>
      <c r="BT51" s="576">
        <v>0.17458313957300001</v>
      </c>
      <c r="BU51" s="576">
        <v>0.17775551102199999</v>
      </c>
      <c r="BV51" s="576">
        <v>0.175452503633</v>
      </c>
      <c r="BW51" s="576">
        <v>-1.2956039312E-2</v>
      </c>
      <c r="BX51" s="577">
        <v>4.9796564650000001E-3</v>
      </c>
      <c r="CC51" s="968" t="s">
        <v>121</v>
      </c>
      <c r="CD51" s="969"/>
      <c r="CE51" s="969"/>
      <c r="CF51" s="969"/>
      <c r="CG51" s="969"/>
      <c r="CH51" s="969"/>
      <c r="CI51" s="970"/>
      <c r="CJ51" s="576">
        <v>0.50704951534499998</v>
      </c>
      <c r="CK51" s="576">
        <v>0.50384187030200001</v>
      </c>
      <c r="CL51" s="576">
        <v>0.50570676853600005</v>
      </c>
      <c r="CM51" s="576">
        <v>3.7013562059999999E-3</v>
      </c>
      <c r="CN51" s="577">
        <v>-2.6481571690000001E-3</v>
      </c>
      <c r="CS51" s="968" t="s">
        <v>39</v>
      </c>
      <c r="CT51" s="969"/>
      <c r="CU51" s="969"/>
      <c r="CV51" s="969"/>
      <c r="CW51" s="969"/>
      <c r="CX51" s="969"/>
      <c r="CY51" s="970"/>
      <c r="CZ51" s="576">
        <v>0.53961297188299995</v>
      </c>
      <c r="DA51" s="576">
        <v>0.54005893278499995</v>
      </c>
      <c r="DB51" s="576">
        <v>0.54633155623200003</v>
      </c>
      <c r="DC51" s="576">
        <v>1.1614701777000001E-2</v>
      </c>
      <c r="DD51" s="577">
        <v>1.2450746552E-2</v>
      </c>
      <c r="DI51" s="977" t="s">
        <v>119</v>
      </c>
      <c r="DJ51" s="978"/>
      <c r="DK51" s="978"/>
      <c r="DL51" s="978"/>
      <c r="DM51" s="978"/>
      <c r="DN51" s="978"/>
      <c r="DO51" s="979"/>
      <c r="DP51" s="576">
        <v>0.91072655946799996</v>
      </c>
      <c r="DQ51" s="576">
        <v>0.91434847980900003</v>
      </c>
      <c r="DR51" s="576">
        <v>0.91245339786699997</v>
      </c>
      <c r="DS51" s="576">
        <v>-2.0726035899999999E-3</v>
      </c>
      <c r="DT51" s="577">
        <v>1.896110727E-3</v>
      </c>
      <c r="DY51" s="968" t="s">
        <v>122</v>
      </c>
      <c r="DZ51" s="969"/>
      <c r="EA51" s="969"/>
      <c r="EB51" s="969"/>
      <c r="EC51" s="969"/>
      <c r="ED51" s="969"/>
      <c r="EE51" s="970"/>
      <c r="EF51" s="576">
        <v>0.53473632891800005</v>
      </c>
      <c r="EG51" s="576">
        <v>0.53414565032500005</v>
      </c>
      <c r="EH51" s="576">
        <v>0.52713861941700002</v>
      </c>
      <c r="EI51" s="576">
        <v>-1.3118202690999999E-2</v>
      </c>
      <c r="EJ51" s="577">
        <v>-1.4208328645999999E-2</v>
      </c>
      <c r="EO51" s="968" t="s">
        <v>121</v>
      </c>
      <c r="EP51" s="969"/>
      <c r="EQ51" s="969"/>
      <c r="ER51" s="969"/>
      <c r="ES51" s="969"/>
      <c r="ET51" s="969"/>
      <c r="EU51" s="970"/>
      <c r="EV51" s="576">
        <v>0.41490694445999998</v>
      </c>
      <c r="EW51" s="576">
        <v>0.41686384168599999</v>
      </c>
      <c r="EX51" s="576">
        <v>0.41272741539500002</v>
      </c>
      <c r="EY51" s="576">
        <v>-9.9227274649999996E-3</v>
      </c>
      <c r="EZ51" s="577">
        <v>-5.2530551579999998E-3</v>
      </c>
      <c r="FE51" s="968" t="s">
        <v>121</v>
      </c>
      <c r="FF51" s="969"/>
      <c r="FG51" s="969"/>
      <c r="FH51" s="969"/>
      <c r="FI51" s="969"/>
      <c r="FJ51" s="969"/>
      <c r="FK51" s="970"/>
      <c r="FL51" s="576">
        <v>0.40301090154000002</v>
      </c>
      <c r="FM51" s="576">
        <v>0.40183838268099997</v>
      </c>
      <c r="FN51" s="576">
        <v>0.40490148417100003</v>
      </c>
      <c r="FO51" s="576">
        <v>7.6227200340000002E-3</v>
      </c>
      <c r="FP51" s="577">
        <v>4.6911451380000002E-3</v>
      </c>
      <c r="GL51" s="353">
        <v>6</v>
      </c>
      <c r="GM51" s="353" t="s">
        <v>136</v>
      </c>
      <c r="GN51" s="353">
        <f t="shared" si="14"/>
        <v>391</v>
      </c>
      <c r="GO51" s="353">
        <f t="shared" si="15"/>
        <v>501</v>
      </c>
      <c r="GP51" s="353">
        <f t="shared" si="15"/>
        <v>539</v>
      </c>
      <c r="GQ51" s="353">
        <f t="shared" ref="GQ51:HL51" si="68">+GQ23-GQ37</f>
        <v>573</v>
      </c>
      <c r="GR51" s="353">
        <f t="shared" si="68"/>
        <v>412</v>
      </c>
      <c r="GS51" s="353">
        <f t="shared" si="68"/>
        <v>393</v>
      </c>
      <c r="GT51" s="353">
        <f t="shared" si="68"/>
        <v>443</v>
      </c>
      <c r="GU51" s="353">
        <f t="shared" si="68"/>
        <v>372</v>
      </c>
      <c r="GV51" s="353">
        <f t="shared" si="68"/>
        <v>447</v>
      </c>
      <c r="GW51" s="353">
        <f t="shared" si="68"/>
        <v>286</v>
      </c>
      <c r="GX51" s="353">
        <f t="shared" si="68"/>
        <v>325</v>
      </c>
      <c r="GY51" s="353">
        <f t="shared" si="68"/>
        <v>246</v>
      </c>
      <c r="GZ51" s="353">
        <f t="shared" si="68"/>
        <v>299</v>
      </c>
      <c r="HA51" s="353">
        <f t="shared" si="68"/>
        <v>397</v>
      </c>
      <c r="HB51" s="353">
        <f t="shared" si="68"/>
        <v>332</v>
      </c>
      <c r="HC51" s="353">
        <f t="shared" si="68"/>
        <v>135</v>
      </c>
      <c r="HD51" s="353">
        <f t="shared" si="68"/>
        <v>185</v>
      </c>
      <c r="HE51" s="353">
        <f t="shared" si="68"/>
        <v>157</v>
      </c>
      <c r="HF51" s="353">
        <f t="shared" si="68"/>
        <v>159</v>
      </c>
      <c r="HG51" s="353">
        <f t="shared" si="68"/>
        <v>161</v>
      </c>
      <c r="HH51" s="353">
        <f t="shared" si="68"/>
        <v>200</v>
      </c>
      <c r="HI51" s="353">
        <f t="shared" si="68"/>
        <v>107</v>
      </c>
      <c r="HJ51" s="353">
        <f t="shared" si="68"/>
        <v>176</v>
      </c>
      <c r="HK51" s="353">
        <f t="shared" si="68"/>
        <v>81</v>
      </c>
      <c r="HL51" s="353">
        <f t="shared" si="68"/>
        <v>163</v>
      </c>
      <c r="HM51" s="353">
        <f t="shared" ref="HM51:HO51" si="69">+HM23-HM37</f>
        <v>151</v>
      </c>
      <c r="HN51" s="353">
        <f t="shared" si="69"/>
        <v>246</v>
      </c>
      <c r="HO51" s="353">
        <f t="shared" si="69"/>
        <v>134</v>
      </c>
      <c r="HP51" s="353">
        <f t="shared" ref="HP51:HR51" si="70">+HP23-HP37</f>
        <v>108</v>
      </c>
      <c r="HQ51" s="353">
        <f t="shared" si="70"/>
        <v>139</v>
      </c>
      <c r="HR51" s="353">
        <f t="shared" si="70"/>
        <v>329</v>
      </c>
      <c r="HS51" s="353">
        <f t="shared" ref="HS51:HT51" si="71">+HS23-HS37</f>
        <v>137</v>
      </c>
      <c r="HT51" s="353">
        <f t="shared" si="71"/>
        <v>269</v>
      </c>
      <c r="HU51" s="353">
        <f t="shared" ref="HU51:HV51" si="72">+HU23-HU37</f>
        <v>231</v>
      </c>
      <c r="HV51" s="353">
        <f t="shared" si="72"/>
        <v>156</v>
      </c>
      <c r="HW51" s="353">
        <f t="shared" ref="HW51:HX51" si="73">+HW23-HW37</f>
        <v>83</v>
      </c>
      <c r="HX51" s="353">
        <f t="shared" si="73"/>
        <v>520</v>
      </c>
      <c r="HY51" s="753">
        <v>440</v>
      </c>
      <c r="HZ51" s="753">
        <v>266</v>
      </c>
      <c r="IA51" s="592">
        <v>146</v>
      </c>
      <c r="IB51" s="828">
        <v>114</v>
      </c>
      <c r="IC51" s="592">
        <v>124</v>
      </c>
      <c r="IV51" s="353">
        <v>6</v>
      </c>
      <c r="IW51" s="353" t="s">
        <v>136</v>
      </c>
      <c r="IX51" s="353">
        <f t="shared" ref="IX51:JC51" si="74">+IX23-IX37</f>
        <v>343</v>
      </c>
      <c r="IY51" s="353">
        <f t="shared" si="74"/>
        <v>439</v>
      </c>
      <c r="IZ51" s="353">
        <f t="shared" si="74"/>
        <v>427</v>
      </c>
      <c r="JA51" s="353">
        <f t="shared" si="74"/>
        <v>468</v>
      </c>
      <c r="JB51" s="353">
        <f t="shared" si="74"/>
        <v>96</v>
      </c>
      <c r="JC51" s="353">
        <f t="shared" si="74"/>
        <v>327</v>
      </c>
      <c r="JD51" s="353">
        <f t="shared" ref="JD51:JX51" si="75">+JD23-JD37</f>
        <v>112</v>
      </c>
      <c r="JE51" s="353">
        <f t="shared" si="75"/>
        <v>330</v>
      </c>
      <c r="JF51" s="353">
        <f t="shared" si="75"/>
        <v>366</v>
      </c>
      <c r="JG51" s="353">
        <f t="shared" si="75"/>
        <v>86</v>
      </c>
      <c r="JH51" s="353">
        <f t="shared" si="75"/>
        <v>219</v>
      </c>
      <c r="JI51" s="353">
        <f t="shared" si="75"/>
        <v>70</v>
      </c>
      <c r="JJ51" s="353">
        <f t="shared" si="75"/>
        <v>304</v>
      </c>
      <c r="JK51" s="353">
        <f t="shared" si="75"/>
        <v>414</v>
      </c>
      <c r="JL51" s="353">
        <f t="shared" si="75"/>
        <v>336</v>
      </c>
      <c r="JM51" s="353">
        <f t="shared" si="75"/>
        <v>148</v>
      </c>
      <c r="JN51" s="353">
        <f t="shared" si="75"/>
        <v>158</v>
      </c>
      <c r="JO51" s="353">
        <f t="shared" si="75"/>
        <v>136</v>
      </c>
      <c r="JP51" s="353">
        <f t="shared" si="75"/>
        <v>167</v>
      </c>
      <c r="JQ51" s="353">
        <f t="shared" si="75"/>
        <v>180</v>
      </c>
      <c r="JR51" s="353">
        <f t="shared" si="75"/>
        <v>319</v>
      </c>
      <c r="JS51" s="353">
        <f t="shared" si="75"/>
        <v>100</v>
      </c>
      <c r="JT51" s="353">
        <f t="shared" si="75"/>
        <v>185</v>
      </c>
      <c r="JU51" s="353">
        <f t="shared" si="75"/>
        <v>85</v>
      </c>
      <c r="JV51" s="353">
        <f t="shared" si="75"/>
        <v>211</v>
      </c>
      <c r="JW51" s="353">
        <f t="shared" si="75"/>
        <v>147</v>
      </c>
      <c r="JX51" s="353">
        <f t="shared" si="75"/>
        <v>263</v>
      </c>
      <c r="JY51" s="353">
        <f t="shared" si="8"/>
        <v>381</v>
      </c>
      <c r="JZ51" s="353">
        <f t="shared" ref="JZ51:KB51" si="76">+JZ23-JZ37</f>
        <v>89</v>
      </c>
      <c r="KA51" s="353">
        <f t="shared" si="76"/>
        <v>334</v>
      </c>
      <c r="KB51" s="353">
        <f t="shared" si="76"/>
        <v>293</v>
      </c>
      <c r="KC51" s="353">
        <f t="shared" ref="KC51:KD51" si="77">+KC23-KC37</f>
        <v>144</v>
      </c>
      <c r="KD51" s="353">
        <f t="shared" si="77"/>
        <v>298</v>
      </c>
      <c r="KE51" s="353">
        <f t="shared" ref="KE51:KF51" si="78">+KE23-KE37</f>
        <v>265</v>
      </c>
      <c r="KF51" s="353">
        <f t="shared" si="78"/>
        <v>166</v>
      </c>
      <c r="KG51" s="353">
        <f t="shared" ref="KG51:KI51" si="79">+KG23-KG37</f>
        <v>127</v>
      </c>
      <c r="KH51" s="353">
        <f t="shared" si="79"/>
        <v>527</v>
      </c>
      <c r="KI51" s="353">
        <f t="shared" si="79"/>
        <v>353</v>
      </c>
      <c r="KJ51" s="353">
        <f t="shared" ref="KJ51" si="80">+KJ23-KJ37</f>
        <v>274</v>
      </c>
      <c r="KK51" s="753">
        <v>133</v>
      </c>
      <c r="KL51" s="753">
        <v>122</v>
      </c>
      <c r="KM51" s="592">
        <v>105</v>
      </c>
      <c r="KN51" s="828">
        <v>123</v>
      </c>
      <c r="KO51" s="592">
        <v>255</v>
      </c>
    </row>
    <row r="52" spans="1:301" ht="15" thickBot="1">
      <c r="A52" s="594"/>
      <c r="B52" s="595"/>
      <c r="C52" s="595"/>
      <c r="D52" s="595"/>
      <c r="E52" s="595"/>
      <c r="F52" s="595"/>
      <c r="G52" s="596"/>
      <c r="H52" s="576"/>
      <c r="I52" s="576"/>
      <c r="J52" s="576"/>
      <c r="K52" s="576"/>
      <c r="L52" s="577"/>
      <c r="Q52" s="594"/>
      <c r="R52" s="595"/>
      <c r="S52" s="595"/>
      <c r="T52" s="595"/>
      <c r="U52" s="595"/>
      <c r="V52" s="595"/>
      <c r="W52" s="596"/>
      <c r="X52" s="576"/>
      <c r="Y52" s="576"/>
      <c r="Z52" s="576"/>
      <c r="AA52" s="576"/>
      <c r="AB52" s="577"/>
      <c r="AG52" s="968" t="s">
        <v>128</v>
      </c>
      <c r="AH52" s="969"/>
      <c r="AI52" s="969"/>
      <c r="AJ52" s="969"/>
      <c r="AK52" s="969"/>
      <c r="AL52" s="969"/>
      <c r="AM52" s="970"/>
      <c r="AN52" s="576">
        <v>0.33561134310000001</v>
      </c>
      <c r="AO52" s="576">
        <v>0.33571644296100001</v>
      </c>
      <c r="AP52" s="576">
        <v>0.33307431788500003</v>
      </c>
      <c r="AQ52" s="576">
        <v>-7.8701092279999992E-3</v>
      </c>
      <c r="AR52" s="577">
        <v>-7.5594143839999997E-3</v>
      </c>
      <c r="AW52" s="968" t="s">
        <v>39</v>
      </c>
      <c r="AX52" s="969"/>
      <c r="AY52" s="969"/>
      <c r="AZ52" s="969"/>
      <c r="BA52" s="969"/>
      <c r="BB52" s="969"/>
      <c r="BC52" s="970"/>
      <c r="BD52" s="576">
        <v>0.80122682150199998</v>
      </c>
      <c r="BE52" s="576">
        <v>0.83333919650999999</v>
      </c>
      <c r="BF52" s="576">
        <v>0.85185867555899997</v>
      </c>
      <c r="BG52" s="576">
        <v>2.2223218499999999E-2</v>
      </c>
      <c r="BH52" s="577">
        <v>6.3192909546000001E-2</v>
      </c>
      <c r="BM52" s="594"/>
      <c r="BN52" s="595"/>
      <c r="BO52" s="595"/>
      <c r="BP52" s="595"/>
      <c r="BQ52" s="595"/>
      <c r="BR52" s="595"/>
      <c r="BS52" s="596"/>
      <c r="BT52" s="576"/>
      <c r="BU52" s="576"/>
      <c r="BV52" s="576"/>
      <c r="BW52" s="576"/>
      <c r="BX52" s="577"/>
      <c r="CC52" s="594"/>
      <c r="CD52" s="595"/>
      <c r="CE52" s="595"/>
      <c r="CF52" s="595"/>
      <c r="CG52" s="595"/>
      <c r="CH52" s="595"/>
      <c r="CI52" s="596"/>
      <c r="CJ52" s="576"/>
      <c r="CK52" s="576"/>
      <c r="CL52" s="576"/>
      <c r="CM52" s="576"/>
      <c r="CN52" s="577"/>
      <c r="CS52" s="968" t="s">
        <v>122</v>
      </c>
      <c r="CT52" s="969"/>
      <c r="CU52" s="969"/>
      <c r="CV52" s="969"/>
      <c r="CW52" s="969"/>
      <c r="CX52" s="969"/>
      <c r="CY52" s="970"/>
      <c r="CZ52" s="576">
        <v>0.60444438221100005</v>
      </c>
      <c r="DA52" s="576">
        <v>0.60563911349400001</v>
      </c>
      <c r="DB52" s="576">
        <v>0.60469380271299999</v>
      </c>
      <c r="DC52" s="576">
        <v>-1.5608483E-3</v>
      </c>
      <c r="DD52" s="577">
        <v>4.12644255E-4</v>
      </c>
      <c r="DI52" s="968" t="s">
        <v>120</v>
      </c>
      <c r="DJ52" s="969"/>
      <c r="DK52" s="969"/>
      <c r="DL52" s="969"/>
      <c r="DM52" s="969"/>
      <c r="DN52" s="969"/>
      <c r="DO52" s="970"/>
      <c r="DP52" s="576">
        <v>0.39260114742000002</v>
      </c>
      <c r="DQ52" s="576">
        <v>0.39223300061299998</v>
      </c>
      <c r="DR52" s="576">
        <v>0.395452379395</v>
      </c>
      <c r="DS52" s="576">
        <v>8.207822331E-3</v>
      </c>
      <c r="DT52" s="577">
        <v>7.2624137580000001E-3</v>
      </c>
      <c r="DY52" s="971" t="s">
        <v>201</v>
      </c>
      <c r="DZ52" s="972"/>
      <c r="EA52" s="972"/>
      <c r="EB52" s="972"/>
      <c r="EC52" s="972"/>
      <c r="ED52" s="972"/>
      <c r="EE52" s="973"/>
      <c r="EF52" s="579">
        <v>0</v>
      </c>
      <c r="EG52" s="579">
        <v>0</v>
      </c>
      <c r="EH52" s="579">
        <v>0</v>
      </c>
      <c r="EI52" s="571"/>
      <c r="EJ52" s="572"/>
      <c r="EO52" s="968" t="s">
        <v>128</v>
      </c>
      <c r="EP52" s="969"/>
      <c r="EQ52" s="969"/>
      <c r="ER52" s="969"/>
      <c r="ES52" s="969"/>
      <c r="ET52" s="969"/>
      <c r="EU52" s="970"/>
      <c r="EV52" s="576">
        <v>0.41477176740799998</v>
      </c>
      <c r="EW52" s="576">
        <v>0.416781526086</v>
      </c>
      <c r="EX52" s="576">
        <v>0.41268136613299999</v>
      </c>
      <c r="EY52" s="576">
        <v>-9.8376720090000008E-3</v>
      </c>
      <c r="EZ52" s="577">
        <v>-5.0398832320000002E-3</v>
      </c>
      <c r="FE52" s="594"/>
      <c r="FF52" s="595"/>
      <c r="FG52" s="595"/>
      <c r="FH52" s="595"/>
      <c r="FI52" s="595"/>
      <c r="FJ52" s="595"/>
      <c r="FK52" s="596"/>
      <c r="FL52" s="576"/>
      <c r="FM52" s="576"/>
      <c r="FN52" s="576"/>
      <c r="FO52" s="576"/>
      <c r="FP52" s="577"/>
      <c r="GL52" s="353">
        <v>7</v>
      </c>
      <c r="GM52" s="353" t="s">
        <v>137</v>
      </c>
      <c r="GN52" s="353">
        <f t="shared" si="14"/>
        <v>126</v>
      </c>
      <c r="GO52" s="353">
        <f t="shared" si="15"/>
        <v>206</v>
      </c>
      <c r="GP52" s="353">
        <f t="shared" si="15"/>
        <v>153</v>
      </c>
      <c r="GQ52" s="353">
        <f t="shared" ref="GQ52:HL52" si="81">+GQ24-GQ38</f>
        <v>237</v>
      </c>
      <c r="GR52" s="353">
        <f t="shared" si="81"/>
        <v>358</v>
      </c>
      <c r="GS52" s="353">
        <f t="shared" si="81"/>
        <v>34</v>
      </c>
      <c r="GT52" s="353">
        <f t="shared" si="81"/>
        <v>41</v>
      </c>
      <c r="GU52" s="353">
        <f t="shared" si="81"/>
        <v>159</v>
      </c>
      <c r="GV52" s="353">
        <f t="shared" si="81"/>
        <v>160</v>
      </c>
      <c r="GW52" s="353">
        <f t="shared" si="81"/>
        <v>247</v>
      </c>
      <c r="GX52" s="353">
        <f t="shared" si="81"/>
        <v>368</v>
      </c>
      <c r="GY52" s="353">
        <f t="shared" si="81"/>
        <v>200</v>
      </c>
      <c r="GZ52" s="353">
        <f t="shared" si="81"/>
        <v>277</v>
      </c>
      <c r="HA52" s="353">
        <f t="shared" si="81"/>
        <v>187</v>
      </c>
      <c r="HB52" s="353">
        <f t="shared" si="81"/>
        <v>145</v>
      </c>
      <c r="HC52" s="353">
        <f t="shared" si="81"/>
        <v>67</v>
      </c>
      <c r="HD52" s="353">
        <f t="shared" si="81"/>
        <v>59</v>
      </c>
      <c r="HE52" s="353">
        <f t="shared" si="81"/>
        <v>107</v>
      </c>
      <c r="HF52" s="353">
        <f t="shared" si="81"/>
        <v>44</v>
      </c>
      <c r="HG52" s="353">
        <f t="shared" si="81"/>
        <v>49</v>
      </c>
      <c r="HH52" s="353">
        <f t="shared" si="81"/>
        <v>125</v>
      </c>
      <c r="HI52" s="353">
        <f t="shared" si="81"/>
        <v>25</v>
      </c>
      <c r="HJ52" s="353">
        <f t="shared" si="81"/>
        <v>53</v>
      </c>
      <c r="HK52" s="353">
        <f t="shared" si="81"/>
        <v>98</v>
      </c>
      <c r="HL52" s="353">
        <f t="shared" si="81"/>
        <v>19</v>
      </c>
      <c r="HM52" s="353">
        <f t="shared" ref="HM52:HO52" si="82">+HM24-HM38</f>
        <v>94</v>
      </c>
      <c r="HN52" s="353">
        <f t="shared" si="82"/>
        <v>119</v>
      </c>
      <c r="HO52" s="353">
        <f t="shared" si="82"/>
        <v>139</v>
      </c>
      <c r="HP52" s="353">
        <f t="shared" ref="HP52:HR52" si="83">+HP24-HP38</f>
        <v>34</v>
      </c>
      <c r="HQ52" s="353">
        <f t="shared" si="83"/>
        <v>20</v>
      </c>
      <c r="HR52" s="353">
        <f t="shared" si="83"/>
        <v>91</v>
      </c>
      <c r="HS52" s="353">
        <f t="shared" ref="HS52:HT52" si="84">+HS24-HS38</f>
        <v>70</v>
      </c>
      <c r="HT52" s="353">
        <f t="shared" si="84"/>
        <v>119</v>
      </c>
      <c r="HU52" s="353">
        <f t="shared" ref="HU52:HV52" si="85">+HU24-HU38</f>
        <v>71</v>
      </c>
      <c r="HV52" s="353">
        <f t="shared" si="85"/>
        <v>120</v>
      </c>
      <c r="HW52" s="353">
        <f t="shared" ref="HW52:HX52" si="86">+HW24-HW38</f>
        <v>91</v>
      </c>
      <c r="HX52" s="353">
        <f t="shared" si="86"/>
        <v>96</v>
      </c>
      <c r="HY52" s="753">
        <v>111</v>
      </c>
      <c r="HZ52" s="753">
        <v>126</v>
      </c>
      <c r="IA52" s="592">
        <v>126</v>
      </c>
      <c r="IB52" s="828">
        <v>87</v>
      </c>
      <c r="IC52" s="592">
        <v>113</v>
      </c>
      <c r="IV52" s="353">
        <v>7</v>
      </c>
      <c r="IW52" s="353" t="s">
        <v>137</v>
      </c>
      <c r="IX52" s="353">
        <f t="shared" ref="IX52:JC52" si="87">+IX24-IX38</f>
        <v>119</v>
      </c>
      <c r="IY52" s="353">
        <f t="shared" si="87"/>
        <v>223</v>
      </c>
      <c r="IZ52" s="353">
        <f t="shared" si="87"/>
        <v>195</v>
      </c>
      <c r="JA52" s="353">
        <f t="shared" si="87"/>
        <v>244</v>
      </c>
      <c r="JB52" s="353">
        <f t="shared" si="87"/>
        <v>344</v>
      </c>
      <c r="JC52" s="353">
        <f t="shared" si="87"/>
        <v>160</v>
      </c>
      <c r="JD52" s="353">
        <f t="shared" ref="JD52:JX52" si="88">+JD24-JD38</f>
        <v>208</v>
      </c>
      <c r="JE52" s="353">
        <f t="shared" si="88"/>
        <v>140</v>
      </c>
      <c r="JF52" s="353">
        <f t="shared" si="88"/>
        <v>152</v>
      </c>
      <c r="JG52" s="353">
        <f t="shared" si="88"/>
        <v>213</v>
      </c>
      <c r="JH52" s="353">
        <f t="shared" si="88"/>
        <v>321</v>
      </c>
      <c r="JI52" s="353">
        <f t="shared" si="88"/>
        <v>183</v>
      </c>
      <c r="JJ52" s="353">
        <f t="shared" si="88"/>
        <v>342</v>
      </c>
      <c r="JK52" s="353">
        <f t="shared" si="88"/>
        <v>270</v>
      </c>
      <c r="JL52" s="353">
        <f t="shared" si="88"/>
        <v>196</v>
      </c>
      <c r="JM52" s="353">
        <f t="shared" si="88"/>
        <v>70</v>
      </c>
      <c r="JN52" s="353">
        <f t="shared" si="88"/>
        <v>67</v>
      </c>
      <c r="JO52" s="353">
        <f t="shared" si="88"/>
        <v>125</v>
      </c>
      <c r="JP52" s="353">
        <f t="shared" si="88"/>
        <v>48</v>
      </c>
      <c r="JQ52" s="353">
        <f t="shared" si="88"/>
        <v>90</v>
      </c>
      <c r="JR52" s="353">
        <f t="shared" si="88"/>
        <v>133</v>
      </c>
      <c r="JS52" s="353">
        <f t="shared" si="88"/>
        <v>100</v>
      </c>
      <c r="JT52" s="353">
        <f t="shared" si="88"/>
        <v>146</v>
      </c>
      <c r="JU52" s="353">
        <f t="shared" si="88"/>
        <v>104</v>
      </c>
      <c r="JV52" s="353">
        <f t="shared" si="88"/>
        <v>142</v>
      </c>
      <c r="JW52" s="353">
        <f t="shared" si="88"/>
        <v>157</v>
      </c>
      <c r="JX52" s="353">
        <f t="shared" si="88"/>
        <v>101</v>
      </c>
      <c r="JY52" s="353">
        <f t="shared" si="8"/>
        <v>61</v>
      </c>
      <c r="JZ52" s="353">
        <f t="shared" ref="JZ52:KB52" si="89">+JZ24-JZ38</f>
        <v>118</v>
      </c>
      <c r="KA52" s="353">
        <f t="shared" si="89"/>
        <v>19</v>
      </c>
      <c r="KB52" s="353">
        <f t="shared" si="89"/>
        <v>88</v>
      </c>
      <c r="KC52" s="353">
        <f t="shared" ref="KC52:KD52" si="90">+KC24-KC38</f>
        <v>74</v>
      </c>
      <c r="KD52" s="353">
        <f t="shared" si="90"/>
        <v>125</v>
      </c>
      <c r="KE52" s="353">
        <f t="shared" ref="KE52:KF52" si="91">+KE24-KE38</f>
        <v>64</v>
      </c>
      <c r="KF52" s="353">
        <f t="shared" si="91"/>
        <v>118</v>
      </c>
      <c r="KG52" s="353">
        <f t="shared" ref="KG52:KI52" si="92">+KG24-KG38</f>
        <v>66</v>
      </c>
      <c r="KH52" s="353">
        <f t="shared" si="92"/>
        <v>122</v>
      </c>
      <c r="KI52" s="353">
        <f t="shared" si="92"/>
        <v>112</v>
      </c>
      <c r="KJ52" s="353">
        <f t="shared" ref="KJ52" si="93">+KJ24-KJ38</f>
        <v>123</v>
      </c>
      <c r="KK52" s="753">
        <v>128</v>
      </c>
      <c r="KL52" s="753">
        <v>100</v>
      </c>
      <c r="KM52" s="592">
        <v>84</v>
      </c>
      <c r="KN52" s="828">
        <v>112</v>
      </c>
      <c r="KO52" s="592">
        <v>137</v>
      </c>
    </row>
    <row r="53" spans="1:301" ht="15" thickBot="1">
      <c r="A53" s="968" t="s">
        <v>39</v>
      </c>
      <c r="B53" s="969"/>
      <c r="C53" s="969"/>
      <c r="D53" s="969"/>
      <c r="E53" s="969"/>
      <c r="F53" s="969"/>
      <c r="G53" s="970"/>
      <c r="H53" s="576">
        <v>0.513103822594</v>
      </c>
      <c r="I53" s="576">
        <v>0.52837316578500004</v>
      </c>
      <c r="J53" s="576">
        <v>0.53355082970800005</v>
      </c>
      <c r="K53" s="576">
        <v>9.7992560150000005E-3</v>
      </c>
      <c r="L53" s="577">
        <v>3.9849648772E-2</v>
      </c>
      <c r="Q53" s="968" t="s">
        <v>39</v>
      </c>
      <c r="R53" s="969"/>
      <c r="S53" s="969"/>
      <c r="T53" s="969"/>
      <c r="U53" s="969"/>
      <c r="V53" s="969"/>
      <c r="W53" s="970"/>
      <c r="X53" s="576">
        <v>0.74715786243299998</v>
      </c>
      <c r="Y53" s="576">
        <v>0.74552785822099998</v>
      </c>
      <c r="Z53" s="576">
        <v>0.740010263665</v>
      </c>
      <c r="AA53" s="576">
        <v>-7.4009233799999996E-3</v>
      </c>
      <c r="AB53" s="577">
        <v>-9.5663836619999994E-3</v>
      </c>
      <c r="AG53" s="968" t="s">
        <v>39</v>
      </c>
      <c r="AH53" s="969"/>
      <c r="AI53" s="969"/>
      <c r="AJ53" s="969"/>
      <c r="AK53" s="969"/>
      <c r="AL53" s="969"/>
      <c r="AM53" s="970"/>
      <c r="AN53" s="576">
        <v>0.84866962305899996</v>
      </c>
      <c r="AO53" s="576">
        <v>0.84901249928699996</v>
      </c>
      <c r="AP53" s="576">
        <v>0.852406084861</v>
      </c>
      <c r="AQ53" s="576">
        <v>3.9970973060000003E-3</v>
      </c>
      <c r="AR53" s="577">
        <v>4.4027283409999998E-3</v>
      </c>
      <c r="AW53" s="968" t="s">
        <v>122</v>
      </c>
      <c r="AX53" s="969"/>
      <c r="AY53" s="969"/>
      <c r="AZ53" s="969"/>
      <c r="BA53" s="969"/>
      <c r="BB53" s="969"/>
      <c r="BC53" s="970"/>
      <c r="BD53" s="576">
        <v>0.594967456452</v>
      </c>
      <c r="BE53" s="576">
        <v>0.589325500128</v>
      </c>
      <c r="BF53" s="576">
        <v>0.60976718192400003</v>
      </c>
      <c r="BG53" s="576">
        <v>3.4686572685E-2</v>
      </c>
      <c r="BH53" s="577">
        <v>2.4874848719E-2</v>
      </c>
      <c r="BM53" s="968" t="s">
        <v>39</v>
      </c>
      <c r="BN53" s="969"/>
      <c r="BO53" s="969"/>
      <c r="BP53" s="969"/>
      <c r="BQ53" s="969"/>
      <c r="BR53" s="969"/>
      <c r="BS53" s="970"/>
      <c r="BT53" s="576">
        <v>0.656626886405</v>
      </c>
      <c r="BU53" s="576">
        <v>0.65827680212999995</v>
      </c>
      <c r="BV53" s="576">
        <v>0.66163198796599998</v>
      </c>
      <c r="BW53" s="576">
        <v>5.096922488E-3</v>
      </c>
      <c r="BX53" s="577">
        <v>7.6224438339999997E-3</v>
      </c>
      <c r="CC53" s="968" t="s">
        <v>39</v>
      </c>
      <c r="CD53" s="969"/>
      <c r="CE53" s="969"/>
      <c r="CF53" s="969"/>
      <c r="CG53" s="969"/>
      <c r="CH53" s="969"/>
      <c r="CI53" s="970"/>
      <c r="CJ53" s="576">
        <v>0.443456661872</v>
      </c>
      <c r="CK53" s="576">
        <v>0.44361087606799998</v>
      </c>
      <c r="CL53" s="576">
        <v>0.44605468593600001</v>
      </c>
      <c r="CM53" s="576">
        <v>5.5089043110000003E-3</v>
      </c>
      <c r="CN53" s="577">
        <v>5.85857489E-3</v>
      </c>
      <c r="CS53" s="971" t="s">
        <v>201</v>
      </c>
      <c r="CT53" s="972"/>
      <c r="CU53" s="972"/>
      <c r="CV53" s="972"/>
      <c r="CW53" s="972"/>
      <c r="CX53" s="972"/>
      <c r="CY53" s="973"/>
      <c r="CZ53" s="579">
        <v>0.28462809454400001</v>
      </c>
      <c r="DA53" s="579">
        <v>0.28425991872299999</v>
      </c>
      <c r="DB53" s="579">
        <v>0.28660686581400002</v>
      </c>
      <c r="DC53" s="579">
        <v>8.2563419499999992E-3</v>
      </c>
      <c r="DD53" s="580">
        <v>6.9521291399999999E-3</v>
      </c>
      <c r="DI53" s="968" t="s">
        <v>121</v>
      </c>
      <c r="DJ53" s="969"/>
      <c r="DK53" s="969"/>
      <c r="DL53" s="969"/>
      <c r="DM53" s="969"/>
      <c r="DN53" s="969"/>
      <c r="DO53" s="970"/>
      <c r="DP53" s="576">
        <v>0.50228465226999996</v>
      </c>
      <c r="DQ53" s="576">
        <v>0.50206703652999995</v>
      </c>
      <c r="DR53" s="576">
        <v>0.50525324103400004</v>
      </c>
      <c r="DS53" s="576">
        <v>6.3461734630000004E-3</v>
      </c>
      <c r="DT53" s="577">
        <v>5.9101721509999998E-3</v>
      </c>
      <c r="EH53" s="335">
        <f>+SUM(EH7,EH13)</f>
        <v>4113</v>
      </c>
      <c r="EO53" s="968" t="s">
        <v>39</v>
      </c>
      <c r="EP53" s="969"/>
      <c r="EQ53" s="969"/>
      <c r="ER53" s="969"/>
      <c r="ES53" s="969"/>
      <c r="ET53" s="969"/>
      <c r="EU53" s="970"/>
      <c r="EV53" s="576">
        <v>0.53118940270500004</v>
      </c>
      <c r="EW53" s="576">
        <v>0.54132340790699995</v>
      </c>
      <c r="EX53" s="576">
        <v>0.53801728601499998</v>
      </c>
      <c r="EY53" s="576">
        <v>-6.1074800080000002E-3</v>
      </c>
      <c r="EZ53" s="577">
        <v>1.2853952424E-2</v>
      </c>
      <c r="FE53" s="968" t="s">
        <v>39</v>
      </c>
      <c r="FF53" s="969"/>
      <c r="FG53" s="969"/>
      <c r="FH53" s="969"/>
      <c r="FI53" s="969"/>
      <c r="FJ53" s="969"/>
      <c r="FK53" s="970"/>
      <c r="FL53" s="576">
        <v>0.601755015314</v>
      </c>
      <c r="FM53" s="576">
        <v>0.61040100937999997</v>
      </c>
      <c r="FN53" s="576">
        <v>0.60789149198500003</v>
      </c>
      <c r="FO53" s="576">
        <v>-4.1112602320000002E-3</v>
      </c>
      <c r="FP53" s="577">
        <v>1.019763278E-2</v>
      </c>
      <c r="GL53" s="353">
        <v>8</v>
      </c>
      <c r="GM53" s="353" t="s">
        <v>138</v>
      </c>
      <c r="GN53" s="353">
        <f t="shared" si="14"/>
        <v>201</v>
      </c>
      <c r="GO53" s="353">
        <f t="shared" si="15"/>
        <v>244</v>
      </c>
      <c r="GP53" s="353">
        <f t="shared" si="15"/>
        <v>338</v>
      </c>
      <c r="GQ53" s="353">
        <f t="shared" ref="GQ53:HL53" si="94">+GQ25-GQ39</f>
        <v>391</v>
      </c>
      <c r="GR53" s="353">
        <f t="shared" si="94"/>
        <v>233</v>
      </c>
      <c r="GS53" s="353">
        <f t="shared" si="94"/>
        <v>219</v>
      </c>
      <c r="GT53" s="353">
        <f t="shared" si="94"/>
        <v>434</v>
      </c>
      <c r="GU53" s="353">
        <f t="shared" si="94"/>
        <v>417</v>
      </c>
      <c r="GV53" s="353">
        <f t="shared" si="94"/>
        <v>320</v>
      </c>
      <c r="GW53" s="353">
        <f t="shared" si="94"/>
        <v>378</v>
      </c>
      <c r="GX53" s="353">
        <f t="shared" si="94"/>
        <v>626</v>
      </c>
      <c r="GY53" s="353">
        <f t="shared" si="94"/>
        <v>454</v>
      </c>
      <c r="GZ53" s="353">
        <f t="shared" si="94"/>
        <v>188</v>
      </c>
      <c r="HA53" s="353">
        <f t="shared" si="94"/>
        <v>215</v>
      </c>
      <c r="HB53" s="353">
        <f t="shared" si="94"/>
        <v>184</v>
      </c>
      <c r="HC53" s="353">
        <f t="shared" si="94"/>
        <v>82</v>
      </c>
      <c r="HD53" s="353">
        <f t="shared" si="94"/>
        <v>66</v>
      </c>
      <c r="HE53" s="353">
        <f t="shared" si="94"/>
        <v>45</v>
      </c>
      <c r="HF53" s="353">
        <f t="shared" si="94"/>
        <v>125</v>
      </c>
      <c r="HG53" s="353">
        <f t="shared" si="94"/>
        <v>267</v>
      </c>
      <c r="HH53" s="353">
        <f t="shared" si="94"/>
        <v>460</v>
      </c>
      <c r="HI53" s="353">
        <f t="shared" si="94"/>
        <v>397</v>
      </c>
      <c r="HJ53" s="353">
        <f t="shared" si="94"/>
        <v>540</v>
      </c>
      <c r="HK53" s="353">
        <f t="shared" si="94"/>
        <v>399</v>
      </c>
      <c r="HL53" s="353">
        <f t="shared" si="94"/>
        <v>291</v>
      </c>
      <c r="HM53" s="353">
        <f t="shared" ref="HM53:HO53" si="95">+HM25-HM39</f>
        <v>609</v>
      </c>
      <c r="HN53" s="353">
        <f t="shared" si="95"/>
        <v>487</v>
      </c>
      <c r="HO53" s="353">
        <f t="shared" si="95"/>
        <v>708</v>
      </c>
      <c r="HP53" s="353">
        <f t="shared" ref="HP53:HR53" si="96">+HP25-HP39</f>
        <v>465</v>
      </c>
      <c r="HQ53" s="353">
        <f t="shared" si="96"/>
        <v>593</v>
      </c>
      <c r="HR53" s="353">
        <f t="shared" si="96"/>
        <v>424</v>
      </c>
      <c r="HS53" s="353">
        <f t="shared" ref="HS53:HT53" si="97">+HS25-HS39</f>
        <v>545</v>
      </c>
      <c r="HT53" s="353">
        <f t="shared" si="97"/>
        <v>1509</v>
      </c>
      <c r="HU53" s="353">
        <f t="shared" ref="HU53:HV53" si="98">+HU25-HU39</f>
        <v>496</v>
      </c>
      <c r="HV53" s="353">
        <f t="shared" si="98"/>
        <v>600</v>
      </c>
      <c r="HW53" s="353">
        <f t="shared" ref="HW53:HX53" si="99">+HW25-HW39</f>
        <v>421</v>
      </c>
      <c r="HX53" s="353">
        <f t="shared" si="99"/>
        <v>454</v>
      </c>
      <c r="HY53" s="753">
        <v>562</v>
      </c>
      <c r="HZ53" s="753">
        <v>689</v>
      </c>
      <c r="IA53" s="592">
        <v>690</v>
      </c>
      <c r="IB53" s="828">
        <v>708</v>
      </c>
      <c r="IC53" s="592">
        <v>620</v>
      </c>
      <c r="IV53" s="353">
        <v>8</v>
      </c>
      <c r="IW53" s="353" t="s">
        <v>138</v>
      </c>
      <c r="IX53" s="353">
        <f t="shared" ref="IX53:JC53" si="100">+IX25-IX39</f>
        <v>106</v>
      </c>
      <c r="IY53" s="353">
        <f t="shared" si="100"/>
        <v>116</v>
      </c>
      <c r="IZ53" s="353">
        <f t="shared" si="100"/>
        <v>158</v>
      </c>
      <c r="JA53" s="353">
        <f t="shared" si="100"/>
        <v>302</v>
      </c>
      <c r="JB53" s="353">
        <f t="shared" si="100"/>
        <v>112</v>
      </c>
      <c r="JC53" s="353">
        <f t="shared" si="100"/>
        <v>67</v>
      </c>
      <c r="JD53" s="353">
        <f t="shared" ref="JD53:JX53" si="101">+JD25-JD39</f>
        <v>134</v>
      </c>
      <c r="JE53" s="353">
        <f t="shared" si="101"/>
        <v>216</v>
      </c>
      <c r="JF53" s="353">
        <f t="shared" si="101"/>
        <v>108</v>
      </c>
      <c r="JG53" s="353">
        <f t="shared" si="101"/>
        <v>101</v>
      </c>
      <c r="JH53" s="353">
        <f t="shared" si="101"/>
        <v>218</v>
      </c>
      <c r="JI53" s="353">
        <f t="shared" si="101"/>
        <v>204</v>
      </c>
      <c r="JJ53" s="353">
        <f t="shared" si="101"/>
        <v>259</v>
      </c>
      <c r="JK53" s="353">
        <f t="shared" si="101"/>
        <v>241</v>
      </c>
      <c r="JL53" s="353">
        <f t="shared" si="101"/>
        <v>346</v>
      </c>
      <c r="JM53" s="353">
        <f t="shared" si="101"/>
        <v>77</v>
      </c>
      <c r="JN53" s="353">
        <f t="shared" si="101"/>
        <v>70</v>
      </c>
      <c r="JO53" s="353">
        <f t="shared" si="101"/>
        <v>43</v>
      </c>
      <c r="JP53" s="353">
        <f t="shared" si="101"/>
        <v>107</v>
      </c>
      <c r="JQ53" s="353">
        <f t="shared" si="101"/>
        <v>225</v>
      </c>
      <c r="JR53" s="353">
        <f t="shared" si="101"/>
        <v>427</v>
      </c>
      <c r="JS53" s="353">
        <f t="shared" si="101"/>
        <v>354</v>
      </c>
      <c r="JT53" s="353">
        <f t="shared" si="101"/>
        <v>471</v>
      </c>
      <c r="JU53" s="353">
        <f t="shared" si="101"/>
        <v>337</v>
      </c>
      <c r="JV53" s="353">
        <f t="shared" si="101"/>
        <v>240</v>
      </c>
      <c r="JW53" s="353">
        <f t="shared" si="101"/>
        <v>339</v>
      </c>
      <c r="JX53" s="353">
        <f t="shared" si="101"/>
        <v>326</v>
      </c>
      <c r="JY53" s="353">
        <f t="shared" si="8"/>
        <v>516</v>
      </c>
      <c r="JZ53" s="353">
        <f t="shared" ref="JZ53:KB53" si="102">+JZ25-JZ39</f>
        <v>409</v>
      </c>
      <c r="KA53" s="353">
        <f t="shared" si="102"/>
        <v>502</v>
      </c>
      <c r="KB53" s="353">
        <f t="shared" si="102"/>
        <v>338</v>
      </c>
      <c r="KC53" s="353">
        <f t="shared" ref="KC53:KD53" si="103">+KC25-KC39</f>
        <v>482</v>
      </c>
      <c r="KD53" s="353">
        <f t="shared" si="103"/>
        <v>970</v>
      </c>
      <c r="KE53" s="353">
        <f t="shared" ref="KE53:KF53" si="104">+KE25-KE39</f>
        <v>629</v>
      </c>
      <c r="KF53" s="353">
        <f t="shared" si="104"/>
        <v>788</v>
      </c>
      <c r="KG53" s="353">
        <f t="shared" ref="KG53:KI53" si="105">+KG25-KG39</f>
        <v>399</v>
      </c>
      <c r="KH53" s="353">
        <f t="shared" si="105"/>
        <v>251</v>
      </c>
      <c r="KI53" s="353">
        <f t="shared" si="105"/>
        <v>341</v>
      </c>
      <c r="KJ53" s="353">
        <f t="shared" ref="KJ53" si="106">+KJ25-KJ39</f>
        <v>384</v>
      </c>
      <c r="KK53" s="753">
        <v>528</v>
      </c>
      <c r="KL53" s="753">
        <v>588</v>
      </c>
      <c r="KM53" s="592">
        <v>567</v>
      </c>
      <c r="KN53" s="828">
        <v>472</v>
      </c>
      <c r="KO53" s="592">
        <v>998</v>
      </c>
    </row>
    <row r="54" spans="1:301" ht="15" thickBot="1">
      <c r="A54" s="968" t="s">
        <v>122</v>
      </c>
      <c r="B54" s="969"/>
      <c r="C54" s="969"/>
      <c r="D54" s="969"/>
      <c r="E54" s="969"/>
      <c r="F54" s="969"/>
      <c r="G54" s="970"/>
      <c r="H54" s="576">
        <v>0.46964410327900002</v>
      </c>
      <c r="I54" s="576">
        <v>0.47878474569500001</v>
      </c>
      <c r="J54" s="576">
        <v>0.484171097148</v>
      </c>
      <c r="K54" s="576">
        <v>1.1250048170999999E-2</v>
      </c>
      <c r="L54" s="577">
        <v>3.0931920078999999E-2</v>
      </c>
      <c r="Q54" s="968" t="s">
        <v>122</v>
      </c>
      <c r="R54" s="969"/>
      <c r="S54" s="969"/>
      <c r="T54" s="969"/>
      <c r="U54" s="969"/>
      <c r="V54" s="969"/>
      <c r="W54" s="970"/>
      <c r="X54" s="576">
        <v>0.63804767816499997</v>
      </c>
      <c r="Y54" s="576">
        <v>0.63718494090199995</v>
      </c>
      <c r="Z54" s="576">
        <v>0.64106298284300001</v>
      </c>
      <c r="AA54" s="576">
        <v>6.0862109119999997E-3</v>
      </c>
      <c r="AB54" s="577">
        <v>4.7258297150000001E-3</v>
      </c>
      <c r="AG54" s="968" t="s">
        <v>122</v>
      </c>
      <c r="AH54" s="969"/>
      <c r="AI54" s="969"/>
      <c r="AJ54" s="969"/>
      <c r="AK54" s="969"/>
      <c r="AL54" s="969"/>
      <c r="AM54" s="970"/>
      <c r="AN54" s="576">
        <v>0.71139219243399998</v>
      </c>
      <c r="AO54" s="576">
        <v>0.71071209382300005</v>
      </c>
      <c r="AP54" s="576">
        <v>0.708668911751</v>
      </c>
      <c r="AQ54" s="576">
        <v>-2.8748379120000001E-3</v>
      </c>
      <c r="AR54" s="577">
        <v>-3.8281003250000001E-3</v>
      </c>
      <c r="AW54" s="971" t="s">
        <v>201</v>
      </c>
      <c r="AX54" s="972"/>
      <c r="AY54" s="972"/>
      <c r="AZ54" s="972"/>
      <c r="BA54" s="972"/>
      <c r="BB54" s="972"/>
      <c r="BC54" s="973"/>
      <c r="BD54" s="579">
        <v>0.67680628394800002</v>
      </c>
      <c r="BE54" s="579">
        <v>0.67597152841200003</v>
      </c>
      <c r="BF54" s="579">
        <v>0.70969901308700001</v>
      </c>
      <c r="BG54" s="579">
        <v>4.9894830265000002E-2</v>
      </c>
      <c r="BH54" s="580">
        <v>4.8599916872E-2</v>
      </c>
      <c r="BM54" s="968" t="s">
        <v>122</v>
      </c>
      <c r="BN54" s="969"/>
      <c r="BO54" s="969"/>
      <c r="BP54" s="969"/>
      <c r="BQ54" s="969"/>
      <c r="BR54" s="969"/>
      <c r="BS54" s="970"/>
      <c r="BT54" s="576">
        <v>0.37772305360800001</v>
      </c>
      <c r="BU54" s="576">
        <v>0.37741710517900001</v>
      </c>
      <c r="BV54" s="576">
        <v>0.37108297819000002</v>
      </c>
      <c r="BW54" s="576">
        <v>-1.6782829666999999E-2</v>
      </c>
      <c r="BX54" s="577">
        <v>-1.7579216716999999E-2</v>
      </c>
      <c r="CC54" s="968" t="s">
        <v>122</v>
      </c>
      <c r="CD54" s="969"/>
      <c r="CE54" s="969"/>
      <c r="CF54" s="969"/>
      <c r="CG54" s="969"/>
      <c r="CH54" s="969"/>
      <c r="CI54" s="970"/>
      <c r="CJ54" s="576">
        <v>0.61970592935900004</v>
      </c>
      <c r="CK54" s="576">
        <v>0.61534668967399997</v>
      </c>
      <c r="CL54" s="576">
        <v>0.61476306764300004</v>
      </c>
      <c r="CM54" s="576">
        <v>-9.4844425299999997E-4</v>
      </c>
      <c r="CN54" s="577">
        <v>-7.9761407490000005E-3</v>
      </c>
      <c r="DB54" s="335">
        <f>+SUM(DB7,DB13)</f>
        <v>13438</v>
      </c>
      <c r="DI54" s="594"/>
      <c r="DJ54" s="595"/>
      <c r="DK54" s="595"/>
      <c r="DL54" s="595"/>
      <c r="DM54" s="595"/>
      <c r="DN54" s="595"/>
      <c r="DO54" s="596"/>
      <c r="DP54" s="576"/>
      <c r="DQ54" s="576"/>
      <c r="DR54" s="576"/>
      <c r="DS54" s="576"/>
      <c r="DT54" s="577"/>
      <c r="EH54" s="335">
        <f>SUM(EH10,EH16)</f>
        <v>827</v>
      </c>
      <c r="EO54" s="968" t="s">
        <v>122</v>
      </c>
      <c r="EP54" s="969"/>
      <c r="EQ54" s="969"/>
      <c r="ER54" s="969"/>
      <c r="ES54" s="969"/>
      <c r="ET54" s="969"/>
      <c r="EU54" s="970"/>
      <c r="EV54" s="576">
        <v>0.72298607509000001</v>
      </c>
      <c r="EW54" s="576">
        <v>0.72631815374200004</v>
      </c>
      <c r="EX54" s="576">
        <v>0.73149320906500004</v>
      </c>
      <c r="EY54" s="576">
        <v>7.1250529749999998E-3</v>
      </c>
      <c r="EZ54" s="577">
        <v>1.1766663657E-2</v>
      </c>
      <c r="FE54" s="968" t="s">
        <v>122</v>
      </c>
      <c r="FF54" s="969"/>
      <c r="FG54" s="969"/>
      <c r="FH54" s="969"/>
      <c r="FI54" s="969"/>
      <c r="FJ54" s="969"/>
      <c r="FK54" s="970"/>
      <c r="FL54" s="576">
        <v>0.40392946825199999</v>
      </c>
      <c r="FM54" s="576">
        <v>0.41107575840600002</v>
      </c>
      <c r="FN54" s="576">
        <v>0.42397588710700002</v>
      </c>
      <c r="FO54" s="576">
        <v>3.1381390016000002E-2</v>
      </c>
      <c r="FP54" s="577">
        <v>4.9628512973E-2</v>
      </c>
      <c r="GG54" s="581" t="s">
        <v>13</v>
      </c>
      <c r="GL54" s="353">
        <v>9</v>
      </c>
      <c r="GM54" s="353" t="s">
        <v>139</v>
      </c>
      <c r="GN54" s="353">
        <f t="shared" si="14"/>
        <v>38</v>
      </c>
      <c r="GO54" s="353">
        <f t="shared" si="15"/>
        <v>29</v>
      </c>
      <c r="GP54" s="353">
        <f t="shared" si="15"/>
        <v>40</v>
      </c>
      <c r="GQ54" s="353">
        <f t="shared" ref="GQ54:HL54" si="107">+GQ26-GQ40</f>
        <v>15</v>
      </c>
      <c r="GR54" s="353">
        <f t="shared" si="107"/>
        <v>19</v>
      </c>
      <c r="GS54" s="353">
        <f t="shared" si="107"/>
        <v>17</v>
      </c>
      <c r="GT54" s="353">
        <f t="shared" si="107"/>
        <v>28</v>
      </c>
      <c r="GU54" s="353">
        <f t="shared" si="107"/>
        <v>13</v>
      </c>
      <c r="GV54" s="353">
        <f t="shared" si="107"/>
        <v>20</v>
      </c>
      <c r="GW54" s="353">
        <f t="shared" si="107"/>
        <v>61</v>
      </c>
      <c r="GX54" s="353">
        <f t="shared" si="107"/>
        <v>46</v>
      </c>
      <c r="GY54" s="353">
        <f t="shared" si="107"/>
        <v>77</v>
      </c>
      <c r="GZ54" s="353">
        <f t="shared" si="107"/>
        <v>38</v>
      </c>
      <c r="HA54" s="353">
        <f t="shared" si="107"/>
        <v>10</v>
      </c>
      <c r="HB54" s="353">
        <f t="shared" si="107"/>
        <v>33</v>
      </c>
      <c r="HC54" s="353">
        <f t="shared" si="107"/>
        <v>36</v>
      </c>
      <c r="HD54" s="353">
        <f t="shared" si="107"/>
        <v>9</v>
      </c>
      <c r="HE54" s="353">
        <f t="shared" si="107"/>
        <v>20</v>
      </c>
      <c r="HF54" s="353">
        <f t="shared" si="107"/>
        <v>25</v>
      </c>
      <c r="HG54" s="353">
        <f t="shared" si="107"/>
        <v>28</v>
      </c>
      <c r="HH54" s="353">
        <f t="shared" si="107"/>
        <v>48</v>
      </c>
      <c r="HI54" s="353">
        <f t="shared" si="107"/>
        <v>24</v>
      </c>
      <c r="HJ54" s="353">
        <f t="shared" si="107"/>
        <v>0</v>
      </c>
      <c r="HK54" s="353">
        <f t="shared" si="107"/>
        <v>0</v>
      </c>
      <c r="HL54" s="353">
        <f t="shared" si="107"/>
        <v>1</v>
      </c>
      <c r="HM54" s="353">
        <f t="shared" ref="HM54:HO54" si="108">+HM26-HM40</f>
        <v>33</v>
      </c>
      <c r="HN54" s="353">
        <f t="shared" si="108"/>
        <v>58</v>
      </c>
      <c r="HO54" s="353">
        <f t="shared" si="108"/>
        <v>36</v>
      </c>
      <c r="HP54" s="353">
        <f t="shared" ref="HP54:HR54" si="109">+HP26-HP40</f>
        <v>25</v>
      </c>
      <c r="HQ54" s="353">
        <f t="shared" si="109"/>
        <v>25</v>
      </c>
      <c r="HR54" s="353">
        <f t="shared" si="109"/>
        <v>23</v>
      </c>
      <c r="HS54" s="353">
        <f t="shared" ref="HS54:HT54" si="110">+HS26-HS40</f>
        <v>57</v>
      </c>
      <c r="HT54" s="353">
        <f t="shared" si="110"/>
        <v>54</v>
      </c>
      <c r="HU54" s="353">
        <f t="shared" ref="HU54:HV54" si="111">+HU26-HU40</f>
        <v>19</v>
      </c>
      <c r="HV54" s="353">
        <f t="shared" si="111"/>
        <v>25</v>
      </c>
      <c r="HW54" s="353">
        <f t="shared" ref="HW54:HX54" si="112">+HW26-HW40</f>
        <v>23</v>
      </c>
      <c r="HX54" s="353">
        <f t="shared" si="112"/>
        <v>21</v>
      </c>
      <c r="HY54" s="753">
        <v>25</v>
      </c>
      <c r="HZ54" s="753">
        <v>37</v>
      </c>
      <c r="IA54" s="592">
        <v>21</v>
      </c>
      <c r="IB54" s="828">
        <v>35</v>
      </c>
      <c r="IC54" s="592">
        <v>46</v>
      </c>
      <c r="IV54" s="353">
        <v>9</v>
      </c>
      <c r="IW54" s="353" t="s">
        <v>139</v>
      </c>
      <c r="IX54" s="353">
        <f t="shared" ref="IX54:JC54" si="113">+IX26-IX40</f>
        <v>28</v>
      </c>
      <c r="IY54" s="353">
        <f t="shared" si="113"/>
        <v>18</v>
      </c>
      <c r="IZ54" s="353">
        <f t="shared" si="113"/>
        <v>21</v>
      </c>
      <c r="JA54" s="353">
        <f t="shared" si="113"/>
        <v>11</v>
      </c>
      <c r="JB54" s="353">
        <f t="shared" si="113"/>
        <v>12</v>
      </c>
      <c r="JC54" s="353">
        <f t="shared" si="113"/>
        <v>13</v>
      </c>
      <c r="JD54" s="353">
        <f t="shared" ref="JD54:JX54" si="114">+JD26-JD40</f>
        <v>22</v>
      </c>
      <c r="JE54" s="353">
        <f t="shared" si="114"/>
        <v>17</v>
      </c>
      <c r="JF54" s="353">
        <f t="shared" si="114"/>
        <v>15</v>
      </c>
      <c r="JG54" s="353">
        <f t="shared" si="114"/>
        <v>13</v>
      </c>
      <c r="JH54" s="353">
        <f t="shared" si="114"/>
        <v>25</v>
      </c>
      <c r="JI54" s="353">
        <f t="shared" si="114"/>
        <v>71</v>
      </c>
      <c r="JJ54" s="353">
        <f t="shared" si="114"/>
        <v>33</v>
      </c>
      <c r="JK54" s="353">
        <f t="shared" si="114"/>
        <v>13</v>
      </c>
      <c r="JL54" s="353">
        <f t="shared" si="114"/>
        <v>30</v>
      </c>
      <c r="JM54" s="353">
        <f t="shared" si="114"/>
        <v>27</v>
      </c>
      <c r="JN54" s="353">
        <f t="shared" si="114"/>
        <v>10</v>
      </c>
      <c r="JO54" s="353">
        <f t="shared" si="114"/>
        <v>20</v>
      </c>
      <c r="JP54" s="353">
        <f t="shared" si="114"/>
        <v>20</v>
      </c>
      <c r="JQ54" s="353">
        <f t="shared" si="114"/>
        <v>37</v>
      </c>
      <c r="JR54" s="353">
        <f t="shared" si="114"/>
        <v>47</v>
      </c>
      <c r="JS54" s="353">
        <f t="shared" si="114"/>
        <v>39</v>
      </c>
      <c r="JT54" s="353">
        <f t="shared" si="114"/>
        <v>22</v>
      </c>
      <c r="JU54" s="353">
        <f t="shared" si="114"/>
        <v>27</v>
      </c>
      <c r="JV54" s="353">
        <f t="shared" si="114"/>
        <v>1</v>
      </c>
      <c r="JW54" s="353">
        <f t="shared" si="114"/>
        <v>0</v>
      </c>
      <c r="JX54" s="353">
        <f t="shared" si="114"/>
        <v>4</v>
      </c>
      <c r="JY54" s="353">
        <f t="shared" si="8"/>
        <v>47</v>
      </c>
      <c r="JZ54" s="353">
        <f t="shared" ref="JZ54:KB54" si="115">+JZ26-JZ40</f>
        <v>33</v>
      </c>
      <c r="KA54" s="353">
        <f t="shared" si="115"/>
        <v>44</v>
      </c>
      <c r="KB54" s="353">
        <f t="shared" si="115"/>
        <v>30</v>
      </c>
      <c r="KC54" s="353">
        <f t="shared" ref="KC54:KD54" si="116">+KC26-KC40</f>
        <v>65</v>
      </c>
      <c r="KD54" s="353">
        <f t="shared" si="116"/>
        <v>49</v>
      </c>
      <c r="KE54" s="353">
        <f t="shared" ref="KE54:KF54" si="117">+KE26-KE40</f>
        <v>18</v>
      </c>
      <c r="KF54" s="353">
        <f t="shared" si="117"/>
        <v>25</v>
      </c>
      <c r="KG54" s="353">
        <f t="shared" ref="KG54:KI54" si="118">+KG26-KG40</f>
        <v>75</v>
      </c>
      <c r="KH54" s="353">
        <f t="shared" si="118"/>
        <v>22</v>
      </c>
      <c r="KI54" s="353">
        <f t="shared" si="118"/>
        <v>23</v>
      </c>
      <c r="KJ54" s="353">
        <f t="shared" ref="KJ54" si="119">+KJ26-KJ40</f>
        <v>28</v>
      </c>
      <c r="KK54" s="753">
        <v>19</v>
      </c>
      <c r="KL54" s="753">
        <v>25</v>
      </c>
      <c r="KM54" s="592">
        <v>39</v>
      </c>
      <c r="KN54" s="828">
        <v>44</v>
      </c>
      <c r="KO54" s="592">
        <v>38</v>
      </c>
    </row>
    <row r="55" spans="1:301" ht="15" thickBot="1">
      <c r="A55" s="971" t="s">
        <v>201</v>
      </c>
      <c r="B55" s="972"/>
      <c r="C55" s="972"/>
      <c r="D55" s="972"/>
      <c r="E55" s="972"/>
      <c r="F55" s="972"/>
      <c r="G55" s="973"/>
      <c r="H55" s="579">
        <v>0</v>
      </c>
      <c r="I55" s="579">
        <v>0</v>
      </c>
      <c r="J55" s="579">
        <v>0</v>
      </c>
      <c r="K55" s="571"/>
      <c r="L55" s="572"/>
      <c r="Q55" s="971" t="s">
        <v>201</v>
      </c>
      <c r="R55" s="972"/>
      <c r="S55" s="972"/>
      <c r="T55" s="972"/>
      <c r="U55" s="972"/>
      <c r="V55" s="972"/>
      <c r="W55" s="973"/>
      <c r="X55" s="579">
        <v>1.5232462441000001E-2</v>
      </c>
      <c r="Y55" s="579">
        <v>1.5172719588000001E-2</v>
      </c>
      <c r="Z55" s="579">
        <v>1.5131971317E-2</v>
      </c>
      <c r="AA55" s="579">
        <v>-2.685627404E-3</v>
      </c>
      <c r="AB55" s="580">
        <v>-6.5971687180000002E-3</v>
      </c>
      <c r="AG55" s="971" t="s">
        <v>201</v>
      </c>
      <c r="AH55" s="972"/>
      <c r="AI55" s="972"/>
      <c r="AJ55" s="972"/>
      <c r="AK55" s="972"/>
      <c r="AL55" s="972"/>
      <c r="AM55" s="973"/>
      <c r="AN55" s="579">
        <v>0.55599341530599999</v>
      </c>
      <c r="AO55" s="579">
        <v>0.55640441751000003</v>
      </c>
      <c r="AP55" s="579">
        <v>0.55460743521599998</v>
      </c>
      <c r="AQ55" s="579">
        <v>-3.2296334040000001E-3</v>
      </c>
      <c r="AR55" s="580">
        <v>-2.4927994659999998E-3</v>
      </c>
      <c r="BF55" s="335">
        <f>+SUM(BF7,BF13)</f>
        <v>40571</v>
      </c>
      <c r="BM55" s="971" t="s">
        <v>201</v>
      </c>
      <c r="BN55" s="972"/>
      <c r="BO55" s="972"/>
      <c r="BP55" s="972"/>
      <c r="BQ55" s="972"/>
      <c r="BR55" s="972"/>
      <c r="BS55" s="973"/>
      <c r="BT55" s="579">
        <v>8.4927700952999993E-2</v>
      </c>
      <c r="BU55" s="579">
        <v>8.9773663855000005E-2</v>
      </c>
      <c r="BV55" s="579">
        <v>9.9147656054E-2</v>
      </c>
      <c r="BW55" s="579">
        <v>0.104418064224</v>
      </c>
      <c r="BX55" s="580">
        <v>0.16743600663899999</v>
      </c>
      <c r="CC55" s="971" t="s">
        <v>201</v>
      </c>
      <c r="CD55" s="972"/>
      <c r="CE55" s="972"/>
      <c r="CF55" s="972"/>
      <c r="CG55" s="972"/>
      <c r="CH55" s="972"/>
      <c r="CI55" s="973"/>
      <c r="CJ55" s="579">
        <v>0.167352565127</v>
      </c>
      <c r="CK55" s="579">
        <v>0.16768493780400001</v>
      </c>
      <c r="CL55" s="579">
        <v>0.17044317226399999</v>
      </c>
      <c r="CM55" s="579">
        <v>1.6448910059E-2</v>
      </c>
      <c r="CN55" s="580">
        <v>1.8467641265000001E-2</v>
      </c>
      <c r="DB55" s="335">
        <f>SUM(DB10,DB16)</f>
        <v>1705</v>
      </c>
      <c r="DI55" s="968" t="s">
        <v>39</v>
      </c>
      <c r="DJ55" s="969"/>
      <c r="DK55" s="969"/>
      <c r="DL55" s="969"/>
      <c r="DM55" s="969"/>
      <c r="DN55" s="969"/>
      <c r="DO55" s="970"/>
      <c r="DP55" s="576">
        <v>0.82634859330999999</v>
      </c>
      <c r="DQ55" s="576">
        <v>0.82035008173500001</v>
      </c>
      <c r="DR55" s="576">
        <v>0.81472674097999997</v>
      </c>
      <c r="DS55" s="576">
        <v>-6.8548061120000002E-3</v>
      </c>
      <c r="DT55" s="577">
        <v>-1.4064103725000001E-2</v>
      </c>
      <c r="EO55" s="971" t="s">
        <v>201</v>
      </c>
      <c r="EP55" s="972"/>
      <c r="EQ55" s="972"/>
      <c r="ER55" s="972"/>
      <c r="ES55" s="972"/>
      <c r="ET55" s="972"/>
      <c r="EU55" s="973"/>
      <c r="EV55" s="579">
        <v>0.48108366915299999</v>
      </c>
      <c r="EW55" s="579">
        <v>0.48814804713499999</v>
      </c>
      <c r="EX55" s="579">
        <v>0.49462699645500002</v>
      </c>
      <c r="EY55" s="579">
        <v>1.327250894E-2</v>
      </c>
      <c r="EZ55" s="580">
        <v>2.8151708673E-2</v>
      </c>
      <c r="FE55" s="971" t="s">
        <v>201</v>
      </c>
      <c r="FF55" s="972"/>
      <c r="FG55" s="972"/>
      <c r="FH55" s="972"/>
      <c r="FI55" s="972"/>
      <c r="FJ55" s="972"/>
      <c r="FK55" s="973"/>
      <c r="FL55" s="579">
        <v>1.6556748200000001E-4</v>
      </c>
      <c r="FM55" s="579">
        <v>1.6457293299999999E-4</v>
      </c>
      <c r="FN55" s="579">
        <v>1.6440608299999999E-4</v>
      </c>
      <c r="FO55" s="579">
        <v>-1.013837511E-3</v>
      </c>
      <c r="FP55" s="580">
        <v>-7.0146595419999999E-3</v>
      </c>
      <c r="GG55" s="581" t="s">
        <v>14</v>
      </c>
      <c r="GL55" s="353">
        <v>10</v>
      </c>
      <c r="GM55" s="353" t="s">
        <v>141</v>
      </c>
      <c r="GN55" s="353">
        <f t="shared" si="14"/>
        <v>460</v>
      </c>
      <c r="GO55" s="353">
        <f t="shared" si="15"/>
        <v>268</v>
      </c>
      <c r="GP55" s="353">
        <f t="shared" si="15"/>
        <v>260</v>
      </c>
      <c r="GQ55" s="353">
        <f t="shared" ref="GQ55:HL55" si="120">+GQ27-GQ41</f>
        <v>285</v>
      </c>
      <c r="GR55" s="353">
        <f t="shared" si="120"/>
        <v>519</v>
      </c>
      <c r="GS55" s="353">
        <f t="shared" si="120"/>
        <v>234</v>
      </c>
      <c r="GT55" s="353">
        <f t="shared" si="120"/>
        <v>228</v>
      </c>
      <c r="GU55" s="353">
        <f t="shared" si="120"/>
        <v>128</v>
      </c>
      <c r="GV55" s="353">
        <f t="shared" si="120"/>
        <v>144</v>
      </c>
      <c r="GW55" s="353">
        <f t="shared" si="120"/>
        <v>346</v>
      </c>
      <c r="GX55" s="353">
        <f t="shared" si="120"/>
        <v>295</v>
      </c>
      <c r="GY55" s="353">
        <f t="shared" si="120"/>
        <v>408</v>
      </c>
      <c r="GZ55" s="353">
        <f t="shared" si="120"/>
        <v>378</v>
      </c>
      <c r="HA55" s="353">
        <f t="shared" si="120"/>
        <v>655</v>
      </c>
      <c r="HB55" s="353">
        <f t="shared" si="120"/>
        <v>356</v>
      </c>
      <c r="HC55" s="353">
        <f t="shared" si="120"/>
        <v>206</v>
      </c>
      <c r="HD55" s="353">
        <f t="shared" si="120"/>
        <v>133</v>
      </c>
      <c r="HE55" s="353">
        <f t="shared" si="120"/>
        <v>149</v>
      </c>
      <c r="HF55" s="353">
        <f t="shared" si="120"/>
        <v>171</v>
      </c>
      <c r="HG55" s="353">
        <f t="shared" si="120"/>
        <v>210</v>
      </c>
      <c r="HH55" s="353">
        <f t="shared" si="120"/>
        <v>236</v>
      </c>
      <c r="HI55" s="353">
        <f t="shared" si="120"/>
        <v>227</v>
      </c>
      <c r="HJ55" s="353">
        <f t="shared" si="120"/>
        <v>186</v>
      </c>
      <c r="HK55" s="353">
        <f t="shared" si="120"/>
        <v>203</v>
      </c>
      <c r="HL55" s="353">
        <f t="shared" si="120"/>
        <v>191</v>
      </c>
      <c r="HM55" s="353">
        <f t="shared" ref="HM55:HO55" si="121">+HM27-HM41</f>
        <v>486</v>
      </c>
      <c r="HN55" s="353">
        <f t="shared" si="121"/>
        <v>714</v>
      </c>
      <c r="HO55" s="353">
        <f t="shared" si="121"/>
        <v>609</v>
      </c>
      <c r="HP55" s="353">
        <f t="shared" ref="HP55:HR55" si="122">+HP27-HP41</f>
        <v>373</v>
      </c>
      <c r="HQ55" s="353">
        <f t="shared" si="122"/>
        <v>568</v>
      </c>
      <c r="HR55" s="353">
        <f t="shared" si="122"/>
        <v>283</v>
      </c>
      <c r="HS55" s="353">
        <f t="shared" ref="HS55:HT55" si="123">+HS27-HS41</f>
        <v>279</v>
      </c>
      <c r="HT55" s="353">
        <f t="shared" si="123"/>
        <v>282</v>
      </c>
      <c r="HU55" s="353">
        <f t="shared" ref="HU55:HV55" si="124">+HU27-HU41</f>
        <v>425</v>
      </c>
      <c r="HV55" s="353">
        <f t="shared" si="124"/>
        <v>330</v>
      </c>
      <c r="HW55" s="353">
        <f t="shared" ref="HW55:HX55" si="125">+HW27-HW41</f>
        <v>307</v>
      </c>
      <c r="HX55" s="353">
        <f t="shared" si="125"/>
        <v>240</v>
      </c>
      <c r="HY55" s="753">
        <v>504</v>
      </c>
      <c r="HZ55" s="753">
        <v>652</v>
      </c>
      <c r="IA55" s="592">
        <v>462</v>
      </c>
      <c r="IB55" s="828">
        <v>383</v>
      </c>
      <c r="IC55" s="592">
        <v>333</v>
      </c>
      <c r="IV55" s="353">
        <v>10</v>
      </c>
      <c r="IW55" s="353" t="s">
        <v>141</v>
      </c>
      <c r="IX55" s="353">
        <f t="shared" ref="IX55:JC55" si="126">+IX27-IX41</f>
        <v>432</v>
      </c>
      <c r="IY55" s="353">
        <f t="shared" si="126"/>
        <v>224</v>
      </c>
      <c r="IZ55" s="353">
        <f t="shared" si="126"/>
        <v>233</v>
      </c>
      <c r="JA55" s="353">
        <f t="shared" si="126"/>
        <v>273</v>
      </c>
      <c r="JB55" s="353">
        <f t="shared" si="126"/>
        <v>417</v>
      </c>
      <c r="JC55" s="353">
        <f t="shared" si="126"/>
        <v>205</v>
      </c>
      <c r="JD55" s="353">
        <f t="shared" ref="JD55:JX55" si="127">+JD27-JD41</f>
        <v>154</v>
      </c>
      <c r="JE55" s="353">
        <f t="shared" si="127"/>
        <v>116</v>
      </c>
      <c r="JF55" s="353">
        <f t="shared" si="127"/>
        <v>114</v>
      </c>
      <c r="JG55" s="353">
        <f t="shared" si="127"/>
        <v>319</v>
      </c>
      <c r="JH55" s="353">
        <f t="shared" si="127"/>
        <v>249</v>
      </c>
      <c r="JI55" s="353">
        <f t="shared" si="127"/>
        <v>328</v>
      </c>
      <c r="JJ55" s="353">
        <f t="shared" si="127"/>
        <v>391</v>
      </c>
      <c r="JK55" s="353">
        <f t="shared" si="127"/>
        <v>688</v>
      </c>
      <c r="JL55" s="353">
        <f t="shared" si="127"/>
        <v>364</v>
      </c>
      <c r="JM55" s="353">
        <f t="shared" si="127"/>
        <v>213</v>
      </c>
      <c r="JN55" s="353">
        <f t="shared" si="127"/>
        <v>121</v>
      </c>
      <c r="JO55" s="353">
        <f t="shared" si="127"/>
        <v>181</v>
      </c>
      <c r="JP55" s="353">
        <f t="shared" si="127"/>
        <v>174</v>
      </c>
      <c r="JQ55" s="353">
        <f t="shared" si="127"/>
        <v>206</v>
      </c>
      <c r="JR55" s="353">
        <f t="shared" si="127"/>
        <v>213</v>
      </c>
      <c r="JS55" s="353">
        <f t="shared" si="127"/>
        <v>216</v>
      </c>
      <c r="JT55" s="353">
        <f t="shared" si="127"/>
        <v>167</v>
      </c>
      <c r="JU55" s="353">
        <f t="shared" si="127"/>
        <v>197</v>
      </c>
      <c r="JV55" s="353">
        <f t="shared" si="127"/>
        <v>182</v>
      </c>
      <c r="JW55" s="353">
        <f t="shared" si="127"/>
        <v>465</v>
      </c>
      <c r="JX55" s="353">
        <f t="shared" si="127"/>
        <v>672</v>
      </c>
      <c r="JY55" s="353">
        <f t="shared" si="8"/>
        <v>316</v>
      </c>
      <c r="JZ55" s="353">
        <f t="shared" ref="JZ55:KB55" si="128">+JZ27-JZ41</f>
        <v>336</v>
      </c>
      <c r="KA55" s="353">
        <f t="shared" si="128"/>
        <v>395</v>
      </c>
      <c r="KB55" s="353">
        <f t="shared" si="128"/>
        <v>271</v>
      </c>
      <c r="KC55" s="353">
        <f t="shared" ref="KC55:KD55" si="129">+KC27-KC41</f>
        <v>250</v>
      </c>
      <c r="KD55" s="353">
        <f t="shared" si="129"/>
        <v>263</v>
      </c>
      <c r="KE55" s="353">
        <f t="shared" ref="KE55:KF55" si="130">+KE27-KE41</f>
        <v>431</v>
      </c>
      <c r="KF55" s="353">
        <f t="shared" si="130"/>
        <v>312</v>
      </c>
      <c r="KG55" s="353">
        <f t="shared" ref="KG55:KI55" si="131">+KG27-KG41</f>
        <v>310</v>
      </c>
      <c r="KH55" s="353">
        <f t="shared" si="131"/>
        <v>250</v>
      </c>
      <c r="KI55" s="353">
        <f t="shared" si="131"/>
        <v>487</v>
      </c>
      <c r="KJ55" s="353">
        <f t="shared" ref="KJ55" si="132">+KJ27-KJ41</f>
        <v>585</v>
      </c>
      <c r="KK55" s="753">
        <v>433</v>
      </c>
      <c r="KL55" s="753">
        <v>426</v>
      </c>
      <c r="KM55" s="592">
        <v>380</v>
      </c>
      <c r="KN55" s="828">
        <v>312</v>
      </c>
      <c r="KO55" s="592">
        <v>751</v>
      </c>
    </row>
    <row r="56" spans="1:301" ht="15" thickBot="1">
      <c r="J56" s="335">
        <f>+SUM(J7,J13)</f>
        <v>5075</v>
      </c>
      <c r="Z56" s="335">
        <f>+SUM(Z7,Z13)</f>
        <v>7202</v>
      </c>
      <c r="AN56" s="335">
        <f>+SUM(AN8,AN15)</f>
        <v>36834</v>
      </c>
      <c r="AP56" s="335">
        <f>+SUM(AP8,AP15)</f>
        <v>67578</v>
      </c>
      <c r="BF56" s="335">
        <f>SUM(BF10,BF16)</f>
        <v>5437</v>
      </c>
      <c r="BV56" s="335">
        <f>+SUM(BV7,BV14)</f>
        <v>10347</v>
      </c>
      <c r="CL56" s="335">
        <f>+SUM(CL7,CL13)</f>
        <v>29551</v>
      </c>
      <c r="DI56" s="968" t="s">
        <v>122</v>
      </c>
      <c r="DJ56" s="969"/>
      <c r="DK56" s="969"/>
      <c r="DL56" s="969"/>
      <c r="DM56" s="969"/>
      <c r="DN56" s="969"/>
      <c r="DO56" s="970"/>
      <c r="DP56" s="576">
        <v>0.77068887319900004</v>
      </c>
      <c r="DQ56" s="576">
        <v>0.76893856004600003</v>
      </c>
      <c r="DR56" s="576">
        <v>0.77679097016499998</v>
      </c>
      <c r="DS56" s="576">
        <v>1.0212012410999999E-2</v>
      </c>
      <c r="DT56" s="577">
        <v>7.9177177429999995E-3</v>
      </c>
      <c r="EX56" s="335">
        <f>+SUM(EX7,EX13)</f>
        <v>19304</v>
      </c>
      <c r="FN56" s="335">
        <f>+SUM(FN7,FN14)</f>
        <v>8186</v>
      </c>
      <c r="GG56" s="581" t="s">
        <v>17</v>
      </c>
      <c r="GL56" s="353">
        <v>11</v>
      </c>
      <c r="GM56" s="353" t="s">
        <v>140</v>
      </c>
      <c r="GN56" s="353">
        <f t="shared" si="14"/>
        <v>43</v>
      </c>
      <c r="GO56" s="353">
        <f t="shared" si="15"/>
        <v>41</v>
      </c>
      <c r="GP56" s="353">
        <f t="shared" si="15"/>
        <v>77</v>
      </c>
      <c r="GQ56" s="353">
        <f t="shared" ref="GQ56:HL56" si="133">+GQ28-GQ42</f>
        <v>49</v>
      </c>
      <c r="GR56" s="353">
        <f t="shared" si="133"/>
        <v>28</v>
      </c>
      <c r="GS56" s="353">
        <f t="shared" si="133"/>
        <v>23</v>
      </c>
      <c r="GT56" s="353">
        <f t="shared" si="133"/>
        <v>34</v>
      </c>
      <c r="GU56" s="353">
        <f t="shared" si="133"/>
        <v>40</v>
      </c>
      <c r="GV56" s="353">
        <f t="shared" si="133"/>
        <v>31</v>
      </c>
      <c r="GW56" s="353">
        <f t="shared" si="133"/>
        <v>32</v>
      </c>
      <c r="GX56" s="353">
        <f t="shared" si="133"/>
        <v>35</v>
      </c>
      <c r="GY56" s="353">
        <f t="shared" si="133"/>
        <v>38</v>
      </c>
      <c r="GZ56" s="353">
        <f t="shared" si="133"/>
        <v>57</v>
      </c>
      <c r="HA56" s="353">
        <f t="shared" si="133"/>
        <v>70</v>
      </c>
      <c r="HB56" s="353">
        <f t="shared" si="133"/>
        <v>56</v>
      </c>
      <c r="HC56" s="353">
        <f t="shared" si="133"/>
        <v>16</v>
      </c>
      <c r="HD56" s="353">
        <f t="shared" si="133"/>
        <v>23</v>
      </c>
      <c r="HE56" s="353">
        <f t="shared" si="133"/>
        <v>83</v>
      </c>
      <c r="HF56" s="353">
        <f t="shared" si="133"/>
        <v>57</v>
      </c>
      <c r="HG56" s="353">
        <f t="shared" si="133"/>
        <v>32</v>
      </c>
      <c r="HH56" s="353">
        <f t="shared" si="133"/>
        <v>32</v>
      </c>
      <c r="HI56" s="353">
        <f t="shared" si="133"/>
        <v>62</v>
      </c>
      <c r="HJ56" s="353">
        <f t="shared" si="133"/>
        <v>78</v>
      </c>
      <c r="HK56" s="353">
        <f t="shared" si="133"/>
        <v>47</v>
      </c>
      <c r="HL56" s="353">
        <f t="shared" si="133"/>
        <v>50</v>
      </c>
      <c r="HM56" s="353">
        <f t="shared" ref="HM56:HO56" si="134">+HM28-HM42</f>
        <v>28</v>
      </c>
      <c r="HN56" s="353">
        <f t="shared" si="134"/>
        <v>23</v>
      </c>
      <c r="HO56" s="353">
        <f t="shared" si="134"/>
        <v>35</v>
      </c>
      <c r="HP56" s="353">
        <f t="shared" ref="HP56:HR56" si="135">+HP28-HP42</f>
        <v>25</v>
      </c>
      <c r="HQ56" s="353">
        <f t="shared" si="135"/>
        <v>39</v>
      </c>
      <c r="HR56" s="353">
        <f t="shared" si="135"/>
        <v>36</v>
      </c>
      <c r="HS56" s="353">
        <f t="shared" ref="HS56:HT56" si="136">+HS28-HS42</f>
        <v>17</v>
      </c>
      <c r="HT56" s="353">
        <f t="shared" si="136"/>
        <v>39</v>
      </c>
      <c r="HU56" s="353">
        <f t="shared" ref="HU56:HV56" si="137">+HU28-HU42</f>
        <v>19</v>
      </c>
      <c r="HV56" s="353">
        <f t="shared" si="137"/>
        <v>34</v>
      </c>
      <c r="HW56" s="353">
        <f t="shared" ref="HW56:HX56" si="138">+HW28-HW42</f>
        <v>23</v>
      </c>
      <c r="HX56" s="353">
        <f t="shared" si="138"/>
        <v>49</v>
      </c>
      <c r="HY56" s="753">
        <v>40</v>
      </c>
      <c r="HZ56" s="753">
        <v>33</v>
      </c>
      <c r="IA56" s="592">
        <v>40</v>
      </c>
      <c r="IB56" s="828">
        <v>48</v>
      </c>
      <c r="IC56" s="592">
        <v>45</v>
      </c>
      <c r="IV56" s="353">
        <v>11</v>
      </c>
      <c r="IW56" s="353" t="s">
        <v>140</v>
      </c>
      <c r="IX56" s="353">
        <f t="shared" ref="IX56:JC56" si="139">+IX28-IX42</f>
        <v>61</v>
      </c>
      <c r="IY56" s="353">
        <f t="shared" si="139"/>
        <v>28</v>
      </c>
      <c r="IZ56" s="353">
        <f t="shared" si="139"/>
        <v>117</v>
      </c>
      <c r="JA56" s="353">
        <f t="shared" si="139"/>
        <v>48</v>
      </c>
      <c r="JB56" s="353">
        <f t="shared" si="139"/>
        <v>21</v>
      </c>
      <c r="JC56" s="353">
        <f t="shared" si="139"/>
        <v>22</v>
      </c>
      <c r="JD56" s="353">
        <f t="shared" ref="JD56:JX56" si="140">+JD28-JD42</f>
        <v>23</v>
      </c>
      <c r="JE56" s="353">
        <f t="shared" si="140"/>
        <v>34</v>
      </c>
      <c r="JF56" s="353">
        <f t="shared" si="140"/>
        <v>34</v>
      </c>
      <c r="JG56" s="353">
        <f t="shared" si="140"/>
        <v>34</v>
      </c>
      <c r="JH56" s="353">
        <f t="shared" si="140"/>
        <v>45</v>
      </c>
      <c r="JI56" s="353">
        <f t="shared" si="140"/>
        <v>28</v>
      </c>
      <c r="JJ56" s="353">
        <f t="shared" si="140"/>
        <v>53</v>
      </c>
      <c r="JK56" s="353">
        <f t="shared" si="140"/>
        <v>166</v>
      </c>
      <c r="JL56" s="353">
        <f t="shared" si="140"/>
        <v>101</v>
      </c>
      <c r="JM56" s="353">
        <f t="shared" si="140"/>
        <v>19</v>
      </c>
      <c r="JN56" s="353">
        <f t="shared" si="140"/>
        <v>32</v>
      </c>
      <c r="JO56" s="353">
        <f t="shared" si="140"/>
        <v>118</v>
      </c>
      <c r="JP56" s="353">
        <f t="shared" si="140"/>
        <v>57</v>
      </c>
      <c r="JQ56" s="353">
        <f t="shared" si="140"/>
        <v>32</v>
      </c>
      <c r="JR56" s="353">
        <f t="shared" si="140"/>
        <v>34</v>
      </c>
      <c r="JS56" s="353">
        <f t="shared" si="140"/>
        <v>68</v>
      </c>
      <c r="JT56" s="353">
        <f t="shared" si="140"/>
        <v>92</v>
      </c>
      <c r="JU56" s="353">
        <f t="shared" si="140"/>
        <v>151</v>
      </c>
      <c r="JV56" s="353">
        <f t="shared" si="140"/>
        <v>79</v>
      </c>
      <c r="JW56" s="353">
        <f t="shared" si="140"/>
        <v>42</v>
      </c>
      <c r="JX56" s="353">
        <f t="shared" si="140"/>
        <v>25</v>
      </c>
      <c r="JY56" s="353">
        <f t="shared" si="8"/>
        <v>11</v>
      </c>
      <c r="JZ56" s="353">
        <f t="shared" ref="JZ56:KB56" si="141">+JZ28-JZ42</f>
        <v>29</v>
      </c>
      <c r="KA56" s="353">
        <f t="shared" si="141"/>
        <v>14</v>
      </c>
      <c r="KB56" s="353">
        <f t="shared" si="141"/>
        <v>34</v>
      </c>
      <c r="KC56" s="353">
        <f t="shared" ref="KC56:KD56" si="142">+KC28-KC42</f>
        <v>21</v>
      </c>
      <c r="KD56" s="353">
        <f t="shared" si="142"/>
        <v>39</v>
      </c>
      <c r="KE56" s="353">
        <f t="shared" ref="KE56:KF56" si="143">+KE28-KE42</f>
        <v>22</v>
      </c>
      <c r="KF56" s="353">
        <f t="shared" si="143"/>
        <v>35</v>
      </c>
      <c r="KG56" s="353">
        <f t="shared" ref="KG56:KI56" si="144">+KG28-KG42</f>
        <v>28</v>
      </c>
      <c r="KH56" s="353">
        <f t="shared" si="144"/>
        <v>53</v>
      </c>
      <c r="KI56" s="353">
        <f t="shared" si="144"/>
        <v>35</v>
      </c>
      <c r="KJ56" s="353">
        <f t="shared" ref="KJ56" si="145">+KJ28-KJ42</f>
        <v>28</v>
      </c>
      <c r="KK56" s="753">
        <v>39</v>
      </c>
      <c r="KL56" s="753">
        <v>36</v>
      </c>
      <c r="KM56" s="592">
        <v>55</v>
      </c>
      <c r="KN56" s="828">
        <v>40</v>
      </c>
      <c r="KO56" s="592">
        <v>31</v>
      </c>
    </row>
    <row r="57" spans="1:301" ht="20.399999999999999" thickBot="1">
      <c r="J57" s="335">
        <f>SUM(J10,J16)</f>
        <v>849</v>
      </c>
      <c r="Z57" s="335">
        <f>SUM(Z10,Z16)</f>
        <v>2618</v>
      </c>
      <c r="AN57" s="335">
        <f>SUM(AN11,AN18)</f>
        <v>7288</v>
      </c>
      <c r="AP57" s="335">
        <f>SUM(AP11,AP18)</f>
        <v>15345</v>
      </c>
      <c r="BV57" s="335">
        <f>SUM(BV10,BV17)</f>
        <v>2698</v>
      </c>
      <c r="CL57" s="335">
        <f>SUM(CL10,CL16)</f>
        <v>3463</v>
      </c>
      <c r="CS57" s="974" t="s">
        <v>76</v>
      </c>
      <c r="CT57" s="923"/>
      <c r="CU57" s="923"/>
      <c r="CV57" s="923"/>
      <c r="CW57" s="923"/>
      <c r="CX57" s="923"/>
      <c r="CY57" s="923"/>
      <c r="CZ57" s="923"/>
      <c r="DA57" s="923"/>
      <c r="DB57" s="923"/>
      <c r="DC57" s="923"/>
      <c r="DD57" s="923"/>
      <c r="DE57" s="923"/>
      <c r="DF57" s="923"/>
      <c r="DG57" s="923"/>
      <c r="DI57" s="971" t="s">
        <v>201</v>
      </c>
      <c r="DJ57" s="972"/>
      <c r="DK57" s="972"/>
      <c r="DL57" s="972"/>
      <c r="DM57" s="972"/>
      <c r="DN57" s="972"/>
      <c r="DO57" s="973"/>
      <c r="DP57" s="579">
        <v>2.8241323040000001E-3</v>
      </c>
      <c r="DQ57" s="579">
        <v>2.772924639E-3</v>
      </c>
      <c r="DR57" s="579">
        <v>2.7610887370000002E-3</v>
      </c>
      <c r="DS57" s="579">
        <v>-4.2683818779999999E-3</v>
      </c>
      <c r="DT57" s="580">
        <v>-2.2323163127000001E-2</v>
      </c>
      <c r="DY57" s="974" t="s">
        <v>76</v>
      </c>
      <c r="DZ57" s="923"/>
      <c r="EA57" s="923"/>
      <c r="EB57" s="923"/>
      <c r="EC57" s="923"/>
      <c r="ED57" s="923"/>
      <c r="EE57" s="923"/>
      <c r="EF57" s="923"/>
      <c r="EG57" s="923"/>
      <c r="EH57" s="923"/>
      <c r="EI57" s="923"/>
      <c r="EJ57" s="923"/>
      <c r="EK57" s="923"/>
      <c r="EL57" s="923"/>
      <c r="EM57" s="923"/>
      <c r="EX57" s="335">
        <f>SUM(EX10,EX16)</f>
        <v>4965</v>
      </c>
      <c r="FN57" s="335">
        <f>SUM(FN10,FN17)</f>
        <v>2237</v>
      </c>
      <c r="GG57" s="581" t="s">
        <v>18</v>
      </c>
    </row>
    <row r="58" spans="1:301" ht="20.399999999999999" thickBot="1">
      <c r="Q58" s="974" t="s">
        <v>76</v>
      </c>
      <c r="R58" s="923"/>
      <c r="S58" s="923"/>
      <c r="T58" s="923"/>
      <c r="U58" s="923"/>
      <c r="V58" s="923"/>
      <c r="W58" s="923"/>
      <c r="X58" s="923"/>
      <c r="Y58" s="923"/>
      <c r="Z58" s="923"/>
      <c r="AA58" s="923"/>
      <c r="AB58" s="923"/>
      <c r="AC58" s="923"/>
      <c r="AD58" s="923"/>
      <c r="AE58" s="923"/>
      <c r="AN58" s="582"/>
      <c r="AP58" s="582"/>
      <c r="CS58" s="975" t="s">
        <v>77</v>
      </c>
      <c r="CT58" s="976"/>
      <c r="CU58" s="976"/>
      <c r="CV58" s="976"/>
      <c r="CW58" s="976"/>
      <c r="CX58" s="976"/>
      <c r="CY58" s="976"/>
      <c r="CZ58" s="976"/>
      <c r="DA58" s="976"/>
      <c r="DB58" s="976"/>
      <c r="DC58" s="976"/>
      <c r="DD58" s="976"/>
      <c r="DE58" s="976"/>
      <c r="DF58" s="976"/>
      <c r="DG58" s="976"/>
      <c r="DR58" s="335">
        <f>+SUM(DR7,DR14)</f>
        <v>34839</v>
      </c>
      <c r="DY58" s="975" t="s">
        <v>77</v>
      </c>
      <c r="DZ58" s="976"/>
      <c r="EA58" s="976"/>
      <c r="EB58" s="976"/>
      <c r="EC58" s="976"/>
      <c r="ED58" s="976"/>
      <c r="EE58" s="976"/>
      <c r="EF58" s="976"/>
      <c r="EG58" s="976"/>
      <c r="EH58" s="976"/>
      <c r="EI58" s="976"/>
      <c r="EJ58" s="976"/>
      <c r="EK58" s="976"/>
      <c r="EL58" s="976"/>
      <c r="EM58" s="976"/>
      <c r="GG58" s="581" t="s">
        <v>19</v>
      </c>
    </row>
    <row r="59" spans="1:301" ht="20.399999999999999" thickBot="1">
      <c r="Q59" s="975" t="s">
        <v>77</v>
      </c>
      <c r="R59" s="976"/>
      <c r="S59" s="976"/>
      <c r="T59" s="976"/>
      <c r="U59" s="976"/>
      <c r="V59" s="976"/>
      <c r="W59" s="976"/>
      <c r="X59" s="976"/>
      <c r="Y59" s="976"/>
      <c r="Z59" s="976"/>
      <c r="AA59" s="976"/>
      <c r="AB59" s="976"/>
      <c r="AC59" s="976"/>
      <c r="AD59" s="976"/>
      <c r="AE59" s="976"/>
      <c r="AG59" s="974" t="s">
        <v>76</v>
      </c>
      <c r="AH59" s="923"/>
      <c r="AI59" s="923"/>
      <c r="AJ59" s="923"/>
      <c r="AK59" s="923"/>
      <c r="AL59" s="923"/>
      <c r="AM59" s="923"/>
      <c r="AN59" s="923"/>
      <c r="AO59" s="923"/>
      <c r="AP59" s="923"/>
      <c r="AQ59" s="923"/>
      <c r="AR59" s="923"/>
      <c r="AS59" s="923"/>
      <c r="AT59" s="923"/>
      <c r="AU59" s="923"/>
      <c r="AW59" s="974" t="s">
        <v>76</v>
      </c>
      <c r="AX59" s="923"/>
      <c r="AY59" s="923"/>
      <c r="AZ59" s="923"/>
      <c r="BA59" s="923"/>
      <c r="BB59" s="923"/>
      <c r="BC59" s="923"/>
      <c r="BD59" s="923"/>
      <c r="BE59" s="923"/>
      <c r="BF59" s="923"/>
      <c r="BG59" s="923"/>
      <c r="BH59" s="923"/>
      <c r="BI59" s="923"/>
      <c r="BJ59" s="923"/>
      <c r="BK59" s="923"/>
      <c r="BM59" s="974" t="s">
        <v>76</v>
      </c>
      <c r="BN59" s="923"/>
      <c r="BO59" s="923"/>
      <c r="BP59" s="923"/>
      <c r="BQ59" s="923"/>
      <c r="BR59" s="923"/>
      <c r="BS59" s="923"/>
      <c r="BT59" s="923"/>
      <c r="BU59" s="923"/>
      <c r="BV59" s="923"/>
      <c r="BW59" s="923"/>
      <c r="BX59" s="923"/>
      <c r="BY59" s="923"/>
      <c r="BZ59" s="923"/>
      <c r="CA59" s="923"/>
      <c r="CS59" s="544"/>
      <c r="CT59" s="545"/>
      <c r="CU59" s="545"/>
      <c r="CV59" s="545"/>
      <c r="CW59" s="545"/>
      <c r="CX59" s="545"/>
      <c r="CY59" s="546"/>
      <c r="CZ59" s="593" t="s">
        <v>78</v>
      </c>
      <c r="DA59" s="593" t="s">
        <v>161</v>
      </c>
      <c r="DB59" s="593" t="s">
        <v>162</v>
      </c>
      <c r="DC59" s="593" t="s">
        <v>79</v>
      </c>
      <c r="DD59" s="593" t="s">
        <v>80</v>
      </c>
      <c r="DE59" s="593" t="s">
        <v>81</v>
      </c>
      <c r="DF59" s="593" t="s">
        <v>448</v>
      </c>
      <c r="DG59" s="593" t="s">
        <v>82</v>
      </c>
      <c r="DR59" s="335">
        <f>SUM(DR10,DR17)</f>
        <v>4887</v>
      </c>
      <c r="DY59" s="544"/>
      <c r="DZ59" s="545"/>
      <c r="EA59" s="545"/>
      <c r="EB59" s="545"/>
      <c r="EC59" s="545"/>
      <c r="ED59" s="545"/>
      <c r="EE59" s="546"/>
      <c r="EF59" s="593" t="s">
        <v>78</v>
      </c>
      <c r="EG59" s="593" t="s">
        <v>161</v>
      </c>
      <c r="EH59" s="593" t="s">
        <v>162</v>
      </c>
      <c r="EI59" s="593" t="s">
        <v>79</v>
      </c>
      <c r="EJ59" s="593" t="s">
        <v>80</v>
      </c>
      <c r="EK59" s="593" t="s">
        <v>81</v>
      </c>
      <c r="EL59" s="593" t="s">
        <v>448</v>
      </c>
      <c r="EM59" s="593" t="s">
        <v>82</v>
      </c>
      <c r="FE59" s="974" t="s">
        <v>76</v>
      </c>
      <c r="FF59" s="923"/>
      <c r="FG59" s="923"/>
      <c r="FH59" s="923"/>
      <c r="FI59" s="923"/>
      <c r="FJ59" s="923"/>
      <c r="FK59" s="923"/>
      <c r="FL59" s="923"/>
      <c r="FM59" s="923"/>
      <c r="FN59" s="923"/>
      <c r="FO59" s="923"/>
      <c r="FP59" s="923"/>
      <c r="FQ59" s="923"/>
      <c r="FR59" s="923"/>
      <c r="FS59" s="923"/>
      <c r="GG59" s="581" t="s">
        <v>21</v>
      </c>
    </row>
    <row r="60" spans="1:301" ht="20.399999999999999" thickBot="1">
      <c r="A60" s="974" t="s">
        <v>76</v>
      </c>
      <c r="B60" s="974"/>
      <c r="C60" s="974"/>
      <c r="D60" s="974"/>
      <c r="E60" s="974"/>
      <c r="F60" s="974"/>
      <c r="G60" s="974"/>
      <c r="H60" s="974"/>
      <c r="I60" s="974"/>
      <c r="J60" s="974"/>
      <c r="K60" s="974"/>
      <c r="L60" s="974"/>
      <c r="M60" s="974"/>
      <c r="N60" s="974"/>
      <c r="O60" s="974"/>
      <c r="Q60" s="544"/>
      <c r="R60" s="545"/>
      <c r="S60" s="545"/>
      <c r="T60" s="545"/>
      <c r="U60" s="545"/>
      <c r="V60" s="545"/>
      <c r="W60" s="546"/>
      <c r="X60" s="593" t="s">
        <v>78</v>
      </c>
      <c r="Y60" s="593" t="s">
        <v>161</v>
      </c>
      <c r="Z60" s="593" t="s">
        <v>162</v>
      </c>
      <c r="AA60" s="593" t="s">
        <v>79</v>
      </c>
      <c r="AB60" s="593" t="s">
        <v>80</v>
      </c>
      <c r="AC60" s="593" t="s">
        <v>81</v>
      </c>
      <c r="AD60" s="593" t="s">
        <v>448</v>
      </c>
      <c r="AE60" s="593" t="s">
        <v>82</v>
      </c>
      <c r="AG60" s="975" t="s">
        <v>77</v>
      </c>
      <c r="AH60" s="976"/>
      <c r="AI60" s="976"/>
      <c r="AJ60" s="976"/>
      <c r="AK60" s="976"/>
      <c r="AL60" s="976"/>
      <c r="AM60" s="976"/>
      <c r="AN60" s="976"/>
      <c r="AO60" s="976"/>
      <c r="AP60" s="976"/>
      <c r="AQ60" s="976"/>
      <c r="AR60" s="976"/>
      <c r="AS60" s="976"/>
      <c r="AT60" s="976"/>
      <c r="AU60" s="976"/>
      <c r="AW60" s="975" t="s">
        <v>77</v>
      </c>
      <c r="AX60" s="976"/>
      <c r="AY60" s="976"/>
      <c r="AZ60" s="976"/>
      <c r="BA60" s="976"/>
      <c r="BB60" s="976"/>
      <c r="BC60" s="976"/>
      <c r="BD60" s="976"/>
      <c r="BE60" s="976"/>
      <c r="BF60" s="976"/>
      <c r="BG60" s="976"/>
      <c r="BH60" s="976"/>
      <c r="BI60" s="976"/>
      <c r="BJ60" s="976"/>
      <c r="BK60" s="976"/>
      <c r="BM60" s="975" t="s">
        <v>77</v>
      </c>
      <c r="BN60" s="976"/>
      <c r="BO60" s="976"/>
      <c r="BP60" s="976"/>
      <c r="BQ60" s="976"/>
      <c r="BR60" s="976"/>
      <c r="BS60" s="976"/>
      <c r="BT60" s="976"/>
      <c r="BU60" s="976"/>
      <c r="BV60" s="976"/>
      <c r="BW60" s="976"/>
      <c r="BX60" s="976"/>
      <c r="BY60" s="976"/>
      <c r="BZ60" s="976"/>
      <c r="CA60" s="976"/>
      <c r="CC60" s="974" t="s">
        <v>76</v>
      </c>
      <c r="CD60" s="923"/>
      <c r="CE60" s="923"/>
      <c r="CF60" s="923"/>
      <c r="CG60" s="923"/>
      <c r="CH60" s="923"/>
      <c r="CI60" s="923"/>
      <c r="CJ60" s="923"/>
      <c r="CK60" s="923"/>
      <c r="CL60" s="923"/>
      <c r="CM60" s="923"/>
      <c r="CN60" s="923"/>
      <c r="CO60" s="923"/>
      <c r="CP60" s="923"/>
      <c r="CQ60" s="923"/>
      <c r="CS60" s="981" t="s">
        <v>83</v>
      </c>
      <c r="CT60" s="982"/>
      <c r="CU60" s="982"/>
      <c r="CV60" s="982"/>
      <c r="CW60" s="982"/>
      <c r="CX60" s="982"/>
      <c r="CY60" s="983"/>
      <c r="CZ60" s="547">
        <v>71995</v>
      </c>
      <c r="DA60" s="547">
        <v>73816</v>
      </c>
      <c r="DB60" s="547">
        <v>73816</v>
      </c>
      <c r="DC60" s="548">
        <v>0</v>
      </c>
      <c r="DD60" s="548">
        <v>2.5293423153999999E-2</v>
      </c>
      <c r="DE60" s="547">
        <v>1821</v>
      </c>
      <c r="DF60" s="549"/>
      <c r="DG60" s="550"/>
      <c r="DY60" s="981" t="s">
        <v>83</v>
      </c>
      <c r="DZ60" s="982"/>
      <c r="EA60" s="982"/>
      <c r="EB60" s="982"/>
      <c r="EC60" s="982"/>
      <c r="ED60" s="982"/>
      <c r="EE60" s="983"/>
      <c r="EF60" s="547">
        <v>22229</v>
      </c>
      <c r="EG60" s="547">
        <v>23049</v>
      </c>
      <c r="EH60" s="547">
        <v>23140</v>
      </c>
      <c r="EI60" s="548">
        <v>3.9481105470000003E-3</v>
      </c>
      <c r="EJ60" s="548">
        <v>4.0982500337000002E-2</v>
      </c>
      <c r="EK60" s="547">
        <v>911</v>
      </c>
      <c r="EL60" s="549"/>
      <c r="EM60" s="550"/>
      <c r="EO60" s="974" t="s">
        <v>76</v>
      </c>
      <c r="EP60" s="923"/>
      <c r="EQ60" s="923"/>
      <c r="ER60" s="923"/>
      <c r="ES60" s="923"/>
      <c r="ET60" s="923"/>
      <c r="EU60" s="923"/>
      <c r="EV60" s="923"/>
      <c r="EW60" s="923"/>
      <c r="EX60" s="923"/>
      <c r="EY60" s="923"/>
      <c r="EZ60" s="923"/>
      <c r="FA60" s="923"/>
      <c r="FB60" s="923"/>
      <c r="FC60" s="923"/>
      <c r="FE60" s="975" t="s">
        <v>77</v>
      </c>
      <c r="FF60" s="976"/>
      <c r="FG60" s="976"/>
      <c r="FH60" s="976"/>
      <c r="FI60" s="976"/>
      <c r="FJ60" s="976"/>
      <c r="FK60" s="976"/>
      <c r="FL60" s="976"/>
      <c r="FM60" s="976"/>
      <c r="FN60" s="976"/>
      <c r="FO60" s="976"/>
      <c r="FP60" s="976"/>
      <c r="FQ60" s="976"/>
      <c r="FR60" s="976"/>
      <c r="FS60" s="976"/>
      <c r="GG60" s="581" t="s">
        <v>22</v>
      </c>
    </row>
    <row r="61" spans="1:301" ht="15.6" thickBot="1">
      <c r="A61" s="975" t="s">
        <v>77</v>
      </c>
      <c r="B61" s="976"/>
      <c r="C61" s="976"/>
      <c r="D61" s="976"/>
      <c r="E61" s="976"/>
      <c r="F61" s="976"/>
      <c r="G61" s="976"/>
      <c r="H61" s="976"/>
      <c r="I61" s="976"/>
      <c r="J61" s="976"/>
      <c r="K61" s="976"/>
      <c r="L61" s="976"/>
      <c r="M61" s="976"/>
      <c r="N61" s="976"/>
      <c r="O61" s="976"/>
      <c r="Q61" s="981" t="s">
        <v>83</v>
      </c>
      <c r="R61" s="982"/>
      <c r="S61" s="982"/>
      <c r="T61" s="982"/>
      <c r="U61" s="982"/>
      <c r="V61" s="982"/>
      <c r="W61" s="983"/>
      <c r="X61" s="547">
        <v>74539</v>
      </c>
      <c r="Y61" s="547">
        <v>75166</v>
      </c>
      <c r="Z61" s="547">
        <v>74886</v>
      </c>
      <c r="AA61" s="548">
        <v>-3.72508847E-3</v>
      </c>
      <c r="AB61" s="548">
        <v>4.6552811280000002E-3</v>
      </c>
      <c r="AC61" s="547">
        <v>347</v>
      </c>
      <c r="AD61" s="549"/>
      <c r="AE61" s="550"/>
      <c r="AG61" s="544"/>
      <c r="AH61" s="545"/>
      <c r="AI61" s="545"/>
      <c r="AJ61" s="545"/>
      <c r="AK61" s="545"/>
      <c r="AL61" s="545"/>
      <c r="AM61" s="546"/>
      <c r="AN61" s="593" t="s">
        <v>78</v>
      </c>
      <c r="AO61" s="593" t="s">
        <v>161</v>
      </c>
      <c r="AP61" s="593" t="s">
        <v>162</v>
      </c>
      <c r="AQ61" s="593" t="s">
        <v>79</v>
      </c>
      <c r="AR61" s="593" t="s">
        <v>80</v>
      </c>
      <c r="AS61" s="593" t="s">
        <v>81</v>
      </c>
      <c r="AT61" s="593" t="s">
        <v>448</v>
      </c>
      <c r="AU61" s="593" t="s">
        <v>82</v>
      </c>
      <c r="AW61" s="544"/>
      <c r="AX61" s="545"/>
      <c r="AY61" s="545"/>
      <c r="AZ61" s="545"/>
      <c r="BA61" s="545"/>
      <c r="BB61" s="545"/>
      <c r="BC61" s="546"/>
      <c r="BD61" s="593" t="s">
        <v>78</v>
      </c>
      <c r="BE61" s="593" t="s">
        <v>161</v>
      </c>
      <c r="BF61" s="593" t="s">
        <v>162</v>
      </c>
      <c r="BG61" s="593" t="s">
        <v>79</v>
      </c>
      <c r="BH61" s="593" t="s">
        <v>80</v>
      </c>
      <c r="BI61" s="593" t="s">
        <v>81</v>
      </c>
      <c r="BJ61" s="593" t="s">
        <v>448</v>
      </c>
      <c r="BK61" s="593" t="s">
        <v>82</v>
      </c>
      <c r="BM61" s="544"/>
      <c r="BN61" s="545"/>
      <c r="BO61" s="545"/>
      <c r="BP61" s="545"/>
      <c r="BQ61" s="545"/>
      <c r="BR61" s="545"/>
      <c r="BS61" s="546"/>
      <c r="BT61" s="593" t="s">
        <v>78</v>
      </c>
      <c r="BU61" s="593" t="s">
        <v>161</v>
      </c>
      <c r="BV61" s="593" t="s">
        <v>162</v>
      </c>
      <c r="BW61" s="593" t="s">
        <v>79</v>
      </c>
      <c r="BX61" s="593" t="s">
        <v>80</v>
      </c>
      <c r="BY61" s="593" t="s">
        <v>81</v>
      </c>
      <c r="BZ61" s="593" t="s">
        <v>448</v>
      </c>
      <c r="CA61" s="593" t="s">
        <v>82</v>
      </c>
      <c r="CC61" s="975" t="s">
        <v>77</v>
      </c>
      <c r="CD61" s="976"/>
      <c r="CE61" s="976"/>
      <c r="CF61" s="976"/>
      <c r="CG61" s="976"/>
      <c r="CH61" s="976"/>
      <c r="CI61" s="976"/>
      <c r="CJ61" s="976"/>
      <c r="CK61" s="976"/>
      <c r="CL61" s="976"/>
      <c r="CM61" s="976"/>
      <c r="CN61" s="976"/>
      <c r="CO61" s="976"/>
      <c r="CP61" s="976"/>
      <c r="CQ61" s="976"/>
      <c r="CS61" s="984" t="s">
        <v>84</v>
      </c>
      <c r="CT61" s="969"/>
      <c r="CU61" s="969"/>
      <c r="CV61" s="969"/>
      <c r="CW61" s="969"/>
      <c r="CX61" s="969"/>
      <c r="CY61" s="970"/>
      <c r="CZ61" s="551">
        <v>9971</v>
      </c>
      <c r="DA61" s="551">
        <v>9108</v>
      </c>
      <c r="DB61" s="551">
        <v>9163</v>
      </c>
      <c r="DC61" s="552">
        <v>6.0386473419999998E-3</v>
      </c>
      <c r="DD61" s="552">
        <v>-8.1035001504000004E-2</v>
      </c>
      <c r="DE61" s="551">
        <v>-808</v>
      </c>
      <c r="DF61" s="553"/>
      <c r="DG61" s="554"/>
      <c r="DY61" s="984" t="s">
        <v>84</v>
      </c>
      <c r="DZ61" s="969"/>
      <c r="EA61" s="969"/>
      <c r="EB61" s="969"/>
      <c r="EC61" s="969"/>
      <c r="ED61" s="969"/>
      <c r="EE61" s="970"/>
      <c r="EF61" s="551">
        <v>1634</v>
      </c>
      <c r="EG61" s="551">
        <v>1458</v>
      </c>
      <c r="EH61" s="551">
        <v>1461</v>
      </c>
      <c r="EI61" s="552">
        <v>2.057613168E-3</v>
      </c>
      <c r="EJ61" s="552">
        <v>-0.105875152998</v>
      </c>
      <c r="EK61" s="551">
        <v>-173</v>
      </c>
      <c r="EL61" s="553"/>
      <c r="EM61" s="554"/>
      <c r="EO61" s="975" t="s">
        <v>77</v>
      </c>
      <c r="EP61" s="976"/>
      <c r="EQ61" s="976"/>
      <c r="ER61" s="976"/>
      <c r="ES61" s="976"/>
      <c r="ET61" s="976"/>
      <c r="EU61" s="976"/>
      <c r="EV61" s="976"/>
      <c r="EW61" s="976"/>
      <c r="EX61" s="976"/>
      <c r="EY61" s="976"/>
      <c r="EZ61" s="976"/>
      <c r="FA61" s="976"/>
      <c r="FB61" s="976"/>
      <c r="FC61" s="976"/>
      <c r="FE61" s="544"/>
      <c r="FF61" s="545"/>
      <c r="FG61" s="545"/>
      <c r="FH61" s="545"/>
      <c r="FI61" s="545"/>
      <c r="FJ61" s="545"/>
      <c r="FK61" s="546"/>
      <c r="FL61" s="593" t="s">
        <v>78</v>
      </c>
      <c r="FM61" s="593" t="s">
        <v>161</v>
      </c>
      <c r="FN61" s="593" t="s">
        <v>162</v>
      </c>
      <c r="FO61" s="593" t="s">
        <v>79</v>
      </c>
      <c r="FP61" s="593" t="s">
        <v>80</v>
      </c>
      <c r="FQ61" s="593" t="s">
        <v>81</v>
      </c>
      <c r="FR61" s="593" t="s">
        <v>448</v>
      </c>
      <c r="FS61" s="593" t="s">
        <v>82</v>
      </c>
      <c r="GG61" s="581" t="s">
        <v>15</v>
      </c>
    </row>
    <row r="62" spans="1:301" ht="20.399999999999999" thickBot="1">
      <c r="A62" s="544"/>
      <c r="B62" s="545"/>
      <c r="C62" s="545"/>
      <c r="D62" s="545"/>
      <c r="E62" s="545"/>
      <c r="F62" s="545"/>
      <c r="G62" s="546"/>
      <c r="H62" s="593" t="s">
        <v>78</v>
      </c>
      <c r="I62" s="593" t="s">
        <v>161</v>
      </c>
      <c r="J62" s="593" t="s">
        <v>162</v>
      </c>
      <c r="K62" s="593" t="s">
        <v>79</v>
      </c>
      <c r="L62" s="593" t="s">
        <v>80</v>
      </c>
      <c r="M62" s="593" t="s">
        <v>81</v>
      </c>
      <c r="N62" s="593" t="s">
        <v>448</v>
      </c>
      <c r="O62" s="593" t="s">
        <v>82</v>
      </c>
      <c r="Q62" s="984" t="s">
        <v>84</v>
      </c>
      <c r="R62" s="969"/>
      <c r="S62" s="969"/>
      <c r="T62" s="969"/>
      <c r="U62" s="969"/>
      <c r="V62" s="969"/>
      <c r="W62" s="970"/>
      <c r="X62" s="551">
        <v>13248</v>
      </c>
      <c r="Y62" s="551">
        <v>14100</v>
      </c>
      <c r="Z62" s="551">
        <v>14468</v>
      </c>
      <c r="AA62" s="552">
        <v>2.6099290779999999E-2</v>
      </c>
      <c r="AB62" s="552">
        <v>9.2089371980000001E-2</v>
      </c>
      <c r="AC62" s="551">
        <v>1220</v>
      </c>
      <c r="AD62" s="553"/>
      <c r="AE62" s="554"/>
      <c r="AG62" s="981" t="s">
        <v>83</v>
      </c>
      <c r="AH62" s="982"/>
      <c r="AI62" s="982"/>
      <c r="AJ62" s="982"/>
      <c r="AK62" s="982"/>
      <c r="AL62" s="982"/>
      <c r="AM62" s="983"/>
      <c r="AN62" s="547">
        <v>259644</v>
      </c>
      <c r="AO62" s="547">
        <v>278219</v>
      </c>
      <c r="AP62" s="547">
        <v>275265</v>
      </c>
      <c r="AQ62" s="548">
        <v>-1.0617535107E-2</v>
      </c>
      <c r="AR62" s="548">
        <v>6.0163146462000001E-2</v>
      </c>
      <c r="AS62" s="547">
        <v>15621</v>
      </c>
      <c r="AT62" s="549"/>
      <c r="AU62" s="550"/>
      <c r="AW62" s="981" t="s">
        <v>83</v>
      </c>
      <c r="AX62" s="982"/>
      <c r="AY62" s="982"/>
      <c r="AZ62" s="982"/>
      <c r="BA62" s="982"/>
      <c r="BB62" s="982"/>
      <c r="BC62" s="983"/>
      <c r="BD62" s="547">
        <v>153543</v>
      </c>
      <c r="BE62" s="547">
        <v>168733</v>
      </c>
      <c r="BF62" s="547">
        <v>168981</v>
      </c>
      <c r="BG62" s="548">
        <v>1.4697776960000001E-3</v>
      </c>
      <c r="BH62" s="548">
        <v>0.100545124167</v>
      </c>
      <c r="BI62" s="547">
        <v>15438</v>
      </c>
      <c r="BJ62" s="549"/>
      <c r="BK62" s="550"/>
      <c r="BM62" s="981" t="s">
        <v>83</v>
      </c>
      <c r="BN62" s="982"/>
      <c r="BO62" s="982"/>
      <c r="BP62" s="982"/>
      <c r="BQ62" s="982"/>
      <c r="BR62" s="982"/>
      <c r="BS62" s="983"/>
      <c r="BT62" s="547">
        <v>11168</v>
      </c>
      <c r="BU62" s="547">
        <v>14648</v>
      </c>
      <c r="BV62" s="547">
        <v>14762</v>
      </c>
      <c r="BW62" s="548">
        <v>7.7826324409999998E-3</v>
      </c>
      <c r="BX62" s="548">
        <v>0.32181232091599998</v>
      </c>
      <c r="BY62" s="547">
        <v>3594</v>
      </c>
      <c r="BZ62" s="549"/>
      <c r="CA62" s="550"/>
      <c r="CC62" s="544"/>
      <c r="CD62" s="545"/>
      <c r="CE62" s="545"/>
      <c r="CF62" s="545"/>
      <c r="CG62" s="545"/>
      <c r="CH62" s="545"/>
      <c r="CI62" s="546"/>
      <c r="CJ62" s="593" t="s">
        <v>78</v>
      </c>
      <c r="CK62" s="593" t="s">
        <v>161</v>
      </c>
      <c r="CL62" s="593" t="s">
        <v>162</v>
      </c>
      <c r="CM62" s="593" t="s">
        <v>79</v>
      </c>
      <c r="CN62" s="593" t="s">
        <v>80</v>
      </c>
      <c r="CO62" s="593" t="s">
        <v>81</v>
      </c>
      <c r="CP62" s="593" t="s">
        <v>448</v>
      </c>
      <c r="CQ62" s="593" t="s">
        <v>82</v>
      </c>
      <c r="CS62" s="990" t="s">
        <v>85</v>
      </c>
      <c r="CT62" s="969"/>
      <c r="CU62" s="969"/>
      <c r="CV62" s="969"/>
      <c r="CW62" s="969"/>
      <c r="CX62" s="969"/>
      <c r="CY62" s="970"/>
      <c r="CZ62" s="555">
        <v>6065</v>
      </c>
      <c r="DA62" s="555">
        <v>5886</v>
      </c>
      <c r="DB62" s="555">
        <v>11748</v>
      </c>
      <c r="DC62" s="556">
        <v>0.99592252803199999</v>
      </c>
      <c r="DD62" s="556">
        <v>0.93701566364300004</v>
      </c>
      <c r="DE62" s="555">
        <v>5683</v>
      </c>
      <c r="DF62" s="553"/>
      <c r="DG62" s="554"/>
      <c r="DI62" s="974" t="s">
        <v>76</v>
      </c>
      <c r="DJ62" s="923"/>
      <c r="DK62" s="923"/>
      <c r="DL62" s="923"/>
      <c r="DM62" s="923"/>
      <c r="DN62" s="923"/>
      <c r="DO62" s="923"/>
      <c r="DP62" s="923"/>
      <c r="DQ62" s="923"/>
      <c r="DR62" s="923"/>
      <c r="DS62" s="923"/>
      <c r="DT62" s="923"/>
      <c r="DU62" s="923"/>
      <c r="DV62" s="923"/>
      <c r="DW62" s="923"/>
      <c r="DY62" s="990" t="s">
        <v>85</v>
      </c>
      <c r="DZ62" s="969"/>
      <c r="EA62" s="969"/>
      <c r="EB62" s="969"/>
      <c r="EC62" s="969"/>
      <c r="ED62" s="969"/>
      <c r="EE62" s="970"/>
      <c r="EF62" s="555">
        <v>1770</v>
      </c>
      <c r="EG62" s="555">
        <v>2036</v>
      </c>
      <c r="EH62" s="555">
        <v>5121</v>
      </c>
      <c r="EI62" s="556">
        <v>1.5152259332019999</v>
      </c>
      <c r="EJ62" s="556">
        <v>1.893220338983</v>
      </c>
      <c r="EK62" s="555">
        <v>3351</v>
      </c>
      <c r="EL62" s="553"/>
      <c r="EM62" s="554"/>
      <c r="EO62" s="544"/>
      <c r="EP62" s="545"/>
      <c r="EQ62" s="545"/>
      <c r="ER62" s="545"/>
      <c r="ES62" s="545"/>
      <c r="ET62" s="545"/>
      <c r="EU62" s="546"/>
      <c r="EV62" s="593" t="s">
        <v>78</v>
      </c>
      <c r="EW62" s="593" t="s">
        <v>161</v>
      </c>
      <c r="EX62" s="593" t="s">
        <v>162</v>
      </c>
      <c r="EY62" s="593" t="s">
        <v>79</v>
      </c>
      <c r="EZ62" s="593" t="s">
        <v>80</v>
      </c>
      <c r="FA62" s="593" t="s">
        <v>81</v>
      </c>
      <c r="FB62" s="593" t="s">
        <v>448</v>
      </c>
      <c r="FC62" s="593" t="s">
        <v>82</v>
      </c>
      <c r="FE62" s="981" t="s">
        <v>83</v>
      </c>
      <c r="FF62" s="982"/>
      <c r="FG62" s="982"/>
      <c r="FH62" s="982"/>
      <c r="FI62" s="982"/>
      <c r="FJ62" s="982"/>
      <c r="FK62" s="983"/>
      <c r="FL62" s="547">
        <v>32644</v>
      </c>
      <c r="FM62" s="547">
        <v>34262</v>
      </c>
      <c r="FN62" s="547">
        <v>35924</v>
      </c>
      <c r="FO62" s="548">
        <v>4.8508551747999999E-2</v>
      </c>
      <c r="FP62" s="548">
        <v>0.100477882612</v>
      </c>
      <c r="FQ62" s="547">
        <v>3280</v>
      </c>
      <c r="FR62" s="549"/>
      <c r="FS62" s="550"/>
      <c r="GG62" s="581" t="s">
        <v>16</v>
      </c>
    </row>
    <row r="63" spans="1:301" ht="15.6" thickBot="1">
      <c r="A63" s="981" t="s">
        <v>83</v>
      </c>
      <c r="B63" s="982"/>
      <c r="C63" s="982"/>
      <c r="D63" s="982"/>
      <c r="E63" s="982"/>
      <c r="F63" s="982"/>
      <c r="G63" s="983"/>
      <c r="H63" s="547">
        <v>30412</v>
      </c>
      <c r="I63" s="547">
        <v>30947</v>
      </c>
      <c r="J63" s="547">
        <v>30325</v>
      </c>
      <c r="K63" s="548">
        <v>-2.0098878728000001E-2</v>
      </c>
      <c r="L63" s="548">
        <v>-2.860712876E-3</v>
      </c>
      <c r="M63" s="547">
        <v>-87</v>
      </c>
      <c r="N63" s="549"/>
      <c r="O63" s="550"/>
      <c r="Q63" s="990" t="s">
        <v>85</v>
      </c>
      <c r="R63" s="969"/>
      <c r="S63" s="969"/>
      <c r="T63" s="969"/>
      <c r="U63" s="969"/>
      <c r="V63" s="969"/>
      <c r="W63" s="970"/>
      <c r="X63" s="555">
        <v>3259</v>
      </c>
      <c r="Y63" s="555">
        <v>5572</v>
      </c>
      <c r="Z63" s="555">
        <v>5568</v>
      </c>
      <c r="AA63" s="556">
        <v>-7.1787508899999995E-4</v>
      </c>
      <c r="AB63" s="556">
        <v>0.70849953973599999</v>
      </c>
      <c r="AC63" s="555">
        <v>2309</v>
      </c>
      <c r="AD63" s="553"/>
      <c r="AE63" s="554"/>
      <c r="AG63" s="984" t="s">
        <v>84</v>
      </c>
      <c r="AH63" s="969"/>
      <c r="AI63" s="969"/>
      <c r="AJ63" s="969"/>
      <c r="AK63" s="969"/>
      <c r="AL63" s="969"/>
      <c r="AM63" s="970"/>
      <c r="AN63" s="551">
        <v>57370</v>
      </c>
      <c r="AO63" s="551">
        <v>62728</v>
      </c>
      <c r="AP63" s="551">
        <v>63118</v>
      </c>
      <c r="AQ63" s="552">
        <v>6.2173192190000002E-3</v>
      </c>
      <c r="AR63" s="552">
        <v>0.100191737842</v>
      </c>
      <c r="AS63" s="551">
        <v>5748</v>
      </c>
      <c r="AT63" s="553"/>
      <c r="AU63" s="554"/>
      <c r="AW63" s="984" t="s">
        <v>84</v>
      </c>
      <c r="AX63" s="969"/>
      <c r="AY63" s="969"/>
      <c r="AZ63" s="969"/>
      <c r="BA63" s="969"/>
      <c r="BB63" s="969"/>
      <c r="BC63" s="970"/>
      <c r="BD63" s="551">
        <v>23584</v>
      </c>
      <c r="BE63" s="551">
        <v>23338</v>
      </c>
      <c r="BF63" s="551">
        <v>23250</v>
      </c>
      <c r="BG63" s="552">
        <v>-3.7706744359999999E-3</v>
      </c>
      <c r="BH63" s="552">
        <v>-1.4162143826E-2</v>
      </c>
      <c r="BI63" s="551">
        <v>-334</v>
      </c>
      <c r="BJ63" s="553"/>
      <c r="BK63" s="554"/>
      <c r="BM63" s="984" t="s">
        <v>84</v>
      </c>
      <c r="BN63" s="969"/>
      <c r="BO63" s="969"/>
      <c r="BP63" s="969"/>
      <c r="BQ63" s="969"/>
      <c r="BR63" s="969"/>
      <c r="BS63" s="970"/>
      <c r="BT63" s="551">
        <v>247</v>
      </c>
      <c r="BU63" s="551">
        <v>522</v>
      </c>
      <c r="BV63" s="551">
        <v>469</v>
      </c>
      <c r="BW63" s="552">
        <v>-0.101532567049</v>
      </c>
      <c r="BX63" s="552">
        <v>0.89878542510100001</v>
      </c>
      <c r="BY63" s="551">
        <v>222</v>
      </c>
      <c r="BZ63" s="553"/>
      <c r="CA63" s="554"/>
      <c r="CC63" s="981" t="s">
        <v>83</v>
      </c>
      <c r="CD63" s="982"/>
      <c r="CE63" s="982"/>
      <c r="CF63" s="982"/>
      <c r="CG63" s="982"/>
      <c r="CH63" s="982"/>
      <c r="CI63" s="983"/>
      <c r="CJ63" s="547">
        <v>158656</v>
      </c>
      <c r="CK63" s="547">
        <v>162663</v>
      </c>
      <c r="CL63" s="547">
        <v>159854</v>
      </c>
      <c r="CM63" s="548">
        <v>-1.7268831879E-2</v>
      </c>
      <c r="CN63" s="548">
        <v>7.5509277929999997E-3</v>
      </c>
      <c r="CO63" s="547">
        <v>1198</v>
      </c>
      <c r="CP63" s="549"/>
      <c r="CQ63" s="550"/>
      <c r="CS63" s="990" t="s">
        <v>86</v>
      </c>
      <c r="CT63" s="969"/>
      <c r="CU63" s="969"/>
      <c r="CV63" s="969"/>
      <c r="CW63" s="969"/>
      <c r="CX63" s="969"/>
      <c r="CY63" s="970"/>
      <c r="CZ63" s="555">
        <v>64957</v>
      </c>
      <c r="DA63" s="555">
        <v>66973</v>
      </c>
      <c r="DB63" s="555">
        <v>60589</v>
      </c>
      <c r="DC63" s="556">
        <v>-9.5321995430000001E-2</v>
      </c>
      <c r="DD63" s="556">
        <v>-6.7244484812999994E-2</v>
      </c>
      <c r="DE63" s="555">
        <v>-4368</v>
      </c>
      <c r="DF63" s="553"/>
      <c r="DG63" s="554"/>
      <c r="DI63" s="975" t="s">
        <v>77</v>
      </c>
      <c r="DJ63" s="976"/>
      <c r="DK63" s="976"/>
      <c r="DL63" s="976"/>
      <c r="DM63" s="976"/>
      <c r="DN63" s="976"/>
      <c r="DO63" s="976"/>
      <c r="DP63" s="976"/>
      <c r="DQ63" s="976"/>
      <c r="DR63" s="976"/>
      <c r="DS63" s="976"/>
      <c r="DT63" s="976"/>
      <c r="DU63" s="976"/>
      <c r="DV63" s="976"/>
      <c r="DW63" s="976"/>
      <c r="DY63" s="990" t="s">
        <v>86</v>
      </c>
      <c r="DZ63" s="969"/>
      <c r="EA63" s="969"/>
      <c r="EB63" s="969"/>
      <c r="EC63" s="969"/>
      <c r="ED63" s="969"/>
      <c r="EE63" s="970"/>
      <c r="EF63" s="555">
        <v>19976</v>
      </c>
      <c r="EG63" s="555">
        <v>20010</v>
      </c>
      <c r="EH63" s="555">
        <v>16706</v>
      </c>
      <c r="EI63" s="556">
        <v>-0.16511744127899999</v>
      </c>
      <c r="EJ63" s="556">
        <v>-0.16369643572199999</v>
      </c>
      <c r="EK63" s="555">
        <v>-3270</v>
      </c>
      <c r="EL63" s="553"/>
      <c r="EM63" s="554"/>
      <c r="EO63" s="981" t="s">
        <v>83</v>
      </c>
      <c r="EP63" s="982"/>
      <c r="EQ63" s="982"/>
      <c r="ER63" s="982"/>
      <c r="ES63" s="982"/>
      <c r="ET63" s="982"/>
      <c r="EU63" s="983"/>
      <c r="EV63" s="547">
        <v>146125</v>
      </c>
      <c r="EW63" s="547">
        <v>132810</v>
      </c>
      <c r="EX63" s="547">
        <v>132890</v>
      </c>
      <c r="EY63" s="548">
        <v>6.0236427899999995E-4</v>
      </c>
      <c r="EZ63" s="548">
        <v>-9.0573139435000005E-2</v>
      </c>
      <c r="FA63" s="547">
        <v>-13235</v>
      </c>
      <c r="FB63" s="549"/>
      <c r="FC63" s="550"/>
      <c r="FE63" s="984" t="s">
        <v>84</v>
      </c>
      <c r="FF63" s="969"/>
      <c r="FG63" s="969"/>
      <c r="FH63" s="969"/>
      <c r="FI63" s="969"/>
      <c r="FJ63" s="969"/>
      <c r="FK63" s="970"/>
      <c r="FL63" s="551">
        <v>1600</v>
      </c>
      <c r="FM63" s="551">
        <v>1602</v>
      </c>
      <c r="FN63" s="551">
        <v>1642</v>
      </c>
      <c r="FO63" s="552">
        <v>2.4968789012999999E-2</v>
      </c>
      <c r="FP63" s="552">
        <v>2.6249999999999999E-2</v>
      </c>
      <c r="FQ63" s="551">
        <v>42</v>
      </c>
      <c r="FR63" s="553"/>
      <c r="FS63" s="554"/>
      <c r="GG63" s="581" t="s">
        <v>20</v>
      </c>
    </row>
    <row r="64" spans="1:301" ht="15.6" thickBot="1">
      <c r="A64" s="984" t="s">
        <v>84</v>
      </c>
      <c r="B64" s="969"/>
      <c r="C64" s="969"/>
      <c r="D64" s="969"/>
      <c r="E64" s="969"/>
      <c r="F64" s="969"/>
      <c r="G64" s="970"/>
      <c r="H64" s="551">
        <v>6165</v>
      </c>
      <c r="I64" s="551">
        <v>6799</v>
      </c>
      <c r="J64" s="551">
        <v>6798</v>
      </c>
      <c r="K64" s="552">
        <v>-1.4708045299999999E-4</v>
      </c>
      <c r="L64" s="552">
        <v>0.102676399026</v>
      </c>
      <c r="M64" s="551">
        <v>633</v>
      </c>
      <c r="N64" s="553"/>
      <c r="O64" s="554"/>
      <c r="Q64" s="990" t="s">
        <v>86</v>
      </c>
      <c r="R64" s="969"/>
      <c r="S64" s="969"/>
      <c r="T64" s="969"/>
      <c r="U64" s="969"/>
      <c r="V64" s="969"/>
      <c r="W64" s="970"/>
      <c r="X64" s="555">
        <v>70388</v>
      </c>
      <c r="Y64" s="555">
        <v>67421</v>
      </c>
      <c r="Z64" s="555">
        <v>67152</v>
      </c>
      <c r="AA64" s="556">
        <v>-3.989854793E-3</v>
      </c>
      <c r="AB64" s="556">
        <v>-4.5973745524E-2</v>
      </c>
      <c r="AC64" s="555">
        <v>-3236</v>
      </c>
      <c r="AD64" s="553"/>
      <c r="AE64" s="554"/>
      <c r="AG64" s="990" t="s">
        <v>125</v>
      </c>
      <c r="AH64" s="969"/>
      <c r="AI64" s="969"/>
      <c r="AJ64" s="969"/>
      <c r="AK64" s="969"/>
      <c r="AL64" s="969"/>
      <c r="AM64" s="970"/>
      <c r="AN64" s="555">
        <v>0</v>
      </c>
      <c r="AO64" s="555">
        <v>8</v>
      </c>
      <c r="AP64" s="555">
        <v>8</v>
      </c>
      <c r="AQ64" s="556">
        <v>0</v>
      </c>
      <c r="AR64" s="553"/>
      <c r="AS64" s="555">
        <v>8</v>
      </c>
      <c r="AT64" s="553"/>
      <c r="AU64" s="554"/>
      <c r="AW64" s="990" t="s">
        <v>85</v>
      </c>
      <c r="AX64" s="969"/>
      <c r="AY64" s="969"/>
      <c r="AZ64" s="969"/>
      <c r="BA64" s="969"/>
      <c r="BB64" s="969"/>
      <c r="BC64" s="970"/>
      <c r="BD64" s="555">
        <v>7256</v>
      </c>
      <c r="BE64" s="555">
        <v>27143</v>
      </c>
      <c r="BF64" s="555">
        <v>45424</v>
      </c>
      <c r="BG64" s="556">
        <v>0.67350698154199995</v>
      </c>
      <c r="BH64" s="556">
        <v>5.2601984564490003</v>
      </c>
      <c r="BI64" s="555">
        <v>38168</v>
      </c>
      <c r="BJ64" s="553"/>
      <c r="BK64" s="554"/>
      <c r="BM64" s="990" t="s">
        <v>85</v>
      </c>
      <c r="BN64" s="969"/>
      <c r="BO64" s="969"/>
      <c r="BP64" s="969"/>
      <c r="BQ64" s="969"/>
      <c r="BR64" s="969"/>
      <c r="BS64" s="970"/>
      <c r="BT64" s="555">
        <v>4169</v>
      </c>
      <c r="BU64" s="555">
        <v>6635</v>
      </c>
      <c r="BV64" s="555">
        <v>7922</v>
      </c>
      <c r="BW64" s="556">
        <v>0.19397136397799999</v>
      </c>
      <c r="BX64" s="556">
        <v>0.90021587910699996</v>
      </c>
      <c r="BY64" s="555">
        <v>3753</v>
      </c>
      <c r="BZ64" s="553"/>
      <c r="CA64" s="554"/>
      <c r="CC64" s="984" t="s">
        <v>84</v>
      </c>
      <c r="CD64" s="969"/>
      <c r="CE64" s="969"/>
      <c r="CF64" s="969"/>
      <c r="CG64" s="969"/>
      <c r="CH64" s="969"/>
      <c r="CI64" s="970"/>
      <c r="CJ64" s="551">
        <v>43101</v>
      </c>
      <c r="CK64" s="551">
        <v>42824</v>
      </c>
      <c r="CL64" s="551">
        <v>42653</v>
      </c>
      <c r="CM64" s="552">
        <v>-3.9930879879999997E-3</v>
      </c>
      <c r="CN64" s="552">
        <v>-1.039419039E-2</v>
      </c>
      <c r="CO64" s="551">
        <v>-448</v>
      </c>
      <c r="CP64" s="553"/>
      <c r="CQ64" s="554"/>
      <c r="CS64" s="990" t="s">
        <v>87</v>
      </c>
      <c r="CT64" s="969"/>
      <c r="CU64" s="969"/>
      <c r="CV64" s="969"/>
      <c r="CW64" s="969"/>
      <c r="CX64" s="969"/>
      <c r="CY64" s="970"/>
      <c r="CZ64" s="555">
        <v>7</v>
      </c>
      <c r="DA64" s="555">
        <v>3</v>
      </c>
      <c r="DB64" s="555">
        <v>1</v>
      </c>
      <c r="DC64" s="556">
        <v>-0.66666666666600005</v>
      </c>
      <c r="DD64" s="556">
        <v>-0.857142857142</v>
      </c>
      <c r="DE64" s="555">
        <v>-6</v>
      </c>
      <c r="DF64" s="553"/>
      <c r="DG64" s="554"/>
      <c r="DI64" s="544"/>
      <c r="DJ64" s="545"/>
      <c r="DK64" s="545"/>
      <c r="DL64" s="545"/>
      <c r="DM64" s="545"/>
      <c r="DN64" s="545"/>
      <c r="DO64" s="546"/>
      <c r="DP64" s="593" t="s">
        <v>78</v>
      </c>
      <c r="DQ64" s="593" t="s">
        <v>161</v>
      </c>
      <c r="DR64" s="593" t="s">
        <v>162</v>
      </c>
      <c r="DS64" s="593" t="s">
        <v>79</v>
      </c>
      <c r="DT64" s="593" t="s">
        <v>80</v>
      </c>
      <c r="DU64" s="593" t="s">
        <v>81</v>
      </c>
      <c r="DV64" s="593" t="s">
        <v>448</v>
      </c>
      <c r="DW64" s="593" t="s">
        <v>82</v>
      </c>
      <c r="DY64" s="990" t="s">
        <v>87</v>
      </c>
      <c r="DZ64" s="969"/>
      <c r="EA64" s="969"/>
      <c r="EB64" s="969"/>
      <c r="EC64" s="969"/>
      <c r="ED64" s="969"/>
      <c r="EE64" s="970"/>
      <c r="EF64" s="555">
        <v>240</v>
      </c>
      <c r="EG64" s="555">
        <v>744</v>
      </c>
      <c r="EH64" s="555">
        <v>398</v>
      </c>
      <c r="EI64" s="556">
        <v>-0.46505376343999999</v>
      </c>
      <c r="EJ64" s="556">
        <v>0.65833333333300004</v>
      </c>
      <c r="EK64" s="555">
        <v>158</v>
      </c>
      <c r="EL64" s="553"/>
      <c r="EM64" s="554"/>
      <c r="EO64" s="984" t="s">
        <v>84</v>
      </c>
      <c r="EP64" s="969"/>
      <c r="EQ64" s="969"/>
      <c r="ER64" s="969"/>
      <c r="ES64" s="969"/>
      <c r="ET64" s="969"/>
      <c r="EU64" s="970"/>
      <c r="EV64" s="551">
        <v>52634</v>
      </c>
      <c r="EW64" s="551">
        <v>37819</v>
      </c>
      <c r="EX64" s="551">
        <v>37487</v>
      </c>
      <c r="EY64" s="552">
        <v>-8.7786562299999992E-3</v>
      </c>
      <c r="EZ64" s="552">
        <v>-0.28777976213000001</v>
      </c>
      <c r="FA64" s="551">
        <v>-15147</v>
      </c>
      <c r="FB64" s="553"/>
      <c r="FC64" s="554"/>
      <c r="FE64" s="990" t="s">
        <v>85</v>
      </c>
      <c r="FF64" s="969"/>
      <c r="FG64" s="969"/>
      <c r="FH64" s="969"/>
      <c r="FI64" s="969"/>
      <c r="FJ64" s="969"/>
      <c r="FK64" s="970"/>
      <c r="FL64" s="555">
        <v>1930</v>
      </c>
      <c r="FM64" s="555">
        <v>4643</v>
      </c>
      <c r="FN64" s="555">
        <v>5546</v>
      </c>
      <c r="FO64" s="556">
        <v>0.19448632349700001</v>
      </c>
      <c r="FP64" s="556">
        <v>1.8735751295330001</v>
      </c>
      <c r="FQ64" s="555">
        <v>3616</v>
      </c>
      <c r="FR64" s="553"/>
      <c r="FS64" s="554"/>
      <c r="GG64" s="581" t="s">
        <v>23</v>
      </c>
      <c r="GM64" s="967" t="s">
        <v>169</v>
      </c>
      <c r="GN64" s="967"/>
      <c r="GO64" s="967"/>
      <c r="GP64" s="967"/>
      <c r="GQ64" s="967"/>
      <c r="GR64" s="967"/>
      <c r="GS64" s="967"/>
      <c r="IW64" s="967" t="s">
        <v>175</v>
      </c>
      <c r="IX64" s="967"/>
      <c r="IY64" s="967"/>
      <c r="IZ64" s="967"/>
      <c r="JA64" s="967"/>
      <c r="JB64" s="967"/>
      <c r="JC64" s="967"/>
      <c r="JD64" s="967"/>
      <c r="JE64" s="967"/>
      <c r="JF64" s="967"/>
      <c r="JG64" s="967"/>
    </row>
    <row r="65" spans="1:301" ht="15" thickBot="1">
      <c r="A65" s="990" t="s">
        <v>85</v>
      </c>
      <c r="B65" s="969"/>
      <c r="C65" s="969"/>
      <c r="D65" s="969"/>
      <c r="E65" s="969"/>
      <c r="F65" s="969"/>
      <c r="G65" s="970"/>
      <c r="H65" s="555">
        <v>3073</v>
      </c>
      <c r="I65" s="555">
        <v>3471</v>
      </c>
      <c r="J65" s="555">
        <v>3818</v>
      </c>
      <c r="K65" s="556">
        <v>9.9971189858000006E-2</v>
      </c>
      <c r="L65" s="556">
        <v>0.242434103481</v>
      </c>
      <c r="M65" s="555">
        <v>745</v>
      </c>
      <c r="N65" s="553"/>
      <c r="O65" s="554"/>
      <c r="Q65" s="990" t="s">
        <v>87</v>
      </c>
      <c r="R65" s="969"/>
      <c r="S65" s="969"/>
      <c r="T65" s="969"/>
      <c r="U65" s="969"/>
      <c r="V65" s="969"/>
      <c r="W65" s="970"/>
      <c r="X65" s="555">
        <v>65</v>
      </c>
      <c r="Y65" s="555">
        <v>33</v>
      </c>
      <c r="Z65" s="555">
        <v>32</v>
      </c>
      <c r="AA65" s="556">
        <v>-3.0303030303000002E-2</v>
      </c>
      <c r="AB65" s="556">
        <v>-0.50769230769200002</v>
      </c>
      <c r="AC65" s="555">
        <v>-33</v>
      </c>
      <c r="AD65" s="553"/>
      <c r="AE65" s="554"/>
      <c r="AG65" s="990" t="s">
        <v>85</v>
      </c>
      <c r="AH65" s="969"/>
      <c r="AI65" s="969"/>
      <c r="AJ65" s="969"/>
      <c r="AK65" s="969"/>
      <c r="AL65" s="969"/>
      <c r="AM65" s="970"/>
      <c r="AN65" s="555">
        <v>23801</v>
      </c>
      <c r="AO65" s="555">
        <v>26720</v>
      </c>
      <c r="AP65" s="555">
        <v>28282</v>
      </c>
      <c r="AQ65" s="556">
        <v>5.8458083831999998E-2</v>
      </c>
      <c r="AR65" s="556">
        <v>0.18826940044500001</v>
      </c>
      <c r="AS65" s="555">
        <v>4481</v>
      </c>
      <c r="AT65" s="553"/>
      <c r="AU65" s="554"/>
      <c r="AW65" s="990" t="s">
        <v>86</v>
      </c>
      <c r="AX65" s="969"/>
      <c r="AY65" s="969"/>
      <c r="AZ65" s="969"/>
      <c r="BA65" s="969"/>
      <c r="BB65" s="969"/>
      <c r="BC65" s="970"/>
      <c r="BD65" s="555">
        <v>142453</v>
      </c>
      <c r="BE65" s="555">
        <v>136161</v>
      </c>
      <c r="BF65" s="555">
        <v>116988</v>
      </c>
      <c r="BG65" s="556">
        <v>-0.14081124550999999</v>
      </c>
      <c r="BH65" s="556">
        <v>-0.17876071405999999</v>
      </c>
      <c r="BI65" s="555">
        <v>-25465</v>
      </c>
      <c r="BJ65" s="553"/>
      <c r="BK65" s="554"/>
      <c r="BM65" s="990" t="s">
        <v>86</v>
      </c>
      <c r="BN65" s="969"/>
      <c r="BO65" s="969"/>
      <c r="BP65" s="969"/>
      <c r="BQ65" s="969"/>
      <c r="BR65" s="969"/>
      <c r="BS65" s="970"/>
      <c r="BT65" s="555">
        <v>6326</v>
      </c>
      <c r="BU65" s="555">
        <v>6881</v>
      </c>
      <c r="BV65" s="555">
        <v>4220</v>
      </c>
      <c r="BW65" s="556">
        <v>-0.38671704693999998</v>
      </c>
      <c r="BX65" s="556">
        <v>-0.33291179260100001</v>
      </c>
      <c r="BY65" s="555">
        <v>-2106</v>
      </c>
      <c r="BZ65" s="553"/>
      <c r="CA65" s="554"/>
      <c r="CC65" s="990" t="s">
        <v>85</v>
      </c>
      <c r="CD65" s="969"/>
      <c r="CE65" s="969"/>
      <c r="CF65" s="969"/>
      <c r="CG65" s="969"/>
      <c r="CH65" s="969"/>
      <c r="CI65" s="970"/>
      <c r="CJ65" s="555">
        <v>16792</v>
      </c>
      <c r="CK65" s="555">
        <v>18639</v>
      </c>
      <c r="CL65" s="555">
        <v>18960</v>
      </c>
      <c r="CM65" s="556">
        <v>1.7221953966999999E-2</v>
      </c>
      <c r="CN65" s="556">
        <v>0.129109099571</v>
      </c>
      <c r="CO65" s="555">
        <v>2168</v>
      </c>
      <c r="CP65" s="553"/>
      <c r="CQ65" s="554"/>
      <c r="CS65" s="990" t="s">
        <v>88</v>
      </c>
      <c r="CT65" s="969"/>
      <c r="CU65" s="969"/>
      <c r="CV65" s="969"/>
      <c r="CW65" s="969"/>
      <c r="CX65" s="969"/>
      <c r="CY65" s="970"/>
      <c r="CZ65" s="555">
        <v>966</v>
      </c>
      <c r="DA65" s="555">
        <v>954</v>
      </c>
      <c r="DB65" s="555">
        <v>1478</v>
      </c>
      <c r="DC65" s="556">
        <v>0.54926624737899998</v>
      </c>
      <c r="DD65" s="556">
        <v>0.53002070393300005</v>
      </c>
      <c r="DE65" s="555">
        <v>512</v>
      </c>
      <c r="DF65" s="553"/>
      <c r="DG65" s="554"/>
      <c r="DI65" s="981" t="s">
        <v>83</v>
      </c>
      <c r="DJ65" s="982"/>
      <c r="DK65" s="982"/>
      <c r="DL65" s="982"/>
      <c r="DM65" s="982"/>
      <c r="DN65" s="982"/>
      <c r="DO65" s="983"/>
      <c r="DP65" s="547">
        <v>189912</v>
      </c>
      <c r="DQ65" s="547">
        <v>204605</v>
      </c>
      <c r="DR65" s="547">
        <v>205175</v>
      </c>
      <c r="DS65" s="548">
        <v>2.7858556730000002E-3</v>
      </c>
      <c r="DT65" s="548">
        <v>8.0368802392000005E-2</v>
      </c>
      <c r="DU65" s="547">
        <v>15263</v>
      </c>
      <c r="DV65" s="549"/>
      <c r="DW65" s="550"/>
      <c r="DY65" s="990" t="s">
        <v>88</v>
      </c>
      <c r="DZ65" s="969"/>
      <c r="EA65" s="969"/>
      <c r="EB65" s="969"/>
      <c r="EC65" s="969"/>
      <c r="ED65" s="969"/>
      <c r="EE65" s="970"/>
      <c r="EF65" s="555">
        <v>243</v>
      </c>
      <c r="EG65" s="555">
        <v>259</v>
      </c>
      <c r="EH65" s="555">
        <v>915</v>
      </c>
      <c r="EI65" s="556">
        <v>2.5328185328180002</v>
      </c>
      <c r="EJ65" s="556">
        <v>2.7654320987649998</v>
      </c>
      <c r="EK65" s="555">
        <v>672</v>
      </c>
      <c r="EL65" s="553"/>
      <c r="EM65" s="554"/>
      <c r="EO65" s="990" t="s">
        <v>85</v>
      </c>
      <c r="EP65" s="969"/>
      <c r="EQ65" s="969"/>
      <c r="ER65" s="969"/>
      <c r="ES65" s="969"/>
      <c r="ET65" s="969"/>
      <c r="EU65" s="970"/>
      <c r="EV65" s="555">
        <v>12303</v>
      </c>
      <c r="EW65" s="555">
        <v>12776</v>
      </c>
      <c r="EX65" s="555">
        <v>17952</v>
      </c>
      <c r="EY65" s="556">
        <v>0.40513462742599998</v>
      </c>
      <c r="EZ65" s="556">
        <v>0.45915630334000002</v>
      </c>
      <c r="FA65" s="555">
        <v>5649</v>
      </c>
      <c r="FB65" s="553"/>
      <c r="FC65" s="554"/>
      <c r="FE65" s="990" t="s">
        <v>86</v>
      </c>
      <c r="FF65" s="969"/>
      <c r="FG65" s="969"/>
      <c r="FH65" s="969"/>
      <c r="FI65" s="969"/>
      <c r="FJ65" s="969"/>
      <c r="FK65" s="970"/>
      <c r="FL65" s="555">
        <v>28095</v>
      </c>
      <c r="FM65" s="555">
        <v>27954</v>
      </c>
      <c r="FN65" s="555">
        <v>28612</v>
      </c>
      <c r="FO65" s="556">
        <v>2.3538670673000001E-2</v>
      </c>
      <c r="FP65" s="556">
        <v>1.8401850862999999E-2</v>
      </c>
      <c r="FQ65" s="555">
        <v>517</v>
      </c>
      <c r="FR65" s="553"/>
      <c r="FS65" s="554"/>
      <c r="GM65" s="592" t="s">
        <v>149</v>
      </c>
      <c r="GN65" s="442">
        <v>43496</v>
      </c>
      <c r="GO65" s="442">
        <v>43524</v>
      </c>
      <c r="GP65" s="442">
        <v>43555</v>
      </c>
      <c r="GQ65" s="442">
        <v>43585</v>
      </c>
      <c r="GR65" s="442">
        <v>43616</v>
      </c>
      <c r="GS65" s="442">
        <v>43646</v>
      </c>
      <c r="GT65" s="442">
        <v>43677</v>
      </c>
      <c r="GU65" s="442">
        <v>43708</v>
      </c>
      <c r="GV65" s="442">
        <v>43738</v>
      </c>
      <c r="GW65" s="442">
        <v>43769</v>
      </c>
      <c r="GX65" s="442">
        <v>43799</v>
      </c>
      <c r="GY65" s="442">
        <v>43830</v>
      </c>
      <c r="GZ65" s="442">
        <v>43861</v>
      </c>
      <c r="HA65" s="442">
        <v>43890</v>
      </c>
      <c r="HB65" s="442">
        <v>43921</v>
      </c>
      <c r="HC65" s="442">
        <v>43951</v>
      </c>
      <c r="HD65" s="442">
        <v>43982</v>
      </c>
      <c r="HE65" s="442">
        <v>44012</v>
      </c>
      <c r="HF65" s="442">
        <v>44043</v>
      </c>
      <c r="HG65" s="442">
        <v>44074</v>
      </c>
      <c r="HH65" s="442">
        <v>44104</v>
      </c>
      <c r="HI65" s="442">
        <v>44135</v>
      </c>
      <c r="HJ65" s="442">
        <v>44165</v>
      </c>
      <c r="HK65" s="442">
        <v>44196</v>
      </c>
      <c r="HL65" s="442">
        <v>44227</v>
      </c>
      <c r="HM65" s="442">
        <v>44255</v>
      </c>
      <c r="HN65" s="442">
        <v>44286</v>
      </c>
      <c r="HO65" s="442">
        <v>44316</v>
      </c>
      <c r="HP65" s="442">
        <v>44347</v>
      </c>
      <c r="HQ65" s="442">
        <v>44377</v>
      </c>
      <c r="HR65" s="442">
        <v>44408</v>
      </c>
      <c r="HS65" s="442">
        <v>44439</v>
      </c>
      <c r="HT65" s="442">
        <v>44469</v>
      </c>
      <c r="HU65" s="542">
        <v>44500</v>
      </c>
      <c r="HV65" s="442">
        <v>44530</v>
      </c>
      <c r="HW65" s="442">
        <v>44561</v>
      </c>
      <c r="HX65" s="442">
        <v>44592</v>
      </c>
      <c r="HY65" s="442">
        <v>44620</v>
      </c>
      <c r="HZ65" s="442">
        <v>44651</v>
      </c>
      <c r="IA65" s="442">
        <v>44681</v>
      </c>
      <c r="IB65" s="67">
        <v>44926</v>
      </c>
      <c r="IC65" s="830">
        <v>44957</v>
      </c>
      <c r="IW65" s="592" t="s">
        <v>149</v>
      </c>
      <c r="IX65" s="442">
        <v>43496</v>
      </c>
      <c r="IY65" s="442">
        <v>43524</v>
      </c>
      <c r="IZ65" s="442">
        <v>43555</v>
      </c>
      <c r="JA65" s="442">
        <v>43585</v>
      </c>
      <c r="JB65" s="442">
        <v>43616</v>
      </c>
      <c r="JC65" s="442">
        <v>43646</v>
      </c>
      <c r="JD65" s="442">
        <v>43677</v>
      </c>
      <c r="JE65" s="442">
        <v>43708</v>
      </c>
      <c r="JF65" s="442">
        <v>43738</v>
      </c>
      <c r="JG65" s="442">
        <v>43769</v>
      </c>
      <c r="JH65" s="442">
        <v>43799</v>
      </c>
      <c r="JI65" s="442">
        <v>43830</v>
      </c>
      <c r="JJ65" s="442">
        <v>43861</v>
      </c>
      <c r="JK65" s="442">
        <v>43890</v>
      </c>
      <c r="JL65" s="442">
        <v>43921</v>
      </c>
      <c r="JM65" s="442">
        <v>43951</v>
      </c>
      <c r="JN65" s="442">
        <v>43982</v>
      </c>
      <c r="JO65" s="442">
        <v>44012</v>
      </c>
      <c r="JP65" s="442">
        <v>44043</v>
      </c>
      <c r="JQ65" s="442">
        <v>44074</v>
      </c>
      <c r="JR65" s="442">
        <v>44104</v>
      </c>
      <c r="JS65" s="442">
        <v>44135</v>
      </c>
      <c r="JT65" s="442">
        <v>44165</v>
      </c>
      <c r="JU65" s="442">
        <v>44196</v>
      </c>
      <c r="JV65" s="442">
        <v>44227</v>
      </c>
      <c r="JW65" s="442">
        <v>44255</v>
      </c>
      <c r="JX65" s="442">
        <v>44286</v>
      </c>
      <c r="JY65" s="442">
        <v>44316</v>
      </c>
      <c r="JZ65" s="442">
        <v>44347</v>
      </c>
      <c r="KA65" s="442">
        <v>44377</v>
      </c>
      <c r="KB65" s="442">
        <v>44408</v>
      </c>
      <c r="KC65" s="442">
        <v>44439</v>
      </c>
      <c r="KD65" s="442">
        <v>44469</v>
      </c>
      <c r="KE65" s="442">
        <v>44500</v>
      </c>
      <c r="KF65" s="442">
        <v>44530</v>
      </c>
      <c r="KG65" s="442">
        <v>44561</v>
      </c>
      <c r="KH65" s="442">
        <v>44592</v>
      </c>
      <c r="KI65" s="442">
        <v>44620</v>
      </c>
      <c r="KJ65" s="442">
        <v>44651</v>
      </c>
      <c r="KK65" s="442">
        <v>44681</v>
      </c>
      <c r="KL65" s="442">
        <v>44712</v>
      </c>
      <c r="KM65" s="442">
        <v>44742</v>
      </c>
      <c r="KN65" s="830">
        <v>44896</v>
      </c>
      <c r="KO65" s="830">
        <v>44927</v>
      </c>
    </row>
    <row r="66" spans="1:301" ht="15" thickBot="1">
      <c r="A66" s="990" t="s">
        <v>86</v>
      </c>
      <c r="B66" s="969"/>
      <c r="C66" s="969"/>
      <c r="D66" s="969"/>
      <c r="E66" s="969"/>
      <c r="F66" s="969"/>
      <c r="G66" s="970"/>
      <c r="H66" s="555">
        <v>27039</v>
      </c>
      <c r="I66" s="555">
        <v>26890</v>
      </c>
      <c r="J66" s="555">
        <v>25416</v>
      </c>
      <c r="K66" s="556">
        <v>-5.4815916696999999E-2</v>
      </c>
      <c r="L66" s="556">
        <v>-6.0024409186000001E-2</v>
      </c>
      <c r="M66" s="555">
        <v>-1623</v>
      </c>
      <c r="N66" s="553"/>
      <c r="O66" s="554"/>
      <c r="Q66" s="990" t="s">
        <v>88</v>
      </c>
      <c r="R66" s="969"/>
      <c r="S66" s="969"/>
      <c r="T66" s="969"/>
      <c r="U66" s="969"/>
      <c r="V66" s="969"/>
      <c r="W66" s="970"/>
      <c r="X66" s="555">
        <v>827</v>
      </c>
      <c r="Y66" s="555">
        <v>2140</v>
      </c>
      <c r="Z66" s="555">
        <v>2134</v>
      </c>
      <c r="AA66" s="556">
        <v>-2.8037383170000001E-3</v>
      </c>
      <c r="AB66" s="556">
        <v>1.580411124546</v>
      </c>
      <c r="AC66" s="555">
        <v>1307</v>
      </c>
      <c r="AD66" s="553"/>
      <c r="AE66" s="554"/>
      <c r="AG66" s="990" t="s">
        <v>86</v>
      </c>
      <c r="AH66" s="969"/>
      <c r="AI66" s="969"/>
      <c r="AJ66" s="969"/>
      <c r="AK66" s="969"/>
      <c r="AL66" s="969"/>
      <c r="AM66" s="970"/>
      <c r="AN66" s="555">
        <v>228553</v>
      </c>
      <c r="AO66" s="555">
        <v>244372</v>
      </c>
      <c r="AP66" s="555">
        <v>239278</v>
      </c>
      <c r="AQ66" s="556">
        <v>-2.0845268688000001E-2</v>
      </c>
      <c r="AR66" s="556">
        <v>4.6925658380999997E-2</v>
      </c>
      <c r="AS66" s="555">
        <v>10725</v>
      </c>
      <c r="AT66" s="553"/>
      <c r="AU66" s="554"/>
      <c r="AW66" s="990" t="s">
        <v>87</v>
      </c>
      <c r="AX66" s="969"/>
      <c r="AY66" s="969"/>
      <c r="AZ66" s="969"/>
      <c r="BA66" s="969"/>
      <c r="BB66" s="969"/>
      <c r="BC66" s="970"/>
      <c r="BD66" s="555">
        <v>212</v>
      </c>
      <c r="BE66" s="555">
        <v>464</v>
      </c>
      <c r="BF66" s="555">
        <v>453</v>
      </c>
      <c r="BG66" s="556">
        <v>-2.3706896551000001E-2</v>
      </c>
      <c r="BH66" s="556">
        <v>1.13679245283</v>
      </c>
      <c r="BI66" s="555">
        <v>241</v>
      </c>
      <c r="BJ66" s="553"/>
      <c r="BK66" s="554"/>
      <c r="BM66" s="990" t="s">
        <v>133</v>
      </c>
      <c r="BN66" s="969"/>
      <c r="BO66" s="969"/>
      <c r="BP66" s="969"/>
      <c r="BQ66" s="969"/>
      <c r="BR66" s="969"/>
      <c r="BS66" s="970"/>
      <c r="BT66" s="555">
        <v>4</v>
      </c>
      <c r="BU66" s="555">
        <v>0</v>
      </c>
      <c r="BV66" s="555">
        <v>0</v>
      </c>
      <c r="BW66" s="553"/>
      <c r="BX66" s="556">
        <v>-1</v>
      </c>
      <c r="BY66" s="555">
        <v>-4</v>
      </c>
      <c r="BZ66" s="553"/>
      <c r="CA66" s="554"/>
      <c r="CC66" s="990" t="s">
        <v>86</v>
      </c>
      <c r="CD66" s="969"/>
      <c r="CE66" s="969"/>
      <c r="CF66" s="969"/>
      <c r="CG66" s="969"/>
      <c r="CH66" s="969"/>
      <c r="CI66" s="970"/>
      <c r="CJ66" s="555">
        <v>139355</v>
      </c>
      <c r="CK66" s="555">
        <v>141488</v>
      </c>
      <c r="CL66" s="555">
        <v>138383</v>
      </c>
      <c r="CM66" s="556">
        <v>-2.1945323985000001E-2</v>
      </c>
      <c r="CN66" s="556">
        <v>-6.974991927E-3</v>
      </c>
      <c r="CO66" s="555">
        <v>-972</v>
      </c>
      <c r="CP66" s="553"/>
      <c r="CQ66" s="554"/>
      <c r="CS66" s="985" t="s">
        <v>89</v>
      </c>
      <c r="CT66" s="986"/>
      <c r="CU66" s="986"/>
      <c r="CV66" s="986"/>
      <c r="CW66" s="986"/>
      <c r="CX66" s="986"/>
      <c r="CY66" s="987"/>
      <c r="CZ66" s="547">
        <v>29323</v>
      </c>
      <c r="DA66" s="547">
        <v>34194</v>
      </c>
      <c r="DB66" s="547">
        <v>30730</v>
      </c>
      <c r="DC66" s="548">
        <v>-0.10130432239499999</v>
      </c>
      <c r="DD66" s="548">
        <v>4.7982812126000002E-2</v>
      </c>
      <c r="DE66" s="547">
        <v>1407</v>
      </c>
      <c r="DF66" s="549"/>
      <c r="DG66" s="550"/>
      <c r="DI66" s="984" t="s">
        <v>84</v>
      </c>
      <c r="DJ66" s="969"/>
      <c r="DK66" s="969"/>
      <c r="DL66" s="969"/>
      <c r="DM66" s="969"/>
      <c r="DN66" s="969"/>
      <c r="DO66" s="970"/>
      <c r="DP66" s="551">
        <v>18480</v>
      </c>
      <c r="DQ66" s="551">
        <v>17873</v>
      </c>
      <c r="DR66" s="551">
        <v>17901</v>
      </c>
      <c r="DS66" s="552">
        <v>1.566608851E-3</v>
      </c>
      <c r="DT66" s="552">
        <v>-3.1331168830999997E-2</v>
      </c>
      <c r="DU66" s="551">
        <v>-579</v>
      </c>
      <c r="DV66" s="553"/>
      <c r="DW66" s="554"/>
      <c r="DY66" s="985" t="s">
        <v>89</v>
      </c>
      <c r="DZ66" s="986"/>
      <c r="EA66" s="986"/>
      <c r="EB66" s="986"/>
      <c r="EC66" s="986"/>
      <c r="ED66" s="986"/>
      <c r="EE66" s="987"/>
      <c r="EF66" s="547">
        <v>6935</v>
      </c>
      <c r="EG66" s="547">
        <v>7541</v>
      </c>
      <c r="EH66" s="547">
        <v>7563</v>
      </c>
      <c r="EI66" s="548">
        <v>2.9173849619999999E-3</v>
      </c>
      <c r="EJ66" s="548">
        <v>9.0555155009999999E-2</v>
      </c>
      <c r="EK66" s="547">
        <v>628</v>
      </c>
      <c r="EL66" s="549"/>
      <c r="EM66" s="550"/>
      <c r="EO66" s="990" t="s">
        <v>86</v>
      </c>
      <c r="EP66" s="969"/>
      <c r="EQ66" s="969"/>
      <c r="ER66" s="969"/>
      <c r="ES66" s="969"/>
      <c r="ET66" s="969"/>
      <c r="EU66" s="970"/>
      <c r="EV66" s="555">
        <v>119469</v>
      </c>
      <c r="EW66" s="555">
        <v>110879</v>
      </c>
      <c r="EX66" s="555">
        <v>103403</v>
      </c>
      <c r="EY66" s="556">
        <v>-6.7424850512000006E-2</v>
      </c>
      <c r="EZ66" s="556">
        <v>-0.13447840025400001</v>
      </c>
      <c r="FA66" s="555">
        <v>-16066</v>
      </c>
      <c r="FB66" s="553"/>
      <c r="FC66" s="554"/>
      <c r="FE66" s="990" t="s">
        <v>87</v>
      </c>
      <c r="FF66" s="969"/>
      <c r="FG66" s="969"/>
      <c r="FH66" s="969"/>
      <c r="FI66" s="969"/>
      <c r="FJ66" s="969"/>
      <c r="FK66" s="970"/>
      <c r="FL66" s="555">
        <v>211</v>
      </c>
      <c r="FM66" s="555">
        <v>103</v>
      </c>
      <c r="FN66" s="555">
        <v>45</v>
      </c>
      <c r="FO66" s="556">
        <v>-0.56310679611600001</v>
      </c>
      <c r="FP66" s="556">
        <v>-0.78672985781899996</v>
      </c>
      <c r="FQ66" s="555">
        <v>-166</v>
      </c>
      <c r="FR66" s="553"/>
      <c r="FS66" s="554"/>
      <c r="GL66" s="353">
        <v>1</v>
      </c>
      <c r="GM66" s="353" t="s">
        <v>131</v>
      </c>
      <c r="GN66" s="583">
        <f t="shared" ref="GN66:GS66" si="146">+GN20/GN5</f>
        <v>0.26733333333333331</v>
      </c>
      <c r="GO66" s="583">
        <f t="shared" si="146"/>
        <v>0.27594936708860762</v>
      </c>
      <c r="GP66" s="583">
        <f t="shared" si="146"/>
        <v>0.29968203497615264</v>
      </c>
      <c r="GQ66" s="583">
        <f t="shared" si="146"/>
        <v>0.28062234794908064</v>
      </c>
      <c r="GR66" s="583">
        <f t="shared" si="146"/>
        <v>0.34582059123343528</v>
      </c>
      <c r="GS66" s="583">
        <f t="shared" si="146"/>
        <v>0.37701679288771817</v>
      </c>
      <c r="GT66" s="583">
        <f t="shared" ref="GT66:HL66" si="147">+GT20/GT5</f>
        <v>0.33598585322723251</v>
      </c>
      <c r="GU66" s="583">
        <f t="shared" si="147"/>
        <v>0.37153996101364523</v>
      </c>
      <c r="GV66" s="583">
        <f t="shared" si="147"/>
        <v>0.57668585526315785</v>
      </c>
      <c r="GW66" s="583">
        <f t="shared" si="147"/>
        <v>0.41882770870337477</v>
      </c>
      <c r="GX66" s="583">
        <f t="shared" si="147"/>
        <v>0.37040462427745663</v>
      </c>
      <c r="GY66" s="583">
        <f t="shared" si="147"/>
        <v>0.31886024423337855</v>
      </c>
      <c r="GZ66" s="583">
        <f t="shared" si="147"/>
        <v>0.23749999999999999</v>
      </c>
      <c r="HA66" s="583">
        <f t="shared" si="147"/>
        <v>0.26289180990899896</v>
      </c>
      <c r="HB66" s="583">
        <f t="shared" si="147"/>
        <v>0.2761098280728766</v>
      </c>
      <c r="HC66" s="583">
        <f t="shared" si="147"/>
        <v>0.28582995951417006</v>
      </c>
      <c r="HD66" s="583">
        <f t="shared" si="147"/>
        <v>0.27179276315789475</v>
      </c>
      <c r="HE66" s="583">
        <f t="shared" si="147"/>
        <v>0.31349497918197405</v>
      </c>
      <c r="HF66" s="583">
        <f t="shared" si="147"/>
        <v>0.26836906769453145</v>
      </c>
      <c r="HG66" s="583">
        <f t="shared" si="147"/>
        <v>0.21657194137002692</v>
      </c>
      <c r="HH66" s="583">
        <f t="shared" si="147"/>
        <v>0.18974358974358974</v>
      </c>
      <c r="HI66" s="583">
        <f t="shared" si="147"/>
        <v>0.18055982774530913</v>
      </c>
      <c r="HJ66" s="583">
        <f t="shared" si="147"/>
        <v>0.21681247622670216</v>
      </c>
      <c r="HK66" s="583">
        <f t="shared" si="147"/>
        <v>0.17992503123698458</v>
      </c>
      <c r="HL66" s="583">
        <f t="shared" si="147"/>
        <v>0.22276516240298935</v>
      </c>
      <c r="HM66" s="583">
        <f t="shared" ref="HM66:HN66" si="148">+HM20/HM5</f>
        <v>0.24116260801256872</v>
      </c>
      <c r="HN66" s="583">
        <f t="shared" si="148"/>
        <v>0.22325311684546245</v>
      </c>
      <c r="HO66" s="583">
        <f t="shared" ref="HO66:HQ66" si="149">+HO20/HO5</f>
        <v>0.38947706127686876</v>
      </c>
      <c r="HP66" s="583">
        <f t="shared" si="149"/>
        <v>0.26206037970743851</v>
      </c>
      <c r="HQ66" s="583">
        <f t="shared" si="149"/>
        <v>0.24050326639245101</v>
      </c>
      <c r="HR66" s="583">
        <f t="shared" ref="HR66:HT66" si="150">+HR20/HR5</f>
        <v>0.27308192457737324</v>
      </c>
      <c r="HS66" s="583">
        <f t="shared" si="150"/>
        <v>0.2243822075782537</v>
      </c>
      <c r="HT66" s="583">
        <f t="shared" si="150"/>
        <v>0.25987986089155862</v>
      </c>
      <c r="HU66" s="583">
        <f t="shared" ref="HU66:HY66" si="151">+HU20/HU5</f>
        <v>0.26189397371998185</v>
      </c>
      <c r="HV66" s="583">
        <f t="shared" si="151"/>
        <v>0.24206349206349206</v>
      </c>
      <c r="HW66" s="583">
        <f t="shared" si="151"/>
        <v>0.24296577946768061</v>
      </c>
      <c r="HX66" s="583">
        <f t="shared" si="151"/>
        <v>0.19078311311633903</v>
      </c>
      <c r="HY66" s="583">
        <f t="shared" si="151"/>
        <v>0.31854379977246872</v>
      </c>
      <c r="HZ66" s="583">
        <f>+HZ20/HZ5</f>
        <v>0.3138984509466437</v>
      </c>
      <c r="IA66" s="583">
        <f>+IA20/IA5</f>
        <v>0.22567760342368046</v>
      </c>
      <c r="IB66" s="831">
        <f>+IB20/II5</f>
        <v>0.37266643184219794</v>
      </c>
      <c r="IC66" s="585">
        <f>+IC20/IJ5</f>
        <v>0.23653352876511544</v>
      </c>
      <c r="IV66" s="353">
        <v>1</v>
      </c>
      <c r="IW66" s="353" t="s">
        <v>131</v>
      </c>
      <c r="IX66" s="583">
        <f t="shared" ref="IX66:JE66" si="152">+IX20/IX5</f>
        <v>0.24333333333333335</v>
      </c>
      <c r="IY66" s="583">
        <f t="shared" si="152"/>
        <v>0.2518987341772152</v>
      </c>
      <c r="IZ66" s="583">
        <f t="shared" si="152"/>
        <v>0.27662957074721778</v>
      </c>
      <c r="JA66" s="583">
        <f t="shared" si="152"/>
        <v>0.2050919377652051</v>
      </c>
      <c r="JB66" s="583">
        <f t="shared" si="152"/>
        <v>0.19164118246687054</v>
      </c>
      <c r="JC66" s="583">
        <f t="shared" si="152"/>
        <v>0.15475798485347383</v>
      </c>
      <c r="JD66" s="583">
        <f t="shared" si="152"/>
        <v>0.2458001768346596</v>
      </c>
      <c r="JE66" s="583">
        <f t="shared" si="152"/>
        <v>0.28499025341130602</v>
      </c>
      <c r="JF66" s="583">
        <f t="shared" ref="JF66:JY66" si="153">+JF20/JF5</f>
        <v>0.50123355263157898</v>
      </c>
      <c r="JG66" s="583">
        <f t="shared" si="153"/>
        <v>0.29040852575488457</v>
      </c>
      <c r="JH66" s="583">
        <f t="shared" si="153"/>
        <v>0.30080924855491331</v>
      </c>
      <c r="JI66" s="583">
        <f t="shared" si="153"/>
        <v>0.23134328358208955</v>
      </c>
      <c r="JJ66" s="583">
        <f t="shared" si="153"/>
        <v>0.27174999999999999</v>
      </c>
      <c r="JK66" s="583">
        <f t="shared" si="153"/>
        <v>0.30207280080889787</v>
      </c>
      <c r="JL66" s="583">
        <f t="shared" si="153"/>
        <v>0.268924813959456</v>
      </c>
      <c r="JM66" s="583">
        <f t="shared" si="153"/>
        <v>0.23805668016194331</v>
      </c>
      <c r="JN66" s="583">
        <f t="shared" si="153"/>
        <v>0.26274671052631576</v>
      </c>
      <c r="JO66" s="583">
        <f t="shared" si="153"/>
        <v>0.32084251775655154</v>
      </c>
      <c r="JP66" s="583">
        <f t="shared" si="153"/>
        <v>0.26138279932546377</v>
      </c>
      <c r="JQ66" s="583">
        <f t="shared" si="153"/>
        <v>0.20281184564762189</v>
      </c>
      <c r="JR66" s="583">
        <f t="shared" si="153"/>
        <v>0.19515669515669515</v>
      </c>
      <c r="JS66" s="583">
        <f t="shared" si="153"/>
        <v>0.18425099969240233</v>
      </c>
      <c r="JT66" s="583">
        <f t="shared" si="153"/>
        <v>0.20616203879802206</v>
      </c>
      <c r="JU66" s="583">
        <f t="shared" si="153"/>
        <v>0.17700957934194086</v>
      </c>
      <c r="JV66" s="583">
        <f t="shared" si="153"/>
        <v>0.13423397528025294</v>
      </c>
      <c r="JW66" s="583">
        <f t="shared" si="153"/>
        <v>0.29065200314218381</v>
      </c>
      <c r="JX66" s="583">
        <f t="shared" si="153"/>
        <v>0.22296317773267613</v>
      </c>
      <c r="JY66" s="583">
        <f t="shared" si="153"/>
        <v>0.24318254732114211</v>
      </c>
      <c r="JZ66" s="583">
        <f t="shared" ref="JZ66:KC66" si="154">+JZ20/JZ5</f>
        <v>0.27980080921257394</v>
      </c>
      <c r="KA66" s="583">
        <f t="shared" si="154"/>
        <v>0.17323977740140334</v>
      </c>
      <c r="KB66" s="583">
        <f t="shared" si="154"/>
        <v>0.21879063719115735</v>
      </c>
      <c r="KC66" s="583">
        <f t="shared" si="154"/>
        <v>0.23953871499176277</v>
      </c>
      <c r="KD66" s="583">
        <f t="shared" ref="KD66:KE66" si="155">+KD20/KD5</f>
        <v>0.19380335124881443</v>
      </c>
      <c r="KE66" s="583">
        <f t="shared" si="155"/>
        <v>0.41504304485727234</v>
      </c>
      <c r="KF66" s="583">
        <f t="shared" ref="KF66:KL66" si="156">+KF20/KF5</f>
        <v>0.26678876678876678</v>
      </c>
      <c r="KG66" s="583">
        <f t="shared" si="156"/>
        <v>0.21482889733840305</v>
      </c>
      <c r="KH66" s="583">
        <f t="shared" si="156"/>
        <v>0.17853689977441187</v>
      </c>
      <c r="KI66" s="583">
        <f t="shared" si="156"/>
        <v>0.23833902161547213</v>
      </c>
      <c r="KJ66" s="583">
        <f t="shared" si="156"/>
        <v>0.29259896729776247</v>
      </c>
      <c r="KK66" s="583">
        <f t="shared" si="156"/>
        <v>0.21112696148359486</v>
      </c>
      <c r="KL66" s="583">
        <f t="shared" si="156"/>
        <v>0.26588415412094923</v>
      </c>
      <c r="KM66" s="583">
        <f t="shared" ref="KM66" si="157">+KM20/KM5</f>
        <v>0.28187579214195185</v>
      </c>
      <c r="KN66" s="585">
        <f>+KN20/KS5</f>
        <v>0.44839732300105672</v>
      </c>
      <c r="KO66" s="585">
        <f>+KO20/KT5</f>
        <v>0.25742030047636499</v>
      </c>
    </row>
    <row r="67" spans="1:301" ht="15" thickBot="1">
      <c r="A67" s="990" t="s">
        <v>87</v>
      </c>
      <c r="B67" s="969"/>
      <c r="C67" s="969"/>
      <c r="D67" s="969"/>
      <c r="E67" s="969"/>
      <c r="F67" s="969"/>
      <c r="G67" s="970"/>
      <c r="H67" s="555">
        <v>65</v>
      </c>
      <c r="I67" s="555">
        <v>99</v>
      </c>
      <c r="J67" s="555">
        <v>1</v>
      </c>
      <c r="K67" s="556">
        <v>-0.98989898989799996</v>
      </c>
      <c r="L67" s="556">
        <v>-0.98461538461499998</v>
      </c>
      <c r="M67" s="555">
        <v>-64</v>
      </c>
      <c r="N67" s="553"/>
      <c r="O67" s="554"/>
      <c r="Q67" s="985" t="s">
        <v>89</v>
      </c>
      <c r="R67" s="986"/>
      <c r="S67" s="986"/>
      <c r="T67" s="986"/>
      <c r="U67" s="986"/>
      <c r="V67" s="986"/>
      <c r="W67" s="987"/>
      <c r="X67" s="547">
        <v>38975</v>
      </c>
      <c r="Y67" s="547">
        <v>36857</v>
      </c>
      <c r="Z67" s="547">
        <v>30440</v>
      </c>
      <c r="AA67" s="548">
        <v>-0.174105325989</v>
      </c>
      <c r="AB67" s="548">
        <v>-0.218986529826</v>
      </c>
      <c r="AC67" s="547">
        <v>-8535</v>
      </c>
      <c r="AD67" s="549"/>
      <c r="AE67" s="550"/>
      <c r="AG67" s="990" t="s">
        <v>87</v>
      </c>
      <c r="AH67" s="969"/>
      <c r="AI67" s="969"/>
      <c r="AJ67" s="969"/>
      <c r="AK67" s="969"/>
      <c r="AL67" s="969"/>
      <c r="AM67" s="970"/>
      <c r="AN67" s="555">
        <v>1632</v>
      </c>
      <c r="AO67" s="555">
        <v>1469</v>
      </c>
      <c r="AP67" s="555">
        <v>1357</v>
      </c>
      <c r="AQ67" s="556">
        <v>-7.6242341729000004E-2</v>
      </c>
      <c r="AR67" s="556">
        <v>-0.16850490196000001</v>
      </c>
      <c r="AS67" s="555">
        <v>-275</v>
      </c>
      <c r="AT67" s="553"/>
      <c r="AU67" s="554"/>
      <c r="AW67" s="990" t="s">
        <v>88</v>
      </c>
      <c r="AX67" s="969"/>
      <c r="AY67" s="969"/>
      <c r="AZ67" s="969"/>
      <c r="BA67" s="969"/>
      <c r="BB67" s="969"/>
      <c r="BC67" s="970"/>
      <c r="BD67" s="555">
        <v>2123</v>
      </c>
      <c r="BE67" s="555">
        <v>4965</v>
      </c>
      <c r="BF67" s="555">
        <v>6116</v>
      </c>
      <c r="BG67" s="556">
        <v>0.23182275931499999</v>
      </c>
      <c r="BH67" s="556">
        <v>1.8808290155439999</v>
      </c>
      <c r="BI67" s="555">
        <v>3993</v>
      </c>
      <c r="BJ67" s="553"/>
      <c r="BK67" s="554"/>
      <c r="BM67" s="990" t="s">
        <v>87</v>
      </c>
      <c r="BN67" s="969"/>
      <c r="BO67" s="969"/>
      <c r="BP67" s="969"/>
      <c r="BQ67" s="969"/>
      <c r="BR67" s="969"/>
      <c r="BS67" s="970"/>
      <c r="BT67" s="555">
        <v>122</v>
      </c>
      <c r="BU67" s="555">
        <v>136</v>
      </c>
      <c r="BV67" s="555">
        <v>15</v>
      </c>
      <c r="BW67" s="556">
        <v>-0.88970588235199999</v>
      </c>
      <c r="BX67" s="556">
        <v>-0.87704918032699997</v>
      </c>
      <c r="BY67" s="555">
        <v>-107</v>
      </c>
      <c r="BZ67" s="553"/>
      <c r="CA67" s="554"/>
      <c r="CC67" s="990" t="s">
        <v>87</v>
      </c>
      <c r="CD67" s="969"/>
      <c r="CE67" s="969"/>
      <c r="CF67" s="969"/>
      <c r="CG67" s="969"/>
      <c r="CH67" s="969"/>
      <c r="CI67" s="970"/>
      <c r="CJ67" s="555">
        <v>0</v>
      </c>
      <c r="CK67" s="555">
        <v>6</v>
      </c>
      <c r="CL67" s="555">
        <v>6</v>
      </c>
      <c r="CM67" s="556">
        <v>0</v>
      </c>
      <c r="CN67" s="553"/>
      <c r="CO67" s="555">
        <v>6</v>
      </c>
      <c r="CP67" s="553"/>
      <c r="CQ67" s="554"/>
      <c r="CS67" s="984" t="s">
        <v>90</v>
      </c>
      <c r="CT67" s="969"/>
      <c r="CU67" s="969"/>
      <c r="CV67" s="969"/>
      <c r="CW67" s="969"/>
      <c r="CX67" s="969"/>
      <c r="CY67" s="970"/>
      <c r="CZ67" s="551">
        <v>18177</v>
      </c>
      <c r="DA67" s="551">
        <v>18878</v>
      </c>
      <c r="DB67" s="551">
        <v>19208</v>
      </c>
      <c r="DC67" s="552">
        <v>1.7480665324E-2</v>
      </c>
      <c r="DD67" s="552">
        <v>5.6720030807999998E-2</v>
      </c>
      <c r="DE67" s="551">
        <v>1031</v>
      </c>
      <c r="DF67" s="553"/>
      <c r="DG67" s="554"/>
      <c r="DI67" s="990" t="s">
        <v>85</v>
      </c>
      <c r="DJ67" s="969"/>
      <c r="DK67" s="969"/>
      <c r="DL67" s="969"/>
      <c r="DM67" s="969"/>
      <c r="DN67" s="969"/>
      <c r="DO67" s="970"/>
      <c r="DP67" s="555">
        <v>13254</v>
      </c>
      <c r="DQ67" s="555">
        <v>14132</v>
      </c>
      <c r="DR67" s="555">
        <v>14154</v>
      </c>
      <c r="DS67" s="556">
        <v>1.556750636E-3</v>
      </c>
      <c r="DT67" s="556">
        <v>6.7904028972E-2</v>
      </c>
      <c r="DU67" s="555">
        <v>900</v>
      </c>
      <c r="DV67" s="553"/>
      <c r="DW67" s="554"/>
      <c r="DY67" s="984" t="s">
        <v>90</v>
      </c>
      <c r="DZ67" s="969"/>
      <c r="EA67" s="969"/>
      <c r="EB67" s="969"/>
      <c r="EC67" s="969"/>
      <c r="ED67" s="969"/>
      <c r="EE67" s="970"/>
      <c r="EF67" s="551">
        <v>1040</v>
      </c>
      <c r="EG67" s="551">
        <v>1147</v>
      </c>
      <c r="EH67" s="551">
        <v>1139</v>
      </c>
      <c r="EI67" s="552">
        <v>-6.9747166519999997E-3</v>
      </c>
      <c r="EJ67" s="552">
        <v>9.5192307692000003E-2</v>
      </c>
      <c r="EK67" s="551">
        <v>99</v>
      </c>
      <c r="EL67" s="553"/>
      <c r="EM67" s="554"/>
      <c r="EO67" s="990" t="s">
        <v>87</v>
      </c>
      <c r="EP67" s="969"/>
      <c r="EQ67" s="969"/>
      <c r="ER67" s="969"/>
      <c r="ES67" s="969"/>
      <c r="ET67" s="969"/>
      <c r="EU67" s="970"/>
      <c r="EV67" s="555">
        <v>11702</v>
      </c>
      <c r="EW67" s="555">
        <v>6540</v>
      </c>
      <c r="EX67" s="555">
        <v>6329</v>
      </c>
      <c r="EY67" s="556">
        <v>-3.2262996941000002E-2</v>
      </c>
      <c r="EZ67" s="556">
        <v>-0.45915228166099997</v>
      </c>
      <c r="FA67" s="555">
        <v>-5373</v>
      </c>
      <c r="FB67" s="553"/>
      <c r="FC67" s="554"/>
      <c r="FE67" s="990" t="s">
        <v>88</v>
      </c>
      <c r="FF67" s="969"/>
      <c r="FG67" s="969"/>
      <c r="FH67" s="969"/>
      <c r="FI67" s="969"/>
      <c r="FJ67" s="969"/>
      <c r="FK67" s="970"/>
      <c r="FL67" s="555">
        <v>622</v>
      </c>
      <c r="FM67" s="555">
        <v>1562</v>
      </c>
      <c r="FN67" s="555">
        <v>1721</v>
      </c>
      <c r="FO67" s="556">
        <v>0.101792573623</v>
      </c>
      <c r="FP67" s="556">
        <v>1.7668810289379999</v>
      </c>
      <c r="FQ67" s="555">
        <v>1099</v>
      </c>
      <c r="FR67" s="553"/>
      <c r="FS67" s="554"/>
      <c r="GL67" s="353">
        <v>2</v>
      </c>
      <c r="GM67" s="353" t="s">
        <v>136</v>
      </c>
      <c r="GN67" s="583">
        <f t="shared" ref="GN67:GS67" si="158">+GN23/GN8</f>
        <v>0.18878773358888357</v>
      </c>
      <c r="GO67" s="583">
        <f t="shared" si="158"/>
        <v>0.19605568445475638</v>
      </c>
      <c r="GP67" s="583">
        <f t="shared" si="158"/>
        <v>0.21777072590241967</v>
      </c>
      <c r="GQ67" s="583">
        <f t="shared" si="158"/>
        <v>0.23878139151914368</v>
      </c>
      <c r="GR67" s="583">
        <f t="shared" si="158"/>
        <v>0.17987152034261242</v>
      </c>
      <c r="GS67" s="583">
        <f t="shared" si="158"/>
        <v>0.2080712788259958</v>
      </c>
      <c r="GT67" s="583">
        <f t="shared" ref="GT67:HL67" si="159">+GT23/GT8</f>
        <v>0.21601830663615559</v>
      </c>
      <c r="GU67" s="583">
        <f t="shared" si="159"/>
        <v>0.19387266634753469</v>
      </c>
      <c r="GV67" s="583">
        <f t="shared" si="159"/>
        <v>0.20147954743255003</v>
      </c>
      <c r="GW67" s="583">
        <f t="shared" si="159"/>
        <v>0.17767106842737096</v>
      </c>
      <c r="GX67" s="583">
        <f t="shared" si="159"/>
        <v>0.33361994840928633</v>
      </c>
      <c r="GY67" s="583">
        <f t="shared" si="159"/>
        <v>0.21551724137931033</v>
      </c>
      <c r="GZ67" s="583">
        <f t="shared" si="159"/>
        <v>0.18885448916408668</v>
      </c>
      <c r="HA67" s="583">
        <f t="shared" si="159"/>
        <v>0.24313267095265925</v>
      </c>
      <c r="HB67" s="583">
        <f t="shared" si="159"/>
        <v>0.23943661971830985</v>
      </c>
      <c r="HC67" s="583">
        <f t="shared" si="159"/>
        <v>0.19337016574585636</v>
      </c>
      <c r="HD67" s="583">
        <f t="shared" si="159"/>
        <v>0.20063357972544879</v>
      </c>
      <c r="HE67" s="583">
        <f t="shared" si="159"/>
        <v>0.19189511323003575</v>
      </c>
      <c r="HF67" s="583">
        <f t="shared" si="159"/>
        <v>0.17154811715481172</v>
      </c>
      <c r="HG67" s="583">
        <f t="shared" si="159"/>
        <v>0.19086651053864168</v>
      </c>
      <c r="HH67" s="583">
        <f t="shared" si="159"/>
        <v>0.20412168792934249</v>
      </c>
      <c r="HI67" s="583">
        <f t="shared" si="159"/>
        <v>0.20357142857142857</v>
      </c>
      <c r="HJ67" s="583">
        <f t="shared" si="159"/>
        <v>0.27580893682588598</v>
      </c>
      <c r="HK67" s="583">
        <f t="shared" si="159"/>
        <v>0.1673228346456693</v>
      </c>
      <c r="HL67" s="583">
        <f t="shared" si="159"/>
        <v>0.18630751964085299</v>
      </c>
      <c r="HM67" s="583">
        <f t="shared" ref="HM67:HN67" si="160">+HM23/HM8</f>
        <v>0.22238586156111928</v>
      </c>
      <c r="HN67" s="583">
        <f t="shared" si="160"/>
        <v>0.29638554216867469</v>
      </c>
      <c r="HO67" s="583">
        <f t="shared" ref="HO67:HQ67" si="161">+HO23/HO8</f>
        <v>0.15901060070671377</v>
      </c>
      <c r="HP67" s="583">
        <f t="shared" si="161"/>
        <v>0.21832358674463936</v>
      </c>
      <c r="HQ67" s="583">
        <f t="shared" si="161"/>
        <v>0.23316912972085385</v>
      </c>
      <c r="HR67" s="583">
        <f t="shared" ref="HR67:HT67" si="162">+HR23/HR8</f>
        <v>0.32705649157581762</v>
      </c>
      <c r="HS67" s="583">
        <f t="shared" si="162"/>
        <v>0.26195028680688337</v>
      </c>
      <c r="HT67" s="583">
        <f t="shared" si="162"/>
        <v>0.34936708860759491</v>
      </c>
      <c r="HU67" s="583">
        <f t="shared" ref="HU67:HX67" si="163">+HU23/HU8</f>
        <v>0.31812080536912751</v>
      </c>
      <c r="HV67" s="583">
        <f t="shared" si="163"/>
        <v>0.3354564755838641</v>
      </c>
      <c r="HW67" s="583">
        <f t="shared" si="163"/>
        <v>0.27950310559006208</v>
      </c>
      <c r="HX67" s="583">
        <f t="shared" si="163"/>
        <v>0.40732087227414332</v>
      </c>
      <c r="HY67" s="583">
        <f t="shared" ref="HY67:HZ67" si="164">+HY21/HY6</f>
        <v>0.25084745762711863</v>
      </c>
      <c r="HZ67" s="583">
        <f t="shared" si="164"/>
        <v>0.2282314764737696</v>
      </c>
      <c r="IA67" s="583">
        <f t="shared" ref="IA67" si="165">+IA21/IA6</f>
        <v>0.27220299884659749</v>
      </c>
      <c r="IB67" s="831">
        <f>+IB23/II8</f>
        <v>0.45783132530120479</v>
      </c>
      <c r="IC67" s="585">
        <f>+IC23/IJ8</f>
        <v>0.15897435897435896</v>
      </c>
      <c r="IV67" s="353">
        <v>2</v>
      </c>
      <c r="IW67" s="353" t="s">
        <v>136</v>
      </c>
      <c r="IX67" s="583">
        <f t="shared" ref="IX67:JE67" si="166">+IX23/IX8</f>
        <v>0.16578821274556779</v>
      </c>
      <c r="IY67" s="583">
        <f t="shared" si="166"/>
        <v>0.17092034029389017</v>
      </c>
      <c r="IZ67" s="583">
        <f t="shared" si="166"/>
        <v>0.1729472431574772</v>
      </c>
      <c r="JA67" s="583">
        <f t="shared" si="166"/>
        <v>0.1955537258130918</v>
      </c>
      <c r="JB67" s="583">
        <f t="shared" si="166"/>
        <v>4.411134903640257E-2</v>
      </c>
      <c r="JC67" s="583">
        <f t="shared" si="166"/>
        <v>0.17295597484276728</v>
      </c>
      <c r="JD67" s="583">
        <f t="shared" si="166"/>
        <v>5.6292906178489706E-2</v>
      </c>
      <c r="JE67" s="583">
        <f t="shared" si="166"/>
        <v>0.16706558161799903</v>
      </c>
      <c r="JF67" s="583">
        <f t="shared" ref="JF67:JY67" si="167">+JF23/JF8</f>
        <v>0.1649260226283725</v>
      </c>
      <c r="JG67" s="583">
        <f t="shared" si="167"/>
        <v>5.7623049219687875E-2</v>
      </c>
      <c r="JH67" s="583">
        <f t="shared" si="167"/>
        <v>0.24247635425623387</v>
      </c>
      <c r="JI67" s="583">
        <f t="shared" si="167"/>
        <v>6.3793103448275865E-2</v>
      </c>
      <c r="JJ67" s="583">
        <f t="shared" si="167"/>
        <v>0.19009287925696594</v>
      </c>
      <c r="JK67" s="583">
        <f t="shared" si="167"/>
        <v>0.24780829924021042</v>
      </c>
      <c r="JL67" s="583">
        <f t="shared" si="167"/>
        <v>0.23873239436619717</v>
      </c>
      <c r="JM67" s="583">
        <f t="shared" si="167"/>
        <v>0.20994475138121546</v>
      </c>
      <c r="JN67" s="583">
        <f t="shared" si="167"/>
        <v>0.17212249208025343</v>
      </c>
      <c r="JO67" s="583">
        <f t="shared" si="167"/>
        <v>0.16567342073897498</v>
      </c>
      <c r="JP67" s="583">
        <f t="shared" si="167"/>
        <v>0.1799163179916318</v>
      </c>
      <c r="JQ67" s="583">
        <f t="shared" si="167"/>
        <v>0.21311475409836064</v>
      </c>
      <c r="JR67" s="583">
        <f t="shared" si="167"/>
        <v>0.31795878312070658</v>
      </c>
      <c r="JS67" s="583">
        <f t="shared" si="167"/>
        <v>0.18928571428571428</v>
      </c>
      <c r="JT67" s="583">
        <f t="shared" si="167"/>
        <v>0.28659476117103233</v>
      </c>
      <c r="JU67" s="583">
        <f t="shared" si="167"/>
        <v>0.17519685039370078</v>
      </c>
      <c r="JV67" s="583">
        <f t="shared" si="167"/>
        <v>0.23905723905723905</v>
      </c>
      <c r="JW67" s="583">
        <f t="shared" si="167"/>
        <v>0.22533136966126657</v>
      </c>
      <c r="JX67" s="583">
        <f t="shared" si="167"/>
        <v>0.3216867469879518</v>
      </c>
      <c r="JY67" s="583">
        <f t="shared" si="167"/>
        <v>0.45111896348645464</v>
      </c>
      <c r="JZ67" s="583">
        <f t="shared" ref="JZ67:KC67" si="168">+JZ23/JZ8</f>
        <v>0.17738791423001948</v>
      </c>
      <c r="KA67" s="583">
        <f t="shared" si="168"/>
        <v>0.55336617405582922</v>
      </c>
      <c r="KB67" s="583">
        <f t="shared" si="168"/>
        <v>0.29137760158572845</v>
      </c>
      <c r="KC67" s="583">
        <f t="shared" si="168"/>
        <v>0.27533460803059273</v>
      </c>
      <c r="KD67" s="583">
        <f t="shared" ref="KD67:KE67" si="169">+KD23/KD8</f>
        <v>0.38354430379746834</v>
      </c>
      <c r="KE67" s="583">
        <f t="shared" si="169"/>
        <v>0.36375838926174497</v>
      </c>
      <c r="KF67" s="583">
        <f t="shared" ref="KF67:KJ67" si="170">+KF23/KF8</f>
        <v>0.35456475583864117</v>
      </c>
      <c r="KG67" s="583">
        <f t="shared" si="170"/>
        <v>0.40683229813664595</v>
      </c>
      <c r="KH67" s="583">
        <f t="shared" si="170"/>
        <v>0.411993769470405</v>
      </c>
      <c r="KI67" s="583">
        <f t="shared" si="170"/>
        <v>0.18956336528221512</v>
      </c>
      <c r="KJ67" s="583">
        <f t="shared" si="170"/>
        <v>0.2780586450960566</v>
      </c>
      <c r="KK67" s="583">
        <f t="shared" ref="KK67:KL67" si="171">+KK21/KK6</f>
        <v>0.20530565167243367</v>
      </c>
      <c r="KL67" s="583">
        <f t="shared" si="171"/>
        <v>0.26734926052332197</v>
      </c>
      <c r="KM67" s="583">
        <f t="shared" ref="KM67" si="172">+KM21/KM6</f>
        <v>0.17499999999999999</v>
      </c>
      <c r="KN67" s="585">
        <f>+KN23/KS8</f>
        <v>0.49397590361445781</v>
      </c>
      <c r="KO67" s="585">
        <f>+KO23/KT8</f>
        <v>0.32692307692307693</v>
      </c>
    </row>
    <row r="68" spans="1:301" ht="15" thickBot="1">
      <c r="A68" s="990" t="s">
        <v>88</v>
      </c>
      <c r="B68" s="969"/>
      <c r="C68" s="969"/>
      <c r="D68" s="969"/>
      <c r="E68" s="969"/>
      <c r="F68" s="969"/>
      <c r="G68" s="970"/>
      <c r="H68" s="555">
        <v>235</v>
      </c>
      <c r="I68" s="555">
        <v>487</v>
      </c>
      <c r="J68" s="555">
        <v>1090</v>
      </c>
      <c r="K68" s="556">
        <v>1.2381930184800001</v>
      </c>
      <c r="L68" s="556">
        <v>3.6382978723399999</v>
      </c>
      <c r="M68" s="555">
        <v>855</v>
      </c>
      <c r="N68" s="553"/>
      <c r="O68" s="554"/>
      <c r="Q68" s="984" t="s">
        <v>90</v>
      </c>
      <c r="R68" s="969"/>
      <c r="S68" s="969"/>
      <c r="T68" s="969"/>
      <c r="U68" s="969"/>
      <c r="V68" s="969"/>
      <c r="W68" s="970"/>
      <c r="X68" s="551">
        <v>17496</v>
      </c>
      <c r="Y68" s="551">
        <v>19330</v>
      </c>
      <c r="Z68" s="551">
        <v>19582</v>
      </c>
      <c r="AA68" s="552">
        <v>1.3036730470000001E-2</v>
      </c>
      <c r="AB68" s="552">
        <v>0.119227251943</v>
      </c>
      <c r="AC68" s="551">
        <v>2086</v>
      </c>
      <c r="AD68" s="553"/>
      <c r="AE68" s="554"/>
      <c r="AG68" s="990" t="s">
        <v>88</v>
      </c>
      <c r="AH68" s="969"/>
      <c r="AI68" s="969"/>
      <c r="AJ68" s="969"/>
      <c r="AK68" s="969"/>
      <c r="AL68" s="969"/>
      <c r="AM68" s="970"/>
      <c r="AN68" s="555">
        <v>5658</v>
      </c>
      <c r="AO68" s="555">
        <v>5650</v>
      </c>
      <c r="AP68" s="555">
        <v>6340</v>
      </c>
      <c r="AQ68" s="556">
        <v>0.12212389380499999</v>
      </c>
      <c r="AR68" s="556">
        <v>0.120537292329</v>
      </c>
      <c r="AS68" s="555">
        <v>682</v>
      </c>
      <c r="AT68" s="553"/>
      <c r="AU68" s="554"/>
      <c r="AW68" s="990" t="s">
        <v>129</v>
      </c>
      <c r="AX68" s="969"/>
      <c r="AY68" s="969"/>
      <c r="AZ68" s="969"/>
      <c r="BA68" s="969"/>
      <c r="BB68" s="969"/>
      <c r="BC68" s="970"/>
      <c r="BD68" s="555">
        <v>1499</v>
      </c>
      <c r="BE68" s="555">
        <v>0</v>
      </c>
      <c r="BF68" s="555">
        <v>0</v>
      </c>
      <c r="BG68" s="553"/>
      <c r="BH68" s="556">
        <v>-1</v>
      </c>
      <c r="BI68" s="555">
        <v>-1499</v>
      </c>
      <c r="BJ68" s="553"/>
      <c r="BK68" s="554"/>
      <c r="BM68" s="990" t="s">
        <v>88</v>
      </c>
      <c r="BN68" s="969"/>
      <c r="BO68" s="969"/>
      <c r="BP68" s="969"/>
      <c r="BQ68" s="969"/>
      <c r="BR68" s="969"/>
      <c r="BS68" s="970"/>
      <c r="BT68" s="555">
        <v>547</v>
      </c>
      <c r="BU68" s="555">
        <v>996</v>
      </c>
      <c r="BV68" s="555">
        <v>2605</v>
      </c>
      <c r="BW68" s="556">
        <v>1.6154618473889999</v>
      </c>
      <c r="BX68" s="556">
        <v>3.7623400365630002</v>
      </c>
      <c r="BY68" s="555">
        <v>2058</v>
      </c>
      <c r="BZ68" s="553"/>
      <c r="CA68" s="554"/>
      <c r="CC68" s="990" t="s">
        <v>88</v>
      </c>
      <c r="CD68" s="969"/>
      <c r="CE68" s="969"/>
      <c r="CF68" s="969"/>
      <c r="CG68" s="969"/>
      <c r="CH68" s="969"/>
      <c r="CI68" s="970"/>
      <c r="CJ68" s="555">
        <v>2509</v>
      </c>
      <c r="CK68" s="555">
        <v>2530</v>
      </c>
      <c r="CL68" s="555">
        <v>2505</v>
      </c>
      <c r="CM68" s="556">
        <v>-9.8814229240000006E-3</v>
      </c>
      <c r="CN68" s="556">
        <v>-1.5942606610000001E-3</v>
      </c>
      <c r="CO68" s="555">
        <v>-4</v>
      </c>
      <c r="CP68" s="553"/>
      <c r="CQ68" s="554"/>
      <c r="CS68" s="990" t="s">
        <v>91</v>
      </c>
      <c r="CT68" s="969"/>
      <c r="CU68" s="969"/>
      <c r="CV68" s="969"/>
      <c r="CW68" s="969"/>
      <c r="CX68" s="969"/>
      <c r="CY68" s="970"/>
      <c r="CZ68" s="555">
        <v>1924</v>
      </c>
      <c r="DA68" s="555">
        <v>2203</v>
      </c>
      <c r="DB68" s="555">
        <v>2233</v>
      </c>
      <c r="DC68" s="556">
        <v>1.3617793917E-2</v>
      </c>
      <c r="DD68" s="556">
        <v>0.16060291060199999</v>
      </c>
      <c r="DE68" s="555">
        <v>309</v>
      </c>
      <c r="DF68" s="553"/>
      <c r="DG68" s="554"/>
      <c r="DI68" s="990" t="s">
        <v>86</v>
      </c>
      <c r="DJ68" s="969"/>
      <c r="DK68" s="969"/>
      <c r="DL68" s="969"/>
      <c r="DM68" s="969"/>
      <c r="DN68" s="969"/>
      <c r="DO68" s="970"/>
      <c r="DP68" s="555">
        <v>173080</v>
      </c>
      <c r="DQ68" s="555">
        <v>186725</v>
      </c>
      <c r="DR68" s="555">
        <v>187284</v>
      </c>
      <c r="DS68" s="556">
        <v>2.993707323E-3</v>
      </c>
      <c r="DT68" s="556">
        <v>8.2066096601999997E-2</v>
      </c>
      <c r="DU68" s="555">
        <v>14204</v>
      </c>
      <c r="DV68" s="553"/>
      <c r="DW68" s="554"/>
      <c r="DY68" s="990" t="s">
        <v>91</v>
      </c>
      <c r="DZ68" s="969"/>
      <c r="EA68" s="969"/>
      <c r="EB68" s="969"/>
      <c r="EC68" s="969"/>
      <c r="ED68" s="969"/>
      <c r="EE68" s="970"/>
      <c r="EF68" s="555">
        <v>645</v>
      </c>
      <c r="EG68" s="555">
        <v>648</v>
      </c>
      <c r="EH68" s="555">
        <v>800</v>
      </c>
      <c r="EI68" s="556">
        <v>0.23456790123400001</v>
      </c>
      <c r="EJ68" s="556">
        <v>0.24031007751899999</v>
      </c>
      <c r="EK68" s="555">
        <v>155</v>
      </c>
      <c r="EL68" s="553"/>
      <c r="EM68" s="554"/>
      <c r="EO68" s="990" t="s">
        <v>88</v>
      </c>
      <c r="EP68" s="969"/>
      <c r="EQ68" s="969"/>
      <c r="ER68" s="969"/>
      <c r="ES68" s="969"/>
      <c r="ET68" s="969"/>
      <c r="EU68" s="970"/>
      <c r="EV68" s="555">
        <v>2651</v>
      </c>
      <c r="EW68" s="555">
        <v>2615</v>
      </c>
      <c r="EX68" s="555">
        <v>5206</v>
      </c>
      <c r="EY68" s="556">
        <v>0.99082217973200004</v>
      </c>
      <c r="EZ68" s="556">
        <v>0.96378725009400001</v>
      </c>
      <c r="FA68" s="555">
        <v>2555</v>
      </c>
      <c r="FB68" s="553"/>
      <c r="FC68" s="554"/>
      <c r="FE68" s="990" t="s">
        <v>129</v>
      </c>
      <c r="FF68" s="969"/>
      <c r="FG68" s="969"/>
      <c r="FH68" s="969"/>
      <c r="FI68" s="969"/>
      <c r="FJ68" s="969"/>
      <c r="FK68" s="970"/>
      <c r="FL68" s="555">
        <v>1786</v>
      </c>
      <c r="FM68" s="555">
        <v>0</v>
      </c>
      <c r="FN68" s="555">
        <v>0</v>
      </c>
      <c r="FO68" s="553"/>
      <c r="FP68" s="556">
        <v>-1</v>
      </c>
      <c r="FQ68" s="555">
        <v>-1786</v>
      </c>
      <c r="FR68" s="553"/>
      <c r="FS68" s="554"/>
      <c r="GL68" s="353">
        <v>3</v>
      </c>
      <c r="GM68" s="353" t="s">
        <v>141</v>
      </c>
      <c r="GN68" s="583">
        <f t="shared" ref="GN68:GS68" si="173">+GN27/GN12</f>
        <v>0.3669796557120501</v>
      </c>
      <c r="GO68" s="583">
        <f t="shared" si="173"/>
        <v>0.28077314343845372</v>
      </c>
      <c r="GP68" s="583">
        <f t="shared" si="173"/>
        <v>0.24611161939615736</v>
      </c>
      <c r="GQ68" s="583">
        <f t="shared" si="173"/>
        <v>0.27412082957619477</v>
      </c>
      <c r="GR68" s="583">
        <f t="shared" si="173"/>
        <v>0.31519138755980863</v>
      </c>
      <c r="GS68" s="583">
        <f t="shared" si="173"/>
        <v>0.23636363636363636</v>
      </c>
      <c r="GT68" s="583">
        <f t="shared" ref="GT68:HL68" si="174">+GT27/GT12</f>
        <v>0.24713242961418144</v>
      </c>
      <c r="GU68" s="583">
        <f t="shared" si="174"/>
        <v>0.1871584699453552</v>
      </c>
      <c r="GV68" s="583">
        <f t="shared" si="174"/>
        <v>0.19230769230769232</v>
      </c>
      <c r="GW68" s="583">
        <f t="shared" si="174"/>
        <v>0.32865907099035935</v>
      </c>
      <c r="GX68" s="583">
        <f t="shared" si="174"/>
        <v>0.28962655601659754</v>
      </c>
      <c r="GY68" s="583">
        <f t="shared" si="174"/>
        <v>0.43841642228739003</v>
      </c>
      <c r="GZ68" s="583">
        <f t="shared" si="174"/>
        <v>0.27219321148825065</v>
      </c>
      <c r="HA68" s="583">
        <f t="shared" si="174"/>
        <v>0.40685714285714286</v>
      </c>
      <c r="HB68" s="583">
        <f t="shared" si="174"/>
        <v>0.39453551912568308</v>
      </c>
      <c r="HC68" s="583">
        <f t="shared" si="174"/>
        <v>0.34257748776508973</v>
      </c>
      <c r="HD68" s="583">
        <f t="shared" si="174"/>
        <v>0.27306967984934089</v>
      </c>
      <c r="HE68" s="583">
        <f t="shared" si="174"/>
        <v>0.25</v>
      </c>
      <c r="HF68" s="583">
        <f t="shared" si="174"/>
        <v>0.23321123321123322</v>
      </c>
      <c r="HG68" s="583">
        <f t="shared" si="174"/>
        <v>0.25027322404371583</v>
      </c>
      <c r="HH68" s="583">
        <f t="shared" si="174"/>
        <v>0.22439893143365983</v>
      </c>
      <c r="HI68" s="583">
        <f t="shared" si="174"/>
        <v>0.24868282402528977</v>
      </c>
      <c r="HJ68" s="583">
        <f t="shared" si="174"/>
        <v>0.21729237770193402</v>
      </c>
      <c r="HK68" s="583">
        <f t="shared" si="174"/>
        <v>0.23018458197611291</v>
      </c>
      <c r="HL68" s="583">
        <f t="shared" si="174"/>
        <v>0.20784729586426298</v>
      </c>
      <c r="HM68" s="583">
        <f t="shared" ref="HM68:HN68" si="175">+HM27/HM12</f>
        <v>0.33242134062927498</v>
      </c>
      <c r="HN68" s="583">
        <f t="shared" si="175"/>
        <v>0.34244604316546762</v>
      </c>
      <c r="HO68" s="583">
        <f t="shared" ref="HO68:HQ68" si="176">+HO27/HO12</f>
        <v>0.38661710037174724</v>
      </c>
      <c r="HP68" s="583">
        <f t="shared" si="176"/>
        <v>0.28399699474079637</v>
      </c>
      <c r="HQ68" s="583">
        <f t="shared" si="176"/>
        <v>0.33885714285714286</v>
      </c>
      <c r="HR68" s="583">
        <f t="shared" ref="HR68:HT68" si="177">+HR27/HR12</f>
        <v>0.3408284023668639</v>
      </c>
      <c r="HS68" s="583">
        <f t="shared" si="177"/>
        <v>0.29158110882956878</v>
      </c>
      <c r="HT68" s="583">
        <f t="shared" si="177"/>
        <v>0.28049951969260328</v>
      </c>
      <c r="HU68" s="583">
        <f t="shared" ref="HU68:HX68" si="178">+HU27/HU12</f>
        <v>0.35959765297569152</v>
      </c>
      <c r="HV68" s="583">
        <f t="shared" si="178"/>
        <v>0.30026809651474529</v>
      </c>
      <c r="HW68" s="583">
        <f t="shared" si="178"/>
        <v>0.29251700680272108</v>
      </c>
      <c r="HX68" s="583">
        <f t="shared" si="178"/>
        <v>0.2870182555780933</v>
      </c>
      <c r="HY68" s="583">
        <f t="shared" ref="HY68:HZ68" si="179">+HY22/HY7</f>
        <v>0.12268518518518519</v>
      </c>
      <c r="HZ68" s="583">
        <f t="shared" si="179"/>
        <v>0.16518650088809947</v>
      </c>
      <c r="IA68" s="583">
        <f t="shared" ref="IA68" si="180">+IA22/IA7</f>
        <v>0.13400335008375208</v>
      </c>
      <c r="IB68" s="831">
        <f>+IB27/II12</f>
        <v>0.32735042735042735</v>
      </c>
      <c r="IC68" s="585">
        <f>+IC27/IJ12</f>
        <v>0.26768488745980706</v>
      </c>
      <c r="IV68" s="353">
        <v>3</v>
      </c>
      <c r="IW68" s="353" t="s">
        <v>141</v>
      </c>
      <c r="IX68" s="583">
        <f t="shared" ref="IX68:JE68" si="181">+IX27/IX12</f>
        <v>0.34115805946791861</v>
      </c>
      <c r="IY68" s="583">
        <f t="shared" si="181"/>
        <v>0.23296032553407936</v>
      </c>
      <c r="IZ68" s="583">
        <f t="shared" si="181"/>
        <v>0.21591948764867339</v>
      </c>
      <c r="JA68" s="583">
        <f t="shared" si="181"/>
        <v>0.25608656447249772</v>
      </c>
      <c r="JB68" s="583">
        <f t="shared" si="181"/>
        <v>0.25299043062200954</v>
      </c>
      <c r="JC68" s="583">
        <f t="shared" si="181"/>
        <v>0.20382775119617225</v>
      </c>
      <c r="JD68" s="583">
        <f t="shared" si="181"/>
        <v>0.16475495307612095</v>
      </c>
      <c r="JE68" s="583">
        <f t="shared" si="181"/>
        <v>0.16393442622950818</v>
      </c>
      <c r="JF68" s="583">
        <f t="shared" ref="JF68:JY68" si="182">+JF27/JF12</f>
        <v>0.15251989389920426</v>
      </c>
      <c r="JG68" s="583">
        <f t="shared" si="182"/>
        <v>0.28045574057843997</v>
      </c>
      <c r="JH68" s="583">
        <f t="shared" si="182"/>
        <v>0.2091286307053942</v>
      </c>
      <c r="JI68" s="583">
        <f t="shared" si="182"/>
        <v>0.38049853372434017</v>
      </c>
      <c r="JJ68" s="583">
        <f t="shared" si="182"/>
        <v>0.26240208877284593</v>
      </c>
      <c r="JK68" s="583">
        <f t="shared" si="182"/>
        <v>0.41142857142857142</v>
      </c>
      <c r="JL68" s="583">
        <f t="shared" si="182"/>
        <v>0.40218579234972679</v>
      </c>
      <c r="JM68" s="583">
        <f t="shared" si="182"/>
        <v>0.34910277324632955</v>
      </c>
      <c r="JN68" s="583">
        <f t="shared" si="182"/>
        <v>0.23540489642184556</v>
      </c>
      <c r="JO68" s="583">
        <f t="shared" si="182"/>
        <v>0.26236263736263737</v>
      </c>
      <c r="JP68" s="583">
        <f t="shared" si="182"/>
        <v>0.231990231990232</v>
      </c>
      <c r="JQ68" s="583">
        <f t="shared" si="182"/>
        <v>0.24480874316939891</v>
      </c>
      <c r="JR68" s="583">
        <f t="shared" si="182"/>
        <v>0.20480854853072128</v>
      </c>
      <c r="JS68" s="583">
        <f t="shared" si="182"/>
        <v>0.23709167544783982</v>
      </c>
      <c r="JT68" s="583">
        <f t="shared" si="182"/>
        <v>0.19681456200227532</v>
      </c>
      <c r="JU68" s="583">
        <f t="shared" si="182"/>
        <v>0.22258414766558088</v>
      </c>
      <c r="JV68" s="583">
        <f t="shared" si="182"/>
        <v>0.19724284199363734</v>
      </c>
      <c r="JW68" s="583">
        <f t="shared" si="182"/>
        <v>0.32147742818057456</v>
      </c>
      <c r="JX68" s="583">
        <f t="shared" si="182"/>
        <v>0.32709832134292566</v>
      </c>
      <c r="JY68" s="583">
        <f t="shared" si="182"/>
        <v>0.20260223048327136</v>
      </c>
      <c r="JZ68" s="583">
        <f t="shared" ref="JZ68:KC68" si="183">+JZ27/JZ12</f>
        <v>0.25319308790383172</v>
      </c>
      <c r="KA68" s="583">
        <f t="shared" si="183"/>
        <v>0.23371428571428571</v>
      </c>
      <c r="KB68" s="583">
        <f t="shared" si="183"/>
        <v>0.32426035502958578</v>
      </c>
      <c r="KC68" s="583">
        <f t="shared" si="183"/>
        <v>0.2597535934291581</v>
      </c>
      <c r="KD68" s="583">
        <f t="shared" ref="KD68:KE68" si="184">+KD27/KD12</f>
        <v>0.26032660902977905</v>
      </c>
      <c r="KE68" s="583">
        <f t="shared" si="184"/>
        <v>0.36378876781223807</v>
      </c>
      <c r="KF68" s="583">
        <f t="shared" ref="KF68:KJ68" si="185">+KF27/KF12</f>
        <v>0.28239499553172476</v>
      </c>
      <c r="KG68" s="583">
        <f t="shared" si="185"/>
        <v>0.2687074829931973</v>
      </c>
      <c r="KH68" s="583">
        <f t="shared" si="185"/>
        <v>0.25760649087221094</v>
      </c>
      <c r="KI68" s="583">
        <f t="shared" si="185"/>
        <v>0.33868808567603748</v>
      </c>
      <c r="KJ68" s="583">
        <f t="shared" si="185"/>
        <v>0.3104859335038363</v>
      </c>
      <c r="KK68" s="583">
        <f t="shared" ref="KK68:KL68" si="186">+KK22/KK7</f>
        <v>0.135678391959799</v>
      </c>
      <c r="KL68" s="583">
        <f t="shared" si="186"/>
        <v>0.1348148148148148</v>
      </c>
      <c r="KM68" s="583">
        <f t="shared" ref="KM68" si="187">+KM22/KM7</f>
        <v>0.10700389105058365</v>
      </c>
      <c r="KN68" s="585">
        <f>+KN27/KS12</f>
        <v>0.26666666666666666</v>
      </c>
      <c r="KO68" s="585">
        <f>+KO27/KT12</f>
        <v>0.6036977491961415</v>
      </c>
    </row>
    <row r="69" spans="1:301" ht="15" thickBot="1">
      <c r="A69" s="985" t="s">
        <v>89</v>
      </c>
      <c r="B69" s="986"/>
      <c r="C69" s="986"/>
      <c r="D69" s="986"/>
      <c r="E69" s="986"/>
      <c r="F69" s="986"/>
      <c r="G69" s="987"/>
      <c r="H69" s="547">
        <v>16474</v>
      </c>
      <c r="I69" s="547">
        <v>15667</v>
      </c>
      <c r="J69" s="547">
        <v>13516</v>
      </c>
      <c r="K69" s="548">
        <v>-0.13729495117099999</v>
      </c>
      <c r="L69" s="548">
        <v>-0.17955566346900001</v>
      </c>
      <c r="M69" s="547">
        <v>-2958</v>
      </c>
      <c r="N69" s="549"/>
      <c r="O69" s="550"/>
      <c r="Q69" s="990" t="s">
        <v>91</v>
      </c>
      <c r="R69" s="969"/>
      <c r="S69" s="969"/>
      <c r="T69" s="969"/>
      <c r="U69" s="969"/>
      <c r="V69" s="969"/>
      <c r="W69" s="970"/>
      <c r="X69" s="555">
        <v>813</v>
      </c>
      <c r="Y69" s="555">
        <v>820</v>
      </c>
      <c r="Z69" s="555">
        <v>791</v>
      </c>
      <c r="AA69" s="556">
        <v>-3.5365853657999997E-2</v>
      </c>
      <c r="AB69" s="556">
        <v>-2.7060270601999999E-2</v>
      </c>
      <c r="AC69" s="555">
        <v>-22</v>
      </c>
      <c r="AD69" s="553"/>
      <c r="AE69" s="554"/>
      <c r="AG69" s="985" t="s">
        <v>89</v>
      </c>
      <c r="AH69" s="986"/>
      <c r="AI69" s="986"/>
      <c r="AJ69" s="986"/>
      <c r="AK69" s="986"/>
      <c r="AL69" s="986"/>
      <c r="AM69" s="987"/>
      <c r="AN69" s="547">
        <v>131029</v>
      </c>
      <c r="AO69" s="547">
        <v>156756</v>
      </c>
      <c r="AP69" s="547">
        <v>163120</v>
      </c>
      <c r="AQ69" s="548">
        <v>4.0598127025E-2</v>
      </c>
      <c r="AR69" s="548">
        <v>0.24491524776900001</v>
      </c>
      <c r="AS69" s="547">
        <v>32091</v>
      </c>
      <c r="AT69" s="549"/>
      <c r="AU69" s="550"/>
      <c r="AW69" s="985" t="s">
        <v>89</v>
      </c>
      <c r="AX69" s="986"/>
      <c r="AY69" s="986"/>
      <c r="AZ69" s="986"/>
      <c r="BA69" s="986"/>
      <c r="BB69" s="986"/>
      <c r="BC69" s="987"/>
      <c r="BD69" s="547">
        <v>70460</v>
      </c>
      <c r="BE69" s="547">
        <v>63709</v>
      </c>
      <c r="BF69" s="547">
        <v>65049</v>
      </c>
      <c r="BG69" s="548">
        <v>2.1033135035000001E-2</v>
      </c>
      <c r="BH69" s="548">
        <v>-7.6795344875999996E-2</v>
      </c>
      <c r="BI69" s="547">
        <v>-5411</v>
      </c>
      <c r="BJ69" s="549"/>
      <c r="BK69" s="550"/>
      <c r="BM69" s="985" t="s">
        <v>89</v>
      </c>
      <c r="BN69" s="986"/>
      <c r="BO69" s="986"/>
      <c r="BP69" s="986"/>
      <c r="BQ69" s="986"/>
      <c r="BR69" s="986"/>
      <c r="BS69" s="987"/>
      <c r="BT69" s="547">
        <v>2677</v>
      </c>
      <c r="BU69" s="547">
        <v>3045</v>
      </c>
      <c r="BV69" s="547">
        <v>2833</v>
      </c>
      <c r="BW69" s="548">
        <v>-6.9622331691000003E-2</v>
      </c>
      <c r="BX69" s="548">
        <v>5.8274187523000003E-2</v>
      </c>
      <c r="BY69" s="547">
        <v>156</v>
      </c>
      <c r="BZ69" s="549"/>
      <c r="CA69" s="550"/>
      <c r="CC69" s="985" t="s">
        <v>89</v>
      </c>
      <c r="CD69" s="986"/>
      <c r="CE69" s="986"/>
      <c r="CF69" s="986"/>
      <c r="CG69" s="986"/>
      <c r="CH69" s="986"/>
      <c r="CI69" s="987"/>
      <c r="CJ69" s="547">
        <v>117393</v>
      </c>
      <c r="CK69" s="547">
        <v>138110</v>
      </c>
      <c r="CL69" s="547">
        <v>142203</v>
      </c>
      <c r="CM69" s="548">
        <v>2.9635797552E-2</v>
      </c>
      <c r="CN69" s="548">
        <v>0.21134139173499999</v>
      </c>
      <c r="CO69" s="547">
        <v>24810</v>
      </c>
      <c r="CP69" s="549"/>
      <c r="CQ69" s="550"/>
      <c r="CS69" s="990" t="s">
        <v>92</v>
      </c>
      <c r="CT69" s="969"/>
      <c r="CU69" s="969"/>
      <c r="CV69" s="969"/>
      <c r="CW69" s="969"/>
      <c r="CX69" s="969"/>
      <c r="CY69" s="970"/>
      <c r="CZ69" s="555">
        <v>27110</v>
      </c>
      <c r="DA69" s="555">
        <v>31644</v>
      </c>
      <c r="DB69" s="555">
        <v>28044</v>
      </c>
      <c r="DC69" s="556">
        <v>-0.11376564277499999</v>
      </c>
      <c r="DD69" s="556">
        <v>3.4452231648000001E-2</v>
      </c>
      <c r="DE69" s="555">
        <v>934</v>
      </c>
      <c r="DF69" s="553"/>
      <c r="DG69" s="554"/>
      <c r="DI69" s="990" t="s">
        <v>87</v>
      </c>
      <c r="DJ69" s="969"/>
      <c r="DK69" s="969"/>
      <c r="DL69" s="969"/>
      <c r="DM69" s="969"/>
      <c r="DN69" s="969"/>
      <c r="DO69" s="970"/>
      <c r="DP69" s="555">
        <v>74</v>
      </c>
      <c r="DQ69" s="555">
        <v>65</v>
      </c>
      <c r="DR69" s="555">
        <v>63</v>
      </c>
      <c r="DS69" s="556">
        <v>-3.0769230769000001E-2</v>
      </c>
      <c r="DT69" s="556">
        <v>-0.14864864864800001</v>
      </c>
      <c r="DU69" s="555">
        <v>-11</v>
      </c>
      <c r="DV69" s="553"/>
      <c r="DW69" s="554"/>
      <c r="DY69" s="990" t="s">
        <v>92</v>
      </c>
      <c r="DZ69" s="969"/>
      <c r="EA69" s="969"/>
      <c r="EB69" s="969"/>
      <c r="EC69" s="969"/>
      <c r="ED69" s="969"/>
      <c r="EE69" s="970"/>
      <c r="EF69" s="555">
        <v>6205</v>
      </c>
      <c r="EG69" s="555">
        <v>6666</v>
      </c>
      <c r="EH69" s="555">
        <v>6627</v>
      </c>
      <c r="EI69" s="556">
        <v>-5.8505850579999999E-3</v>
      </c>
      <c r="EJ69" s="556">
        <v>6.8009669620999996E-2</v>
      </c>
      <c r="EK69" s="555">
        <v>422</v>
      </c>
      <c r="EL69" s="553"/>
      <c r="EM69" s="554"/>
      <c r="EO69" s="985" t="s">
        <v>89</v>
      </c>
      <c r="EP69" s="986"/>
      <c r="EQ69" s="986"/>
      <c r="ER69" s="986"/>
      <c r="ES69" s="986"/>
      <c r="ET69" s="986"/>
      <c r="EU69" s="987"/>
      <c r="EV69" s="547">
        <v>67019</v>
      </c>
      <c r="EW69" s="547">
        <v>86581</v>
      </c>
      <c r="EX69" s="547">
        <v>84877</v>
      </c>
      <c r="EY69" s="548">
        <v>-1.9680992365E-2</v>
      </c>
      <c r="EZ69" s="548">
        <v>0.26646174965300001</v>
      </c>
      <c r="FA69" s="547">
        <v>17858</v>
      </c>
      <c r="FB69" s="549"/>
      <c r="FC69" s="550"/>
      <c r="FE69" s="985" t="s">
        <v>89</v>
      </c>
      <c r="FF69" s="986"/>
      <c r="FG69" s="986"/>
      <c r="FH69" s="986"/>
      <c r="FI69" s="986"/>
      <c r="FJ69" s="986"/>
      <c r="FK69" s="987"/>
      <c r="FL69" s="547">
        <v>14525</v>
      </c>
      <c r="FM69" s="547">
        <v>14911</v>
      </c>
      <c r="FN69" s="547">
        <v>15287</v>
      </c>
      <c r="FO69" s="548">
        <v>2.5216283280000001E-2</v>
      </c>
      <c r="FP69" s="548">
        <v>5.2461273666000001E-2</v>
      </c>
      <c r="FQ69" s="547">
        <v>762</v>
      </c>
      <c r="FR69" s="549"/>
      <c r="FS69" s="550"/>
      <c r="GL69" s="353">
        <v>4</v>
      </c>
      <c r="GM69" s="353" t="s">
        <v>124</v>
      </c>
      <c r="GN69" s="583">
        <f t="shared" ref="GN69:GS69" si="188">+GN19/GN4</f>
        <v>0.37662337662337664</v>
      </c>
      <c r="GO69" s="583">
        <f t="shared" si="188"/>
        <v>0.24078624078624078</v>
      </c>
      <c r="GP69" s="583">
        <f t="shared" si="188"/>
        <v>0.30443159922928709</v>
      </c>
      <c r="GQ69" s="583">
        <f t="shared" si="188"/>
        <v>0.37351190476190477</v>
      </c>
      <c r="GR69" s="583">
        <f t="shared" si="188"/>
        <v>0.29872881355932202</v>
      </c>
      <c r="GS69" s="583">
        <f t="shared" si="188"/>
        <v>0.16300940438871472</v>
      </c>
      <c r="GT69" s="583">
        <f t="shared" ref="GT69:HL69" si="189">+GT19/GT4</f>
        <v>0.15431164901664146</v>
      </c>
      <c r="GU69" s="583">
        <f t="shared" si="189"/>
        <v>0.20535714285714285</v>
      </c>
      <c r="GV69" s="583">
        <f t="shared" si="189"/>
        <v>0.14576271186440679</v>
      </c>
      <c r="GW69" s="583">
        <f t="shared" si="189"/>
        <v>0.1709090909090909</v>
      </c>
      <c r="GX69" s="583">
        <f t="shared" si="189"/>
        <v>0.14285714285714285</v>
      </c>
      <c r="GY69" s="583">
        <f t="shared" si="189"/>
        <v>0.26890756302521007</v>
      </c>
      <c r="GZ69" s="583">
        <f t="shared" si="189"/>
        <v>0.18532818532818532</v>
      </c>
      <c r="HA69" s="583">
        <f t="shared" si="189"/>
        <v>0.1901639344262295</v>
      </c>
      <c r="HB69" s="583">
        <f t="shared" si="189"/>
        <v>0.21036585365853658</v>
      </c>
      <c r="HC69" s="583">
        <f t="shared" si="189"/>
        <v>0.15018315018315018</v>
      </c>
      <c r="HD69" s="583">
        <f t="shared" si="189"/>
        <v>0.1391304347826087</v>
      </c>
      <c r="HE69" s="583">
        <f t="shared" si="189"/>
        <v>0.3146067415730337</v>
      </c>
      <c r="HF69" s="583">
        <f t="shared" si="189"/>
        <v>0.36619718309859156</v>
      </c>
      <c r="HG69" s="583">
        <f t="shared" si="189"/>
        <v>0.14201183431952663</v>
      </c>
      <c r="HH69" s="583">
        <f t="shared" si="189"/>
        <v>0.13076923076923078</v>
      </c>
      <c r="HI69" s="583">
        <f t="shared" si="189"/>
        <v>0.12790697674418605</v>
      </c>
      <c r="HJ69" s="583">
        <f t="shared" si="189"/>
        <v>0.13636363636363635</v>
      </c>
      <c r="HK69" s="583">
        <f t="shared" si="189"/>
        <v>0.17757009345794392</v>
      </c>
      <c r="HL69" s="583">
        <f t="shared" si="189"/>
        <v>9.5652173913043481E-2</v>
      </c>
      <c r="HM69" s="583">
        <f t="shared" ref="HM69:HN69" si="190">+HM19/HM4</f>
        <v>0.45320197044334976</v>
      </c>
      <c r="HN69" s="583">
        <f t="shared" si="190"/>
        <v>0.16580310880829016</v>
      </c>
      <c r="HO69" s="583">
        <f t="shared" ref="HO69:HQ69" si="191">+HO19/HO4</f>
        <v>0.87012987012987009</v>
      </c>
      <c r="HP69" s="583">
        <f t="shared" si="191"/>
        <v>0.49411764705882355</v>
      </c>
      <c r="HQ69" s="583">
        <f t="shared" si="191"/>
        <v>0.48561151079136688</v>
      </c>
      <c r="HR69" s="583">
        <f t="shared" ref="HR69:HT69" si="192">+HR19/HR4</f>
        <v>0.25</v>
      </c>
      <c r="HS69" s="583">
        <f t="shared" si="192"/>
        <v>0.16814159292035399</v>
      </c>
      <c r="HT69" s="583">
        <f t="shared" si="192"/>
        <v>0.2620689655172414</v>
      </c>
      <c r="HU69" s="583">
        <f t="shared" ref="HU69:HX69" si="193">+HU19/HU4</f>
        <v>0.16107382550335569</v>
      </c>
      <c r="HV69" s="583">
        <f t="shared" si="193"/>
        <v>0.41747572815533979</v>
      </c>
      <c r="HW69" s="583">
        <f t="shared" si="193"/>
        <v>0.42016806722689076</v>
      </c>
      <c r="HX69" s="583">
        <f t="shared" si="193"/>
        <v>0.40799999999999997</v>
      </c>
      <c r="HY69" s="583">
        <f t="shared" ref="HY69:HZ69" si="194">+HY23/HY8</f>
        <v>0.23429179978700745</v>
      </c>
      <c r="HZ69" s="583">
        <f t="shared" si="194"/>
        <v>0.26895854398382202</v>
      </c>
      <c r="IA69" s="583">
        <f t="shared" ref="IA69" si="195">+IA23/IA8</f>
        <v>0.21921921921921922</v>
      </c>
      <c r="IB69" s="831">
        <f>+IB19/II4</f>
        <v>0.54545454545454541</v>
      </c>
      <c r="IC69" s="585">
        <f>+IC19/IJ4</f>
        <v>0.11931818181818182</v>
      </c>
      <c r="IV69" s="353">
        <v>4</v>
      </c>
      <c r="IW69" s="353" t="s">
        <v>124</v>
      </c>
      <c r="IX69" s="583">
        <f t="shared" ref="IX69:JE69" si="196">+IX19/IX4</f>
        <v>0.11976911976911978</v>
      </c>
      <c r="IY69" s="583">
        <f t="shared" si="196"/>
        <v>0.13267813267813267</v>
      </c>
      <c r="IZ69" s="583">
        <f t="shared" si="196"/>
        <v>9.8265895953757232E-2</v>
      </c>
      <c r="JA69" s="583">
        <f t="shared" si="196"/>
        <v>0.16369047619047619</v>
      </c>
      <c r="JB69" s="583">
        <f t="shared" si="196"/>
        <v>0.19703389830508475</v>
      </c>
      <c r="JC69" s="583">
        <f t="shared" si="196"/>
        <v>9.0909090909090912E-2</v>
      </c>
      <c r="JD69" s="583">
        <f t="shared" si="196"/>
        <v>8.0181543116490173E-2</v>
      </c>
      <c r="JE69" s="583">
        <f t="shared" si="196"/>
        <v>0.11160714285714286</v>
      </c>
      <c r="JF69" s="583">
        <f t="shared" ref="JF69:JY69" si="197">+JF19/JF4</f>
        <v>0.10169491525423729</v>
      </c>
      <c r="JG69" s="583">
        <f t="shared" si="197"/>
        <v>7.2727272727272724E-2</v>
      </c>
      <c r="JH69" s="583">
        <f t="shared" si="197"/>
        <v>0.11428571428571428</v>
      </c>
      <c r="JI69" s="583">
        <f t="shared" si="197"/>
        <v>0.14705882352941177</v>
      </c>
      <c r="JJ69" s="583">
        <f t="shared" si="197"/>
        <v>0.19691119691119691</v>
      </c>
      <c r="JK69" s="583">
        <f t="shared" si="197"/>
        <v>0.23278688524590163</v>
      </c>
      <c r="JL69" s="583">
        <f t="shared" si="197"/>
        <v>0.18902439024390244</v>
      </c>
      <c r="JM69" s="583">
        <f t="shared" si="197"/>
        <v>0.1391941391941392</v>
      </c>
      <c r="JN69" s="583">
        <f t="shared" si="197"/>
        <v>0.11304347826086956</v>
      </c>
      <c r="JO69" s="583">
        <f t="shared" si="197"/>
        <v>0.29775280898876405</v>
      </c>
      <c r="JP69" s="583">
        <f t="shared" si="197"/>
        <v>0.37323943661971831</v>
      </c>
      <c r="JQ69" s="583">
        <f t="shared" si="197"/>
        <v>0.1242603550295858</v>
      </c>
      <c r="JR69" s="583">
        <f t="shared" si="197"/>
        <v>0.15</v>
      </c>
      <c r="JS69" s="583">
        <f t="shared" si="197"/>
        <v>0.11046511627906977</v>
      </c>
      <c r="JT69" s="583">
        <f t="shared" si="197"/>
        <v>0.10795454545454546</v>
      </c>
      <c r="JU69" s="583">
        <f t="shared" si="197"/>
        <v>0.15887850467289719</v>
      </c>
      <c r="JV69" s="583">
        <f t="shared" si="197"/>
        <v>6.0869565217391307E-2</v>
      </c>
      <c r="JW69" s="583">
        <f t="shared" si="197"/>
        <v>0.44334975369458129</v>
      </c>
      <c r="JX69" s="583">
        <f t="shared" si="197"/>
        <v>0.12953367875647667</v>
      </c>
      <c r="JY69" s="583">
        <f t="shared" si="197"/>
        <v>7.792207792207792E-2</v>
      </c>
      <c r="JZ69" s="583">
        <f t="shared" ref="JZ69:KC69" si="198">+JZ19/JZ4</f>
        <v>0.47058823529411764</v>
      </c>
      <c r="KA69" s="583">
        <f t="shared" si="198"/>
        <v>6.4748201438848921E-2</v>
      </c>
      <c r="KB69" s="583">
        <f t="shared" si="198"/>
        <v>0.25</v>
      </c>
      <c r="KC69" s="583">
        <f t="shared" si="198"/>
        <v>8.8495575221238937E-2</v>
      </c>
      <c r="KD69" s="583">
        <f t="shared" ref="KD69:KE69" si="199">+KD19/KD4</f>
        <v>8.2758620689655171E-2</v>
      </c>
      <c r="KE69" s="583">
        <f t="shared" si="199"/>
        <v>0.17449664429530201</v>
      </c>
      <c r="KF69" s="583">
        <f t="shared" ref="KF69:KJ69" si="200">+KF19/KF4</f>
        <v>0.39805825242718446</v>
      </c>
      <c r="KG69" s="583">
        <f t="shared" si="200"/>
        <v>0.34453781512605042</v>
      </c>
      <c r="KH69" s="583">
        <f t="shared" si="200"/>
        <v>0.33600000000000002</v>
      </c>
      <c r="KI69" s="583">
        <f t="shared" si="200"/>
        <v>7.6555023923444973E-2</v>
      </c>
      <c r="KJ69" s="583">
        <f t="shared" si="200"/>
        <v>0.20408163265306123</v>
      </c>
      <c r="KK69" s="583">
        <f t="shared" ref="KK69:KL69" si="201">+KK23/KK8</f>
        <v>0.1996996996996997</v>
      </c>
      <c r="KL69" s="583">
        <f t="shared" si="201"/>
        <v>0.24254473161033796</v>
      </c>
      <c r="KM69" s="583">
        <f t="shared" ref="KM69" si="202">+KM23/KM8</f>
        <v>0.19444444444444445</v>
      </c>
      <c r="KN69" s="585">
        <f>+KN19/KS4</f>
        <v>0.12878787878787878</v>
      </c>
      <c r="KO69" s="585">
        <f>+KO19/KT4</f>
        <v>0.25568181818181818</v>
      </c>
    </row>
    <row r="70" spans="1:301" ht="15" thickBot="1">
      <c r="A70" s="984" t="s">
        <v>90</v>
      </c>
      <c r="B70" s="969"/>
      <c r="C70" s="969"/>
      <c r="D70" s="969"/>
      <c r="E70" s="969"/>
      <c r="F70" s="969"/>
      <c r="G70" s="970"/>
      <c r="H70" s="551">
        <v>9107</v>
      </c>
      <c r="I70" s="551">
        <v>8881</v>
      </c>
      <c r="J70" s="551">
        <v>9038</v>
      </c>
      <c r="K70" s="552">
        <v>1.7678189393000001E-2</v>
      </c>
      <c r="L70" s="552">
        <v>-7.5765894359999999E-3</v>
      </c>
      <c r="M70" s="551">
        <v>-69</v>
      </c>
      <c r="N70" s="553"/>
      <c r="O70" s="554"/>
      <c r="Q70" s="990" t="s">
        <v>92</v>
      </c>
      <c r="R70" s="969"/>
      <c r="S70" s="969"/>
      <c r="T70" s="969"/>
      <c r="U70" s="969"/>
      <c r="V70" s="969"/>
      <c r="W70" s="970"/>
      <c r="X70" s="555">
        <v>37900</v>
      </c>
      <c r="Y70" s="555">
        <v>35653</v>
      </c>
      <c r="Z70" s="555">
        <v>29270</v>
      </c>
      <c r="AA70" s="556">
        <v>-0.17903121756900001</v>
      </c>
      <c r="AB70" s="556">
        <v>-0.22770448548800001</v>
      </c>
      <c r="AC70" s="555">
        <v>-8630</v>
      </c>
      <c r="AD70" s="553"/>
      <c r="AE70" s="554"/>
      <c r="AG70" s="984" t="s">
        <v>90</v>
      </c>
      <c r="AH70" s="969"/>
      <c r="AI70" s="969"/>
      <c r="AJ70" s="969"/>
      <c r="AK70" s="969"/>
      <c r="AL70" s="969"/>
      <c r="AM70" s="970"/>
      <c r="AN70" s="551">
        <v>59591</v>
      </c>
      <c r="AO70" s="551">
        <v>64984</v>
      </c>
      <c r="AP70" s="551">
        <v>65816</v>
      </c>
      <c r="AQ70" s="552">
        <v>1.2803151544E-2</v>
      </c>
      <c r="AR70" s="552">
        <v>0.1044620832</v>
      </c>
      <c r="AS70" s="551">
        <v>6225</v>
      </c>
      <c r="AT70" s="553"/>
      <c r="AU70" s="554"/>
      <c r="AW70" s="984" t="s">
        <v>90</v>
      </c>
      <c r="AX70" s="969"/>
      <c r="AY70" s="969"/>
      <c r="AZ70" s="969"/>
      <c r="BA70" s="969"/>
      <c r="BB70" s="969"/>
      <c r="BC70" s="970"/>
      <c r="BD70" s="551">
        <v>26595</v>
      </c>
      <c r="BE70" s="551">
        <v>28038</v>
      </c>
      <c r="BF70" s="551">
        <v>28248</v>
      </c>
      <c r="BG70" s="552">
        <v>7.4898352229999998E-3</v>
      </c>
      <c r="BH70" s="552">
        <v>6.2154540326999998E-2</v>
      </c>
      <c r="BI70" s="551">
        <v>1653</v>
      </c>
      <c r="BJ70" s="553"/>
      <c r="BK70" s="554"/>
      <c r="BM70" s="984" t="s">
        <v>90</v>
      </c>
      <c r="BN70" s="969"/>
      <c r="BO70" s="969"/>
      <c r="BP70" s="969"/>
      <c r="BQ70" s="969"/>
      <c r="BR70" s="969"/>
      <c r="BS70" s="970"/>
      <c r="BT70" s="551">
        <v>47</v>
      </c>
      <c r="BU70" s="551">
        <v>138</v>
      </c>
      <c r="BV70" s="551">
        <v>113</v>
      </c>
      <c r="BW70" s="552">
        <v>-0.18115942028900001</v>
      </c>
      <c r="BX70" s="552">
        <v>1.4042553191480001</v>
      </c>
      <c r="BY70" s="551">
        <v>66</v>
      </c>
      <c r="BZ70" s="553"/>
      <c r="CA70" s="554"/>
      <c r="CC70" s="984" t="s">
        <v>90</v>
      </c>
      <c r="CD70" s="969"/>
      <c r="CE70" s="969"/>
      <c r="CF70" s="969"/>
      <c r="CG70" s="969"/>
      <c r="CH70" s="969"/>
      <c r="CI70" s="970"/>
      <c r="CJ70" s="551">
        <v>64756</v>
      </c>
      <c r="CK70" s="551">
        <v>67783</v>
      </c>
      <c r="CL70" s="551">
        <v>68221</v>
      </c>
      <c r="CM70" s="552">
        <v>6.4617972049999996E-3</v>
      </c>
      <c r="CN70" s="552">
        <v>5.3508555191E-2</v>
      </c>
      <c r="CO70" s="551">
        <v>3465</v>
      </c>
      <c r="CP70" s="553"/>
      <c r="CQ70" s="554"/>
      <c r="CS70" s="990" t="s">
        <v>93</v>
      </c>
      <c r="CT70" s="969"/>
      <c r="CU70" s="969"/>
      <c r="CV70" s="969"/>
      <c r="CW70" s="969"/>
      <c r="CX70" s="969"/>
      <c r="CY70" s="970"/>
      <c r="CZ70" s="555">
        <v>7</v>
      </c>
      <c r="DA70" s="555">
        <v>5</v>
      </c>
      <c r="DB70" s="555">
        <v>6</v>
      </c>
      <c r="DC70" s="556">
        <v>0.2</v>
      </c>
      <c r="DD70" s="556">
        <v>-0.14285714285699999</v>
      </c>
      <c r="DE70" s="555">
        <v>-1</v>
      </c>
      <c r="DF70" s="553"/>
      <c r="DG70" s="554"/>
      <c r="DI70" s="990" t="s">
        <v>88</v>
      </c>
      <c r="DJ70" s="969"/>
      <c r="DK70" s="969"/>
      <c r="DL70" s="969"/>
      <c r="DM70" s="969"/>
      <c r="DN70" s="969"/>
      <c r="DO70" s="970"/>
      <c r="DP70" s="555">
        <v>3504</v>
      </c>
      <c r="DQ70" s="555">
        <v>3683</v>
      </c>
      <c r="DR70" s="555">
        <v>3674</v>
      </c>
      <c r="DS70" s="556">
        <v>-2.443660059E-3</v>
      </c>
      <c r="DT70" s="556">
        <v>4.8515981734999998E-2</v>
      </c>
      <c r="DU70" s="555">
        <v>170</v>
      </c>
      <c r="DV70" s="553"/>
      <c r="DW70" s="554"/>
      <c r="DY70" s="990" t="s">
        <v>93</v>
      </c>
      <c r="DZ70" s="969"/>
      <c r="EA70" s="969"/>
      <c r="EB70" s="969"/>
      <c r="EC70" s="969"/>
      <c r="ED70" s="969"/>
      <c r="EE70" s="970"/>
      <c r="EF70" s="555">
        <v>42</v>
      </c>
      <c r="EG70" s="555">
        <v>159</v>
      </c>
      <c r="EH70" s="555">
        <v>40</v>
      </c>
      <c r="EI70" s="556">
        <v>-0.74842767295500001</v>
      </c>
      <c r="EJ70" s="556">
        <v>-4.7619047619000002E-2</v>
      </c>
      <c r="EK70" s="555">
        <v>-2</v>
      </c>
      <c r="EL70" s="553"/>
      <c r="EM70" s="554"/>
      <c r="EO70" s="984" t="s">
        <v>90</v>
      </c>
      <c r="EP70" s="969"/>
      <c r="EQ70" s="969"/>
      <c r="ER70" s="969"/>
      <c r="ES70" s="969"/>
      <c r="ET70" s="969"/>
      <c r="EU70" s="970"/>
      <c r="EV70" s="551">
        <v>44750</v>
      </c>
      <c r="EW70" s="551">
        <v>56393</v>
      </c>
      <c r="EX70" s="551">
        <v>57507</v>
      </c>
      <c r="EY70" s="552">
        <v>1.9754224814999999E-2</v>
      </c>
      <c r="EZ70" s="552">
        <v>0.28507262569800002</v>
      </c>
      <c r="FA70" s="551">
        <v>12757</v>
      </c>
      <c r="FB70" s="553"/>
      <c r="FC70" s="554"/>
      <c r="FE70" s="984" t="s">
        <v>90</v>
      </c>
      <c r="FF70" s="969"/>
      <c r="FG70" s="969"/>
      <c r="FH70" s="969"/>
      <c r="FI70" s="969"/>
      <c r="FJ70" s="969"/>
      <c r="FK70" s="970"/>
      <c r="FL70" s="551">
        <v>2800</v>
      </c>
      <c r="FM70" s="551">
        <v>3054</v>
      </c>
      <c r="FN70" s="551">
        <v>3082</v>
      </c>
      <c r="FO70" s="552">
        <v>9.1683038630000005E-3</v>
      </c>
      <c r="FP70" s="552">
        <v>0.100714285714</v>
      </c>
      <c r="FQ70" s="551">
        <v>282</v>
      </c>
      <c r="FR70" s="553"/>
      <c r="FS70" s="554"/>
      <c r="GL70" s="353">
        <v>5</v>
      </c>
      <c r="GM70" s="353" t="s">
        <v>137</v>
      </c>
      <c r="GN70" s="583">
        <f t="shared" ref="GN70:GS70" si="203">+GN24/GN9</f>
        <v>0.23207301173402869</v>
      </c>
      <c r="GO70" s="583">
        <f t="shared" si="203"/>
        <v>0.27453027139874742</v>
      </c>
      <c r="GP70" s="583">
        <f t="shared" si="203"/>
        <v>0.3201219512195122</v>
      </c>
      <c r="GQ70" s="583">
        <f t="shared" si="203"/>
        <v>0.19227674979887369</v>
      </c>
      <c r="GR70" s="583">
        <f t="shared" si="203"/>
        <v>0.3111467522052927</v>
      </c>
      <c r="GS70" s="583">
        <f t="shared" si="203"/>
        <v>0.24492979719188768</v>
      </c>
      <c r="GT70" s="583">
        <f t="shared" ref="GT70:HL70" si="204">+GT24/GT9</f>
        <v>0.31291611185086549</v>
      </c>
      <c r="GU70" s="583">
        <f t="shared" si="204"/>
        <v>0.30458715596330277</v>
      </c>
      <c r="GV70" s="583">
        <f t="shared" si="204"/>
        <v>0.2470059880239521</v>
      </c>
      <c r="GW70" s="583">
        <f t="shared" si="204"/>
        <v>0.36873156342182889</v>
      </c>
      <c r="GX70" s="583">
        <f t="shared" si="204"/>
        <v>0.32124352331606215</v>
      </c>
      <c r="GY70" s="583">
        <f t="shared" si="204"/>
        <v>0.40471512770137524</v>
      </c>
      <c r="GZ70" s="583">
        <f t="shared" si="204"/>
        <v>0.43036211699164345</v>
      </c>
      <c r="HA70" s="583">
        <f t="shared" si="204"/>
        <v>0.45318352059925093</v>
      </c>
      <c r="HB70" s="583">
        <f t="shared" si="204"/>
        <v>0.36902485659655831</v>
      </c>
      <c r="HC70" s="583">
        <f t="shared" si="204"/>
        <v>0.31390134529147984</v>
      </c>
      <c r="HD70" s="583">
        <f t="shared" si="204"/>
        <v>0.25093632958801498</v>
      </c>
      <c r="HE70" s="583">
        <f t="shared" si="204"/>
        <v>0.14182692307692307</v>
      </c>
      <c r="HF70" s="583">
        <f t="shared" si="204"/>
        <v>9.2675635276532137E-2</v>
      </c>
      <c r="HG70" s="583">
        <f t="shared" si="204"/>
        <v>0.17107093184979139</v>
      </c>
      <c r="HH70" s="583">
        <f t="shared" si="204"/>
        <v>0.18860244233378562</v>
      </c>
      <c r="HI70" s="583">
        <f t="shared" si="204"/>
        <v>4.8309178743961352E-2</v>
      </c>
      <c r="HJ70" s="583">
        <f t="shared" si="204"/>
        <v>0.20851688693098386</v>
      </c>
      <c r="HK70" s="583">
        <f t="shared" si="204"/>
        <v>0.23820754716981132</v>
      </c>
      <c r="HL70" s="583">
        <f t="shared" si="204"/>
        <v>0.13680154142581888</v>
      </c>
      <c r="HM70" s="583">
        <f t="shared" ref="HM70:HN70" si="205">+HM24/HM9</f>
        <v>0.1709090909090909</v>
      </c>
      <c r="HN70" s="583">
        <f t="shared" si="205"/>
        <v>0.34097421203438394</v>
      </c>
      <c r="HO70" s="583">
        <f t="shared" ref="HO70:HQ70" si="206">+HO24/HO9</f>
        <v>0.57370517928286857</v>
      </c>
      <c r="HP70" s="583">
        <f t="shared" si="206"/>
        <v>0.30848329048843187</v>
      </c>
      <c r="HQ70" s="583">
        <f t="shared" si="206"/>
        <v>0.33333333333333331</v>
      </c>
      <c r="HR70" s="583">
        <f t="shared" ref="HR70:HT70" si="207">+HR24/HR9</f>
        <v>0.22906403940886699</v>
      </c>
      <c r="HS70" s="583">
        <f t="shared" si="207"/>
        <v>0.1989100817438692</v>
      </c>
      <c r="HT70" s="583">
        <f t="shared" si="207"/>
        <v>0.37537537537537535</v>
      </c>
      <c r="HU70" s="583">
        <f t="shared" ref="HU70:HZ70" si="208">+HU24/HU9</f>
        <v>0.23248407643312102</v>
      </c>
      <c r="HV70" s="583">
        <f t="shared" si="208"/>
        <v>0.30617283950617286</v>
      </c>
      <c r="HW70" s="583">
        <f t="shared" si="208"/>
        <v>0.30794701986754969</v>
      </c>
      <c r="HX70" s="583">
        <f t="shared" si="208"/>
        <v>0.18382352941176472</v>
      </c>
      <c r="HY70" s="583">
        <f t="shared" si="208"/>
        <v>0.19137931034482758</v>
      </c>
      <c r="HZ70" s="583">
        <f t="shared" si="208"/>
        <v>0.31578947368421051</v>
      </c>
      <c r="IA70" s="583">
        <f t="shared" ref="IA70" si="209">+IA24/IA9</f>
        <v>0.2709677419354839</v>
      </c>
      <c r="IB70" s="831">
        <f t="shared" ref="IB70:IB72" si="210">+IB24/II9</f>
        <v>0.29491525423728815</v>
      </c>
      <c r="IC70" s="585">
        <f>+IC24/IJ9</f>
        <v>0.20106761565836298</v>
      </c>
      <c r="IV70" s="353">
        <v>5</v>
      </c>
      <c r="IW70" s="353" t="s">
        <v>137</v>
      </c>
      <c r="IX70" s="583">
        <f t="shared" ref="IX70:JE70" si="211">+IX24/IX9</f>
        <v>0.18252933507170796</v>
      </c>
      <c r="IY70" s="583">
        <f t="shared" si="211"/>
        <v>0.25156576200417535</v>
      </c>
      <c r="IZ70" s="583">
        <f t="shared" si="211"/>
        <v>0.30335365853658536</v>
      </c>
      <c r="JA70" s="583">
        <f t="shared" si="211"/>
        <v>0.19710378117457764</v>
      </c>
      <c r="JB70" s="583">
        <f t="shared" si="211"/>
        <v>0.27906976744186046</v>
      </c>
      <c r="JC70" s="583">
        <f t="shared" si="211"/>
        <v>0.25429017160686429</v>
      </c>
      <c r="JD70" s="583">
        <f t="shared" si="211"/>
        <v>0.2796271637816245</v>
      </c>
      <c r="JE70" s="583">
        <f t="shared" si="211"/>
        <v>0.26605504587155965</v>
      </c>
      <c r="JF70" s="583">
        <f t="shared" ref="JF70:JY70" si="212">+JF24/JF9</f>
        <v>0.23502994011976047</v>
      </c>
      <c r="JG70" s="583">
        <f t="shared" si="212"/>
        <v>0.31710914454277284</v>
      </c>
      <c r="JH70" s="583">
        <f t="shared" si="212"/>
        <v>0.28065630397236613</v>
      </c>
      <c r="JI70" s="583">
        <f t="shared" si="212"/>
        <v>0.37131630648330061</v>
      </c>
      <c r="JJ70" s="583">
        <f t="shared" si="212"/>
        <v>0.4832869080779944</v>
      </c>
      <c r="JK70" s="583">
        <f t="shared" si="212"/>
        <v>0.50936329588014984</v>
      </c>
      <c r="JL70" s="583">
        <f t="shared" si="212"/>
        <v>0.43021032504780116</v>
      </c>
      <c r="JM70" s="583">
        <f t="shared" si="212"/>
        <v>0.32286995515695066</v>
      </c>
      <c r="JN70" s="583">
        <f t="shared" si="212"/>
        <v>0.25468164794007492</v>
      </c>
      <c r="JO70" s="583">
        <f t="shared" si="212"/>
        <v>0.15384615384615385</v>
      </c>
      <c r="JP70" s="583">
        <f t="shared" si="212"/>
        <v>8.8191330343796712E-2</v>
      </c>
      <c r="JQ70" s="583">
        <f t="shared" si="212"/>
        <v>0.14881780250347706</v>
      </c>
      <c r="JR70" s="583">
        <f t="shared" si="212"/>
        <v>0.18860244233378562</v>
      </c>
      <c r="JS70" s="583">
        <f t="shared" si="212"/>
        <v>0.16908212560386474</v>
      </c>
      <c r="JT70" s="583">
        <f t="shared" si="212"/>
        <v>0.22026431718061673</v>
      </c>
      <c r="JU70" s="583">
        <f t="shared" si="212"/>
        <v>0.24764150943396226</v>
      </c>
      <c r="JV70" s="583">
        <f t="shared" si="212"/>
        <v>0.27552986512524086</v>
      </c>
      <c r="JW70" s="583">
        <f t="shared" si="212"/>
        <v>0.28545454545454546</v>
      </c>
      <c r="JX70" s="583">
        <f t="shared" si="212"/>
        <v>0.3008595988538682</v>
      </c>
      <c r="JY70" s="583">
        <f t="shared" si="212"/>
        <v>0.24302788844621515</v>
      </c>
      <c r="JZ70" s="583">
        <f t="shared" ref="JZ70:KC70" si="213">+JZ24/JZ9</f>
        <v>0.30334190231362468</v>
      </c>
      <c r="KA70" s="583">
        <f t="shared" si="213"/>
        <v>0.15740740740740741</v>
      </c>
      <c r="KB70" s="583">
        <f t="shared" si="213"/>
        <v>0.21921182266009853</v>
      </c>
      <c r="KC70" s="583">
        <f t="shared" si="213"/>
        <v>0.20708446866485014</v>
      </c>
      <c r="KD70" s="583">
        <f t="shared" ref="KD70:KE70" si="214">+KD24/KD9</f>
        <v>0.38738738738738737</v>
      </c>
      <c r="KE70" s="583">
        <f t="shared" si="214"/>
        <v>0.2070063694267516</v>
      </c>
      <c r="KF70" s="583">
        <f t="shared" ref="KF70:KL70" si="215">+KF24/KF9</f>
        <v>0.29629629629629628</v>
      </c>
      <c r="KG70" s="583">
        <f t="shared" si="215"/>
        <v>0.22185430463576158</v>
      </c>
      <c r="KH70" s="583">
        <f t="shared" si="215"/>
        <v>0.23161764705882354</v>
      </c>
      <c r="KI70" s="583">
        <f t="shared" si="215"/>
        <v>0.2</v>
      </c>
      <c r="KJ70" s="583">
        <f t="shared" si="215"/>
        <v>0.31077694235588971</v>
      </c>
      <c r="KK70" s="583">
        <f t="shared" si="215"/>
        <v>0.27526881720430108</v>
      </c>
      <c r="KL70" s="583">
        <f t="shared" si="215"/>
        <v>0.16949152542372881</v>
      </c>
      <c r="KM70" s="583">
        <f t="shared" ref="KM70" si="216">+KM24/KM9</f>
        <v>0.22826086956521738</v>
      </c>
      <c r="KN70" s="585">
        <f>+KN24/KS9</f>
        <v>0.37966101694915255</v>
      </c>
      <c r="KO70" s="585">
        <f>+KO24/KT9</f>
        <v>0.24377224199288255</v>
      </c>
    </row>
    <row r="71" spans="1:301" ht="15" thickBot="1">
      <c r="A71" s="990" t="s">
        <v>91</v>
      </c>
      <c r="B71" s="969"/>
      <c r="C71" s="969"/>
      <c r="D71" s="969"/>
      <c r="E71" s="969"/>
      <c r="F71" s="969"/>
      <c r="G71" s="970"/>
      <c r="H71" s="555">
        <v>1698</v>
      </c>
      <c r="I71" s="555">
        <v>1679</v>
      </c>
      <c r="J71" s="555">
        <v>1515</v>
      </c>
      <c r="K71" s="556">
        <v>-9.7677188802000006E-2</v>
      </c>
      <c r="L71" s="556">
        <v>-0.10777385159</v>
      </c>
      <c r="M71" s="555">
        <v>-183</v>
      </c>
      <c r="N71" s="553"/>
      <c r="O71" s="554"/>
      <c r="Q71" s="990" t="s">
        <v>93</v>
      </c>
      <c r="R71" s="969"/>
      <c r="S71" s="969"/>
      <c r="T71" s="969"/>
      <c r="U71" s="969"/>
      <c r="V71" s="969"/>
      <c r="W71" s="970"/>
      <c r="X71" s="555">
        <v>7</v>
      </c>
      <c r="Y71" s="555">
        <v>5</v>
      </c>
      <c r="Z71" s="555">
        <v>6</v>
      </c>
      <c r="AA71" s="556">
        <v>0.2</v>
      </c>
      <c r="AB71" s="556">
        <v>-0.14285714285699999</v>
      </c>
      <c r="AC71" s="555">
        <v>-1</v>
      </c>
      <c r="AD71" s="553"/>
      <c r="AE71" s="554"/>
      <c r="AG71" s="990" t="s">
        <v>126</v>
      </c>
      <c r="AH71" s="969"/>
      <c r="AI71" s="969"/>
      <c r="AJ71" s="969"/>
      <c r="AK71" s="969"/>
      <c r="AL71" s="969"/>
      <c r="AM71" s="970"/>
      <c r="AN71" s="555">
        <v>2</v>
      </c>
      <c r="AO71" s="555">
        <v>3</v>
      </c>
      <c r="AP71" s="555">
        <v>3</v>
      </c>
      <c r="AQ71" s="556">
        <v>0</v>
      </c>
      <c r="AR71" s="556">
        <v>0.5</v>
      </c>
      <c r="AS71" s="555">
        <v>1</v>
      </c>
      <c r="AT71" s="553"/>
      <c r="AU71" s="554"/>
      <c r="AW71" s="990" t="s">
        <v>91</v>
      </c>
      <c r="AX71" s="969"/>
      <c r="AY71" s="969"/>
      <c r="AZ71" s="969"/>
      <c r="BA71" s="969"/>
      <c r="BB71" s="969"/>
      <c r="BC71" s="970"/>
      <c r="BD71" s="555">
        <v>2387</v>
      </c>
      <c r="BE71" s="555">
        <v>5836</v>
      </c>
      <c r="BF71" s="555">
        <v>7786</v>
      </c>
      <c r="BG71" s="556">
        <v>0.33413296778599999</v>
      </c>
      <c r="BH71" s="556">
        <v>2.2618349392539998</v>
      </c>
      <c r="BI71" s="555">
        <v>5399</v>
      </c>
      <c r="BJ71" s="553"/>
      <c r="BK71" s="554"/>
      <c r="BM71" s="990" t="s">
        <v>91</v>
      </c>
      <c r="BN71" s="969"/>
      <c r="BO71" s="969"/>
      <c r="BP71" s="969"/>
      <c r="BQ71" s="969"/>
      <c r="BR71" s="969"/>
      <c r="BS71" s="970"/>
      <c r="BT71" s="555">
        <v>959</v>
      </c>
      <c r="BU71" s="555">
        <v>1263</v>
      </c>
      <c r="BV71" s="555">
        <v>1324</v>
      </c>
      <c r="BW71" s="556">
        <v>4.8297703879000002E-2</v>
      </c>
      <c r="BX71" s="556">
        <v>0.38060479666300001</v>
      </c>
      <c r="BY71" s="555">
        <v>365</v>
      </c>
      <c r="BZ71" s="553"/>
      <c r="CA71" s="554"/>
      <c r="CC71" s="990" t="s">
        <v>91</v>
      </c>
      <c r="CD71" s="969"/>
      <c r="CE71" s="969"/>
      <c r="CF71" s="969"/>
      <c r="CG71" s="969"/>
      <c r="CH71" s="969"/>
      <c r="CI71" s="970"/>
      <c r="CJ71" s="555">
        <v>3986</v>
      </c>
      <c r="CK71" s="555">
        <v>5065</v>
      </c>
      <c r="CL71" s="555">
        <v>5230</v>
      </c>
      <c r="CM71" s="556">
        <v>3.2576505429000001E-2</v>
      </c>
      <c r="CN71" s="556">
        <v>0.31209232313000002</v>
      </c>
      <c r="CO71" s="555">
        <v>1244</v>
      </c>
      <c r="CP71" s="553"/>
      <c r="CQ71" s="554"/>
      <c r="CS71" s="990" t="s">
        <v>94</v>
      </c>
      <c r="CT71" s="969"/>
      <c r="CU71" s="969"/>
      <c r="CV71" s="969"/>
      <c r="CW71" s="969"/>
      <c r="CX71" s="969"/>
      <c r="CY71" s="970"/>
      <c r="CZ71" s="555">
        <v>282</v>
      </c>
      <c r="DA71" s="555">
        <v>342</v>
      </c>
      <c r="DB71" s="555">
        <v>447</v>
      </c>
      <c r="DC71" s="556">
        <v>0.30701754385899999</v>
      </c>
      <c r="DD71" s="556">
        <v>0.58510638297799999</v>
      </c>
      <c r="DE71" s="555">
        <v>165</v>
      </c>
      <c r="DF71" s="553"/>
      <c r="DG71" s="554"/>
      <c r="DI71" s="985" t="s">
        <v>89</v>
      </c>
      <c r="DJ71" s="986"/>
      <c r="DK71" s="986"/>
      <c r="DL71" s="986"/>
      <c r="DM71" s="986"/>
      <c r="DN71" s="986"/>
      <c r="DO71" s="987"/>
      <c r="DP71" s="547">
        <v>52401</v>
      </c>
      <c r="DQ71" s="547">
        <v>44585</v>
      </c>
      <c r="DR71" s="547">
        <v>45254</v>
      </c>
      <c r="DS71" s="548">
        <v>1.5005046540000001E-2</v>
      </c>
      <c r="DT71" s="548">
        <v>-0.13639052689799999</v>
      </c>
      <c r="DU71" s="547">
        <v>-7147</v>
      </c>
      <c r="DV71" s="549"/>
      <c r="DW71" s="550"/>
      <c r="DY71" s="990" t="s">
        <v>94</v>
      </c>
      <c r="DZ71" s="969"/>
      <c r="EA71" s="969"/>
      <c r="EB71" s="969"/>
      <c r="EC71" s="969"/>
      <c r="ED71" s="969"/>
      <c r="EE71" s="970"/>
      <c r="EF71" s="555">
        <v>43</v>
      </c>
      <c r="EG71" s="555">
        <v>68</v>
      </c>
      <c r="EH71" s="555">
        <v>96</v>
      </c>
      <c r="EI71" s="556">
        <v>0.41176470588199998</v>
      </c>
      <c r="EJ71" s="556">
        <v>1.232558139534</v>
      </c>
      <c r="EK71" s="555">
        <v>53</v>
      </c>
      <c r="EL71" s="553"/>
      <c r="EM71" s="554"/>
      <c r="EO71" s="990" t="s">
        <v>91</v>
      </c>
      <c r="EP71" s="969"/>
      <c r="EQ71" s="969"/>
      <c r="ER71" s="969"/>
      <c r="ES71" s="969"/>
      <c r="ET71" s="969"/>
      <c r="EU71" s="970"/>
      <c r="EV71" s="555">
        <v>1626</v>
      </c>
      <c r="EW71" s="555">
        <v>2151</v>
      </c>
      <c r="EX71" s="555">
        <v>2363</v>
      </c>
      <c r="EY71" s="556">
        <v>9.8558809854999999E-2</v>
      </c>
      <c r="EZ71" s="556">
        <v>0.45325953259500001</v>
      </c>
      <c r="FA71" s="555">
        <v>737</v>
      </c>
      <c r="FB71" s="553"/>
      <c r="FC71" s="554"/>
      <c r="FE71" s="990" t="s">
        <v>91</v>
      </c>
      <c r="FF71" s="969"/>
      <c r="FG71" s="969"/>
      <c r="FH71" s="969"/>
      <c r="FI71" s="969"/>
      <c r="FJ71" s="969"/>
      <c r="FK71" s="970"/>
      <c r="FL71" s="555">
        <v>752</v>
      </c>
      <c r="FM71" s="555">
        <v>810</v>
      </c>
      <c r="FN71" s="555">
        <v>855</v>
      </c>
      <c r="FO71" s="556">
        <v>5.5555555554999997E-2</v>
      </c>
      <c r="FP71" s="556">
        <v>0.136968085106</v>
      </c>
      <c r="FQ71" s="555">
        <v>103</v>
      </c>
      <c r="FR71" s="553"/>
      <c r="FS71" s="554"/>
      <c r="GL71" s="353">
        <v>6</v>
      </c>
      <c r="GM71" s="353" t="s">
        <v>123</v>
      </c>
      <c r="GN71" s="583">
        <f t="shared" ref="GN71:GS71" si="217">+GN18/GN3</f>
        <v>0.60359116022099446</v>
      </c>
      <c r="GO71" s="583">
        <f t="shared" si="217"/>
        <v>0.44128113879003561</v>
      </c>
      <c r="GP71" s="583">
        <f t="shared" si="217"/>
        <v>0.37083333333333335</v>
      </c>
      <c r="GQ71" s="583">
        <f t="shared" si="217"/>
        <v>0.38657407407407407</v>
      </c>
      <c r="GR71" s="583">
        <f t="shared" si="217"/>
        <v>0.33196721311475408</v>
      </c>
      <c r="GS71" s="583">
        <f t="shared" si="217"/>
        <v>0.30701754385964913</v>
      </c>
      <c r="GT71" s="583">
        <f t="shared" ref="GT71:HL71" si="218">+GT18/GT3</f>
        <v>0.36326530612244901</v>
      </c>
      <c r="GU71" s="583">
        <f t="shared" si="218"/>
        <v>0.5625</v>
      </c>
      <c r="GV71" s="583">
        <f t="shared" si="218"/>
        <v>0.34756097560975607</v>
      </c>
      <c r="GW71" s="583">
        <f t="shared" si="218"/>
        <v>0.31751824817518248</v>
      </c>
      <c r="GX71" s="583">
        <f t="shared" si="218"/>
        <v>0.19572953736654805</v>
      </c>
      <c r="GY71" s="583">
        <f t="shared" si="218"/>
        <v>0.34567901234567899</v>
      </c>
      <c r="GZ71" s="583">
        <f t="shared" si="218"/>
        <v>0.33333333333333331</v>
      </c>
      <c r="HA71" s="583">
        <f t="shared" si="218"/>
        <v>0.31868131868131866</v>
      </c>
      <c r="HB71" s="583">
        <f t="shared" si="218"/>
        <v>0.4</v>
      </c>
      <c r="HC71" s="583">
        <f t="shared" si="218"/>
        <v>0.28409090909090912</v>
      </c>
      <c r="HD71" s="583">
        <f t="shared" si="218"/>
        <v>0.27058823529411763</v>
      </c>
      <c r="HE71" s="583">
        <f t="shared" si="218"/>
        <v>0.26666666666666666</v>
      </c>
      <c r="HF71" s="583">
        <f t="shared" si="218"/>
        <v>0.32592592592592595</v>
      </c>
      <c r="HG71" s="583">
        <f t="shared" si="218"/>
        <v>0.23853211009174313</v>
      </c>
      <c r="HH71" s="583">
        <f t="shared" si="218"/>
        <v>0.23275862068965517</v>
      </c>
      <c r="HI71" s="583">
        <f t="shared" si="218"/>
        <v>0.36363636363636365</v>
      </c>
      <c r="HJ71" s="583">
        <f t="shared" si="218"/>
        <v>0.25225225225225223</v>
      </c>
      <c r="HK71" s="583">
        <f t="shared" si="218"/>
        <v>0.36486486486486486</v>
      </c>
      <c r="HL71" s="583">
        <f t="shared" si="218"/>
        <v>0.16901408450704225</v>
      </c>
      <c r="HM71" s="583">
        <f t="shared" ref="HM71:HN71" si="219">+HM18/HM3</f>
        <v>0.16</v>
      </c>
      <c r="HN71" s="583">
        <f t="shared" si="219"/>
        <v>0.2578125</v>
      </c>
      <c r="HO71" s="583">
        <f t="shared" ref="HO71:HQ71" si="220">+HO18/HO3</f>
        <v>0.32098765432098764</v>
      </c>
      <c r="HP71" s="583">
        <f t="shared" si="220"/>
        <v>0.24096385542168675</v>
      </c>
      <c r="HQ71" s="583">
        <f t="shared" si="220"/>
        <v>0.29591836734693877</v>
      </c>
      <c r="HR71" s="583">
        <f t="shared" ref="HR71:HT71" si="221">+HR18/HR3</f>
        <v>0.21621621621621623</v>
      </c>
      <c r="HS71" s="583">
        <f t="shared" si="221"/>
        <v>0.14444444444444443</v>
      </c>
      <c r="HT71" s="583">
        <f t="shared" si="221"/>
        <v>0.19753086419753085</v>
      </c>
      <c r="HU71" s="583">
        <f t="shared" ref="HU71:HX71" si="222">+HU18/HU3</f>
        <v>0.19587628865979381</v>
      </c>
      <c r="HV71" s="583">
        <f t="shared" si="222"/>
        <v>0.28378378378378377</v>
      </c>
      <c r="HW71" s="583">
        <f t="shared" si="222"/>
        <v>0.14814814814814814</v>
      </c>
      <c r="HX71" s="583">
        <f t="shared" si="222"/>
        <v>0.17499999999999999</v>
      </c>
      <c r="HY71" s="583">
        <f t="shared" ref="HY71:HZ71" si="223">+HY25/HY10</f>
        <v>0.16821310984735111</v>
      </c>
      <c r="HZ71" s="583">
        <f t="shared" si="223"/>
        <v>0.17156374501992031</v>
      </c>
      <c r="IA71" s="583">
        <f t="shared" ref="IA71" si="224">+IA25/IA10</f>
        <v>0.18493701420530689</v>
      </c>
      <c r="IB71" s="831">
        <f t="shared" si="210"/>
        <v>0.19688542825361513</v>
      </c>
      <c r="IC71" s="585">
        <f>+IC25/IJ10</f>
        <v>0.19071055059981545</v>
      </c>
      <c r="IV71" s="353">
        <v>6</v>
      </c>
      <c r="IW71" s="353" t="s">
        <v>123</v>
      </c>
      <c r="IX71" s="583">
        <f t="shared" ref="IX71:JE71" si="225">+IX18/IX3</f>
        <v>0.65469613259668513</v>
      </c>
      <c r="IY71" s="583">
        <f t="shared" si="225"/>
        <v>0.39501779359430605</v>
      </c>
      <c r="IZ71" s="583">
        <f t="shared" si="225"/>
        <v>0.34583333333333333</v>
      </c>
      <c r="JA71" s="583">
        <f t="shared" si="225"/>
        <v>0.3125</v>
      </c>
      <c r="JB71" s="583">
        <f t="shared" si="225"/>
        <v>0.27459016393442626</v>
      </c>
      <c r="JC71" s="583">
        <f t="shared" si="225"/>
        <v>0.27631578947368424</v>
      </c>
      <c r="JD71" s="583">
        <f t="shared" si="225"/>
        <v>0.31020408163265306</v>
      </c>
      <c r="JE71" s="583">
        <f t="shared" si="225"/>
        <v>0.47265625</v>
      </c>
      <c r="JF71" s="583">
        <f t="shared" ref="JF71:JY71" si="226">+JF18/JF3</f>
        <v>0.34756097560975607</v>
      </c>
      <c r="JG71" s="583">
        <f t="shared" si="226"/>
        <v>0.26277372262773724</v>
      </c>
      <c r="JH71" s="583">
        <f t="shared" si="226"/>
        <v>0.18861209964412812</v>
      </c>
      <c r="JI71" s="583">
        <f t="shared" si="226"/>
        <v>0.26543209876543211</v>
      </c>
      <c r="JJ71" s="583">
        <f t="shared" si="226"/>
        <v>0.33333333333333331</v>
      </c>
      <c r="JK71" s="583">
        <f t="shared" si="226"/>
        <v>0.32417582417582419</v>
      </c>
      <c r="JL71" s="583">
        <f t="shared" si="226"/>
        <v>0.4</v>
      </c>
      <c r="JM71" s="583">
        <f t="shared" si="226"/>
        <v>0.27272727272727271</v>
      </c>
      <c r="JN71" s="583">
        <f t="shared" si="226"/>
        <v>0.25882352941176473</v>
      </c>
      <c r="JO71" s="583">
        <f t="shared" si="226"/>
        <v>0.3</v>
      </c>
      <c r="JP71" s="583">
        <f t="shared" si="226"/>
        <v>0.29629629629629628</v>
      </c>
      <c r="JQ71" s="583">
        <f t="shared" si="226"/>
        <v>0.22018348623853212</v>
      </c>
      <c r="JR71" s="583">
        <f t="shared" si="226"/>
        <v>0.2413793103448276</v>
      </c>
      <c r="JS71" s="583">
        <f t="shared" si="226"/>
        <v>0.33057851239669422</v>
      </c>
      <c r="JT71" s="583">
        <f t="shared" si="226"/>
        <v>0.27027027027027029</v>
      </c>
      <c r="JU71" s="583">
        <f t="shared" si="226"/>
        <v>0.3783783783783784</v>
      </c>
      <c r="JV71" s="583">
        <f t="shared" si="226"/>
        <v>0.19718309859154928</v>
      </c>
      <c r="JW71" s="583">
        <f t="shared" si="226"/>
        <v>0.16</v>
      </c>
      <c r="JX71" s="583">
        <f t="shared" si="226"/>
        <v>0.2578125</v>
      </c>
      <c r="JY71" s="583">
        <f t="shared" si="226"/>
        <v>0.1111111111111111</v>
      </c>
      <c r="JZ71" s="583">
        <f t="shared" ref="JZ71:KC71" si="227">+JZ18/JZ3</f>
        <v>0.2289156626506024</v>
      </c>
      <c r="KA71" s="583">
        <f t="shared" si="227"/>
        <v>0.11224489795918367</v>
      </c>
      <c r="KB71" s="583">
        <f t="shared" si="227"/>
        <v>0.20270270270270271</v>
      </c>
      <c r="KC71" s="583">
        <f t="shared" si="227"/>
        <v>0.12222222222222222</v>
      </c>
      <c r="KD71" s="583">
        <f t="shared" ref="KD71:KE71" si="228">+KD18/KD3</f>
        <v>0.14814814814814814</v>
      </c>
      <c r="KE71" s="583">
        <f t="shared" si="228"/>
        <v>0.16494845360824742</v>
      </c>
      <c r="KF71" s="583">
        <f t="shared" ref="KF71:KJ71" si="229">+KF18/KF3</f>
        <v>0.1891891891891892</v>
      </c>
      <c r="KG71" s="583">
        <f t="shared" si="229"/>
        <v>6.1728395061728392E-2</v>
      </c>
      <c r="KH71" s="583">
        <f t="shared" si="229"/>
        <v>0.17499999999999999</v>
      </c>
      <c r="KI71" s="583">
        <f t="shared" si="229"/>
        <v>0.1348314606741573</v>
      </c>
      <c r="KJ71" s="583">
        <f t="shared" si="229"/>
        <v>0.17647058823529413</v>
      </c>
      <c r="KK71" s="583">
        <f t="shared" ref="KK71:KL71" si="230">+KK25/KK10</f>
        <v>0.14151701956580007</v>
      </c>
      <c r="KL71" s="583">
        <f t="shared" si="230"/>
        <v>0.14114258281325012</v>
      </c>
      <c r="KM71" s="583">
        <f t="shared" ref="KM71" si="231">+KM25/KM10</f>
        <v>0.13728813559322034</v>
      </c>
      <c r="KN71" s="585">
        <f>+KN18/KS3</f>
        <v>0.36363636363636365</v>
      </c>
      <c r="KO71" s="585">
        <f>+KO18/KT3</f>
        <v>0.29310344827586204</v>
      </c>
    </row>
    <row r="72" spans="1:301" ht="15" thickBot="1">
      <c r="A72" s="990" t="s">
        <v>92</v>
      </c>
      <c r="B72" s="969"/>
      <c r="C72" s="969"/>
      <c r="D72" s="969"/>
      <c r="E72" s="969"/>
      <c r="F72" s="969"/>
      <c r="G72" s="970"/>
      <c r="H72" s="555">
        <v>14667</v>
      </c>
      <c r="I72" s="555">
        <v>13725</v>
      </c>
      <c r="J72" s="555">
        <v>11882</v>
      </c>
      <c r="K72" s="556">
        <v>-0.13428051001800001</v>
      </c>
      <c r="L72" s="556">
        <v>-0.18988204813500001</v>
      </c>
      <c r="M72" s="555">
        <v>-2785</v>
      </c>
      <c r="N72" s="553"/>
      <c r="O72" s="554"/>
      <c r="Q72" s="990" t="s">
        <v>94</v>
      </c>
      <c r="R72" s="969"/>
      <c r="S72" s="969"/>
      <c r="T72" s="969"/>
      <c r="U72" s="969"/>
      <c r="V72" s="969"/>
      <c r="W72" s="970"/>
      <c r="X72" s="555">
        <v>255</v>
      </c>
      <c r="Y72" s="555">
        <v>379</v>
      </c>
      <c r="Z72" s="555">
        <v>373</v>
      </c>
      <c r="AA72" s="556">
        <v>-1.5831134564E-2</v>
      </c>
      <c r="AB72" s="556">
        <v>0.46274509803899999</v>
      </c>
      <c r="AC72" s="555">
        <v>118</v>
      </c>
      <c r="AD72" s="553"/>
      <c r="AE72" s="554"/>
      <c r="AG72" s="990" t="s">
        <v>91</v>
      </c>
      <c r="AH72" s="969"/>
      <c r="AI72" s="969"/>
      <c r="AJ72" s="969"/>
      <c r="AK72" s="969"/>
      <c r="AL72" s="969"/>
      <c r="AM72" s="970"/>
      <c r="AN72" s="555">
        <v>2813</v>
      </c>
      <c r="AO72" s="555">
        <v>3768</v>
      </c>
      <c r="AP72" s="555">
        <v>4038</v>
      </c>
      <c r="AQ72" s="556">
        <v>7.1656050954999995E-2</v>
      </c>
      <c r="AR72" s="556">
        <v>0.43547813722000001</v>
      </c>
      <c r="AS72" s="555">
        <v>1225</v>
      </c>
      <c r="AT72" s="553"/>
      <c r="AU72" s="554"/>
      <c r="AW72" s="990" t="s">
        <v>92</v>
      </c>
      <c r="AX72" s="969"/>
      <c r="AY72" s="969"/>
      <c r="AZ72" s="969"/>
      <c r="BA72" s="969"/>
      <c r="BB72" s="969"/>
      <c r="BC72" s="970"/>
      <c r="BD72" s="555">
        <v>65598</v>
      </c>
      <c r="BE72" s="555">
        <v>55976</v>
      </c>
      <c r="BF72" s="555">
        <v>55285</v>
      </c>
      <c r="BG72" s="556">
        <v>-1.2344576245999999E-2</v>
      </c>
      <c r="BH72" s="556">
        <v>-0.15721515899800001</v>
      </c>
      <c r="BI72" s="555">
        <v>-10313</v>
      </c>
      <c r="BJ72" s="553"/>
      <c r="BK72" s="554"/>
      <c r="BM72" s="990" t="s">
        <v>92</v>
      </c>
      <c r="BN72" s="969"/>
      <c r="BO72" s="969"/>
      <c r="BP72" s="969"/>
      <c r="BQ72" s="969"/>
      <c r="BR72" s="969"/>
      <c r="BS72" s="970"/>
      <c r="BT72" s="555">
        <v>1583</v>
      </c>
      <c r="BU72" s="555">
        <v>1579</v>
      </c>
      <c r="BV72" s="555">
        <v>1195</v>
      </c>
      <c r="BW72" s="556">
        <v>-0.243191893603</v>
      </c>
      <c r="BX72" s="556">
        <v>-0.24510423246900001</v>
      </c>
      <c r="BY72" s="555">
        <v>-388</v>
      </c>
      <c r="BZ72" s="553"/>
      <c r="CA72" s="554"/>
      <c r="CC72" s="990" t="s">
        <v>92</v>
      </c>
      <c r="CD72" s="969"/>
      <c r="CE72" s="969"/>
      <c r="CF72" s="969"/>
      <c r="CG72" s="969"/>
      <c r="CH72" s="969"/>
      <c r="CI72" s="970"/>
      <c r="CJ72" s="555">
        <v>112741</v>
      </c>
      <c r="CK72" s="555">
        <v>132259</v>
      </c>
      <c r="CL72" s="555">
        <v>136158</v>
      </c>
      <c r="CM72" s="556">
        <v>2.9480035384999999E-2</v>
      </c>
      <c r="CN72" s="556">
        <v>0.20770615836199999</v>
      </c>
      <c r="CO72" s="555">
        <v>23417</v>
      </c>
      <c r="CP72" s="553"/>
      <c r="CQ72" s="554"/>
      <c r="CS72" s="991" t="s">
        <v>95</v>
      </c>
      <c r="CT72" s="992"/>
      <c r="CU72" s="992"/>
      <c r="CV72" s="992"/>
      <c r="CW72" s="992"/>
      <c r="CX72" s="992"/>
      <c r="CY72" s="993"/>
      <c r="CZ72" s="557">
        <v>101318</v>
      </c>
      <c r="DA72" s="557">
        <v>108010</v>
      </c>
      <c r="DB72" s="557">
        <v>104546</v>
      </c>
      <c r="DC72" s="558">
        <v>-3.2071104527000002E-2</v>
      </c>
      <c r="DD72" s="558">
        <v>3.1860084091000003E-2</v>
      </c>
      <c r="DE72" s="557">
        <v>3228</v>
      </c>
      <c r="DF72" s="559"/>
      <c r="DG72" s="560"/>
      <c r="DI72" s="984" t="s">
        <v>90</v>
      </c>
      <c r="DJ72" s="969"/>
      <c r="DK72" s="969"/>
      <c r="DL72" s="969"/>
      <c r="DM72" s="969"/>
      <c r="DN72" s="969"/>
      <c r="DO72" s="970"/>
      <c r="DP72" s="551">
        <v>23312</v>
      </c>
      <c r="DQ72" s="551">
        <v>26609</v>
      </c>
      <c r="DR72" s="551">
        <v>26943</v>
      </c>
      <c r="DS72" s="552">
        <v>1.2552144011000001E-2</v>
      </c>
      <c r="DT72" s="552">
        <v>0.155756691832</v>
      </c>
      <c r="DU72" s="551">
        <v>3631</v>
      </c>
      <c r="DV72" s="553"/>
      <c r="DW72" s="554"/>
      <c r="DY72" s="991" t="s">
        <v>95</v>
      </c>
      <c r="DZ72" s="992"/>
      <c r="EA72" s="992"/>
      <c r="EB72" s="992"/>
      <c r="EC72" s="992"/>
      <c r="ED72" s="992"/>
      <c r="EE72" s="993"/>
      <c r="EF72" s="557">
        <v>29164</v>
      </c>
      <c r="EG72" s="557">
        <v>30590</v>
      </c>
      <c r="EH72" s="557">
        <v>30703</v>
      </c>
      <c r="EI72" s="558">
        <v>3.694017652E-3</v>
      </c>
      <c r="EJ72" s="558">
        <v>5.277053902E-2</v>
      </c>
      <c r="EK72" s="557">
        <v>1539</v>
      </c>
      <c r="EL72" s="559"/>
      <c r="EM72" s="560"/>
      <c r="EO72" s="990" t="s">
        <v>92</v>
      </c>
      <c r="EP72" s="969"/>
      <c r="EQ72" s="969"/>
      <c r="ER72" s="969"/>
      <c r="ES72" s="969"/>
      <c r="ET72" s="969"/>
      <c r="EU72" s="970"/>
      <c r="EV72" s="555">
        <v>62588</v>
      </c>
      <c r="EW72" s="555">
        <v>80706</v>
      </c>
      <c r="EX72" s="555">
        <v>78431</v>
      </c>
      <c r="EY72" s="556">
        <v>-2.8188734417999999E-2</v>
      </c>
      <c r="EZ72" s="556">
        <v>0.25313159072000002</v>
      </c>
      <c r="FA72" s="555">
        <v>15843</v>
      </c>
      <c r="FB72" s="553"/>
      <c r="FC72" s="554"/>
      <c r="FE72" s="990" t="s">
        <v>92</v>
      </c>
      <c r="FF72" s="969"/>
      <c r="FG72" s="969"/>
      <c r="FH72" s="969"/>
      <c r="FI72" s="969"/>
      <c r="FJ72" s="969"/>
      <c r="FK72" s="970"/>
      <c r="FL72" s="555">
        <v>12473</v>
      </c>
      <c r="FM72" s="555">
        <v>13685</v>
      </c>
      <c r="FN72" s="555">
        <v>14011</v>
      </c>
      <c r="FO72" s="556">
        <v>2.3821702593999999E-2</v>
      </c>
      <c r="FP72" s="556">
        <v>0.123306341698</v>
      </c>
      <c r="FQ72" s="555">
        <v>1538</v>
      </c>
      <c r="FR72" s="553"/>
      <c r="FS72" s="554"/>
      <c r="GL72" s="353">
        <v>7</v>
      </c>
      <c r="GM72" s="353" t="s">
        <v>139</v>
      </c>
      <c r="GN72" s="583">
        <f t="shared" ref="GN72:GS72" si="232">+GN26/GN11</f>
        <v>0.27741935483870966</v>
      </c>
      <c r="GO72" s="583">
        <f t="shared" si="232"/>
        <v>0.18235294117647058</v>
      </c>
      <c r="GP72" s="583">
        <f t="shared" si="232"/>
        <v>0.24861878453038674</v>
      </c>
      <c r="GQ72" s="583">
        <f t="shared" si="232"/>
        <v>0.12352941176470589</v>
      </c>
      <c r="GR72" s="583">
        <f t="shared" si="232"/>
        <v>0.15686274509803921</v>
      </c>
      <c r="GS72" s="583">
        <f t="shared" si="232"/>
        <v>0.15748031496062992</v>
      </c>
      <c r="GT72" s="583">
        <f t="shared" ref="GT72:HL72" si="233">+GT26/GT11</f>
        <v>0.13084112149532709</v>
      </c>
      <c r="GU72" s="583">
        <f t="shared" si="233"/>
        <v>8.9171974522292988E-2</v>
      </c>
      <c r="GV72" s="583">
        <f t="shared" si="233"/>
        <v>0.12021857923497267</v>
      </c>
      <c r="GW72" s="583">
        <f t="shared" si="233"/>
        <v>0.25968992248062017</v>
      </c>
      <c r="GX72" s="583">
        <f t="shared" si="233"/>
        <v>0.17735849056603772</v>
      </c>
      <c r="GY72" s="583">
        <f t="shared" si="233"/>
        <v>0.31636363636363635</v>
      </c>
      <c r="GZ72" s="583">
        <f t="shared" si="233"/>
        <v>0.17328519855595667</v>
      </c>
      <c r="HA72" s="583">
        <f t="shared" si="233"/>
        <v>5.7268722466960353E-2</v>
      </c>
      <c r="HB72" s="583">
        <f t="shared" si="233"/>
        <v>0.13229571984435798</v>
      </c>
      <c r="HC72" s="583">
        <f t="shared" si="233"/>
        <v>0.17733990147783252</v>
      </c>
      <c r="HD72" s="583">
        <f t="shared" si="233"/>
        <v>0.13461538461538461</v>
      </c>
      <c r="HE72" s="583">
        <f t="shared" si="233"/>
        <v>0.24242424242424243</v>
      </c>
      <c r="HF72" s="583">
        <f t="shared" si="233"/>
        <v>0.23134328358208955</v>
      </c>
      <c r="HG72" s="583">
        <f t="shared" si="233"/>
        <v>0.18435754189944134</v>
      </c>
      <c r="HH72" s="583">
        <f t="shared" si="233"/>
        <v>0.22264150943396227</v>
      </c>
      <c r="HI72" s="583">
        <f t="shared" si="233"/>
        <v>0.15238095238095239</v>
      </c>
      <c r="HJ72" s="583">
        <f t="shared" si="233"/>
        <v>4.3076923076923075E-2</v>
      </c>
      <c r="HK72" s="583">
        <f t="shared" si="233"/>
        <v>5.829596412556054E-2</v>
      </c>
      <c r="HL72" s="583">
        <f t="shared" si="233"/>
        <v>9.7165991902834009E-2</v>
      </c>
      <c r="HM72" s="583">
        <f t="shared" ref="HM72:HN72" si="234">+HM26/HM11</f>
        <v>0.17277486910994763</v>
      </c>
      <c r="HN72" s="583">
        <f t="shared" si="234"/>
        <v>0.21886792452830189</v>
      </c>
      <c r="HO72" s="583">
        <f t="shared" ref="HO72:HQ72" si="235">+HO26/HO11</f>
        <v>0.22222222222222221</v>
      </c>
      <c r="HP72" s="583">
        <f t="shared" si="235"/>
        <v>0.29341317365269459</v>
      </c>
      <c r="HQ72" s="583">
        <f t="shared" si="235"/>
        <v>0.19313304721030042</v>
      </c>
      <c r="HR72" s="583">
        <f t="shared" ref="HR72:HT72" si="236">+HR26/HR11</f>
        <v>0.17204301075268819</v>
      </c>
      <c r="HS72" s="583">
        <f t="shared" si="236"/>
        <v>0.29411764705882354</v>
      </c>
      <c r="HT72" s="583">
        <f t="shared" si="236"/>
        <v>0.32367149758454106</v>
      </c>
      <c r="HU72" s="583">
        <f t="shared" ref="HU72:HZ72" si="237">+HU26/HU11</f>
        <v>0.14093959731543623</v>
      </c>
      <c r="HV72" s="583">
        <f t="shared" si="237"/>
        <v>0.19753086419753085</v>
      </c>
      <c r="HW72" s="583">
        <f t="shared" si="237"/>
        <v>0.16161616161616163</v>
      </c>
      <c r="HX72" s="583">
        <f t="shared" si="237"/>
        <v>0.16666666666666666</v>
      </c>
      <c r="HY72" s="583">
        <f t="shared" si="237"/>
        <v>0.11682242990654206</v>
      </c>
      <c r="HZ72" s="583">
        <f t="shared" si="237"/>
        <v>0.18974358974358974</v>
      </c>
      <c r="IA72" s="583">
        <f t="shared" ref="IA72" si="238">+IA26/IA11</f>
        <v>0.13043478260869565</v>
      </c>
      <c r="IB72" s="831">
        <f t="shared" si="210"/>
        <v>0.25</v>
      </c>
      <c r="IC72" s="585">
        <f>+IC26/IJ11</f>
        <v>0.19827586206896552</v>
      </c>
      <c r="IV72" s="353">
        <v>7</v>
      </c>
      <c r="IW72" s="353" t="s">
        <v>139</v>
      </c>
      <c r="IX72" s="583">
        <f t="shared" ref="IX72:JE72" si="239">+IX26/IX11</f>
        <v>0.20645161290322581</v>
      </c>
      <c r="IY72" s="583">
        <f t="shared" si="239"/>
        <v>0.11176470588235295</v>
      </c>
      <c r="IZ72" s="583">
        <f t="shared" si="239"/>
        <v>0.13259668508287292</v>
      </c>
      <c r="JA72" s="583">
        <f t="shared" si="239"/>
        <v>9.4117647058823528E-2</v>
      </c>
      <c r="JB72" s="583">
        <f t="shared" si="239"/>
        <v>0.10457516339869281</v>
      </c>
      <c r="JC72" s="583">
        <f t="shared" si="239"/>
        <v>0.12598425196850394</v>
      </c>
      <c r="JD72" s="583">
        <f t="shared" si="239"/>
        <v>0.10280373831775701</v>
      </c>
      <c r="JE72" s="583">
        <f t="shared" si="239"/>
        <v>0.10828025477707007</v>
      </c>
      <c r="JF72" s="583">
        <f t="shared" ref="JF72:JY72" si="240">+JF26/JF11</f>
        <v>9.2896174863387984E-2</v>
      </c>
      <c r="JG72" s="583">
        <f t="shared" si="240"/>
        <v>6.9767441860465115E-2</v>
      </c>
      <c r="JH72" s="583">
        <f t="shared" si="240"/>
        <v>9.4339622641509441E-2</v>
      </c>
      <c r="JI72" s="583">
        <f t="shared" si="240"/>
        <v>0.28727272727272729</v>
      </c>
      <c r="JJ72" s="583">
        <f t="shared" si="240"/>
        <v>0.1407942238267148</v>
      </c>
      <c r="JK72" s="583">
        <f t="shared" si="240"/>
        <v>6.6079295154185022E-2</v>
      </c>
      <c r="JL72" s="583">
        <f t="shared" si="240"/>
        <v>0.12062256809338522</v>
      </c>
      <c r="JM72" s="583">
        <f t="shared" si="240"/>
        <v>0.13793103448275862</v>
      </c>
      <c r="JN72" s="583">
        <f t="shared" si="240"/>
        <v>9.6153846153846159E-2</v>
      </c>
      <c r="JO72" s="583">
        <f t="shared" si="240"/>
        <v>0.17424242424242425</v>
      </c>
      <c r="JP72" s="583">
        <f t="shared" si="240"/>
        <v>0.18656716417910449</v>
      </c>
      <c r="JQ72" s="583">
        <f t="shared" si="240"/>
        <v>0.21229050279329609</v>
      </c>
      <c r="JR72" s="583">
        <f t="shared" si="240"/>
        <v>0.1811320754716981</v>
      </c>
      <c r="JS72" s="583">
        <f t="shared" si="240"/>
        <v>0.18571428571428572</v>
      </c>
      <c r="JT72" s="583">
        <f t="shared" si="240"/>
        <v>9.2307692307692313E-2</v>
      </c>
      <c r="JU72" s="583">
        <f t="shared" si="240"/>
        <v>0.13452914798206278</v>
      </c>
      <c r="JV72" s="583">
        <f t="shared" si="240"/>
        <v>4.8582995951417005E-2</v>
      </c>
      <c r="JW72" s="583">
        <f t="shared" si="240"/>
        <v>5.2356020942408377E-2</v>
      </c>
      <c r="JX72" s="583">
        <f t="shared" si="240"/>
        <v>4.5283018867924525E-2</v>
      </c>
      <c r="JY72" s="583">
        <f t="shared" si="240"/>
        <v>0.24154589371980675</v>
      </c>
      <c r="JZ72" s="583">
        <f t="shared" ref="JZ72:KC72" si="241">+JZ26/JZ11</f>
        <v>0.25748502994011974</v>
      </c>
      <c r="KA72" s="583">
        <f t="shared" si="241"/>
        <v>0.22746781115879827</v>
      </c>
      <c r="KB72" s="583">
        <f t="shared" si="241"/>
        <v>0.17741935483870969</v>
      </c>
      <c r="KC72" s="583">
        <f t="shared" si="241"/>
        <v>0.28991596638655465</v>
      </c>
      <c r="KD72" s="583">
        <f t="shared" ref="KD72:KE72" si="242">+KD26/KD11</f>
        <v>0.26570048309178745</v>
      </c>
      <c r="KE72" s="583">
        <f t="shared" si="242"/>
        <v>0.12751677852348994</v>
      </c>
      <c r="KF72" s="583">
        <f t="shared" ref="KF72:KL72" si="243">+KF26/KF11</f>
        <v>0.16460905349794239</v>
      </c>
      <c r="KG72" s="583">
        <f t="shared" si="243"/>
        <v>0.39393939393939392</v>
      </c>
      <c r="KH72" s="583">
        <f t="shared" si="243"/>
        <v>0.1736111111111111</v>
      </c>
      <c r="KI72" s="583">
        <f t="shared" si="243"/>
        <v>0.12616822429906541</v>
      </c>
      <c r="KJ72" s="583">
        <f t="shared" si="243"/>
        <v>0.1641025641025641</v>
      </c>
      <c r="KK72" s="583">
        <f t="shared" si="243"/>
        <v>0.11801242236024845</v>
      </c>
      <c r="KL72" s="583">
        <f t="shared" si="243"/>
        <v>0.14204545454545456</v>
      </c>
      <c r="KM72" s="583">
        <f t="shared" ref="KM72" si="244">+KM26/KM11</f>
        <v>8.9449541284403675E-2</v>
      </c>
      <c r="KN72" s="585">
        <f>+KN26/KS11</f>
        <v>0.31428571428571428</v>
      </c>
      <c r="KO72" s="585">
        <f>+KO26/KT11</f>
        <v>0.16379310344827586</v>
      </c>
    </row>
    <row r="73" spans="1:301" ht="15.6" thickBot="1">
      <c r="A73" s="990" t="s">
        <v>93</v>
      </c>
      <c r="B73" s="969"/>
      <c r="C73" s="969"/>
      <c r="D73" s="969"/>
      <c r="E73" s="969"/>
      <c r="F73" s="969"/>
      <c r="G73" s="970"/>
      <c r="H73" s="555">
        <v>27</v>
      </c>
      <c r="I73" s="555">
        <v>162</v>
      </c>
      <c r="J73" s="555">
        <v>17</v>
      </c>
      <c r="K73" s="556">
        <v>-0.89506172839499998</v>
      </c>
      <c r="L73" s="556">
        <v>-0.37037037036999998</v>
      </c>
      <c r="M73" s="555">
        <v>-10</v>
      </c>
      <c r="N73" s="553"/>
      <c r="O73" s="554"/>
      <c r="Q73" s="991" t="s">
        <v>95</v>
      </c>
      <c r="R73" s="992"/>
      <c r="S73" s="992"/>
      <c r="T73" s="992"/>
      <c r="U73" s="992"/>
      <c r="V73" s="992"/>
      <c r="W73" s="993"/>
      <c r="X73" s="557">
        <v>113514</v>
      </c>
      <c r="Y73" s="557">
        <v>112023</v>
      </c>
      <c r="Z73" s="557">
        <v>105326</v>
      </c>
      <c r="AA73" s="558">
        <v>-5.9782366120999998E-2</v>
      </c>
      <c r="AB73" s="558">
        <v>-7.2132071813999998E-2</v>
      </c>
      <c r="AC73" s="557">
        <v>-8188</v>
      </c>
      <c r="AD73" s="559"/>
      <c r="AE73" s="560"/>
      <c r="AG73" s="990" t="s">
        <v>92</v>
      </c>
      <c r="AH73" s="969"/>
      <c r="AI73" s="969"/>
      <c r="AJ73" s="969"/>
      <c r="AK73" s="969"/>
      <c r="AL73" s="969"/>
      <c r="AM73" s="970"/>
      <c r="AN73" s="555">
        <v>121333</v>
      </c>
      <c r="AO73" s="555">
        <v>146346</v>
      </c>
      <c r="AP73" s="555">
        <v>152958</v>
      </c>
      <c r="AQ73" s="556">
        <v>4.5180599400999999E-2</v>
      </c>
      <c r="AR73" s="556">
        <v>0.260646320456</v>
      </c>
      <c r="AS73" s="555">
        <v>31625</v>
      </c>
      <c r="AT73" s="553"/>
      <c r="AU73" s="554"/>
      <c r="AW73" s="990" t="s">
        <v>93</v>
      </c>
      <c r="AX73" s="969"/>
      <c r="AY73" s="969"/>
      <c r="AZ73" s="969"/>
      <c r="BA73" s="969"/>
      <c r="BB73" s="969"/>
      <c r="BC73" s="970"/>
      <c r="BD73" s="555">
        <v>520</v>
      </c>
      <c r="BE73" s="555">
        <v>768</v>
      </c>
      <c r="BF73" s="555">
        <v>766</v>
      </c>
      <c r="BG73" s="556">
        <v>-2.6041666660000001E-3</v>
      </c>
      <c r="BH73" s="556">
        <v>0.47307692307600002</v>
      </c>
      <c r="BI73" s="555">
        <v>246</v>
      </c>
      <c r="BJ73" s="553"/>
      <c r="BK73" s="554"/>
      <c r="BM73" s="990" t="s">
        <v>134</v>
      </c>
      <c r="BN73" s="969"/>
      <c r="BO73" s="969"/>
      <c r="BP73" s="969"/>
      <c r="BQ73" s="969"/>
      <c r="BR73" s="969"/>
      <c r="BS73" s="970"/>
      <c r="BT73" s="555">
        <v>1</v>
      </c>
      <c r="BU73" s="555">
        <v>0</v>
      </c>
      <c r="BV73" s="555">
        <v>0</v>
      </c>
      <c r="BW73" s="553"/>
      <c r="BX73" s="556">
        <v>-1</v>
      </c>
      <c r="BY73" s="555">
        <v>-1</v>
      </c>
      <c r="BZ73" s="553"/>
      <c r="CA73" s="554"/>
      <c r="CC73" s="990" t="s">
        <v>93</v>
      </c>
      <c r="CD73" s="969"/>
      <c r="CE73" s="969"/>
      <c r="CF73" s="969"/>
      <c r="CG73" s="969"/>
      <c r="CH73" s="969"/>
      <c r="CI73" s="970"/>
      <c r="CJ73" s="555">
        <v>1</v>
      </c>
      <c r="CK73" s="555">
        <v>0</v>
      </c>
      <c r="CL73" s="555">
        <v>0</v>
      </c>
      <c r="CM73" s="553"/>
      <c r="CN73" s="556">
        <v>-1</v>
      </c>
      <c r="CO73" s="555">
        <v>-1</v>
      </c>
      <c r="CP73" s="553"/>
      <c r="CQ73" s="554"/>
      <c r="CS73" s="975" t="s">
        <v>96</v>
      </c>
      <c r="CT73" s="976"/>
      <c r="CU73" s="976"/>
      <c r="CV73" s="976"/>
      <c r="CW73" s="976"/>
      <c r="CX73" s="976"/>
      <c r="CY73" s="976"/>
      <c r="CZ73" s="976"/>
      <c r="DA73" s="976"/>
      <c r="DB73" s="976"/>
      <c r="DC73" s="976"/>
      <c r="DD73" s="976"/>
      <c r="DE73" s="976"/>
      <c r="DF73" s="976"/>
      <c r="DG73" s="976"/>
      <c r="DI73" s="990" t="s">
        <v>91</v>
      </c>
      <c r="DJ73" s="969"/>
      <c r="DK73" s="969"/>
      <c r="DL73" s="969"/>
      <c r="DM73" s="969"/>
      <c r="DN73" s="969"/>
      <c r="DO73" s="970"/>
      <c r="DP73" s="555">
        <v>1196</v>
      </c>
      <c r="DQ73" s="555">
        <v>1215</v>
      </c>
      <c r="DR73" s="555">
        <v>1232</v>
      </c>
      <c r="DS73" s="556">
        <v>1.3991769547E-2</v>
      </c>
      <c r="DT73" s="556">
        <v>3.0100334448000001E-2</v>
      </c>
      <c r="DU73" s="555">
        <v>36</v>
      </c>
      <c r="DV73" s="553"/>
      <c r="DW73" s="554"/>
      <c r="DY73" s="975" t="s">
        <v>96</v>
      </c>
      <c r="DZ73" s="976"/>
      <c r="EA73" s="976"/>
      <c r="EB73" s="976"/>
      <c r="EC73" s="976"/>
      <c r="ED73" s="976"/>
      <c r="EE73" s="976"/>
      <c r="EF73" s="976"/>
      <c r="EG73" s="976"/>
      <c r="EH73" s="976"/>
      <c r="EI73" s="976"/>
      <c r="EJ73" s="976"/>
      <c r="EK73" s="976"/>
      <c r="EL73" s="976"/>
      <c r="EM73" s="976"/>
      <c r="EO73" s="990" t="s">
        <v>93</v>
      </c>
      <c r="EP73" s="969"/>
      <c r="EQ73" s="969"/>
      <c r="ER73" s="969"/>
      <c r="ES73" s="969"/>
      <c r="ET73" s="969"/>
      <c r="EU73" s="970"/>
      <c r="EV73" s="555">
        <v>2465</v>
      </c>
      <c r="EW73" s="555">
        <v>3306</v>
      </c>
      <c r="EX73" s="555">
        <v>3576</v>
      </c>
      <c r="EY73" s="556">
        <v>8.166969147E-2</v>
      </c>
      <c r="EZ73" s="556">
        <v>0.45070993914800001</v>
      </c>
      <c r="FA73" s="555">
        <v>1111</v>
      </c>
      <c r="FB73" s="553"/>
      <c r="FC73" s="554"/>
      <c r="FE73" s="990" t="s">
        <v>93</v>
      </c>
      <c r="FF73" s="969"/>
      <c r="FG73" s="969"/>
      <c r="FH73" s="969"/>
      <c r="FI73" s="969"/>
      <c r="FJ73" s="969"/>
      <c r="FK73" s="970"/>
      <c r="FL73" s="555">
        <v>174</v>
      </c>
      <c r="FM73" s="555">
        <v>190</v>
      </c>
      <c r="FN73" s="555">
        <v>190</v>
      </c>
      <c r="FO73" s="556">
        <v>0</v>
      </c>
      <c r="FP73" s="556">
        <v>9.1954022987999998E-2</v>
      </c>
      <c r="FQ73" s="555">
        <v>16</v>
      </c>
      <c r="FR73" s="553"/>
      <c r="FS73" s="554"/>
      <c r="HW73" s="713"/>
      <c r="HX73" s="742"/>
      <c r="IB73" s="831"/>
      <c r="IC73" s="585"/>
      <c r="KI73" s="713"/>
      <c r="KJ73" s="742"/>
      <c r="KN73" s="585"/>
      <c r="KO73" s="585"/>
    </row>
    <row r="74" spans="1:301" ht="15.6" thickBot="1">
      <c r="A74" s="990" t="s">
        <v>94</v>
      </c>
      <c r="B74" s="969"/>
      <c r="C74" s="969"/>
      <c r="D74" s="969"/>
      <c r="E74" s="969"/>
      <c r="F74" s="969"/>
      <c r="G74" s="970"/>
      <c r="H74" s="555">
        <v>82</v>
      </c>
      <c r="I74" s="555">
        <v>101</v>
      </c>
      <c r="J74" s="555">
        <v>102</v>
      </c>
      <c r="K74" s="556">
        <v>9.9009900989999993E-3</v>
      </c>
      <c r="L74" s="556">
        <v>0.243902439024</v>
      </c>
      <c r="M74" s="555">
        <v>20</v>
      </c>
      <c r="N74" s="553"/>
      <c r="O74" s="554"/>
      <c r="Q74" s="975" t="s">
        <v>96</v>
      </c>
      <c r="R74" s="976"/>
      <c r="S74" s="976"/>
      <c r="T74" s="976"/>
      <c r="U74" s="976"/>
      <c r="V74" s="976"/>
      <c r="W74" s="976"/>
      <c r="X74" s="976"/>
      <c r="Y74" s="976"/>
      <c r="Z74" s="976"/>
      <c r="AA74" s="976"/>
      <c r="AB74" s="976"/>
      <c r="AC74" s="976"/>
      <c r="AD74" s="976"/>
      <c r="AE74" s="976"/>
      <c r="AG74" s="990" t="s">
        <v>93</v>
      </c>
      <c r="AH74" s="969"/>
      <c r="AI74" s="969"/>
      <c r="AJ74" s="969"/>
      <c r="AK74" s="969"/>
      <c r="AL74" s="969"/>
      <c r="AM74" s="970"/>
      <c r="AN74" s="555">
        <v>6060</v>
      </c>
      <c r="AO74" s="555">
        <v>5633</v>
      </c>
      <c r="AP74" s="555">
        <v>5073</v>
      </c>
      <c r="AQ74" s="556">
        <v>-9.9414166518000002E-2</v>
      </c>
      <c r="AR74" s="556">
        <v>-0.162871287128</v>
      </c>
      <c r="AS74" s="555">
        <v>-987</v>
      </c>
      <c r="AT74" s="553"/>
      <c r="AU74" s="554"/>
      <c r="AW74" s="990" t="s">
        <v>94</v>
      </c>
      <c r="AX74" s="969"/>
      <c r="AY74" s="969"/>
      <c r="AZ74" s="969"/>
      <c r="BA74" s="969"/>
      <c r="BB74" s="969"/>
      <c r="BC74" s="970"/>
      <c r="BD74" s="555">
        <v>1045</v>
      </c>
      <c r="BE74" s="555">
        <v>1129</v>
      </c>
      <c r="BF74" s="555">
        <v>1212</v>
      </c>
      <c r="BG74" s="556">
        <v>7.3516386182000001E-2</v>
      </c>
      <c r="BH74" s="556">
        <v>0.15980861244</v>
      </c>
      <c r="BI74" s="555">
        <v>167</v>
      </c>
      <c r="BJ74" s="553"/>
      <c r="BK74" s="554"/>
      <c r="BM74" s="990" t="s">
        <v>93</v>
      </c>
      <c r="BN74" s="969"/>
      <c r="BO74" s="969"/>
      <c r="BP74" s="969"/>
      <c r="BQ74" s="969"/>
      <c r="BR74" s="969"/>
      <c r="BS74" s="970"/>
      <c r="BT74" s="555">
        <v>12</v>
      </c>
      <c r="BU74" s="555">
        <v>20</v>
      </c>
      <c r="BV74" s="555">
        <v>14</v>
      </c>
      <c r="BW74" s="556">
        <v>-0.3</v>
      </c>
      <c r="BX74" s="556">
        <v>0.166666666666</v>
      </c>
      <c r="BY74" s="555">
        <v>2</v>
      </c>
      <c r="BZ74" s="553"/>
      <c r="CA74" s="554"/>
      <c r="CC74" s="990" t="s">
        <v>94</v>
      </c>
      <c r="CD74" s="969"/>
      <c r="CE74" s="969"/>
      <c r="CF74" s="969"/>
      <c r="CG74" s="969"/>
      <c r="CH74" s="969"/>
      <c r="CI74" s="970"/>
      <c r="CJ74" s="555">
        <v>665</v>
      </c>
      <c r="CK74" s="555">
        <v>786</v>
      </c>
      <c r="CL74" s="555">
        <v>815</v>
      </c>
      <c r="CM74" s="556">
        <v>3.68956743E-2</v>
      </c>
      <c r="CN74" s="556">
        <v>0.22556390977400001</v>
      </c>
      <c r="CO74" s="555">
        <v>150</v>
      </c>
      <c r="CP74" s="553"/>
      <c r="CQ74" s="554"/>
      <c r="CS74" s="544"/>
      <c r="CT74" s="545"/>
      <c r="CU74" s="545"/>
      <c r="CV74" s="545"/>
      <c r="CW74" s="545"/>
      <c r="CX74" s="545"/>
      <c r="CY74" s="546"/>
      <c r="CZ74" s="593" t="s">
        <v>78</v>
      </c>
      <c r="DA74" s="593" t="s">
        <v>161</v>
      </c>
      <c r="DB74" s="593" t="s">
        <v>162</v>
      </c>
      <c r="DC74" s="593" t="s">
        <v>79</v>
      </c>
      <c r="DD74" s="593" t="s">
        <v>80</v>
      </c>
      <c r="DE74" s="593" t="s">
        <v>81</v>
      </c>
      <c r="DF74" s="593" t="s">
        <v>448</v>
      </c>
      <c r="DG74" s="593" t="s">
        <v>82</v>
      </c>
      <c r="DI74" s="990" t="s">
        <v>92</v>
      </c>
      <c r="DJ74" s="969"/>
      <c r="DK74" s="969"/>
      <c r="DL74" s="969"/>
      <c r="DM74" s="969"/>
      <c r="DN74" s="969"/>
      <c r="DO74" s="970"/>
      <c r="DP74" s="555">
        <v>50771</v>
      </c>
      <c r="DQ74" s="555">
        <v>43000</v>
      </c>
      <c r="DR74" s="555">
        <v>43660</v>
      </c>
      <c r="DS74" s="556">
        <v>1.5348837209E-2</v>
      </c>
      <c r="DT74" s="556">
        <v>-0.14006027062599999</v>
      </c>
      <c r="DU74" s="555">
        <v>-7111</v>
      </c>
      <c r="DV74" s="553"/>
      <c r="DW74" s="554"/>
      <c r="DY74" s="544"/>
      <c r="DZ74" s="545"/>
      <c r="EA74" s="545"/>
      <c r="EB74" s="545"/>
      <c r="EC74" s="545"/>
      <c r="ED74" s="545"/>
      <c r="EE74" s="546"/>
      <c r="EF74" s="593" t="s">
        <v>78</v>
      </c>
      <c r="EG74" s="593" t="s">
        <v>161</v>
      </c>
      <c r="EH74" s="593" t="s">
        <v>162</v>
      </c>
      <c r="EI74" s="593" t="s">
        <v>79</v>
      </c>
      <c r="EJ74" s="593" t="s">
        <v>80</v>
      </c>
      <c r="EK74" s="593" t="s">
        <v>81</v>
      </c>
      <c r="EL74" s="593" t="s">
        <v>448</v>
      </c>
      <c r="EM74" s="593" t="s">
        <v>82</v>
      </c>
      <c r="EO74" s="990" t="s">
        <v>94</v>
      </c>
      <c r="EP74" s="969"/>
      <c r="EQ74" s="969"/>
      <c r="ER74" s="969"/>
      <c r="ES74" s="969"/>
      <c r="ET74" s="969"/>
      <c r="EU74" s="970"/>
      <c r="EV74" s="555">
        <v>340</v>
      </c>
      <c r="EW74" s="555">
        <v>418</v>
      </c>
      <c r="EX74" s="555">
        <v>507</v>
      </c>
      <c r="EY74" s="556">
        <v>0.21291866028699999</v>
      </c>
      <c r="EZ74" s="556">
        <v>0.49117647058800001</v>
      </c>
      <c r="FA74" s="555">
        <v>167</v>
      </c>
      <c r="FB74" s="553"/>
      <c r="FC74" s="554"/>
      <c r="FE74" s="990" t="s">
        <v>94</v>
      </c>
      <c r="FF74" s="969"/>
      <c r="FG74" s="969"/>
      <c r="FH74" s="969"/>
      <c r="FI74" s="969"/>
      <c r="FJ74" s="969"/>
      <c r="FK74" s="970"/>
      <c r="FL74" s="555">
        <v>279</v>
      </c>
      <c r="FM74" s="555">
        <v>226</v>
      </c>
      <c r="FN74" s="555">
        <v>231</v>
      </c>
      <c r="FO74" s="556">
        <v>2.2123893804999999E-2</v>
      </c>
      <c r="FP74" s="556">
        <v>-0.17204301075199999</v>
      </c>
      <c r="FQ74" s="555">
        <v>-48</v>
      </c>
      <c r="FR74" s="553"/>
      <c r="FS74" s="554"/>
      <c r="GL74" s="353">
        <v>8</v>
      </c>
      <c r="GM74" s="353" t="s">
        <v>138</v>
      </c>
      <c r="GN74" s="583">
        <f t="shared" ref="GN74:GS74" si="245">+GN25/GN10</f>
        <v>0.12081274025260846</v>
      </c>
      <c r="GO74" s="583">
        <f t="shared" si="245"/>
        <v>0.12126461671719359</v>
      </c>
      <c r="GP74" s="583">
        <f t="shared" si="245"/>
        <v>0.14058144165671047</v>
      </c>
      <c r="GQ74" s="583">
        <f t="shared" si="245"/>
        <v>0.15104895104895105</v>
      </c>
      <c r="GR74" s="583">
        <f t="shared" si="245"/>
        <v>0.1126885536823425</v>
      </c>
      <c r="GS74" s="583">
        <f t="shared" si="245"/>
        <v>0.12434963579604578</v>
      </c>
      <c r="GT74" s="583">
        <f t="shared" ref="GT74:HL74" si="246">+GT25/GT10</f>
        <v>0.15020511202272011</v>
      </c>
      <c r="GU74" s="583">
        <f t="shared" si="246"/>
        <v>0.14925373134328357</v>
      </c>
      <c r="GV74" s="583">
        <f t="shared" si="246"/>
        <v>0.12570821529745044</v>
      </c>
      <c r="GW74" s="583">
        <f t="shared" si="246"/>
        <v>0.12525910571513177</v>
      </c>
      <c r="GX74" s="583">
        <f t="shared" si="246"/>
        <v>0.20185614849187936</v>
      </c>
      <c r="GY74" s="583">
        <f t="shared" si="246"/>
        <v>0.1654312668463612</v>
      </c>
      <c r="GZ74" s="583">
        <f t="shared" si="246"/>
        <v>8.4627329192546577E-2</v>
      </c>
      <c r="HA74" s="583">
        <f t="shared" si="246"/>
        <v>9.1777550324121465E-2</v>
      </c>
      <c r="HB74" s="583">
        <f t="shared" si="246"/>
        <v>0.11018518518518519</v>
      </c>
      <c r="HC74" s="583">
        <f t="shared" si="246"/>
        <v>6.4413938753959871E-2</v>
      </c>
      <c r="HD74" s="583">
        <f t="shared" si="246"/>
        <v>5.4858205485820551E-2</v>
      </c>
      <c r="HE74" s="583">
        <f t="shared" si="246"/>
        <v>6.3806380638063806E-2</v>
      </c>
      <c r="HF74" s="583">
        <f t="shared" si="246"/>
        <v>0.12330623306233063</v>
      </c>
      <c r="HG74" s="583">
        <f t="shared" si="246"/>
        <v>0.18029115341545351</v>
      </c>
      <c r="HH74" s="583">
        <f t="shared" si="246"/>
        <v>0.20214735283228433</v>
      </c>
      <c r="HI74" s="583">
        <f t="shared" si="246"/>
        <v>0.16690595836324479</v>
      </c>
      <c r="HJ74" s="583">
        <f t="shared" si="246"/>
        <v>0.18764637002341919</v>
      </c>
      <c r="HK74" s="583">
        <f t="shared" si="246"/>
        <v>0.22137681159420289</v>
      </c>
      <c r="HL74" s="583">
        <f t="shared" si="246"/>
        <v>0.16836301950805768</v>
      </c>
      <c r="HM74" s="583">
        <f t="shared" ref="HM74:HN74" si="247">+HM25/HM10</f>
        <v>0.18260869565217391</v>
      </c>
      <c r="HN74" s="583">
        <f t="shared" si="247"/>
        <v>0.13419674841554147</v>
      </c>
      <c r="HO74" s="583">
        <f t="shared" ref="HO74:HQ74" si="248">+HO25/HO10</f>
        <v>0.22249388753056235</v>
      </c>
      <c r="HP74" s="583">
        <f t="shared" si="248"/>
        <v>0.17828685258964144</v>
      </c>
      <c r="HQ74" s="583">
        <f t="shared" si="248"/>
        <v>0.16108247422680413</v>
      </c>
      <c r="HR74" s="583">
        <f t="shared" ref="HR74:HT74" si="249">+HR25/HR10</f>
        <v>0.15522875816993464</v>
      </c>
      <c r="HS74" s="583">
        <f t="shared" si="249"/>
        <v>0.17241379310344829</v>
      </c>
      <c r="HT74" s="583">
        <f t="shared" si="249"/>
        <v>0.3782322122697313</v>
      </c>
      <c r="HU74" s="583">
        <f t="shared" ref="HU74:HZ74" si="250">+HU25/HU10</f>
        <v>0.29257200606366851</v>
      </c>
      <c r="HV74" s="583">
        <f t="shared" si="250"/>
        <v>0.27474842031359703</v>
      </c>
      <c r="HW74" s="583">
        <f t="shared" si="250"/>
        <v>0.19179133103183735</v>
      </c>
      <c r="HX74" s="583">
        <f t="shared" si="250"/>
        <v>0.18868613138686133</v>
      </c>
      <c r="HY74" s="583">
        <f t="shared" si="250"/>
        <v>0.16821310984735111</v>
      </c>
      <c r="HZ74" s="583">
        <f t="shared" si="250"/>
        <v>0.17156374501992031</v>
      </c>
      <c r="IA74" s="583">
        <f t="shared" ref="IA74" si="251">+IA25/IA10</f>
        <v>0.18493701420530689</v>
      </c>
      <c r="IB74" s="831">
        <f>+IB25/II10</f>
        <v>0.19688542825361513</v>
      </c>
      <c r="IC74" s="585">
        <f>+IC25/IJ10</f>
        <v>0.19071055059981545</v>
      </c>
      <c r="IV74" s="353">
        <v>8</v>
      </c>
      <c r="IW74" s="353" t="s">
        <v>138</v>
      </c>
      <c r="IX74" s="583">
        <f t="shared" ref="IX74:JE74" si="252">+IX25/IX10</f>
        <v>6.3152114222954414E-2</v>
      </c>
      <c r="IY74" s="583">
        <f t="shared" si="252"/>
        <v>5.6734517106972714E-2</v>
      </c>
      <c r="IZ74" s="583">
        <f t="shared" si="252"/>
        <v>6.5312624452409401E-2</v>
      </c>
      <c r="JA74" s="583">
        <f t="shared" si="252"/>
        <v>0.11398601398601399</v>
      </c>
      <c r="JB74" s="583">
        <f t="shared" si="252"/>
        <v>5.5456965394853591E-2</v>
      </c>
      <c r="JC74" s="583">
        <f t="shared" si="252"/>
        <v>4.0582726326742979E-2</v>
      </c>
      <c r="JD74" s="583">
        <f t="shared" si="252"/>
        <v>4.7964657620700533E-2</v>
      </c>
      <c r="JE74" s="583">
        <f t="shared" si="252"/>
        <v>7.1044776119402991E-2</v>
      </c>
      <c r="JF74" s="583">
        <f t="shared" ref="JF74:JY74" si="253">+JF25/JF10</f>
        <v>4.3555240793201132E-2</v>
      </c>
      <c r="JG74" s="583">
        <f t="shared" si="253"/>
        <v>3.731122297897542E-2</v>
      </c>
      <c r="JH74" s="583">
        <f t="shared" si="253"/>
        <v>6.8155452436194891E-2</v>
      </c>
      <c r="JI74" s="583">
        <f t="shared" si="253"/>
        <v>7.4123989218328842E-2</v>
      </c>
      <c r="JJ74" s="583">
        <f t="shared" si="253"/>
        <v>0.10675465838509317</v>
      </c>
      <c r="JK74" s="583">
        <f t="shared" si="253"/>
        <v>9.3142272262026607E-2</v>
      </c>
      <c r="JL74" s="583">
        <f t="shared" si="253"/>
        <v>0.11141975308641976</v>
      </c>
      <c r="JM74" s="583">
        <f t="shared" si="253"/>
        <v>4.5934530095036959E-2</v>
      </c>
      <c r="JN74" s="583">
        <f t="shared" si="253"/>
        <v>3.7656903765690378E-2</v>
      </c>
      <c r="JO74" s="583">
        <f t="shared" si="253"/>
        <v>3.4103410341034104E-2</v>
      </c>
      <c r="JP74" s="583">
        <f t="shared" si="253"/>
        <v>7.7913279132791322E-2</v>
      </c>
      <c r="JQ74" s="583">
        <f t="shared" si="253"/>
        <v>0.13829787234042554</v>
      </c>
      <c r="JR74" s="583">
        <f t="shared" si="253"/>
        <v>0.16993706034801925</v>
      </c>
      <c r="JS74" s="583">
        <f t="shared" si="253"/>
        <v>0.135678391959799</v>
      </c>
      <c r="JT74" s="583">
        <f t="shared" si="253"/>
        <v>0.14168618266978922</v>
      </c>
      <c r="JU74" s="583">
        <f t="shared" si="253"/>
        <v>0.13115942028985508</v>
      </c>
      <c r="JV74" s="583">
        <f t="shared" si="253"/>
        <v>0.11195928753180662</v>
      </c>
      <c r="JW74" s="583">
        <f t="shared" si="253"/>
        <v>0.14302848575712143</v>
      </c>
      <c r="JX74" s="583">
        <f t="shared" si="253"/>
        <v>0.10664094791953706</v>
      </c>
      <c r="JY74" s="583">
        <f t="shared" si="253"/>
        <v>0.16381418092909536</v>
      </c>
      <c r="JZ74" s="583">
        <f t="shared" ref="JZ74:KC74" si="254">+JZ25/JZ10</f>
        <v>0.15405046480743692</v>
      </c>
      <c r="KA74" s="583">
        <f t="shared" si="254"/>
        <v>0.15360824742268042</v>
      </c>
      <c r="KB74" s="583">
        <f t="shared" si="254"/>
        <v>0.1130718954248366</v>
      </c>
      <c r="KC74" s="583">
        <f t="shared" si="254"/>
        <v>0.13904338153503892</v>
      </c>
      <c r="KD74" s="583">
        <f t="shared" ref="KD74:KE74" si="255">+KD25/KD10</f>
        <v>0.25232381274294408</v>
      </c>
      <c r="KE74" s="583">
        <f t="shared" si="255"/>
        <v>0.23799898938858008</v>
      </c>
      <c r="KF74" s="583">
        <f t="shared" ref="KF74:KL74" si="256">+KF25/KF10</f>
        <v>0.27006786800842497</v>
      </c>
      <c r="KG74" s="583">
        <f t="shared" si="256"/>
        <v>0.1775987725354814</v>
      </c>
      <c r="KH74" s="583">
        <f t="shared" si="256"/>
        <v>0.10547445255474452</v>
      </c>
      <c r="KI74" s="583">
        <f t="shared" si="256"/>
        <v>0.10924872792577073</v>
      </c>
      <c r="KJ74" s="583">
        <f t="shared" si="256"/>
        <v>0.11279880478087649</v>
      </c>
      <c r="KK74" s="583">
        <f t="shared" si="256"/>
        <v>0.14151701956580007</v>
      </c>
      <c r="KL74" s="583">
        <f t="shared" si="256"/>
        <v>0.14114258281325012</v>
      </c>
      <c r="KM74" s="583">
        <f t="shared" ref="KM74" si="257">+KM25/KM10</f>
        <v>0.13728813559322034</v>
      </c>
      <c r="KN74" s="585">
        <f>+KN25/KS10</f>
        <v>0.13125695216907676</v>
      </c>
      <c r="KO74" s="585">
        <f>+KO25/KT10</f>
        <v>0.30698246693325132</v>
      </c>
    </row>
    <row r="75" spans="1:301" ht="15.6" thickBot="1">
      <c r="A75" s="991" t="s">
        <v>95</v>
      </c>
      <c r="B75" s="992"/>
      <c r="C75" s="992"/>
      <c r="D75" s="992"/>
      <c r="E75" s="992"/>
      <c r="F75" s="992"/>
      <c r="G75" s="993"/>
      <c r="H75" s="557">
        <v>46886</v>
      </c>
      <c r="I75" s="557">
        <v>46614</v>
      </c>
      <c r="J75" s="557">
        <v>43841</v>
      </c>
      <c r="K75" s="558">
        <v>-5.9488565665999998E-2</v>
      </c>
      <c r="L75" s="558">
        <v>-6.4944759628999996E-2</v>
      </c>
      <c r="M75" s="557">
        <v>-3045</v>
      </c>
      <c r="N75" s="559"/>
      <c r="O75" s="560"/>
      <c r="Q75" s="544"/>
      <c r="R75" s="545"/>
      <c r="S75" s="545"/>
      <c r="T75" s="545"/>
      <c r="U75" s="545"/>
      <c r="V75" s="545"/>
      <c r="W75" s="546"/>
      <c r="X75" s="593" t="s">
        <v>78</v>
      </c>
      <c r="Y75" s="593" t="s">
        <v>161</v>
      </c>
      <c r="Z75" s="593" t="s">
        <v>162</v>
      </c>
      <c r="AA75" s="593" t="s">
        <v>79</v>
      </c>
      <c r="AB75" s="593" t="s">
        <v>80</v>
      </c>
      <c r="AC75" s="593" t="s">
        <v>81</v>
      </c>
      <c r="AD75" s="593" t="s">
        <v>448</v>
      </c>
      <c r="AE75" s="593" t="s">
        <v>82</v>
      </c>
      <c r="AG75" s="990" t="s">
        <v>94</v>
      </c>
      <c r="AH75" s="969"/>
      <c r="AI75" s="969"/>
      <c r="AJ75" s="969"/>
      <c r="AK75" s="969"/>
      <c r="AL75" s="969"/>
      <c r="AM75" s="970"/>
      <c r="AN75" s="555">
        <v>821</v>
      </c>
      <c r="AO75" s="555">
        <v>1006</v>
      </c>
      <c r="AP75" s="555">
        <v>1048</v>
      </c>
      <c r="AQ75" s="556">
        <v>4.1749502982000003E-2</v>
      </c>
      <c r="AR75" s="556">
        <v>0.27649208282499999</v>
      </c>
      <c r="AS75" s="555">
        <v>227</v>
      </c>
      <c r="AT75" s="553"/>
      <c r="AU75" s="554"/>
      <c r="AW75" s="990" t="s">
        <v>130</v>
      </c>
      <c r="AX75" s="969"/>
      <c r="AY75" s="969"/>
      <c r="AZ75" s="969"/>
      <c r="BA75" s="969"/>
      <c r="BB75" s="969"/>
      <c r="BC75" s="970"/>
      <c r="BD75" s="555">
        <v>910</v>
      </c>
      <c r="BE75" s="555">
        <v>0</v>
      </c>
      <c r="BF75" s="555">
        <v>0</v>
      </c>
      <c r="BG75" s="553"/>
      <c r="BH75" s="556">
        <v>-1</v>
      </c>
      <c r="BI75" s="555">
        <v>-910</v>
      </c>
      <c r="BJ75" s="553"/>
      <c r="BK75" s="554"/>
      <c r="BM75" s="990" t="s">
        <v>94</v>
      </c>
      <c r="BN75" s="969"/>
      <c r="BO75" s="969"/>
      <c r="BP75" s="969"/>
      <c r="BQ75" s="969"/>
      <c r="BR75" s="969"/>
      <c r="BS75" s="970"/>
      <c r="BT75" s="555">
        <v>122</v>
      </c>
      <c r="BU75" s="555">
        <v>183</v>
      </c>
      <c r="BV75" s="555">
        <v>300</v>
      </c>
      <c r="BW75" s="556">
        <v>0.63934426229499997</v>
      </c>
      <c r="BX75" s="556">
        <v>1.459016393442</v>
      </c>
      <c r="BY75" s="555">
        <v>178</v>
      </c>
      <c r="BZ75" s="553"/>
      <c r="CA75" s="554"/>
      <c r="CC75" s="991" t="s">
        <v>95</v>
      </c>
      <c r="CD75" s="992"/>
      <c r="CE75" s="992"/>
      <c r="CF75" s="992"/>
      <c r="CG75" s="992"/>
      <c r="CH75" s="992"/>
      <c r="CI75" s="993"/>
      <c r="CJ75" s="557">
        <v>276049</v>
      </c>
      <c r="CK75" s="557">
        <v>300773</v>
      </c>
      <c r="CL75" s="557">
        <v>302057</v>
      </c>
      <c r="CM75" s="558">
        <v>4.2690002089999998E-3</v>
      </c>
      <c r="CN75" s="558">
        <v>9.4215157453000006E-2</v>
      </c>
      <c r="CO75" s="557">
        <v>26008</v>
      </c>
      <c r="CP75" s="559"/>
      <c r="CQ75" s="560"/>
      <c r="CS75" s="994" t="s">
        <v>45</v>
      </c>
      <c r="CT75" s="978"/>
      <c r="CU75" s="978"/>
      <c r="CV75" s="978"/>
      <c r="CW75" s="978"/>
      <c r="CX75" s="978"/>
      <c r="CY75" s="979"/>
      <c r="CZ75" s="555">
        <v>72456</v>
      </c>
      <c r="DA75" s="555">
        <v>0</v>
      </c>
      <c r="DB75" s="555">
        <v>75621</v>
      </c>
      <c r="DC75" s="553"/>
      <c r="DD75" s="556">
        <v>4.3681682675999998E-2</v>
      </c>
      <c r="DE75" s="555">
        <v>3165</v>
      </c>
      <c r="DF75" s="553"/>
      <c r="DG75" s="554"/>
      <c r="DI75" s="990" t="s">
        <v>93</v>
      </c>
      <c r="DJ75" s="969"/>
      <c r="DK75" s="969"/>
      <c r="DL75" s="969"/>
      <c r="DM75" s="969"/>
      <c r="DN75" s="969"/>
      <c r="DO75" s="970"/>
      <c r="DP75" s="555">
        <v>77</v>
      </c>
      <c r="DQ75" s="555">
        <v>61</v>
      </c>
      <c r="DR75" s="555">
        <v>63</v>
      </c>
      <c r="DS75" s="556">
        <v>3.2786885245000001E-2</v>
      </c>
      <c r="DT75" s="556">
        <v>-0.181818181818</v>
      </c>
      <c r="DU75" s="555">
        <v>-14</v>
      </c>
      <c r="DV75" s="553"/>
      <c r="DW75" s="554"/>
      <c r="DY75" s="994" t="s">
        <v>45</v>
      </c>
      <c r="DZ75" s="978"/>
      <c r="EA75" s="978"/>
      <c r="EB75" s="978"/>
      <c r="EC75" s="978"/>
      <c r="ED75" s="978"/>
      <c r="EE75" s="979"/>
      <c r="EF75" s="555">
        <v>26723</v>
      </c>
      <c r="EG75" s="555">
        <v>0</v>
      </c>
      <c r="EH75" s="555">
        <v>28382</v>
      </c>
      <c r="EI75" s="553"/>
      <c r="EJ75" s="556">
        <v>6.2081353141000002E-2</v>
      </c>
      <c r="EK75" s="555">
        <v>1659</v>
      </c>
      <c r="EL75" s="553"/>
      <c r="EM75" s="554"/>
      <c r="EO75" s="991" t="s">
        <v>95</v>
      </c>
      <c r="EP75" s="992"/>
      <c r="EQ75" s="992"/>
      <c r="ER75" s="992"/>
      <c r="ES75" s="992"/>
      <c r="ET75" s="992"/>
      <c r="EU75" s="993"/>
      <c r="EV75" s="557">
        <v>213144</v>
      </c>
      <c r="EW75" s="557">
        <v>219391</v>
      </c>
      <c r="EX75" s="557">
        <v>217767</v>
      </c>
      <c r="EY75" s="558">
        <v>-7.4023091190000001E-3</v>
      </c>
      <c r="EZ75" s="558">
        <v>2.1689561986E-2</v>
      </c>
      <c r="FA75" s="557">
        <v>4623</v>
      </c>
      <c r="FB75" s="559"/>
      <c r="FC75" s="560"/>
      <c r="FE75" s="990" t="s">
        <v>130</v>
      </c>
      <c r="FF75" s="969"/>
      <c r="FG75" s="969"/>
      <c r="FH75" s="969"/>
      <c r="FI75" s="969"/>
      <c r="FJ75" s="969"/>
      <c r="FK75" s="970"/>
      <c r="FL75" s="555">
        <v>847</v>
      </c>
      <c r="FM75" s="555">
        <v>0</v>
      </c>
      <c r="FN75" s="555">
        <v>0</v>
      </c>
      <c r="FO75" s="553"/>
      <c r="FP75" s="556">
        <v>-1</v>
      </c>
      <c r="FQ75" s="555">
        <v>-847</v>
      </c>
      <c r="FR75" s="553"/>
      <c r="FS75" s="554"/>
      <c r="GL75" s="353">
        <v>9</v>
      </c>
      <c r="GM75" s="353" t="s">
        <v>132</v>
      </c>
      <c r="GN75" s="583">
        <f t="shared" ref="GN75:GS75" si="258">+GN21/GN6</f>
        <v>0.14828209764918626</v>
      </c>
      <c r="GO75" s="583">
        <f t="shared" si="258"/>
        <v>0.15374592833876222</v>
      </c>
      <c r="GP75" s="583">
        <f t="shared" si="258"/>
        <v>0.18106312292358803</v>
      </c>
      <c r="GQ75" s="583">
        <f t="shared" si="258"/>
        <v>0.21268850754030161</v>
      </c>
      <c r="GR75" s="583">
        <f t="shared" si="258"/>
        <v>0.27461415646620541</v>
      </c>
      <c r="GS75" s="583">
        <f t="shared" si="258"/>
        <v>0.32512700273544354</v>
      </c>
      <c r="GT75" s="583">
        <f t="shared" ref="GT75:HL75" si="259">+GT21/GT6</f>
        <v>0.21995926680244399</v>
      </c>
      <c r="GU75" s="583">
        <f t="shared" si="259"/>
        <v>0.22152974504249293</v>
      </c>
      <c r="GV75" s="583">
        <f t="shared" si="259"/>
        <v>0.23736372646184342</v>
      </c>
      <c r="GW75" s="583">
        <f t="shared" si="259"/>
        <v>0.26156141223272006</v>
      </c>
      <c r="GX75" s="583">
        <f t="shared" si="259"/>
        <v>0.33974025974025973</v>
      </c>
      <c r="GY75" s="583">
        <f t="shared" si="259"/>
        <v>0.41924157303370785</v>
      </c>
      <c r="GZ75" s="583">
        <f t="shared" si="259"/>
        <v>0.28896103896103897</v>
      </c>
      <c r="HA75" s="583">
        <f t="shared" si="259"/>
        <v>0.31100478468899523</v>
      </c>
      <c r="HB75" s="583">
        <f t="shared" si="259"/>
        <v>0.3883248730964467</v>
      </c>
      <c r="HC75" s="583">
        <f t="shared" si="259"/>
        <v>0.32212160413971541</v>
      </c>
      <c r="HD75" s="583">
        <f t="shared" si="259"/>
        <v>0.34177215189873417</v>
      </c>
      <c r="HE75" s="583">
        <f t="shared" si="259"/>
        <v>0.20124481327800831</v>
      </c>
      <c r="HF75" s="583">
        <f t="shared" si="259"/>
        <v>0.15673693858845097</v>
      </c>
      <c r="HG75" s="583">
        <f t="shared" si="259"/>
        <v>0.14524555903866249</v>
      </c>
      <c r="HH75" s="583">
        <f t="shared" si="259"/>
        <v>0.28885135135135137</v>
      </c>
      <c r="HI75" s="583">
        <f t="shared" si="259"/>
        <v>0.232355273592387</v>
      </c>
      <c r="HJ75" s="583">
        <f t="shared" si="259"/>
        <v>0.20717488789237667</v>
      </c>
      <c r="HK75" s="583">
        <f t="shared" si="259"/>
        <v>0.21147356580427445</v>
      </c>
      <c r="HL75" s="583">
        <f t="shared" si="259"/>
        <v>0.1705685618729097</v>
      </c>
      <c r="HM75" s="583">
        <f t="shared" ref="HM75:HN75" si="260">+HM21/HM6</f>
        <v>0.19533762057877813</v>
      </c>
      <c r="HN75" s="583">
        <f t="shared" si="260"/>
        <v>0.11175337186897881</v>
      </c>
      <c r="HO75" s="583">
        <f t="shared" ref="HO75:HQ75" si="261">+HO21/HO6</f>
        <v>0.23800623052959502</v>
      </c>
      <c r="HP75" s="583">
        <f t="shared" si="261"/>
        <v>6.6761363636363633E-2</v>
      </c>
      <c r="HQ75" s="583">
        <f t="shared" si="261"/>
        <v>0.1598248494800219</v>
      </c>
      <c r="HR75" s="583">
        <f t="shared" ref="HR75:HT75" si="262">+HR21/HR6</f>
        <v>0.27974683544303797</v>
      </c>
      <c r="HS75" s="583">
        <f t="shared" si="262"/>
        <v>0.30705622932745313</v>
      </c>
      <c r="HT75" s="583">
        <f t="shared" si="262"/>
        <v>0.30816554809843399</v>
      </c>
      <c r="HU75" s="583">
        <f t="shared" ref="HU75:HX75" si="263">+HU21/HU6</f>
        <v>0.18048268625393493</v>
      </c>
      <c r="HV75" s="583">
        <f t="shared" si="263"/>
        <v>0.37658802177858441</v>
      </c>
      <c r="HW75" s="583">
        <f t="shared" si="263"/>
        <v>0.17118226600985223</v>
      </c>
      <c r="HX75" s="583">
        <f t="shared" si="263"/>
        <v>0.25395778364116095</v>
      </c>
      <c r="HY75" s="583">
        <f t="shared" ref="HY75:HZ75" si="264">+HY26/HY11</f>
        <v>0.11682242990654206</v>
      </c>
      <c r="HZ75" s="583">
        <f t="shared" si="264"/>
        <v>0.18974358974358974</v>
      </c>
      <c r="IA75" s="583">
        <f t="shared" ref="IA75" si="265">+IA26/IA11</f>
        <v>0.13043478260869565</v>
      </c>
      <c r="IB75" s="831">
        <f>+IB21/II6</f>
        <v>0.33423423423423421</v>
      </c>
      <c r="IC75" s="585">
        <f>+IC21/IJ6</f>
        <v>0.15724815724815724</v>
      </c>
      <c r="IV75" s="353">
        <v>9</v>
      </c>
      <c r="IW75" s="353" t="s">
        <v>132</v>
      </c>
      <c r="IX75" s="583">
        <f t="shared" ref="IX75:JE75" si="266">+IX21/IX6</f>
        <v>8.3785412899336956E-2</v>
      </c>
      <c r="IY75" s="583">
        <f t="shared" si="266"/>
        <v>0.1022801302931596</v>
      </c>
      <c r="IZ75" s="583">
        <f t="shared" si="266"/>
        <v>0.13621262458471761</v>
      </c>
      <c r="JA75" s="583">
        <f t="shared" si="266"/>
        <v>0.16484659386375455</v>
      </c>
      <c r="JB75" s="583">
        <f t="shared" si="266"/>
        <v>0.21075039914848323</v>
      </c>
      <c r="JC75" s="583">
        <f t="shared" si="266"/>
        <v>0.31848378272762801</v>
      </c>
      <c r="JD75" s="583">
        <f t="shared" si="266"/>
        <v>0.17515274949083504</v>
      </c>
      <c r="JE75" s="583">
        <f t="shared" si="266"/>
        <v>0.15070821529745043</v>
      </c>
      <c r="JF75" s="583">
        <f t="shared" ref="JF75:JY75" si="267">+JF21/JF6</f>
        <v>0.20465807730426164</v>
      </c>
      <c r="JG75" s="583">
        <f t="shared" si="267"/>
        <v>0.1253107906514172</v>
      </c>
      <c r="JH75" s="583">
        <f t="shared" si="267"/>
        <v>0.20623376623376624</v>
      </c>
      <c r="JI75" s="583">
        <f t="shared" si="267"/>
        <v>0.3433988764044944</v>
      </c>
      <c r="JJ75" s="583">
        <f t="shared" si="267"/>
        <v>0.27326839826839827</v>
      </c>
      <c r="JK75" s="583">
        <f t="shared" si="267"/>
        <v>0.32416267942583732</v>
      </c>
      <c r="JL75" s="583">
        <f t="shared" si="267"/>
        <v>0.40355329949238578</v>
      </c>
      <c r="JM75" s="583">
        <f t="shared" si="267"/>
        <v>0.38745148771021992</v>
      </c>
      <c r="JN75" s="583">
        <f t="shared" si="267"/>
        <v>0.33544303797468356</v>
      </c>
      <c r="JO75" s="583">
        <f t="shared" si="267"/>
        <v>0.21784232365145229</v>
      </c>
      <c r="JP75" s="583">
        <f t="shared" si="267"/>
        <v>0.15307057745187902</v>
      </c>
      <c r="JQ75" s="583">
        <f t="shared" si="267"/>
        <v>0.13166144200626959</v>
      </c>
      <c r="JR75" s="583">
        <f t="shared" si="267"/>
        <v>0.23648648648648649</v>
      </c>
      <c r="JS75" s="583">
        <f t="shared" si="267"/>
        <v>0.1950832672482157</v>
      </c>
      <c r="JT75" s="583">
        <f t="shared" si="267"/>
        <v>0.16950672645739912</v>
      </c>
      <c r="JU75" s="583">
        <f t="shared" si="267"/>
        <v>0.14285714285714285</v>
      </c>
      <c r="JV75" s="583">
        <f t="shared" si="267"/>
        <v>0.12290969899665552</v>
      </c>
      <c r="JW75" s="583">
        <f t="shared" si="267"/>
        <v>0.15836012861736334</v>
      </c>
      <c r="JX75" s="583">
        <f t="shared" si="267"/>
        <v>0.15671162491971741</v>
      </c>
      <c r="JY75" s="583">
        <f t="shared" si="267"/>
        <v>0.12461059190031153</v>
      </c>
      <c r="JZ75" s="583">
        <f t="shared" ref="JZ75:KC75" si="268">+JZ21/JZ6</f>
        <v>8.1676136363636367E-2</v>
      </c>
      <c r="KA75" s="583">
        <f t="shared" si="268"/>
        <v>4.707170224411604E-2</v>
      </c>
      <c r="KB75" s="583">
        <f t="shared" si="268"/>
        <v>0.22531645569620254</v>
      </c>
      <c r="KC75" s="583">
        <f t="shared" si="268"/>
        <v>0.26019845644983464</v>
      </c>
      <c r="KD75" s="583">
        <f t="shared" ref="KD75:KE75" si="269">+KD21/KD6</f>
        <v>0.28020134228187921</v>
      </c>
      <c r="KE75" s="583">
        <f t="shared" si="269"/>
        <v>0.25078698845750264</v>
      </c>
      <c r="KF75" s="583">
        <f t="shared" ref="KF75:KJ75" si="270">+KF21/KF6</f>
        <v>0.3352994555353902</v>
      </c>
      <c r="KG75" s="583">
        <f t="shared" si="270"/>
        <v>0.21859605911330049</v>
      </c>
      <c r="KH75" s="583">
        <f t="shared" si="270"/>
        <v>0.19393139841688653</v>
      </c>
      <c r="KI75" s="583">
        <f t="shared" si="270"/>
        <v>0.22372881355932203</v>
      </c>
      <c r="KJ75" s="583">
        <f t="shared" si="270"/>
        <v>0.18117901568415359</v>
      </c>
      <c r="KK75" s="583">
        <f t="shared" ref="KK75:KL75" si="271">+KK26/KK11</f>
        <v>0.11801242236024845</v>
      </c>
      <c r="KL75" s="583">
        <f t="shared" si="271"/>
        <v>0.14204545454545456</v>
      </c>
      <c r="KM75" s="583">
        <f t="shared" ref="KM75" si="272">+KM26/KM11</f>
        <v>8.9449541284403675E-2</v>
      </c>
      <c r="KN75" s="585">
        <f>+KN21/KS6</f>
        <v>0.21621621621621623</v>
      </c>
      <c r="KO75" s="585">
        <f>+KO21/KT6</f>
        <v>0.31695331695331697</v>
      </c>
    </row>
    <row r="76" spans="1:301" ht="15.6" thickBot="1">
      <c r="A76" s="975" t="s">
        <v>96</v>
      </c>
      <c r="B76" s="976"/>
      <c r="C76" s="976"/>
      <c r="D76" s="976"/>
      <c r="E76" s="976"/>
      <c r="F76" s="976"/>
      <c r="G76" s="976"/>
      <c r="H76" s="976"/>
      <c r="I76" s="976"/>
      <c r="J76" s="976"/>
      <c r="K76" s="976"/>
      <c r="L76" s="976"/>
      <c r="M76" s="976"/>
      <c r="N76" s="976"/>
      <c r="O76" s="976"/>
      <c r="Q76" s="994" t="s">
        <v>45</v>
      </c>
      <c r="R76" s="978"/>
      <c r="S76" s="978"/>
      <c r="T76" s="978"/>
      <c r="U76" s="978"/>
      <c r="V76" s="978"/>
      <c r="W76" s="979"/>
      <c r="X76" s="555">
        <v>76133</v>
      </c>
      <c r="Y76" s="555">
        <v>0</v>
      </c>
      <c r="Z76" s="555">
        <v>70145</v>
      </c>
      <c r="AA76" s="553"/>
      <c r="AB76" s="556">
        <v>-7.8651832975999994E-2</v>
      </c>
      <c r="AC76" s="555">
        <v>-5988</v>
      </c>
      <c r="AD76" s="553"/>
      <c r="AE76" s="554"/>
      <c r="AG76" s="991" t="s">
        <v>95</v>
      </c>
      <c r="AH76" s="992"/>
      <c r="AI76" s="992"/>
      <c r="AJ76" s="992"/>
      <c r="AK76" s="992"/>
      <c r="AL76" s="992"/>
      <c r="AM76" s="993"/>
      <c r="AN76" s="557">
        <v>390673</v>
      </c>
      <c r="AO76" s="557">
        <v>434975</v>
      </c>
      <c r="AP76" s="557">
        <v>438385</v>
      </c>
      <c r="AQ76" s="558">
        <v>7.8395310069999998E-3</v>
      </c>
      <c r="AR76" s="558">
        <v>0.122127712946</v>
      </c>
      <c r="AS76" s="557">
        <v>47712</v>
      </c>
      <c r="AT76" s="559"/>
      <c r="AU76" s="560"/>
      <c r="AW76" s="991" t="s">
        <v>95</v>
      </c>
      <c r="AX76" s="992"/>
      <c r="AY76" s="992"/>
      <c r="AZ76" s="992"/>
      <c r="BA76" s="992"/>
      <c r="BB76" s="992"/>
      <c r="BC76" s="993"/>
      <c r="BD76" s="557">
        <v>224003</v>
      </c>
      <c r="BE76" s="557">
        <v>232442</v>
      </c>
      <c r="BF76" s="557">
        <v>234030</v>
      </c>
      <c r="BG76" s="558">
        <v>6.8318118060000004E-3</v>
      </c>
      <c r="BH76" s="558">
        <v>4.4762793354999997E-2</v>
      </c>
      <c r="BI76" s="557">
        <v>10027</v>
      </c>
      <c r="BJ76" s="559"/>
      <c r="BK76" s="560"/>
      <c r="BM76" s="991" t="s">
        <v>95</v>
      </c>
      <c r="BN76" s="992"/>
      <c r="BO76" s="992"/>
      <c r="BP76" s="992"/>
      <c r="BQ76" s="992"/>
      <c r="BR76" s="992"/>
      <c r="BS76" s="993"/>
      <c r="BT76" s="557">
        <v>13845</v>
      </c>
      <c r="BU76" s="557">
        <v>17693</v>
      </c>
      <c r="BV76" s="557">
        <v>17595</v>
      </c>
      <c r="BW76" s="558">
        <v>-5.5389136940000002E-3</v>
      </c>
      <c r="BX76" s="558">
        <v>0.27085590465800002</v>
      </c>
      <c r="BY76" s="557">
        <v>3750</v>
      </c>
      <c r="BZ76" s="559"/>
      <c r="CA76" s="560"/>
      <c r="CC76" s="975" t="s">
        <v>96</v>
      </c>
      <c r="CD76" s="976"/>
      <c r="CE76" s="976"/>
      <c r="CF76" s="976"/>
      <c r="CG76" s="976"/>
      <c r="CH76" s="976"/>
      <c r="CI76" s="976"/>
      <c r="CJ76" s="976"/>
      <c r="CK76" s="976"/>
      <c r="CL76" s="976"/>
      <c r="CM76" s="976"/>
      <c r="CN76" s="976"/>
      <c r="CO76" s="976"/>
      <c r="CP76" s="976"/>
      <c r="CQ76" s="976"/>
      <c r="CS76" s="989" t="s">
        <v>97</v>
      </c>
      <c r="CT76" s="969"/>
      <c r="CU76" s="969"/>
      <c r="CV76" s="969"/>
      <c r="CW76" s="969"/>
      <c r="CX76" s="969"/>
      <c r="CY76" s="970"/>
      <c r="CZ76" s="555">
        <v>42968</v>
      </c>
      <c r="DA76" s="555">
        <v>0</v>
      </c>
      <c r="DB76" s="555">
        <v>43280</v>
      </c>
      <c r="DC76" s="553"/>
      <c r="DD76" s="556">
        <v>7.2612176500000004E-3</v>
      </c>
      <c r="DE76" s="555">
        <v>312</v>
      </c>
      <c r="DF76" s="553"/>
      <c r="DG76" s="554"/>
      <c r="DI76" s="990" t="s">
        <v>94</v>
      </c>
      <c r="DJ76" s="969"/>
      <c r="DK76" s="969"/>
      <c r="DL76" s="969"/>
      <c r="DM76" s="969"/>
      <c r="DN76" s="969"/>
      <c r="DO76" s="970"/>
      <c r="DP76" s="555">
        <v>357</v>
      </c>
      <c r="DQ76" s="555">
        <v>309</v>
      </c>
      <c r="DR76" s="555">
        <v>299</v>
      </c>
      <c r="DS76" s="556">
        <v>-3.2362459545999998E-2</v>
      </c>
      <c r="DT76" s="556">
        <v>-0.162464985994</v>
      </c>
      <c r="DU76" s="555">
        <v>-58</v>
      </c>
      <c r="DV76" s="553"/>
      <c r="DW76" s="554"/>
      <c r="DY76" s="989" t="s">
        <v>97</v>
      </c>
      <c r="DZ76" s="969"/>
      <c r="EA76" s="969"/>
      <c r="EB76" s="969"/>
      <c r="EC76" s="969"/>
      <c r="ED76" s="969"/>
      <c r="EE76" s="970"/>
      <c r="EF76" s="555">
        <v>3581</v>
      </c>
      <c r="EG76" s="555">
        <v>0</v>
      </c>
      <c r="EH76" s="555">
        <v>3502</v>
      </c>
      <c r="EI76" s="553"/>
      <c r="EJ76" s="556">
        <v>-2.2060876850000001E-2</v>
      </c>
      <c r="EK76" s="555">
        <v>-79</v>
      </c>
      <c r="EL76" s="553"/>
      <c r="EM76" s="554"/>
      <c r="EO76" s="975" t="s">
        <v>96</v>
      </c>
      <c r="EP76" s="976"/>
      <c r="EQ76" s="976"/>
      <c r="ER76" s="976"/>
      <c r="ES76" s="976"/>
      <c r="ET76" s="976"/>
      <c r="EU76" s="976"/>
      <c r="EV76" s="976"/>
      <c r="EW76" s="976"/>
      <c r="EX76" s="976"/>
      <c r="EY76" s="976"/>
      <c r="EZ76" s="976"/>
      <c r="FA76" s="976"/>
      <c r="FB76" s="976"/>
      <c r="FC76" s="976"/>
      <c r="FE76" s="991" t="s">
        <v>95</v>
      </c>
      <c r="FF76" s="992"/>
      <c r="FG76" s="992"/>
      <c r="FH76" s="992"/>
      <c r="FI76" s="992"/>
      <c r="FJ76" s="992"/>
      <c r="FK76" s="993"/>
      <c r="FL76" s="557">
        <v>47169</v>
      </c>
      <c r="FM76" s="557">
        <v>49173</v>
      </c>
      <c r="FN76" s="557">
        <v>51211</v>
      </c>
      <c r="FO76" s="558">
        <v>4.1445508713999997E-2</v>
      </c>
      <c r="FP76" s="558">
        <v>8.5691873900000007E-2</v>
      </c>
      <c r="FQ76" s="557">
        <v>4042</v>
      </c>
      <c r="FR76" s="559"/>
      <c r="FS76" s="560"/>
      <c r="GL76" s="353">
        <v>10</v>
      </c>
      <c r="GM76" s="353" t="s">
        <v>140</v>
      </c>
      <c r="GN76" s="583">
        <f t="shared" ref="GN76:HL76" si="273">+GN28/GN13</f>
        <v>0.19396551724137931</v>
      </c>
      <c r="GO76" s="583">
        <f t="shared" si="273"/>
        <v>0.18695652173913044</v>
      </c>
      <c r="GP76" s="583">
        <f t="shared" si="273"/>
        <v>0.23796033994334279</v>
      </c>
      <c r="GQ76" s="583">
        <f t="shared" si="273"/>
        <v>0.16560509554140126</v>
      </c>
      <c r="GR76" s="583">
        <f t="shared" si="273"/>
        <v>0.15104166666666666</v>
      </c>
      <c r="GS76" s="583">
        <f t="shared" si="273"/>
        <v>0.15686274509803921</v>
      </c>
      <c r="GT76" s="583">
        <f t="shared" si="273"/>
        <v>0.19047619047619047</v>
      </c>
      <c r="GU76" s="583">
        <f t="shared" si="273"/>
        <v>0.19634703196347031</v>
      </c>
      <c r="GV76" s="583">
        <f t="shared" si="273"/>
        <v>2.3323615160349854E-2</v>
      </c>
      <c r="GW76" s="583">
        <f t="shared" si="273"/>
        <v>2.404207362885049E-2</v>
      </c>
      <c r="GX76" s="583">
        <f t="shared" si="273"/>
        <v>4.9113233287858118E-2</v>
      </c>
      <c r="GY76" s="583">
        <f t="shared" si="273"/>
        <v>3.7924151696606789E-2</v>
      </c>
      <c r="GZ76" s="583">
        <f t="shared" si="273"/>
        <v>7.6716016150740238E-2</v>
      </c>
      <c r="HA76" s="583">
        <f t="shared" si="273"/>
        <v>8.5679314565483472E-2</v>
      </c>
      <c r="HB76" s="583">
        <f t="shared" si="273"/>
        <v>7.4666666666666673E-2</v>
      </c>
      <c r="HC76" s="583">
        <f t="shared" si="273"/>
        <v>1.556420233463035E-2</v>
      </c>
      <c r="HD76" s="583">
        <f t="shared" si="273"/>
        <v>5.2391799544419138E-2</v>
      </c>
      <c r="HE76" s="583">
        <f t="shared" si="273"/>
        <v>0.19858156028368795</v>
      </c>
      <c r="HF76" s="583">
        <f t="shared" si="273"/>
        <v>0.2289156626506024</v>
      </c>
      <c r="HG76" s="583">
        <f t="shared" si="273"/>
        <v>0.18823529411764706</v>
      </c>
      <c r="HH76" s="583">
        <f t="shared" si="273"/>
        <v>0.16494845360824742</v>
      </c>
      <c r="HI76" s="583">
        <f t="shared" si="273"/>
        <v>0.34065934065934067</v>
      </c>
      <c r="HJ76" s="583">
        <f t="shared" si="273"/>
        <v>0.375</v>
      </c>
      <c r="HK76" s="583">
        <f t="shared" si="273"/>
        <v>0.18560606060606061</v>
      </c>
      <c r="HL76" s="583">
        <f t="shared" si="273"/>
        <v>0.1007905138339921</v>
      </c>
      <c r="HM76" s="583">
        <f t="shared" ref="HM76:HN76" si="274">+HM28/HM13</f>
        <v>0.14432989690721648</v>
      </c>
      <c r="HN76" s="583">
        <f t="shared" si="274"/>
        <v>0.21100917431192662</v>
      </c>
      <c r="HO76" s="583">
        <f t="shared" ref="HO76:HQ76" si="275">+HO28/HO13</f>
        <v>0.4375</v>
      </c>
      <c r="HP76" s="583">
        <f t="shared" si="275"/>
        <v>0.20967741935483872</v>
      </c>
      <c r="HQ76" s="583">
        <f t="shared" si="275"/>
        <v>0.27659574468085107</v>
      </c>
      <c r="HR76" s="583">
        <f t="shared" ref="HR76:HT76" si="276">+HR28/HR13</f>
        <v>0.20809248554913296</v>
      </c>
      <c r="HS76" s="583">
        <f t="shared" si="276"/>
        <v>0.14529914529914531</v>
      </c>
      <c r="HT76" s="583">
        <f t="shared" si="276"/>
        <v>0.23076923076923078</v>
      </c>
      <c r="HU76" s="583">
        <f t="shared" ref="HU76:HX76" si="277">+HU28/HU13</f>
        <v>0.1357142857142857</v>
      </c>
      <c r="HV76" s="583">
        <f t="shared" si="277"/>
        <v>0.21794871794871795</v>
      </c>
      <c r="HW76" s="583">
        <f t="shared" si="277"/>
        <v>0.23469387755102042</v>
      </c>
      <c r="HX76" s="583">
        <f t="shared" si="277"/>
        <v>0.1047008547008547</v>
      </c>
      <c r="HY76" s="583">
        <f t="shared" ref="HY76:HZ76" si="278">+HY27/HY12</f>
        <v>0.33734939759036142</v>
      </c>
      <c r="HZ76" s="583">
        <f t="shared" si="278"/>
        <v>0.33350383631713554</v>
      </c>
      <c r="IA76" s="583">
        <f t="shared" ref="IA76" si="279">+IA27/IA12</f>
        <v>0.37408906882591092</v>
      </c>
      <c r="IB76" s="831">
        <f>+IB28/II13</f>
        <v>0.33566433566433568</v>
      </c>
      <c r="IC76" s="585">
        <f>+IC28/IJ13</f>
        <v>6.258692628650904E-2</v>
      </c>
      <c r="IV76" s="353">
        <v>10</v>
      </c>
      <c r="IW76" s="353" t="s">
        <v>140</v>
      </c>
      <c r="IX76" s="583">
        <f t="shared" ref="IX76:JY76" si="280">+IX28/IX13</f>
        <v>0.26293103448275862</v>
      </c>
      <c r="IY76" s="583">
        <f t="shared" si="280"/>
        <v>0.13043478260869565</v>
      </c>
      <c r="IZ76" s="583">
        <f t="shared" si="280"/>
        <v>0.33427762039660058</v>
      </c>
      <c r="JA76" s="583">
        <f t="shared" si="280"/>
        <v>0.15605095541401273</v>
      </c>
      <c r="JB76" s="583">
        <f t="shared" si="280"/>
        <v>0.11458333333333333</v>
      </c>
      <c r="JC76" s="583">
        <f t="shared" si="280"/>
        <v>0.15032679738562091</v>
      </c>
      <c r="JD76" s="583">
        <f t="shared" si="280"/>
        <v>0.12698412698412698</v>
      </c>
      <c r="JE76" s="583">
        <f t="shared" si="280"/>
        <v>0.16894977168949771</v>
      </c>
      <c r="JF76" s="583">
        <f t="shared" si="280"/>
        <v>2.5510204081632654E-2</v>
      </c>
      <c r="JG76" s="583">
        <f t="shared" si="280"/>
        <v>2.5544703230653644E-2</v>
      </c>
      <c r="JH76" s="583">
        <f t="shared" si="280"/>
        <v>6.2755798090040935E-2</v>
      </c>
      <c r="JI76" s="583">
        <f t="shared" si="280"/>
        <v>2.7944111776447105E-2</v>
      </c>
      <c r="JJ76" s="583">
        <f t="shared" si="280"/>
        <v>7.1332436069986543E-2</v>
      </c>
      <c r="JK76" s="583">
        <f t="shared" si="280"/>
        <v>0.20318237454100369</v>
      </c>
      <c r="JL76" s="583">
        <f t="shared" si="280"/>
        <v>0.13466666666666666</v>
      </c>
      <c r="JM76" s="583">
        <f t="shared" si="280"/>
        <v>1.8482490272373541E-2</v>
      </c>
      <c r="JN76" s="583">
        <f t="shared" si="280"/>
        <v>7.289293849658314E-2</v>
      </c>
      <c r="JO76" s="583">
        <f t="shared" si="280"/>
        <v>0.27895981087470451</v>
      </c>
      <c r="JP76" s="583">
        <f t="shared" si="280"/>
        <v>0.2289156626506024</v>
      </c>
      <c r="JQ76" s="583">
        <f t="shared" si="280"/>
        <v>0.18823529411764706</v>
      </c>
      <c r="JR76" s="583">
        <f t="shared" si="280"/>
        <v>0.17525773195876287</v>
      </c>
      <c r="JS76" s="583">
        <f t="shared" si="280"/>
        <v>0.37362637362637363</v>
      </c>
      <c r="JT76" s="583">
        <f t="shared" si="280"/>
        <v>0.44230769230769229</v>
      </c>
      <c r="JU76" s="583">
        <f t="shared" si="280"/>
        <v>0.57196969696969702</v>
      </c>
      <c r="JV76" s="583">
        <f t="shared" si="280"/>
        <v>0.15612648221343872</v>
      </c>
      <c r="JW76" s="583">
        <f t="shared" si="280"/>
        <v>0.21649484536082475</v>
      </c>
      <c r="JX76" s="583">
        <f t="shared" si="280"/>
        <v>0.22935779816513763</v>
      </c>
      <c r="JY76" s="583">
        <f t="shared" si="280"/>
        <v>0.13750000000000001</v>
      </c>
      <c r="JZ76" s="583">
        <f t="shared" ref="JZ76:KC76" si="281">+JZ28/JZ13</f>
        <v>0.24193548387096775</v>
      </c>
      <c r="KA76" s="583">
        <f t="shared" si="281"/>
        <v>9.9290780141843976E-2</v>
      </c>
      <c r="KB76" s="583">
        <f t="shared" si="281"/>
        <v>0.19653179190751446</v>
      </c>
      <c r="KC76" s="583">
        <f t="shared" si="281"/>
        <v>0.17948717948717949</v>
      </c>
      <c r="KD76" s="583">
        <f t="shared" ref="KD76:KE76" si="282">+KD28/KD13</f>
        <v>0.23076923076923078</v>
      </c>
      <c r="KE76" s="583">
        <f t="shared" si="282"/>
        <v>0.15714285714285714</v>
      </c>
      <c r="KF76" s="583">
        <f t="shared" ref="KF76:KJ76" si="283">+KF28/KF13</f>
        <v>0.22435897435897437</v>
      </c>
      <c r="KG76" s="583">
        <f t="shared" si="283"/>
        <v>0.2857142857142857</v>
      </c>
      <c r="KH76" s="583">
        <f t="shared" si="283"/>
        <v>0.11324786324786325</v>
      </c>
      <c r="KI76" s="583">
        <f t="shared" si="283"/>
        <v>0.20588235294117646</v>
      </c>
      <c r="KJ76" s="583">
        <f t="shared" si="283"/>
        <v>0.14507772020725387</v>
      </c>
      <c r="KK76" s="583">
        <f t="shared" ref="KK76:KL76" si="284">+KK27/KK12</f>
        <v>0.35060728744939273</v>
      </c>
      <c r="KL76" s="583">
        <f t="shared" si="284"/>
        <v>0.31140350877192985</v>
      </c>
      <c r="KM76" s="583">
        <f t="shared" ref="KM76" si="285">+KM27/KM12</f>
        <v>0.33958891867739055</v>
      </c>
      <c r="KN76" s="585">
        <f>+KN28/KS12</f>
        <v>3.4188034188034191E-2</v>
      </c>
      <c r="KO76" s="585">
        <f>+KO28/KT12</f>
        <v>2.4919614147909969E-2</v>
      </c>
    </row>
    <row r="77" spans="1:301" ht="15.6" thickBot="1">
      <c r="A77" s="544"/>
      <c r="B77" s="545"/>
      <c r="C77" s="545"/>
      <c r="D77" s="545"/>
      <c r="E77" s="545"/>
      <c r="F77" s="545"/>
      <c r="G77" s="546"/>
      <c r="H77" s="593" t="s">
        <v>78</v>
      </c>
      <c r="I77" s="593" t="s">
        <v>161</v>
      </c>
      <c r="J77" s="593" t="s">
        <v>162</v>
      </c>
      <c r="K77" s="593" t="s">
        <v>79</v>
      </c>
      <c r="L77" s="593" t="s">
        <v>80</v>
      </c>
      <c r="M77" s="593" t="s">
        <v>81</v>
      </c>
      <c r="N77" s="593" t="s">
        <v>448</v>
      </c>
      <c r="O77" s="593" t="s">
        <v>82</v>
      </c>
      <c r="Q77" s="989" t="s">
        <v>97</v>
      </c>
      <c r="R77" s="969"/>
      <c r="S77" s="969"/>
      <c r="T77" s="969"/>
      <c r="U77" s="969"/>
      <c r="V77" s="969"/>
      <c r="W77" s="970"/>
      <c r="X77" s="555">
        <v>63230</v>
      </c>
      <c r="Y77" s="555">
        <v>0</v>
      </c>
      <c r="Z77" s="555">
        <v>74119</v>
      </c>
      <c r="AA77" s="553"/>
      <c r="AB77" s="556">
        <v>0.17221255732999999</v>
      </c>
      <c r="AC77" s="555">
        <v>10889</v>
      </c>
      <c r="AD77" s="553"/>
      <c r="AE77" s="554"/>
      <c r="AG77" s="975" t="s">
        <v>96</v>
      </c>
      <c r="AH77" s="976"/>
      <c r="AI77" s="976"/>
      <c r="AJ77" s="976"/>
      <c r="AK77" s="976"/>
      <c r="AL77" s="976"/>
      <c r="AM77" s="976"/>
      <c r="AN77" s="976"/>
      <c r="AO77" s="976"/>
      <c r="AP77" s="976"/>
      <c r="AQ77" s="976"/>
      <c r="AR77" s="976"/>
      <c r="AS77" s="976"/>
      <c r="AT77" s="976"/>
      <c r="AU77" s="976"/>
      <c r="AW77" s="975" t="s">
        <v>96</v>
      </c>
      <c r="AX77" s="976"/>
      <c r="AY77" s="976"/>
      <c r="AZ77" s="976"/>
      <c r="BA77" s="976"/>
      <c r="BB77" s="976"/>
      <c r="BC77" s="976"/>
      <c r="BD77" s="976"/>
      <c r="BE77" s="976"/>
      <c r="BF77" s="976"/>
      <c r="BG77" s="976"/>
      <c r="BH77" s="976"/>
      <c r="BI77" s="976"/>
      <c r="BJ77" s="976"/>
      <c r="BK77" s="976"/>
      <c r="BM77" s="975" t="s">
        <v>96</v>
      </c>
      <c r="BN77" s="976"/>
      <c r="BO77" s="976"/>
      <c r="BP77" s="976"/>
      <c r="BQ77" s="976"/>
      <c r="BR77" s="976"/>
      <c r="BS77" s="976"/>
      <c r="BT77" s="976"/>
      <c r="BU77" s="976"/>
      <c r="BV77" s="976"/>
      <c r="BW77" s="976"/>
      <c r="BX77" s="976"/>
      <c r="BY77" s="976"/>
      <c r="BZ77" s="976"/>
      <c r="CA77" s="976"/>
      <c r="CC77" s="544"/>
      <c r="CD77" s="545"/>
      <c r="CE77" s="545"/>
      <c r="CF77" s="545"/>
      <c r="CG77" s="545"/>
      <c r="CH77" s="545"/>
      <c r="CI77" s="546"/>
      <c r="CJ77" s="593" t="s">
        <v>78</v>
      </c>
      <c r="CK77" s="593" t="s">
        <v>161</v>
      </c>
      <c r="CL77" s="593" t="s">
        <v>162</v>
      </c>
      <c r="CM77" s="593" t="s">
        <v>79</v>
      </c>
      <c r="CN77" s="593" t="s">
        <v>80</v>
      </c>
      <c r="CO77" s="593" t="s">
        <v>81</v>
      </c>
      <c r="CP77" s="593" t="s">
        <v>448</v>
      </c>
      <c r="CQ77" s="593" t="s">
        <v>82</v>
      </c>
      <c r="CS77" s="989" t="s">
        <v>98</v>
      </c>
      <c r="CT77" s="969"/>
      <c r="CU77" s="969"/>
      <c r="CV77" s="969"/>
      <c r="CW77" s="969"/>
      <c r="CX77" s="969"/>
      <c r="CY77" s="970"/>
      <c r="CZ77" s="555">
        <v>118</v>
      </c>
      <c r="DA77" s="555">
        <v>0</v>
      </c>
      <c r="DB77" s="555">
        <v>128</v>
      </c>
      <c r="DC77" s="553"/>
      <c r="DD77" s="556">
        <v>8.4745762710999997E-2</v>
      </c>
      <c r="DE77" s="555">
        <v>10</v>
      </c>
      <c r="DF77" s="553"/>
      <c r="DG77" s="554"/>
      <c r="DI77" s="991" t="s">
        <v>95</v>
      </c>
      <c r="DJ77" s="992"/>
      <c r="DK77" s="992"/>
      <c r="DL77" s="992"/>
      <c r="DM77" s="992"/>
      <c r="DN77" s="992"/>
      <c r="DO77" s="993"/>
      <c r="DP77" s="557">
        <v>242313</v>
      </c>
      <c r="DQ77" s="557">
        <v>249190</v>
      </c>
      <c r="DR77" s="557">
        <v>250429</v>
      </c>
      <c r="DS77" s="558">
        <v>4.9721096350000002E-3</v>
      </c>
      <c r="DT77" s="558">
        <v>3.3493869498999997E-2</v>
      </c>
      <c r="DU77" s="557">
        <v>8116</v>
      </c>
      <c r="DV77" s="559"/>
      <c r="DW77" s="560"/>
      <c r="DY77" s="989" t="s">
        <v>98</v>
      </c>
      <c r="DZ77" s="969"/>
      <c r="EA77" s="969"/>
      <c r="EB77" s="969"/>
      <c r="EC77" s="969"/>
      <c r="ED77" s="969"/>
      <c r="EE77" s="970"/>
      <c r="EF77" s="555">
        <v>22</v>
      </c>
      <c r="EG77" s="555">
        <v>0</v>
      </c>
      <c r="EH77" s="555">
        <v>25</v>
      </c>
      <c r="EI77" s="553"/>
      <c r="EJ77" s="556">
        <v>0.136363636363</v>
      </c>
      <c r="EK77" s="555">
        <v>3</v>
      </c>
      <c r="EL77" s="553"/>
      <c r="EM77" s="554"/>
      <c r="EO77" s="544"/>
      <c r="EP77" s="545"/>
      <c r="EQ77" s="545"/>
      <c r="ER77" s="545"/>
      <c r="ES77" s="545"/>
      <c r="ET77" s="545"/>
      <c r="EU77" s="546"/>
      <c r="EV77" s="593" t="s">
        <v>78</v>
      </c>
      <c r="EW77" s="593" t="s">
        <v>161</v>
      </c>
      <c r="EX77" s="593" t="s">
        <v>162</v>
      </c>
      <c r="EY77" s="593" t="s">
        <v>79</v>
      </c>
      <c r="EZ77" s="593" t="s">
        <v>80</v>
      </c>
      <c r="FA77" s="593" t="s">
        <v>81</v>
      </c>
      <c r="FB77" s="593" t="s">
        <v>448</v>
      </c>
      <c r="FC77" s="593" t="s">
        <v>82</v>
      </c>
      <c r="FE77" s="975" t="s">
        <v>96</v>
      </c>
      <c r="FF77" s="976"/>
      <c r="FG77" s="976"/>
      <c r="FH77" s="976"/>
      <c r="FI77" s="976"/>
      <c r="FJ77" s="976"/>
      <c r="FK77" s="976"/>
      <c r="FL77" s="976"/>
      <c r="FM77" s="976"/>
      <c r="FN77" s="976"/>
      <c r="FO77" s="976"/>
      <c r="FP77" s="976"/>
      <c r="FQ77" s="976"/>
      <c r="FR77" s="976"/>
      <c r="FS77" s="976"/>
      <c r="GL77" s="353">
        <v>11</v>
      </c>
      <c r="GM77" s="353" t="s">
        <v>135</v>
      </c>
      <c r="GN77" s="583">
        <f t="shared" ref="GN77:GS77" si="286">+GN22/GN7</f>
        <v>0.15503875968992248</v>
      </c>
      <c r="GO77" s="583">
        <f t="shared" si="286"/>
        <v>0.21120689655172414</v>
      </c>
      <c r="GP77" s="583">
        <f t="shared" si="286"/>
        <v>0.12871287128712872</v>
      </c>
      <c r="GQ77" s="583">
        <f t="shared" si="286"/>
        <v>8.8815789473684209E-2</v>
      </c>
      <c r="GR77" s="583">
        <f t="shared" si="286"/>
        <v>0.14077669902912621</v>
      </c>
      <c r="GS77" s="583">
        <f t="shared" si="286"/>
        <v>0.18705035971223022</v>
      </c>
      <c r="GT77" s="583">
        <f t="shared" ref="GT77:HL77" si="287">+GT22/GT7</f>
        <v>0.21234119782214156</v>
      </c>
      <c r="GU77" s="583">
        <f t="shared" si="287"/>
        <v>0.26011560693641617</v>
      </c>
      <c r="GV77" s="583">
        <f t="shared" si="287"/>
        <v>0.2732824427480916</v>
      </c>
      <c r="GW77" s="583">
        <f t="shared" si="287"/>
        <v>0.27580645161290324</v>
      </c>
      <c r="GX77" s="583">
        <f t="shared" si="287"/>
        <v>0.25851703406813625</v>
      </c>
      <c r="GY77" s="583">
        <f t="shared" si="287"/>
        <v>0.35728155339805823</v>
      </c>
      <c r="GZ77" s="583">
        <f t="shared" si="287"/>
        <v>0.26902654867256637</v>
      </c>
      <c r="HA77" s="583">
        <f t="shared" si="287"/>
        <v>0.27539503386004516</v>
      </c>
      <c r="HB77" s="583">
        <f t="shared" si="287"/>
        <v>0.30097087378640774</v>
      </c>
      <c r="HC77" s="583">
        <f t="shared" si="287"/>
        <v>0.34782608695652173</v>
      </c>
      <c r="HD77" s="583">
        <f t="shared" si="287"/>
        <v>0.11904761904761904</v>
      </c>
      <c r="HE77" s="583">
        <f t="shared" si="287"/>
        <v>0.22270742358078602</v>
      </c>
      <c r="HF77" s="583">
        <f t="shared" si="287"/>
        <v>0.23495702005730659</v>
      </c>
      <c r="HG77" s="583">
        <f t="shared" si="287"/>
        <v>0.22615803814713897</v>
      </c>
      <c r="HH77" s="583">
        <f t="shared" si="287"/>
        <v>0.21370967741935484</v>
      </c>
      <c r="HI77" s="583">
        <f t="shared" si="287"/>
        <v>0.25068870523415976</v>
      </c>
      <c r="HJ77" s="583">
        <f t="shared" si="287"/>
        <v>0.28165374677002586</v>
      </c>
      <c r="HK77" s="583">
        <f t="shared" si="287"/>
        <v>0.25301204819277107</v>
      </c>
      <c r="HL77" s="583">
        <f t="shared" si="287"/>
        <v>0.22562674094707522</v>
      </c>
      <c r="HM77" s="583">
        <f t="shared" ref="HM77:HN77" si="288">+HM22/HM7</f>
        <v>0.28855721393034828</v>
      </c>
      <c r="HN77" s="583">
        <f t="shared" si="288"/>
        <v>0.27777777777777779</v>
      </c>
      <c r="HO77" s="583">
        <f t="shared" ref="HO77:HQ77" si="289">+HO22/HO7</f>
        <v>0.20107238605898123</v>
      </c>
      <c r="HP77" s="583">
        <f t="shared" si="289"/>
        <v>0.19363395225464192</v>
      </c>
      <c r="HQ77" s="583">
        <f t="shared" si="289"/>
        <v>0.20982142857142858</v>
      </c>
      <c r="HR77" s="583">
        <f t="shared" ref="HR77:HT77" si="290">+HR22/HR7</f>
        <v>0.23300970873786409</v>
      </c>
      <c r="HS77" s="583">
        <f t="shared" si="290"/>
        <v>0.18103448275862069</v>
      </c>
      <c r="HT77" s="583">
        <f t="shared" si="290"/>
        <v>0.18438177874186551</v>
      </c>
      <c r="HU77" s="583">
        <f t="shared" ref="HU77:HX77" si="291">+HU22/HU7</f>
        <v>0.16863905325443787</v>
      </c>
      <c r="HV77" s="583">
        <f t="shared" si="291"/>
        <v>0.15751789976133651</v>
      </c>
      <c r="HW77" s="583">
        <f t="shared" si="291"/>
        <v>0.13527851458885942</v>
      </c>
      <c r="HX77" s="583">
        <f t="shared" si="291"/>
        <v>9.8130841121495324E-2</v>
      </c>
      <c r="HY77" s="583">
        <f t="shared" ref="HY77:HZ77" si="292">+HY28/HY13</f>
        <v>0.23529411764705882</v>
      </c>
      <c r="HZ77" s="583">
        <f t="shared" si="292"/>
        <v>0.17098445595854922</v>
      </c>
      <c r="IA77" s="583">
        <f t="shared" ref="IA77" si="293">+IA28/IA13</f>
        <v>0.14925373134328357</v>
      </c>
      <c r="IB77" s="831">
        <f>+IB22/II7</f>
        <v>0.13874345549738221</v>
      </c>
      <c r="IC77" s="585">
        <f>+IC22/IJ7</f>
        <v>7.6433121019108277E-2</v>
      </c>
      <c r="IV77" s="353">
        <v>11</v>
      </c>
      <c r="IW77" s="353" t="s">
        <v>135</v>
      </c>
      <c r="IX77" s="583">
        <f t="shared" ref="IX77:JE77" si="294">+IX22/IX7</f>
        <v>9.6899224806201556E-2</v>
      </c>
      <c r="IY77" s="583">
        <f t="shared" si="294"/>
        <v>0.15948275862068967</v>
      </c>
      <c r="IZ77" s="583">
        <f t="shared" si="294"/>
        <v>0.11221122112211221</v>
      </c>
      <c r="JA77" s="583">
        <f t="shared" si="294"/>
        <v>4.9342105263157895E-2</v>
      </c>
      <c r="JB77" s="583">
        <f t="shared" si="294"/>
        <v>9.2233009708737865E-2</v>
      </c>
      <c r="JC77" s="583">
        <f t="shared" si="294"/>
        <v>0.14388489208633093</v>
      </c>
      <c r="JD77" s="583">
        <f t="shared" si="294"/>
        <v>0.15063520871143377</v>
      </c>
      <c r="JE77" s="583">
        <f t="shared" si="294"/>
        <v>0.23265895953757226</v>
      </c>
      <c r="JF77" s="583">
        <f t="shared" ref="JF77:JY77" si="295">+JF22/JF7</f>
        <v>0.20610687022900764</v>
      </c>
      <c r="JG77" s="583">
        <f t="shared" si="295"/>
        <v>0.1967741935483871</v>
      </c>
      <c r="JH77" s="583">
        <f t="shared" si="295"/>
        <v>0.19639278557114229</v>
      </c>
      <c r="JI77" s="583">
        <f t="shared" si="295"/>
        <v>0.26213592233009708</v>
      </c>
      <c r="JJ77" s="583">
        <f t="shared" si="295"/>
        <v>0.24955752212389382</v>
      </c>
      <c r="JK77" s="583">
        <f t="shared" si="295"/>
        <v>0.26862302483069977</v>
      </c>
      <c r="JL77" s="583">
        <f t="shared" si="295"/>
        <v>0.28883495145631066</v>
      </c>
      <c r="JM77" s="583">
        <f t="shared" si="295"/>
        <v>0.36956521739130432</v>
      </c>
      <c r="JN77" s="583">
        <f t="shared" si="295"/>
        <v>0.10714285714285714</v>
      </c>
      <c r="JO77" s="583">
        <f t="shared" si="295"/>
        <v>0.16157205240174671</v>
      </c>
      <c r="JP77" s="583">
        <f t="shared" si="295"/>
        <v>0.16905444126074498</v>
      </c>
      <c r="JQ77" s="583">
        <f t="shared" si="295"/>
        <v>0.15531335149863759</v>
      </c>
      <c r="JR77" s="583">
        <f t="shared" si="295"/>
        <v>0.25201612903225806</v>
      </c>
      <c r="JS77" s="583">
        <f t="shared" si="295"/>
        <v>0.21763085399449036</v>
      </c>
      <c r="JT77" s="583">
        <f t="shared" si="295"/>
        <v>0.23772609819121446</v>
      </c>
      <c r="JU77" s="583">
        <f t="shared" si="295"/>
        <v>0.20883534136546184</v>
      </c>
      <c r="JV77" s="583">
        <f t="shared" si="295"/>
        <v>0.2116991643454039</v>
      </c>
      <c r="JW77" s="583">
        <f t="shared" si="295"/>
        <v>0.24875621890547264</v>
      </c>
      <c r="JX77" s="583">
        <f t="shared" si="295"/>
        <v>0.28009259259259262</v>
      </c>
      <c r="JY77" s="583">
        <f t="shared" si="295"/>
        <v>0.25201072386058981</v>
      </c>
      <c r="JZ77" s="583">
        <f t="shared" ref="JZ77:KC77" si="296">+JZ22/JZ7</f>
        <v>0.17771883289124668</v>
      </c>
      <c r="KA77" s="583">
        <f t="shared" si="296"/>
        <v>0.22544642857142858</v>
      </c>
      <c r="KB77" s="583">
        <f t="shared" si="296"/>
        <v>0.19805825242718447</v>
      </c>
      <c r="KC77" s="583">
        <f t="shared" si="296"/>
        <v>0.15732758620689655</v>
      </c>
      <c r="KD77" s="583">
        <f t="shared" ref="KD77:KE77" si="297">+KD22/KD7</f>
        <v>0.16268980477223427</v>
      </c>
      <c r="KE77" s="583">
        <f t="shared" si="297"/>
        <v>0.16568047337278108</v>
      </c>
      <c r="KF77" s="583">
        <f t="shared" ref="KF77:KJ77" si="298">+KF22/KF7</f>
        <v>0.19809069212410502</v>
      </c>
      <c r="KG77" s="583">
        <f t="shared" si="298"/>
        <v>0.14323607427055704</v>
      </c>
      <c r="KH77" s="583">
        <f t="shared" si="298"/>
        <v>9.11214953271028E-2</v>
      </c>
      <c r="KI77" s="583">
        <f t="shared" si="298"/>
        <v>0.11342592592592593</v>
      </c>
      <c r="KJ77" s="583">
        <f t="shared" si="298"/>
        <v>0.14387211367673181</v>
      </c>
      <c r="KK77" s="583">
        <f t="shared" ref="KK77:KL77" si="299">+KK28/KK13</f>
        <v>0.1455223880597015</v>
      </c>
      <c r="KL77" s="583">
        <f t="shared" si="299"/>
        <v>0.19889502762430938</v>
      </c>
      <c r="KM77" s="583">
        <f t="shared" ref="KM77" si="300">+KM28/KM13</f>
        <v>0.28497409326424872</v>
      </c>
      <c r="KN77" s="585">
        <f>+KN22/KS7</f>
        <v>9.947643979057591E-2</v>
      </c>
      <c r="KO77" s="585">
        <f>+KO22/KT7</f>
        <v>0.19745222929936307</v>
      </c>
    </row>
    <row r="78" spans="1:301" ht="15.6" thickBot="1">
      <c r="A78" s="994" t="s">
        <v>45</v>
      </c>
      <c r="B78" s="978"/>
      <c r="C78" s="978"/>
      <c r="D78" s="978"/>
      <c r="E78" s="978"/>
      <c r="F78" s="978"/>
      <c r="G78" s="979"/>
      <c r="H78" s="555">
        <v>31054</v>
      </c>
      <c r="I78" s="555">
        <v>0</v>
      </c>
      <c r="J78" s="555">
        <v>27879</v>
      </c>
      <c r="K78" s="553"/>
      <c r="L78" s="556">
        <v>-0.102241257164</v>
      </c>
      <c r="M78" s="555">
        <v>-3175</v>
      </c>
      <c r="N78" s="553"/>
      <c r="O78" s="554"/>
      <c r="Q78" s="989" t="s">
        <v>98</v>
      </c>
      <c r="R78" s="969"/>
      <c r="S78" s="969"/>
      <c r="T78" s="969"/>
      <c r="U78" s="969"/>
      <c r="V78" s="969"/>
      <c r="W78" s="970"/>
      <c r="X78" s="555">
        <v>826</v>
      </c>
      <c r="Y78" s="555">
        <v>0</v>
      </c>
      <c r="Z78" s="555">
        <v>902</v>
      </c>
      <c r="AA78" s="553"/>
      <c r="AB78" s="556">
        <v>9.2009685229999999E-2</v>
      </c>
      <c r="AC78" s="555">
        <v>76</v>
      </c>
      <c r="AD78" s="553"/>
      <c r="AE78" s="554"/>
      <c r="AG78" s="544"/>
      <c r="AH78" s="545"/>
      <c r="AI78" s="545"/>
      <c r="AJ78" s="545"/>
      <c r="AK78" s="545"/>
      <c r="AL78" s="545"/>
      <c r="AM78" s="546"/>
      <c r="AN78" s="593" t="s">
        <v>78</v>
      </c>
      <c r="AO78" s="593" t="s">
        <v>161</v>
      </c>
      <c r="AP78" s="593" t="s">
        <v>162</v>
      </c>
      <c r="AQ78" s="593" t="s">
        <v>79</v>
      </c>
      <c r="AR78" s="593" t="s">
        <v>80</v>
      </c>
      <c r="AS78" s="593" t="s">
        <v>81</v>
      </c>
      <c r="AT78" s="593" t="s">
        <v>448</v>
      </c>
      <c r="AU78" s="593" t="s">
        <v>82</v>
      </c>
      <c r="AW78" s="544"/>
      <c r="AX78" s="545"/>
      <c r="AY78" s="545"/>
      <c r="AZ78" s="545"/>
      <c r="BA78" s="545"/>
      <c r="BB78" s="545"/>
      <c r="BC78" s="546"/>
      <c r="BD78" s="593" t="s">
        <v>78</v>
      </c>
      <c r="BE78" s="593" t="s">
        <v>161</v>
      </c>
      <c r="BF78" s="593" t="s">
        <v>162</v>
      </c>
      <c r="BG78" s="593" t="s">
        <v>79</v>
      </c>
      <c r="BH78" s="593" t="s">
        <v>80</v>
      </c>
      <c r="BI78" s="593" t="s">
        <v>81</v>
      </c>
      <c r="BJ78" s="593" t="s">
        <v>448</v>
      </c>
      <c r="BK78" s="593" t="s">
        <v>82</v>
      </c>
      <c r="BM78" s="544"/>
      <c r="BN78" s="545"/>
      <c r="BO78" s="545"/>
      <c r="BP78" s="545"/>
      <c r="BQ78" s="545"/>
      <c r="BR78" s="545"/>
      <c r="BS78" s="546"/>
      <c r="BT78" s="593" t="s">
        <v>78</v>
      </c>
      <c r="BU78" s="593" t="s">
        <v>161</v>
      </c>
      <c r="BV78" s="593" t="s">
        <v>162</v>
      </c>
      <c r="BW78" s="593" t="s">
        <v>79</v>
      </c>
      <c r="BX78" s="593" t="s">
        <v>80</v>
      </c>
      <c r="BY78" s="593" t="s">
        <v>81</v>
      </c>
      <c r="BZ78" s="593" t="s">
        <v>448</v>
      </c>
      <c r="CA78" s="593" t="s">
        <v>82</v>
      </c>
      <c r="CC78" s="994" t="s">
        <v>45</v>
      </c>
      <c r="CD78" s="978"/>
      <c r="CE78" s="978"/>
      <c r="CF78" s="978"/>
      <c r="CG78" s="978"/>
      <c r="CH78" s="978"/>
      <c r="CI78" s="979"/>
      <c r="CJ78" s="555">
        <v>158126</v>
      </c>
      <c r="CK78" s="555">
        <v>0</v>
      </c>
      <c r="CL78" s="555">
        <v>181577</v>
      </c>
      <c r="CM78" s="553"/>
      <c r="CN78" s="556">
        <v>0.14830578146500001</v>
      </c>
      <c r="CO78" s="555">
        <v>23451</v>
      </c>
      <c r="CP78" s="553"/>
      <c r="CQ78" s="554"/>
      <c r="CS78" s="989" t="s">
        <v>99</v>
      </c>
      <c r="CT78" s="969"/>
      <c r="CU78" s="969"/>
      <c r="CV78" s="969"/>
      <c r="CW78" s="969"/>
      <c r="CX78" s="969"/>
      <c r="CY78" s="970"/>
      <c r="CZ78" s="555">
        <v>25369</v>
      </c>
      <c r="DA78" s="555">
        <v>0</v>
      </c>
      <c r="DB78" s="555">
        <v>23920</v>
      </c>
      <c r="DC78" s="553"/>
      <c r="DD78" s="556">
        <v>-5.7116953762000003E-2</v>
      </c>
      <c r="DE78" s="555">
        <v>-1449</v>
      </c>
      <c r="DF78" s="553"/>
      <c r="DG78" s="554"/>
      <c r="DI78" s="975" t="s">
        <v>96</v>
      </c>
      <c r="DJ78" s="976"/>
      <c r="DK78" s="976"/>
      <c r="DL78" s="976"/>
      <c r="DM78" s="976"/>
      <c r="DN78" s="976"/>
      <c r="DO78" s="976"/>
      <c r="DP78" s="976"/>
      <c r="DQ78" s="976"/>
      <c r="DR78" s="976"/>
      <c r="DS78" s="976"/>
      <c r="DT78" s="976"/>
      <c r="DU78" s="976"/>
      <c r="DV78" s="976"/>
      <c r="DW78" s="976"/>
      <c r="DY78" s="989" t="s">
        <v>99</v>
      </c>
      <c r="DZ78" s="969"/>
      <c r="EA78" s="969"/>
      <c r="EB78" s="969"/>
      <c r="EC78" s="969"/>
      <c r="ED78" s="969"/>
      <c r="EE78" s="970"/>
      <c r="EF78" s="555">
        <v>7949</v>
      </c>
      <c r="EG78" s="555">
        <v>0</v>
      </c>
      <c r="EH78" s="555">
        <v>17743</v>
      </c>
      <c r="EI78" s="553"/>
      <c r="EJ78" s="556">
        <v>1.2321046672530001</v>
      </c>
      <c r="EK78" s="555">
        <v>9794</v>
      </c>
      <c r="EL78" s="553"/>
      <c r="EM78" s="554"/>
      <c r="EO78" s="994" t="s">
        <v>45</v>
      </c>
      <c r="EP78" s="978"/>
      <c r="EQ78" s="978"/>
      <c r="ER78" s="978"/>
      <c r="ES78" s="978"/>
      <c r="ET78" s="978"/>
      <c r="EU78" s="979"/>
      <c r="EV78" s="555">
        <v>109315</v>
      </c>
      <c r="EW78" s="555">
        <v>0</v>
      </c>
      <c r="EX78" s="555">
        <v>115872</v>
      </c>
      <c r="EY78" s="553"/>
      <c r="EZ78" s="556">
        <v>5.9982619036000002E-2</v>
      </c>
      <c r="FA78" s="555">
        <v>6557</v>
      </c>
      <c r="FB78" s="553"/>
      <c r="FC78" s="554"/>
      <c r="FE78" s="544"/>
      <c r="FF78" s="545"/>
      <c r="FG78" s="545"/>
      <c r="FH78" s="545"/>
      <c r="FI78" s="545"/>
      <c r="FJ78" s="545"/>
      <c r="FK78" s="546"/>
      <c r="FL78" s="593" t="s">
        <v>78</v>
      </c>
      <c r="FM78" s="593" t="s">
        <v>161</v>
      </c>
      <c r="FN78" s="593" t="s">
        <v>162</v>
      </c>
      <c r="FO78" s="593" t="s">
        <v>79</v>
      </c>
      <c r="FP78" s="593" t="s">
        <v>80</v>
      </c>
      <c r="FQ78" s="593" t="s">
        <v>81</v>
      </c>
      <c r="FR78" s="593" t="s">
        <v>448</v>
      </c>
      <c r="FS78" s="593" t="s">
        <v>82</v>
      </c>
      <c r="HX78" s="742"/>
      <c r="KJ78" s="742"/>
    </row>
    <row r="79" spans="1:301" ht="15.6" thickBot="1">
      <c r="A79" s="989" t="s">
        <v>97</v>
      </c>
      <c r="B79" s="969"/>
      <c r="C79" s="969"/>
      <c r="D79" s="969"/>
      <c r="E79" s="969"/>
      <c r="F79" s="969"/>
      <c r="G79" s="970"/>
      <c r="H79" s="555">
        <v>20197</v>
      </c>
      <c r="I79" s="555">
        <v>0</v>
      </c>
      <c r="J79" s="555">
        <v>21170</v>
      </c>
      <c r="K79" s="553"/>
      <c r="L79" s="556">
        <v>4.8175471604E-2</v>
      </c>
      <c r="M79" s="555">
        <v>973</v>
      </c>
      <c r="N79" s="553"/>
      <c r="O79" s="554"/>
      <c r="Q79" s="989" t="s">
        <v>99</v>
      </c>
      <c r="R79" s="969"/>
      <c r="S79" s="969"/>
      <c r="T79" s="969"/>
      <c r="U79" s="969"/>
      <c r="V79" s="969"/>
      <c r="W79" s="970"/>
      <c r="X79" s="555">
        <v>0</v>
      </c>
      <c r="Y79" s="555">
        <v>0</v>
      </c>
      <c r="Z79" s="555">
        <v>0</v>
      </c>
      <c r="AA79" s="553"/>
      <c r="AB79" s="553"/>
      <c r="AC79" s="555">
        <v>0</v>
      </c>
      <c r="AD79" s="553"/>
      <c r="AE79" s="554"/>
      <c r="AG79" s="994" t="s">
        <v>45</v>
      </c>
      <c r="AH79" s="978"/>
      <c r="AI79" s="978"/>
      <c r="AJ79" s="978"/>
      <c r="AK79" s="978"/>
      <c r="AL79" s="978"/>
      <c r="AM79" s="979"/>
      <c r="AN79" s="555">
        <v>273345</v>
      </c>
      <c r="AO79" s="555">
        <v>306373</v>
      </c>
      <c r="AP79" s="555">
        <v>308959</v>
      </c>
      <c r="AQ79" s="556">
        <v>8.4406915749999992E-3</v>
      </c>
      <c r="AR79" s="556">
        <v>0.13028956081099999</v>
      </c>
      <c r="AS79" s="555">
        <v>35614</v>
      </c>
      <c r="AT79" s="553"/>
      <c r="AU79" s="554"/>
      <c r="AW79" s="994" t="s">
        <v>45</v>
      </c>
      <c r="AX79" s="978"/>
      <c r="AY79" s="978"/>
      <c r="AZ79" s="978"/>
      <c r="BA79" s="978"/>
      <c r="BB79" s="978"/>
      <c r="BC79" s="979"/>
      <c r="BD79" s="555">
        <v>163775</v>
      </c>
      <c r="BE79" s="555">
        <v>180728</v>
      </c>
      <c r="BF79" s="555">
        <v>182178</v>
      </c>
      <c r="BG79" s="556">
        <v>8.0231065460000008E-3</v>
      </c>
      <c r="BH79" s="556">
        <v>0.112367577469</v>
      </c>
      <c r="BI79" s="555">
        <v>18403</v>
      </c>
      <c r="BJ79" s="553"/>
      <c r="BK79" s="554"/>
      <c r="BM79" s="994" t="s">
        <v>45</v>
      </c>
      <c r="BN79" s="978"/>
      <c r="BO79" s="978"/>
      <c r="BP79" s="978"/>
      <c r="BQ79" s="978"/>
      <c r="BR79" s="978"/>
      <c r="BS79" s="979"/>
      <c r="BT79" s="555">
        <v>13678</v>
      </c>
      <c r="BU79" s="555">
        <v>0</v>
      </c>
      <c r="BV79" s="555">
        <v>17136</v>
      </c>
      <c r="BW79" s="553"/>
      <c r="BX79" s="556">
        <v>0.25281473899599999</v>
      </c>
      <c r="BY79" s="555">
        <v>3458</v>
      </c>
      <c r="BZ79" s="553"/>
      <c r="CA79" s="554"/>
      <c r="CC79" s="989" t="s">
        <v>97</v>
      </c>
      <c r="CD79" s="969"/>
      <c r="CE79" s="969"/>
      <c r="CF79" s="969"/>
      <c r="CG79" s="969"/>
      <c r="CH79" s="969"/>
      <c r="CI79" s="970"/>
      <c r="CJ79" s="555">
        <v>136954</v>
      </c>
      <c r="CK79" s="555">
        <v>0</v>
      </c>
      <c r="CL79" s="555">
        <v>141717</v>
      </c>
      <c r="CM79" s="553"/>
      <c r="CN79" s="556">
        <v>3.4778100675999998E-2</v>
      </c>
      <c r="CO79" s="555">
        <v>4763</v>
      </c>
      <c r="CP79" s="553"/>
      <c r="CQ79" s="554"/>
      <c r="CS79" s="989" t="s">
        <v>100</v>
      </c>
      <c r="CT79" s="969"/>
      <c r="CU79" s="969"/>
      <c r="CV79" s="969"/>
      <c r="CW79" s="969"/>
      <c r="CX79" s="969"/>
      <c r="CY79" s="970"/>
      <c r="CZ79" s="555">
        <v>3663</v>
      </c>
      <c r="DA79" s="555">
        <v>0</v>
      </c>
      <c r="DB79" s="555">
        <v>4397</v>
      </c>
      <c r="DC79" s="553"/>
      <c r="DD79" s="556">
        <v>0.200382200382</v>
      </c>
      <c r="DE79" s="555">
        <v>734</v>
      </c>
      <c r="DF79" s="553"/>
      <c r="DG79" s="554"/>
      <c r="DI79" s="544"/>
      <c r="DJ79" s="545"/>
      <c r="DK79" s="545"/>
      <c r="DL79" s="545"/>
      <c r="DM79" s="545"/>
      <c r="DN79" s="545"/>
      <c r="DO79" s="546"/>
      <c r="DP79" s="593" t="s">
        <v>78</v>
      </c>
      <c r="DQ79" s="593" t="s">
        <v>161</v>
      </c>
      <c r="DR79" s="593" t="s">
        <v>162</v>
      </c>
      <c r="DS79" s="593" t="s">
        <v>79</v>
      </c>
      <c r="DT79" s="593" t="s">
        <v>80</v>
      </c>
      <c r="DU79" s="593" t="s">
        <v>81</v>
      </c>
      <c r="DV79" s="593" t="s">
        <v>448</v>
      </c>
      <c r="DW79" s="593" t="s">
        <v>82</v>
      </c>
      <c r="DY79" s="989" t="s">
        <v>100</v>
      </c>
      <c r="DZ79" s="969"/>
      <c r="EA79" s="969"/>
      <c r="EB79" s="969"/>
      <c r="EC79" s="969"/>
      <c r="ED79" s="969"/>
      <c r="EE79" s="970"/>
      <c r="EF79" s="555">
        <v>0</v>
      </c>
      <c r="EG79" s="555">
        <v>0</v>
      </c>
      <c r="EH79" s="555">
        <v>0</v>
      </c>
      <c r="EI79" s="553"/>
      <c r="EJ79" s="553"/>
      <c r="EK79" s="555">
        <v>0</v>
      </c>
      <c r="EL79" s="553"/>
      <c r="EM79" s="554"/>
      <c r="EO79" s="984" t="s">
        <v>127</v>
      </c>
      <c r="EP79" s="969"/>
      <c r="EQ79" s="969"/>
      <c r="ER79" s="969"/>
      <c r="ES79" s="969"/>
      <c r="ET79" s="969"/>
      <c r="EU79" s="970"/>
      <c r="EV79" s="551">
        <v>106786</v>
      </c>
      <c r="EW79" s="551">
        <v>0</v>
      </c>
      <c r="EX79" s="551">
        <v>113448</v>
      </c>
      <c r="EY79" s="553"/>
      <c r="EZ79" s="552">
        <v>6.2386455153000002E-2</v>
      </c>
      <c r="FA79" s="551">
        <v>6662</v>
      </c>
      <c r="FB79" s="553"/>
      <c r="FC79" s="554"/>
      <c r="FE79" s="994" t="s">
        <v>45</v>
      </c>
      <c r="FF79" s="978"/>
      <c r="FG79" s="978"/>
      <c r="FH79" s="978"/>
      <c r="FI79" s="978"/>
      <c r="FJ79" s="978"/>
      <c r="FK79" s="979"/>
      <c r="FL79" s="555">
        <v>42468</v>
      </c>
      <c r="FM79" s="555">
        <v>0</v>
      </c>
      <c r="FN79" s="555">
        <v>61873</v>
      </c>
      <c r="FO79" s="553"/>
      <c r="FP79" s="556">
        <v>0.45693227842099998</v>
      </c>
      <c r="FQ79" s="555">
        <v>19405</v>
      </c>
      <c r="FR79" s="553"/>
      <c r="FS79" s="554"/>
      <c r="HX79" s="742"/>
      <c r="KJ79" s="742"/>
    </row>
    <row r="80" spans="1:301" ht="15" thickBot="1">
      <c r="A80" s="989" t="s">
        <v>98</v>
      </c>
      <c r="B80" s="969"/>
      <c r="C80" s="969"/>
      <c r="D80" s="969"/>
      <c r="E80" s="969"/>
      <c r="F80" s="969"/>
      <c r="G80" s="970"/>
      <c r="H80" s="555">
        <v>447</v>
      </c>
      <c r="I80" s="555">
        <v>0</v>
      </c>
      <c r="J80" s="555">
        <v>492</v>
      </c>
      <c r="K80" s="553"/>
      <c r="L80" s="556">
        <v>0.100671140939</v>
      </c>
      <c r="M80" s="555">
        <v>45</v>
      </c>
      <c r="N80" s="553"/>
      <c r="O80" s="554"/>
      <c r="Q80" s="989" t="s">
        <v>100</v>
      </c>
      <c r="R80" s="969"/>
      <c r="S80" s="969"/>
      <c r="T80" s="969"/>
      <c r="U80" s="969"/>
      <c r="V80" s="969"/>
      <c r="W80" s="970"/>
      <c r="X80" s="555">
        <v>37460</v>
      </c>
      <c r="Y80" s="555">
        <v>0</v>
      </c>
      <c r="Z80" s="555">
        <v>32764</v>
      </c>
      <c r="AA80" s="553"/>
      <c r="AB80" s="556">
        <v>-0.12536038441</v>
      </c>
      <c r="AC80" s="555">
        <v>-4696</v>
      </c>
      <c r="AD80" s="553"/>
      <c r="AE80" s="554"/>
      <c r="AG80" s="984" t="s">
        <v>127</v>
      </c>
      <c r="AH80" s="969"/>
      <c r="AI80" s="969"/>
      <c r="AJ80" s="969"/>
      <c r="AK80" s="969"/>
      <c r="AL80" s="969"/>
      <c r="AM80" s="970"/>
      <c r="AN80" s="551">
        <v>211517</v>
      </c>
      <c r="AO80" s="551">
        <v>237330</v>
      </c>
      <c r="AP80" s="551">
        <v>239222</v>
      </c>
      <c r="AQ80" s="552">
        <v>7.9720220779999993E-3</v>
      </c>
      <c r="AR80" s="552">
        <v>0.13098237966599999</v>
      </c>
      <c r="AS80" s="551">
        <v>27705</v>
      </c>
      <c r="AT80" s="553"/>
      <c r="AU80" s="554"/>
      <c r="AW80" s="989" t="s">
        <v>97</v>
      </c>
      <c r="AX80" s="969"/>
      <c r="AY80" s="969"/>
      <c r="AZ80" s="969"/>
      <c r="BA80" s="969"/>
      <c r="BB80" s="969"/>
      <c r="BC80" s="970"/>
      <c r="BD80" s="555">
        <v>78596</v>
      </c>
      <c r="BE80" s="555">
        <v>85119</v>
      </c>
      <c r="BF80" s="555">
        <v>85537</v>
      </c>
      <c r="BG80" s="556">
        <v>4.910771978E-3</v>
      </c>
      <c r="BH80" s="556">
        <v>8.8312382309000001E-2</v>
      </c>
      <c r="BI80" s="555">
        <v>6941</v>
      </c>
      <c r="BJ80" s="553"/>
      <c r="BK80" s="554"/>
      <c r="BM80" s="989" t="s">
        <v>97</v>
      </c>
      <c r="BN80" s="969"/>
      <c r="BO80" s="969"/>
      <c r="BP80" s="969"/>
      <c r="BQ80" s="969"/>
      <c r="BR80" s="969"/>
      <c r="BS80" s="970"/>
      <c r="BT80" s="555">
        <v>5065</v>
      </c>
      <c r="BU80" s="555">
        <v>0</v>
      </c>
      <c r="BV80" s="555">
        <v>7635</v>
      </c>
      <c r="BW80" s="553"/>
      <c r="BX80" s="556">
        <v>0.50740375123299997</v>
      </c>
      <c r="BY80" s="555">
        <v>2570</v>
      </c>
      <c r="BZ80" s="553"/>
      <c r="CA80" s="554"/>
      <c r="CC80" s="989" t="s">
        <v>98</v>
      </c>
      <c r="CD80" s="969"/>
      <c r="CE80" s="969"/>
      <c r="CF80" s="969"/>
      <c r="CG80" s="969"/>
      <c r="CH80" s="969"/>
      <c r="CI80" s="970"/>
      <c r="CJ80" s="555">
        <v>4115</v>
      </c>
      <c r="CK80" s="555">
        <v>0</v>
      </c>
      <c r="CL80" s="555">
        <v>4413</v>
      </c>
      <c r="CM80" s="553"/>
      <c r="CN80" s="556">
        <v>7.2417982988999999E-2</v>
      </c>
      <c r="CO80" s="555">
        <v>298</v>
      </c>
      <c r="CP80" s="553"/>
      <c r="CQ80" s="554"/>
      <c r="CS80" s="989" t="s">
        <v>101</v>
      </c>
      <c r="CT80" s="969"/>
      <c r="CU80" s="969"/>
      <c r="CV80" s="969"/>
      <c r="CW80" s="969"/>
      <c r="CX80" s="969"/>
      <c r="CY80" s="970"/>
      <c r="CZ80" s="555">
        <v>2329</v>
      </c>
      <c r="DA80" s="555">
        <v>0</v>
      </c>
      <c r="DB80" s="555">
        <v>1779</v>
      </c>
      <c r="DC80" s="553"/>
      <c r="DD80" s="556">
        <v>-0.236152855302</v>
      </c>
      <c r="DE80" s="555">
        <v>-550</v>
      </c>
      <c r="DF80" s="553"/>
      <c r="DG80" s="554"/>
      <c r="DI80" s="994" t="s">
        <v>45</v>
      </c>
      <c r="DJ80" s="978"/>
      <c r="DK80" s="978"/>
      <c r="DL80" s="978"/>
      <c r="DM80" s="978"/>
      <c r="DN80" s="978"/>
      <c r="DO80" s="979"/>
      <c r="DP80" s="555">
        <v>198037</v>
      </c>
      <c r="DQ80" s="555">
        <v>0</v>
      </c>
      <c r="DR80" s="555">
        <v>204761</v>
      </c>
      <c r="DS80" s="553"/>
      <c r="DT80" s="556">
        <v>3.3953251160000003E-2</v>
      </c>
      <c r="DU80" s="555">
        <v>6724</v>
      </c>
      <c r="DV80" s="553"/>
      <c r="DW80" s="554"/>
      <c r="DY80" s="989" t="s">
        <v>101</v>
      </c>
      <c r="DZ80" s="969"/>
      <c r="EA80" s="969"/>
      <c r="EB80" s="969"/>
      <c r="EC80" s="969"/>
      <c r="ED80" s="969"/>
      <c r="EE80" s="970"/>
      <c r="EF80" s="555">
        <v>1251</v>
      </c>
      <c r="EG80" s="555">
        <v>0</v>
      </c>
      <c r="EH80" s="555">
        <v>1309</v>
      </c>
      <c r="EI80" s="553"/>
      <c r="EJ80" s="556">
        <v>4.6362909671999998E-2</v>
      </c>
      <c r="EK80" s="555">
        <v>58</v>
      </c>
      <c r="EL80" s="553"/>
      <c r="EM80" s="554"/>
      <c r="EO80" s="989" t="s">
        <v>97</v>
      </c>
      <c r="EP80" s="969"/>
      <c r="EQ80" s="969"/>
      <c r="ER80" s="969"/>
      <c r="ES80" s="969"/>
      <c r="ET80" s="969"/>
      <c r="EU80" s="970"/>
      <c r="EV80" s="555">
        <v>124149</v>
      </c>
      <c r="EW80" s="555">
        <v>0</v>
      </c>
      <c r="EX80" s="555">
        <v>123570</v>
      </c>
      <c r="EY80" s="553"/>
      <c r="EZ80" s="556">
        <v>-4.6637508150000001E-3</v>
      </c>
      <c r="FA80" s="555">
        <v>-579</v>
      </c>
      <c r="FB80" s="553"/>
      <c r="FC80" s="554"/>
      <c r="FE80" s="989" t="s">
        <v>97</v>
      </c>
      <c r="FF80" s="969"/>
      <c r="FG80" s="969"/>
      <c r="FH80" s="969"/>
      <c r="FI80" s="969"/>
      <c r="FJ80" s="969"/>
      <c r="FK80" s="970"/>
      <c r="FL80" s="555">
        <v>8520</v>
      </c>
      <c r="FM80" s="555">
        <v>0</v>
      </c>
      <c r="FN80" s="555">
        <v>9338</v>
      </c>
      <c r="FO80" s="553"/>
      <c r="FP80" s="556">
        <v>9.6009389671000006E-2</v>
      </c>
      <c r="FQ80" s="555">
        <v>818</v>
      </c>
      <c r="FR80" s="553"/>
      <c r="FS80" s="554"/>
      <c r="GL80" s="967" t="s">
        <v>170</v>
      </c>
      <c r="GM80" s="967"/>
      <c r="GN80" s="967"/>
      <c r="GO80" s="967"/>
      <c r="GP80" s="967"/>
      <c r="GQ80" s="967"/>
      <c r="GR80" s="967"/>
      <c r="GS80" s="967"/>
      <c r="HX80" s="742"/>
      <c r="IV80" s="967" t="s">
        <v>176</v>
      </c>
      <c r="IW80" s="967"/>
      <c r="IX80" s="967"/>
      <c r="IY80" s="967"/>
      <c r="IZ80" s="967"/>
      <c r="JA80" s="967"/>
      <c r="JB80" s="967"/>
      <c r="JC80" s="967"/>
      <c r="JD80" s="967"/>
      <c r="JE80" s="967"/>
      <c r="JF80" s="967"/>
      <c r="JG80" s="967"/>
      <c r="KJ80" s="742"/>
    </row>
    <row r="81" spans="1:301" ht="15" thickBot="1">
      <c r="A81" s="989" t="s">
        <v>99</v>
      </c>
      <c r="B81" s="969"/>
      <c r="C81" s="969"/>
      <c r="D81" s="969"/>
      <c r="E81" s="969"/>
      <c r="F81" s="969"/>
      <c r="G81" s="970"/>
      <c r="H81" s="555">
        <v>9622</v>
      </c>
      <c r="I81" s="555">
        <v>0</v>
      </c>
      <c r="J81" s="555">
        <v>7418</v>
      </c>
      <c r="K81" s="553"/>
      <c r="L81" s="556">
        <v>-0.229058407815</v>
      </c>
      <c r="M81" s="555">
        <v>-2204</v>
      </c>
      <c r="N81" s="553"/>
      <c r="O81" s="554"/>
      <c r="Q81" s="989" t="s">
        <v>101</v>
      </c>
      <c r="R81" s="969"/>
      <c r="S81" s="969"/>
      <c r="T81" s="969"/>
      <c r="U81" s="969"/>
      <c r="V81" s="969"/>
      <c r="W81" s="970"/>
      <c r="X81" s="555">
        <v>0</v>
      </c>
      <c r="Y81" s="555">
        <v>0</v>
      </c>
      <c r="Z81" s="555">
        <v>1</v>
      </c>
      <c r="AA81" s="553"/>
      <c r="AB81" s="553"/>
      <c r="AC81" s="555">
        <v>1</v>
      </c>
      <c r="AD81" s="553"/>
      <c r="AE81" s="554"/>
      <c r="AG81" s="989" t="s">
        <v>97</v>
      </c>
      <c r="AH81" s="969"/>
      <c r="AI81" s="969"/>
      <c r="AJ81" s="969"/>
      <c r="AK81" s="969"/>
      <c r="AL81" s="969"/>
      <c r="AM81" s="970"/>
      <c r="AN81" s="555">
        <v>347257</v>
      </c>
      <c r="AO81" s="555">
        <v>369154</v>
      </c>
      <c r="AP81" s="555">
        <v>369123</v>
      </c>
      <c r="AQ81" s="556">
        <v>-8.3975793300357E-5</v>
      </c>
      <c r="AR81" s="556">
        <v>6.2967773147E-2</v>
      </c>
      <c r="AS81" s="555">
        <v>21866</v>
      </c>
      <c r="AT81" s="553"/>
      <c r="AU81" s="554"/>
      <c r="AW81" s="989" t="s">
        <v>98</v>
      </c>
      <c r="AX81" s="969"/>
      <c r="AY81" s="969"/>
      <c r="AZ81" s="969"/>
      <c r="BA81" s="969"/>
      <c r="BB81" s="969"/>
      <c r="BC81" s="970"/>
      <c r="BD81" s="555">
        <v>516</v>
      </c>
      <c r="BE81" s="555">
        <v>1077</v>
      </c>
      <c r="BF81" s="555">
        <v>1000</v>
      </c>
      <c r="BG81" s="556">
        <v>-7.1494893221E-2</v>
      </c>
      <c r="BH81" s="556">
        <v>0.93798449612400003</v>
      </c>
      <c r="BI81" s="555">
        <v>484</v>
      </c>
      <c r="BJ81" s="553"/>
      <c r="BK81" s="554"/>
      <c r="BM81" s="989" t="s">
        <v>98</v>
      </c>
      <c r="BN81" s="969"/>
      <c r="BO81" s="969"/>
      <c r="BP81" s="969"/>
      <c r="BQ81" s="969"/>
      <c r="BR81" s="969"/>
      <c r="BS81" s="970"/>
      <c r="BT81" s="555">
        <v>119</v>
      </c>
      <c r="BU81" s="555">
        <v>0</v>
      </c>
      <c r="BV81" s="555">
        <v>134</v>
      </c>
      <c r="BW81" s="553"/>
      <c r="BX81" s="556">
        <v>0.126050420168</v>
      </c>
      <c r="BY81" s="555">
        <v>15</v>
      </c>
      <c r="BZ81" s="553"/>
      <c r="CA81" s="554"/>
      <c r="CC81" s="989" t="s">
        <v>99</v>
      </c>
      <c r="CD81" s="969"/>
      <c r="CE81" s="969"/>
      <c r="CF81" s="969"/>
      <c r="CG81" s="969"/>
      <c r="CH81" s="969"/>
      <c r="CI81" s="970"/>
      <c r="CJ81" s="555">
        <v>117688</v>
      </c>
      <c r="CK81" s="555">
        <v>0</v>
      </c>
      <c r="CL81" s="555">
        <v>125881</v>
      </c>
      <c r="CM81" s="553"/>
      <c r="CN81" s="556">
        <v>6.9616273536000001E-2</v>
      </c>
      <c r="CO81" s="555">
        <v>8193</v>
      </c>
      <c r="CP81" s="553"/>
      <c r="CQ81" s="554"/>
      <c r="CS81" s="989" t="s">
        <v>102</v>
      </c>
      <c r="CT81" s="969"/>
      <c r="CU81" s="969"/>
      <c r="CV81" s="969"/>
      <c r="CW81" s="969"/>
      <c r="CX81" s="969"/>
      <c r="CY81" s="970"/>
      <c r="CZ81" s="555">
        <v>35755</v>
      </c>
      <c r="DA81" s="555">
        <v>0</v>
      </c>
      <c r="DB81" s="555">
        <v>37322</v>
      </c>
      <c r="DC81" s="553"/>
      <c r="DD81" s="556">
        <v>4.3826038316000002E-2</v>
      </c>
      <c r="DE81" s="555">
        <v>1567</v>
      </c>
      <c r="DF81" s="553"/>
      <c r="DG81" s="554"/>
      <c r="DI81" s="989" t="s">
        <v>97</v>
      </c>
      <c r="DJ81" s="969"/>
      <c r="DK81" s="969"/>
      <c r="DL81" s="969"/>
      <c r="DM81" s="969"/>
      <c r="DN81" s="969"/>
      <c r="DO81" s="970"/>
      <c r="DP81" s="555">
        <v>100673</v>
      </c>
      <c r="DQ81" s="555">
        <v>0</v>
      </c>
      <c r="DR81" s="555">
        <v>108003</v>
      </c>
      <c r="DS81" s="553"/>
      <c r="DT81" s="556">
        <v>7.2809988775000001E-2</v>
      </c>
      <c r="DU81" s="555">
        <v>7330</v>
      </c>
      <c r="DV81" s="553"/>
      <c r="DW81" s="554"/>
      <c r="DY81" s="980" t="s">
        <v>102</v>
      </c>
      <c r="DZ81" s="972"/>
      <c r="EA81" s="972"/>
      <c r="EB81" s="972"/>
      <c r="EC81" s="972"/>
      <c r="ED81" s="972"/>
      <c r="EE81" s="973"/>
      <c r="EF81" s="569">
        <v>11031</v>
      </c>
      <c r="EG81" s="569">
        <v>0</v>
      </c>
      <c r="EH81" s="569">
        <v>11807</v>
      </c>
      <c r="EI81" s="571"/>
      <c r="EJ81" s="570">
        <v>7.0347203336000003E-2</v>
      </c>
      <c r="EK81" s="569">
        <v>776</v>
      </c>
      <c r="EL81" s="571"/>
      <c r="EM81" s="572"/>
      <c r="EO81" s="989" t="s">
        <v>98</v>
      </c>
      <c r="EP81" s="969"/>
      <c r="EQ81" s="969"/>
      <c r="ER81" s="969"/>
      <c r="ES81" s="969"/>
      <c r="ET81" s="969"/>
      <c r="EU81" s="970"/>
      <c r="EV81" s="555">
        <v>3252</v>
      </c>
      <c r="EW81" s="555">
        <v>0</v>
      </c>
      <c r="EX81" s="555">
        <v>8190</v>
      </c>
      <c r="EY81" s="553"/>
      <c r="EZ81" s="556">
        <v>1.5184501845010001</v>
      </c>
      <c r="FA81" s="555">
        <v>4938</v>
      </c>
      <c r="FB81" s="553"/>
      <c r="FC81" s="554"/>
      <c r="FE81" s="989" t="s">
        <v>98</v>
      </c>
      <c r="FF81" s="969"/>
      <c r="FG81" s="969"/>
      <c r="FH81" s="969"/>
      <c r="FI81" s="969"/>
      <c r="FJ81" s="969"/>
      <c r="FK81" s="970"/>
      <c r="FL81" s="555">
        <v>114</v>
      </c>
      <c r="FM81" s="555">
        <v>0</v>
      </c>
      <c r="FN81" s="555">
        <v>122</v>
      </c>
      <c r="FO81" s="553"/>
      <c r="FP81" s="556">
        <v>7.0175438596000006E-2</v>
      </c>
      <c r="FQ81" s="555">
        <v>8</v>
      </c>
      <c r="FR81" s="553"/>
      <c r="FS81" s="554"/>
      <c r="GM81" s="592" t="s">
        <v>149</v>
      </c>
      <c r="GN81" s="442">
        <v>43496</v>
      </c>
      <c r="GO81" s="442">
        <v>43524</v>
      </c>
      <c r="GP81" s="442">
        <v>43555</v>
      </c>
      <c r="GQ81" s="442">
        <v>43585</v>
      </c>
      <c r="GR81" s="442">
        <v>43616</v>
      </c>
      <c r="GS81" s="442">
        <v>43646</v>
      </c>
      <c r="GT81" s="442">
        <v>43677</v>
      </c>
      <c r="GU81" s="442">
        <v>43708</v>
      </c>
      <c r="GV81" s="442">
        <v>43738</v>
      </c>
      <c r="GW81" s="442">
        <v>43769</v>
      </c>
      <c r="GX81" s="442">
        <v>43799</v>
      </c>
      <c r="GY81" s="442">
        <v>43830</v>
      </c>
      <c r="GZ81" s="442">
        <v>43861</v>
      </c>
      <c r="HA81" s="442">
        <v>43890</v>
      </c>
      <c r="HB81" s="442">
        <v>43921</v>
      </c>
      <c r="HC81" s="442">
        <v>43951</v>
      </c>
      <c r="HD81" s="442">
        <v>43982</v>
      </c>
      <c r="HE81" s="442">
        <v>44012</v>
      </c>
      <c r="HF81" s="442">
        <v>44043</v>
      </c>
      <c r="HG81" s="442">
        <v>44074</v>
      </c>
      <c r="HH81" s="442">
        <v>44104</v>
      </c>
      <c r="HI81" s="442">
        <v>44135</v>
      </c>
      <c r="HJ81" s="442">
        <v>44165</v>
      </c>
      <c r="HK81" s="442">
        <v>44196</v>
      </c>
      <c r="HL81" s="442">
        <v>44227</v>
      </c>
      <c r="HM81" s="442">
        <v>44255</v>
      </c>
      <c r="HN81" s="442">
        <v>44286</v>
      </c>
      <c r="HO81" s="442">
        <v>44316</v>
      </c>
      <c r="HP81" s="442">
        <v>44347</v>
      </c>
      <c r="HQ81" s="442">
        <v>44377</v>
      </c>
      <c r="HR81" s="442">
        <v>44408</v>
      </c>
      <c r="HS81" s="442">
        <v>44439</v>
      </c>
      <c r="HT81" s="442">
        <v>44469</v>
      </c>
      <c r="HU81" s="542">
        <v>44500</v>
      </c>
      <c r="HV81" s="442">
        <v>44530</v>
      </c>
      <c r="HW81" s="442">
        <v>44561</v>
      </c>
      <c r="HX81" s="442">
        <v>44592</v>
      </c>
      <c r="HY81" s="442">
        <v>44620</v>
      </c>
      <c r="HZ81" s="442">
        <v>44651</v>
      </c>
      <c r="IA81" s="442">
        <v>44681</v>
      </c>
      <c r="IB81" s="830">
        <v>44896</v>
      </c>
      <c r="IC81" s="830">
        <v>44927</v>
      </c>
      <c r="IW81" s="592" t="s">
        <v>149</v>
      </c>
      <c r="IX81" s="442">
        <v>43496</v>
      </c>
      <c r="IY81" s="442">
        <v>43524</v>
      </c>
      <c r="IZ81" s="442">
        <v>43555</v>
      </c>
      <c r="JA81" s="442">
        <v>43585</v>
      </c>
      <c r="JB81" s="442">
        <v>43616</v>
      </c>
      <c r="JC81" s="442">
        <v>43646</v>
      </c>
      <c r="JD81" s="442">
        <v>43677</v>
      </c>
      <c r="JE81" s="442">
        <v>43708</v>
      </c>
      <c r="JF81" s="442">
        <v>43738</v>
      </c>
      <c r="JG81" s="442">
        <v>43769</v>
      </c>
      <c r="JH81" s="442">
        <v>43799</v>
      </c>
      <c r="JI81" s="442">
        <v>43830</v>
      </c>
      <c r="JJ81" s="442">
        <v>43861</v>
      </c>
      <c r="JK81" s="442">
        <v>43890</v>
      </c>
      <c r="JL81" s="442">
        <v>43921</v>
      </c>
      <c r="JM81" s="442">
        <v>43951</v>
      </c>
      <c r="JN81" s="442">
        <v>43982</v>
      </c>
      <c r="JO81" s="442">
        <v>44012</v>
      </c>
      <c r="JP81" s="442">
        <v>44043</v>
      </c>
      <c r="JQ81" s="442">
        <v>44074</v>
      </c>
      <c r="JR81" s="442">
        <v>44104</v>
      </c>
      <c r="JS81" s="442">
        <v>44135</v>
      </c>
      <c r="JT81" s="442">
        <v>44165</v>
      </c>
      <c r="JU81" s="442">
        <v>44196</v>
      </c>
      <c r="JV81" s="442">
        <v>44227</v>
      </c>
      <c r="JW81" s="442">
        <v>44255</v>
      </c>
      <c r="JX81" s="442">
        <v>44286</v>
      </c>
      <c r="JY81" s="442">
        <v>44316</v>
      </c>
      <c r="JZ81" s="442">
        <v>44347</v>
      </c>
      <c r="KA81" s="442">
        <v>44377</v>
      </c>
      <c r="KB81" s="442">
        <v>44408</v>
      </c>
      <c r="KC81" s="442">
        <v>44439</v>
      </c>
      <c r="KD81" s="442">
        <v>44469</v>
      </c>
      <c r="KE81" s="442">
        <v>44500</v>
      </c>
      <c r="KF81" s="442">
        <v>44530</v>
      </c>
      <c r="KG81" s="442">
        <v>44561</v>
      </c>
      <c r="KH81" s="442">
        <v>44592</v>
      </c>
      <c r="KI81" s="442">
        <v>44620</v>
      </c>
      <c r="KJ81" s="442">
        <v>44651</v>
      </c>
      <c r="KK81" s="442">
        <v>44681</v>
      </c>
      <c r="KL81" s="442">
        <v>44712</v>
      </c>
      <c r="KM81" s="442">
        <v>44742</v>
      </c>
      <c r="KN81" s="830">
        <v>44896</v>
      </c>
      <c r="KO81" s="830">
        <v>44927</v>
      </c>
    </row>
    <row r="82" spans="1:301" ht="15.6" thickBot="1">
      <c r="A82" s="989" t="s">
        <v>100</v>
      </c>
      <c r="B82" s="969"/>
      <c r="C82" s="969"/>
      <c r="D82" s="969"/>
      <c r="E82" s="969"/>
      <c r="F82" s="969"/>
      <c r="G82" s="970"/>
      <c r="H82" s="555">
        <v>5084</v>
      </c>
      <c r="I82" s="555">
        <v>0</v>
      </c>
      <c r="J82" s="555">
        <v>5470</v>
      </c>
      <c r="K82" s="553"/>
      <c r="L82" s="556">
        <v>7.5924468921999999E-2</v>
      </c>
      <c r="M82" s="555">
        <v>386</v>
      </c>
      <c r="N82" s="553"/>
      <c r="O82" s="554"/>
      <c r="Q82" s="989" t="s">
        <v>102</v>
      </c>
      <c r="R82" s="969"/>
      <c r="S82" s="969"/>
      <c r="T82" s="969"/>
      <c r="U82" s="969"/>
      <c r="V82" s="969"/>
      <c r="W82" s="970"/>
      <c r="X82" s="555">
        <v>42866</v>
      </c>
      <c r="Y82" s="555">
        <v>0</v>
      </c>
      <c r="Z82" s="555">
        <v>44214</v>
      </c>
      <c r="AA82" s="553"/>
      <c r="AB82" s="556">
        <v>3.1446834319999999E-2</v>
      </c>
      <c r="AC82" s="555">
        <v>1348</v>
      </c>
      <c r="AD82" s="553"/>
      <c r="AE82" s="554"/>
      <c r="AG82" s="989" t="s">
        <v>98</v>
      </c>
      <c r="AH82" s="969"/>
      <c r="AI82" s="969"/>
      <c r="AJ82" s="969"/>
      <c r="AK82" s="969"/>
      <c r="AL82" s="969"/>
      <c r="AM82" s="970"/>
      <c r="AN82" s="555">
        <v>8783</v>
      </c>
      <c r="AO82" s="555">
        <v>113764</v>
      </c>
      <c r="AP82" s="555">
        <v>114391</v>
      </c>
      <c r="AQ82" s="556">
        <v>5.5114095840000004E-3</v>
      </c>
      <c r="AR82" s="556">
        <v>12.024137538426</v>
      </c>
      <c r="AS82" s="555">
        <v>105608</v>
      </c>
      <c r="AT82" s="553"/>
      <c r="AU82" s="554"/>
      <c r="AW82" s="989" t="s">
        <v>99</v>
      </c>
      <c r="AX82" s="969"/>
      <c r="AY82" s="969"/>
      <c r="AZ82" s="969"/>
      <c r="BA82" s="969"/>
      <c r="BB82" s="969"/>
      <c r="BC82" s="970"/>
      <c r="BD82" s="555">
        <v>38648</v>
      </c>
      <c r="BE82" s="555">
        <v>37669</v>
      </c>
      <c r="BF82" s="555">
        <v>37668</v>
      </c>
      <c r="BG82" s="556">
        <v>-2.6547028060208699E-5</v>
      </c>
      <c r="BH82" s="556">
        <v>-2.5357068928999998E-2</v>
      </c>
      <c r="BI82" s="555">
        <v>-980</v>
      </c>
      <c r="BJ82" s="553"/>
      <c r="BK82" s="554"/>
      <c r="BM82" s="989" t="s">
        <v>99</v>
      </c>
      <c r="BN82" s="969"/>
      <c r="BO82" s="969"/>
      <c r="BP82" s="969"/>
      <c r="BQ82" s="969"/>
      <c r="BR82" s="969"/>
      <c r="BS82" s="970"/>
      <c r="BT82" s="555">
        <v>0</v>
      </c>
      <c r="BU82" s="555">
        <v>0</v>
      </c>
      <c r="BV82" s="555">
        <v>0</v>
      </c>
      <c r="BW82" s="553"/>
      <c r="BX82" s="553"/>
      <c r="BY82" s="555">
        <v>0</v>
      </c>
      <c r="BZ82" s="553"/>
      <c r="CA82" s="554"/>
      <c r="CC82" s="989" t="s">
        <v>100</v>
      </c>
      <c r="CD82" s="969"/>
      <c r="CE82" s="969"/>
      <c r="CF82" s="969"/>
      <c r="CG82" s="969"/>
      <c r="CH82" s="969"/>
      <c r="CI82" s="970"/>
      <c r="CJ82" s="555">
        <v>17005</v>
      </c>
      <c r="CK82" s="555">
        <v>0</v>
      </c>
      <c r="CL82" s="555">
        <v>20360</v>
      </c>
      <c r="CM82" s="553"/>
      <c r="CN82" s="556">
        <v>0.19729491326000001</v>
      </c>
      <c r="CO82" s="555">
        <v>3355</v>
      </c>
      <c r="CP82" s="553"/>
      <c r="CQ82" s="554"/>
      <c r="CS82" s="980" t="s">
        <v>103</v>
      </c>
      <c r="CT82" s="972"/>
      <c r="CU82" s="972"/>
      <c r="CV82" s="972"/>
      <c r="CW82" s="972"/>
      <c r="CX82" s="972"/>
      <c r="CY82" s="973"/>
      <c r="CZ82" s="569">
        <v>11882</v>
      </c>
      <c r="DA82" s="569">
        <v>0</v>
      </c>
      <c r="DB82" s="569">
        <v>13727</v>
      </c>
      <c r="DC82" s="571"/>
      <c r="DD82" s="570">
        <v>0.15527688941199999</v>
      </c>
      <c r="DE82" s="569">
        <v>1845</v>
      </c>
      <c r="DF82" s="571"/>
      <c r="DG82" s="572"/>
      <c r="DI82" s="989" t="s">
        <v>98</v>
      </c>
      <c r="DJ82" s="969"/>
      <c r="DK82" s="969"/>
      <c r="DL82" s="969"/>
      <c r="DM82" s="969"/>
      <c r="DN82" s="969"/>
      <c r="DO82" s="970"/>
      <c r="DP82" s="555">
        <v>13860</v>
      </c>
      <c r="DQ82" s="555">
        <v>0</v>
      </c>
      <c r="DR82" s="555">
        <v>13293</v>
      </c>
      <c r="DS82" s="553"/>
      <c r="DT82" s="556">
        <v>-4.0909090909000002E-2</v>
      </c>
      <c r="DU82" s="555">
        <v>-567</v>
      </c>
      <c r="DV82" s="553"/>
      <c r="DW82" s="554"/>
      <c r="DY82" s="975" t="s">
        <v>104</v>
      </c>
      <c r="DZ82" s="976"/>
      <c r="EA82" s="976"/>
      <c r="EB82" s="976"/>
      <c r="EC82" s="976"/>
      <c r="ED82" s="976"/>
      <c r="EE82" s="976"/>
      <c r="EF82" s="976"/>
      <c r="EG82" s="976"/>
      <c r="EH82" s="976"/>
      <c r="EI82" s="976"/>
      <c r="EJ82" s="976"/>
      <c r="EK82" s="976"/>
      <c r="EL82" s="976"/>
      <c r="EM82" s="976"/>
      <c r="EO82" s="989" t="s">
        <v>99</v>
      </c>
      <c r="EP82" s="969"/>
      <c r="EQ82" s="969"/>
      <c r="ER82" s="969"/>
      <c r="ES82" s="969"/>
      <c r="ET82" s="969"/>
      <c r="EU82" s="970"/>
      <c r="EV82" s="555">
        <v>18478</v>
      </c>
      <c r="EW82" s="555">
        <v>0</v>
      </c>
      <c r="EX82" s="555">
        <v>12742</v>
      </c>
      <c r="EY82" s="553"/>
      <c r="EZ82" s="556">
        <v>-0.31042320597400003</v>
      </c>
      <c r="FA82" s="555">
        <v>-5736</v>
      </c>
      <c r="FB82" s="553"/>
      <c r="FC82" s="554"/>
      <c r="FE82" s="989" t="s">
        <v>99</v>
      </c>
      <c r="FF82" s="969"/>
      <c r="FG82" s="969"/>
      <c r="FH82" s="969"/>
      <c r="FI82" s="969"/>
      <c r="FJ82" s="969"/>
      <c r="FK82" s="970"/>
      <c r="FL82" s="555">
        <v>21698</v>
      </c>
      <c r="FM82" s="555">
        <v>0</v>
      </c>
      <c r="FN82" s="555">
        <v>22833</v>
      </c>
      <c r="FO82" s="553"/>
      <c r="FP82" s="556">
        <v>5.2308968567999999E-2</v>
      </c>
      <c r="FQ82" s="555">
        <v>1135</v>
      </c>
      <c r="FR82" s="553"/>
      <c r="FS82" s="554"/>
      <c r="GL82" s="353">
        <v>1</v>
      </c>
      <c r="GM82" s="353" t="s">
        <v>131</v>
      </c>
      <c r="GN82" s="584">
        <f t="shared" ref="GN82:GS82" si="301">+GN34/GN5</f>
        <v>3.3333333333333335E-3</v>
      </c>
      <c r="GO82" s="584">
        <f t="shared" si="301"/>
        <v>4.4303797468354432E-3</v>
      </c>
      <c r="GP82" s="584">
        <f t="shared" si="301"/>
        <v>2.6497085320614732E-3</v>
      </c>
      <c r="GQ82" s="584">
        <f t="shared" si="301"/>
        <v>3.3946251768033945E-3</v>
      </c>
      <c r="GR82" s="584">
        <f t="shared" si="301"/>
        <v>3.8226299694189602E-3</v>
      </c>
      <c r="GS82" s="584">
        <f t="shared" si="301"/>
        <v>3.9512676983865661E-3</v>
      </c>
      <c r="GT82" s="584">
        <f t="shared" ref="GT82:HL82" si="302">+GT34/GT5</f>
        <v>1.4736221632773356E-3</v>
      </c>
      <c r="GU82" s="584">
        <f t="shared" si="302"/>
        <v>4.2884990253411305E-3</v>
      </c>
      <c r="GV82" s="584">
        <f t="shared" si="302"/>
        <v>1.7475328947368422E-2</v>
      </c>
      <c r="GW82" s="584">
        <f t="shared" si="302"/>
        <v>8.8809946714031966E-3</v>
      </c>
      <c r="GX82" s="584">
        <f t="shared" si="302"/>
        <v>6.4739884393063586E-3</v>
      </c>
      <c r="GY82" s="584">
        <f t="shared" si="302"/>
        <v>3.0529172320217096E-3</v>
      </c>
      <c r="GZ82" s="584">
        <f t="shared" si="302"/>
        <v>3.2499999999999999E-3</v>
      </c>
      <c r="HA82" s="584">
        <f t="shared" si="302"/>
        <v>3.2861476238624874E-3</v>
      </c>
      <c r="HB82" s="584">
        <f t="shared" si="302"/>
        <v>1.2060559404670259E-2</v>
      </c>
      <c r="HC82" s="584">
        <f t="shared" si="302"/>
        <v>2.8340080971659921E-3</v>
      </c>
      <c r="HD82" s="584">
        <f t="shared" si="302"/>
        <v>2.8782894736842104E-3</v>
      </c>
      <c r="HE82" s="584">
        <f t="shared" si="302"/>
        <v>5.1432770022042619E-3</v>
      </c>
      <c r="HF82" s="584">
        <f t="shared" si="302"/>
        <v>3.1317754757889667E-3</v>
      </c>
      <c r="HG82" s="584">
        <f t="shared" si="302"/>
        <v>3.290457672749028E-3</v>
      </c>
      <c r="HH82" s="584">
        <f t="shared" si="302"/>
        <v>3.9886039886039889E-3</v>
      </c>
      <c r="HI82" s="584">
        <f t="shared" si="302"/>
        <v>3.9987696093509691E-3</v>
      </c>
      <c r="HJ82" s="584">
        <f t="shared" si="302"/>
        <v>1.5214910612400153E-3</v>
      </c>
      <c r="HK82" s="584">
        <f t="shared" si="302"/>
        <v>1.0828821324448146E-2</v>
      </c>
      <c r="HL82" s="584">
        <f t="shared" si="302"/>
        <v>3.1618281115263006E-3</v>
      </c>
      <c r="HM82" s="584">
        <f t="shared" ref="HM82:HP82" si="303">+HM34/HM5</f>
        <v>0</v>
      </c>
      <c r="HN82" s="584">
        <f t="shared" si="303"/>
        <v>0</v>
      </c>
      <c r="HO82" s="584">
        <f t="shared" si="303"/>
        <v>2.2457491177414182E-3</v>
      </c>
      <c r="HP82" s="584">
        <f t="shared" si="303"/>
        <v>4.3572984749455342E-3</v>
      </c>
      <c r="HQ82" s="584">
        <f t="shared" ref="HQ82:HS82" si="304">+HQ34/HQ5</f>
        <v>1.9356399709654004E-3</v>
      </c>
      <c r="HR82" s="584">
        <f t="shared" si="304"/>
        <v>4.5513654096228867E-3</v>
      </c>
      <c r="HS82" s="584">
        <f t="shared" si="304"/>
        <v>3.953871499176277E-3</v>
      </c>
      <c r="HT82" s="584">
        <f t="shared" ref="HT82:HW82" si="305">+HT34/HT5</f>
        <v>9.4846664558963006E-4</v>
      </c>
      <c r="HU82" s="584">
        <f t="shared" si="305"/>
        <v>2.2655188038060714E-3</v>
      </c>
      <c r="HV82" s="584">
        <f t="shared" si="305"/>
        <v>3.663003663003663E-3</v>
      </c>
      <c r="HW82" s="584">
        <f t="shared" si="305"/>
        <v>4.5627376425855515E-3</v>
      </c>
      <c r="HX82" s="584">
        <f t="shared" ref="HX82:HZ82" si="306">+HX34/HX5</f>
        <v>1.6113438607798904E-3</v>
      </c>
      <c r="HY82" s="584">
        <f t="shared" si="306"/>
        <v>5.9726962457337888E-3</v>
      </c>
      <c r="HZ82" s="584">
        <f t="shared" si="306"/>
        <v>6.6695352839931154E-3</v>
      </c>
      <c r="IA82" s="584">
        <f t="shared" ref="IA82" si="307">+IA34/IA5</f>
        <v>1.4265335235378032E-3</v>
      </c>
      <c r="IB82" s="831">
        <f>+IB34/II5</f>
        <v>3.5223670306445932E-4</v>
      </c>
      <c r="IC82" s="585">
        <f>+IC34/IJ5</f>
        <v>1.4657383657017222E-3</v>
      </c>
      <c r="IV82" s="353">
        <v>1</v>
      </c>
      <c r="IW82" s="353" t="s">
        <v>131</v>
      </c>
      <c r="IX82" s="584">
        <f t="shared" ref="IX82:JE82" si="308">+IX34/IX5</f>
        <v>1.6666666666666668E-3</v>
      </c>
      <c r="IY82" s="584">
        <f t="shared" si="308"/>
        <v>3.1645569620253164E-3</v>
      </c>
      <c r="IZ82" s="584">
        <f t="shared" si="308"/>
        <v>1.8547959724430313E-3</v>
      </c>
      <c r="JA82" s="584">
        <f t="shared" si="308"/>
        <v>2.828854314002829E-3</v>
      </c>
      <c r="JB82" s="584">
        <f t="shared" si="308"/>
        <v>3.3129459734964322E-3</v>
      </c>
      <c r="JC82" s="584">
        <f t="shared" si="308"/>
        <v>3.6219953901876854E-3</v>
      </c>
      <c r="JD82" s="584">
        <f t="shared" si="308"/>
        <v>1.1788977306218685E-3</v>
      </c>
      <c r="JE82" s="584">
        <f t="shared" si="308"/>
        <v>2.7290448343079924E-3</v>
      </c>
      <c r="JF82" s="584">
        <f t="shared" ref="JF82:JY82" si="309">+JF34/JF5</f>
        <v>3.4950657894736842E-3</v>
      </c>
      <c r="JG82" s="584">
        <f t="shared" si="309"/>
        <v>1.4209591474245115E-3</v>
      </c>
      <c r="JH82" s="584">
        <f t="shared" si="309"/>
        <v>1.8497109826589595E-3</v>
      </c>
      <c r="JI82" s="584">
        <f t="shared" si="309"/>
        <v>2.0352781546811396E-3</v>
      </c>
      <c r="JJ82" s="584">
        <f t="shared" si="309"/>
        <v>2.2499999999999998E-3</v>
      </c>
      <c r="JK82" s="584">
        <f t="shared" si="309"/>
        <v>1.2639029322548028E-3</v>
      </c>
      <c r="JL82" s="584">
        <f t="shared" si="309"/>
        <v>1.1547344110854504E-2</v>
      </c>
      <c r="JM82" s="584">
        <f t="shared" si="309"/>
        <v>2.8340080971659921E-3</v>
      </c>
      <c r="JN82" s="584">
        <f t="shared" si="309"/>
        <v>2.0559210526315788E-3</v>
      </c>
      <c r="JO82" s="584">
        <f t="shared" si="309"/>
        <v>4.1636051922605928E-3</v>
      </c>
      <c r="JP82" s="584">
        <f t="shared" si="309"/>
        <v>1.927246446639364E-3</v>
      </c>
      <c r="JQ82" s="584">
        <f t="shared" si="309"/>
        <v>1.4956625785222854E-3</v>
      </c>
      <c r="JR82" s="584">
        <f t="shared" si="309"/>
        <v>2.5641025641025641E-3</v>
      </c>
      <c r="JS82" s="584">
        <f t="shared" si="309"/>
        <v>2.7683789603199014E-3</v>
      </c>
      <c r="JT82" s="584">
        <f t="shared" si="309"/>
        <v>1.1411182959300114E-3</v>
      </c>
      <c r="JU82" s="584">
        <f t="shared" si="309"/>
        <v>1.2494793835901709E-3</v>
      </c>
      <c r="JV82" s="584">
        <f t="shared" si="309"/>
        <v>2.2995113538373095E-3</v>
      </c>
      <c r="JW82" s="584">
        <f t="shared" si="309"/>
        <v>2.618486514794449E-3</v>
      </c>
      <c r="JX82" s="584">
        <f t="shared" si="309"/>
        <v>2.6094520150768338E-3</v>
      </c>
      <c r="JY82" s="584">
        <f t="shared" si="309"/>
        <v>2.2457491177414182E-3</v>
      </c>
      <c r="JZ82" s="584">
        <f t="shared" ref="JZ82:KC82" si="310">+JZ34/JZ5</f>
        <v>4.0460628695922814E-3</v>
      </c>
      <c r="KA82" s="584">
        <f t="shared" si="310"/>
        <v>3.1454149528187757E-3</v>
      </c>
      <c r="KB82" s="584">
        <f t="shared" si="310"/>
        <v>3.5760728218465539E-3</v>
      </c>
      <c r="KC82" s="584">
        <f t="shared" si="310"/>
        <v>3.2948929159802307E-3</v>
      </c>
      <c r="KD82" s="584">
        <f t="shared" ref="KD82:KE82" si="311">+KD34/KD5</f>
        <v>6.3231109705975345E-4</v>
      </c>
      <c r="KE82" s="584">
        <f t="shared" si="311"/>
        <v>2.0389669234254643E-3</v>
      </c>
      <c r="KF82" s="584">
        <f t="shared" ref="KF82:KL82" si="312">+KF34/KF5</f>
        <v>1.8315018315018315E-3</v>
      </c>
      <c r="KG82" s="584">
        <f t="shared" si="312"/>
        <v>2.6615969581749049E-3</v>
      </c>
      <c r="KH82" s="584">
        <f t="shared" si="312"/>
        <v>1.2890750886239124E-3</v>
      </c>
      <c r="KI82" s="584">
        <f t="shared" si="312"/>
        <v>4.8350398179749718E-3</v>
      </c>
      <c r="KJ82" s="584">
        <f t="shared" si="312"/>
        <v>6.024096385542169E-3</v>
      </c>
      <c r="KK82" s="584">
        <f t="shared" si="312"/>
        <v>1.4265335235378032E-3</v>
      </c>
      <c r="KL82" s="584">
        <f t="shared" si="312"/>
        <v>7.6550140341923956E-4</v>
      </c>
      <c r="KM82" s="584">
        <f t="shared" ref="KM82" si="313">+KM34/KM5</f>
        <v>2.5348542458808617E-4</v>
      </c>
      <c r="KN82" s="832">
        <f>+KN34/KS5</f>
        <v>7.0447340612891864E-4</v>
      </c>
      <c r="KO82" s="859">
        <f>+KO34/KT5</f>
        <v>1.0993037742762918E-3</v>
      </c>
    </row>
    <row r="83" spans="1:301" ht="15.6" thickBot="1">
      <c r="A83" s="989" t="s">
        <v>101</v>
      </c>
      <c r="B83" s="969"/>
      <c r="C83" s="969"/>
      <c r="D83" s="969"/>
      <c r="E83" s="969"/>
      <c r="F83" s="969"/>
      <c r="G83" s="970"/>
      <c r="H83" s="555">
        <v>1110</v>
      </c>
      <c r="I83" s="555">
        <v>0</v>
      </c>
      <c r="J83" s="555">
        <v>1149</v>
      </c>
      <c r="K83" s="553"/>
      <c r="L83" s="556">
        <v>3.5135135135000002E-2</v>
      </c>
      <c r="M83" s="555">
        <v>39</v>
      </c>
      <c r="N83" s="553"/>
      <c r="O83" s="554"/>
      <c r="Q83" s="980" t="s">
        <v>103</v>
      </c>
      <c r="R83" s="972"/>
      <c r="S83" s="972"/>
      <c r="T83" s="972"/>
      <c r="U83" s="972"/>
      <c r="V83" s="972"/>
      <c r="W83" s="973"/>
      <c r="X83" s="569">
        <v>32352</v>
      </c>
      <c r="Y83" s="569">
        <v>0</v>
      </c>
      <c r="Z83" s="569">
        <v>35473</v>
      </c>
      <c r="AA83" s="571"/>
      <c r="AB83" s="570">
        <v>9.6470079129000005E-2</v>
      </c>
      <c r="AC83" s="569">
        <v>3121</v>
      </c>
      <c r="AD83" s="571"/>
      <c r="AE83" s="572"/>
      <c r="AG83" s="989" t="s">
        <v>99</v>
      </c>
      <c r="AH83" s="969"/>
      <c r="AI83" s="969"/>
      <c r="AJ83" s="969"/>
      <c r="AK83" s="969"/>
      <c r="AL83" s="969"/>
      <c r="AM83" s="970"/>
      <c r="AN83" s="555">
        <v>127440</v>
      </c>
      <c r="AO83" s="555">
        <v>139872</v>
      </c>
      <c r="AP83" s="555">
        <v>140451</v>
      </c>
      <c r="AQ83" s="556">
        <v>4.1394989699999997E-3</v>
      </c>
      <c r="AR83" s="556">
        <v>0.102095103578</v>
      </c>
      <c r="AS83" s="555">
        <v>13011</v>
      </c>
      <c r="AT83" s="553"/>
      <c r="AU83" s="554"/>
      <c r="AW83" s="989" t="s">
        <v>100</v>
      </c>
      <c r="AX83" s="969"/>
      <c r="AY83" s="969"/>
      <c r="AZ83" s="969"/>
      <c r="BA83" s="969"/>
      <c r="BB83" s="969"/>
      <c r="BC83" s="970"/>
      <c r="BD83" s="555">
        <v>105017</v>
      </c>
      <c r="BE83" s="555">
        <v>98787</v>
      </c>
      <c r="BF83" s="555">
        <v>98763</v>
      </c>
      <c r="BG83" s="556">
        <v>-2.42946946E-4</v>
      </c>
      <c r="BH83" s="556">
        <v>-5.9552262965999997E-2</v>
      </c>
      <c r="BI83" s="555">
        <v>-6254</v>
      </c>
      <c r="BJ83" s="553"/>
      <c r="BK83" s="554"/>
      <c r="BM83" s="989" t="s">
        <v>100</v>
      </c>
      <c r="BN83" s="969"/>
      <c r="BO83" s="969"/>
      <c r="BP83" s="969"/>
      <c r="BQ83" s="969"/>
      <c r="BR83" s="969"/>
      <c r="BS83" s="970"/>
      <c r="BT83" s="555">
        <v>10866</v>
      </c>
      <c r="BU83" s="555">
        <v>0</v>
      </c>
      <c r="BV83" s="555">
        <v>11015</v>
      </c>
      <c r="BW83" s="553"/>
      <c r="BX83" s="556">
        <v>1.3712497699000001E-2</v>
      </c>
      <c r="BY83" s="555">
        <v>149</v>
      </c>
      <c r="BZ83" s="553"/>
      <c r="CA83" s="554"/>
      <c r="CC83" s="989" t="s">
        <v>101</v>
      </c>
      <c r="CD83" s="969"/>
      <c r="CE83" s="969"/>
      <c r="CF83" s="969"/>
      <c r="CG83" s="969"/>
      <c r="CH83" s="969"/>
      <c r="CI83" s="970"/>
      <c r="CJ83" s="555">
        <v>51257</v>
      </c>
      <c r="CK83" s="555">
        <v>0</v>
      </c>
      <c r="CL83" s="555">
        <v>716</v>
      </c>
      <c r="CM83" s="553"/>
      <c r="CN83" s="556">
        <v>-0.98603117622900005</v>
      </c>
      <c r="CO83" s="555">
        <v>-50541</v>
      </c>
      <c r="CP83" s="553"/>
      <c r="CQ83" s="554"/>
      <c r="CS83" s="975" t="s">
        <v>104</v>
      </c>
      <c r="CT83" s="976"/>
      <c r="CU83" s="976"/>
      <c r="CV83" s="976"/>
      <c r="CW83" s="976"/>
      <c r="CX83" s="976"/>
      <c r="CY83" s="976"/>
      <c r="CZ83" s="976"/>
      <c r="DA83" s="976"/>
      <c r="DB83" s="976"/>
      <c r="DC83" s="976"/>
      <c r="DD83" s="976"/>
      <c r="DE83" s="976"/>
      <c r="DF83" s="976"/>
      <c r="DG83" s="976"/>
      <c r="DI83" s="989" t="s">
        <v>99</v>
      </c>
      <c r="DJ83" s="969"/>
      <c r="DK83" s="969"/>
      <c r="DL83" s="969"/>
      <c r="DM83" s="969"/>
      <c r="DN83" s="969"/>
      <c r="DO83" s="970"/>
      <c r="DP83" s="555">
        <v>183933</v>
      </c>
      <c r="DQ83" s="555">
        <v>0</v>
      </c>
      <c r="DR83" s="555">
        <v>190696</v>
      </c>
      <c r="DS83" s="553"/>
      <c r="DT83" s="556">
        <v>3.676882343E-2</v>
      </c>
      <c r="DU83" s="555">
        <v>6763</v>
      </c>
      <c r="DV83" s="553"/>
      <c r="DW83" s="554"/>
      <c r="DY83" s="544"/>
      <c r="DZ83" s="545"/>
      <c r="EA83" s="545"/>
      <c r="EB83" s="545"/>
      <c r="EC83" s="545"/>
      <c r="ED83" s="545"/>
      <c r="EE83" s="546"/>
      <c r="EF83" s="593" t="s">
        <v>78</v>
      </c>
      <c r="EG83" s="593" t="s">
        <v>161</v>
      </c>
      <c r="EH83" s="593" t="s">
        <v>162</v>
      </c>
      <c r="EI83" s="593" t="s">
        <v>79</v>
      </c>
      <c r="EJ83" s="593" t="s">
        <v>80</v>
      </c>
      <c r="EK83" s="593" t="s">
        <v>81</v>
      </c>
      <c r="EL83" s="593" t="s">
        <v>448</v>
      </c>
      <c r="EM83" s="593" t="s">
        <v>82</v>
      </c>
      <c r="EO83" s="989" t="s">
        <v>100</v>
      </c>
      <c r="EP83" s="969"/>
      <c r="EQ83" s="969"/>
      <c r="ER83" s="969"/>
      <c r="ES83" s="969"/>
      <c r="ET83" s="969"/>
      <c r="EU83" s="970"/>
      <c r="EV83" s="555">
        <v>47148</v>
      </c>
      <c r="EW83" s="555">
        <v>0</v>
      </c>
      <c r="EX83" s="555">
        <v>60066</v>
      </c>
      <c r="EY83" s="553"/>
      <c r="EZ83" s="556">
        <v>0.27398829218600002</v>
      </c>
      <c r="FA83" s="555">
        <v>12918</v>
      </c>
      <c r="FB83" s="553"/>
      <c r="FC83" s="554"/>
      <c r="FE83" s="989" t="s">
        <v>100</v>
      </c>
      <c r="FF83" s="969"/>
      <c r="FG83" s="969"/>
      <c r="FH83" s="969"/>
      <c r="FI83" s="969"/>
      <c r="FJ83" s="969"/>
      <c r="FK83" s="970"/>
      <c r="FL83" s="555">
        <v>2524</v>
      </c>
      <c r="FM83" s="555">
        <v>0</v>
      </c>
      <c r="FN83" s="555">
        <v>2813</v>
      </c>
      <c r="FO83" s="553"/>
      <c r="FP83" s="556">
        <v>0.114500792393</v>
      </c>
      <c r="FQ83" s="555">
        <v>289</v>
      </c>
      <c r="FR83" s="553"/>
      <c r="FS83" s="554"/>
      <c r="GL83" s="353">
        <v>2</v>
      </c>
      <c r="GM83" s="353" t="s">
        <v>136</v>
      </c>
      <c r="GN83" s="584">
        <f t="shared" ref="GN83:GS83" si="314">+GN37/GN8</f>
        <v>1.4374700527072352E-3</v>
      </c>
      <c r="GO83" s="584">
        <f t="shared" si="314"/>
        <v>2.3201856148491878E-3</v>
      </c>
      <c r="GP83" s="584">
        <f t="shared" si="314"/>
        <v>3.9666798889329627E-3</v>
      </c>
      <c r="GQ83" s="584">
        <f t="shared" si="314"/>
        <v>2.881844380403458E-3</v>
      </c>
      <c r="GR83" s="584">
        <f t="shared" si="314"/>
        <v>3.4261241970021412E-3</v>
      </c>
      <c r="GS83" s="584">
        <f t="shared" si="314"/>
        <v>2.0964360587002098E-3</v>
      </c>
      <c r="GT83" s="584">
        <f t="shared" ref="GT83:HL83" si="315">+GT37/GT8</f>
        <v>1.3272311212814645E-2</v>
      </c>
      <c r="GU83" s="584">
        <f t="shared" si="315"/>
        <v>1.5797032072762087E-2</v>
      </c>
      <c r="GV83" s="584">
        <f t="shared" si="315"/>
        <v>6.9625761531766752E-3</v>
      </c>
      <c r="GW83" s="584">
        <f t="shared" si="315"/>
        <v>6.0024009603841539E-3</v>
      </c>
      <c r="GX83" s="584">
        <f t="shared" si="315"/>
        <v>5.4170249355116079E-2</v>
      </c>
      <c r="GY83" s="584">
        <f t="shared" si="315"/>
        <v>3.4482758620689655E-3</v>
      </c>
      <c r="GZ83" s="584">
        <f t="shared" si="315"/>
        <v>3.7151702786377707E-3</v>
      </c>
      <c r="HA83" s="584">
        <f t="shared" si="315"/>
        <v>1.1104617182933957E-2</v>
      </c>
      <c r="HB83" s="584">
        <f t="shared" si="315"/>
        <v>5.6338028169014088E-3</v>
      </c>
      <c r="HC83" s="584">
        <f t="shared" si="315"/>
        <v>6.9060773480662981E-3</v>
      </c>
      <c r="HD83" s="584">
        <f t="shared" si="315"/>
        <v>5.279831045406547E-3</v>
      </c>
      <c r="HE83" s="584">
        <f t="shared" si="315"/>
        <v>4.7675804529201428E-3</v>
      </c>
      <c r="HF83" s="584">
        <f t="shared" si="315"/>
        <v>5.2301255230125521E-3</v>
      </c>
      <c r="HG83" s="584">
        <f t="shared" si="315"/>
        <v>2.34192037470726E-3</v>
      </c>
      <c r="HH83" s="584">
        <f t="shared" si="315"/>
        <v>7.8508341511285568E-3</v>
      </c>
      <c r="HI83" s="584">
        <f t="shared" si="315"/>
        <v>1.2500000000000001E-2</v>
      </c>
      <c r="HJ83" s="584">
        <f t="shared" si="315"/>
        <v>4.6224961479198771E-3</v>
      </c>
      <c r="HK83" s="584">
        <f t="shared" si="315"/>
        <v>7.874015748031496E-3</v>
      </c>
      <c r="HL83" s="584">
        <f t="shared" si="315"/>
        <v>3.3670033670033669E-3</v>
      </c>
      <c r="HM83" s="584">
        <f t="shared" ref="HM83:HP83" si="316">+HM37/HM8</f>
        <v>0</v>
      </c>
      <c r="HN83" s="584">
        <f t="shared" si="316"/>
        <v>0</v>
      </c>
      <c r="HO83" s="584">
        <f t="shared" si="316"/>
        <v>1.1778563015312131E-3</v>
      </c>
      <c r="HP83" s="584">
        <f t="shared" si="316"/>
        <v>7.7972709551656916E-3</v>
      </c>
      <c r="HQ83" s="584">
        <f t="shared" ref="HQ83:HS83" si="317">+HQ37/HQ8</f>
        <v>4.9261083743842365E-3</v>
      </c>
      <c r="HR83" s="584">
        <f t="shared" si="317"/>
        <v>9.9108027750247768E-4</v>
      </c>
      <c r="HS83" s="584">
        <f t="shared" si="317"/>
        <v>0</v>
      </c>
      <c r="HT83" s="584">
        <f t="shared" ref="HT83:HW83" si="318">+HT37/HT8</f>
        <v>8.8607594936708865E-3</v>
      </c>
      <c r="HU83" s="584">
        <f t="shared" si="318"/>
        <v>8.0536912751677861E-3</v>
      </c>
      <c r="HV83" s="584">
        <f t="shared" si="318"/>
        <v>4.246284501061571E-3</v>
      </c>
      <c r="HW83" s="584">
        <f t="shared" si="318"/>
        <v>2.1739130434782608E-2</v>
      </c>
      <c r="HX83" s="584">
        <f t="shared" ref="HX83" si="319">+HX37/HX8</f>
        <v>2.3364485981308409E-3</v>
      </c>
      <c r="HY83" s="584">
        <f t="shared" ref="HY83:HZ83" si="320">+HY35/HY6</f>
        <v>2.9152542372881354E-2</v>
      </c>
      <c r="HZ83" s="584">
        <f t="shared" si="320"/>
        <v>3.7858301784748513E-2</v>
      </c>
      <c r="IA83" s="584">
        <f t="shared" ref="IA83" si="321">+IA35/IA6</f>
        <v>0.14417531718569782</v>
      </c>
      <c r="IB83" s="831">
        <f>+IB37/II8</f>
        <v>8.0321285140562242E-3</v>
      </c>
      <c r="IC83" s="585">
        <f>+IC37/IJ8</f>
        <v>6.41025641025641E-3</v>
      </c>
      <c r="IV83" s="353">
        <v>2</v>
      </c>
      <c r="IW83" s="353" t="s">
        <v>136</v>
      </c>
      <c r="IX83" s="584">
        <f t="shared" ref="IX83:JE83" si="322">+IX37/IX8</f>
        <v>1.4374700527072352E-3</v>
      </c>
      <c r="IY83" s="584">
        <f t="shared" si="322"/>
        <v>1.1600928074245939E-3</v>
      </c>
      <c r="IZ83" s="584">
        <f t="shared" si="322"/>
        <v>3.5700119000396666E-3</v>
      </c>
      <c r="JA83" s="584">
        <f t="shared" si="322"/>
        <v>2.881844380403458E-3</v>
      </c>
      <c r="JB83" s="584">
        <f t="shared" si="322"/>
        <v>2.9978586723768737E-3</v>
      </c>
      <c r="JC83" s="584">
        <f t="shared" si="322"/>
        <v>1.5723270440251573E-3</v>
      </c>
      <c r="JD83" s="584">
        <f t="shared" si="322"/>
        <v>5.0343249427917619E-3</v>
      </c>
      <c r="JE83" s="584">
        <f t="shared" si="322"/>
        <v>9.0952608903781713E-3</v>
      </c>
      <c r="JF83" s="584">
        <f t="shared" ref="JF83:JY83" si="323">+JF37/JF8</f>
        <v>5.657093124456049E-3</v>
      </c>
      <c r="JG83" s="584">
        <f t="shared" si="323"/>
        <v>6.0024009603841539E-3</v>
      </c>
      <c r="JH83" s="584">
        <f t="shared" si="323"/>
        <v>5.4170249355116079E-2</v>
      </c>
      <c r="JI83" s="584">
        <f t="shared" si="323"/>
        <v>3.4482758620689655E-3</v>
      </c>
      <c r="JJ83" s="584">
        <f t="shared" si="323"/>
        <v>1.8575851393188853E-3</v>
      </c>
      <c r="JK83" s="584">
        <f t="shared" si="323"/>
        <v>5.8445353594389245E-3</v>
      </c>
      <c r="JL83" s="584">
        <f t="shared" si="323"/>
        <v>2.112676056338028E-3</v>
      </c>
      <c r="JM83" s="584">
        <f t="shared" si="323"/>
        <v>5.5248618784530384E-3</v>
      </c>
      <c r="JN83" s="584">
        <f t="shared" si="323"/>
        <v>5.279831045406547E-3</v>
      </c>
      <c r="JO83" s="584">
        <f t="shared" si="323"/>
        <v>3.5756853396901071E-3</v>
      </c>
      <c r="JP83" s="584">
        <f t="shared" si="323"/>
        <v>5.2301255230125521E-3</v>
      </c>
      <c r="JQ83" s="584">
        <f t="shared" si="323"/>
        <v>2.34192037470726E-3</v>
      </c>
      <c r="JR83" s="584">
        <f t="shared" si="323"/>
        <v>4.9067713444553487E-3</v>
      </c>
      <c r="JS83" s="584">
        <f t="shared" si="323"/>
        <v>1.0714285714285714E-2</v>
      </c>
      <c r="JT83" s="584">
        <f t="shared" si="323"/>
        <v>1.5408320493066256E-3</v>
      </c>
      <c r="JU83" s="584">
        <f t="shared" si="323"/>
        <v>7.874015748031496E-3</v>
      </c>
      <c r="JV83" s="584">
        <f t="shared" si="323"/>
        <v>2.2446689113355782E-3</v>
      </c>
      <c r="JW83" s="584">
        <f t="shared" si="323"/>
        <v>8.836524300441826E-3</v>
      </c>
      <c r="JX83" s="584">
        <f t="shared" si="323"/>
        <v>4.8192771084337354E-3</v>
      </c>
      <c r="JY83" s="584">
        <f t="shared" si="323"/>
        <v>2.3557126030624262E-3</v>
      </c>
      <c r="JZ83" s="584">
        <f t="shared" ref="JZ83:KC83" si="324">+JZ37/JZ8</f>
        <v>3.8986354775828458E-3</v>
      </c>
      <c r="KA83" s="584">
        <f t="shared" si="324"/>
        <v>4.9261083743842365E-3</v>
      </c>
      <c r="KB83" s="584">
        <f t="shared" si="324"/>
        <v>9.9108027750247768E-4</v>
      </c>
      <c r="KC83" s="584">
        <f t="shared" si="324"/>
        <v>0</v>
      </c>
      <c r="KD83" s="584">
        <f t="shared" ref="KD83:KE83" si="325">+KD37/KD8</f>
        <v>6.3291139240506328E-3</v>
      </c>
      <c r="KE83" s="584">
        <f t="shared" si="325"/>
        <v>8.0536912751677861E-3</v>
      </c>
      <c r="KF83" s="584">
        <f t="shared" ref="KF83:KJ83" si="326">+KF37/KF8</f>
        <v>2.1231422505307855E-3</v>
      </c>
      <c r="KG83" s="584">
        <f t="shared" si="326"/>
        <v>1.2422360248447204E-2</v>
      </c>
      <c r="KH83" s="584">
        <f t="shared" si="326"/>
        <v>1.557632398753894E-3</v>
      </c>
      <c r="KI83" s="584">
        <f t="shared" si="326"/>
        <v>1.5974440894568689E-3</v>
      </c>
      <c r="KJ83" s="584">
        <f t="shared" si="326"/>
        <v>1.0111223458038423E-3</v>
      </c>
      <c r="KK83" s="584">
        <f t="shared" ref="KK83:KL83" si="327">+KK35/KK6</f>
        <v>5.2479815455593999E-2</v>
      </c>
      <c r="KL83" s="584">
        <f t="shared" si="327"/>
        <v>5.9158134243458477E-2</v>
      </c>
      <c r="KM83" s="584">
        <f t="shared" ref="KM83" si="328">+KM35/KM6</f>
        <v>3.0319148936170211E-2</v>
      </c>
      <c r="KN83" s="832">
        <f>+KN37/KS8</f>
        <v>2.0080321285140562E-2</v>
      </c>
      <c r="KO83" s="859">
        <f>+KO37/KT8</f>
        <v>1.2820512820512821E-3</v>
      </c>
    </row>
    <row r="84" spans="1:301" ht="15.6" thickBot="1">
      <c r="A84" s="989" t="s">
        <v>102</v>
      </c>
      <c r="B84" s="969"/>
      <c r="C84" s="969"/>
      <c r="D84" s="969"/>
      <c r="E84" s="969"/>
      <c r="F84" s="969"/>
      <c r="G84" s="970"/>
      <c r="H84" s="555">
        <v>13410</v>
      </c>
      <c r="I84" s="555">
        <v>0</v>
      </c>
      <c r="J84" s="555">
        <v>12986</v>
      </c>
      <c r="K84" s="553"/>
      <c r="L84" s="556">
        <v>-3.1618195375999997E-2</v>
      </c>
      <c r="M84" s="555">
        <v>-424</v>
      </c>
      <c r="N84" s="553"/>
      <c r="O84" s="554"/>
      <c r="Q84" s="975" t="s">
        <v>104</v>
      </c>
      <c r="R84" s="976"/>
      <c r="S84" s="976"/>
      <c r="T84" s="976"/>
      <c r="U84" s="976"/>
      <c r="V84" s="976"/>
      <c r="W84" s="976"/>
      <c r="X84" s="976"/>
      <c r="Y84" s="976"/>
      <c r="Z84" s="976"/>
      <c r="AA84" s="976"/>
      <c r="AB84" s="976"/>
      <c r="AC84" s="976"/>
      <c r="AD84" s="976"/>
      <c r="AE84" s="976"/>
      <c r="AG84" s="989" t="s">
        <v>100</v>
      </c>
      <c r="AH84" s="969"/>
      <c r="AI84" s="969"/>
      <c r="AJ84" s="969"/>
      <c r="AK84" s="969"/>
      <c r="AL84" s="969"/>
      <c r="AM84" s="970"/>
      <c r="AN84" s="555">
        <v>198909</v>
      </c>
      <c r="AO84" s="555">
        <v>188042</v>
      </c>
      <c r="AP84" s="555">
        <v>184898</v>
      </c>
      <c r="AQ84" s="556">
        <v>-1.671966901E-2</v>
      </c>
      <c r="AR84" s="556">
        <v>-7.0439246087000001E-2</v>
      </c>
      <c r="AS84" s="555">
        <v>-14011</v>
      </c>
      <c r="AT84" s="553"/>
      <c r="AU84" s="554"/>
      <c r="AW84" s="989" t="s">
        <v>101</v>
      </c>
      <c r="AX84" s="969"/>
      <c r="AY84" s="969"/>
      <c r="AZ84" s="969"/>
      <c r="BA84" s="969"/>
      <c r="BB84" s="969"/>
      <c r="BC84" s="970"/>
      <c r="BD84" s="555">
        <v>0</v>
      </c>
      <c r="BE84" s="555">
        <v>11616</v>
      </c>
      <c r="BF84" s="555">
        <v>11540</v>
      </c>
      <c r="BG84" s="556">
        <v>-6.5426997239999996E-3</v>
      </c>
      <c r="BH84" s="553"/>
      <c r="BI84" s="555">
        <v>11540</v>
      </c>
      <c r="BJ84" s="553"/>
      <c r="BK84" s="554"/>
      <c r="BM84" s="989" t="s">
        <v>101</v>
      </c>
      <c r="BN84" s="969"/>
      <c r="BO84" s="969"/>
      <c r="BP84" s="969"/>
      <c r="BQ84" s="969"/>
      <c r="BR84" s="969"/>
      <c r="BS84" s="970"/>
      <c r="BT84" s="555">
        <v>1399</v>
      </c>
      <c r="BU84" s="555">
        <v>0</v>
      </c>
      <c r="BV84" s="555">
        <v>2040</v>
      </c>
      <c r="BW84" s="553"/>
      <c r="BX84" s="556">
        <v>0.45818441744100002</v>
      </c>
      <c r="BY84" s="555">
        <v>641</v>
      </c>
      <c r="BZ84" s="553"/>
      <c r="CA84" s="554"/>
      <c r="CC84" s="989" t="s">
        <v>102</v>
      </c>
      <c r="CD84" s="969"/>
      <c r="CE84" s="969"/>
      <c r="CF84" s="969"/>
      <c r="CG84" s="969"/>
      <c r="CH84" s="969"/>
      <c r="CI84" s="970"/>
      <c r="CJ84" s="555">
        <v>182328</v>
      </c>
      <c r="CK84" s="555">
        <v>0</v>
      </c>
      <c r="CL84" s="555">
        <v>201687</v>
      </c>
      <c r="CM84" s="553"/>
      <c r="CN84" s="556">
        <v>0.106176780308</v>
      </c>
      <c r="CO84" s="555">
        <v>19359</v>
      </c>
      <c r="CP84" s="553"/>
      <c r="CQ84" s="554"/>
      <c r="CS84" s="544"/>
      <c r="CT84" s="545"/>
      <c r="CU84" s="545"/>
      <c r="CV84" s="545"/>
      <c r="CW84" s="545"/>
      <c r="CX84" s="545"/>
      <c r="CY84" s="546"/>
      <c r="CZ84" s="593" t="s">
        <v>78</v>
      </c>
      <c r="DA84" s="593" t="s">
        <v>161</v>
      </c>
      <c r="DB84" s="593" t="s">
        <v>162</v>
      </c>
      <c r="DC84" s="593" t="s">
        <v>79</v>
      </c>
      <c r="DD84" s="593" t="s">
        <v>80</v>
      </c>
      <c r="DE84" s="593" t="s">
        <v>81</v>
      </c>
      <c r="DF84" s="593" t="s">
        <v>448</v>
      </c>
      <c r="DG84" s="593" t="s">
        <v>82</v>
      </c>
      <c r="DI84" s="989" t="s">
        <v>100</v>
      </c>
      <c r="DJ84" s="969"/>
      <c r="DK84" s="969"/>
      <c r="DL84" s="969"/>
      <c r="DM84" s="969"/>
      <c r="DN84" s="969"/>
      <c r="DO84" s="970"/>
      <c r="DP84" s="555">
        <v>13822</v>
      </c>
      <c r="DQ84" s="555">
        <v>0</v>
      </c>
      <c r="DR84" s="555">
        <v>17077</v>
      </c>
      <c r="DS84" s="553"/>
      <c r="DT84" s="556">
        <v>0.23549413977700001</v>
      </c>
      <c r="DU84" s="555">
        <v>3255</v>
      </c>
      <c r="DV84" s="553"/>
      <c r="DW84" s="554"/>
      <c r="DY84" s="981" t="s">
        <v>105</v>
      </c>
      <c r="DZ84" s="982"/>
      <c r="EA84" s="982"/>
      <c r="EB84" s="982"/>
      <c r="EC84" s="982"/>
      <c r="ED84" s="982"/>
      <c r="EE84" s="983"/>
      <c r="EF84" s="547">
        <v>2404687.8227900001</v>
      </c>
      <c r="EG84" s="547">
        <v>0</v>
      </c>
      <c r="EH84" s="547">
        <v>288926.65711999999</v>
      </c>
      <c r="EI84" s="549"/>
      <c r="EJ84" s="548">
        <v>-0.87984857976899999</v>
      </c>
      <c r="EK84" s="547">
        <v>-2115761.16567</v>
      </c>
      <c r="EL84" s="549"/>
      <c r="EM84" s="550"/>
      <c r="EO84" s="989" t="s">
        <v>101</v>
      </c>
      <c r="EP84" s="969"/>
      <c r="EQ84" s="969"/>
      <c r="ER84" s="969"/>
      <c r="ES84" s="969"/>
      <c r="ET84" s="969"/>
      <c r="EU84" s="970"/>
      <c r="EV84" s="555">
        <v>26887</v>
      </c>
      <c r="EW84" s="555">
        <v>0</v>
      </c>
      <c r="EX84" s="555">
        <v>26099</v>
      </c>
      <c r="EY84" s="553"/>
      <c r="EZ84" s="556">
        <v>-2.9307843938999999E-2</v>
      </c>
      <c r="FA84" s="555">
        <v>-788</v>
      </c>
      <c r="FB84" s="553"/>
      <c r="FC84" s="554"/>
      <c r="FE84" s="989" t="s">
        <v>101</v>
      </c>
      <c r="FF84" s="969"/>
      <c r="FG84" s="969"/>
      <c r="FH84" s="969"/>
      <c r="FI84" s="969"/>
      <c r="FJ84" s="969"/>
      <c r="FK84" s="970"/>
      <c r="FL84" s="555">
        <v>0</v>
      </c>
      <c r="FM84" s="555">
        <v>0</v>
      </c>
      <c r="FN84" s="555">
        <v>0</v>
      </c>
      <c r="FO84" s="553"/>
      <c r="FP84" s="553"/>
      <c r="FQ84" s="555">
        <v>0</v>
      </c>
      <c r="FR84" s="553"/>
      <c r="FS84" s="554"/>
      <c r="GL84" s="353">
        <v>3</v>
      </c>
      <c r="GM84" s="353" t="s">
        <v>141</v>
      </c>
      <c r="GN84" s="584">
        <f t="shared" ref="GN84:GS84" si="329">+GN41/GN12</f>
        <v>7.0422535211267607E-3</v>
      </c>
      <c r="GO84" s="584">
        <f t="shared" si="329"/>
        <v>8.1383519837232958E-3</v>
      </c>
      <c r="GP84" s="584">
        <f t="shared" si="329"/>
        <v>8.2342177493138144E-3</v>
      </c>
      <c r="GQ84" s="584">
        <f t="shared" si="329"/>
        <v>1.7132551848512173E-2</v>
      </c>
      <c r="GR84" s="584">
        <f t="shared" si="329"/>
        <v>4.7846889952153108E-3</v>
      </c>
      <c r="GS84" s="584">
        <f t="shared" si="329"/>
        <v>1.2440191387559809E-2</v>
      </c>
      <c r="GT84" s="584">
        <f t="shared" ref="GT84:HL84" si="330">+GT41/GT12</f>
        <v>9.384775808133473E-3</v>
      </c>
      <c r="GU84" s="584">
        <f t="shared" si="330"/>
        <v>1.2295081967213115E-2</v>
      </c>
      <c r="GV84" s="584">
        <f t="shared" si="330"/>
        <v>1.3262599469496021E-3</v>
      </c>
      <c r="GW84" s="584">
        <f t="shared" si="330"/>
        <v>2.5416301489921123E-2</v>
      </c>
      <c r="GX84" s="584">
        <f t="shared" si="330"/>
        <v>4.4813278008298756E-2</v>
      </c>
      <c r="GY84" s="584">
        <f t="shared" si="330"/>
        <v>0.13929618768328444</v>
      </c>
      <c r="GZ84" s="584">
        <f t="shared" si="330"/>
        <v>2.5456919060052218E-2</v>
      </c>
      <c r="HA84" s="584">
        <f t="shared" si="330"/>
        <v>3.2571428571428571E-2</v>
      </c>
      <c r="HB84" s="584">
        <f t="shared" si="330"/>
        <v>5.4644808743169399E-3</v>
      </c>
      <c r="HC84" s="584">
        <f t="shared" si="330"/>
        <v>6.5252854812398045E-3</v>
      </c>
      <c r="HD84" s="584">
        <f t="shared" si="330"/>
        <v>2.2598870056497175E-2</v>
      </c>
      <c r="HE84" s="584">
        <f t="shared" si="330"/>
        <v>4.5329670329670328E-2</v>
      </c>
      <c r="HF84" s="584">
        <f t="shared" si="330"/>
        <v>2.442002442002442E-2</v>
      </c>
      <c r="HG84" s="584">
        <f t="shared" si="330"/>
        <v>2.0765027322404372E-2</v>
      </c>
      <c r="HH84" s="584">
        <f t="shared" si="330"/>
        <v>1.4247551202137132E-2</v>
      </c>
      <c r="HI84" s="584">
        <f t="shared" si="330"/>
        <v>9.4836670179135937E-3</v>
      </c>
      <c r="HJ84" s="584">
        <f t="shared" si="330"/>
        <v>5.6882821387940841E-3</v>
      </c>
      <c r="HK84" s="584">
        <f t="shared" si="330"/>
        <v>9.7719869706840382E-3</v>
      </c>
      <c r="HL84" s="584">
        <f t="shared" si="330"/>
        <v>5.3022269353128317E-3</v>
      </c>
      <c r="HM84" s="584">
        <f t="shared" ref="HM84:HP84" si="331">+HM41/HM12</f>
        <v>0</v>
      </c>
      <c r="HN84" s="584">
        <f t="shared" si="331"/>
        <v>0</v>
      </c>
      <c r="HO84" s="584">
        <f t="shared" si="331"/>
        <v>9.2936802973977699E-3</v>
      </c>
      <c r="HP84" s="584">
        <f t="shared" si="331"/>
        <v>3.7565740045078888E-3</v>
      </c>
      <c r="HQ84" s="584">
        <f t="shared" ref="HQ84:HS84" si="332">+HQ41/HQ12</f>
        <v>1.4285714285714285E-2</v>
      </c>
      <c r="HR84" s="584">
        <f t="shared" si="332"/>
        <v>5.9171597633136093E-3</v>
      </c>
      <c r="HS84" s="584">
        <f t="shared" si="332"/>
        <v>5.1334702258726897E-3</v>
      </c>
      <c r="HT84" s="584">
        <f t="shared" ref="HT84:HW84" si="333">+HT41/HT12</f>
        <v>9.6061479346781949E-3</v>
      </c>
      <c r="HU84" s="584">
        <f t="shared" si="333"/>
        <v>3.3528918692372171E-3</v>
      </c>
      <c r="HV84" s="584">
        <f t="shared" si="333"/>
        <v>5.3619302949061663E-3</v>
      </c>
      <c r="HW84" s="584">
        <f t="shared" si="333"/>
        <v>3.1462585034013606E-2</v>
      </c>
      <c r="HX84" s="584">
        <f t="shared" ref="HX84" si="334">+HX41/HX12</f>
        <v>4.3610547667342799E-2</v>
      </c>
      <c r="HY84" s="584">
        <f t="shared" ref="HY84:HZ84" si="335">+HY36/HY7</f>
        <v>1.3888888888888888E-2</v>
      </c>
      <c r="HZ84" s="584">
        <f t="shared" si="335"/>
        <v>3.0195381882770871E-2</v>
      </c>
      <c r="IA84" s="584">
        <f t="shared" ref="IA84" si="336">+IA36/IA7</f>
        <v>4.3551088777219429E-2</v>
      </c>
      <c r="IB84" s="831">
        <f>+IB41/II12</f>
        <v>0.13333333333333333</v>
      </c>
      <c r="IC84" s="585">
        <f>+IC41/IJ12</f>
        <v>0.17524115755627009</v>
      </c>
      <c r="IV84" s="353">
        <v>3</v>
      </c>
      <c r="IW84" s="353" t="s">
        <v>141</v>
      </c>
      <c r="IX84" s="584">
        <f t="shared" ref="IX84:JE84" si="337">+IX41/IX12</f>
        <v>3.1298904538341159E-3</v>
      </c>
      <c r="IY84" s="584">
        <f t="shared" si="337"/>
        <v>5.0864699898270603E-3</v>
      </c>
      <c r="IZ84" s="584">
        <f t="shared" si="337"/>
        <v>2.7447392497712718E-3</v>
      </c>
      <c r="JA84" s="584">
        <f t="shared" si="337"/>
        <v>9.9188458070333628E-3</v>
      </c>
      <c r="JB84" s="584">
        <f t="shared" si="337"/>
        <v>3.5885167464114833E-3</v>
      </c>
      <c r="JC84" s="584">
        <f t="shared" si="337"/>
        <v>7.6555023923444978E-3</v>
      </c>
      <c r="JD84" s="584">
        <f t="shared" si="337"/>
        <v>4.1710114702815434E-3</v>
      </c>
      <c r="JE84" s="584">
        <f t="shared" si="337"/>
        <v>5.4644808743169399E-3</v>
      </c>
      <c r="JF84" s="584">
        <f t="shared" ref="JF84:JY84" si="338">+JF41/JF12</f>
        <v>1.3262599469496021E-3</v>
      </c>
      <c r="JG84" s="584">
        <f t="shared" si="338"/>
        <v>8.7642418930762491E-4</v>
      </c>
      <c r="JH84" s="584">
        <f t="shared" si="338"/>
        <v>2.4896265560165973E-3</v>
      </c>
      <c r="JI84" s="584">
        <f t="shared" si="338"/>
        <v>0.14002932551319647</v>
      </c>
      <c r="JJ84" s="584">
        <f t="shared" si="338"/>
        <v>7.1801566579634468E-3</v>
      </c>
      <c r="JK84" s="584">
        <f t="shared" si="338"/>
        <v>1.8285714285714287E-2</v>
      </c>
      <c r="JL84" s="584">
        <f t="shared" si="338"/>
        <v>4.3715846994535519E-3</v>
      </c>
      <c r="JM84" s="584">
        <f t="shared" si="338"/>
        <v>1.6313213703099511E-3</v>
      </c>
      <c r="JN84" s="584">
        <f t="shared" si="338"/>
        <v>7.5329566854990581E-3</v>
      </c>
      <c r="JO84" s="584">
        <f t="shared" si="338"/>
        <v>1.3736263736263736E-2</v>
      </c>
      <c r="JP84" s="584">
        <f t="shared" si="338"/>
        <v>1.9536019536019536E-2</v>
      </c>
      <c r="JQ84" s="584">
        <f t="shared" si="338"/>
        <v>1.9672131147540985E-2</v>
      </c>
      <c r="JR84" s="584">
        <f t="shared" si="338"/>
        <v>1.5138023152270703E-2</v>
      </c>
      <c r="JS84" s="584">
        <f t="shared" si="338"/>
        <v>9.4836670179135937E-3</v>
      </c>
      <c r="JT84" s="584">
        <f t="shared" si="338"/>
        <v>6.8259385665529011E-3</v>
      </c>
      <c r="JU84" s="584">
        <f t="shared" si="338"/>
        <v>8.6862106406080351E-3</v>
      </c>
      <c r="JV84" s="584">
        <f t="shared" si="338"/>
        <v>4.2417815482502655E-3</v>
      </c>
      <c r="JW84" s="584">
        <f t="shared" si="338"/>
        <v>3.4199726402188782E-3</v>
      </c>
      <c r="JX84" s="584">
        <f t="shared" si="338"/>
        <v>4.7961630695443642E-3</v>
      </c>
      <c r="JY84" s="584">
        <f t="shared" si="338"/>
        <v>6.8153655514250309E-3</v>
      </c>
      <c r="JZ84" s="584">
        <f t="shared" ref="JZ84:KC84" si="339">+JZ41/JZ12</f>
        <v>7.513148009015778E-4</v>
      </c>
      <c r="KA84" s="584">
        <f t="shared" si="339"/>
        <v>8.0000000000000002E-3</v>
      </c>
      <c r="KB84" s="584">
        <f t="shared" si="339"/>
        <v>3.5502958579881655E-3</v>
      </c>
      <c r="KC84" s="584">
        <f t="shared" si="339"/>
        <v>3.0800821355236141E-3</v>
      </c>
      <c r="KD84" s="584">
        <f t="shared" ref="KD84:KE84" si="340">+KD41/KD12</f>
        <v>7.684918347742555E-3</v>
      </c>
      <c r="KE84" s="584">
        <f t="shared" si="340"/>
        <v>2.5146689019279128E-3</v>
      </c>
      <c r="KF84" s="584">
        <f t="shared" ref="KF84:KJ84" si="341">+KF41/KF12</f>
        <v>3.5746201966041107E-3</v>
      </c>
      <c r="KG84" s="584">
        <f t="shared" si="341"/>
        <v>5.1020408163265302E-3</v>
      </c>
      <c r="KH84" s="584">
        <f t="shared" si="341"/>
        <v>4.0567951318458417E-3</v>
      </c>
      <c r="KI84" s="584">
        <f t="shared" si="341"/>
        <v>1.2717536813922356E-2</v>
      </c>
      <c r="KJ84" s="584">
        <f t="shared" si="341"/>
        <v>1.1253196930946292E-2</v>
      </c>
      <c r="KK84" s="584">
        <f t="shared" ref="KK84:KL84" si="342">+KK36/KK7</f>
        <v>8.3752093802345051E-3</v>
      </c>
      <c r="KL84" s="584">
        <f t="shared" si="342"/>
        <v>2.3703703703703703E-2</v>
      </c>
      <c r="KM84" s="584">
        <f t="shared" ref="KM84" si="343">+KM36/KM7</f>
        <v>1.556420233463035E-2</v>
      </c>
      <c r="KN84" s="832">
        <f>+KN41/KS12</f>
        <v>2.3076923076923078E-2</v>
      </c>
      <c r="KO84" s="859">
        <f>+KO41/KT12</f>
        <v>1.2057877813504822E-2</v>
      </c>
    </row>
    <row r="85" spans="1:301" ht="15.6" thickBot="1">
      <c r="A85" s="980" t="s">
        <v>103</v>
      </c>
      <c r="B85" s="972"/>
      <c r="C85" s="972"/>
      <c r="D85" s="972"/>
      <c r="E85" s="972"/>
      <c r="F85" s="972"/>
      <c r="G85" s="973"/>
      <c r="H85" s="569">
        <v>10028</v>
      </c>
      <c r="I85" s="569">
        <v>0</v>
      </c>
      <c r="J85" s="569">
        <v>9523</v>
      </c>
      <c r="K85" s="571"/>
      <c r="L85" s="570">
        <v>-5.0358994813999997E-2</v>
      </c>
      <c r="M85" s="569">
        <v>-505</v>
      </c>
      <c r="N85" s="571"/>
      <c r="O85" s="572"/>
      <c r="Q85" s="544"/>
      <c r="R85" s="545"/>
      <c r="S85" s="545"/>
      <c r="T85" s="545"/>
      <c r="U85" s="545"/>
      <c r="V85" s="545"/>
      <c r="W85" s="546"/>
      <c r="X85" s="593" t="s">
        <v>78</v>
      </c>
      <c r="Y85" s="593" t="s">
        <v>161</v>
      </c>
      <c r="Z85" s="593" t="s">
        <v>162</v>
      </c>
      <c r="AA85" s="593" t="s">
        <v>79</v>
      </c>
      <c r="AB85" s="593" t="s">
        <v>80</v>
      </c>
      <c r="AC85" s="593" t="s">
        <v>81</v>
      </c>
      <c r="AD85" s="593" t="s">
        <v>448</v>
      </c>
      <c r="AE85" s="593" t="s">
        <v>82</v>
      </c>
      <c r="AG85" s="989" t="s">
        <v>101</v>
      </c>
      <c r="AH85" s="969"/>
      <c r="AI85" s="969"/>
      <c r="AJ85" s="969"/>
      <c r="AK85" s="969"/>
      <c r="AL85" s="969"/>
      <c r="AM85" s="970"/>
      <c r="AN85" s="555">
        <v>18327</v>
      </c>
      <c r="AO85" s="555">
        <v>14928</v>
      </c>
      <c r="AP85" s="555">
        <v>14560</v>
      </c>
      <c r="AQ85" s="556">
        <v>-2.4651661307E-2</v>
      </c>
      <c r="AR85" s="556">
        <v>-0.205543733289</v>
      </c>
      <c r="AS85" s="555">
        <v>-3767</v>
      </c>
      <c r="AT85" s="553"/>
      <c r="AU85" s="554"/>
      <c r="AW85" s="989" t="s">
        <v>102</v>
      </c>
      <c r="AX85" s="969"/>
      <c r="AY85" s="969"/>
      <c r="AZ85" s="969"/>
      <c r="BA85" s="969"/>
      <c r="BB85" s="969"/>
      <c r="BC85" s="970"/>
      <c r="BD85" s="555">
        <v>123510</v>
      </c>
      <c r="BE85" s="555">
        <v>157056</v>
      </c>
      <c r="BF85" s="555">
        <v>157400</v>
      </c>
      <c r="BG85" s="556">
        <v>2.1903015479999999E-3</v>
      </c>
      <c r="BH85" s="556">
        <v>0.274390737592</v>
      </c>
      <c r="BI85" s="555">
        <v>33890</v>
      </c>
      <c r="BJ85" s="553"/>
      <c r="BK85" s="554"/>
      <c r="BM85" s="989" t="s">
        <v>102</v>
      </c>
      <c r="BN85" s="969"/>
      <c r="BO85" s="969"/>
      <c r="BP85" s="969"/>
      <c r="BQ85" s="969"/>
      <c r="BR85" s="969"/>
      <c r="BS85" s="970"/>
      <c r="BT85" s="555">
        <v>4238</v>
      </c>
      <c r="BU85" s="555">
        <v>0</v>
      </c>
      <c r="BV85" s="555">
        <v>5091</v>
      </c>
      <c r="BW85" s="553"/>
      <c r="BX85" s="556">
        <v>0.20127418593599999</v>
      </c>
      <c r="BY85" s="555">
        <v>853</v>
      </c>
      <c r="BZ85" s="553"/>
      <c r="CA85" s="554"/>
      <c r="CC85" s="980" t="s">
        <v>103</v>
      </c>
      <c r="CD85" s="972"/>
      <c r="CE85" s="972"/>
      <c r="CF85" s="972"/>
      <c r="CG85" s="972"/>
      <c r="CH85" s="972"/>
      <c r="CI85" s="973"/>
      <c r="CJ85" s="569">
        <v>34253</v>
      </c>
      <c r="CK85" s="569">
        <v>0</v>
      </c>
      <c r="CL85" s="569">
        <v>37040</v>
      </c>
      <c r="CM85" s="571"/>
      <c r="CN85" s="570">
        <v>8.1365135899999996E-2</v>
      </c>
      <c r="CO85" s="569">
        <v>2787</v>
      </c>
      <c r="CP85" s="571"/>
      <c r="CQ85" s="572"/>
      <c r="CS85" s="981" t="s">
        <v>105</v>
      </c>
      <c r="CT85" s="982"/>
      <c r="CU85" s="982"/>
      <c r="CV85" s="982"/>
      <c r="CW85" s="982"/>
      <c r="CX85" s="982"/>
      <c r="CY85" s="983"/>
      <c r="CZ85" s="547">
        <v>795273795.86965001</v>
      </c>
      <c r="DA85" s="547">
        <v>0</v>
      </c>
      <c r="DB85" s="547">
        <v>986240409.35160005</v>
      </c>
      <c r="DC85" s="549"/>
      <c r="DD85" s="548">
        <v>0.240126877653</v>
      </c>
      <c r="DE85" s="547">
        <v>190966613.48195001</v>
      </c>
      <c r="DF85" s="549"/>
      <c r="DG85" s="550"/>
      <c r="DI85" s="989" t="s">
        <v>101</v>
      </c>
      <c r="DJ85" s="969"/>
      <c r="DK85" s="969"/>
      <c r="DL85" s="969"/>
      <c r="DM85" s="969"/>
      <c r="DN85" s="969"/>
      <c r="DO85" s="970"/>
      <c r="DP85" s="555">
        <v>7313</v>
      </c>
      <c r="DQ85" s="555">
        <v>0</v>
      </c>
      <c r="DR85" s="555">
        <v>8474</v>
      </c>
      <c r="DS85" s="553"/>
      <c r="DT85" s="556">
        <v>0.15875837549499999</v>
      </c>
      <c r="DU85" s="555">
        <v>1161</v>
      </c>
      <c r="DV85" s="553"/>
      <c r="DW85" s="554"/>
      <c r="DY85" s="984" t="s">
        <v>106</v>
      </c>
      <c r="DZ85" s="969"/>
      <c r="EA85" s="969"/>
      <c r="EB85" s="969"/>
      <c r="EC85" s="969"/>
      <c r="ED85" s="969"/>
      <c r="EE85" s="970"/>
      <c r="EF85" s="551">
        <v>2258594.8563399999</v>
      </c>
      <c r="EG85" s="551">
        <v>0</v>
      </c>
      <c r="EH85" s="551">
        <v>21836.45246</v>
      </c>
      <c r="EI85" s="553"/>
      <c r="EJ85" s="552">
        <v>-0.99033184176400002</v>
      </c>
      <c r="EK85" s="551">
        <v>-2236758.4038800001</v>
      </c>
      <c r="EL85" s="553"/>
      <c r="EM85" s="554"/>
      <c r="EO85" s="989" t="s">
        <v>102</v>
      </c>
      <c r="EP85" s="969"/>
      <c r="EQ85" s="969"/>
      <c r="ER85" s="969"/>
      <c r="ES85" s="969"/>
      <c r="ET85" s="969"/>
      <c r="EU85" s="970"/>
      <c r="EV85" s="555">
        <v>54115</v>
      </c>
      <c r="EW85" s="555">
        <v>0</v>
      </c>
      <c r="EX85" s="555">
        <v>70469</v>
      </c>
      <c r="EY85" s="553"/>
      <c r="EZ85" s="556">
        <v>0.302208260186</v>
      </c>
      <c r="FA85" s="555">
        <v>16354</v>
      </c>
      <c r="FB85" s="553"/>
      <c r="FC85" s="554"/>
      <c r="FE85" s="989" t="s">
        <v>102</v>
      </c>
      <c r="FF85" s="969"/>
      <c r="FG85" s="969"/>
      <c r="FH85" s="969"/>
      <c r="FI85" s="969"/>
      <c r="FJ85" s="969"/>
      <c r="FK85" s="970"/>
      <c r="FL85" s="555">
        <v>6583</v>
      </c>
      <c r="FM85" s="555">
        <v>0</v>
      </c>
      <c r="FN85" s="555">
        <v>7298</v>
      </c>
      <c r="FO85" s="553"/>
      <c r="FP85" s="556">
        <v>0.108613094333</v>
      </c>
      <c r="FQ85" s="555">
        <v>715</v>
      </c>
      <c r="FR85" s="553"/>
      <c r="FS85" s="554"/>
      <c r="GL85" s="353">
        <v>4</v>
      </c>
      <c r="GM85" s="353" t="s">
        <v>124</v>
      </c>
      <c r="GN85" s="584">
        <f t="shared" ref="GN85:GS85" si="344">+GN33/GN4</f>
        <v>1.5873015873015872E-2</v>
      </c>
      <c r="GO85" s="584">
        <f t="shared" si="344"/>
        <v>3.1941031941031942E-2</v>
      </c>
      <c r="GP85" s="584">
        <f t="shared" si="344"/>
        <v>2.6974951830443159E-2</v>
      </c>
      <c r="GQ85" s="584">
        <f t="shared" si="344"/>
        <v>3.125E-2</v>
      </c>
      <c r="GR85" s="584">
        <f t="shared" si="344"/>
        <v>1.6949152542372881E-2</v>
      </c>
      <c r="GS85" s="584">
        <f t="shared" si="344"/>
        <v>2.5078369905956112E-2</v>
      </c>
      <c r="GT85" s="584">
        <f t="shared" ref="GT85:HL85" si="345">+GT33/GT4</f>
        <v>1.059001512859304E-2</v>
      </c>
      <c r="GU85" s="584">
        <f t="shared" si="345"/>
        <v>4.0178571428571432E-2</v>
      </c>
      <c r="GV85" s="584">
        <f t="shared" si="345"/>
        <v>2.0338983050847456E-2</v>
      </c>
      <c r="GW85" s="584">
        <f t="shared" si="345"/>
        <v>3.6363636363636364E-3</v>
      </c>
      <c r="GX85" s="584">
        <f t="shared" si="345"/>
        <v>2.2857142857142857E-2</v>
      </c>
      <c r="GY85" s="584">
        <f t="shared" si="345"/>
        <v>4.2016806722689074E-3</v>
      </c>
      <c r="GZ85" s="584">
        <f t="shared" si="345"/>
        <v>1.1583011583011582E-2</v>
      </c>
      <c r="HA85" s="584">
        <f t="shared" si="345"/>
        <v>1.9672131147540985E-2</v>
      </c>
      <c r="HB85" s="584">
        <f t="shared" si="345"/>
        <v>1.8292682926829267E-2</v>
      </c>
      <c r="HC85" s="584">
        <f t="shared" si="345"/>
        <v>1.098901098901099E-2</v>
      </c>
      <c r="HD85" s="584">
        <f t="shared" si="345"/>
        <v>1.7391304347826087E-2</v>
      </c>
      <c r="HE85" s="584">
        <f t="shared" si="345"/>
        <v>4.49438202247191E-2</v>
      </c>
      <c r="HF85" s="584">
        <f t="shared" si="345"/>
        <v>3.1690140845070422E-2</v>
      </c>
      <c r="HG85" s="584">
        <f t="shared" si="345"/>
        <v>2.9585798816568046E-2</v>
      </c>
      <c r="HH85" s="584">
        <f t="shared" si="345"/>
        <v>7.6923076923076927E-3</v>
      </c>
      <c r="HI85" s="584">
        <f t="shared" si="345"/>
        <v>1.7441860465116279E-2</v>
      </c>
      <c r="HJ85" s="584">
        <f t="shared" si="345"/>
        <v>2.2727272727272728E-2</v>
      </c>
      <c r="HK85" s="584">
        <f t="shared" si="345"/>
        <v>8.4112149532710276E-2</v>
      </c>
      <c r="HL85" s="584">
        <f t="shared" si="345"/>
        <v>3.4782608695652174E-2</v>
      </c>
      <c r="HM85" s="584">
        <f t="shared" ref="HM85:HP85" si="346">+HM33/HM4</f>
        <v>0</v>
      </c>
      <c r="HN85" s="584">
        <f t="shared" si="346"/>
        <v>0</v>
      </c>
      <c r="HO85" s="584">
        <f t="shared" si="346"/>
        <v>5.844155844155844E-2</v>
      </c>
      <c r="HP85" s="584">
        <f t="shared" si="346"/>
        <v>2.3529411764705882E-2</v>
      </c>
      <c r="HQ85" s="584">
        <f t="shared" ref="HQ85:HS85" si="347">+HQ33/HQ4</f>
        <v>4.3165467625899283E-2</v>
      </c>
      <c r="HR85" s="584">
        <f t="shared" si="347"/>
        <v>4.9019607843137254E-3</v>
      </c>
      <c r="HS85" s="584">
        <f t="shared" si="347"/>
        <v>8.8495575221238937E-3</v>
      </c>
      <c r="HT85" s="584">
        <f t="shared" ref="HT85:HW85" si="348">+HT33/HT4</f>
        <v>1.3793103448275862E-2</v>
      </c>
      <c r="HU85" s="584">
        <f t="shared" si="348"/>
        <v>6.7114093959731542E-3</v>
      </c>
      <c r="HV85" s="584">
        <f t="shared" si="348"/>
        <v>3.8834951456310676E-2</v>
      </c>
      <c r="HW85" s="584">
        <f t="shared" si="348"/>
        <v>8.4033613445378158E-2</v>
      </c>
      <c r="HX85" s="584">
        <f t="shared" ref="HX85" si="349">+HX33/HX4</f>
        <v>7.1999999999999995E-2</v>
      </c>
      <c r="HY85" s="584">
        <f t="shared" ref="HY85:HZ85" si="350">+HY37/HY8</f>
        <v>4.7923322683706068E-3</v>
      </c>
      <c r="HZ85" s="584">
        <f t="shared" si="350"/>
        <v>2.0222446916076846E-3</v>
      </c>
      <c r="IA85" s="584">
        <f t="shared" ref="IA85" si="351">+IA37/IA8</f>
        <v>1.5015015015015015E-3</v>
      </c>
      <c r="IB85" s="831">
        <f>+IB33/II4</f>
        <v>2.2727272727272728E-2</v>
      </c>
      <c r="IC85" s="585">
        <f>+IC33/IJ4</f>
        <v>6.8181818181818177E-2</v>
      </c>
      <c r="IV85" s="353">
        <v>4</v>
      </c>
      <c r="IW85" s="353" t="s">
        <v>124</v>
      </c>
      <c r="IX85" s="584">
        <f t="shared" ref="IX85:JE85" si="352">+IX33/IX4</f>
        <v>1.1544011544011544E-2</v>
      </c>
      <c r="IY85" s="584">
        <f t="shared" si="352"/>
        <v>2.7027027027027029E-2</v>
      </c>
      <c r="IZ85" s="584">
        <f t="shared" si="352"/>
        <v>2.119460500963391E-2</v>
      </c>
      <c r="JA85" s="584">
        <f t="shared" si="352"/>
        <v>1.1904761904761904E-2</v>
      </c>
      <c r="JB85" s="584">
        <f t="shared" si="352"/>
        <v>6.3559322033898309E-3</v>
      </c>
      <c r="JC85" s="584">
        <f t="shared" si="352"/>
        <v>9.4043887147335428E-3</v>
      </c>
      <c r="JD85" s="584">
        <f t="shared" si="352"/>
        <v>6.0514372163388806E-3</v>
      </c>
      <c r="JE85" s="584">
        <f t="shared" si="352"/>
        <v>1.7857142857142856E-2</v>
      </c>
      <c r="JF85" s="584">
        <f t="shared" ref="JF85:JY85" si="353">+JF33/JF4</f>
        <v>3.3898305084745762E-3</v>
      </c>
      <c r="JG85" s="584">
        <f t="shared" si="353"/>
        <v>3.6363636363636364E-3</v>
      </c>
      <c r="JH85" s="584">
        <f t="shared" si="353"/>
        <v>2.2857142857142857E-2</v>
      </c>
      <c r="JI85" s="584">
        <f t="shared" si="353"/>
        <v>4.2016806722689074E-3</v>
      </c>
      <c r="JJ85" s="584">
        <f t="shared" si="353"/>
        <v>0</v>
      </c>
      <c r="JK85" s="584">
        <f t="shared" si="353"/>
        <v>1.6393442622950821E-2</v>
      </c>
      <c r="JL85" s="584">
        <f t="shared" si="353"/>
        <v>6.0975609756097563E-3</v>
      </c>
      <c r="JM85" s="584">
        <f t="shared" si="353"/>
        <v>7.326007326007326E-3</v>
      </c>
      <c r="JN85" s="584">
        <f t="shared" si="353"/>
        <v>1.7391304347826087E-2</v>
      </c>
      <c r="JO85" s="584">
        <f t="shared" si="353"/>
        <v>1.1235955056179775E-2</v>
      </c>
      <c r="JP85" s="584">
        <f t="shared" si="353"/>
        <v>0</v>
      </c>
      <c r="JQ85" s="584">
        <f t="shared" si="353"/>
        <v>3.5502958579881658E-2</v>
      </c>
      <c r="JR85" s="584">
        <f t="shared" si="353"/>
        <v>3.8461538461538464E-3</v>
      </c>
      <c r="JS85" s="584">
        <f t="shared" si="353"/>
        <v>5.8139534883720929E-3</v>
      </c>
      <c r="JT85" s="584">
        <f t="shared" si="353"/>
        <v>5.681818181818182E-3</v>
      </c>
      <c r="JU85" s="584">
        <f t="shared" si="353"/>
        <v>1.8691588785046728E-2</v>
      </c>
      <c r="JV85" s="584">
        <f t="shared" si="353"/>
        <v>0</v>
      </c>
      <c r="JW85" s="584">
        <f t="shared" si="353"/>
        <v>1.9704433497536946E-2</v>
      </c>
      <c r="JX85" s="584">
        <f t="shared" si="353"/>
        <v>1.5544041450777202E-2</v>
      </c>
      <c r="JY85" s="584">
        <f t="shared" si="353"/>
        <v>0</v>
      </c>
      <c r="JZ85" s="584">
        <f t="shared" ref="JZ85:KC85" si="354">+JZ33/JZ4</f>
        <v>0</v>
      </c>
      <c r="KA85" s="584">
        <f t="shared" si="354"/>
        <v>7.1942446043165471E-3</v>
      </c>
      <c r="KB85" s="584">
        <f t="shared" si="354"/>
        <v>0</v>
      </c>
      <c r="KC85" s="584">
        <f t="shared" si="354"/>
        <v>8.8495575221238937E-3</v>
      </c>
      <c r="KD85" s="584">
        <f t="shared" ref="KD85:KE85" si="355">+KD33/KD4</f>
        <v>6.8965517241379309E-3</v>
      </c>
      <c r="KE85" s="584">
        <f t="shared" si="355"/>
        <v>0</v>
      </c>
      <c r="KF85" s="584">
        <f t="shared" ref="KF85:KJ85" si="356">+KF33/KF4</f>
        <v>1.9417475728155338E-2</v>
      </c>
      <c r="KG85" s="584">
        <f t="shared" si="356"/>
        <v>3.3613445378151259E-2</v>
      </c>
      <c r="KH85" s="584">
        <f t="shared" si="356"/>
        <v>4.8000000000000001E-2</v>
      </c>
      <c r="KI85" s="584">
        <f t="shared" si="356"/>
        <v>4.7846889952153108E-3</v>
      </c>
      <c r="KJ85" s="584">
        <f t="shared" si="356"/>
        <v>2.0408163265306121E-2</v>
      </c>
      <c r="KK85" s="584">
        <f t="shared" ref="KK85:KL85" si="357">+KK37/KK8</f>
        <v>1.5015015015015015E-3</v>
      </c>
      <c r="KL85" s="584">
        <f t="shared" si="357"/>
        <v>3.9761431411530811E-3</v>
      </c>
      <c r="KM85" s="584">
        <f t="shared" ref="KM85" si="358">+KM37/KM8</f>
        <v>3.7037037037037038E-3</v>
      </c>
      <c r="KN85" s="832">
        <f>+KN33/KS4</f>
        <v>1.5151515151515152E-2</v>
      </c>
      <c r="KO85" s="859">
        <f>+KO33/KT4</f>
        <v>0</v>
      </c>
    </row>
    <row r="86" spans="1:301" ht="15.6" thickBot="1">
      <c r="A86" s="975" t="s">
        <v>104</v>
      </c>
      <c r="B86" s="976"/>
      <c r="C86" s="976"/>
      <c r="D86" s="976"/>
      <c r="E86" s="976"/>
      <c r="F86" s="976"/>
      <c r="G86" s="976"/>
      <c r="H86" s="976"/>
      <c r="I86" s="976"/>
      <c r="J86" s="976"/>
      <c r="K86" s="976"/>
      <c r="L86" s="976"/>
      <c r="M86" s="976"/>
      <c r="N86" s="976"/>
      <c r="O86" s="976"/>
      <c r="Q86" s="981" t="s">
        <v>105</v>
      </c>
      <c r="R86" s="982"/>
      <c r="S86" s="982"/>
      <c r="T86" s="982"/>
      <c r="U86" s="982"/>
      <c r="V86" s="982"/>
      <c r="W86" s="983"/>
      <c r="X86" s="547">
        <v>145237913.21366</v>
      </c>
      <c r="Y86" s="547">
        <v>0</v>
      </c>
      <c r="Z86" s="547">
        <v>159932266.36111999</v>
      </c>
      <c r="AA86" s="549"/>
      <c r="AB86" s="548">
        <v>0.101174361585</v>
      </c>
      <c r="AC86" s="547">
        <v>14694353.147460001</v>
      </c>
      <c r="AD86" s="549"/>
      <c r="AE86" s="550"/>
      <c r="AG86" s="989" t="s">
        <v>102</v>
      </c>
      <c r="AH86" s="969"/>
      <c r="AI86" s="969"/>
      <c r="AJ86" s="969"/>
      <c r="AK86" s="969"/>
      <c r="AL86" s="969"/>
      <c r="AM86" s="970"/>
      <c r="AN86" s="555">
        <v>248673</v>
      </c>
      <c r="AO86" s="555">
        <v>334959</v>
      </c>
      <c r="AP86" s="555">
        <v>340800</v>
      </c>
      <c r="AQ86" s="556">
        <v>1.7437955093000002E-2</v>
      </c>
      <c r="AR86" s="556">
        <v>0.370474478532</v>
      </c>
      <c r="AS86" s="555">
        <v>92127</v>
      </c>
      <c r="AT86" s="553"/>
      <c r="AU86" s="554"/>
      <c r="AW86" s="980" t="s">
        <v>103</v>
      </c>
      <c r="AX86" s="972"/>
      <c r="AY86" s="972"/>
      <c r="AZ86" s="972"/>
      <c r="BA86" s="972"/>
      <c r="BB86" s="972"/>
      <c r="BC86" s="973"/>
      <c r="BD86" s="569">
        <v>101399</v>
      </c>
      <c r="BE86" s="569">
        <v>113531</v>
      </c>
      <c r="BF86" s="569">
        <v>113629</v>
      </c>
      <c r="BG86" s="570">
        <v>8.6320035900000003E-4</v>
      </c>
      <c r="BH86" s="570">
        <v>0.120612629315</v>
      </c>
      <c r="BI86" s="569">
        <v>12230</v>
      </c>
      <c r="BJ86" s="571"/>
      <c r="BK86" s="572"/>
      <c r="BM86" s="980" t="s">
        <v>103</v>
      </c>
      <c r="BN86" s="972"/>
      <c r="BO86" s="972"/>
      <c r="BP86" s="972"/>
      <c r="BQ86" s="972"/>
      <c r="BR86" s="972"/>
      <c r="BS86" s="973"/>
      <c r="BT86" s="569">
        <v>1927</v>
      </c>
      <c r="BU86" s="569">
        <v>0</v>
      </c>
      <c r="BV86" s="569">
        <v>2803</v>
      </c>
      <c r="BW86" s="571"/>
      <c r="BX86" s="570">
        <v>0.45459263103199998</v>
      </c>
      <c r="BY86" s="569">
        <v>876</v>
      </c>
      <c r="BZ86" s="571"/>
      <c r="CA86" s="572"/>
      <c r="CC86" s="975" t="s">
        <v>104</v>
      </c>
      <c r="CD86" s="976"/>
      <c r="CE86" s="976"/>
      <c r="CF86" s="976"/>
      <c r="CG86" s="976"/>
      <c r="CH86" s="976"/>
      <c r="CI86" s="976"/>
      <c r="CJ86" s="976"/>
      <c r="CK86" s="976"/>
      <c r="CL86" s="976"/>
      <c r="CM86" s="976"/>
      <c r="CN86" s="976"/>
      <c r="CO86" s="976"/>
      <c r="CP86" s="976"/>
      <c r="CQ86" s="976"/>
      <c r="CS86" s="984" t="s">
        <v>106</v>
      </c>
      <c r="CT86" s="969"/>
      <c r="CU86" s="969"/>
      <c r="CV86" s="969"/>
      <c r="CW86" s="969"/>
      <c r="CX86" s="969"/>
      <c r="CY86" s="970"/>
      <c r="CZ86" s="551">
        <v>765606926.83665001</v>
      </c>
      <c r="DA86" s="551">
        <v>0</v>
      </c>
      <c r="DB86" s="551">
        <v>958928014.83459997</v>
      </c>
      <c r="DC86" s="553"/>
      <c r="DD86" s="552">
        <v>0.25250697351500001</v>
      </c>
      <c r="DE86" s="551">
        <v>193321087.99794999</v>
      </c>
      <c r="DF86" s="553"/>
      <c r="DG86" s="554"/>
      <c r="DI86" s="989" t="s">
        <v>102</v>
      </c>
      <c r="DJ86" s="969"/>
      <c r="DK86" s="969"/>
      <c r="DL86" s="969"/>
      <c r="DM86" s="969"/>
      <c r="DN86" s="969"/>
      <c r="DO86" s="970"/>
      <c r="DP86" s="555">
        <v>126342</v>
      </c>
      <c r="DQ86" s="555">
        <v>0</v>
      </c>
      <c r="DR86" s="555">
        <v>148294</v>
      </c>
      <c r="DS86" s="553"/>
      <c r="DT86" s="556">
        <v>0.173750613414</v>
      </c>
      <c r="DU86" s="555">
        <v>21952</v>
      </c>
      <c r="DV86" s="553"/>
      <c r="DW86" s="554"/>
      <c r="DY86" s="984" t="s">
        <v>107</v>
      </c>
      <c r="DZ86" s="969"/>
      <c r="EA86" s="969"/>
      <c r="EB86" s="969"/>
      <c r="EC86" s="969"/>
      <c r="ED86" s="969"/>
      <c r="EE86" s="970"/>
      <c r="EF86" s="551">
        <v>146092.96645000001</v>
      </c>
      <c r="EG86" s="551">
        <v>0</v>
      </c>
      <c r="EH86" s="551">
        <v>267090.20465999999</v>
      </c>
      <c r="EI86" s="553"/>
      <c r="EJ86" s="552">
        <v>0.828220831913</v>
      </c>
      <c r="EK86" s="551">
        <v>120997.23821</v>
      </c>
      <c r="EL86" s="553"/>
      <c r="EM86" s="554"/>
      <c r="EO86" s="980" t="s">
        <v>103</v>
      </c>
      <c r="EP86" s="972"/>
      <c r="EQ86" s="972"/>
      <c r="ER86" s="972"/>
      <c r="ES86" s="972"/>
      <c r="ET86" s="972"/>
      <c r="EU86" s="973"/>
      <c r="EV86" s="569">
        <v>7369</v>
      </c>
      <c r="EW86" s="569">
        <v>0</v>
      </c>
      <c r="EX86" s="569">
        <v>20312</v>
      </c>
      <c r="EY86" s="571"/>
      <c r="EZ86" s="570">
        <v>1.7564119962</v>
      </c>
      <c r="FA86" s="569">
        <v>12943</v>
      </c>
      <c r="FB86" s="571"/>
      <c r="FC86" s="572"/>
      <c r="FE86" s="980" t="s">
        <v>103</v>
      </c>
      <c r="FF86" s="972"/>
      <c r="FG86" s="972"/>
      <c r="FH86" s="972"/>
      <c r="FI86" s="972"/>
      <c r="FJ86" s="972"/>
      <c r="FK86" s="973"/>
      <c r="FL86" s="569">
        <v>7865</v>
      </c>
      <c r="FM86" s="569">
        <v>0</v>
      </c>
      <c r="FN86" s="569">
        <v>8281</v>
      </c>
      <c r="FO86" s="571"/>
      <c r="FP86" s="570">
        <v>5.2892561982999999E-2</v>
      </c>
      <c r="FQ86" s="569">
        <v>416</v>
      </c>
      <c r="FR86" s="571"/>
      <c r="FS86" s="572"/>
      <c r="GL86" s="353">
        <v>5</v>
      </c>
      <c r="GM86" s="353" t="s">
        <v>137</v>
      </c>
      <c r="GN86" s="584">
        <f t="shared" ref="GN86:GS86" si="359">+GN38/GN9</f>
        <v>6.7796610169491525E-2</v>
      </c>
      <c r="GO86" s="584">
        <f t="shared" si="359"/>
        <v>5.9498956158663886E-2</v>
      </c>
      <c r="GP86" s="584">
        <f t="shared" si="359"/>
        <v>8.6890243902439018E-2</v>
      </c>
      <c r="GQ86" s="584">
        <f t="shared" si="359"/>
        <v>1.6090104585679806E-3</v>
      </c>
      <c r="GR86" s="584">
        <f t="shared" si="359"/>
        <v>2.4057738572574178E-2</v>
      </c>
      <c r="GS86" s="584">
        <f t="shared" si="359"/>
        <v>0.19188767550702029</v>
      </c>
      <c r="GT86" s="584">
        <f t="shared" ref="GT86:HL86" si="360">+GT38/GT9</f>
        <v>0.25832223701731027</v>
      </c>
      <c r="GU86" s="584">
        <f t="shared" si="360"/>
        <v>1.2844036697247707E-2</v>
      </c>
      <c r="GV86" s="584">
        <f t="shared" si="360"/>
        <v>7.4850299401197605E-3</v>
      </c>
      <c r="GW86" s="584">
        <f t="shared" si="360"/>
        <v>4.4247787610619468E-3</v>
      </c>
      <c r="GX86" s="584">
        <f t="shared" si="360"/>
        <v>3.4542314335060447E-3</v>
      </c>
      <c r="GY86" s="584">
        <f t="shared" si="360"/>
        <v>1.1787819253438114E-2</v>
      </c>
      <c r="GZ86" s="584">
        <f t="shared" si="360"/>
        <v>4.456824512534819E-2</v>
      </c>
      <c r="HA86" s="584">
        <f t="shared" si="360"/>
        <v>0.10299625468164794</v>
      </c>
      <c r="HB86" s="584">
        <f t="shared" si="360"/>
        <v>9.1778202676864248E-2</v>
      </c>
      <c r="HC86" s="584">
        <f t="shared" si="360"/>
        <v>1.3452914798206279E-2</v>
      </c>
      <c r="HD86" s="584">
        <f t="shared" si="360"/>
        <v>2.9962546816479401E-2</v>
      </c>
      <c r="HE86" s="584">
        <f t="shared" si="360"/>
        <v>1.3221153846153846E-2</v>
      </c>
      <c r="HF86" s="584">
        <f t="shared" si="360"/>
        <v>2.6905829596412557E-2</v>
      </c>
      <c r="HG86" s="584">
        <f t="shared" si="360"/>
        <v>0.10292072322670376</v>
      </c>
      <c r="HH86" s="584">
        <f t="shared" si="360"/>
        <v>1.8995929443690638E-2</v>
      </c>
      <c r="HI86" s="584">
        <f t="shared" si="360"/>
        <v>8.0515297906602248E-3</v>
      </c>
      <c r="HJ86" s="584">
        <f t="shared" si="360"/>
        <v>0.13069016152716592</v>
      </c>
      <c r="HK86" s="584">
        <f t="shared" si="360"/>
        <v>7.0754716981132077E-3</v>
      </c>
      <c r="HL86" s="584">
        <f t="shared" si="360"/>
        <v>0.1001926782273603</v>
      </c>
      <c r="HM86" s="584">
        <f t="shared" ref="HM86:HP86" si="361">+HM38/HM9</f>
        <v>0</v>
      </c>
      <c r="HN86" s="584">
        <f t="shared" si="361"/>
        <v>0</v>
      </c>
      <c r="HO86" s="584">
        <f t="shared" si="361"/>
        <v>1.9920318725099601E-2</v>
      </c>
      <c r="HP86" s="584">
        <f t="shared" si="361"/>
        <v>0.2210796915167095</v>
      </c>
      <c r="HQ86" s="584">
        <f t="shared" ref="HQ86:HS86" si="362">+HQ38/HQ9</f>
        <v>0.28703703703703703</v>
      </c>
      <c r="HR86" s="584">
        <f t="shared" si="362"/>
        <v>4.9261083743842365E-3</v>
      </c>
      <c r="HS86" s="584">
        <f t="shared" si="362"/>
        <v>8.1743869209809257E-3</v>
      </c>
      <c r="HT86" s="584">
        <f t="shared" ref="HT86:HW86" si="363">+HT38/HT9</f>
        <v>1.8018018018018018E-2</v>
      </c>
      <c r="HU86" s="584">
        <f t="shared" si="363"/>
        <v>6.369426751592357E-3</v>
      </c>
      <c r="HV86" s="584">
        <f t="shared" si="363"/>
        <v>9.876543209876543E-3</v>
      </c>
      <c r="HW86" s="584">
        <f t="shared" si="363"/>
        <v>6.6225165562913907E-3</v>
      </c>
      <c r="HX86" s="584">
        <f t="shared" ref="HX86:HZ86" si="364">+HX38/HX9</f>
        <v>7.3529411764705881E-3</v>
      </c>
      <c r="HY86" s="584">
        <f t="shared" si="364"/>
        <v>6.8965517241379309E-3</v>
      </c>
      <c r="HZ86" s="584">
        <f t="shared" si="364"/>
        <v>5.0125313283208017E-3</v>
      </c>
      <c r="IA86" s="584">
        <f t="shared" ref="IA86" si="365">+IA38/IA9</f>
        <v>4.3010752688172043E-3</v>
      </c>
      <c r="IB86" s="831">
        <f>+IB38/II9</f>
        <v>1.0169491525423728E-2</v>
      </c>
      <c r="IC86" s="585">
        <f>+IC38/IJ9</f>
        <v>8.5409252669039148E-2</v>
      </c>
      <c r="IV86" s="353">
        <v>5</v>
      </c>
      <c r="IW86" s="353" t="s">
        <v>137</v>
      </c>
      <c r="IX86" s="584">
        <f t="shared" ref="IX86:JE86" si="366">+IX38/IX9</f>
        <v>2.7379400260756193E-2</v>
      </c>
      <c r="IY86" s="584">
        <f t="shared" si="366"/>
        <v>1.8789144050104383E-2</v>
      </c>
      <c r="IZ86" s="584">
        <f t="shared" si="366"/>
        <v>6.0975609756097563E-3</v>
      </c>
      <c r="JA86" s="584">
        <f t="shared" si="366"/>
        <v>8.045052292839903E-4</v>
      </c>
      <c r="JB86" s="584">
        <f t="shared" si="366"/>
        <v>3.2076984763432237E-3</v>
      </c>
      <c r="JC86" s="584">
        <f t="shared" si="366"/>
        <v>4.6801872074882997E-3</v>
      </c>
      <c r="JD86" s="584">
        <f t="shared" si="366"/>
        <v>2.6631158455392811E-3</v>
      </c>
      <c r="JE86" s="584">
        <f t="shared" si="366"/>
        <v>9.1743119266055051E-3</v>
      </c>
      <c r="JF86" s="584">
        <f t="shared" ref="JF86:JY86" si="367">+JF38/JF9</f>
        <v>7.4850299401197605E-3</v>
      </c>
      <c r="JG86" s="584">
        <f t="shared" si="367"/>
        <v>2.9498525073746312E-3</v>
      </c>
      <c r="JH86" s="584">
        <f t="shared" si="367"/>
        <v>3.4542314335060447E-3</v>
      </c>
      <c r="JI86" s="584">
        <f t="shared" si="367"/>
        <v>1.1787819253438114E-2</v>
      </c>
      <c r="JJ86" s="584">
        <f t="shared" si="367"/>
        <v>6.9637883008356544E-3</v>
      </c>
      <c r="JK86" s="584">
        <f t="shared" si="367"/>
        <v>3.7453183520599251E-3</v>
      </c>
      <c r="JL86" s="584">
        <f t="shared" si="367"/>
        <v>5.5449330783938815E-2</v>
      </c>
      <c r="JM86" s="584">
        <f t="shared" si="367"/>
        <v>8.9686098654708519E-3</v>
      </c>
      <c r="JN86" s="584">
        <f t="shared" si="367"/>
        <v>3.7453183520599251E-3</v>
      </c>
      <c r="JO86" s="584">
        <f t="shared" si="367"/>
        <v>3.605769230769231E-3</v>
      </c>
      <c r="JP86" s="584">
        <f t="shared" si="367"/>
        <v>1.6442451420029897E-2</v>
      </c>
      <c r="JQ86" s="584">
        <f t="shared" si="367"/>
        <v>2.3643949930458971E-2</v>
      </c>
      <c r="JR86" s="584">
        <f t="shared" si="367"/>
        <v>8.1411126187245584E-3</v>
      </c>
      <c r="JS86" s="584">
        <f t="shared" si="367"/>
        <v>8.0515297906602248E-3</v>
      </c>
      <c r="JT86" s="584">
        <f t="shared" si="367"/>
        <v>5.8737151248164461E-3</v>
      </c>
      <c r="JU86" s="584">
        <f t="shared" si="367"/>
        <v>2.3584905660377358E-3</v>
      </c>
      <c r="JV86" s="584">
        <f t="shared" si="367"/>
        <v>1.9267822736030828E-3</v>
      </c>
      <c r="JW86" s="584">
        <f t="shared" si="367"/>
        <v>0</v>
      </c>
      <c r="JX86" s="584">
        <f t="shared" si="367"/>
        <v>1.1461318051575931E-2</v>
      </c>
      <c r="JY86" s="584">
        <f t="shared" si="367"/>
        <v>0</v>
      </c>
      <c r="JZ86" s="584">
        <f t="shared" ref="JZ86:KC86" si="368">+JZ38/JZ9</f>
        <v>0</v>
      </c>
      <c r="KA86" s="584">
        <f t="shared" si="368"/>
        <v>0.11342592592592593</v>
      </c>
      <c r="KB86" s="584">
        <f t="shared" si="368"/>
        <v>2.4630541871921183E-3</v>
      </c>
      <c r="KC86" s="584">
        <f t="shared" si="368"/>
        <v>5.4495912806539508E-3</v>
      </c>
      <c r="KD86" s="584">
        <f t="shared" ref="KD86:KE86" si="369">+KD38/KD9</f>
        <v>1.2012012012012012E-2</v>
      </c>
      <c r="KE86" s="584">
        <f t="shared" si="369"/>
        <v>3.1847133757961785E-3</v>
      </c>
      <c r="KF86" s="584">
        <f t="shared" ref="KF86:KL86" si="370">+KF38/KF9</f>
        <v>4.9382716049382715E-3</v>
      </c>
      <c r="KG86" s="584">
        <f t="shared" si="370"/>
        <v>3.3112582781456954E-3</v>
      </c>
      <c r="KH86" s="584">
        <f t="shared" si="370"/>
        <v>7.3529411764705881E-3</v>
      </c>
      <c r="KI86" s="584">
        <f t="shared" si="370"/>
        <v>6.8965517241379309E-3</v>
      </c>
      <c r="KJ86" s="584">
        <f t="shared" si="370"/>
        <v>2.5062656641604009E-3</v>
      </c>
      <c r="KK86" s="584">
        <f t="shared" si="370"/>
        <v>2.1505376344086021E-3</v>
      </c>
      <c r="KL86" s="584">
        <f t="shared" si="370"/>
        <v>0</v>
      </c>
      <c r="KM86" s="584">
        <f t="shared" ref="KM86" si="371">+KM38/KM9</f>
        <v>5.434782608695652E-3</v>
      </c>
      <c r="KN86" s="832">
        <f>+KN38/KS9</f>
        <v>6.7796610169491523E-3</v>
      </c>
      <c r="KO86" s="859">
        <f>+KO38/KT9</f>
        <v>5.3380782918149468E-3</v>
      </c>
    </row>
    <row r="87" spans="1:301" ht="15.6" thickBot="1">
      <c r="A87" s="544"/>
      <c r="B87" s="545"/>
      <c r="C87" s="545"/>
      <c r="D87" s="545"/>
      <c r="E87" s="545"/>
      <c r="F87" s="545"/>
      <c r="G87" s="546"/>
      <c r="H87" s="593" t="s">
        <v>78</v>
      </c>
      <c r="I87" s="593" t="s">
        <v>161</v>
      </c>
      <c r="J87" s="593" t="s">
        <v>162</v>
      </c>
      <c r="K87" s="593" t="s">
        <v>79</v>
      </c>
      <c r="L87" s="593" t="s">
        <v>80</v>
      </c>
      <c r="M87" s="593" t="s">
        <v>81</v>
      </c>
      <c r="N87" s="593" t="s">
        <v>448</v>
      </c>
      <c r="O87" s="593" t="s">
        <v>82</v>
      </c>
      <c r="Q87" s="984" t="s">
        <v>106</v>
      </c>
      <c r="R87" s="969"/>
      <c r="S87" s="969"/>
      <c r="T87" s="969"/>
      <c r="U87" s="969"/>
      <c r="V87" s="969"/>
      <c r="W87" s="970"/>
      <c r="X87" s="551">
        <v>139860703.85633001</v>
      </c>
      <c r="Y87" s="551">
        <v>0</v>
      </c>
      <c r="Z87" s="551">
        <v>154247420.37279001</v>
      </c>
      <c r="AA87" s="553"/>
      <c r="AB87" s="552">
        <v>0.10286460828299999</v>
      </c>
      <c r="AC87" s="551">
        <v>14386716.51646</v>
      </c>
      <c r="AD87" s="553"/>
      <c r="AE87" s="554"/>
      <c r="AG87" s="980" t="s">
        <v>103</v>
      </c>
      <c r="AH87" s="972"/>
      <c r="AI87" s="972"/>
      <c r="AJ87" s="972"/>
      <c r="AK87" s="972"/>
      <c r="AL87" s="972"/>
      <c r="AM87" s="973"/>
      <c r="AN87" s="569">
        <v>91745</v>
      </c>
      <c r="AO87" s="569">
        <v>135929</v>
      </c>
      <c r="AP87" s="569">
        <v>138793</v>
      </c>
      <c r="AQ87" s="570">
        <v>2.1069823216000001E-2</v>
      </c>
      <c r="AR87" s="570">
        <v>0.51281268733899998</v>
      </c>
      <c r="AS87" s="569">
        <v>47048</v>
      </c>
      <c r="AT87" s="571"/>
      <c r="AU87" s="572"/>
      <c r="AW87" s="975" t="s">
        <v>104</v>
      </c>
      <c r="AX87" s="976"/>
      <c r="AY87" s="976"/>
      <c r="AZ87" s="976"/>
      <c r="BA87" s="976"/>
      <c r="BB87" s="976"/>
      <c r="BC87" s="976"/>
      <c r="BD87" s="976"/>
      <c r="BE87" s="976"/>
      <c r="BF87" s="976"/>
      <c r="BG87" s="976"/>
      <c r="BH87" s="976"/>
      <c r="BI87" s="976"/>
      <c r="BJ87" s="976"/>
      <c r="BK87" s="976"/>
      <c r="BM87" s="975" t="s">
        <v>104</v>
      </c>
      <c r="BN87" s="976"/>
      <c r="BO87" s="976"/>
      <c r="BP87" s="976"/>
      <c r="BQ87" s="976"/>
      <c r="BR87" s="976"/>
      <c r="BS87" s="976"/>
      <c r="BT87" s="976"/>
      <c r="BU87" s="976"/>
      <c r="BV87" s="976"/>
      <c r="BW87" s="976"/>
      <c r="BX87" s="976"/>
      <c r="BY87" s="976"/>
      <c r="BZ87" s="976"/>
      <c r="CA87" s="976"/>
      <c r="CC87" s="544"/>
      <c r="CD87" s="545"/>
      <c r="CE87" s="545"/>
      <c r="CF87" s="545"/>
      <c r="CG87" s="545"/>
      <c r="CH87" s="545"/>
      <c r="CI87" s="546"/>
      <c r="CJ87" s="593" t="s">
        <v>78</v>
      </c>
      <c r="CK87" s="593" t="s">
        <v>161</v>
      </c>
      <c r="CL87" s="593" t="s">
        <v>162</v>
      </c>
      <c r="CM87" s="593" t="s">
        <v>79</v>
      </c>
      <c r="CN87" s="593" t="s">
        <v>80</v>
      </c>
      <c r="CO87" s="593" t="s">
        <v>81</v>
      </c>
      <c r="CP87" s="593" t="s">
        <v>448</v>
      </c>
      <c r="CQ87" s="593" t="s">
        <v>82</v>
      </c>
      <c r="CS87" s="984" t="s">
        <v>107</v>
      </c>
      <c r="CT87" s="969"/>
      <c r="CU87" s="969"/>
      <c r="CV87" s="969"/>
      <c r="CW87" s="969"/>
      <c r="CX87" s="969"/>
      <c r="CY87" s="970"/>
      <c r="CZ87" s="551">
        <v>29666869.033</v>
      </c>
      <c r="DA87" s="551">
        <v>0</v>
      </c>
      <c r="DB87" s="551">
        <v>27312394.517000001</v>
      </c>
      <c r="DC87" s="553"/>
      <c r="DD87" s="552">
        <v>-7.9363768161000006E-2</v>
      </c>
      <c r="DE87" s="551">
        <v>-2354474.5159999998</v>
      </c>
      <c r="DF87" s="553"/>
      <c r="DG87" s="554"/>
      <c r="DI87" s="980" t="s">
        <v>103</v>
      </c>
      <c r="DJ87" s="972"/>
      <c r="DK87" s="972"/>
      <c r="DL87" s="972"/>
      <c r="DM87" s="972"/>
      <c r="DN87" s="972"/>
      <c r="DO87" s="973"/>
      <c r="DP87" s="569">
        <v>78061</v>
      </c>
      <c r="DQ87" s="569">
        <v>0</v>
      </c>
      <c r="DR87" s="569">
        <v>104013</v>
      </c>
      <c r="DS87" s="571"/>
      <c r="DT87" s="570">
        <v>0.33245794955199998</v>
      </c>
      <c r="DU87" s="569">
        <v>25952</v>
      </c>
      <c r="DV87" s="571"/>
      <c r="DW87" s="572"/>
      <c r="DY87" s="985" t="s">
        <v>108</v>
      </c>
      <c r="DZ87" s="986"/>
      <c r="EA87" s="986"/>
      <c r="EB87" s="986"/>
      <c r="EC87" s="986"/>
      <c r="ED87" s="986"/>
      <c r="EE87" s="987"/>
      <c r="EF87" s="547">
        <v>2070771.8067000001</v>
      </c>
      <c r="EG87" s="547">
        <v>0</v>
      </c>
      <c r="EH87" s="547">
        <v>2260875.6993499999</v>
      </c>
      <c r="EI87" s="549"/>
      <c r="EJ87" s="548">
        <v>9.1803400081999997E-2</v>
      </c>
      <c r="EK87" s="547">
        <v>190103.89264999999</v>
      </c>
      <c r="EL87" s="549"/>
      <c r="EM87" s="550"/>
      <c r="EO87" s="975" t="s">
        <v>104</v>
      </c>
      <c r="EP87" s="976"/>
      <c r="EQ87" s="976"/>
      <c r="ER87" s="976"/>
      <c r="ES87" s="976"/>
      <c r="ET87" s="976"/>
      <c r="EU87" s="976"/>
      <c r="EV87" s="976"/>
      <c r="EW87" s="976"/>
      <c r="EX87" s="976"/>
      <c r="EY87" s="976"/>
      <c r="EZ87" s="976"/>
      <c r="FA87" s="976"/>
      <c r="FB87" s="976"/>
      <c r="FC87" s="976"/>
      <c r="FE87" s="975" t="s">
        <v>104</v>
      </c>
      <c r="FF87" s="976"/>
      <c r="FG87" s="976"/>
      <c r="FH87" s="976"/>
      <c r="FI87" s="976"/>
      <c r="FJ87" s="976"/>
      <c r="FK87" s="976"/>
      <c r="FL87" s="976"/>
      <c r="FM87" s="976"/>
      <c r="FN87" s="976"/>
      <c r="FO87" s="976"/>
      <c r="FP87" s="976"/>
      <c r="FQ87" s="976"/>
      <c r="FR87" s="976"/>
      <c r="FS87" s="976"/>
      <c r="GL87" s="353">
        <v>6</v>
      </c>
      <c r="GM87" s="353" t="s">
        <v>123</v>
      </c>
      <c r="GN87" s="584">
        <f t="shared" ref="GN87:GS87" si="372">+GN32/GN3</f>
        <v>8.2872928176795577E-3</v>
      </c>
      <c r="GO87" s="584">
        <f t="shared" si="372"/>
        <v>0.25266903914590749</v>
      </c>
      <c r="GP87" s="584">
        <f t="shared" si="372"/>
        <v>1.6666666666666666E-2</v>
      </c>
      <c r="GQ87" s="584">
        <f t="shared" si="372"/>
        <v>9.2592592592592587E-3</v>
      </c>
      <c r="GR87" s="584">
        <f t="shared" si="372"/>
        <v>2.8688524590163935E-2</v>
      </c>
      <c r="GS87" s="584">
        <f t="shared" si="372"/>
        <v>3.0701754385964911E-2</v>
      </c>
      <c r="GT87" s="584">
        <f t="shared" ref="GT87:HL87" si="373">+GT32/GT3</f>
        <v>5.3061224489795916E-2</v>
      </c>
      <c r="GU87" s="584">
        <f t="shared" si="373"/>
        <v>6.640625E-2</v>
      </c>
      <c r="GV87" s="584">
        <f t="shared" si="373"/>
        <v>5.4878048780487805E-2</v>
      </c>
      <c r="GW87" s="584">
        <f t="shared" si="373"/>
        <v>7.6642335766423361E-2</v>
      </c>
      <c r="GX87" s="584">
        <f t="shared" si="373"/>
        <v>3.5587188612099642E-3</v>
      </c>
      <c r="GY87" s="584">
        <f t="shared" si="373"/>
        <v>1.2345679012345678E-2</v>
      </c>
      <c r="GZ87" s="584">
        <f t="shared" si="373"/>
        <v>2.9239766081871343E-2</v>
      </c>
      <c r="HA87" s="584">
        <f t="shared" si="373"/>
        <v>5.4945054945054949E-3</v>
      </c>
      <c r="HB87" s="584">
        <f t="shared" si="373"/>
        <v>6.4285714285714279E-2</v>
      </c>
      <c r="HC87" s="584">
        <f t="shared" si="373"/>
        <v>4.5454545454545456E-2</v>
      </c>
      <c r="HD87" s="584">
        <f t="shared" si="373"/>
        <v>0.14117647058823529</v>
      </c>
      <c r="HE87" s="584">
        <f t="shared" si="373"/>
        <v>7.7777777777777779E-2</v>
      </c>
      <c r="HF87" s="584">
        <f t="shared" si="373"/>
        <v>0.14814814814814814</v>
      </c>
      <c r="HG87" s="584">
        <f t="shared" si="373"/>
        <v>0.15596330275229359</v>
      </c>
      <c r="HH87" s="584">
        <f t="shared" si="373"/>
        <v>1.7241379310344827E-2</v>
      </c>
      <c r="HI87" s="584">
        <f t="shared" si="373"/>
        <v>7.43801652892562E-2</v>
      </c>
      <c r="HJ87" s="584">
        <f t="shared" si="373"/>
        <v>9.0090090090090086E-2</v>
      </c>
      <c r="HK87" s="584">
        <f t="shared" si="373"/>
        <v>0.24324324324324326</v>
      </c>
      <c r="HL87" s="584">
        <f t="shared" si="373"/>
        <v>0.11267605633802817</v>
      </c>
      <c r="HM87" s="584">
        <f t="shared" ref="HM87:HP87" si="374">+HM32/HM3</f>
        <v>0</v>
      </c>
      <c r="HN87" s="584">
        <f t="shared" si="374"/>
        <v>0</v>
      </c>
      <c r="HO87" s="584">
        <f t="shared" si="374"/>
        <v>0.23456790123456789</v>
      </c>
      <c r="HP87" s="584">
        <f t="shared" si="374"/>
        <v>0.18072289156626506</v>
      </c>
      <c r="HQ87" s="584">
        <f t="shared" ref="HQ87:HS87" si="375">+HQ32/HQ3</f>
        <v>0.21428571428571427</v>
      </c>
      <c r="HR87" s="584">
        <f t="shared" si="375"/>
        <v>0.14864864864864866</v>
      </c>
      <c r="HS87" s="584">
        <f t="shared" si="375"/>
        <v>8.8888888888888892E-2</v>
      </c>
      <c r="HT87" s="584">
        <f t="shared" ref="HT87:HW87" si="376">+HT32/HT3</f>
        <v>0.1111111111111111</v>
      </c>
      <c r="HU87" s="584">
        <f t="shared" si="376"/>
        <v>0.10309278350515463</v>
      </c>
      <c r="HV87" s="584">
        <f t="shared" si="376"/>
        <v>0.1891891891891892</v>
      </c>
      <c r="HW87" s="584">
        <f t="shared" si="376"/>
        <v>9.8765432098765427E-2</v>
      </c>
      <c r="HX87" s="584">
        <f t="shared" ref="HX87" si="377">+HX32/HX3</f>
        <v>0.125</v>
      </c>
      <c r="HY87" s="584">
        <f t="shared" ref="HY87:HZ87" si="378">+HY39/HY10</f>
        <v>1.3768332834480694E-2</v>
      </c>
      <c r="HZ87" s="584">
        <f t="shared" si="378"/>
        <v>7.5448207171314743E-2</v>
      </c>
      <c r="IA87" s="584">
        <f t="shared" ref="IA87" si="379">+IA39/IA10</f>
        <v>9.2736531760922003E-2</v>
      </c>
      <c r="IB87" s="831">
        <f>+IB32/II3</f>
        <v>0.15909090909090909</v>
      </c>
      <c r="IC87" s="585">
        <f>+IC32/IJ3</f>
        <v>0.22413793103448276</v>
      </c>
      <c r="IV87" s="353">
        <v>6</v>
      </c>
      <c r="IW87" s="353" t="s">
        <v>123</v>
      </c>
      <c r="IX87" s="584">
        <f t="shared" ref="IX87:JE87" si="380">+IX32/IX3</f>
        <v>5.5248618784530384E-3</v>
      </c>
      <c r="IY87" s="584">
        <f t="shared" si="380"/>
        <v>1.7793594306049821E-3</v>
      </c>
      <c r="IZ87" s="584">
        <f t="shared" si="380"/>
        <v>1.2500000000000001E-2</v>
      </c>
      <c r="JA87" s="584">
        <f t="shared" si="380"/>
        <v>9.2592592592592587E-3</v>
      </c>
      <c r="JB87" s="584">
        <f t="shared" si="380"/>
        <v>8.1967213114754103E-3</v>
      </c>
      <c r="JC87" s="584">
        <f t="shared" si="380"/>
        <v>2.1929824561403508E-2</v>
      </c>
      <c r="JD87" s="584">
        <f t="shared" si="380"/>
        <v>1.6326530612244899E-2</v>
      </c>
      <c r="JE87" s="584">
        <f t="shared" si="380"/>
        <v>4.296875E-2</v>
      </c>
      <c r="JF87" s="584">
        <f t="shared" ref="JF87:JY87" si="381">+JF32/JF3</f>
        <v>4.878048780487805E-2</v>
      </c>
      <c r="JG87" s="584">
        <f t="shared" si="381"/>
        <v>5.1094890510948905E-2</v>
      </c>
      <c r="JH87" s="584">
        <f t="shared" si="381"/>
        <v>0</v>
      </c>
      <c r="JI87" s="584">
        <f t="shared" si="381"/>
        <v>1.2345679012345678E-2</v>
      </c>
      <c r="JJ87" s="584">
        <f t="shared" si="381"/>
        <v>1.7543859649122806E-2</v>
      </c>
      <c r="JK87" s="584">
        <f t="shared" si="381"/>
        <v>0</v>
      </c>
      <c r="JL87" s="584">
        <f t="shared" si="381"/>
        <v>0</v>
      </c>
      <c r="JM87" s="584">
        <f t="shared" si="381"/>
        <v>2.2727272727272728E-2</v>
      </c>
      <c r="JN87" s="584">
        <f t="shared" si="381"/>
        <v>0</v>
      </c>
      <c r="JO87" s="584">
        <f t="shared" si="381"/>
        <v>1.1111111111111112E-2</v>
      </c>
      <c r="JP87" s="584">
        <f t="shared" si="381"/>
        <v>7.4074074074074077E-3</v>
      </c>
      <c r="JQ87" s="584">
        <f t="shared" si="381"/>
        <v>7.3394495412844041E-2</v>
      </c>
      <c r="JR87" s="584">
        <f t="shared" si="381"/>
        <v>8.6206896551724137E-3</v>
      </c>
      <c r="JS87" s="584">
        <f t="shared" si="381"/>
        <v>4.1322314049586778E-2</v>
      </c>
      <c r="JT87" s="584">
        <f t="shared" si="381"/>
        <v>1.8018018018018018E-2</v>
      </c>
      <c r="JU87" s="584">
        <f t="shared" si="381"/>
        <v>2.7027027027027029E-2</v>
      </c>
      <c r="JV87" s="584">
        <f t="shared" si="381"/>
        <v>1.4084507042253521E-2</v>
      </c>
      <c r="JW87" s="584">
        <f t="shared" si="381"/>
        <v>0.1</v>
      </c>
      <c r="JX87" s="584">
        <f t="shared" si="381"/>
        <v>0.21875</v>
      </c>
      <c r="JY87" s="584">
        <f t="shared" si="381"/>
        <v>7.407407407407407E-2</v>
      </c>
      <c r="JZ87" s="584">
        <f t="shared" ref="JZ87:KC87" si="382">+JZ32/JZ3</f>
        <v>4.8192771084337352E-2</v>
      </c>
      <c r="KA87" s="584">
        <f t="shared" si="382"/>
        <v>8.1632653061224483E-2</v>
      </c>
      <c r="KB87" s="584">
        <f t="shared" si="382"/>
        <v>0.17567567567567569</v>
      </c>
      <c r="KC87" s="584">
        <f t="shared" si="382"/>
        <v>6.6666666666666666E-2</v>
      </c>
      <c r="KD87" s="584">
        <f t="shared" ref="KD87:KE87" si="383">+KD32/KD3</f>
        <v>3.7037037037037035E-2</v>
      </c>
      <c r="KE87" s="584">
        <f t="shared" si="383"/>
        <v>2.0618556701030927E-2</v>
      </c>
      <c r="KF87" s="584">
        <f t="shared" ref="KF87:KJ87" si="384">+KF32/KF3</f>
        <v>5.4054054054054057E-2</v>
      </c>
      <c r="KG87" s="584">
        <f t="shared" si="384"/>
        <v>3.7037037037037035E-2</v>
      </c>
      <c r="KH87" s="584">
        <f t="shared" si="384"/>
        <v>1.2500000000000001E-2</v>
      </c>
      <c r="KI87" s="584">
        <f t="shared" si="384"/>
        <v>2.247191011235955E-2</v>
      </c>
      <c r="KJ87" s="584">
        <f t="shared" si="384"/>
        <v>2.3529411764705882E-2</v>
      </c>
      <c r="KK87" s="584">
        <f t="shared" ref="KK87:KL87" si="385">+KK39/KK10</f>
        <v>2.1709997319753416E-2</v>
      </c>
      <c r="KL87" s="584">
        <f t="shared" si="385"/>
        <v>1.9443110897743639E-2</v>
      </c>
      <c r="KM87" s="584">
        <f t="shared" ref="KM87" si="386">+KM39/KM10</f>
        <v>2.0096852300242132E-2</v>
      </c>
      <c r="KN87" s="832">
        <f>+KN32/KS3</f>
        <v>0</v>
      </c>
      <c r="KO87" s="859">
        <f>+KO32/KT3</f>
        <v>1.7241379310344827E-2</v>
      </c>
    </row>
    <row r="88" spans="1:301" ht="15.6" thickBot="1">
      <c r="A88" s="981" t="s">
        <v>105</v>
      </c>
      <c r="B88" s="982"/>
      <c r="C88" s="982"/>
      <c r="D88" s="982"/>
      <c r="E88" s="982"/>
      <c r="F88" s="982"/>
      <c r="G88" s="983"/>
      <c r="H88" s="547">
        <v>45338110.446000002</v>
      </c>
      <c r="I88" s="547">
        <v>0</v>
      </c>
      <c r="J88" s="547">
        <v>42944557.11118</v>
      </c>
      <c r="K88" s="549"/>
      <c r="L88" s="548">
        <v>-5.2793407383999999E-2</v>
      </c>
      <c r="M88" s="547">
        <v>-2393553.33482</v>
      </c>
      <c r="N88" s="549"/>
      <c r="O88" s="550"/>
      <c r="Q88" s="984" t="s">
        <v>107</v>
      </c>
      <c r="R88" s="969"/>
      <c r="S88" s="969"/>
      <c r="T88" s="969"/>
      <c r="U88" s="969"/>
      <c r="V88" s="969"/>
      <c r="W88" s="970"/>
      <c r="X88" s="551">
        <v>5377209.35733</v>
      </c>
      <c r="Y88" s="551">
        <v>0</v>
      </c>
      <c r="Z88" s="551">
        <v>5684845.9883300001</v>
      </c>
      <c r="AA88" s="553"/>
      <c r="AB88" s="552">
        <v>5.7211205767999998E-2</v>
      </c>
      <c r="AC88" s="551">
        <v>307636.63099999999</v>
      </c>
      <c r="AD88" s="553"/>
      <c r="AE88" s="554"/>
      <c r="AG88" s="975" t="s">
        <v>104</v>
      </c>
      <c r="AH88" s="976"/>
      <c r="AI88" s="976"/>
      <c r="AJ88" s="976"/>
      <c r="AK88" s="976"/>
      <c r="AL88" s="976"/>
      <c r="AM88" s="976"/>
      <c r="AN88" s="976"/>
      <c r="AO88" s="976"/>
      <c r="AP88" s="976"/>
      <c r="AQ88" s="976"/>
      <c r="AR88" s="976"/>
      <c r="AS88" s="976"/>
      <c r="AT88" s="976"/>
      <c r="AU88" s="976"/>
      <c r="AW88" s="544"/>
      <c r="AX88" s="545"/>
      <c r="AY88" s="545"/>
      <c r="AZ88" s="545"/>
      <c r="BA88" s="545"/>
      <c r="BB88" s="545"/>
      <c r="BC88" s="546"/>
      <c r="BD88" s="593" t="s">
        <v>78</v>
      </c>
      <c r="BE88" s="593" t="s">
        <v>161</v>
      </c>
      <c r="BF88" s="593" t="s">
        <v>162</v>
      </c>
      <c r="BG88" s="593" t="s">
        <v>79</v>
      </c>
      <c r="BH88" s="593" t="s">
        <v>80</v>
      </c>
      <c r="BI88" s="593" t="s">
        <v>81</v>
      </c>
      <c r="BJ88" s="593" t="s">
        <v>448</v>
      </c>
      <c r="BK88" s="593" t="s">
        <v>82</v>
      </c>
      <c r="BM88" s="544"/>
      <c r="BN88" s="545"/>
      <c r="BO88" s="545"/>
      <c r="BP88" s="545"/>
      <c r="BQ88" s="545"/>
      <c r="BR88" s="545"/>
      <c r="BS88" s="546"/>
      <c r="BT88" s="593" t="s">
        <v>78</v>
      </c>
      <c r="BU88" s="593" t="s">
        <v>161</v>
      </c>
      <c r="BV88" s="593" t="s">
        <v>162</v>
      </c>
      <c r="BW88" s="593" t="s">
        <v>79</v>
      </c>
      <c r="BX88" s="593" t="s">
        <v>80</v>
      </c>
      <c r="BY88" s="593" t="s">
        <v>81</v>
      </c>
      <c r="BZ88" s="593" t="s">
        <v>448</v>
      </c>
      <c r="CA88" s="593" t="s">
        <v>82</v>
      </c>
      <c r="CC88" s="981" t="s">
        <v>105</v>
      </c>
      <c r="CD88" s="982"/>
      <c r="CE88" s="982"/>
      <c r="CF88" s="982"/>
      <c r="CG88" s="982"/>
      <c r="CH88" s="982"/>
      <c r="CI88" s="983"/>
      <c r="CJ88" s="547">
        <v>702408.06431000005</v>
      </c>
      <c r="CK88" s="547">
        <v>0</v>
      </c>
      <c r="CL88" s="547">
        <v>841594.65927999897</v>
      </c>
      <c r="CM88" s="549"/>
      <c r="CN88" s="548">
        <v>0.19815631687900001</v>
      </c>
      <c r="CO88" s="547">
        <v>139186.59497000001</v>
      </c>
      <c r="CP88" s="549"/>
      <c r="CQ88" s="550"/>
      <c r="CS88" s="985" t="s">
        <v>108</v>
      </c>
      <c r="CT88" s="986"/>
      <c r="CU88" s="986"/>
      <c r="CV88" s="986"/>
      <c r="CW88" s="986"/>
      <c r="CX88" s="986"/>
      <c r="CY88" s="987"/>
      <c r="CZ88" s="547">
        <v>1237424223.2287099</v>
      </c>
      <c r="DA88" s="547">
        <v>0</v>
      </c>
      <c r="DB88" s="547">
        <v>1290716897.2729299</v>
      </c>
      <c r="DC88" s="549"/>
      <c r="DD88" s="548">
        <v>4.3067424286000001E-2</v>
      </c>
      <c r="DE88" s="547">
        <v>53292674.044220001</v>
      </c>
      <c r="DF88" s="549"/>
      <c r="DG88" s="550"/>
      <c r="DI88" s="975" t="s">
        <v>104</v>
      </c>
      <c r="DJ88" s="976"/>
      <c r="DK88" s="976"/>
      <c r="DL88" s="976"/>
      <c r="DM88" s="976"/>
      <c r="DN88" s="976"/>
      <c r="DO88" s="976"/>
      <c r="DP88" s="976"/>
      <c r="DQ88" s="976"/>
      <c r="DR88" s="976"/>
      <c r="DS88" s="976"/>
      <c r="DT88" s="976"/>
      <c r="DU88" s="976"/>
      <c r="DV88" s="976"/>
      <c r="DW88" s="976"/>
      <c r="DY88" s="984" t="s">
        <v>109</v>
      </c>
      <c r="DZ88" s="969"/>
      <c r="EA88" s="969"/>
      <c r="EB88" s="969"/>
      <c r="EC88" s="969"/>
      <c r="ED88" s="969"/>
      <c r="EE88" s="970"/>
      <c r="EF88" s="551">
        <v>1167989.17677</v>
      </c>
      <c r="EG88" s="551">
        <v>0</v>
      </c>
      <c r="EH88" s="551">
        <v>1278463.9975300001</v>
      </c>
      <c r="EI88" s="553"/>
      <c r="EJ88" s="552">
        <v>9.4585483287999997E-2</v>
      </c>
      <c r="EK88" s="551">
        <v>110474.82076</v>
      </c>
      <c r="EL88" s="553"/>
      <c r="EM88" s="554"/>
      <c r="EO88" s="544"/>
      <c r="EP88" s="545"/>
      <c r="EQ88" s="545"/>
      <c r="ER88" s="545"/>
      <c r="ES88" s="545"/>
      <c r="ET88" s="545"/>
      <c r="EU88" s="546"/>
      <c r="EV88" s="593" t="s">
        <v>78</v>
      </c>
      <c r="EW88" s="593" t="s">
        <v>161</v>
      </c>
      <c r="EX88" s="593" t="s">
        <v>162</v>
      </c>
      <c r="EY88" s="593" t="s">
        <v>79</v>
      </c>
      <c r="EZ88" s="593" t="s">
        <v>80</v>
      </c>
      <c r="FA88" s="593" t="s">
        <v>81</v>
      </c>
      <c r="FB88" s="593" t="s">
        <v>448</v>
      </c>
      <c r="FC88" s="593" t="s">
        <v>82</v>
      </c>
      <c r="FE88" s="544"/>
      <c r="FF88" s="545"/>
      <c r="FG88" s="545"/>
      <c r="FH88" s="545"/>
      <c r="FI88" s="545"/>
      <c r="FJ88" s="545"/>
      <c r="FK88" s="546"/>
      <c r="FL88" s="593" t="s">
        <v>78</v>
      </c>
      <c r="FM88" s="593" t="s">
        <v>161</v>
      </c>
      <c r="FN88" s="593" t="s">
        <v>162</v>
      </c>
      <c r="FO88" s="593" t="s">
        <v>79</v>
      </c>
      <c r="FP88" s="593" t="s">
        <v>80</v>
      </c>
      <c r="FQ88" s="593" t="s">
        <v>81</v>
      </c>
      <c r="FR88" s="593" t="s">
        <v>448</v>
      </c>
      <c r="FS88" s="593" t="s">
        <v>82</v>
      </c>
      <c r="GL88" s="353">
        <v>7</v>
      </c>
      <c r="GM88" s="353" t="s">
        <v>139</v>
      </c>
      <c r="GN88" s="584">
        <f t="shared" ref="GN88:GS88" si="387">+GN40/GN11</f>
        <v>3.2258064516129031E-2</v>
      </c>
      <c r="GO88" s="584">
        <f t="shared" si="387"/>
        <v>1.1764705882352941E-2</v>
      </c>
      <c r="GP88" s="584">
        <f t="shared" si="387"/>
        <v>2.7624309392265192E-2</v>
      </c>
      <c r="GQ88" s="584">
        <f t="shared" si="387"/>
        <v>3.5294117647058823E-2</v>
      </c>
      <c r="GR88" s="584">
        <f t="shared" si="387"/>
        <v>3.2679738562091505E-2</v>
      </c>
      <c r="GS88" s="584">
        <f t="shared" si="387"/>
        <v>2.3622047244094488E-2</v>
      </c>
      <c r="GT88" s="584">
        <f t="shared" ref="GT88:HL88" si="388">+GT40/GT11</f>
        <v>0</v>
      </c>
      <c r="GU88" s="584">
        <f t="shared" si="388"/>
        <v>6.369426751592357E-3</v>
      </c>
      <c r="GV88" s="584">
        <f t="shared" si="388"/>
        <v>1.092896174863388E-2</v>
      </c>
      <c r="GW88" s="584">
        <f t="shared" si="388"/>
        <v>2.3255813953488372E-2</v>
      </c>
      <c r="GX88" s="584">
        <f t="shared" si="388"/>
        <v>3.7735849056603774E-3</v>
      </c>
      <c r="GY88" s="584">
        <f t="shared" si="388"/>
        <v>3.6363636363636362E-2</v>
      </c>
      <c r="GZ88" s="584">
        <f t="shared" si="388"/>
        <v>3.6101083032490974E-2</v>
      </c>
      <c r="HA88" s="584">
        <f t="shared" si="388"/>
        <v>1.3215859030837005E-2</v>
      </c>
      <c r="HB88" s="584">
        <f t="shared" si="388"/>
        <v>3.8910505836575876E-3</v>
      </c>
      <c r="HC88" s="584">
        <f t="shared" si="388"/>
        <v>0</v>
      </c>
      <c r="HD88" s="584">
        <f t="shared" si="388"/>
        <v>4.807692307692308E-2</v>
      </c>
      <c r="HE88" s="584">
        <f t="shared" si="388"/>
        <v>9.0909090909090912E-2</v>
      </c>
      <c r="HF88" s="584">
        <f t="shared" si="388"/>
        <v>4.4776119402985072E-2</v>
      </c>
      <c r="HG88" s="584">
        <f t="shared" si="388"/>
        <v>2.7932960893854747E-2</v>
      </c>
      <c r="HH88" s="584">
        <f t="shared" si="388"/>
        <v>4.1509433962264149E-2</v>
      </c>
      <c r="HI88" s="584">
        <f t="shared" si="388"/>
        <v>3.8095238095238099E-2</v>
      </c>
      <c r="HJ88" s="584">
        <f t="shared" si="388"/>
        <v>4.3076923076923075E-2</v>
      </c>
      <c r="HK88" s="584">
        <f t="shared" si="388"/>
        <v>5.829596412556054E-2</v>
      </c>
      <c r="HL88" s="584">
        <f t="shared" si="388"/>
        <v>9.3117408906882596E-2</v>
      </c>
      <c r="HM88" s="584">
        <f t="shared" ref="HM88:HP88" si="389">+HM40/HM11</f>
        <v>0</v>
      </c>
      <c r="HN88" s="584">
        <f t="shared" si="389"/>
        <v>0</v>
      </c>
      <c r="HO88" s="584">
        <f t="shared" si="389"/>
        <v>4.8309178743961352E-2</v>
      </c>
      <c r="HP88" s="584">
        <f t="shared" si="389"/>
        <v>0.1437125748502994</v>
      </c>
      <c r="HQ88" s="584">
        <f t="shared" ref="HQ88:HS88" si="390">+HQ40/HQ11</f>
        <v>8.5836909871244635E-2</v>
      </c>
      <c r="HR88" s="584">
        <f t="shared" si="390"/>
        <v>4.8387096774193547E-2</v>
      </c>
      <c r="HS88" s="584">
        <f t="shared" si="390"/>
        <v>5.4621848739495799E-2</v>
      </c>
      <c r="HT88" s="584">
        <f t="shared" ref="HT88:HW88" si="391">+HT40/HT11</f>
        <v>6.280193236714976E-2</v>
      </c>
      <c r="HU88" s="584">
        <f t="shared" si="391"/>
        <v>1.3422818791946308E-2</v>
      </c>
      <c r="HV88" s="584">
        <f t="shared" si="391"/>
        <v>9.4650205761316872E-2</v>
      </c>
      <c r="HW88" s="584">
        <f t="shared" si="391"/>
        <v>4.5454545454545456E-2</v>
      </c>
      <c r="HX88" s="584">
        <f t="shared" ref="HX88:HZ88" si="392">+HX40/HX11</f>
        <v>2.0833333333333332E-2</v>
      </c>
      <c r="HY88" s="584">
        <f t="shared" si="392"/>
        <v>1.8691588785046728E-2</v>
      </c>
      <c r="HZ88" s="584">
        <f t="shared" si="392"/>
        <v>1.5384615384615385E-2</v>
      </c>
      <c r="IA88" s="584">
        <f t="shared" ref="IA88" si="393">+IA40/IA11</f>
        <v>6.2111801242236021E-3</v>
      </c>
      <c r="IB88" s="831">
        <f>+IB40/II11</f>
        <v>0.05</v>
      </c>
      <c r="IC88" s="585">
        <f>+IC40/IJ11</f>
        <v>2.5862068965517241E-2</v>
      </c>
      <c r="IV88" s="353">
        <v>7</v>
      </c>
      <c r="IW88" s="353" t="s">
        <v>139</v>
      </c>
      <c r="IX88" s="584">
        <f t="shared" ref="IX88:JE88" si="394">+IX40/IX11</f>
        <v>2.5806451612903226E-2</v>
      </c>
      <c r="IY88" s="584">
        <f t="shared" si="394"/>
        <v>5.8823529411764705E-3</v>
      </c>
      <c r="IZ88" s="584">
        <f t="shared" si="394"/>
        <v>1.6574585635359115E-2</v>
      </c>
      <c r="JA88" s="584">
        <f t="shared" si="394"/>
        <v>2.9411764705882353E-2</v>
      </c>
      <c r="JB88" s="584">
        <f t="shared" si="394"/>
        <v>2.6143790849673203E-2</v>
      </c>
      <c r="JC88" s="584">
        <f t="shared" si="394"/>
        <v>2.3622047244094488E-2</v>
      </c>
      <c r="JD88" s="584">
        <f t="shared" si="394"/>
        <v>0</v>
      </c>
      <c r="JE88" s="584">
        <f t="shared" si="394"/>
        <v>0</v>
      </c>
      <c r="JF88" s="584">
        <f t="shared" ref="JF88:JY88" si="395">+JF40/JF11</f>
        <v>1.092896174863388E-2</v>
      </c>
      <c r="JG88" s="584">
        <f t="shared" si="395"/>
        <v>1.937984496124031E-2</v>
      </c>
      <c r="JH88" s="584">
        <f t="shared" si="395"/>
        <v>0</v>
      </c>
      <c r="JI88" s="584">
        <f t="shared" si="395"/>
        <v>2.9090909090909091E-2</v>
      </c>
      <c r="JJ88" s="584">
        <f t="shared" si="395"/>
        <v>2.1660649819494584E-2</v>
      </c>
      <c r="JK88" s="584">
        <f t="shared" si="395"/>
        <v>8.8105726872246704E-3</v>
      </c>
      <c r="JL88" s="584">
        <f t="shared" si="395"/>
        <v>3.8910505836575876E-3</v>
      </c>
      <c r="JM88" s="584">
        <f t="shared" si="395"/>
        <v>4.9261083743842365E-3</v>
      </c>
      <c r="JN88" s="584">
        <f t="shared" si="395"/>
        <v>0</v>
      </c>
      <c r="JO88" s="584">
        <f t="shared" si="395"/>
        <v>2.2727272727272728E-2</v>
      </c>
      <c r="JP88" s="584">
        <f t="shared" si="395"/>
        <v>3.7313432835820892E-2</v>
      </c>
      <c r="JQ88" s="584">
        <f t="shared" si="395"/>
        <v>5.5865921787709499E-3</v>
      </c>
      <c r="JR88" s="584">
        <f t="shared" si="395"/>
        <v>3.7735849056603774E-3</v>
      </c>
      <c r="JS88" s="584">
        <f t="shared" si="395"/>
        <v>0</v>
      </c>
      <c r="JT88" s="584">
        <f t="shared" si="395"/>
        <v>2.4615384615384615E-2</v>
      </c>
      <c r="JU88" s="584">
        <f t="shared" si="395"/>
        <v>1.3452914798206279E-2</v>
      </c>
      <c r="JV88" s="584">
        <f t="shared" si="395"/>
        <v>4.4534412955465584E-2</v>
      </c>
      <c r="JW88" s="584">
        <f t="shared" si="395"/>
        <v>5.2356020942408377E-2</v>
      </c>
      <c r="JX88" s="584">
        <f t="shared" si="395"/>
        <v>3.0188679245283019E-2</v>
      </c>
      <c r="JY88" s="584">
        <f t="shared" si="395"/>
        <v>1.4492753623188406E-2</v>
      </c>
      <c r="JZ88" s="584">
        <f t="shared" ref="JZ88:KC88" si="396">+JZ40/JZ11</f>
        <v>5.9880239520958084E-2</v>
      </c>
      <c r="KA88" s="584">
        <f t="shared" si="396"/>
        <v>3.8626609442060089E-2</v>
      </c>
      <c r="KB88" s="584">
        <f t="shared" si="396"/>
        <v>1.6129032258064516E-2</v>
      </c>
      <c r="KC88" s="584">
        <f t="shared" si="396"/>
        <v>1.680672268907563E-2</v>
      </c>
      <c r="KD88" s="584">
        <f t="shared" ref="KD88:KE88" si="397">+KD40/KD11</f>
        <v>2.8985507246376812E-2</v>
      </c>
      <c r="KE88" s="584">
        <f t="shared" si="397"/>
        <v>6.7114093959731542E-3</v>
      </c>
      <c r="KF88" s="584">
        <f t="shared" ref="KF88:KL88" si="398">+KF40/KF11</f>
        <v>6.1728395061728392E-2</v>
      </c>
      <c r="KG88" s="584">
        <f t="shared" si="398"/>
        <v>1.5151515151515152E-2</v>
      </c>
      <c r="KH88" s="584">
        <f t="shared" si="398"/>
        <v>2.0833333333333332E-2</v>
      </c>
      <c r="KI88" s="584">
        <f t="shared" si="398"/>
        <v>1.8691588785046728E-2</v>
      </c>
      <c r="KJ88" s="584">
        <f t="shared" si="398"/>
        <v>2.0512820512820513E-2</v>
      </c>
      <c r="KK88" s="584">
        <f t="shared" si="398"/>
        <v>0</v>
      </c>
      <c r="KL88" s="584">
        <f t="shared" si="398"/>
        <v>5.681818181818182E-3</v>
      </c>
      <c r="KM88" s="584">
        <f t="shared" ref="KM88" si="399">+KM40/KM11</f>
        <v>9.1743119266055051E-3</v>
      </c>
      <c r="KN88" s="832">
        <f>+KN40/KS11</f>
        <v>2.8571428571428571E-2</v>
      </c>
      <c r="KO88" s="859">
        <f>+KO40/KT11</f>
        <v>0</v>
      </c>
    </row>
    <row r="89" spans="1:301" ht="15.6" thickBot="1">
      <c r="A89" s="984" t="s">
        <v>106</v>
      </c>
      <c r="B89" s="969"/>
      <c r="C89" s="969"/>
      <c r="D89" s="969"/>
      <c r="E89" s="969"/>
      <c r="F89" s="969"/>
      <c r="G89" s="970"/>
      <c r="H89" s="551">
        <v>42659023.284000002</v>
      </c>
      <c r="I89" s="551">
        <v>0</v>
      </c>
      <c r="J89" s="551">
        <v>40395886.325180002</v>
      </c>
      <c r="K89" s="553"/>
      <c r="L89" s="552">
        <v>-5.3051776262E-2</v>
      </c>
      <c r="M89" s="551">
        <v>-2263136.9588199998</v>
      </c>
      <c r="N89" s="553"/>
      <c r="O89" s="554"/>
      <c r="Q89" s="985" t="s">
        <v>108</v>
      </c>
      <c r="R89" s="986"/>
      <c r="S89" s="986"/>
      <c r="T89" s="986"/>
      <c r="U89" s="986"/>
      <c r="V89" s="986"/>
      <c r="W89" s="987"/>
      <c r="X89" s="547">
        <v>92026725.493379995</v>
      </c>
      <c r="Y89" s="547">
        <v>0</v>
      </c>
      <c r="Z89" s="547">
        <v>106632252.4492</v>
      </c>
      <c r="AA89" s="549"/>
      <c r="AB89" s="548">
        <v>0.158709623508</v>
      </c>
      <c r="AC89" s="547">
        <v>14605526.95582</v>
      </c>
      <c r="AD89" s="549"/>
      <c r="AE89" s="550"/>
      <c r="AG89" s="544"/>
      <c r="AH89" s="545"/>
      <c r="AI89" s="545"/>
      <c r="AJ89" s="545"/>
      <c r="AK89" s="545"/>
      <c r="AL89" s="545"/>
      <c r="AM89" s="546"/>
      <c r="AN89" s="593" t="s">
        <v>78</v>
      </c>
      <c r="AO89" s="593" t="s">
        <v>161</v>
      </c>
      <c r="AP89" s="593" t="s">
        <v>162</v>
      </c>
      <c r="AQ89" s="593" t="s">
        <v>79</v>
      </c>
      <c r="AR89" s="593" t="s">
        <v>80</v>
      </c>
      <c r="AS89" s="593" t="s">
        <v>81</v>
      </c>
      <c r="AT89" s="593" t="s">
        <v>448</v>
      </c>
      <c r="AU89" s="593" t="s">
        <v>82</v>
      </c>
      <c r="AW89" s="981" t="s">
        <v>105</v>
      </c>
      <c r="AX89" s="982"/>
      <c r="AY89" s="982"/>
      <c r="AZ89" s="982"/>
      <c r="BA89" s="982"/>
      <c r="BB89" s="982"/>
      <c r="BC89" s="983"/>
      <c r="BD89" s="547">
        <v>117762270.892</v>
      </c>
      <c r="BE89" s="547">
        <v>130362307.4645</v>
      </c>
      <c r="BF89" s="547">
        <v>129467352.461</v>
      </c>
      <c r="BG89" s="548">
        <v>-6.8651362559999998E-3</v>
      </c>
      <c r="BH89" s="548">
        <v>9.9395854719000004E-2</v>
      </c>
      <c r="BI89" s="547">
        <v>11705081.569</v>
      </c>
      <c r="BJ89" s="549"/>
      <c r="BK89" s="550"/>
      <c r="BM89" s="981" t="s">
        <v>105</v>
      </c>
      <c r="BN89" s="982"/>
      <c r="BO89" s="982"/>
      <c r="BP89" s="982"/>
      <c r="BQ89" s="982"/>
      <c r="BR89" s="982"/>
      <c r="BS89" s="983"/>
      <c r="BT89" s="547">
        <v>13596486.125</v>
      </c>
      <c r="BU89" s="547">
        <v>0</v>
      </c>
      <c r="BV89" s="547">
        <v>18065254.081999999</v>
      </c>
      <c r="BW89" s="549"/>
      <c r="BX89" s="548">
        <v>0.32867079890400003</v>
      </c>
      <c r="BY89" s="547">
        <v>4468767.9570000004</v>
      </c>
      <c r="BZ89" s="549"/>
      <c r="CA89" s="550"/>
      <c r="CC89" s="984" t="s">
        <v>106</v>
      </c>
      <c r="CD89" s="969"/>
      <c r="CE89" s="969"/>
      <c r="CF89" s="969"/>
      <c r="CG89" s="969"/>
      <c r="CH89" s="969"/>
      <c r="CI89" s="970"/>
      <c r="CJ89" s="551">
        <v>685129.23005000001</v>
      </c>
      <c r="CK89" s="551">
        <v>0</v>
      </c>
      <c r="CL89" s="551">
        <v>819025.77101999905</v>
      </c>
      <c r="CM89" s="553"/>
      <c r="CN89" s="552">
        <v>0.195432533159</v>
      </c>
      <c r="CO89" s="551">
        <v>133896.54097</v>
      </c>
      <c r="CP89" s="553"/>
      <c r="CQ89" s="554"/>
      <c r="CS89" s="984" t="s">
        <v>109</v>
      </c>
      <c r="CT89" s="969"/>
      <c r="CU89" s="969"/>
      <c r="CV89" s="969"/>
      <c r="CW89" s="969"/>
      <c r="CX89" s="969"/>
      <c r="CY89" s="970"/>
      <c r="CZ89" s="551">
        <v>433280840.38845003</v>
      </c>
      <c r="DA89" s="551">
        <v>0</v>
      </c>
      <c r="DB89" s="551">
        <v>454513922.67953998</v>
      </c>
      <c r="DC89" s="553"/>
      <c r="DD89" s="552">
        <v>4.9005357061000003E-2</v>
      </c>
      <c r="DE89" s="551">
        <v>21233082.29109</v>
      </c>
      <c r="DF89" s="553"/>
      <c r="DG89" s="554"/>
      <c r="DI89" s="544"/>
      <c r="DJ89" s="545"/>
      <c r="DK89" s="545"/>
      <c r="DL89" s="545"/>
      <c r="DM89" s="545"/>
      <c r="DN89" s="545"/>
      <c r="DO89" s="546"/>
      <c r="DP89" s="593" t="s">
        <v>78</v>
      </c>
      <c r="DQ89" s="593" t="s">
        <v>161</v>
      </c>
      <c r="DR89" s="593" t="s">
        <v>162</v>
      </c>
      <c r="DS89" s="593" t="s">
        <v>79</v>
      </c>
      <c r="DT89" s="593" t="s">
        <v>80</v>
      </c>
      <c r="DU89" s="593" t="s">
        <v>81</v>
      </c>
      <c r="DV89" s="593" t="s">
        <v>448</v>
      </c>
      <c r="DW89" s="593" t="s">
        <v>82</v>
      </c>
      <c r="DY89" s="984" t="s">
        <v>110</v>
      </c>
      <c r="DZ89" s="969"/>
      <c r="EA89" s="969"/>
      <c r="EB89" s="969"/>
      <c r="EC89" s="969"/>
      <c r="ED89" s="969"/>
      <c r="EE89" s="970"/>
      <c r="EF89" s="551">
        <v>457971.27585999999</v>
      </c>
      <c r="EG89" s="551">
        <v>0</v>
      </c>
      <c r="EH89" s="551">
        <v>472838.01981999999</v>
      </c>
      <c r="EI89" s="553"/>
      <c r="EJ89" s="552">
        <v>3.2462175562999997E-2</v>
      </c>
      <c r="EK89" s="551">
        <v>14866.74396</v>
      </c>
      <c r="EL89" s="553"/>
      <c r="EM89" s="554"/>
      <c r="EO89" s="981" t="s">
        <v>105</v>
      </c>
      <c r="EP89" s="982"/>
      <c r="EQ89" s="982"/>
      <c r="ER89" s="982"/>
      <c r="ES89" s="982"/>
      <c r="ET89" s="982"/>
      <c r="EU89" s="983"/>
      <c r="EV89" s="547">
        <v>158039693.9341</v>
      </c>
      <c r="EW89" s="547">
        <v>0</v>
      </c>
      <c r="EX89" s="547">
        <v>162830983.76440001</v>
      </c>
      <c r="EY89" s="549"/>
      <c r="EZ89" s="548">
        <v>3.0317002716000001E-2</v>
      </c>
      <c r="FA89" s="547">
        <v>4791289.8302999996</v>
      </c>
      <c r="FB89" s="549"/>
      <c r="FC89" s="550"/>
      <c r="FE89" s="981" t="s">
        <v>105</v>
      </c>
      <c r="FF89" s="982"/>
      <c r="FG89" s="982"/>
      <c r="FH89" s="982"/>
      <c r="FI89" s="982"/>
      <c r="FJ89" s="982"/>
      <c r="FK89" s="983"/>
      <c r="FL89" s="547">
        <v>18230177.974199999</v>
      </c>
      <c r="FM89" s="547">
        <v>0</v>
      </c>
      <c r="FN89" s="547">
        <v>18176683.319139998</v>
      </c>
      <c r="FO89" s="549"/>
      <c r="FP89" s="548">
        <v>-2.934401141E-3</v>
      </c>
      <c r="FQ89" s="547">
        <v>-53494.655059999699</v>
      </c>
      <c r="FR89" s="549"/>
      <c r="FS89" s="550"/>
      <c r="GL89" s="353">
        <v>8</v>
      </c>
      <c r="HW89" s="713"/>
      <c r="HX89" s="742"/>
      <c r="IB89" s="831"/>
      <c r="IC89" s="585"/>
      <c r="IV89" s="353">
        <v>8</v>
      </c>
      <c r="KI89" s="713"/>
      <c r="KJ89" s="742"/>
      <c r="KN89" s="832"/>
      <c r="KO89" s="859"/>
    </row>
    <row r="90" spans="1:301" ht="15" thickBot="1">
      <c r="A90" s="984" t="s">
        <v>107</v>
      </c>
      <c r="B90" s="969"/>
      <c r="C90" s="969"/>
      <c r="D90" s="969"/>
      <c r="E90" s="969"/>
      <c r="F90" s="969"/>
      <c r="G90" s="970"/>
      <c r="H90" s="551">
        <v>2679087.162</v>
      </c>
      <c r="I90" s="551">
        <v>0</v>
      </c>
      <c r="J90" s="551">
        <v>2548670.7859999998</v>
      </c>
      <c r="K90" s="553"/>
      <c r="L90" s="552">
        <v>-4.8679407616000002E-2</v>
      </c>
      <c r="M90" s="551">
        <v>-130416.376</v>
      </c>
      <c r="N90" s="553"/>
      <c r="O90" s="554"/>
      <c r="Q90" s="984" t="s">
        <v>109</v>
      </c>
      <c r="R90" s="969"/>
      <c r="S90" s="969"/>
      <c r="T90" s="969"/>
      <c r="U90" s="969"/>
      <c r="V90" s="969"/>
      <c r="W90" s="970"/>
      <c r="X90" s="551">
        <v>22545250.40738</v>
      </c>
      <c r="Y90" s="551">
        <v>0</v>
      </c>
      <c r="Z90" s="551">
        <v>28106479.139199998</v>
      </c>
      <c r="AA90" s="553"/>
      <c r="AB90" s="552">
        <v>0.24666963689999999</v>
      </c>
      <c r="AC90" s="551">
        <v>5561228.7318200003</v>
      </c>
      <c r="AD90" s="553"/>
      <c r="AE90" s="554"/>
      <c r="AG90" s="981" t="s">
        <v>105</v>
      </c>
      <c r="AH90" s="982"/>
      <c r="AI90" s="982"/>
      <c r="AJ90" s="982"/>
      <c r="AK90" s="982"/>
      <c r="AL90" s="982"/>
      <c r="AM90" s="983"/>
      <c r="AN90" s="547">
        <v>238798059.59299999</v>
      </c>
      <c r="AO90" s="547">
        <v>291264118.1419</v>
      </c>
      <c r="AP90" s="547">
        <v>294559385.97652</v>
      </c>
      <c r="AQ90" s="548">
        <v>1.1313675901999999E-2</v>
      </c>
      <c r="AR90" s="548">
        <v>0.233508289299</v>
      </c>
      <c r="AS90" s="547">
        <v>55761326.38352</v>
      </c>
      <c r="AT90" s="549"/>
      <c r="AU90" s="550"/>
      <c r="AW90" s="984" t="s">
        <v>106</v>
      </c>
      <c r="AX90" s="969"/>
      <c r="AY90" s="969"/>
      <c r="AZ90" s="969"/>
      <c r="BA90" s="969"/>
      <c r="BB90" s="969"/>
      <c r="BC90" s="970"/>
      <c r="BD90" s="551">
        <v>113629533.84900001</v>
      </c>
      <c r="BE90" s="551">
        <v>124999712.5045</v>
      </c>
      <c r="BF90" s="551">
        <v>124370570.53399999</v>
      </c>
      <c r="BG90" s="552">
        <v>-5.0331473400000003E-3</v>
      </c>
      <c r="BH90" s="552">
        <v>9.452680409E-2</v>
      </c>
      <c r="BI90" s="551">
        <v>10741036.685000001</v>
      </c>
      <c r="BJ90" s="553"/>
      <c r="BK90" s="554"/>
      <c r="BM90" s="984" t="s">
        <v>106</v>
      </c>
      <c r="BN90" s="969"/>
      <c r="BO90" s="969"/>
      <c r="BP90" s="969"/>
      <c r="BQ90" s="969"/>
      <c r="BR90" s="969"/>
      <c r="BS90" s="970"/>
      <c r="BT90" s="551">
        <v>11179107.214</v>
      </c>
      <c r="BU90" s="551">
        <v>0</v>
      </c>
      <c r="BV90" s="551">
        <v>15333092.997</v>
      </c>
      <c r="BW90" s="553"/>
      <c r="BX90" s="552">
        <v>0.37158475211600001</v>
      </c>
      <c r="BY90" s="551">
        <v>4153985.7829999998</v>
      </c>
      <c r="BZ90" s="553"/>
      <c r="CA90" s="554"/>
      <c r="CC90" s="984" t="s">
        <v>107</v>
      </c>
      <c r="CD90" s="969"/>
      <c r="CE90" s="969"/>
      <c r="CF90" s="969"/>
      <c r="CG90" s="969"/>
      <c r="CH90" s="969"/>
      <c r="CI90" s="970"/>
      <c r="CJ90" s="551">
        <v>17278.83426</v>
      </c>
      <c r="CK90" s="551">
        <v>0</v>
      </c>
      <c r="CL90" s="551">
        <v>22568.88826</v>
      </c>
      <c r="CM90" s="553"/>
      <c r="CN90" s="552">
        <v>0.30615803823299997</v>
      </c>
      <c r="CO90" s="551">
        <v>5290.0540000000001</v>
      </c>
      <c r="CP90" s="553"/>
      <c r="CQ90" s="554"/>
      <c r="CS90" s="984" t="s">
        <v>110</v>
      </c>
      <c r="CT90" s="969"/>
      <c r="CU90" s="969"/>
      <c r="CV90" s="969"/>
      <c r="CW90" s="969"/>
      <c r="CX90" s="969"/>
      <c r="CY90" s="970"/>
      <c r="CZ90" s="551">
        <v>708993974.31325996</v>
      </c>
      <c r="DA90" s="551">
        <v>0</v>
      </c>
      <c r="DB90" s="551">
        <v>753006439.21554005</v>
      </c>
      <c r="DC90" s="553"/>
      <c r="DD90" s="552">
        <v>6.2077346912000002E-2</v>
      </c>
      <c r="DE90" s="551">
        <v>44012464.902280003</v>
      </c>
      <c r="DF90" s="553"/>
      <c r="DG90" s="554"/>
      <c r="DI90" s="981" t="s">
        <v>105</v>
      </c>
      <c r="DJ90" s="982"/>
      <c r="DK90" s="982"/>
      <c r="DL90" s="982"/>
      <c r="DM90" s="982"/>
      <c r="DN90" s="982"/>
      <c r="DO90" s="983"/>
      <c r="DP90" s="547">
        <v>412727061.20131999</v>
      </c>
      <c r="DQ90" s="547">
        <v>0</v>
      </c>
      <c r="DR90" s="547">
        <v>529975032.93935001</v>
      </c>
      <c r="DS90" s="549"/>
      <c r="DT90" s="548">
        <v>0.28408113438600002</v>
      </c>
      <c r="DU90" s="547">
        <v>117247971.73803</v>
      </c>
      <c r="DV90" s="549"/>
      <c r="DW90" s="550"/>
      <c r="DY90" s="988" t="s">
        <v>111</v>
      </c>
      <c r="DZ90" s="972"/>
      <c r="EA90" s="972"/>
      <c r="EB90" s="972"/>
      <c r="EC90" s="972"/>
      <c r="ED90" s="972"/>
      <c r="EE90" s="973"/>
      <c r="EF90" s="573">
        <v>444811.35407</v>
      </c>
      <c r="EG90" s="573">
        <v>0</v>
      </c>
      <c r="EH90" s="573">
        <v>509573.68199999997</v>
      </c>
      <c r="EI90" s="571"/>
      <c r="EJ90" s="574">
        <v>0.14559504234100001</v>
      </c>
      <c r="EK90" s="573">
        <v>64762.327929999999</v>
      </c>
      <c r="EL90" s="571"/>
      <c r="EM90" s="572"/>
      <c r="EO90" s="984" t="s">
        <v>106</v>
      </c>
      <c r="EP90" s="969"/>
      <c r="EQ90" s="969"/>
      <c r="ER90" s="969"/>
      <c r="ES90" s="969"/>
      <c r="ET90" s="969"/>
      <c r="EU90" s="970"/>
      <c r="EV90" s="551">
        <v>141912446.08410001</v>
      </c>
      <c r="EW90" s="551">
        <v>0</v>
      </c>
      <c r="EX90" s="551">
        <v>144001760.3944</v>
      </c>
      <c r="EY90" s="553"/>
      <c r="EZ90" s="552">
        <v>1.4722558647000001E-2</v>
      </c>
      <c r="FA90" s="551">
        <v>2089314.3103</v>
      </c>
      <c r="FB90" s="553"/>
      <c r="FC90" s="554"/>
      <c r="FE90" s="984" t="s">
        <v>106</v>
      </c>
      <c r="FF90" s="969"/>
      <c r="FG90" s="969"/>
      <c r="FH90" s="969"/>
      <c r="FI90" s="969"/>
      <c r="FJ90" s="969"/>
      <c r="FK90" s="970"/>
      <c r="FL90" s="551">
        <v>14453871.83863</v>
      </c>
      <c r="FM90" s="551">
        <v>0</v>
      </c>
      <c r="FN90" s="551">
        <v>14976419.58017</v>
      </c>
      <c r="FO90" s="553"/>
      <c r="FP90" s="552">
        <v>3.6152786420999998E-2</v>
      </c>
      <c r="FQ90" s="551">
        <v>522547.74154000002</v>
      </c>
      <c r="FR90" s="553"/>
      <c r="FS90" s="554"/>
      <c r="GL90" s="353">
        <v>9</v>
      </c>
      <c r="GM90" s="353" t="s">
        <v>138</v>
      </c>
      <c r="GN90" s="584">
        <f t="shared" ref="GN90:GS90" si="400">+GN39/GN10</f>
        <v>1.043382756727073E-2</v>
      </c>
      <c r="GO90" s="584">
        <f t="shared" si="400"/>
        <v>1.5591165006496318E-2</v>
      </c>
      <c r="GP90" s="584">
        <f t="shared" si="400"/>
        <v>5.9737156511350063E-3</v>
      </c>
      <c r="GQ90" s="584">
        <f t="shared" si="400"/>
        <v>1.4335664335664336E-2</v>
      </c>
      <c r="GR90" s="584">
        <f t="shared" si="400"/>
        <v>9.316770186335404E-3</v>
      </c>
      <c r="GS90" s="584">
        <f t="shared" si="400"/>
        <v>1.040582726326743E-2</v>
      </c>
      <c r="GT90" s="584">
        <f t="shared" ref="GT90:HL90" si="401">+GT39/GT10</f>
        <v>1.3253392237298833E-2</v>
      </c>
      <c r="GU90" s="584">
        <f t="shared" si="401"/>
        <v>2.4776119402985075E-2</v>
      </c>
      <c r="GV90" s="584">
        <f t="shared" si="401"/>
        <v>1.2393767705382436E-2</v>
      </c>
      <c r="GW90" s="584">
        <f t="shared" si="401"/>
        <v>1.3325436778205508E-2</v>
      </c>
      <c r="GX90" s="584">
        <f t="shared" si="401"/>
        <v>2.0301624129930394E-2</v>
      </c>
      <c r="GY90" s="584">
        <f t="shared" si="401"/>
        <v>1.2466307277628033E-2</v>
      </c>
      <c r="GZ90" s="584">
        <f t="shared" si="401"/>
        <v>1.1645962732919254E-2</v>
      </c>
      <c r="HA90" s="584">
        <f t="shared" si="401"/>
        <v>1.8423746161719549E-2</v>
      </c>
      <c r="HB90" s="584">
        <f t="shared" si="401"/>
        <v>5.339506172839506E-2</v>
      </c>
      <c r="HC90" s="584">
        <f t="shared" si="401"/>
        <v>2.1119324181626188E-2</v>
      </c>
      <c r="HD90" s="584">
        <f t="shared" si="401"/>
        <v>2.417480241748024E-2</v>
      </c>
      <c r="HE90" s="584">
        <f t="shared" si="401"/>
        <v>3.9053905390539052E-2</v>
      </c>
      <c r="HF90" s="584">
        <f t="shared" si="401"/>
        <v>3.8617886178861791E-2</v>
      </c>
      <c r="HG90" s="584">
        <f t="shared" si="401"/>
        <v>3.0795072788353865E-2</v>
      </c>
      <c r="HH90" s="584">
        <f t="shared" si="401"/>
        <v>3.1840059237319508E-2</v>
      </c>
      <c r="HI90" s="584">
        <f t="shared" si="401"/>
        <v>2.4407753050969132E-2</v>
      </c>
      <c r="HJ90" s="584">
        <f t="shared" si="401"/>
        <v>2.9566744730679159E-2</v>
      </c>
      <c r="HK90" s="584">
        <f t="shared" si="401"/>
        <v>7.6811594202898556E-2</v>
      </c>
      <c r="HL90" s="584">
        <f t="shared" si="401"/>
        <v>4.4953350296861747E-2</v>
      </c>
      <c r="HM90" s="584">
        <f t="shared" ref="HM90:HP90" si="402">+HM39/HM10</f>
        <v>0</v>
      </c>
      <c r="HN90" s="584">
        <f t="shared" si="402"/>
        <v>0</v>
      </c>
      <c r="HO90" s="584">
        <f t="shared" si="402"/>
        <v>6.1124694376528121E-3</v>
      </c>
      <c r="HP90" s="584">
        <f t="shared" si="402"/>
        <v>2.3904382470119521E-2</v>
      </c>
      <c r="HQ90" s="584">
        <f t="shared" ref="HQ90:HS90" si="403">+HQ39/HQ10</f>
        <v>8.2474226804123713E-3</v>
      </c>
      <c r="HR90" s="584">
        <f t="shared" si="403"/>
        <v>1.6666666666666666E-2</v>
      </c>
      <c r="HS90" s="584">
        <f t="shared" si="403"/>
        <v>2.0856507230255839E-2</v>
      </c>
      <c r="HT90" s="584">
        <f t="shared" ref="HT90:HW90" si="404">+HT39/HT10</f>
        <v>0.12320432651681595</v>
      </c>
      <c r="HU90" s="584">
        <f t="shared" si="404"/>
        <v>0.16725618999494693</v>
      </c>
      <c r="HV90" s="584">
        <f t="shared" si="404"/>
        <v>0.13433185115843668</v>
      </c>
      <c r="HW90" s="584">
        <f t="shared" si="404"/>
        <v>3.0303030303030304E-2</v>
      </c>
      <c r="HX90" s="584">
        <f t="shared" ref="HX90:HZ90" si="405">+HX39/HX10</f>
        <v>2.2992700729927006E-2</v>
      </c>
      <c r="HY90" s="584">
        <f t="shared" si="405"/>
        <v>1.3768332834480694E-2</v>
      </c>
      <c r="HZ90" s="584">
        <f t="shared" si="405"/>
        <v>7.5448207171314743E-2</v>
      </c>
      <c r="IA90" s="584">
        <f t="shared" ref="IA90" si="406">+IA39/IA10</f>
        <v>9.2736531760922003E-2</v>
      </c>
      <c r="IB90" s="831">
        <f>+IB39/II10</f>
        <v>4.2825361512791989E-2</v>
      </c>
      <c r="IC90" s="585">
        <f>+IC39/IJ10</f>
        <v>7.4746231928637344E-2</v>
      </c>
      <c r="IV90" s="353">
        <v>9</v>
      </c>
      <c r="IW90" s="353" t="s">
        <v>138</v>
      </c>
      <c r="IX90" s="584">
        <f t="shared" ref="IX90:JE90" si="407">+IX39/IX10</f>
        <v>4.9423393739703456E-3</v>
      </c>
      <c r="IY90" s="584">
        <f t="shared" si="407"/>
        <v>6.4963187527067997E-3</v>
      </c>
      <c r="IZ90" s="584">
        <f t="shared" si="407"/>
        <v>2.3894862604540022E-3</v>
      </c>
      <c r="JA90" s="584">
        <f t="shared" si="407"/>
        <v>8.3916083916083916E-3</v>
      </c>
      <c r="JB90" s="584">
        <f t="shared" si="407"/>
        <v>5.7675244010647738E-3</v>
      </c>
      <c r="JC90" s="584">
        <f t="shared" si="407"/>
        <v>5.7232049947970867E-3</v>
      </c>
      <c r="JD90" s="584">
        <f t="shared" si="407"/>
        <v>5.6800252445566423E-3</v>
      </c>
      <c r="JE90" s="584">
        <f t="shared" si="407"/>
        <v>6.5671641791044772E-3</v>
      </c>
      <c r="JF90" s="584">
        <f t="shared" ref="JF90:JY90" si="408">+JF39/JF10</f>
        <v>5.3116147308781871E-3</v>
      </c>
      <c r="JG90" s="584">
        <f t="shared" si="408"/>
        <v>7.403020432336393E-3</v>
      </c>
      <c r="JH90" s="584">
        <f t="shared" si="408"/>
        <v>4.9303944315545242E-3</v>
      </c>
      <c r="JI90" s="584">
        <f t="shared" si="408"/>
        <v>5.3908355795148251E-3</v>
      </c>
      <c r="JJ90" s="584">
        <f t="shared" si="408"/>
        <v>6.2111801242236021E-3</v>
      </c>
      <c r="JK90" s="584">
        <f t="shared" si="408"/>
        <v>1.0917775503241215E-2</v>
      </c>
      <c r="JL90" s="584">
        <f t="shared" si="408"/>
        <v>4.6296296296296294E-3</v>
      </c>
      <c r="JM90" s="584">
        <f t="shared" si="408"/>
        <v>5.279831045406547E-3</v>
      </c>
      <c r="JN90" s="584">
        <f t="shared" si="408"/>
        <v>5.1139005113900512E-3</v>
      </c>
      <c r="JO90" s="584">
        <f t="shared" si="408"/>
        <v>1.0451045104510451E-2</v>
      </c>
      <c r="JP90" s="584">
        <f t="shared" si="408"/>
        <v>5.4200542005420054E-3</v>
      </c>
      <c r="JQ90" s="584">
        <f t="shared" si="408"/>
        <v>1.2318029115341545E-2</v>
      </c>
      <c r="JR90" s="584">
        <f t="shared" si="408"/>
        <v>1.1847463902258423E-2</v>
      </c>
      <c r="JS90" s="584">
        <f t="shared" si="408"/>
        <v>8.6145010768126345E-3</v>
      </c>
      <c r="JT90" s="584">
        <f t="shared" si="408"/>
        <v>3.8056206088992973E-3</v>
      </c>
      <c r="JU90" s="584">
        <f t="shared" si="408"/>
        <v>9.057971014492754E-3</v>
      </c>
      <c r="JV90" s="584">
        <f t="shared" si="408"/>
        <v>1.0178117048346057E-2</v>
      </c>
      <c r="JW90" s="584">
        <f t="shared" si="408"/>
        <v>4.1379310344827586E-2</v>
      </c>
      <c r="JX90" s="584">
        <f t="shared" si="408"/>
        <v>1.6809038302562689E-2</v>
      </c>
      <c r="JY90" s="584">
        <f t="shared" si="408"/>
        <v>6.1124694376528121E-3</v>
      </c>
      <c r="JZ90" s="584">
        <f t="shared" ref="JZ90:KC90" si="409">+JZ39/JZ10</f>
        <v>1.8260292164674636E-2</v>
      </c>
      <c r="KA90" s="584">
        <f t="shared" si="409"/>
        <v>2.4226804123711341E-2</v>
      </c>
      <c r="KB90" s="584">
        <f t="shared" si="409"/>
        <v>2.6143790849673201E-3</v>
      </c>
      <c r="KC90" s="584">
        <f t="shared" si="409"/>
        <v>5.0055617352614016E-3</v>
      </c>
      <c r="KD90" s="584">
        <f t="shared" ref="KD90:KE90" si="410">+KD39/KD10</f>
        <v>8.8389386513435864E-2</v>
      </c>
      <c r="KE90" s="584">
        <f t="shared" si="410"/>
        <v>7.9080343607882769E-2</v>
      </c>
      <c r="KF90" s="584">
        <f t="shared" ref="KF90:KL90" si="411">+KF39/KF10</f>
        <v>8.565410718464779E-2</v>
      </c>
      <c r="KG90" s="584">
        <f t="shared" si="411"/>
        <v>2.4549290372075181E-2</v>
      </c>
      <c r="KH90" s="584">
        <f t="shared" si="411"/>
        <v>1.3868613138686132E-2</v>
      </c>
      <c r="KI90" s="584">
        <f t="shared" si="411"/>
        <v>7.1834780005986228E-3</v>
      </c>
      <c r="KJ90" s="584">
        <f t="shared" si="411"/>
        <v>1.7181274900398405E-2</v>
      </c>
      <c r="KK90" s="584">
        <f t="shared" si="411"/>
        <v>2.1709997319753416E-2</v>
      </c>
      <c r="KL90" s="584">
        <f t="shared" si="411"/>
        <v>1.9443110897743639E-2</v>
      </c>
      <c r="KM90" s="584">
        <f t="shared" ref="KM90" si="412">+KM39/KM10</f>
        <v>2.0096852300242132E-2</v>
      </c>
      <c r="KN90" s="832">
        <f>+KN39/KS10</f>
        <v>2.4471635150166853E-2</v>
      </c>
      <c r="KO90" s="859">
        <f>+KO39/KT10</f>
        <v>3.9064903106736389E-2</v>
      </c>
    </row>
    <row r="91" spans="1:301" ht="20.399999999999999" thickBot="1">
      <c r="A91" s="985" t="s">
        <v>108</v>
      </c>
      <c r="B91" s="986"/>
      <c r="C91" s="986"/>
      <c r="D91" s="986"/>
      <c r="E91" s="986"/>
      <c r="F91" s="986"/>
      <c r="G91" s="987"/>
      <c r="H91" s="547">
        <v>52234878.296470001</v>
      </c>
      <c r="I91" s="547">
        <v>0</v>
      </c>
      <c r="J91" s="547">
        <v>53185639.295189999</v>
      </c>
      <c r="K91" s="549"/>
      <c r="L91" s="548">
        <v>1.8201650501000002E-2</v>
      </c>
      <c r="M91" s="547">
        <v>950760.99871999898</v>
      </c>
      <c r="N91" s="549"/>
      <c r="O91" s="550"/>
      <c r="Q91" s="984" t="s">
        <v>110</v>
      </c>
      <c r="R91" s="969"/>
      <c r="S91" s="969"/>
      <c r="T91" s="969"/>
      <c r="U91" s="969"/>
      <c r="V91" s="969"/>
      <c r="W91" s="970"/>
      <c r="X91" s="551">
        <v>39262118.428999998</v>
      </c>
      <c r="Y91" s="551">
        <v>0</v>
      </c>
      <c r="Z91" s="551">
        <v>44962230.403999999</v>
      </c>
      <c r="AA91" s="553"/>
      <c r="AB91" s="552">
        <v>0.14518095821300001</v>
      </c>
      <c r="AC91" s="551">
        <v>5700111.9749999996</v>
      </c>
      <c r="AD91" s="553"/>
      <c r="AE91" s="554"/>
      <c r="AG91" s="984" t="s">
        <v>106</v>
      </c>
      <c r="AH91" s="969"/>
      <c r="AI91" s="969"/>
      <c r="AJ91" s="969"/>
      <c r="AK91" s="969"/>
      <c r="AL91" s="969"/>
      <c r="AM91" s="970"/>
      <c r="AN91" s="551">
        <v>205970064.47299999</v>
      </c>
      <c r="AO91" s="551">
        <v>248279646.37689999</v>
      </c>
      <c r="AP91" s="551">
        <v>250652605.01251999</v>
      </c>
      <c r="AQ91" s="552">
        <v>9.5576043790000006E-3</v>
      </c>
      <c r="AR91" s="552">
        <v>0.21693706147899999</v>
      </c>
      <c r="AS91" s="551">
        <v>44682540.539520003</v>
      </c>
      <c r="AT91" s="553"/>
      <c r="AU91" s="554"/>
      <c r="AW91" s="984" t="s">
        <v>107</v>
      </c>
      <c r="AX91" s="969"/>
      <c r="AY91" s="969"/>
      <c r="AZ91" s="969"/>
      <c r="BA91" s="969"/>
      <c r="BB91" s="969"/>
      <c r="BC91" s="970"/>
      <c r="BD91" s="551">
        <v>4132737.0430000001</v>
      </c>
      <c r="BE91" s="551">
        <v>5362594.96</v>
      </c>
      <c r="BF91" s="551">
        <v>5096781.9270000001</v>
      </c>
      <c r="BG91" s="552">
        <v>-4.9567986203999999E-2</v>
      </c>
      <c r="BH91" s="552">
        <v>0.23327031794399999</v>
      </c>
      <c r="BI91" s="551">
        <v>964044.88399999996</v>
      </c>
      <c r="BJ91" s="553"/>
      <c r="BK91" s="554"/>
      <c r="BM91" s="984" t="s">
        <v>107</v>
      </c>
      <c r="BN91" s="969"/>
      <c r="BO91" s="969"/>
      <c r="BP91" s="969"/>
      <c r="BQ91" s="969"/>
      <c r="BR91" s="969"/>
      <c r="BS91" s="970"/>
      <c r="BT91" s="551">
        <v>2417378.9109999998</v>
      </c>
      <c r="BU91" s="551">
        <v>0</v>
      </c>
      <c r="BV91" s="551">
        <v>2732161.085</v>
      </c>
      <c r="BW91" s="553"/>
      <c r="BX91" s="552">
        <v>0.130216315103</v>
      </c>
      <c r="BY91" s="551">
        <v>314782.174</v>
      </c>
      <c r="BZ91" s="553"/>
      <c r="CA91" s="554"/>
      <c r="CC91" s="985" t="s">
        <v>108</v>
      </c>
      <c r="CD91" s="986"/>
      <c r="CE91" s="986"/>
      <c r="CF91" s="986"/>
      <c r="CG91" s="986"/>
      <c r="CH91" s="986"/>
      <c r="CI91" s="987"/>
      <c r="CJ91" s="547">
        <v>994823.56200999895</v>
      </c>
      <c r="CK91" s="547">
        <v>0</v>
      </c>
      <c r="CL91" s="547">
        <v>1204536.0295899999</v>
      </c>
      <c r="CM91" s="549"/>
      <c r="CN91" s="548">
        <v>0.21080367975600001</v>
      </c>
      <c r="CO91" s="547">
        <v>209712.46758</v>
      </c>
      <c r="CP91" s="549"/>
      <c r="CQ91" s="550"/>
      <c r="CS91" s="988" t="s">
        <v>111</v>
      </c>
      <c r="CT91" s="972"/>
      <c r="CU91" s="972"/>
      <c r="CV91" s="972"/>
      <c r="CW91" s="972"/>
      <c r="CX91" s="972"/>
      <c r="CY91" s="973"/>
      <c r="CZ91" s="573">
        <v>95149408.526999995</v>
      </c>
      <c r="DA91" s="573">
        <v>0</v>
      </c>
      <c r="DB91" s="573">
        <v>83196535.377849996</v>
      </c>
      <c r="DC91" s="571"/>
      <c r="DD91" s="574">
        <v>-0.12562214872499999</v>
      </c>
      <c r="DE91" s="573">
        <v>-11952873.149150001</v>
      </c>
      <c r="DF91" s="571"/>
      <c r="DG91" s="572"/>
      <c r="DI91" s="984" t="s">
        <v>106</v>
      </c>
      <c r="DJ91" s="969"/>
      <c r="DK91" s="969"/>
      <c r="DL91" s="969"/>
      <c r="DM91" s="969"/>
      <c r="DN91" s="969"/>
      <c r="DO91" s="970"/>
      <c r="DP91" s="551">
        <v>402116702.02853</v>
      </c>
      <c r="DQ91" s="551">
        <v>0</v>
      </c>
      <c r="DR91" s="551">
        <v>517110848.51978999</v>
      </c>
      <c r="DS91" s="553"/>
      <c r="DT91" s="552">
        <v>0.28597207206500003</v>
      </c>
      <c r="DU91" s="551">
        <v>114994146.49126001</v>
      </c>
      <c r="DV91" s="553"/>
      <c r="DW91" s="554"/>
      <c r="DY91" s="974" t="s">
        <v>112</v>
      </c>
      <c r="DZ91" s="923"/>
      <c r="EA91" s="923"/>
      <c r="EB91" s="923"/>
      <c r="EC91" s="923"/>
      <c r="ED91" s="923"/>
      <c r="EE91" s="923"/>
      <c r="EF91" s="923"/>
      <c r="EG91" s="923"/>
      <c r="EH91" s="923"/>
      <c r="EI91" s="923"/>
      <c r="EJ91" s="923"/>
      <c r="EK91" s="923"/>
      <c r="EL91" s="923"/>
      <c r="EM91" s="923"/>
      <c r="EO91" s="984" t="s">
        <v>107</v>
      </c>
      <c r="EP91" s="969"/>
      <c r="EQ91" s="969"/>
      <c r="ER91" s="969"/>
      <c r="ES91" s="969"/>
      <c r="ET91" s="969"/>
      <c r="EU91" s="970"/>
      <c r="EV91" s="551">
        <v>16127247.85</v>
      </c>
      <c r="EW91" s="551">
        <v>0</v>
      </c>
      <c r="EX91" s="551">
        <v>18829223.370000001</v>
      </c>
      <c r="EY91" s="553"/>
      <c r="EZ91" s="552">
        <v>0.167541017855</v>
      </c>
      <c r="FA91" s="551">
        <v>2701975.52</v>
      </c>
      <c r="FB91" s="553"/>
      <c r="FC91" s="554"/>
      <c r="FE91" s="984" t="s">
        <v>107</v>
      </c>
      <c r="FF91" s="969"/>
      <c r="FG91" s="969"/>
      <c r="FH91" s="969"/>
      <c r="FI91" s="969"/>
      <c r="FJ91" s="969"/>
      <c r="FK91" s="970"/>
      <c r="FL91" s="551">
        <v>3776306.1355699999</v>
      </c>
      <c r="FM91" s="551">
        <v>0</v>
      </c>
      <c r="FN91" s="551">
        <v>3200263.7389699998</v>
      </c>
      <c r="FO91" s="553"/>
      <c r="FP91" s="552">
        <v>-0.15254123366</v>
      </c>
      <c r="FQ91" s="551">
        <v>-576042.39659999998</v>
      </c>
      <c r="FR91" s="553"/>
      <c r="FS91" s="554"/>
      <c r="GL91" s="353">
        <v>10</v>
      </c>
      <c r="GM91" s="353" t="s">
        <v>132</v>
      </c>
      <c r="GN91" s="584">
        <f t="shared" ref="GN91:GS91" si="413">+GN35/GN6</f>
        <v>7.2332730560578659E-3</v>
      </c>
      <c r="GO91" s="584">
        <f t="shared" si="413"/>
        <v>4.560260586319218E-3</v>
      </c>
      <c r="GP91" s="584">
        <f t="shared" si="413"/>
        <v>1.6611295681063123E-3</v>
      </c>
      <c r="GQ91" s="584">
        <f t="shared" si="413"/>
        <v>2.0800832033281333E-3</v>
      </c>
      <c r="GR91" s="584">
        <f t="shared" si="413"/>
        <v>9.0473656200106434E-3</v>
      </c>
      <c r="GS91" s="584">
        <f t="shared" si="413"/>
        <v>2.618210238374365E-2</v>
      </c>
      <c r="GT91" s="584">
        <f t="shared" ref="GT91:HL91" si="414">+GT35/GT6</f>
        <v>9.1649694501018328E-3</v>
      </c>
      <c r="GU91" s="584">
        <f t="shared" si="414"/>
        <v>3.3994334277620396E-3</v>
      </c>
      <c r="GV91" s="584">
        <f t="shared" si="414"/>
        <v>9.9108027750247768E-4</v>
      </c>
      <c r="GW91" s="584">
        <f t="shared" si="414"/>
        <v>6.4644455494778713E-3</v>
      </c>
      <c r="GX91" s="584">
        <f t="shared" si="414"/>
        <v>2.0779220779220779E-3</v>
      </c>
      <c r="GY91" s="584">
        <f t="shared" si="414"/>
        <v>2.1067415730337078E-3</v>
      </c>
      <c r="GZ91" s="584">
        <f t="shared" si="414"/>
        <v>2.7056277056277055E-3</v>
      </c>
      <c r="HA91" s="584">
        <f t="shared" si="414"/>
        <v>1.7942583732057417E-3</v>
      </c>
      <c r="HB91" s="584">
        <f t="shared" si="414"/>
        <v>4.2301184433164127E-4</v>
      </c>
      <c r="HC91" s="584">
        <f t="shared" si="414"/>
        <v>3.0401034928848641E-2</v>
      </c>
      <c r="HD91" s="584">
        <f t="shared" si="414"/>
        <v>6.118143459915612E-2</v>
      </c>
      <c r="HE91" s="584">
        <f t="shared" si="414"/>
        <v>1.7634854771784232E-2</v>
      </c>
      <c r="HF91" s="584">
        <f t="shared" si="414"/>
        <v>3.6663611365719525E-3</v>
      </c>
      <c r="HG91" s="584">
        <f t="shared" si="414"/>
        <v>1.7763845350052248E-2</v>
      </c>
      <c r="HH91" s="584">
        <f t="shared" si="414"/>
        <v>0.17736486486486486</v>
      </c>
      <c r="HI91" s="584">
        <f t="shared" si="414"/>
        <v>1.4274385408406027E-2</v>
      </c>
      <c r="HJ91" s="584">
        <f t="shared" si="414"/>
        <v>1.5246636771300448E-2</v>
      </c>
      <c r="HK91" s="584">
        <f t="shared" si="414"/>
        <v>2.0247469066366704E-2</v>
      </c>
      <c r="HL91" s="584">
        <f t="shared" si="414"/>
        <v>8.3612040133779261E-3</v>
      </c>
      <c r="HM91" s="584">
        <f t="shared" ref="HM91:HP91" si="415">+HM35/HM6</f>
        <v>0</v>
      </c>
      <c r="HN91" s="584">
        <f t="shared" si="415"/>
        <v>0</v>
      </c>
      <c r="HO91" s="584">
        <f t="shared" si="415"/>
        <v>6.2305295950155766E-4</v>
      </c>
      <c r="HP91" s="584">
        <f t="shared" si="415"/>
        <v>9.943181818181818E-3</v>
      </c>
      <c r="HQ91" s="584">
        <f t="shared" ref="HQ91:HS91" si="416">+HQ35/HQ6</f>
        <v>3.7219485495347565E-2</v>
      </c>
      <c r="HR91" s="584">
        <f t="shared" si="416"/>
        <v>3.0379746835443037E-2</v>
      </c>
      <c r="HS91" s="584">
        <f t="shared" si="416"/>
        <v>4.6857772877618525E-2</v>
      </c>
      <c r="HT91" s="584">
        <f t="shared" ref="HT91:HW91" si="417">+HT35/HT6</f>
        <v>6.2639821029082776E-2</v>
      </c>
      <c r="HU91" s="584">
        <f t="shared" si="417"/>
        <v>7.6600209863588661E-2</v>
      </c>
      <c r="HV91" s="584">
        <f t="shared" si="417"/>
        <v>0.27813067150635207</v>
      </c>
      <c r="HW91" s="584">
        <f t="shared" si="417"/>
        <v>0.11514778325123153</v>
      </c>
      <c r="HX91" s="584">
        <f t="shared" ref="HX91" si="418">+HX35/HX6</f>
        <v>0.17282321899736147</v>
      </c>
      <c r="HY91" s="584">
        <f t="shared" ref="HY91:HZ91" si="419">+HY40/HY11</f>
        <v>1.8691588785046728E-2</v>
      </c>
      <c r="HZ91" s="584">
        <f t="shared" si="419"/>
        <v>1.5384615384615385E-2</v>
      </c>
      <c r="IA91" s="584">
        <f t="shared" ref="IA91" si="420">+IA40/IA11</f>
        <v>6.2111801242236021E-3</v>
      </c>
      <c r="IB91" s="831">
        <f>+IB35/II6</f>
        <v>5.5855855855855854E-2</v>
      </c>
      <c r="IC91" s="585">
        <f>+IC35/IJ6</f>
        <v>0.20638820638820637</v>
      </c>
      <c r="IV91" s="353">
        <v>10</v>
      </c>
      <c r="IW91" s="353" t="s">
        <v>132</v>
      </c>
      <c r="IX91" s="584">
        <f t="shared" ref="IX91:JE91" si="421">+IX35/IX6</f>
        <v>7.836045810729355E-3</v>
      </c>
      <c r="IY91" s="584">
        <f t="shared" si="421"/>
        <v>3.9087947882736158E-3</v>
      </c>
      <c r="IZ91" s="584">
        <f t="shared" si="421"/>
        <v>1.6611295681063123E-3</v>
      </c>
      <c r="JA91" s="584">
        <f t="shared" si="421"/>
        <v>1.5600624024960999E-3</v>
      </c>
      <c r="JB91" s="584">
        <f t="shared" si="421"/>
        <v>9.0473656200106434E-3</v>
      </c>
      <c r="JC91" s="584">
        <f t="shared" si="421"/>
        <v>2.5400547088706527E-2</v>
      </c>
      <c r="JD91" s="584">
        <f t="shared" si="421"/>
        <v>3.0549898167006109E-3</v>
      </c>
      <c r="JE91" s="584">
        <f t="shared" si="421"/>
        <v>2.2662889518413596E-3</v>
      </c>
      <c r="JF91" s="584">
        <f t="shared" ref="JF91:JY91" si="422">+JF35/JF6</f>
        <v>0</v>
      </c>
      <c r="JG91" s="584">
        <f t="shared" si="422"/>
        <v>5.9671805072103431E-3</v>
      </c>
      <c r="JH91" s="584">
        <f t="shared" si="422"/>
        <v>2.0779220779220779E-3</v>
      </c>
      <c r="JI91" s="584">
        <f t="shared" si="422"/>
        <v>2.1067415730337078E-3</v>
      </c>
      <c r="JJ91" s="584">
        <f t="shared" si="422"/>
        <v>2.7056277056277055E-3</v>
      </c>
      <c r="JK91" s="584">
        <f t="shared" si="422"/>
        <v>1.7942583732057417E-3</v>
      </c>
      <c r="JL91" s="584">
        <f t="shared" si="422"/>
        <v>1.6920473773265651E-3</v>
      </c>
      <c r="JM91" s="584">
        <f t="shared" si="422"/>
        <v>1.3583441138421734E-2</v>
      </c>
      <c r="JN91" s="584">
        <f t="shared" si="422"/>
        <v>0</v>
      </c>
      <c r="JO91" s="584">
        <f t="shared" si="422"/>
        <v>6.2240663900414933E-3</v>
      </c>
      <c r="JP91" s="584">
        <f t="shared" si="422"/>
        <v>9.1659028414298811E-4</v>
      </c>
      <c r="JQ91" s="584">
        <f t="shared" si="422"/>
        <v>2.0898641588296763E-3</v>
      </c>
      <c r="JR91" s="584">
        <f t="shared" si="422"/>
        <v>2.5337837837837839E-3</v>
      </c>
      <c r="JS91" s="584">
        <f t="shared" si="422"/>
        <v>5.5511498810467885E-3</v>
      </c>
      <c r="JT91" s="584">
        <f t="shared" si="422"/>
        <v>1.0762331838565023E-2</v>
      </c>
      <c r="JU91" s="584">
        <f t="shared" si="422"/>
        <v>1.1248593925759279E-2</v>
      </c>
      <c r="JV91" s="584">
        <f t="shared" si="422"/>
        <v>5.016722408026756E-3</v>
      </c>
      <c r="JW91" s="584">
        <f t="shared" si="422"/>
        <v>7.2347266881028936E-3</v>
      </c>
      <c r="JX91" s="584">
        <f t="shared" si="422"/>
        <v>4.4958253050738596E-3</v>
      </c>
      <c r="JY91" s="584">
        <f t="shared" si="422"/>
        <v>3.7383177570093459E-3</v>
      </c>
      <c r="JZ91" s="584">
        <f t="shared" ref="JZ91:KC91" si="423">+JZ35/JZ6</f>
        <v>1.4204545454545455E-3</v>
      </c>
      <c r="KA91" s="584">
        <f t="shared" si="423"/>
        <v>4.3787629994526548E-3</v>
      </c>
      <c r="KB91" s="584">
        <f t="shared" si="423"/>
        <v>1.2658227848101266E-2</v>
      </c>
      <c r="KC91" s="584">
        <f t="shared" si="423"/>
        <v>8.2690187431091518E-3</v>
      </c>
      <c r="KD91" s="584">
        <f t="shared" ref="KD91:KE91" si="424">+KD35/KD6</f>
        <v>1.3422818791946308E-2</v>
      </c>
      <c r="KE91" s="584">
        <f t="shared" si="424"/>
        <v>4.0923399790136414E-2</v>
      </c>
      <c r="KF91" s="584">
        <f t="shared" ref="KF91:KJ91" si="425">+KF35/KF6</f>
        <v>6.7150635208711437E-2</v>
      </c>
      <c r="KG91" s="584">
        <f t="shared" si="425"/>
        <v>5.0492610837438424E-2</v>
      </c>
      <c r="KH91" s="584">
        <f t="shared" si="425"/>
        <v>2.9023746701846966E-2</v>
      </c>
      <c r="KI91" s="584">
        <f t="shared" si="425"/>
        <v>2.3728813559322035E-2</v>
      </c>
      <c r="KJ91" s="584">
        <f t="shared" si="425"/>
        <v>3.9480800432666309E-2</v>
      </c>
      <c r="KK91" s="584">
        <f t="shared" ref="KK91:KL91" si="426">+KK40/KK11</f>
        <v>0</v>
      </c>
      <c r="KL91" s="584">
        <f t="shared" si="426"/>
        <v>5.681818181818182E-3</v>
      </c>
      <c r="KM91" s="584">
        <f t="shared" ref="KM91" si="427">+KM40/KM11</f>
        <v>9.1743119266055051E-3</v>
      </c>
      <c r="KN91" s="832">
        <f>+KN35/KS6</f>
        <v>1.9819819819819819E-2</v>
      </c>
      <c r="KO91" s="859">
        <f>+KO35/KT6</f>
        <v>2.5184275184275184E-2</v>
      </c>
    </row>
    <row r="92" spans="1:301" ht="20.399999999999999" thickBot="1">
      <c r="A92" s="984" t="s">
        <v>109</v>
      </c>
      <c r="B92" s="969"/>
      <c r="C92" s="969"/>
      <c r="D92" s="969"/>
      <c r="E92" s="969"/>
      <c r="F92" s="969"/>
      <c r="G92" s="970"/>
      <c r="H92" s="551">
        <v>19781730.486469999</v>
      </c>
      <c r="I92" s="551">
        <v>0</v>
      </c>
      <c r="J92" s="551">
        <v>19229461.276190002</v>
      </c>
      <c r="K92" s="553"/>
      <c r="L92" s="552">
        <v>-2.7918144504E-2</v>
      </c>
      <c r="M92" s="551">
        <v>-552269.21028</v>
      </c>
      <c r="N92" s="553"/>
      <c r="O92" s="554"/>
      <c r="Q92" s="988" t="s">
        <v>111</v>
      </c>
      <c r="R92" s="972"/>
      <c r="S92" s="972"/>
      <c r="T92" s="972"/>
      <c r="U92" s="972"/>
      <c r="V92" s="972"/>
      <c r="W92" s="973"/>
      <c r="X92" s="573">
        <v>30219356.657000002</v>
      </c>
      <c r="Y92" s="573">
        <v>0</v>
      </c>
      <c r="Z92" s="573">
        <v>33563542.906000003</v>
      </c>
      <c r="AA92" s="571"/>
      <c r="AB92" s="574">
        <v>0.110663714219</v>
      </c>
      <c r="AC92" s="573">
        <v>3344186.2489999998</v>
      </c>
      <c r="AD92" s="571"/>
      <c r="AE92" s="572"/>
      <c r="AG92" s="984" t="s">
        <v>107</v>
      </c>
      <c r="AH92" s="969"/>
      <c r="AI92" s="969"/>
      <c r="AJ92" s="969"/>
      <c r="AK92" s="969"/>
      <c r="AL92" s="969"/>
      <c r="AM92" s="970"/>
      <c r="AN92" s="551">
        <v>32827995.120000001</v>
      </c>
      <c r="AO92" s="551">
        <v>42984471.765000001</v>
      </c>
      <c r="AP92" s="551">
        <v>43906780.964000002</v>
      </c>
      <c r="AQ92" s="552">
        <v>2.1456799655999999E-2</v>
      </c>
      <c r="AR92" s="552">
        <v>0.33747981877900002</v>
      </c>
      <c r="AS92" s="551">
        <v>11078785.844000001</v>
      </c>
      <c r="AT92" s="553"/>
      <c r="AU92" s="554"/>
      <c r="AW92" s="985" t="s">
        <v>108</v>
      </c>
      <c r="AX92" s="986"/>
      <c r="AY92" s="986"/>
      <c r="AZ92" s="986"/>
      <c r="BA92" s="986"/>
      <c r="BB92" s="986"/>
      <c r="BC92" s="987"/>
      <c r="BD92" s="547">
        <v>258234869.16249999</v>
      </c>
      <c r="BE92" s="547">
        <v>299807046.23003</v>
      </c>
      <c r="BF92" s="547">
        <v>302499392.59709001</v>
      </c>
      <c r="BG92" s="548">
        <v>8.9802638089999994E-3</v>
      </c>
      <c r="BH92" s="548">
        <v>0.171411876243</v>
      </c>
      <c r="BI92" s="547">
        <v>44264523.4345899</v>
      </c>
      <c r="BJ92" s="549"/>
      <c r="BK92" s="550"/>
      <c r="BM92" s="985" t="s">
        <v>108</v>
      </c>
      <c r="BN92" s="986"/>
      <c r="BO92" s="986"/>
      <c r="BP92" s="986"/>
      <c r="BQ92" s="986"/>
      <c r="BR92" s="986"/>
      <c r="BS92" s="987"/>
      <c r="BT92" s="547">
        <v>36894315.381580003</v>
      </c>
      <c r="BU92" s="547">
        <v>0</v>
      </c>
      <c r="BV92" s="547">
        <v>42361206.692359999</v>
      </c>
      <c r="BW92" s="549"/>
      <c r="BX92" s="548">
        <v>0.14817706343699999</v>
      </c>
      <c r="BY92" s="547">
        <v>5466891.3107799999</v>
      </c>
      <c r="BZ92" s="549"/>
      <c r="CA92" s="550"/>
      <c r="CC92" s="984" t="s">
        <v>109</v>
      </c>
      <c r="CD92" s="969"/>
      <c r="CE92" s="969"/>
      <c r="CF92" s="969"/>
      <c r="CG92" s="969"/>
      <c r="CH92" s="969"/>
      <c r="CI92" s="970"/>
      <c r="CJ92" s="551">
        <v>386695.72057</v>
      </c>
      <c r="CK92" s="551">
        <v>0</v>
      </c>
      <c r="CL92" s="551">
        <v>492356.02474000002</v>
      </c>
      <c r="CM92" s="553"/>
      <c r="CN92" s="552">
        <v>0.27323887632900001</v>
      </c>
      <c r="CO92" s="551">
        <v>105660.30417</v>
      </c>
      <c r="CP92" s="553"/>
      <c r="CQ92" s="554"/>
      <c r="CS92" s="974" t="s">
        <v>112</v>
      </c>
      <c r="CT92" s="923"/>
      <c r="CU92" s="923"/>
      <c r="CV92" s="923"/>
      <c r="CW92" s="923"/>
      <c r="CX92" s="923"/>
      <c r="CY92" s="923"/>
      <c r="CZ92" s="923"/>
      <c r="DA92" s="923"/>
      <c r="DB92" s="923"/>
      <c r="DC92" s="923"/>
      <c r="DD92" s="923"/>
      <c r="DE92" s="923"/>
      <c r="DF92" s="923"/>
      <c r="DG92" s="923"/>
      <c r="DI92" s="984" t="s">
        <v>107</v>
      </c>
      <c r="DJ92" s="969"/>
      <c r="DK92" s="969"/>
      <c r="DL92" s="969"/>
      <c r="DM92" s="969"/>
      <c r="DN92" s="969"/>
      <c r="DO92" s="970"/>
      <c r="DP92" s="551">
        <v>10610359.17279</v>
      </c>
      <c r="DQ92" s="551">
        <v>0</v>
      </c>
      <c r="DR92" s="551">
        <v>12864184.41956</v>
      </c>
      <c r="DS92" s="553"/>
      <c r="DT92" s="552">
        <v>0.21241743187600001</v>
      </c>
      <c r="DU92" s="551">
        <v>2253825.2467700001</v>
      </c>
      <c r="DV92" s="553"/>
      <c r="DW92" s="554"/>
      <c r="DY92" s="975" t="s">
        <v>113</v>
      </c>
      <c r="DZ92" s="976"/>
      <c r="EA92" s="976"/>
      <c r="EB92" s="976"/>
      <c r="EC92" s="976"/>
      <c r="ED92" s="976"/>
      <c r="EE92" s="976"/>
      <c r="EF92" s="976"/>
      <c r="EG92" s="976"/>
      <c r="EH92" s="976"/>
      <c r="EI92" s="976"/>
      <c r="EJ92" s="976"/>
      <c r="EO92" s="985" t="s">
        <v>108</v>
      </c>
      <c r="EP92" s="986"/>
      <c r="EQ92" s="986"/>
      <c r="ER92" s="986"/>
      <c r="ES92" s="986"/>
      <c r="ET92" s="986"/>
      <c r="EU92" s="987"/>
      <c r="EV92" s="547">
        <v>367985610.30096</v>
      </c>
      <c r="EW92" s="547">
        <v>0</v>
      </c>
      <c r="EX92" s="547">
        <v>431186398.73582</v>
      </c>
      <c r="EY92" s="549"/>
      <c r="EZ92" s="548">
        <v>0.171747988686</v>
      </c>
      <c r="FA92" s="547">
        <v>63200788.434859999</v>
      </c>
      <c r="FB92" s="549"/>
      <c r="FC92" s="550"/>
      <c r="FE92" s="985" t="s">
        <v>108</v>
      </c>
      <c r="FF92" s="986"/>
      <c r="FG92" s="986"/>
      <c r="FH92" s="986"/>
      <c r="FI92" s="986"/>
      <c r="FJ92" s="986"/>
      <c r="FK92" s="987"/>
      <c r="FL92" s="547">
        <v>33476697.165539999</v>
      </c>
      <c r="FM92" s="547">
        <v>0</v>
      </c>
      <c r="FN92" s="547">
        <v>40398012.7795</v>
      </c>
      <c r="FO92" s="549"/>
      <c r="FP92" s="548">
        <v>0.20675025316000001</v>
      </c>
      <c r="FQ92" s="547">
        <v>6921315.61396001</v>
      </c>
      <c r="FR92" s="549"/>
      <c r="FS92" s="550"/>
      <c r="GL92" s="353">
        <v>11</v>
      </c>
      <c r="GM92" s="353" t="s">
        <v>140</v>
      </c>
      <c r="GN92" s="584">
        <f t="shared" ref="GN92:HL92" si="428">+GN42/GN13</f>
        <v>8.6206896551724137E-3</v>
      </c>
      <c r="GO92" s="584">
        <f t="shared" si="428"/>
        <v>8.6956521739130436E-3</v>
      </c>
      <c r="GP92" s="584">
        <f t="shared" si="428"/>
        <v>1.9830028328611898E-2</v>
      </c>
      <c r="GQ92" s="584">
        <f t="shared" si="428"/>
        <v>9.5541401273885346E-3</v>
      </c>
      <c r="GR92" s="584">
        <f t="shared" si="428"/>
        <v>5.208333333333333E-3</v>
      </c>
      <c r="GS92" s="584">
        <f t="shared" si="428"/>
        <v>6.5359477124183009E-3</v>
      </c>
      <c r="GT92" s="584">
        <f t="shared" si="428"/>
        <v>1.0582010582010581E-2</v>
      </c>
      <c r="GU92" s="584">
        <f t="shared" si="428"/>
        <v>1.3698630136986301E-2</v>
      </c>
      <c r="GV92" s="584">
        <f t="shared" si="428"/>
        <v>7.2886297376093293E-4</v>
      </c>
      <c r="GW92" s="584">
        <f t="shared" si="428"/>
        <v>0</v>
      </c>
      <c r="GX92" s="584">
        <f t="shared" si="428"/>
        <v>1.364256480218281E-3</v>
      </c>
      <c r="GY92" s="584">
        <f t="shared" si="428"/>
        <v>0</v>
      </c>
      <c r="GZ92" s="584">
        <f t="shared" si="428"/>
        <v>0</v>
      </c>
      <c r="HA92" s="584">
        <f t="shared" si="428"/>
        <v>0</v>
      </c>
      <c r="HB92" s="584">
        <f t="shared" si="428"/>
        <v>0</v>
      </c>
      <c r="HC92" s="584">
        <f t="shared" si="428"/>
        <v>0</v>
      </c>
      <c r="HD92" s="584">
        <f t="shared" si="428"/>
        <v>0</v>
      </c>
      <c r="HE92" s="584">
        <f t="shared" si="428"/>
        <v>2.3640661938534278E-3</v>
      </c>
      <c r="HF92" s="584">
        <f t="shared" si="428"/>
        <v>0</v>
      </c>
      <c r="HG92" s="584">
        <f t="shared" si="428"/>
        <v>0</v>
      </c>
      <c r="HH92" s="584">
        <f t="shared" si="428"/>
        <v>0</v>
      </c>
      <c r="HI92" s="584">
        <f t="shared" si="428"/>
        <v>0</v>
      </c>
      <c r="HJ92" s="584">
        <f t="shared" si="428"/>
        <v>0</v>
      </c>
      <c r="HK92" s="584">
        <f t="shared" si="428"/>
        <v>7.575757575757576E-3</v>
      </c>
      <c r="HL92" s="584">
        <f t="shared" si="428"/>
        <v>1.976284584980237E-3</v>
      </c>
      <c r="HM92" s="584">
        <f t="shared" ref="HM92:HP92" si="429">+HM42/HM13</f>
        <v>0</v>
      </c>
      <c r="HN92" s="584">
        <f t="shared" si="429"/>
        <v>0</v>
      </c>
      <c r="HO92" s="584">
        <f t="shared" si="429"/>
        <v>0</v>
      </c>
      <c r="HP92" s="584">
        <f t="shared" si="429"/>
        <v>8.0645161290322578E-3</v>
      </c>
      <c r="HQ92" s="584">
        <f t="shared" ref="HQ92:HS92" si="430">+HQ42/HQ13</f>
        <v>0</v>
      </c>
      <c r="HR92" s="584">
        <f t="shared" si="430"/>
        <v>0</v>
      </c>
      <c r="HS92" s="584">
        <f t="shared" si="430"/>
        <v>0</v>
      </c>
      <c r="HT92" s="584">
        <f t="shared" ref="HT92:HW92" si="431">+HT42/HT13</f>
        <v>0</v>
      </c>
      <c r="HU92" s="584">
        <f t="shared" si="431"/>
        <v>0</v>
      </c>
      <c r="HV92" s="584">
        <f t="shared" si="431"/>
        <v>0</v>
      </c>
      <c r="HW92" s="584">
        <f t="shared" si="431"/>
        <v>0</v>
      </c>
      <c r="HX92" s="584">
        <f t="shared" ref="HX92" si="432">+HX42/HX13</f>
        <v>0</v>
      </c>
      <c r="HY92" s="584">
        <f t="shared" ref="HY92:HZ92" si="433">+HY41/HY12</f>
        <v>6.492637215528782E-2</v>
      </c>
      <c r="HZ92" s="584">
        <f t="shared" si="433"/>
        <v>2.8644501278772379E-2</v>
      </c>
      <c r="IA92" s="584">
        <f t="shared" ref="IA92:IB92" si="434">+IA41/IA12</f>
        <v>0.12631578947368421</v>
      </c>
      <c r="IB92" s="831">
        <f t="shared" si="434"/>
        <v>0.11403508771929824</v>
      </c>
      <c r="IC92" s="585">
        <f t="shared" ref="IC92" si="435">+IC41/IC12</f>
        <v>0.19481680071492405</v>
      </c>
      <c r="IV92" s="353">
        <v>11</v>
      </c>
      <c r="IW92" s="353" t="s">
        <v>140</v>
      </c>
      <c r="IX92" s="584">
        <f t="shared" ref="IX92:JY92" si="436">+IX42/IX13</f>
        <v>0</v>
      </c>
      <c r="IY92" s="584">
        <f t="shared" si="436"/>
        <v>8.6956521739130436E-3</v>
      </c>
      <c r="IZ92" s="584">
        <f t="shared" si="436"/>
        <v>2.8328611898016999E-3</v>
      </c>
      <c r="JA92" s="584">
        <f t="shared" si="436"/>
        <v>3.1847133757961785E-3</v>
      </c>
      <c r="JB92" s="584">
        <f t="shared" si="436"/>
        <v>5.208333333333333E-3</v>
      </c>
      <c r="JC92" s="584">
        <f t="shared" si="436"/>
        <v>6.5359477124183009E-3</v>
      </c>
      <c r="JD92" s="584">
        <f t="shared" si="436"/>
        <v>5.2910052910052907E-3</v>
      </c>
      <c r="JE92" s="584">
        <f t="shared" si="436"/>
        <v>1.3698630136986301E-2</v>
      </c>
      <c r="JF92" s="584">
        <f t="shared" si="436"/>
        <v>7.2886297376093293E-4</v>
      </c>
      <c r="JG92" s="584">
        <f t="shared" si="436"/>
        <v>0</v>
      </c>
      <c r="JH92" s="584">
        <f t="shared" si="436"/>
        <v>1.364256480218281E-3</v>
      </c>
      <c r="JI92" s="584">
        <f t="shared" si="436"/>
        <v>0</v>
      </c>
      <c r="JJ92" s="584">
        <f t="shared" si="436"/>
        <v>0</v>
      </c>
      <c r="JK92" s="584">
        <f t="shared" si="436"/>
        <v>0</v>
      </c>
      <c r="JL92" s="584">
        <f t="shared" si="436"/>
        <v>0</v>
      </c>
      <c r="JM92" s="584">
        <f t="shared" si="436"/>
        <v>0</v>
      </c>
      <c r="JN92" s="584">
        <f t="shared" si="436"/>
        <v>0</v>
      </c>
      <c r="JO92" s="584">
        <f t="shared" si="436"/>
        <v>0</v>
      </c>
      <c r="JP92" s="584">
        <f t="shared" si="436"/>
        <v>0</v>
      </c>
      <c r="JQ92" s="584">
        <f t="shared" si="436"/>
        <v>0</v>
      </c>
      <c r="JR92" s="584">
        <f t="shared" si="436"/>
        <v>0</v>
      </c>
      <c r="JS92" s="584">
        <f t="shared" si="436"/>
        <v>0</v>
      </c>
      <c r="JT92" s="584">
        <f t="shared" si="436"/>
        <v>0</v>
      </c>
      <c r="JU92" s="584">
        <f t="shared" si="436"/>
        <v>0</v>
      </c>
      <c r="JV92" s="584">
        <f t="shared" si="436"/>
        <v>0</v>
      </c>
      <c r="JW92" s="584">
        <f t="shared" si="436"/>
        <v>0</v>
      </c>
      <c r="JX92" s="584">
        <f t="shared" si="436"/>
        <v>0</v>
      </c>
      <c r="JY92" s="584">
        <f t="shared" si="436"/>
        <v>0</v>
      </c>
      <c r="JZ92" s="584">
        <f t="shared" ref="JZ92:KC92" si="437">+JZ42/JZ13</f>
        <v>8.0645161290322578E-3</v>
      </c>
      <c r="KA92" s="584">
        <f t="shared" si="437"/>
        <v>0</v>
      </c>
      <c r="KB92" s="584">
        <f t="shared" si="437"/>
        <v>0</v>
      </c>
      <c r="KC92" s="584">
        <f t="shared" si="437"/>
        <v>0</v>
      </c>
      <c r="KD92" s="584">
        <f t="shared" ref="KD92:KE92" si="438">+KD42/KD13</f>
        <v>0</v>
      </c>
      <c r="KE92" s="584">
        <f t="shared" si="438"/>
        <v>0</v>
      </c>
      <c r="KF92" s="584">
        <f t="shared" ref="KF92:KJ92" si="439">+KF42/KF13</f>
        <v>0</v>
      </c>
      <c r="KG92" s="584">
        <f t="shared" si="439"/>
        <v>0</v>
      </c>
      <c r="KH92" s="584">
        <f t="shared" si="439"/>
        <v>0</v>
      </c>
      <c r="KI92" s="584">
        <f t="shared" si="439"/>
        <v>0</v>
      </c>
      <c r="KJ92" s="584">
        <f t="shared" si="439"/>
        <v>0</v>
      </c>
      <c r="KK92" s="584">
        <f t="shared" ref="KK92:KL92" si="440">+KK41/KK12</f>
        <v>2.4291497975708503E-3</v>
      </c>
      <c r="KL92" s="584">
        <f t="shared" si="440"/>
        <v>4.3859649122807015E-3</v>
      </c>
      <c r="KM92" s="584">
        <f t="shared" ref="KM92" si="441">+KM41/KM12</f>
        <v>3.038427167113494E-2</v>
      </c>
      <c r="KN92" s="832">
        <f>+KN42/KS13</f>
        <v>0</v>
      </c>
      <c r="KO92" s="859">
        <f>+KO42/KT13</f>
        <v>1.3908205841446453E-3</v>
      </c>
    </row>
    <row r="93" spans="1:301" ht="20.399999999999999" thickBot="1">
      <c r="A93" s="984" t="s">
        <v>110</v>
      </c>
      <c r="B93" s="969"/>
      <c r="C93" s="969"/>
      <c r="D93" s="969"/>
      <c r="E93" s="969"/>
      <c r="F93" s="969"/>
      <c r="G93" s="970"/>
      <c r="H93" s="551">
        <v>15852508.987</v>
      </c>
      <c r="I93" s="551">
        <v>0</v>
      </c>
      <c r="J93" s="551">
        <v>15995175.453</v>
      </c>
      <c r="K93" s="553"/>
      <c r="L93" s="552">
        <v>8.9996142640000002E-3</v>
      </c>
      <c r="M93" s="551">
        <v>142666.466000004</v>
      </c>
      <c r="N93" s="553"/>
      <c r="O93" s="554"/>
      <c r="Q93" s="974" t="s">
        <v>112</v>
      </c>
      <c r="R93" s="923"/>
      <c r="S93" s="923"/>
      <c r="T93" s="923"/>
      <c r="U93" s="923"/>
      <c r="V93" s="923"/>
      <c r="W93" s="923"/>
      <c r="X93" s="923"/>
      <c r="Y93" s="923"/>
      <c r="Z93" s="923"/>
      <c r="AA93" s="923"/>
      <c r="AB93" s="923"/>
      <c r="AC93" s="923"/>
      <c r="AD93" s="923"/>
      <c r="AE93" s="923"/>
      <c r="AG93" s="985" t="s">
        <v>108</v>
      </c>
      <c r="AH93" s="986"/>
      <c r="AI93" s="986"/>
      <c r="AJ93" s="986"/>
      <c r="AK93" s="986"/>
      <c r="AL93" s="986"/>
      <c r="AM93" s="987"/>
      <c r="AN93" s="547">
        <v>629042541.82493997</v>
      </c>
      <c r="AO93" s="547">
        <v>831023971.77241004</v>
      </c>
      <c r="AP93" s="547">
        <v>854181511.84564102</v>
      </c>
      <c r="AQ93" s="548">
        <v>2.7866272043999999E-2</v>
      </c>
      <c r="AR93" s="548">
        <v>0.35790738312699999</v>
      </c>
      <c r="AS93" s="547">
        <v>225138970.02070001</v>
      </c>
      <c r="AT93" s="549"/>
      <c r="AU93" s="550"/>
      <c r="AW93" s="984" t="s">
        <v>109</v>
      </c>
      <c r="AX93" s="969"/>
      <c r="AY93" s="969"/>
      <c r="AZ93" s="969"/>
      <c r="BA93" s="969"/>
      <c r="BB93" s="969"/>
      <c r="BC93" s="970"/>
      <c r="BD93" s="551">
        <v>86481441.774499997</v>
      </c>
      <c r="BE93" s="551">
        <v>105061427.96803001</v>
      </c>
      <c r="BF93" s="551">
        <v>106034719.45209</v>
      </c>
      <c r="BG93" s="552">
        <v>9.2640229900000006E-3</v>
      </c>
      <c r="BH93" s="552">
        <v>0.22609796132400001</v>
      </c>
      <c r="BI93" s="551">
        <v>19553277.677590001</v>
      </c>
      <c r="BJ93" s="553"/>
      <c r="BK93" s="554"/>
      <c r="BM93" s="984" t="s">
        <v>109</v>
      </c>
      <c r="BN93" s="969"/>
      <c r="BO93" s="969"/>
      <c r="BP93" s="969"/>
      <c r="BQ93" s="969"/>
      <c r="BR93" s="969"/>
      <c r="BS93" s="970"/>
      <c r="BT93" s="551">
        <v>21187523.250580002</v>
      </c>
      <c r="BU93" s="551">
        <v>0</v>
      </c>
      <c r="BV93" s="551">
        <v>24656428.138360001</v>
      </c>
      <c r="BW93" s="553"/>
      <c r="BX93" s="552">
        <v>0.16372394483</v>
      </c>
      <c r="BY93" s="551">
        <v>3468904.88778</v>
      </c>
      <c r="BZ93" s="553"/>
      <c r="CA93" s="554"/>
      <c r="CC93" s="984" t="s">
        <v>110</v>
      </c>
      <c r="CD93" s="969"/>
      <c r="CE93" s="969"/>
      <c r="CF93" s="969"/>
      <c r="CG93" s="969"/>
      <c r="CH93" s="969"/>
      <c r="CI93" s="970"/>
      <c r="CJ93" s="551">
        <v>315657.38046000001</v>
      </c>
      <c r="CK93" s="551">
        <v>0</v>
      </c>
      <c r="CL93" s="551">
        <v>383753.38520000002</v>
      </c>
      <c r="CM93" s="553"/>
      <c r="CN93" s="552">
        <v>0.21572758615900001</v>
      </c>
      <c r="CO93" s="551">
        <v>68096.004740000004</v>
      </c>
      <c r="CP93" s="553"/>
      <c r="CQ93" s="554"/>
      <c r="CS93" s="975" t="s">
        <v>113</v>
      </c>
      <c r="CT93" s="976"/>
      <c r="CU93" s="976"/>
      <c r="CV93" s="976"/>
      <c r="CW93" s="976"/>
      <c r="CX93" s="976"/>
      <c r="CY93" s="976"/>
      <c r="CZ93" s="976"/>
      <c r="DA93" s="976"/>
      <c r="DB93" s="976"/>
      <c r="DC93" s="976"/>
      <c r="DD93" s="976"/>
      <c r="DI93" s="985" t="s">
        <v>108</v>
      </c>
      <c r="DJ93" s="986"/>
      <c r="DK93" s="986"/>
      <c r="DL93" s="986"/>
      <c r="DM93" s="986"/>
      <c r="DN93" s="986"/>
      <c r="DO93" s="987"/>
      <c r="DP93" s="547">
        <v>645650462.57633996</v>
      </c>
      <c r="DQ93" s="547">
        <v>0</v>
      </c>
      <c r="DR93" s="547">
        <v>701219305.21396995</v>
      </c>
      <c r="DS93" s="549"/>
      <c r="DT93" s="548">
        <v>8.6066449044000001E-2</v>
      </c>
      <c r="DU93" s="547">
        <v>55568842.637629896</v>
      </c>
      <c r="DV93" s="549"/>
      <c r="DW93" s="550"/>
      <c r="DY93" s="544"/>
      <c r="DZ93" s="545"/>
      <c r="EA93" s="545"/>
      <c r="EB93" s="545"/>
      <c r="EC93" s="545"/>
      <c r="ED93" s="545"/>
      <c r="EE93" s="546"/>
      <c r="EF93" s="593" t="s">
        <v>78</v>
      </c>
      <c r="EG93" s="593" t="s">
        <v>161</v>
      </c>
      <c r="EH93" s="593" t="s">
        <v>162</v>
      </c>
      <c r="EI93" s="593" t="s">
        <v>79</v>
      </c>
      <c r="EJ93" s="593" t="s">
        <v>80</v>
      </c>
      <c r="EO93" s="984" t="s">
        <v>109</v>
      </c>
      <c r="EP93" s="969"/>
      <c r="EQ93" s="969"/>
      <c r="ER93" s="969"/>
      <c r="ES93" s="969"/>
      <c r="ET93" s="969"/>
      <c r="EU93" s="970"/>
      <c r="EV93" s="551">
        <v>168185390.18895999</v>
      </c>
      <c r="EW93" s="551">
        <v>0</v>
      </c>
      <c r="EX93" s="551">
        <v>172816885.84691</v>
      </c>
      <c r="EY93" s="553"/>
      <c r="EZ93" s="552">
        <v>2.7538037950999999E-2</v>
      </c>
      <c r="FA93" s="551">
        <v>4631495.6579499999</v>
      </c>
      <c r="FB93" s="553"/>
      <c r="FC93" s="554"/>
      <c r="FE93" s="984" t="s">
        <v>109</v>
      </c>
      <c r="FF93" s="969"/>
      <c r="FG93" s="969"/>
      <c r="FH93" s="969"/>
      <c r="FI93" s="969"/>
      <c r="FJ93" s="969"/>
      <c r="FK93" s="970"/>
      <c r="FL93" s="551">
        <v>21227817.294539999</v>
      </c>
      <c r="FM93" s="551">
        <v>0</v>
      </c>
      <c r="FN93" s="551">
        <v>26854165.6373</v>
      </c>
      <c r="FO93" s="553"/>
      <c r="FP93" s="552">
        <v>0.26504601319499999</v>
      </c>
      <c r="FQ93" s="551">
        <v>5626348.3427600004</v>
      </c>
      <c r="FR93" s="553"/>
      <c r="FS93" s="554"/>
      <c r="GM93" s="353" t="s">
        <v>135</v>
      </c>
      <c r="GN93" s="584">
        <f t="shared" ref="GN93:GS93" si="442">+GN36/GN7</f>
        <v>3.875968992248062E-3</v>
      </c>
      <c r="GO93" s="584">
        <f t="shared" si="442"/>
        <v>4.3103448275862068E-3</v>
      </c>
      <c r="GP93" s="584">
        <f t="shared" si="442"/>
        <v>6.6006600660066007E-3</v>
      </c>
      <c r="GQ93" s="584">
        <f t="shared" si="442"/>
        <v>0</v>
      </c>
      <c r="GR93" s="584">
        <f t="shared" si="442"/>
        <v>9.7087378640776691E-3</v>
      </c>
      <c r="GS93" s="584">
        <f t="shared" si="442"/>
        <v>9.5923261390887284E-3</v>
      </c>
      <c r="GT93" s="584">
        <f t="shared" ref="GT93:HL93" si="443">+GT36/GT7</f>
        <v>5.4446460980036296E-3</v>
      </c>
      <c r="GU93" s="584">
        <f t="shared" si="443"/>
        <v>1.0115606936416185E-2</v>
      </c>
      <c r="GV93" s="584">
        <f t="shared" si="443"/>
        <v>0.10381679389312977</v>
      </c>
      <c r="GW93" s="584">
        <f t="shared" si="443"/>
        <v>3.2258064516129032E-3</v>
      </c>
      <c r="GX93" s="584">
        <f t="shared" si="443"/>
        <v>2.004008016032064E-3</v>
      </c>
      <c r="GY93" s="584">
        <f t="shared" si="443"/>
        <v>0</v>
      </c>
      <c r="GZ93" s="584">
        <f t="shared" si="443"/>
        <v>1.7699115044247787E-3</v>
      </c>
      <c r="HA93" s="584">
        <f t="shared" si="443"/>
        <v>1.1286681715575621E-2</v>
      </c>
      <c r="HB93" s="584">
        <f t="shared" si="443"/>
        <v>5.8252427184466021E-2</v>
      </c>
      <c r="HC93" s="584">
        <f t="shared" si="443"/>
        <v>0</v>
      </c>
      <c r="HD93" s="584">
        <f t="shared" si="443"/>
        <v>0</v>
      </c>
      <c r="HE93" s="584">
        <f t="shared" si="443"/>
        <v>2.1834061135371178E-2</v>
      </c>
      <c r="HF93" s="584">
        <f t="shared" si="443"/>
        <v>5.7306590257879654E-3</v>
      </c>
      <c r="HG93" s="584">
        <f t="shared" si="443"/>
        <v>5.4495912806539508E-3</v>
      </c>
      <c r="HH93" s="584">
        <f t="shared" si="443"/>
        <v>6.0483870967741937E-2</v>
      </c>
      <c r="HI93" s="584">
        <f t="shared" si="443"/>
        <v>2.4793388429752067E-2</v>
      </c>
      <c r="HJ93" s="584">
        <f t="shared" si="443"/>
        <v>1.5503875968992248E-2</v>
      </c>
      <c r="HK93" s="584">
        <f t="shared" si="443"/>
        <v>8.4337349397590355E-2</v>
      </c>
      <c r="HL93" s="584">
        <f t="shared" si="443"/>
        <v>8.356545961002786E-3</v>
      </c>
      <c r="HM93" s="584">
        <f t="shared" ref="HM93:HP93" si="444">+HM36/HM7</f>
        <v>0</v>
      </c>
      <c r="HN93" s="584">
        <f t="shared" si="444"/>
        <v>0</v>
      </c>
      <c r="HO93" s="584">
        <f t="shared" si="444"/>
        <v>2.6809651474530832E-3</v>
      </c>
      <c r="HP93" s="584">
        <f t="shared" si="444"/>
        <v>1.0610079575596816E-2</v>
      </c>
      <c r="HQ93" s="584">
        <f t="shared" ref="HQ93:HS93" si="445">+HQ36/HQ7</f>
        <v>2.232142857142857E-3</v>
      </c>
      <c r="HR93" s="584">
        <f t="shared" si="445"/>
        <v>1.9417475728155339E-3</v>
      </c>
      <c r="HS93" s="584">
        <f t="shared" si="445"/>
        <v>1.2931034482758621E-2</v>
      </c>
      <c r="HT93" s="584">
        <f t="shared" ref="HT93:HW93" si="446">+HT36/HT7</f>
        <v>1.9522776572668113E-2</v>
      </c>
      <c r="HU93" s="584">
        <f t="shared" si="446"/>
        <v>1.7751479289940829E-2</v>
      </c>
      <c r="HV93" s="584">
        <f t="shared" si="446"/>
        <v>2.386634844868735E-2</v>
      </c>
      <c r="HW93" s="584">
        <f t="shared" si="446"/>
        <v>1.0610079575596816E-2</v>
      </c>
      <c r="HX93" s="584">
        <f t="shared" ref="HX93" si="447">+HX36/HX7</f>
        <v>1.4018691588785047E-2</v>
      </c>
      <c r="HY93" s="584">
        <f t="shared" ref="HY93:HZ93" si="448">+HY42/HY13</f>
        <v>0</v>
      </c>
      <c r="HZ93" s="584">
        <f t="shared" si="448"/>
        <v>0</v>
      </c>
      <c r="IA93" s="584">
        <f t="shared" ref="IA93" si="449">+IA42/IA13</f>
        <v>0</v>
      </c>
      <c r="IB93" s="831">
        <f>+IB36/II7</f>
        <v>3.1413612565445025E-2</v>
      </c>
      <c r="IC93" s="585">
        <f>+IC36/IJ7</f>
        <v>3.3970276008492568E-2</v>
      </c>
      <c r="IW93" s="353" t="s">
        <v>135</v>
      </c>
      <c r="IX93" s="584">
        <f t="shared" ref="IX93:JE93" si="450">+IX36/IX7</f>
        <v>0</v>
      </c>
      <c r="IY93" s="584">
        <f t="shared" si="450"/>
        <v>4.3103448275862068E-3</v>
      </c>
      <c r="IZ93" s="584">
        <f t="shared" si="450"/>
        <v>6.6006600660066007E-3</v>
      </c>
      <c r="JA93" s="584">
        <f t="shared" si="450"/>
        <v>0</v>
      </c>
      <c r="JB93" s="584">
        <f t="shared" si="450"/>
        <v>7.2815533980582527E-3</v>
      </c>
      <c r="JC93" s="584">
        <f t="shared" si="450"/>
        <v>0</v>
      </c>
      <c r="JD93" s="584">
        <f t="shared" si="450"/>
        <v>1.8148820326678765E-3</v>
      </c>
      <c r="JE93" s="584">
        <f t="shared" si="450"/>
        <v>1.4450867052023121E-3</v>
      </c>
      <c r="JF93" s="584">
        <f t="shared" ref="JF93:JY93" si="451">+JF36/JF7</f>
        <v>1.5267175572519084E-3</v>
      </c>
      <c r="JG93" s="584">
        <f t="shared" si="451"/>
        <v>1.6129032258064516E-3</v>
      </c>
      <c r="JH93" s="584">
        <f t="shared" si="451"/>
        <v>0</v>
      </c>
      <c r="JI93" s="584">
        <f t="shared" si="451"/>
        <v>0</v>
      </c>
      <c r="JJ93" s="584">
        <f t="shared" si="451"/>
        <v>1.7699115044247787E-3</v>
      </c>
      <c r="JK93" s="584">
        <f t="shared" si="451"/>
        <v>0</v>
      </c>
      <c r="JL93" s="584">
        <f t="shared" si="451"/>
        <v>0</v>
      </c>
      <c r="JM93" s="584">
        <f t="shared" si="451"/>
        <v>0</v>
      </c>
      <c r="JN93" s="584">
        <f t="shared" si="451"/>
        <v>0</v>
      </c>
      <c r="JO93" s="584">
        <f t="shared" si="451"/>
        <v>0</v>
      </c>
      <c r="JP93" s="584">
        <f t="shared" si="451"/>
        <v>5.7306590257879654E-3</v>
      </c>
      <c r="JQ93" s="584">
        <f t="shared" si="451"/>
        <v>5.4495912806539508E-3</v>
      </c>
      <c r="JR93" s="584">
        <f t="shared" si="451"/>
        <v>4.0322580645161289E-2</v>
      </c>
      <c r="JS93" s="584">
        <f t="shared" si="451"/>
        <v>1.1019283746556474E-2</v>
      </c>
      <c r="JT93" s="584">
        <f t="shared" si="451"/>
        <v>0</v>
      </c>
      <c r="JU93" s="584">
        <f t="shared" si="451"/>
        <v>0</v>
      </c>
      <c r="JV93" s="584">
        <f t="shared" si="451"/>
        <v>2.7855153203342618E-3</v>
      </c>
      <c r="JW93" s="584">
        <f t="shared" si="451"/>
        <v>4.9751243781094526E-3</v>
      </c>
      <c r="JX93" s="584">
        <f t="shared" si="451"/>
        <v>2.3148148148148147E-3</v>
      </c>
      <c r="JY93" s="584">
        <f t="shared" si="451"/>
        <v>2.6809651474530832E-3</v>
      </c>
      <c r="JZ93" s="584">
        <f t="shared" ref="JZ93:KC93" si="452">+JZ36/JZ7</f>
        <v>5.3050397877984082E-3</v>
      </c>
      <c r="KA93" s="584">
        <f t="shared" si="452"/>
        <v>2.232142857142857E-3</v>
      </c>
      <c r="KB93" s="584">
        <f t="shared" si="452"/>
        <v>0</v>
      </c>
      <c r="KC93" s="584">
        <f t="shared" si="452"/>
        <v>1.0775862068965518E-2</v>
      </c>
      <c r="KD93" s="584">
        <f t="shared" ref="KD93:KE93" si="453">+KD36/KD7</f>
        <v>0</v>
      </c>
      <c r="KE93" s="584">
        <f t="shared" si="453"/>
        <v>1.4792899408284023E-2</v>
      </c>
      <c r="KF93" s="584">
        <f t="shared" ref="KF93:KJ93" si="454">+KF36/KF7</f>
        <v>1.1933174224343675E-2</v>
      </c>
      <c r="KG93" s="584">
        <f t="shared" si="454"/>
        <v>7.9575596816976128E-3</v>
      </c>
      <c r="KH93" s="584">
        <f t="shared" si="454"/>
        <v>7.0093457943925233E-3</v>
      </c>
      <c r="KI93" s="584">
        <f t="shared" si="454"/>
        <v>9.2592592592592587E-3</v>
      </c>
      <c r="KJ93" s="584">
        <f t="shared" si="454"/>
        <v>5.3285968028419185E-3</v>
      </c>
      <c r="KK93" s="584">
        <f t="shared" ref="KK93:KL93" si="455">+KK42/KK13</f>
        <v>0</v>
      </c>
      <c r="KL93" s="584">
        <f t="shared" si="455"/>
        <v>0</v>
      </c>
      <c r="KM93" s="584">
        <f t="shared" ref="KM93" si="456">+KM42/KM13</f>
        <v>0</v>
      </c>
      <c r="KN93" s="832">
        <f>+KN36/KS7</f>
        <v>7.8534031413612562E-3</v>
      </c>
      <c r="KO93" s="859">
        <f>+KO36/KT7</f>
        <v>1.0615711252653927E-2</v>
      </c>
    </row>
    <row r="94" spans="1:301" ht="15.6" thickBot="1">
      <c r="A94" s="988" t="s">
        <v>111</v>
      </c>
      <c r="B94" s="972"/>
      <c r="C94" s="972"/>
      <c r="D94" s="972"/>
      <c r="E94" s="972"/>
      <c r="F94" s="972"/>
      <c r="G94" s="973"/>
      <c r="H94" s="573">
        <v>16600638.823000001</v>
      </c>
      <c r="I94" s="573">
        <v>0</v>
      </c>
      <c r="J94" s="573">
        <v>17961002.566</v>
      </c>
      <c r="K94" s="571"/>
      <c r="L94" s="574">
        <v>8.1946469499999994E-2</v>
      </c>
      <c r="M94" s="573">
        <v>1360363.743</v>
      </c>
      <c r="N94" s="571"/>
      <c r="O94" s="572"/>
      <c r="Q94" s="975" t="s">
        <v>113</v>
      </c>
      <c r="R94" s="976"/>
      <c r="S94" s="976"/>
      <c r="T94" s="976"/>
      <c r="U94" s="976"/>
      <c r="V94" s="976"/>
      <c r="W94" s="976"/>
      <c r="X94" s="976"/>
      <c r="Y94" s="976"/>
      <c r="Z94" s="976"/>
      <c r="AA94" s="976"/>
      <c r="AB94" s="976"/>
      <c r="AG94" s="984" t="s">
        <v>109</v>
      </c>
      <c r="AH94" s="969"/>
      <c r="AI94" s="969"/>
      <c r="AJ94" s="969"/>
      <c r="AK94" s="969"/>
      <c r="AL94" s="969"/>
      <c r="AM94" s="970"/>
      <c r="AN94" s="551">
        <v>183036141.60494</v>
      </c>
      <c r="AO94" s="551">
        <v>203748764.96840999</v>
      </c>
      <c r="AP94" s="551">
        <v>210775504.70964</v>
      </c>
      <c r="AQ94" s="552">
        <v>3.4487275259E-2</v>
      </c>
      <c r="AR94" s="552">
        <v>0.15155128851300001</v>
      </c>
      <c r="AS94" s="551">
        <v>27739363.104699999</v>
      </c>
      <c r="AT94" s="553"/>
      <c r="AU94" s="554"/>
      <c r="AW94" s="984" t="s">
        <v>110</v>
      </c>
      <c r="AX94" s="969"/>
      <c r="AY94" s="969"/>
      <c r="AZ94" s="969"/>
      <c r="BA94" s="969"/>
      <c r="BB94" s="969"/>
      <c r="BC94" s="970"/>
      <c r="BD94" s="551">
        <v>134362124.92899999</v>
      </c>
      <c r="BE94" s="551">
        <v>143143096.17199999</v>
      </c>
      <c r="BF94" s="551">
        <v>144837287.25799999</v>
      </c>
      <c r="BG94" s="552">
        <v>1.1835646505E-2</v>
      </c>
      <c r="BH94" s="552">
        <v>7.7962166306000003E-2</v>
      </c>
      <c r="BI94" s="551">
        <v>10475162.329</v>
      </c>
      <c r="BJ94" s="553"/>
      <c r="BK94" s="554"/>
      <c r="BM94" s="984" t="s">
        <v>110</v>
      </c>
      <c r="BN94" s="969"/>
      <c r="BO94" s="969"/>
      <c r="BP94" s="969"/>
      <c r="BQ94" s="969"/>
      <c r="BR94" s="969"/>
      <c r="BS94" s="970"/>
      <c r="BT94" s="551">
        <v>10524446.412</v>
      </c>
      <c r="BU94" s="551">
        <v>0</v>
      </c>
      <c r="BV94" s="551">
        <v>13295528.554</v>
      </c>
      <c r="BW94" s="553"/>
      <c r="BX94" s="552">
        <v>0.26329956308500002</v>
      </c>
      <c r="BY94" s="551">
        <v>2771082.142</v>
      </c>
      <c r="BZ94" s="553"/>
      <c r="CA94" s="554"/>
      <c r="CC94" s="988" t="s">
        <v>111</v>
      </c>
      <c r="CD94" s="972"/>
      <c r="CE94" s="972"/>
      <c r="CF94" s="972"/>
      <c r="CG94" s="972"/>
      <c r="CH94" s="972"/>
      <c r="CI94" s="973"/>
      <c r="CJ94" s="573">
        <v>292470.46097999997</v>
      </c>
      <c r="CK94" s="573">
        <v>0</v>
      </c>
      <c r="CL94" s="573">
        <v>328426.61965000001</v>
      </c>
      <c r="CM94" s="571"/>
      <c r="CN94" s="574">
        <v>0.12293945361</v>
      </c>
      <c r="CO94" s="573">
        <v>35956.158669999997</v>
      </c>
      <c r="CP94" s="571"/>
      <c r="CQ94" s="572"/>
      <c r="CS94" s="544"/>
      <c r="CT94" s="545"/>
      <c r="CU94" s="545"/>
      <c r="CV94" s="545"/>
      <c r="CW94" s="545"/>
      <c r="CX94" s="545"/>
      <c r="CY94" s="546"/>
      <c r="CZ94" s="593" t="s">
        <v>78</v>
      </c>
      <c r="DA94" s="593" t="s">
        <v>161</v>
      </c>
      <c r="DB94" s="593" t="s">
        <v>162</v>
      </c>
      <c r="DC94" s="593" t="s">
        <v>79</v>
      </c>
      <c r="DD94" s="593" t="s">
        <v>80</v>
      </c>
      <c r="DI94" s="984" t="s">
        <v>109</v>
      </c>
      <c r="DJ94" s="969"/>
      <c r="DK94" s="969"/>
      <c r="DL94" s="969"/>
      <c r="DM94" s="969"/>
      <c r="DN94" s="969"/>
      <c r="DO94" s="970"/>
      <c r="DP94" s="551">
        <v>313245392.22814</v>
      </c>
      <c r="DQ94" s="551">
        <v>0</v>
      </c>
      <c r="DR94" s="551">
        <v>343909822.60927999</v>
      </c>
      <c r="DS94" s="553"/>
      <c r="DT94" s="552">
        <v>9.7892678206000006E-2</v>
      </c>
      <c r="DU94" s="551">
        <v>30664430.381140001</v>
      </c>
      <c r="DV94" s="553"/>
      <c r="DW94" s="554"/>
      <c r="DY94" s="977" t="s">
        <v>114</v>
      </c>
      <c r="DZ94" s="978"/>
      <c r="EA94" s="978"/>
      <c r="EB94" s="978"/>
      <c r="EC94" s="978"/>
      <c r="ED94" s="978"/>
      <c r="EE94" s="979"/>
      <c r="EF94" s="576">
        <v>0.76220683033799996</v>
      </c>
      <c r="EG94" s="576">
        <v>0.75348152991100004</v>
      </c>
      <c r="EH94" s="576">
        <v>0.75367227958100003</v>
      </c>
      <c r="EI94" s="576">
        <v>2.5315772499999998E-4</v>
      </c>
      <c r="EJ94" s="577">
        <v>-1.1197158589E-2</v>
      </c>
      <c r="EO94" s="984" t="s">
        <v>110</v>
      </c>
      <c r="EP94" s="969"/>
      <c r="EQ94" s="969"/>
      <c r="ER94" s="969"/>
      <c r="ES94" s="969"/>
      <c r="ET94" s="969"/>
      <c r="EU94" s="970"/>
      <c r="EV94" s="551">
        <v>134144709.38699999</v>
      </c>
      <c r="EW94" s="551">
        <v>0</v>
      </c>
      <c r="EX94" s="551">
        <v>138949443.956</v>
      </c>
      <c r="EY94" s="553"/>
      <c r="EZ94" s="552">
        <v>3.5817548010999997E-2</v>
      </c>
      <c r="FA94" s="551">
        <v>4804734.5690000001</v>
      </c>
      <c r="FB94" s="553"/>
      <c r="FC94" s="554"/>
      <c r="FE94" s="984" t="s">
        <v>110</v>
      </c>
      <c r="FF94" s="969"/>
      <c r="FG94" s="969"/>
      <c r="FH94" s="969"/>
      <c r="FI94" s="969"/>
      <c r="FJ94" s="969"/>
      <c r="FK94" s="970"/>
      <c r="FL94" s="551">
        <v>8901158.8709999993</v>
      </c>
      <c r="FM94" s="551">
        <v>0</v>
      </c>
      <c r="FN94" s="551">
        <v>10141062.0612</v>
      </c>
      <c r="FO94" s="553"/>
      <c r="FP94" s="552">
        <v>0.13929682731900001</v>
      </c>
      <c r="FQ94" s="551">
        <v>1239903.1902000001</v>
      </c>
      <c r="FR94" s="553"/>
      <c r="FS94" s="554"/>
      <c r="HW94" s="713"/>
      <c r="HX94" s="742"/>
      <c r="KJ94" s="742"/>
    </row>
    <row r="95" spans="1:301" ht="20.399999999999999" thickBot="1">
      <c r="A95" s="974" t="s">
        <v>112</v>
      </c>
      <c r="B95" s="923"/>
      <c r="C95" s="923"/>
      <c r="D95" s="923"/>
      <c r="E95" s="923"/>
      <c r="F95" s="923"/>
      <c r="G95" s="923"/>
      <c r="H95" s="923"/>
      <c r="I95" s="923"/>
      <c r="J95" s="923"/>
      <c r="K95" s="923"/>
      <c r="L95" s="923"/>
      <c r="M95" s="923"/>
      <c r="N95" s="923"/>
      <c r="O95" s="923"/>
      <c r="Q95" s="544"/>
      <c r="R95" s="545"/>
      <c r="S95" s="545"/>
      <c r="T95" s="545"/>
      <c r="U95" s="545"/>
      <c r="V95" s="545"/>
      <c r="W95" s="546"/>
      <c r="X95" s="593" t="s">
        <v>78</v>
      </c>
      <c r="Y95" s="593" t="s">
        <v>161</v>
      </c>
      <c r="Z95" s="593" t="s">
        <v>162</v>
      </c>
      <c r="AA95" s="593" t="s">
        <v>79</v>
      </c>
      <c r="AB95" s="593" t="s">
        <v>80</v>
      </c>
      <c r="AG95" s="984" t="s">
        <v>110</v>
      </c>
      <c r="AH95" s="969"/>
      <c r="AI95" s="969"/>
      <c r="AJ95" s="969"/>
      <c r="AK95" s="969"/>
      <c r="AL95" s="969"/>
      <c r="AM95" s="970"/>
      <c r="AN95" s="551">
        <v>331276761.88999999</v>
      </c>
      <c r="AO95" s="551">
        <v>349901480.13</v>
      </c>
      <c r="AP95" s="551">
        <v>365614719.06400001</v>
      </c>
      <c r="AQ95" s="552">
        <v>4.4907609215999997E-2</v>
      </c>
      <c r="AR95" s="552">
        <v>0.103653383286</v>
      </c>
      <c r="AS95" s="551">
        <v>34337957.174000002</v>
      </c>
      <c r="AT95" s="553"/>
      <c r="AU95" s="554"/>
      <c r="AW95" s="988" t="s">
        <v>111</v>
      </c>
      <c r="AX95" s="972"/>
      <c r="AY95" s="972"/>
      <c r="AZ95" s="972"/>
      <c r="BA95" s="972"/>
      <c r="BB95" s="972"/>
      <c r="BC95" s="973"/>
      <c r="BD95" s="573">
        <v>37391302.458999999</v>
      </c>
      <c r="BE95" s="573">
        <v>51602522.090000004</v>
      </c>
      <c r="BF95" s="573">
        <v>51627385.887000002</v>
      </c>
      <c r="BG95" s="574">
        <v>4.8183298E-4</v>
      </c>
      <c r="BH95" s="574">
        <v>0.38073248300399998</v>
      </c>
      <c r="BI95" s="573">
        <v>14236083.427999999</v>
      </c>
      <c r="BJ95" s="571"/>
      <c r="BK95" s="572"/>
      <c r="BM95" s="988" t="s">
        <v>111</v>
      </c>
      <c r="BN95" s="972"/>
      <c r="BO95" s="972"/>
      <c r="BP95" s="972"/>
      <c r="BQ95" s="972"/>
      <c r="BR95" s="972"/>
      <c r="BS95" s="973"/>
      <c r="BT95" s="573">
        <v>5182345.7189999996</v>
      </c>
      <c r="BU95" s="573">
        <v>0</v>
      </c>
      <c r="BV95" s="573">
        <v>4409250</v>
      </c>
      <c r="BW95" s="571"/>
      <c r="BX95" s="574">
        <v>-0.149178723481</v>
      </c>
      <c r="BY95" s="573">
        <v>-773095.71900000004</v>
      </c>
      <c r="BZ95" s="571"/>
      <c r="CA95" s="572"/>
      <c r="CC95" s="974" t="s">
        <v>112</v>
      </c>
      <c r="CD95" s="923"/>
      <c r="CE95" s="923"/>
      <c r="CF95" s="923"/>
      <c r="CG95" s="923"/>
      <c r="CH95" s="923"/>
      <c r="CI95" s="923"/>
      <c r="CJ95" s="923"/>
      <c r="CK95" s="923"/>
      <c r="CL95" s="923"/>
      <c r="CM95" s="923"/>
      <c r="CN95" s="923"/>
      <c r="CO95" s="923"/>
      <c r="CP95" s="923"/>
      <c r="CQ95" s="923"/>
      <c r="CS95" s="977" t="s">
        <v>114</v>
      </c>
      <c r="CT95" s="978"/>
      <c r="CU95" s="978"/>
      <c r="CV95" s="978"/>
      <c r="CW95" s="978"/>
      <c r="CX95" s="978"/>
      <c r="CY95" s="979"/>
      <c r="CZ95" s="576">
        <v>0.71058449633800003</v>
      </c>
      <c r="DA95" s="576">
        <v>0.68341820201799997</v>
      </c>
      <c r="DB95" s="576">
        <v>0.70606240315199997</v>
      </c>
      <c r="DC95" s="576">
        <v>3.3133740171000001E-2</v>
      </c>
      <c r="DD95" s="577">
        <v>-6.3639063449999998E-3</v>
      </c>
      <c r="DI95" s="984" t="s">
        <v>110</v>
      </c>
      <c r="DJ95" s="969"/>
      <c r="DK95" s="969"/>
      <c r="DL95" s="969"/>
      <c r="DM95" s="969"/>
      <c r="DN95" s="969"/>
      <c r="DO95" s="970"/>
      <c r="DP95" s="551">
        <v>183871596.14480001</v>
      </c>
      <c r="DQ95" s="551">
        <v>0</v>
      </c>
      <c r="DR95" s="551">
        <v>198962092.25279999</v>
      </c>
      <c r="DS95" s="553"/>
      <c r="DT95" s="552">
        <v>8.2070838696000001E-2</v>
      </c>
      <c r="DU95" s="551">
        <v>15090496.107999999</v>
      </c>
      <c r="DV95" s="553"/>
      <c r="DW95" s="554"/>
      <c r="DY95" s="968" t="s">
        <v>115</v>
      </c>
      <c r="DZ95" s="969"/>
      <c r="EA95" s="969"/>
      <c r="EB95" s="969"/>
      <c r="EC95" s="969"/>
      <c r="ED95" s="969"/>
      <c r="EE95" s="970"/>
      <c r="EF95" s="576">
        <v>0.12372985490799999</v>
      </c>
      <c r="EG95" s="576">
        <v>0.123394435494</v>
      </c>
      <c r="EH95" s="576">
        <v>0.12056148329499999</v>
      </c>
      <c r="EI95" s="576">
        <v>-2.2958508522000001E-2</v>
      </c>
      <c r="EJ95" s="577">
        <v>-2.5607171485999999E-2</v>
      </c>
      <c r="EO95" s="988" t="s">
        <v>111</v>
      </c>
      <c r="EP95" s="972"/>
      <c r="EQ95" s="972"/>
      <c r="ER95" s="972"/>
      <c r="ES95" s="972"/>
      <c r="ET95" s="972"/>
      <c r="EU95" s="973"/>
      <c r="EV95" s="573">
        <v>65655510.725000001</v>
      </c>
      <c r="EW95" s="573">
        <v>0</v>
      </c>
      <c r="EX95" s="573">
        <v>119420068.93291</v>
      </c>
      <c r="EY95" s="571"/>
      <c r="EZ95" s="574">
        <v>0.81888873628699999</v>
      </c>
      <c r="FA95" s="573">
        <v>53764558.207910001</v>
      </c>
      <c r="FB95" s="571"/>
      <c r="FC95" s="572"/>
      <c r="FE95" s="988" t="s">
        <v>111</v>
      </c>
      <c r="FF95" s="972"/>
      <c r="FG95" s="972"/>
      <c r="FH95" s="972"/>
      <c r="FI95" s="972"/>
      <c r="FJ95" s="972"/>
      <c r="FK95" s="973"/>
      <c r="FL95" s="573">
        <v>3347721</v>
      </c>
      <c r="FM95" s="573">
        <v>0</v>
      </c>
      <c r="FN95" s="573">
        <v>3402785.0809999998</v>
      </c>
      <c r="FO95" s="571"/>
      <c r="FP95" s="574">
        <v>1.6448228809000001E-2</v>
      </c>
      <c r="FQ95" s="573">
        <v>55064.0810000001</v>
      </c>
      <c r="FR95" s="571"/>
      <c r="FS95" s="572"/>
      <c r="GL95" s="967" t="s">
        <v>171</v>
      </c>
      <c r="GM95" s="967"/>
      <c r="GN95" s="967"/>
      <c r="GO95" s="967"/>
      <c r="GP95" s="967"/>
      <c r="GQ95" s="967"/>
      <c r="GR95" s="967"/>
      <c r="GS95" s="967"/>
      <c r="HW95" s="713"/>
      <c r="HX95" s="742"/>
      <c r="IV95" s="967" t="s">
        <v>177</v>
      </c>
      <c r="IW95" s="967"/>
      <c r="IX95" s="967"/>
      <c r="IY95" s="967"/>
      <c r="IZ95" s="967"/>
      <c r="JA95" s="967"/>
      <c r="JB95" s="967"/>
      <c r="JC95" s="967"/>
      <c r="JD95" s="967"/>
      <c r="JE95" s="967"/>
      <c r="JF95" s="967"/>
      <c r="JG95" s="967"/>
      <c r="KJ95" s="742"/>
    </row>
    <row r="96" spans="1:301" ht="20.399999999999999" thickBot="1">
      <c r="A96" s="975" t="s">
        <v>113</v>
      </c>
      <c r="B96" s="976"/>
      <c r="C96" s="976"/>
      <c r="D96" s="976"/>
      <c r="E96" s="976"/>
      <c r="F96" s="976"/>
      <c r="G96" s="976"/>
      <c r="H96" s="976"/>
      <c r="I96" s="976"/>
      <c r="J96" s="976"/>
      <c r="K96" s="976"/>
      <c r="L96" s="976"/>
      <c r="Q96" s="977" t="s">
        <v>114</v>
      </c>
      <c r="R96" s="978"/>
      <c r="S96" s="978"/>
      <c r="T96" s="978"/>
      <c r="U96" s="978"/>
      <c r="V96" s="978"/>
      <c r="W96" s="979"/>
      <c r="X96" s="576">
        <v>0.65665028102199996</v>
      </c>
      <c r="Y96" s="576">
        <v>0.67098720798400002</v>
      </c>
      <c r="Z96" s="576">
        <v>0.71099253745500002</v>
      </c>
      <c r="AA96" s="576">
        <v>5.9621597840999997E-2</v>
      </c>
      <c r="AB96" s="577">
        <v>8.2756770236000005E-2</v>
      </c>
      <c r="AG96" s="988" t="s">
        <v>111</v>
      </c>
      <c r="AH96" s="972"/>
      <c r="AI96" s="972"/>
      <c r="AJ96" s="972"/>
      <c r="AK96" s="972"/>
      <c r="AL96" s="972"/>
      <c r="AM96" s="973"/>
      <c r="AN96" s="573">
        <v>114729638.33</v>
      </c>
      <c r="AO96" s="573">
        <v>277373726.67400002</v>
      </c>
      <c r="AP96" s="573">
        <v>277791288.07200003</v>
      </c>
      <c r="AQ96" s="574">
        <v>1.5054107789999999E-3</v>
      </c>
      <c r="AR96" s="574">
        <v>1.421268750738</v>
      </c>
      <c r="AS96" s="573">
        <v>163061649.74200001</v>
      </c>
      <c r="AT96" s="571"/>
      <c r="AU96" s="572"/>
      <c r="AW96" s="974" t="s">
        <v>112</v>
      </c>
      <c r="AX96" s="923"/>
      <c r="AY96" s="923"/>
      <c r="AZ96" s="923"/>
      <c r="BA96" s="923"/>
      <c r="BB96" s="923"/>
      <c r="BC96" s="923"/>
      <c r="BD96" s="923"/>
      <c r="BE96" s="923"/>
      <c r="BF96" s="923"/>
      <c r="BG96" s="923"/>
      <c r="BH96" s="923"/>
      <c r="BI96" s="923"/>
      <c r="BJ96" s="923"/>
      <c r="BK96" s="923"/>
      <c r="BM96" s="974" t="s">
        <v>112</v>
      </c>
      <c r="BN96" s="923"/>
      <c r="BO96" s="923"/>
      <c r="BP96" s="923"/>
      <c r="BQ96" s="923"/>
      <c r="BR96" s="923"/>
      <c r="BS96" s="923"/>
      <c r="BT96" s="923"/>
      <c r="BU96" s="923"/>
      <c r="BV96" s="923"/>
      <c r="BW96" s="923"/>
      <c r="BX96" s="923"/>
      <c r="BY96" s="923"/>
      <c r="BZ96" s="923"/>
      <c r="CA96" s="923"/>
      <c r="CC96" s="975" t="s">
        <v>113</v>
      </c>
      <c r="CD96" s="976"/>
      <c r="CE96" s="976"/>
      <c r="CF96" s="976"/>
      <c r="CG96" s="976"/>
      <c r="CH96" s="976"/>
      <c r="CI96" s="976"/>
      <c r="CJ96" s="976"/>
      <c r="CK96" s="976"/>
      <c r="CL96" s="976"/>
      <c r="CM96" s="976"/>
      <c r="CN96" s="976"/>
      <c r="CS96" s="968" t="s">
        <v>115</v>
      </c>
      <c r="CT96" s="969"/>
      <c r="CU96" s="969"/>
      <c r="CV96" s="969"/>
      <c r="CW96" s="969"/>
      <c r="CX96" s="969"/>
      <c r="CY96" s="970"/>
      <c r="CZ96" s="576">
        <v>9.5852124753000006E-2</v>
      </c>
      <c r="DA96" s="576">
        <v>0.11515556297600001</v>
      </c>
      <c r="DB96" s="576">
        <v>0.11539957223400001</v>
      </c>
      <c r="DC96" s="576">
        <v>2.118953277E-3</v>
      </c>
      <c r="DD96" s="577">
        <v>0.20393337685900001</v>
      </c>
      <c r="DI96" s="988" t="s">
        <v>111</v>
      </c>
      <c r="DJ96" s="972"/>
      <c r="DK96" s="972"/>
      <c r="DL96" s="972"/>
      <c r="DM96" s="972"/>
      <c r="DN96" s="972"/>
      <c r="DO96" s="973"/>
      <c r="DP96" s="573">
        <v>148533474.20339999</v>
      </c>
      <c r="DQ96" s="573">
        <v>0</v>
      </c>
      <c r="DR96" s="573">
        <v>158347390.35189</v>
      </c>
      <c r="DS96" s="571"/>
      <c r="DT96" s="574">
        <v>6.6072083758E-2</v>
      </c>
      <c r="DU96" s="573">
        <v>9813916.1484900005</v>
      </c>
      <c r="DV96" s="571"/>
      <c r="DW96" s="572"/>
      <c r="DY96" s="968" t="s">
        <v>116</v>
      </c>
      <c r="DZ96" s="969"/>
      <c r="EA96" s="969"/>
      <c r="EB96" s="969"/>
      <c r="EC96" s="969"/>
      <c r="ED96" s="969"/>
      <c r="EE96" s="970"/>
      <c r="EF96" s="578">
        <v>3.3368122722560001</v>
      </c>
      <c r="EG96" s="578">
        <v>4.7750010846449999</v>
      </c>
      <c r="EH96" s="578">
        <v>4.7968885047530003</v>
      </c>
      <c r="EI96" s="576">
        <v>4.5837518599999997E-3</v>
      </c>
      <c r="EJ96" s="577">
        <v>0.43756618993399998</v>
      </c>
      <c r="EO96" s="974" t="s">
        <v>112</v>
      </c>
      <c r="EP96" s="923"/>
      <c r="EQ96" s="923"/>
      <c r="ER96" s="923"/>
      <c r="ES96" s="923"/>
      <c r="ET96" s="923"/>
      <c r="EU96" s="923"/>
      <c r="EV96" s="923"/>
      <c r="EW96" s="923"/>
      <c r="EX96" s="923"/>
      <c r="EY96" s="923"/>
      <c r="EZ96" s="923"/>
      <c r="FA96" s="923"/>
      <c r="FB96" s="923"/>
      <c r="FC96" s="923"/>
      <c r="FE96" s="974" t="s">
        <v>112</v>
      </c>
      <c r="FF96" s="923"/>
      <c r="FG96" s="923"/>
      <c r="FH96" s="923"/>
      <c r="FI96" s="923"/>
      <c r="FJ96" s="923"/>
      <c r="FK96" s="923"/>
      <c r="FL96" s="923"/>
      <c r="FM96" s="923"/>
      <c r="FN96" s="923"/>
      <c r="FO96" s="923"/>
      <c r="FP96" s="923"/>
      <c r="FQ96" s="923"/>
      <c r="FR96" s="923"/>
      <c r="FS96" s="923"/>
      <c r="GM96" s="592" t="s">
        <v>149</v>
      </c>
      <c r="GN96" s="442">
        <v>43496</v>
      </c>
      <c r="GO96" s="442">
        <v>43524</v>
      </c>
      <c r="GP96" s="442">
        <v>43555</v>
      </c>
      <c r="GQ96" s="442">
        <v>43585</v>
      </c>
      <c r="GR96" s="442">
        <v>43616</v>
      </c>
      <c r="GS96" s="442">
        <v>43646</v>
      </c>
      <c r="GT96" s="442">
        <v>43677</v>
      </c>
      <c r="GU96" s="442">
        <v>43708</v>
      </c>
      <c r="GV96" s="442">
        <v>43738</v>
      </c>
      <c r="GW96" s="442">
        <v>43769</v>
      </c>
      <c r="GX96" s="442">
        <v>43799</v>
      </c>
      <c r="GY96" s="442">
        <v>43830</v>
      </c>
      <c r="GZ96" s="442">
        <v>43861</v>
      </c>
      <c r="HA96" s="442">
        <v>43890</v>
      </c>
      <c r="HB96" s="442">
        <v>43921</v>
      </c>
      <c r="HC96" s="442">
        <v>43951</v>
      </c>
      <c r="HD96" s="442">
        <v>43982</v>
      </c>
      <c r="HE96" s="442">
        <v>44012</v>
      </c>
      <c r="HF96" s="442">
        <v>44043</v>
      </c>
      <c r="HG96" s="442">
        <v>44074</v>
      </c>
      <c r="HH96" s="442">
        <v>44104</v>
      </c>
      <c r="HI96" s="442">
        <v>44135</v>
      </c>
      <c r="HJ96" s="442">
        <v>44165</v>
      </c>
      <c r="HK96" s="442">
        <v>44196</v>
      </c>
      <c r="HL96" s="442">
        <v>44227</v>
      </c>
      <c r="HM96" s="442">
        <v>44255</v>
      </c>
      <c r="HN96" s="442">
        <v>44286</v>
      </c>
      <c r="HO96" s="442">
        <v>44316</v>
      </c>
      <c r="HP96" s="442">
        <v>44347</v>
      </c>
      <c r="HQ96" s="442">
        <v>44377</v>
      </c>
      <c r="HR96" s="442">
        <v>44408</v>
      </c>
      <c r="HS96" s="442">
        <v>44439</v>
      </c>
      <c r="HT96" s="442">
        <v>44469</v>
      </c>
      <c r="HU96" s="542">
        <v>44500</v>
      </c>
      <c r="HV96" s="442">
        <v>44530</v>
      </c>
      <c r="HW96" s="442">
        <v>44561</v>
      </c>
      <c r="HX96" s="442">
        <v>44592</v>
      </c>
      <c r="HY96" s="442">
        <v>44620</v>
      </c>
      <c r="HZ96" s="442">
        <v>44651</v>
      </c>
      <c r="IA96" s="442">
        <v>44681</v>
      </c>
      <c r="IB96" s="830">
        <v>44896</v>
      </c>
      <c r="IC96" s="830">
        <v>44927</v>
      </c>
      <c r="IW96" s="592" t="s">
        <v>149</v>
      </c>
      <c r="IX96" s="442">
        <v>43496</v>
      </c>
      <c r="IY96" s="442">
        <v>43524</v>
      </c>
      <c r="IZ96" s="442">
        <v>43555</v>
      </c>
      <c r="JA96" s="442">
        <v>43585</v>
      </c>
      <c r="JB96" s="442">
        <v>43616</v>
      </c>
      <c r="JC96" s="442">
        <v>43646</v>
      </c>
      <c r="JD96" s="442">
        <v>43677</v>
      </c>
      <c r="JE96" s="442">
        <v>43708</v>
      </c>
      <c r="JF96" s="442">
        <v>43738</v>
      </c>
      <c r="JG96" s="442">
        <v>43769</v>
      </c>
      <c r="JH96" s="442">
        <v>43799</v>
      </c>
      <c r="JI96" s="442">
        <v>43830</v>
      </c>
      <c r="JJ96" s="442">
        <v>43861</v>
      </c>
      <c r="JK96" s="442">
        <v>43890</v>
      </c>
      <c r="JL96" s="442">
        <v>43921</v>
      </c>
      <c r="JM96" s="442">
        <v>43951</v>
      </c>
      <c r="JN96" s="442">
        <v>43982</v>
      </c>
      <c r="JO96" s="442">
        <v>44012</v>
      </c>
      <c r="JP96" s="442">
        <v>44043</v>
      </c>
      <c r="JQ96" s="442">
        <v>44074</v>
      </c>
      <c r="JR96" s="442">
        <v>44104</v>
      </c>
      <c r="JS96" s="442">
        <v>44135</v>
      </c>
      <c r="JT96" s="442">
        <v>44165</v>
      </c>
      <c r="JU96" s="442">
        <v>44196</v>
      </c>
      <c r="JV96" s="442">
        <v>44227</v>
      </c>
      <c r="JW96" s="442">
        <v>44255</v>
      </c>
      <c r="JX96" s="442">
        <v>44286</v>
      </c>
      <c r="JY96" s="442">
        <v>44316</v>
      </c>
      <c r="JZ96" s="442">
        <v>44347</v>
      </c>
      <c r="KA96" s="442">
        <v>44377</v>
      </c>
      <c r="KB96" s="442">
        <v>44408</v>
      </c>
      <c r="KC96" s="442">
        <v>44439</v>
      </c>
      <c r="KD96" s="442">
        <v>44469</v>
      </c>
      <c r="KE96" s="442">
        <v>44500</v>
      </c>
      <c r="KF96" s="442">
        <v>44530</v>
      </c>
      <c r="KG96" s="442">
        <v>44561</v>
      </c>
      <c r="KH96" s="442">
        <v>44592</v>
      </c>
      <c r="KI96" s="442">
        <v>44620</v>
      </c>
      <c r="KJ96" s="442">
        <v>44651</v>
      </c>
      <c r="KK96" s="442">
        <v>44681</v>
      </c>
      <c r="KL96" s="442">
        <v>44712</v>
      </c>
      <c r="KM96" s="442">
        <v>44742</v>
      </c>
      <c r="KN96" s="830">
        <v>44896</v>
      </c>
      <c r="KO96" s="830">
        <v>44927</v>
      </c>
    </row>
    <row r="97" spans="1:301" ht="20.399999999999999" thickBot="1">
      <c r="A97" s="544"/>
      <c r="B97" s="545"/>
      <c r="C97" s="545"/>
      <c r="D97" s="545"/>
      <c r="E97" s="545"/>
      <c r="F97" s="545"/>
      <c r="G97" s="546"/>
      <c r="H97" s="593" t="s">
        <v>78</v>
      </c>
      <c r="I97" s="593" t="s">
        <v>161</v>
      </c>
      <c r="J97" s="593" t="s">
        <v>162</v>
      </c>
      <c r="K97" s="593" t="s">
        <v>79</v>
      </c>
      <c r="L97" s="593" t="s">
        <v>80</v>
      </c>
      <c r="Q97" s="968" t="s">
        <v>115</v>
      </c>
      <c r="R97" s="969"/>
      <c r="S97" s="969"/>
      <c r="T97" s="969"/>
      <c r="U97" s="969"/>
      <c r="V97" s="969"/>
      <c r="W97" s="970"/>
      <c r="X97" s="576">
        <v>0.109173512</v>
      </c>
      <c r="Y97" s="576">
        <v>0.135587293902</v>
      </c>
      <c r="Z97" s="576">
        <v>0.131962686967</v>
      </c>
      <c r="AA97" s="576">
        <v>-2.6732644563000001E-2</v>
      </c>
      <c r="AB97" s="577">
        <v>0.20874271193899999</v>
      </c>
      <c r="AG97" s="974" t="s">
        <v>112</v>
      </c>
      <c r="AH97" s="923"/>
      <c r="AI97" s="923"/>
      <c r="AJ97" s="923"/>
      <c r="AK97" s="923"/>
      <c r="AL97" s="923"/>
      <c r="AM97" s="923"/>
      <c r="AN97" s="923"/>
      <c r="AO97" s="923"/>
      <c r="AP97" s="923"/>
      <c r="AQ97" s="923"/>
      <c r="AR97" s="923"/>
      <c r="AS97" s="923"/>
      <c r="AT97" s="923"/>
      <c r="AU97" s="923"/>
      <c r="AW97" s="975" t="s">
        <v>113</v>
      </c>
      <c r="AX97" s="976"/>
      <c r="AY97" s="976"/>
      <c r="AZ97" s="976"/>
      <c r="BA97" s="976"/>
      <c r="BB97" s="976"/>
      <c r="BC97" s="976"/>
      <c r="BD97" s="976"/>
      <c r="BE97" s="976"/>
      <c r="BF97" s="976"/>
      <c r="BG97" s="976"/>
      <c r="BH97" s="976"/>
      <c r="BM97" s="975" t="s">
        <v>113</v>
      </c>
      <c r="BN97" s="976"/>
      <c r="BO97" s="976"/>
      <c r="BP97" s="976"/>
      <c r="BQ97" s="976"/>
      <c r="BR97" s="976"/>
      <c r="BS97" s="976"/>
      <c r="BT97" s="976"/>
      <c r="BU97" s="976"/>
      <c r="BV97" s="976"/>
      <c r="BW97" s="976"/>
      <c r="BX97" s="976"/>
      <c r="CC97" s="544"/>
      <c r="CD97" s="545"/>
      <c r="CE97" s="545"/>
      <c r="CF97" s="545"/>
      <c r="CG97" s="545"/>
      <c r="CH97" s="545"/>
      <c r="CI97" s="546"/>
      <c r="CJ97" s="593" t="s">
        <v>78</v>
      </c>
      <c r="CK97" s="593" t="s">
        <v>161</v>
      </c>
      <c r="CL97" s="593" t="s">
        <v>162</v>
      </c>
      <c r="CM97" s="593" t="s">
        <v>79</v>
      </c>
      <c r="CN97" s="593" t="s">
        <v>80</v>
      </c>
      <c r="CS97" s="968" t="s">
        <v>116</v>
      </c>
      <c r="CT97" s="969"/>
      <c r="CU97" s="969"/>
      <c r="CV97" s="969"/>
      <c r="CW97" s="969"/>
      <c r="CX97" s="969"/>
      <c r="CY97" s="970"/>
      <c r="CZ97" s="578">
        <v>3.6536981734839999</v>
      </c>
      <c r="DA97" s="578">
        <v>3.8613444239730002</v>
      </c>
      <c r="DB97" s="578">
        <v>3.7931613742270001</v>
      </c>
      <c r="DC97" s="576">
        <v>-1.7657852357999999E-2</v>
      </c>
      <c r="DD97" s="577">
        <v>3.817042189E-2</v>
      </c>
      <c r="DI97" s="974" t="s">
        <v>112</v>
      </c>
      <c r="DJ97" s="923"/>
      <c r="DK97" s="923"/>
      <c r="DL97" s="923"/>
      <c r="DM97" s="923"/>
      <c r="DN97" s="923"/>
      <c r="DO97" s="923"/>
      <c r="DP97" s="923"/>
      <c r="DQ97" s="923"/>
      <c r="DR97" s="923"/>
      <c r="DS97" s="923"/>
      <c r="DT97" s="923"/>
      <c r="DU97" s="923"/>
      <c r="DV97" s="923"/>
      <c r="DW97" s="923"/>
      <c r="DY97" s="971" t="s">
        <v>117</v>
      </c>
      <c r="DZ97" s="972"/>
      <c r="EA97" s="972"/>
      <c r="EB97" s="972"/>
      <c r="EC97" s="972"/>
      <c r="ED97" s="972"/>
      <c r="EE97" s="973"/>
      <c r="EF97" s="579">
        <v>0.75370319572</v>
      </c>
      <c r="EG97" s="579">
        <v>0.54017652827700002</v>
      </c>
      <c r="EH97" s="579">
        <v>0.56212747939899999</v>
      </c>
      <c r="EI97" s="579">
        <v>4.0636625200999997E-2</v>
      </c>
      <c r="EJ97" s="580">
        <v>-0.25417925439200001</v>
      </c>
      <c r="EO97" s="975" t="s">
        <v>113</v>
      </c>
      <c r="EP97" s="976"/>
      <c r="EQ97" s="976"/>
      <c r="ER97" s="976"/>
      <c r="ES97" s="976"/>
      <c r="ET97" s="976"/>
      <c r="EU97" s="976"/>
      <c r="EV97" s="976"/>
      <c r="EW97" s="976"/>
      <c r="EX97" s="976"/>
      <c r="EY97" s="976"/>
      <c r="EZ97" s="976"/>
      <c r="FE97" s="975" t="s">
        <v>113</v>
      </c>
      <c r="FF97" s="976"/>
      <c r="FG97" s="976"/>
      <c r="FH97" s="976"/>
      <c r="FI97" s="976"/>
      <c r="FJ97" s="976"/>
      <c r="FK97" s="976"/>
      <c r="FL97" s="976"/>
      <c r="FM97" s="976"/>
      <c r="FN97" s="976"/>
      <c r="FO97" s="976"/>
      <c r="FP97" s="976"/>
      <c r="GJ97" s="353" t="s">
        <v>131</v>
      </c>
      <c r="GL97" s="353">
        <v>1</v>
      </c>
      <c r="GM97" s="353" t="s">
        <v>131</v>
      </c>
      <c r="GN97" s="585">
        <f t="shared" ref="GN97:GS97" si="457">+GN48/GN5</f>
        <v>0.26400000000000001</v>
      </c>
      <c r="GO97" s="585">
        <f t="shared" si="457"/>
        <v>0.27151898734177216</v>
      </c>
      <c r="GP97" s="585">
        <f t="shared" si="457"/>
        <v>0.29703232644409117</v>
      </c>
      <c r="GQ97" s="585">
        <f t="shared" si="457"/>
        <v>0.27722772277227725</v>
      </c>
      <c r="GR97" s="585">
        <f t="shared" si="457"/>
        <v>0.34199796126401633</v>
      </c>
      <c r="GS97" s="585">
        <f t="shared" si="457"/>
        <v>0.37306552518933156</v>
      </c>
      <c r="GT97" s="585">
        <f t="shared" ref="GT97:HL97" si="458">+GT48/GT5</f>
        <v>0.33451223106395522</v>
      </c>
      <c r="GU97" s="585">
        <f t="shared" si="458"/>
        <v>0.36725146198830411</v>
      </c>
      <c r="GV97" s="585">
        <f t="shared" si="458"/>
        <v>0.55921052631578949</v>
      </c>
      <c r="GW97" s="585">
        <f t="shared" si="458"/>
        <v>0.40994671403197158</v>
      </c>
      <c r="GX97" s="585">
        <f t="shared" si="458"/>
        <v>0.36393063583815027</v>
      </c>
      <c r="GY97" s="585">
        <f t="shared" si="458"/>
        <v>0.31580732700135683</v>
      </c>
      <c r="GZ97" s="585">
        <f t="shared" si="458"/>
        <v>0.23425000000000001</v>
      </c>
      <c r="HA97" s="585">
        <f t="shared" si="458"/>
        <v>0.25960566228513648</v>
      </c>
      <c r="HB97" s="585">
        <f t="shared" si="458"/>
        <v>0.26404926866820633</v>
      </c>
      <c r="HC97" s="585">
        <f t="shared" si="458"/>
        <v>0.28299595141700407</v>
      </c>
      <c r="HD97" s="585">
        <f t="shared" si="458"/>
        <v>0.26891447368421051</v>
      </c>
      <c r="HE97" s="585">
        <f t="shared" si="458"/>
        <v>0.30835170217976976</v>
      </c>
      <c r="HF97" s="585">
        <f t="shared" si="458"/>
        <v>0.26523729221874248</v>
      </c>
      <c r="HG97" s="585">
        <f t="shared" si="458"/>
        <v>0.2132814836972779</v>
      </c>
      <c r="HH97" s="585">
        <f t="shared" si="458"/>
        <v>0.18575498575498575</v>
      </c>
      <c r="HI97" s="585">
        <f t="shared" si="458"/>
        <v>0.17656105813595815</v>
      </c>
      <c r="HJ97" s="585">
        <f t="shared" si="458"/>
        <v>0.21529098516546216</v>
      </c>
      <c r="HK97" s="585">
        <f t="shared" si="458"/>
        <v>0.16909620991253643</v>
      </c>
      <c r="HL97" s="585">
        <f t="shared" si="458"/>
        <v>0.21960333429146306</v>
      </c>
      <c r="HM97" s="585">
        <f t="shared" ref="HM97:HP97" si="459">+HM48/HM5</f>
        <v>0.24116260801256872</v>
      </c>
      <c r="HN97" s="585">
        <f t="shared" si="459"/>
        <v>0.22325311684546245</v>
      </c>
      <c r="HO97" s="585">
        <f t="shared" si="459"/>
        <v>0.38723131215912737</v>
      </c>
      <c r="HP97" s="585">
        <f t="shared" si="459"/>
        <v>0.25770308123249297</v>
      </c>
      <c r="HQ97" s="585">
        <f t="shared" ref="HQ97:HS97" si="460">+HQ48/HQ5</f>
        <v>0.2385676264214856</v>
      </c>
      <c r="HR97" s="585">
        <f t="shared" si="460"/>
        <v>0.26853055916775032</v>
      </c>
      <c r="HS97" s="585">
        <f t="shared" si="460"/>
        <v>0.22042833607907744</v>
      </c>
      <c r="HT97" s="585">
        <f t="shared" ref="HT97:HW97" si="461">+HT48/HT5</f>
        <v>0.258931394245969</v>
      </c>
      <c r="HU97" s="585">
        <f t="shared" si="461"/>
        <v>0.25962845491617581</v>
      </c>
      <c r="HV97" s="585">
        <f t="shared" si="461"/>
        <v>0.23840048840048841</v>
      </c>
      <c r="HW97" s="585">
        <f t="shared" si="461"/>
        <v>0.23840304182509506</v>
      </c>
      <c r="HX97" s="585">
        <f t="shared" ref="HX97:HZ97" si="462">+HX48/HX5</f>
        <v>0.18917176925555915</v>
      </c>
      <c r="HY97" s="585">
        <f t="shared" si="462"/>
        <v>0.31854379977246872</v>
      </c>
      <c r="HZ97" s="585">
        <f t="shared" si="462"/>
        <v>0.3138984509466437</v>
      </c>
      <c r="IA97" s="585">
        <f t="shared" ref="IA97" si="463">+IA48/IA5</f>
        <v>0.22567760342368046</v>
      </c>
      <c r="IB97" s="831">
        <f>+IB48/II5</f>
        <v>0.37266643184219794</v>
      </c>
      <c r="IC97" s="585">
        <f>+IC48/IJ5</f>
        <v>0.23653352876511544</v>
      </c>
      <c r="IV97" s="353">
        <v>1</v>
      </c>
      <c r="IW97" s="353" t="s">
        <v>131</v>
      </c>
      <c r="IX97" s="585">
        <f t="shared" ref="IX97:JE97" si="464">+IX48/IX5</f>
        <v>0.24166666666666667</v>
      </c>
      <c r="IY97" s="585">
        <f t="shared" si="464"/>
        <v>0.24873417721518987</v>
      </c>
      <c r="IZ97" s="585">
        <f t="shared" si="464"/>
        <v>0.2747747747747748</v>
      </c>
      <c r="JA97" s="585">
        <f t="shared" si="464"/>
        <v>0.20226308345120225</v>
      </c>
      <c r="JB97" s="585">
        <f t="shared" si="464"/>
        <v>0.1883282364933741</v>
      </c>
      <c r="JC97" s="585">
        <f t="shared" si="464"/>
        <v>0.15113598946328613</v>
      </c>
      <c r="JD97" s="585">
        <f t="shared" si="464"/>
        <v>0.24462127910403772</v>
      </c>
      <c r="JE97" s="585">
        <f t="shared" si="464"/>
        <v>0.28226120857699805</v>
      </c>
      <c r="JF97" s="585">
        <f t="shared" ref="JF97:JY97" si="465">+JF48/JF5</f>
        <v>0.49773848684210525</v>
      </c>
      <c r="JG97" s="585">
        <f t="shared" si="465"/>
        <v>0.28898756660746006</v>
      </c>
      <c r="JH97" s="585">
        <f t="shared" si="465"/>
        <v>0.29895953757225435</v>
      </c>
      <c r="JI97" s="585">
        <f t="shared" si="465"/>
        <v>0.22930800542740842</v>
      </c>
      <c r="JJ97" s="585">
        <f t="shared" si="465"/>
        <v>0.26950000000000002</v>
      </c>
      <c r="JK97" s="585">
        <f t="shared" si="465"/>
        <v>0.30080889787664306</v>
      </c>
      <c r="JL97" s="585">
        <f t="shared" si="465"/>
        <v>0.25737746984860149</v>
      </c>
      <c r="JM97" s="585">
        <f t="shared" si="465"/>
        <v>0.23522267206477732</v>
      </c>
      <c r="JN97" s="585">
        <f t="shared" si="465"/>
        <v>0.26069078947368424</v>
      </c>
      <c r="JO97" s="585">
        <f t="shared" si="465"/>
        <v>0.31667891256429098</v>
      </c>
      <c r="JP97" s="585">
        <f t="shared" si="465"/>
        <v>0.25945555287882438</v>
      </c>
      <c r="JQ97" s="585">
        <f t="shared" si="465"/>
        <v>0.20131618306909962</v>
      </c>
      <c r="JR97" s="585">
        <f t="shared" si="465"/>
        <v>0.19259259259259259</v>
      </c>
      <c r="JS97" s="585">
        <f t="shared" si="465"/>
        <v>0.18148262073208243</v>
      </c>
      <c r="JT97" s="585">
        <f t="shared" si="465"/>
        <v>0.20502092050209206</v>
      </c>
      <c r="JU97" s="585">
        <f t="shared" si="465"/>
        <v>0.17576009995835068</v>
      </c>
      <c r="JV97" s="585">
        <f t="shared" si="465"/>
        <v>0.13193446392641564</v>
      </c>
      <c r="JW97" s="585">
        <f t="shared" si="465"/>
        <v>0.28803351662738935</v>
      </c>
      <c r="JX97" s="585">
        <f t="shared" si="465"/>
        <v>0.22035372571759931</v>
      </c>
      <c r="JY97" s="585">
        <f t="shared" si="465"/>
        <v>0.24093679820340069</v>
      </c>
      <c r="JZ97" s="585">
        <f t="shared" ref="JZ97:KC97" si="466">+JZ48/JZ5</f>
        <v>0.27575474634298164</v>
      </c>
      <c r="KA97" s="585">
        <f t="shared" si="466"/>
        <v>0.17009436244858456</v>
      </c>
      <c r="KB97" s="585">
        <f t="shared" si="466"/>
        <v>0.2152145643693108</v>
      </c>
      <c r="KC97" s="585">
        <f t="shared" si="466"/>
        <v>0.23624382207578254</v>
      </c>
      <c r="KD97" s="585">
        <f t="shared" ref="KD97:KE97" si="467">+KD48/KD5</f>
        <v>0.19317104015175465</v>
      </c>
      <c r="KE97" s="585">
        <f t="shared" si="467"/>
        <v>0.41300407793384686</v>
      </c>
      <c r="KF97" s="585">
        <f t="shared" ref="KF97:KL97" si="468">+KF48/KF5</f>
        <v>0.26495726495726496</v>
      </c>
      <c r="KG97" s="585">
        <f t="shared" si="468"/>
        <v>0.21216730038022813</v>
      </c>
      <c r="KH97" s="585">
        <f t="shared" si="468"/>
        <v>0.17724782468578795</v>
      </c>
      <c r="KI97" s="585">
        <f t="shared" si="468"/>
        <v>0.23350398179749715</v>
      </c>
      <c r="KJ97" s="585">
        <f t="shared" si="468"/>
        <v>0.28657487091222034</v>
      </c>
      <c r="KK97" s="585">
        <f t="shared" si="468"/>
        <v>0.21112696148359486</v>
      </c>
      <c r="KL97" s="585">
        <f t="shared" si="468"/>
        <v>0.26588415412094923</v>
      </c>
      <c r="KM97" s="585">
        <f t="shared" ref="KM97" si="469">+KM48/KM5</f>
        <v>0.28187579214195185</v>
      </c>
      <c r="KN97" s="833">
        <f>KN66</f>
        <v>0.44839732300105672</v>
      </c>
      <c r="KO97" s="585">
        <f>KO66</f>
        <v>0.25742030047636499</v>
      </c>
    </row>
    <row r="98" spans="1:301" ht="15.6" thickBot="1">
      <c r="A98" s="977" t="s">
        <v>114</v>
      </c>
      <c r="B98" s="978"/>
      <c r="C98" s="978"/>
      <c r="D98" s="978"/>
      <c r="E98" s="978"/>
      <c r="F98" s="978"/>
      <c r="G98" s="979"/>
      <c r="H98" s="576">
        <v>0.64863711982200001</v>
      </c>
      <c r="I98" s="576">
        <v>0.66389925773299996</v>
      </c>
      <c r="J98" s="576">
        <v>0.69170411258800002</v>
      </c>
      <c r="K98" s="576">
        <v>4.1881135625000003E-2</v>
      </c>
      <c r="L98" s="577">
        <v>6.6396127279000003E-2</v>
      </c>
      <c r="Q98" s="968" t="s">
        <v>116</v>
      </c>
      <c r="R98" s="969"/>
      <c r="S98" s="969"/>
      <c r="T98" s="969"/>
      <c r="U98" s="969"/>
      <c r="V98" s="969"/>
      <c r="W98" s="970"/>
      <c r="X98" s="578">
        <v>4.4774413394329997</v>
      </c>
      <c r="Y98" s="578">
        <v>5.3259718489739996</v>
      </c>
      <c r="Z98" s="578">
        <v>5.2479769249250001</v>
      </c>
      <c r="AA98" s="576">
        <v>-1.4644261415E-2</v>
      </c>
      <c r="AB98" s="577">
        <v>0.172092837645</v>
      </c>
      <c r="AG98" s="975" t="s">
        <v>113</v>
      </c>
      <c r="AH98" s="976"/>
      <c r="AI98" s="976"/>
      <c r="AJ98" s="976"/>
      <c r="AK98" s="976"/>
      <c r="AL98" s="976"/>
      <c r="AM98" s="976"/>
      <c r="AN98" s="976"/>
      <c r="AO98" s="976"/>
      <c r="AP98" s="976"/>
      <c r="AQ98" s="976"/>
      <c r="AR98" s="976"/>
      <c r="AW98" s="544"/>
      <c r="AX98" s="545"/>
      <c r="AY98" s="545"/>
      <c r="AZ98" s="545"/>
      <c r="BA98" s="545"/>
      <c r="BB98" s="545"/>
      <c r="BC98" s="546"/>
      <c r="BD98" s="593" t="s">
        <v>78</v>
      </c>
      <c r="BE98" s="593" t="s">
        <v>161</v>
      </c>
      <c r="BF98" s="593" t="s">
        <v>162</v>
      </c>
      <c r="BG98" s="593" t="s">
        <v>79</v>
      </c>
      <c r="BH98" s="593" t="s">
        <v>80</v>
      </c>
      <c r="BM98" s="544"/>
      <c r="BN98" s="545"/>
      <c r="BO98" s="545"/>
      <c r="BP98" s="545"/>
      <c r="BQ98" s="545"/>
      <c r="BR98" s="545"/>
      <c r="BS98" s="546"/>
      <c r="BT98" s="593" t="s">
        <v>78</v>
      </c>
      <c r="BU98" s="593" t="s">
        <v>161</v>
      </c>
      <c r="BV98" s="593" t="s">
        <v>162</v>
      </c>
      <c r="BW98" s="593" t="s">
        <v>79</v>
      </c>
      <c r="BX98" s="593" t="s">
        <v>80</v>
      </c>
      <c r="CC98" s="977" t="s">
        <v>114</v>
      </c>
      <c r="CD98" s="978"/>
      <c r="CE98" s="978"/>
      <c r="CF98" s="978"/>
      <c r="CG98" s="978"/>
      <c r="CH98" s="978"/>
      <c r="CI98" s="979"/>
      <c r="CJ98" s="576">
        <v>0.57473854279400005</v>
      </c>
      <c r="CK98" s="576">
        <v>0.54081649616100003</v>
      </c>
      <c r="CL98" s="576">
        <v>0.52921799527900004</v>
      </c>
      <c r="CM98" s="576">
        <v>-2.1446277922999999E-2</v>
      </c>
      <c r="CN98" s="577">
        <v>-7.9202183472999996E-2</v>
      </c>
      <c r="CS98" s="971" t="s">
        <v>117</v>
      </c>
      <c r="CT98" s="972"/>
      <c r="CU98" s="972"/>
      <c r="CV98" s="972"/>
      <c r="CW98" s="972"/>
      <c r="CX98" s="972"/>
      <c r="CY98" s="973"/>
      <c r="CZ98" s="579">
        <v>0.37128644465900001</v>
      </c>
      <c r="DA98" s="579">
        <v>0.32608091843300002</v>
      </c>
      <c r="DB98" s="579">
        <v>0.349712088458</v>
      </c>
      <c r="DC98" s="579">
        <v>7.2470263327999995E-2</v>
      </c>
      <c r="DD98" s="580">
        <v>-5.8107039755999998E-2</v>
      </c>
      <c r="DI98" s="975" t="s">
        <v>113</v>
      </c>
      <c r="DJ98" s="976"/>
      <c r="DK98" s="976"/>
      <c r="DL98" s="976"/>
      <c r="DM98" s="976"/>
      <c r="DN98" s="976"/>
      <c r="DO98" s="976"/>
      <c r="DP98" s="976"/>
      <c r="DQ98" s="976"/>
      <c r="DR98" s="976"/>
      <c r="DS98" s="976"/>
      <c r="DT98" s="976"/>
      <c r="DY98" s="975" t="s">
        <v>118</v>
      </c>
      <c r="DZ98" s="976"/>
      <c r="EA98" s="976"/>
      <c r="EB98" s="976"/>
      <c r="EC98" s="976"/>
      <c r="ED98" s="976"/>
      <c r="EE98" s="976"/>
      <c r="EF98" s="976"/>
      <c r="EG98" s="976"/>
      <c r="EH98" s="976"/>
      <c r="EI98" s="976"/>
      <c r="EJ98" s="976"/>
      <c r="EO98" s="544"/>
      <c r="EP98" s="545"/>
      <c r="EQ98" s="545"/>
      <c r="ER98" s="545"/>
      <c r="ES98" s="545"/>
      <c r="ET98" s="545"/>
      <c r="EU98" s="546"/>
      <c r="EV98" s="593" t="s">
        <v>78</v>
      </c>
      <c r="EW98" s="593" t="s">
        <v>161</v>
      </c>
      <c r="EX98" s="593" t="s">
        <v>162</v>
      </c>
      <c r="EY98" s="593" t="s">
        <v>79</v>
      </c>
      <c r="EZ98" s="593" t="s">
        <v>80</v>
      </c>
      <c r="FE98" s="544"/>
      <c r="FF98" s="545"/>
      <c r="FG98" s="545"/>
      <c r="FH98" s="545"/>
      <c r="FI98" s="545"/>
      <c r="FJ98" s="545"/>
      <c r="FK98" s="546"/>
      <c r="FL98" s="593" t="s">
        <v>78</v>
      </c>
      <c r="FM98" s="593" t="s">
        <v>161</v>
      </c>
      <c r="FN98" s="593" t="s">
        <v>162</v>
      </c>
      <c r="FO98" s="593" t="s">
        <v>79</v>
      </c>
      <c r="FP98" s="593" t="s">
        <v>80</v>
      </c>
      <c r="GJ98" s="353" t="s">
        <v>136</v>
      </c>
      <c r="GL98" s="353">
        <v>2</v>
      </c>
      <c r="GM98" s="353" t="s">
        <v>136</v>
      </c>
      <c r="GN98" s="585">
        <f t="shared" ref="GN98:GS98" si="470">+GN51/GN8</f>
        <v>0.18735026353617634</v>
      </c>
      <c r="GO98" s="585">
        <f t="shared" si="470"/>
        <v>0.19373549883990721</v>
      </c>
      <c r="GP98" s="585">
        <f t="shared" si="470"/>
        <v>0.21380404601348671</v>
      </c>
      <c r="GQ98" s="585">
        <f t="shared" si="470"/>
        <v>0.23589954713874023</v>
      </c>
      <c r="GR98" s="585">
        <f t="shared" si="470"/>
        <v>0.17644539614561028</v>
      </c>
      <c r="GS98" s="585">
        <f t="shared" si="470"/>
        <v>0.20597484276729561</v>
      </c>
      <c r="GT98" s="585">
        <f t="shared" ref="GT98:HL98" si="471">+GT51/GT8</f>
        <v>0.20274599542334096</v>
      </c>
      <c r="GU98" s="585">
        <f t="shared" si="471"/>
        <v>0.17807563427477263</v>
      </c>
      <c r="GV98" s="585">
        <f t="shared" si="471"/>
        <v>0.19451697127937337</v>
      </c>
      <c r="GW98" s="585">
        <f t="shared" si="471"/>
        <v>0.17166866746698681</v>
      </c>
      <c r="GX98" s="585">
        <f t="shared" si="471"/>
        <v>0.27944969905417028</v>
      </c>
      <c r="GY98" s="585">
        <f t="shared" si="471"/>
        <v>0.21206896551724139</v>
      </c>
      <c r="GZ98" s="585">
        <f t="shared" si="471"/>
        <v>0.18513931888544891</v>
      </c>
      <c r="HA98" s="585">
        <f t="shared" si="471"/>
        <v>0.2320280537697253</v>
      </c>
      <c r="HB98" s="585">
        <f t="shared" si="471"/>
        <v>0.23380281690140844</v>
      </c>
      <c r="HC98" s="585">
        <f t="shared" si="471"/>
        <v>0.18646408839779005</v>
      </c>
      <c r="HD98" s="585">
        <f t="shared" si="471"/>
        <v>0.19535374868004224</v>
      </c>
      <c r="HE98" s="585">
        <f t="shared" si="471"/>
        <v>0.18712753277711561</v>
      </c>
      <c r="HF98" s="585">
        <f t="shared" si="471"/>
        <v>0.16631799163179917</v>
      </c>
      <c r="HG98" s="585">
        <f t="shared" si="471"/>
        <v>0.18852459016393441</v>
      </c>
      <c r="HH98" s="585">
        <f t="shared" si="471"/>
        <v>0.19627085377821393</v>
      </c>
      <c r="HI98" s="585">
        <f t="shared" si="471"/>
        <v>0.19107142857142856</v>
      </c>
      <c r="HJ98" s="585">
        <f t="shared" si="471"/>
        <v>0.2711864406779661</v>
      </c>
      <c r="HK98" s="585">
        <f t="shared" si="471"/>
        <v>0.15944881889763779</v>
      </c>
      <c r="HL98" s="585">
        <f t="shared" si="471"/>
        <v>0.18294051627384961</v>
      </c>
      <c r="HM98" s="585">
        <f t="shared" ref="HM98:HP98" si="472">+HM51/HM8</f>
        <v>0.22238586156111928</v>
      </c>
      <c r="HN98" s="585">
        <f t="shared" si="472"/>
        <v>0.29638554216867469</v>
      </c>
      <c r="HO98" s="585">
        <f t="shared" si="472"/>
        <v>0.15783274440518258</v>
      </c>
      <c r="HP98" s="585">
        <f t="shared" si="472"/>
        <v>0.21052631578947367</v>
      </c>
      <c r="HQ98" s="585">
        <f t="shared" ref="HQ98:HS98" si="473">+HQ51/HQ8</f>
        <v>0.22824302134646962</v>
      </c>
      <c r="HR98" s="585">
        <f t="shared" si="473"/>
        <v>0.32606541129831518</v>
      </c>
      <c r="HS98" s="585">
        <f t="shared" si="473"/>
        <v>0.26195028680688337</v>
      </c>
      <c r="HT98" s="585">
        <f t="shared" ref="HT98:HW98" si="474">+HT51/HT8</f>
        <v>0.34050632911392403</v>
      </c>
      <c r="HU98" s="585">
        <f t="shared" si="474"/>
        <v>0.31006711409395971</v>
      </c>
      <c r="HV98" s="585">
        <f t="shared" si="474"/>
        <v>0.33121019108280253</v>
      </c>
      <c r="HW98" s="585">
        <f t="shared" si="474"/>
        <v>0.25776397515527949</v>
      </c>
      <c r="HX98" s="585">
        <f t="shared" ref="HX98" si="475">+HX51/HX8</f>
        <v>0.40498442367601245</v>
      </c>
      <c r="HY98" s="585">
        <f t="shared" ref="HY98:HZ98" si="476">+HY49/HY6</f>
        <v>0.25084745762711863</v>
      </c>
      <c r="HZ98" s="585">
        <f t="shared" si="476"/>
        <v>0.2282314764737696</v>
      </c>
      <c r="IA98" s="585">
        <f t="shared" ref="IA98" si="477">+IA49/IA6</f>
        <v>0.27220299884659749</v>
      </c>
      <c r="IB98" s="831">
        <f>+IB51/II8</f>
        <v>0.45783132530120479</v>
      </c>
      <c r="IC98" s="585">
        <f>+IC51/IJ8</f>
        <v>0.15897435897435896</v>
      </c>
      <c r="IV98" s="353">
        <v>2</v>
      </c>
      <c r="IW98" s="353" t="s">
        <v>136</v>
      </c>
      <c r="IX98" s="585">
        <f t="shared" ref="IX98:JE98" si="478">+IX51/IX8</f>
        <v>0.16435074269286057</v>
      </c>
      <c r="IY98" s="585">
        <f t="shared" si="478"/>
        <v>0.16976024748646559</v>
      </c>
      <c r="IZ98" s="585">
        <f t="shared" si="478"/>
        <v>0.16937723125743753</v>
      </c>
      <c r="JA98" s="585">
        <f t="shared" si="478"/>
        <v>0.19267188143268835</v>
      </c>
      <c r="JB98" s="585">
        <f t="shared" si="478"/>
        <v>4.1113490364025694E-2</v>
      </c>
      <c r="JC98" s="585">
        <f t="shared" si="478"/>
        <v>0.17138364779874213</v>
      </c>
      <c r="JD98" s="585">
        <f t="shared" si="478"/>
        <v>5.1258581235697938E-2</v>
      </c>
      <c r="JE98" s="585">
        <f t="shared" si="478"/>
        <v>0.15797032072762088</v>
      </c>
      <c r="JF98" s="585">
        <f t="shared" ref="JF98:JY98" si="479">+JF51/JF8</f>
        <v>0.15926892950391644</v>
      </c>
      <c r="JG98" s="585">
        <f t="shared" si="479"/>
        <v>5.1620648259303722E-2</v>
      </c>
      <c r="JH98" s="585">
        <f t="shared" si="479"/>
        <v>0.18830610490111779</v>
      </c>
      <c r="JI98" s="585">
        <f t="shared" si="479"/>
        <v>6.0344827586206899E-2</v>
      </c>
      <c r="JJ98" s="585">
        <f t="shared" si="479"/>
        <v>0.18823529411764706</v>
      </c>
      <c r="JK98" s="585">
        <f t="shared" si="479"/>
        <v>0.24196376388077148</v>
      </c>
      <c r="JL98" s="585">
        <f t="shared" si="479"/>
        <v>0.23661971830985915</v>
      </c>
      <c r="JM98" s="585">
        <f t="shared" si="479"/>
        <v>0.20441988950276244</v>
      </c>
      <c r="JN98" s="585">
        <f t="shared" si="479"/>
        <v>0.16684266103484688</v>
      </c>
      <c r="JO98" s="585">
        <f t="shared" si="479"/>
        <v>0.16209773539928488</v>
      </c>
      <c r="JP98" s="585">
        <f t="shared" si="479"/>
        <v>0.17468619246861924</v>
      </c>
      <c r="JQ98" s="585">
        <f t="shared" si="479"/>
        <v>0.21077283372365341</v>
      </c>
      <c r="JR98" s="585">
        <f t="shared" si="479"/>
        <v>0.31305201177625125</v>
      </c>
      <c r="JS98" s="585">
        <f t="shared" si="479"/>
        <v>0.17857142857142858</v>
      </c>
      <c r="JT98" s="585">
        <f t="shared" si="479"/>
        <v>0.28505392912172572</v>
      </c>
      <c r="JU98" s="585">
        <f t="shared" si="479"/>
        <v>0.1673228346456693</v>
      </c>
      <c r="JV98" s="585">
        <f t="shared" si="479"/>
        <v>0.23681257014590348</v>
      </c>
      <c r="JW98" s="585">
        <f t="shared" si="479"/>
        <v>0.21649484536082475</v>
      </c>
      <c r="JX98" s="585">
        <f t="shared" si="479"/>
        <v>0.31686746987951808</v>
      </c>
      <c r="JY98" s="585">
        <f t="shared" si="479"/>
        <v>0.44876325088339225</v>
      </c>
      <c r="JZ98" s="585">
        <f t="shared" ref="JZ98:KC98" si="480">+JZ51/JZ8</f>
        <v>0.17348927875243664</v>
      </c>
      <c r="KA98" s="585">
        <f t="shared" si="480"/>
        <v>0.54844006568144499</v>
      </c>
      <c r="KB98" s="585">
        <f t="shared" si="480"/>
        <v>0.29038652130822595</v>
      </c>
      <c r="KC98" s="585">
        <f t="shared" si="480"/>
        <v>0.27533460803059273</v>
      </c>
      <c r="KD98" s="585">
        <f t="shared" ref="KD98:KE98" si="481">+KD51/KD8</f>
        <v>0.37721518987341773</v>
      </c>
      <c r="KE98" s="585">
        <f t="shared" si="481"/>
        <v>0.35570469798657717</v>
      </c>
      <c r="KF98" s="585">
        <f t="shared" ref="KF98:KJ98" si="482">+KF51/KF8</f>
        <v>0.35244161358811038</v>
      </c>
      <c r="KG98" s="585">
        <f t="shared" si="482"/>
        <v>0.39440993788819878</v>
      </c>
      <c r="KH98" s="585">
        <f t="shared" si="482"/>
        <v>0.41043613707165111</v>
      </c>
      <c r="KI98" s="585">
        <f t="shared" si="482"/>
        <v>0.18796592119275826</v>
      </c>
      <c r="KJ98" s="585">
        <f t="shared" si="482"/>
        <v>0.27704752275025279</v>
      </c>
      <c r="KK98" s="585">
        <f t="shared" ref="KK98:KL98" si="483">+KK49/KK6</f>
        <v>0.20530565167243367</v>
      </c>
      <c r="KL98" s="585">
        <f t="shared" si="483"/>
        <v>0.26734926052332197</v>
      </c>
      <c r="KM98" s="585">
        <f t="shared" ref="KM98" si="484">+KM49/KM6</f>
        <v>0.17499999999999999</v>
      </c>
      <c r="KN98" s="833">
        <f t="shared" ref="KN98:KN108" si="485">KN67</f>
        <v>0.49397590361445781</v>
      </c>
      <c r="KO98" s="585">
        <f t="shared" ref="KO98" si="486">KO67</f>
        <v>0.32692307692307693</v>
      </c>
    </row>
    <row r="99" spans="1:301" ht="15.6" thickBot="1">
      <c r="A99" s="968" t="s">
        <v>115</v>
      </c>
      <c r="B99" s="969"/>
      <c r="C99" s="969"/>
      <c r="D99" s="969"/>
      <c r="E99" s="969"/>
      <c r="F99" s="969"/>
      <c r="G99" s="970"/>
      <c r="H99" s="553"/>
      <c r="I99" s="576">
        <v>0.15300673322399999</v>
      </c>
      <c r="J99" s="576">
        <v>0.16147355287699999</v>
      </c>
      <c r="K99" s="576">
        <v>5.5336255303000001E-2</v>
      </c>
      <c r="L99" s="554"/>
      <c r="Q99" s="971" t="s">
        <v>117</v>
      </c>
      <c r="R99" s="972"/>
      <c r="S99" s="972"/>
      <c r="T99" s="972"/>
      <c r="U99" s="972"/>
      <c r="V99" s="972"/>
      <c r="W99" s="973"/>
      <c r="X99" s="579">
        <v>0.36827175502499998</v>
      </c>
      <c r="Y99" s="579">
        <v>0.365782026905</v>
      </c>
      <c r="Z99" s="579">
        <v>0.40123995974400001</v>
      </c>
      <c r="AA99" s="579">
        <v>9.6937329421999993E-2</v>
      </c>
      <c r="AB99" s="580">
        <v>8.9521404420000006E-2</v>
      </c>
      <c r="AG99" s="544"/>
      <c r="AH99" s="545"/>
      <c r="AI99" s="545"/>
      <c r="AJ99" s="545"/>
      <c r="AK99" s="545"/>
      <c r="AL99" s="545"/>
      <c r="AM99" s="546"/>
      <c r="AN99" s="593" t="s">
        <v>78</v>
      </c>
      <c r="AO99" s="593" t="s">
        <v>161</v>
      </c>
      <c r="AP99" s="593" t="s">
        <v>162</v>
      </c>
      <c r="AQ99" s="593" t="s">
        <v>79</v>
      </c>
      <c r="AR99" s="593" t="s">
        <v>80</v>
      </c>
      <c r="AW99" s="977" t="s">
        <v>114</v>
      </c>
      <c r="AX99" s="978"/>
      <c r="AY99" s="978"/>
      <c r="AZ99" s="978"/>
      <c r="BA99" s="978"/>
      <c r="BB99" s="978"/>
      <c r="BC99" s="979"/>
      <c r="BD99" s="576">
        <v>0.68545064128599997</v>
      </c>
      <c r="BE99" s="576">
        <v>0.72591442166200004</v>
      </c>
      <c r="BF99" s="576">
        <v>0.72204845532600004</v>
      </c>
      <c r="BG99" s="576">
        <v>-5.3256502700000001E-3</v>
      </c>
      <c r="BH99" s="577">
        <v>5.3392340506000002E-2</v>
      </c>
      <c r="BM99" s="977" t="s">
        <v>114</v>
      </c>
      <c r="BN99" s="978"/>
      <c r="BO99" s="978"/>
      <c r="BP99" s="978"/>
      <c r="BQ99" s="978"/>
      <c r="BR99" s="978"/>
      <c r="BS99" s="979"/>
      <c r="BT99" s="576">
        <v>0.80664499819400004</v>
      </c>
      <c r="BU99" s="576">
        <v>0.82789803877199997</v>
      </c>
      <c r="BV99" s="576">
        <v>0.83898834896200003</v>
      </c>
      <c r="BW99" s="576">
        <v>1.3395744005E-2</v>
      </c>
      <c r="BX99" s="577">
        <v>4.0096139987999997E-2</v>
      </c>
      <c r="CC99" s="968" t="s">
        <v>115</v>
      </c>
      <c r="CD99" s="969"/>
      <c r="CE99" s="969"/>
      <c r="CF99" s="969"/>
      <c r="CG99" s="969"/>
      <c r="CH99" s="969"/>
      <c r="CI99" s="970"/>
      <c r="CJ99" s="576">
        <v>0.12404992188699999</v>
      </c>
      <c r="CK99" s="576">
        <v>0.20410291424800001</v>
      </c>
      <c r="CL99" s="576">
        <v>0.19938867276300001</v>
      </c>
      <c r="CM99" s="576">
        <v>-2.3097374688000001E-2</v>
      </c>
      <c r="CN99" s="577">
        <v>0.60732606461500005</v>
      </c>
      <c r="CS99" s="975" t="s">
        <v>118</v>
      </c>
      <c r="CT99" s="976"/>
      <c r="CU99" s="976"/>
      <c r="CV99" s="976"/>
      <c r="CW99" s="976"/>
      <c r="CX99" s="976"/>
      <c r="CY99" s="976"/>
      <c r="CZ99" s="976"/>
      <c r="DA99" s="976"/>
      <c r="DB99" s="976"/>
      <c r="DC99" s="976"/>
      <c r="DD99" s="976"/>
      <c r="DI99" s="544"/>
      <c r="DJ99" s="545"/>
      <c r="DK99" s="545"/>
      <c r="DL99" s="545"/>
      <c r="DM99" s="545"/>
      <c r="DN99" s="545"/>
      <c r="DO99" s="546"/>
      <c r="DP99" s="593" t="s">
        <v>78</v>
      </c>
      <c r="DQ99" s="593" t="s">
        <v>161</v>
      </c>
      <c r="DR99" s="593" t="s">
        <v>162</v>
      </c>
      <c r="DS99" s="593" t="s">
        <v>79</v>
      </c>
      <c r="DT99" s="593" t="s">
        <v>80</v>
      </c>
      <c r="DY99" s="544"/>
      <c r="DZ99" s="545"/>
      <c r="EA99" s="545"/>
      <c r="EB99" s="545"/>
      <c r="EC99" s="545"/>
      <c r="ED99" s="545"/>
      <c r="EE99" s="546"/>
      <c r="EF99" s="593" t="s">
        <v>78</v>
      </c>
      <c r="EG99" s="593" t="s">
        <v>161</v>
      </c>
      <c r="EH99" s="593" t="s">
        <v>162</v>
      </c>
      <c r="EI99" s="593" t="s">
        <v>79</v>
      </c>
      <c r="EJ99" s="593" t="s">
        <v>80</v>
      </c>
      <c r="EO99" s="977" t="s">
        <v>114</v>
      </c>
      <c r="EP99" s="978"/>
      <c r="EQ99" s="978"/>
      <c r="ER99" s="978"/>
      <c r="ES99" s="978"/>
      <c r="ET99" s="978"/>
      <c r="EU99" s="979"/>
      <c r="EV99" s="576">
        <v>0.68556938032500003</v>
      </c>
      <c r="EW99" s="576">
        <v>0.60535755796699997</v>
      </c>
      <c r="EX99" s="576">
        <v>0.610239384296</v>
      </c>
      <c r="EY99" s="576">
        <v>8.0643683460000001E-3</v>
      </c>
      <c r="EZ99" s="577">
        <v>-0.109879463976</v>
      </c>
      <c r="FE99" s="977" t="s">
        <v>114</v>
      </c>
      <c r="FF99" s="978"/>
      <c r="FG99" s="978"/>
      <c r="FH99" s="978"/>
      <c r="FI99" s="978"/>
      <c r="FJ99" s="978"/>
      <c r="FK99" s="979"/>
      <c r="FL99" s="576">
        <v>0.692064703512</v>
      </c>
      <c r="FM99" s="576">
        <v>0.69676448457399998</v>
      </c>
      <c r="FN99" s="576">
        <v>0.70148991427600005</v>
      </c>
      <c r="FO99" s="576">
        <v>6.7819612019999996E-3</v>
      </c>
      <c r="FP99" s="577">
        <v>1.3618973364E-2</v>
      </c>
      <c r="GJ99" s="353" t="s">
        <v>141</v>
      </c>
      <c r="GL99" s="353">
        <v>3</v>
      </c>
      <c r="GM99" s="353" t="s">
        <v>141</v>
      </c>
      <c r="GN99" s="585">
        <f t="shared" ref="GN99:GS99" si="487">+GN55/GN12</f>
        <v>0.35993740219092329</v>
      </c>
      <c r="GO99" s="585">
        <f t="shared" si="487"/>
        <v>0.27263479145473041</v>
      </c>
      <c r="GP99" s="585">
        <f t="shared" si="487"/>
        <v>0.23787740164684354</v>
      </c>
      <c r="GQ99" s="585">
        <f t="shared" si="487"/>
        <v>0.25698827772768262</v>
      </c>
      <c r="GR99" s="585">
        <f t="shared" si="487"/>
        <v>0.3104066985645933</v>
      </c>
      <c r="GS99" s="585">
        <f t="shared" si="487"/>
        <v>0.22392344497607655</v>
      </c>
      <c r="GT99" s="585">
        <f t="shared" ref="GT99:HL99" si="488">+GT55/GT12</f>
        <v>0.23774765380604795</v>
      </c>
      <c r="GU99" s="585">
        <f t="shared" si="488"/>
        <v>0.17486338797814208</v>
      </c>
      <c r="GV99" s="585">
        <f t="shared" si="488"/>
        <v>0.19098143236074269</v>
      </c>
      <c r="GW99" s="585">
        <f t="shared" si="488"/>
        <v>0.30324276950043821</v>
      </c>
      <c r="GX99" s="585">
        <f t="shared" si="488"/>
        <v>0.24481327800829875</v>
      </c>
      <c r="GY99" s="585">
        <f t="shared" si="488"/>
        <v>0.29912023460410558</v>
      </c>
      <c r="GZ99" s="585">
        <f t="shared" si="488"/>
        <v>0.24673629242819844</v>
      </c>
      <c r="HA99" s="585">
        <f t="shared" si="488"/>
        <v>0.37428571428571428</v>
      </c>
      <c r="HB99" s="585">
        <f t="shared" si="488"/>
        <v>0.38907103825136613</v>
      </c>
      <c r="HC99" s="585">
        <f t="shared" si="488"/>
        <v>0.33605220228384991</v>
      </c>
      <c r="HD99" s="585">
        <f t="shared" si="488"/>
        <v>0.2504708097928437</v>
      </c>
      <c r="HE99" s="585">
        <f t="shared" si="488"/>
        <v>0.20467032967032966</v>
      </c>
      <c r="HF99" s="585">
        <f t="shared" si="488"/>
        <v>0.2087912087912088</v>
      </c>
      <c r="HG99" s="585">
        <f t="shared" si="488"/>
        <v>0.22950819672131148</v>
      </c>
      <c r="HH99" s="585">
        <f t="shared" si="488"/>
        <v>0.21015138023152272</v>
      </c>
      <c r="HI99" s="585">
        <f t="shared" si="488"/>
        <v>0.23919915700737618</v>
      </c>
      <c r="HJ99" s="585">
        <f t="shared" si="488"/>
        <v>0.21160409556313994</v>
      </c>
      <c r="HK99" s="585">
        <f t="shared" si="488"/>
        <v>0.22041259500542887</v>
      </c>
      <c r="HL99" s="585">
        <f t="shared" si="488"/>
        <v>0.20254506892895016</v>
      </c>
      <c r="HM99" s="585">
        <f t="shared" ref="HM99:HP99" si="489">+HM55/HM12</f>
        <v>0.33242134062927498</v>
      </c>
      <c r="HN99" s="585">
        <f t="shared" si="489"/>
        <v>0.34244604316546762</v>
      </c>
      <c r="HO99" s="585">
        <f t="shared" si="489"/>
        <v>0.37732342007434944</v>
      </c>
      <c r="HP99" s="585">
        <f t="shared" si="489"/>
        <v>0.28024042073628852</v>
      </c>
      <c r="HQ99" s="585">
        <f t="shared" ref="HQ99:HS99" si="490">+HQ55/HQ12</f>
        <v>0.32457142857142857</v>
      </c>
      <c r="HR99" s="585">
        <f t="shared" si="490"/>
        <v>0.33491124260355032</v>
      </c>
      <c r="HS99" s="585">
        <f t="shared" si="490"/>
        <v>0.2864476386036961</v>
      </c>
      <c r="HT99" s="585">
        <f t="shared" ref="HT99:HW99" si="491">+HT55/HT12</f>
        <v>0.27089337175792505</v>
      </c>
      <c r="HU99" s="585">
        <f t="shared" si="491"/>
        <v>0.35624476110645431</v>
      </c>
      <c r="HV99" s="585">
        <f t="shared" si="491"/>
        <v>0.29490616621983912</v>
      </c>
      <c r="HW99" s="585">
        <f t="shared" si="491"/>
        <v>0.26105442176870747</v>
      </c>
      <c r="HX99" s="585">
        <f t="shared" ref="HX99" si="492">+HX55/HX12</f>
        <v>0.2434077079107505</v>
      </c>
      <c r="HY99" s="585">
        <f t="shared" ref="HY99:HZ99" si="493">+HY50/HY7</f>
        <v>0.12268518518518519</v>
      </c>
      <c r="HZ99" s="585">
        <f t="shared" si="493"/>
        <v>0.16518650088809947</v>
      </c>
      <c r="IA99" s="585">
        <f t="shared" ref="IA99" si="494">+IA50/IA7</f>
        <v>0.13400335008375208</v>
      </c>
      <c r="IB99" s="831">
        <f>+IB55/II12</f>
        <v>0.32735042735042735</v>
      </c>
      <c r="IC99" s="585">
        <f>+IC55/IJ12</f>
        <v>0.26768488745980706</v>
      </c>
      <c r="IV99" s="353">
        <v>3</v>
      </c>
      <c r="IW99" s="353" t="s">
        <v>141</v>
      </c>
      <c r="IX99" s="585">
        <f t="shared" ref="IX99:JE99" si="495">+IX55/IX12</f>
        <v>0.3380281690140845</v>
      </c>
      <c r="IY99" s="585">
        <f t="shared" si="495"/>
        <v>0.2278738555442523</v>
      </c>
      <c r="IZ99" s="585">
        <f t="shared" si="495"/>
        <v>0.2131747483989021</v>
      </c>
      <c r="JA99" s="585">
        <f t="shared" si="495"/>
        <v>0.24616771866546439</v>
      </c>
      <c r="JB99" s="585">
        <f t="shared" si="495"/>
        <v>0.2494019138755981</v>
      </c>
      <c r="JC99" s="585">
        <f t="shared" si="495"/>
        <v>0.19617224880382775</v>
      </c>
      <c r="JD99" s="585">
        <f t="shared" si="495"/>
        <v>0.16058394160583941</v>
      </c>
      <c r="JE99" s="585">
        <f t="shared" si="495"/>
        <v>0.15846994535519127</v>
      </c>
      <c r="JF99" s="585">
        <f t="shared" ref="JF99:JY99" si="496">+JF55/JF12</f>
        <v>0.15119363395225463</v>
      </c>
      <c r="JG99" s="585">
        <f t="shared" si="496"/>
        <v>0.27957931638913236</v>
      </c>
      <c r="JH99" s="585">
        <f t="shared" si="496"/>
        <v>0.20663900414937758</v>
      </c>
      <c r="JI99" s="585">
        <f t="shared" si="496"/>
        <v>0.2404692082111437</v>
      </c>
      <c r="JJ99" s="585">
        <f t="shared" si="496"/>
        <v>0.25522193211488253</v>
      </c>
      <c r="JK99" s="585">
        <f t="shared" si="496"/>
        <v>0.39314285714285713</v>
      </c>
      <c r="JL99" s="585">
        <f t="shared" si="496"/>
        <v>0.3978142076502732</v>
      </c>
      <c r="JM99" s="585">
        <f t="shared" si="496"/>
        <v>0.34747145187601958</v>
      </c>
      <c r="JN99" s="585">
        <f t="shared" si="496"/>
        <v>0.22787193973634651</v>
      </c>
      <c r="JO99" s="585">
        <f t="shared" si="496"/>
        <v>0.24862637362637363</v>
      </c>
      <c r="JP99" s="585">
        <f t="shared" si="496"/>
        <v>0.21245421245421245</v>
      </c>
      <c r="JQ99" s="585">
        <f t="shared" si="496"/>
        <v>0.22513661202185792</v>
      </c>
      <c r="JR99" s="585">
        <f t="shared" si="496"/>
        <v>0.18967052537845058</v>
      </c>
      <c r="JS99" s="585">
        <f t="shared" si="496"/>
        <v>0.22760800842992623</v>
      </c>
      <c r="JT99" s="585">
        <f t="shared" si="496"/>
        <v>0.1899886234357224</v>
      </c>
      <c r="JU99" s="585">
        <f t="shared" si="496"/>
        <v>0.21389793702497287</v>
      </c>
      <c r="JV99" s="585">
        <f t="shared" si="496"/>
        <v>0.19300106044538706</v>
      </c>
      <c r="JW99" s="585">
        <f t="shared" si="496"/>
        <v>0.31805745554035569</v>
      </c>
      <c r="JX99" s="585">
        <f t="shared" si="496"/>
        <v>0.32230215827338127</v>
      </c>
      <c r="JY99" s="585">
        <f t="shared" si="496"/>
        <v>0.19578686493184635</v>
      </c>
      <c r="JZ99" s="585">
        <f t="shared" ref="JZ99:KC99" si="497">+JZ55/JZ12</f>
        <v>0.25244177310293014</v>
      </c>
      <c r="KA99" s="585">
        <f t="shared" si="497"/>
        <v>0.2257142857142857</v>
      </c>
      <c r="KB99" s="585">
        <f t="shared" si="497"/>
        <v>0.32071005917159762</v>
      </c>
      <c r="KC99" s="585">
        <f t="shared" si="497"/>
        <v>0.25667351129363447</v>
      </c>
      <c r="KD99" s="585">
        <f t="shared" ref="KD99:KE99" si="498">+KD55/KD12</f>
        <v>0.25264169068203651</v>
      </c>
      <c r="KE99" s="585">
        <f t="shared" si="498"/>
        <v>0.36127409891031015</v>
      </c>
      <c r="KF99" s="585">
        <f t="shared" ref="KF99:KJ99" si="499">+KF55/KF12</f>
        <v>0.27882037533512066</v>
      </c>
      <c r="KG99" s="585">
        <f t="shared" si="499"/>
        <v>0.26360544217687076</v>
      </c>
      <c r="KH99" s="585">
        <f t="shared" si="499"/>
        <v>0.25354969574036512</v>
      </c>
      <c r="KI99" s="585">
        <f t="shared" si="499"/>
        <v>0.32597054886211513</v>
      </c>
      <c r="KJ99" s="585">
        <f t="shared" si="499"/>
        <v>0.29923273657289001</v>
      </c>
      <c r="KK99" s="585">
        <f t="shared" ref="KK99:KL99" si="500">+KK50/KK7</f>
        <v>0.135678391959799</v>
      </c>
      <c r="KL99" s="585">
        <f t="shared" si="500"/>
        <v>0.1348148148148148</v>
      </c>
      <c r="KM99" s="585">
        <f t="shared" ref="KM99" si="501">+KM50/KM7</f>
        <v>0.10700389105058365</v>
      </c>
      <c r="KN99" s="833">
        <f t="shared" si="485"/>
        <v>0.26666666666666666</v>
      </c>
      <c r="KO99" s="585">
        <f t="shared" ref="KO99" si="502">KO68</f>
        <v>0.6036977491961415</v>
      </c>
    </row>
    <row r="100" spans="1:301" ht="15.6" thickBot="1">
      <c r="A100" s="968" t="s">
        <v>116</v>
      </c>
      <c r="B100" s="969"/>
      <c r="C100" s="969"/>
      <c r="D100" s="969"/>
      <c r="E100" s="969"/>
      <c r="F100" s="969"/>
      <c r="G100" s="970"/>
      <c r="H100" s="578">
        <v>4.9438708404570004</v>
      </c>
      <c r="I100" s="578">
        <v>4.8938830904439996</v>
      </c>
      <c r="J100" s="578">
        <v>4.7930750206099999</v>
      </c>
      <c r="K100" s="576">
        <v>-2.0598789953000001E-2</v>
      </c>
      <c r="L100" s="577">
        <v>-3.0501569461000001E-2</v>
      </c>
      <c r="Q100" s="975" t="s">
        <v>118</v>
      </c>
      <c r="R100" s="976"/>
      <c r="S100" s="976"/>
      <c r="T100" s="976"/>
      <c r="U100" s="976"/>
      <c r="V100" s="976"/>
      <c r="W100" s="976"/>
      <c r="X100" s="976"/>
      <c r="Y100" s="976"/>
      <c r="Z100" s="976"/>
      <c r="AA100" s="976"/>
      <c r="AB100" s="976"/>
      <c r="AG100" s="977" t="s">
        <v>114</v>
      </c>
      <c r="AH100" s="978"/>
      <c r="AI100" s="978"/>
      <c r="AJ100" s="978"/>
      <c r="AK100" s="978"/>
      <c r="AL100" s="978"/>
      <c r="AM100" s="979"/>
      <c r="AN100" s="576">
        <v>0.66460697309500005</v>
      </c>
      <c r="AO100" s="576">
        <v>0.63962066785399996</v>
      </c>
      <c r="AP100" s="576">
        <v>0.62790697674399998</v>
      </c>
      <c r="AQ100" s="576">
        <v>-1.8313496887999998E-2</v>
      </c>
      <c r="AR100" s="577">
        <v>-5.5220600800999997E-2</v>
      </c>
      <c r="AW100" s="968" t="s">
        <v>115</v>
      </c>
      <c r="AX100" s="969"/>
      <c r="AY100" s="969"/>
      <c r="AZ100" s="969"/>
      <c r="BA100" s="969"/>
      <c r="BB100" s="969"/>
      <c r="BC100" s="970"/>
      <c r="BD100" s="576">
        <v>0.12707776079399999</v>
      </c>
      <c r="BE100" s="576">
        <v>0.12058504100299999</v>
      </c>
      <c r="BF100" s="576">
        <v>0.121699428139</v>
      </c>
      <c r="BG100" s="576">
        <v>9.2415039769999999E-3</v>
      </c>
      <c r="BH100" s="577">
        <v>-4.2323161987000001E-2</v>
      </c>
      <c r="BM100" s="968" t="s">
        <v>115</v>
      </c>
      <c r="BN100" s="969"/>
      <c r="BO100" s="969"/>
      <c r="BP100" s="969"/>
      <c r="BQ100" s="969"/>
      <c r="BR100" s="969"/>
      <c r="BS100" s="970"/>
      <c r="BT100" s="576">
        <v>0.19824093289799999</v>
      </c>
      <c r="BU100" s="576">
        <v>0.183195839311</v>
      </c>
      <c r="BV100" s="576">
        <v>0.18430248185600001</v>
      </c>
      <c r="BW100" s="576">
        <v>6.0407624390000003E-3</v>
      </c>
      <c r="BX100" s="577">
        <v>-7.0310661063999996E-2</v>
      </c>
      <c r="CC100" s="968" t="s">
        <v>116</v>
      </c>
      <c r="CD100" s="969"/>
      <c r="CE100" s="969"/>
      <c r="CF100" s="969"/>
      <c r="CG100" s="969"/>
      <c r="CH100" s="969"/>
      <c r="CI100" s="970"/>
      <c r="CJ100" s="578">
        <v>4.9887366377570004</v>
      </c>
      <c r="CK100" s="578">
        <v>5.4927672549990003</v>
      </c>
      <c r="CL100" s="578">
        <v>5.6116331152169998</v>
      </c>
      <c r="CM100" s="576">
        <v>2.1640432718000001E-2</v>
      </c>
      <c r="CN100" s="577">
        <v>0.124860565447</v>
      </c>
      <c r="CS100" s="544"/>
      <c r="CT100" s="545"/>
      <c r="CU100" s="545"/>
      <c r="CV100" s="545"/>
      <c r="CW100" s="545"/>
      <c r="CX100" s="545"/>
      <c r="CY100" s="546"/>
      <c r="CZ100" s="593" t="s">
        <v>78</v>
      </c>
      <c r="DA100" s="593" t="s">
        <v>161</v>
      </c>
      <c r="DB100" s="593" t="s">
        <v>162</v>
      </c>
      <c r="DC100" s="593" t="s">
        <v>79</v>
      </c>
      <c r="DD100" s="593" t="s">
        <v>80</v>
      </c>
      <c r="DI100" s="977" t="s">
        <v>114</v>
      </c>
      <c r="DJ100" s="978"/>
      <c r="DK100" s="978"/>
      <c r="DL100" s="978"/>
      <c r="DM100" s="978"/>
      <c r="DN100" s="978"/>
      <c r="DO100" s="979"/>
      <c r="DP100" s="576">
        <v>0.78374664173999997</v>
      </c>
      <c r="DQ100" s="576">
        <v>0.82108030017199995</v>
      </c>
      <c r="DR100" s="576">
        <v>0.819294091339</v>
      </c>
      <c r="DS100" s="576">
        <v>-2.1754374480000001E-3</v>
      </c>
      <c r="DT100" s="577">
        <v>4.5355791917000003E-2</v>
      </c>
      <c r="DY100" s="977" t="s">
        <v>119</v>
      </c>
      <c r="DZ100" s="978"/>
      <c r="EA100" s="978"/>
      <c r="EB100" s="978"/>
      <c r="EC100" s="978"/>
      <c r="ED100" s="978"/>
      <c r="EE100" s="979"/>
      <c r="EF100" s="576">
        <v>0.91870979351199999</v>
      </c>
      <c r="EG100" s="576">
        <v>0.93665668792500001</v>
      </c>
      <c r="EH100" s="576">
        <v>0.93677614520300001</v>
      </c>
      <c r="EI100" s="576">
        <v>1.27535818E-4</v>
      </c>
      <c r="EJ100" s="577">
        <v>1.9664916840000001E-2</v>
      </c>
      <c r="EO100" s="968" t="s">
        <v>115</v>
      </c>
      <c r="EP100" s="969"/>
      <c r="EQ100" s="969"/>
      <c r="ER100" s="969"/>
      <c r="ES100" s="969"/>
      <c r="ET100" s="969"/>
      <c r="EU100" s="970"/>
      <c r="EV100" s="576">
        <v>6.9058245717999997E-2</v>
      </c>
      <c r="EW100" s="576">
        <v>0.195394592916</v>
      </c>
      <c r="EX100" s="576">
        <v>0.20104694454499999</v>
      </c>
      <c r="EY100" s="576">
        <v>2.8927881498000001E-2</v>
      </c>
      <c r="EZ100" s="577">
        <v>1.9112663151610001</v>
      </c>
      <c r="FE100" s="968" t="s">
        <v>115</v>
      </c>
      <c r="FF100" s="969"/>
      <c r="FG100" s="969"/>
      <c r="FH100" s="969"/>
      <c r="FI100" s="969"/>
      <c r="FJ100" s="969"/>
      <c r="FK100" s="970"/>
      <c r="FL100" s="576">
        <v>6.6230031948000007E-2</v>
      </c>
      <c r="FM100" s="576">
        <v>8.9329069698000002E-2</v>
      </c>
      <c r="FN100" s="576">
        <v>8.7100705762000005E-2</v>
      </c>
      <c r="FO100" s="576">
        <v>-2.4945563003999999E-2</v>
      </c>
      <c r="FP100" s="577">
        <v>0.31512401850400001</v>
      </c>
      <c r="GJ100" s="353" t="s">
        <v>124</v>
      </c>
      <c r="GL100" s="353">
        <v>4</v>
      </c>
      <c r="GM100" s="353" t="s">
        <v>124</v>
      </c>
      <c r="GN100" s="585">
        <f t="shared" ref="GN100:GS100" si="503">+GN47/GN4</f>
        <v>0.36075036075036077</v>
      </c>
      <c r="GO100" s="585">
        <f t="shared" si="503"/>
        <v>0.20884520884520885</v>
      </c>
      <c r="GP100" s="585">
        <f t="shared" si="503"/>
        <v>0.2774566473988439</v>
      </c>
      <c r="GQ100" s="585">
        <f t="shared" si="503"/>
        <v>0.34226190476190477</v>
      </c>
      <c r="GR100" s="585">
        <f t="shared" si="503"/>
        <v>0.28177966101694918</v>
      </c>
      <c r="GS100" s="585">
        <f t="shared" si="503"/>
        <v>0.13793103448275862</v>
      </c>
      <c r="GT100" s="585">
        <f t="shared" ref="GT100:HL100" si="504">+GT47/GT4</f>
        <v>0.1437216338880484</v>
      </c>
      <c r="GU100" s="585">
        <f t="shared" si="504"/>
        <v>0.16517857142857142</v>
      </c>
      <c r="GV100" s="585">
        <f t="shared" si="504"/>
        <v>0.12542372881355932</v>
      </c>
      <c r="GW100" s="585">
        <f t="shared" si="504"/>
        <v>0.16727272727272727</v>
      </c>
      <c r="GX100" s="585">
        <f t="shared" si="504"/>
        <v>0.12</v>
      </c>
      <c r="GY100" s="585">
        <f t="shared" si="504"/>
        <v>0.26470588235294118</v>
      </c>
      <c r="GZ100" s="585">
        <f t="shared" si="504"/>
        <v>0.17374517374517376</v>
      </c>
      <c r="HA100" s="585">
        <f t="shared" si="504"/>
        <v>0.17049180327868851</v>
      </c>
      <c r="HB100" s="585">
        <f t="shared" si="504"/>
        <v>0.19207317073170732</v>
      </c>
      <c r="HC100" s="585">
        <f t="shared" si="504"/>
        <v>0.1391941391941392</v>
      </c>
      <c r="HD100" s="585">
        <f t="shared" si="504"/>
        <v>0.12173913043478261</v>
      </c>
      <c r="HE100" s="585">
        <f t="shared" si="504"/>
        <v>0.2696629213483146</v>
      </c>
      <c r="HF100" s="585">
        <f t="shared" si="504"/>
        <v>0.33450704225352113</v>
      </c>
      <c r="HG100" s="585">
        <f t="shared" si="504"/>
        <v>0.11242603550295859</v>
      </c>
      <c r="HH100" s="585">
        <f t="shared" si="504"/>
        <v>0.12307692307692308</v>
      </c>
      <c r="HI100" s="585">
        <f t="shared" si="504"/>
        <v>0.11046511627906977</v>
      </c>
      <c r="HJ100" s="585">
        <f t="shared" si="504"/>
        <v>0.11363636363636363</v>
      </c>
      <c r="HK100" s="585">
        <f t="shared" si="504"/>
        <v>9.3457943925233641E-2</v>
      </c>
      <c r="HL100" s="585">
        <f t="shared" si="504"/>
        <v>6.0869565217391307E-2</v>
      </c>
      <c r="HM100" s="585">
        <f t="shared" ref="HM100:HP100" si="505">+HM47/HM4</f>
        <v>0.45320197044334976</v>
      </c>
      <c r="HN100" s="585">
        <f t="shared" si="505"/>
        <v>0.16580310880829016</v>
      </c>
      <c r="HO100" s="585">
        <f t="shared" si="505"/>
        <v>0.81168831168831168</v>
      </c>
      <c r="HP100" s="585">
        <f t="shared" si="505"/>
        <v>0.47058823529411764</v>
      </c>
      <c r="HQ100" s="585">
        <f t="shared" ref="HQ100:HS100" si="506">+HQ47/HQ4</f>
        <v>0.44244604316546765</v>
      </c>
      <c r="HR100" s="585">
        <f t="shared" si="506"/>
        <v>0.24509803921568626</v>
      </c>
      <c r="HS100" s="585">
        <f t="shared" si="506"/>
        <v>0.15929203539823009</v>
      </c>
      <c r="HT100" s="585">
        <f t="shared" ref="HT100:HW100" si="507">+HT47/HT4</f>
        <v>0.24827586206896551</v>
      </c>
      <c r="HU100" s="585">
        <f t="shared" si="507"/>
        <v>0.15436241610738255</v>
      </c>
      <c r="HV100" s="585">
        <f t="shared" si="507"/>
        <v>0.37864077669902912</v>
      </c>
      <c r="HW100" s="585">
        <f t="shared" si="507"/>
        <v>0.33613445378151263</v>
      </c>
      <c r="HX100" s="585">
        <f t="shared" ref="HX100" si="508">+HX47/HX4</f>
        <v>0.33600000000000002</v>
      </c>
      <c r="HY100" s="585">
        <f t="shared" ref="HY100:HZ100" si="509">+HY51/HY8</f>
        <v>0.23429179978700745</v>
      </c>
      <c r="HZ100" s="585">
        <f t="shared" si="509"/>
        <v>0.26895854398382202</v>
      </c>
      <c r="IA100" s="585">
        <f t="shared" ref="IA100" si="510">+IA51/IA8</f>
        <v>0.21921921921921922</v>
      </c>
      <c r="IB100" s="831">
        <f>+IB47/II4</f>
        <v>0.54545454545454541</v>
      </c>
      <c r="IC100" s="585">
        <f>+IC47/IJ4</f>
        <v>0.11931818181818182</v>
      </c>
      <c r="IV100" s="353">
        <v>4</v>
      </c>
      <c r="IW100" s="353" t="s">
        <v>124</v>
      </c>
      <c r="IX100" s="585">
        <f t="shared" ref="IX100:JE100" si="511">+IX47/IX4</f>
        <v>0.10822510822510822</v>
      </c>
      <c r="IY100" s="585">
        <f t="shared" si="511"/>
        <v>0.10565110565110565</v>
      </c>
      <c r="IZ100" s="585">
        <f t="shared" si="511"/>
        <v>7.7071290944123308E-2</v>
      </c>
      <c r="JA100" s="585">
        <f t="shared" si="511"/>
        <v>0.15178571428571427</v>
      </c>
      <c r="JB100" s="585">
        <f t="shared" si="511"/>
        <v>0.19067796610169491</v>
      </c>
      <c r="JC100" s="585">
        <f t="shared" si="511"/>
        <v>8.1504702194357362E-2</v>
      </c>
      <c r="JD100" s="585">
        <f t="shared" si="511"/>
        <v>7.4130105900151289E-2</v>
      </c>
      <c r="JE100" s="585">
        <f t="shared" si="511"/>
        <v>9.375E-2</v>
      </c>
      <c r="JF100" s="585">
        <f t="shared" ref="JF100:JY100" si="512">+JF47/JF4</f>
        <v>9.8305084745762716E-2</v>
      </c>
      <c r="JG100" s="585">
        <f t="shared" si="512"/>
        <v>6.9090909090909092E-2</v>
      </c>
      <c r="JH100" s="585">
        <f t="shared" si="512"/>
        <v>9.1428571428571428E-2</v>
      </c>
      <c r="JI100" s="585">
        <f t="shared" si="512"/>
        <v>0.14285714285714285</v>
      </c>
      <c r="JJ100" s="585">
        <f t="shared" si="512"/>
        <v>0.19691119691119691</v>
      </c>
      <c r="JK100" s="585">
        <f t="shared" si="512"/>
        <v>0.21639344262295082</v>
      </c>
      <c r="JL100" s="585">
        <f t="shared" si="512"/>
        <v>0.18292682926829268</v>
      </c>
      <c r="JM100" s="585">
        <f t="shared" si="512"/>
        <v>0.13186813186813187</v>
      </c>
      <c r="JN100" s="585">
        <f t="shared" si="512"/>
        <v>9.5652173913043481E-2</v>
      </c>
      <c r="JO100" s="585">
        <f t="shared" si="512"/>
        <v>0.28651685393258425</v>
      </c>
      <c r="JP100" s="585">
        <f t="shared" si="512"/>
        <v>0.37323943661971831</v>
      </c>
      <c r="JQ100" s="585">
        <f t="shared" si="512"/>
        <v>8.8757396449704137E-2</v>
      </c>
      <c r="JR100" s="585">
        <f t="shared" si="512"/>
        <v>0.14615384615384616</v>
      </c>
      <c r="JS100" s="585">
        <f t="shared" si="512"/>
        <v>0.10465116279069768</v>
      </c>
      <c r="JT100" s="585">
        <f t="shared" si="512"/>
        <v>0.10227272727272728</v>
      </c>
      <c r="JU100" s="585">
        <f t="shared" si="512"/>
        <v>0.14018691588785046</v>
      </c>
      <c r="JV100" s="585">
        <f t="shared" si="512"/>
        <v>6.0869565217391307E-2</v>
      </c>
      <c r="JW100" s="585">
        <f t="shared" si="512"/>
        <v>0.42364532019704432</v>
      </c>
      <c r="JX100" s="585">
        <f t="shared" si="512"/>
        <v>0.11398963730569948</v>
      </c>
      <c r="JY100" s="585">
        <f t="shared" si="512"/>
        <v>7.792207792207792E-2</v>
      </c>
      <c r="JZ100" s="585">
        <f t="shared" ref="JZ100:KC100" si="513">+JZ47/JZ4</f>
        <v>0.47058823529411764</v>
      </c>
      <c r="KA100" s="585">
        <f t="shared" si="513"/>
        <v>5.7553956834532377E-2</v>
      </c>
      <c r="KB100" s="585">
        <f t="shared" si="513"/>
        <v>0.25</v>
      </c>
      <c r="KC100" s="585">
        <f t="shared" si="513"/>
        <v>7.9646017699115043E-2</v>
      </c>
      <c r="KD100" s="585">
        <f t="shared" ref="KD100:KE100" si="514">+KD47/KD4</f>
        <v>7.586206896551724E-2</v>
      </c>
      <c r="KE100" s="585">
        <f t="shared" si="514"/>
        <v>0.17449664429530201</v>
      </c>
      <c r="KF100" s="585">
        <f t="shared" ref="KF100:KJ100" si="515">+KF47/KF4</f>
        <v>0.37864077669902912</v>
      </c>
      <c r="KG100" s="585">
        <f t="shared" si="515"/>
        <v>0.31092436974789917</v>
      </c>
      <c r="KH100" s="585">
        <f t="shared" si="515"/>
        <v>0.28799999999999998</v>
      </c>
      <c r="KI100" s="585">
        <f t="shared" si="515"/>
        <v>7.1770334928229665E-2</v>
      </c>
      <c r="KJ100" s="585">
        <f t="shared" si="515"/>
        <v>0.18367346938775511</v>
      </c>
      <c r="KK100" s="585">
        <f t="shared" ref="KK100:KL100" si="516">+KK51/KK8</f>
        <v>0.1996996996996997</v>
      </c>
      <c r="KL100" s="585">
        <f t="shared" si="516"/>
        <v>0.24254473161033796</v>
      </c>
      <c r="KM100" s="585">
        <f t="shared" ref="KM100" si="517">+KM51/KM8</f>
        <v>0.19444444444444445</v>
      </c>
      <c r="KN100" s="833">
        <f t="shared" si="485"/>
        <v>0.12878787878787878</v>
      </c>
      <c r="KO100" s="585">
        <f t="shared" ref="KO100" si="518">KO69</f>
        <v>0.25568181818181818</v>
      </c>
    </row>
    <row r="101" spans="1:301" ht="15.6" thickBot="1">
      <c r="A101" s="971" t="s">
        <v>117</v>
      </c>
      <c r="B101" s="972"/>
      <c r="C101" s="972"/>
      <c r="D101" s="972"/>
      <c r="E101" s="972"/>
      <c r="F101" s="972"/>
      <c r="G101" s="973"/>
      <c r="H101" s="579">
        <v>0.25811542891200001</v>
      </c>
      <c r="I101" s="579">
        <v>0.17747886900900001</v>
      </c>
      <c r="J101" s="579">
        <v>0.207408590132</v>
      </c>
      <c r="K101" s="579">
        <v>0.16863822318800001</v>
      </c>
      <c r="L101" s="580">
        <v>-0.19645024318599999</v>
      </c>
      <c r="Q101" s="544"/>
      <c r="R101" s="545"/>
      <c r="S101" s="545"/>
      <c r="T101" s="545"/>
      <c r="U101" s="545"/>
      <c r="V101" s="545"/>
      <c r="W101" s="546"/>
      <c r="X101" s="593" t="s">
        <v>78</v>
      </c>
      <c r="Y101" s="593" t="s">
        <v>161</v>
      </c>
      <c r="Z101" s="593" t="s">
        <v>162</v>
      </c>
      <c r="AA101" s="593" t="s">
        <v>79</v>
      </c>
      <c r="AB101" s="593" t="s">
        <v>80</v>
      </c>
      <c r="AG101" s="968" t="s">
        <v>115</v>
      </c>
      <c r="AH101" s="969"/>
      <c r="AI101" s="969"/>
      <c r="AJ101" s="969"/>
      <c r="AK101" s="969"/>
      <c r="AL101" s="969"/>
      <c r="AM101" s="970"/>
      <c r="AN101" s="576">
        <v>0.10470886251600001</v>
      </c>
      <c r="AO101" s="576">
        <v>0.14742335037900001</v>
      </c>
      <c r="AP101" s="576">
        <v>0.16050134039899999</v>
      </c>
      <c r="AQ101" s="576">
        <v>8.8710438249999995E-2</v>
      </c>
      <c r="AR101" s="577">
        <v>0.53283434221899995</v>
      </c>
      <c r="AW101" s="968" t="s">
        <v>116</v>
      </c>
      <c r="AX101" s="969"/>
      <c r="AY101" s="969"/>
      <c r="AZ101" s="969"/>
      <c r="BA101" s="969"/>
      <c r="BB101" s="969"/>
      <c r="BC101" s="970"/>
      <c r="BD101" s="578">
        <v>4.7221690340810003</v>
      </c>
      <c r="BE101" s="578">
        <v>5.500838603</v>
      </c>
      <c r="BF101" s="578">
        <v>5.4991626277509997</v>
      </c>
      <c r="BG101" s="576">
        <v>-3.0467631700000002E-4</v>
      </c>
      <c r="BH101" s="577">
        <v>0.164541673129</v>
      </c>
      <c r="BM101" s="968" t="s">
        <v>116</v>
      </c>
      <c r="BN101" s="969"/>
      <c r="BO101" s="969"/>
      <c r="BP101" s="969"/>
      <c r="BQ101" s="969"/>
      <c r="BR101" s="969"/>
      <c r="BS101" s="970"/>
      <c r="BT101" s="578">
        <v>3.65920487106</v>
      </c>
      <c r="BU101" s="578">
        <v>4.556048607318</v>
      </c>
      <c r="BV101" s="578">
        <v>4.5061644763580002</v>
      </c>
      <c r="BW101" s="576">
        <v>-1.0948990069999999E-2</v>
      </c>
      <c r="BX101" s="577">
        <v>0.23146001252699999</v>
      </c>
      <c r="CC101" s="971" t="s">
        <v>117</v>
      </c>
      <c r="CD101" s="972"/>
      <c r="CE101" s="972"/>
      <c r="CF101" s="972"/>
      <c r="CG101" s="972"/>
      <c r="CH101" s="972"/>
      <c r="CI101" s="973"/>
      <c r="CJ101" s="579">
        <v>0.295577958985</v>
      </c>
      <c r="CK101" s="579">
        <v>0.245913030757</v>
      </c>
      <c r="CL101" s="579">
        <v>0.254667165468</v>
      </c>
      <c r="CM101" s="579">
        <v>3.5598498722000001E-2</v>
      </c>
      <c r="CN101" s="580">
        <v>-0.13840948647500001</v>
      </c>
      <c r="CS101" s="977" t="s">
        <v>119</v>
      </c>
      <c r="CT101" s="978"/>
      <c r="CU101" s="978"/>
      <c r="CV101" s="978"/>
      <c r="CW101" s="978"/>
      <c r="CX101" s="978"/>
      <c r="CY101" s="979"/>
      <c r="CZ101" s="576">
        <v>0.85911521633400001</v>
      </c>
      <c r="DA101" s="576">
        <v>0.87567735992100004</v>
      </c>
      <c r="DB101" s="576">
        <v>0.87479679202299998</v>
      </c>
      <c r="DC101" s="576">
        <v>-1.0055848629999999E-3</v>
      </c>
      <c r="DD101" s="577">
        <v>1.8253169529E-2</v>
      </c>
      <c r="DI101" s="968" t="s">
        <v>115</v>
      </c>
      <c r="DJ101" s="969"/>
      <c r="DK101" s="969"/>
      <c r="DL101" s="969"/>
      <c r="DM101" s="969"/>
      <c r="DN101" s="969"/>
      <c r="DO101" s="970"/>
      <c r="DP101" s="576">
        <v>0.107246531041</v>
      </c>
      <c r="DQ101" s="576">
        <v>0.107254457119</v>
      </c>
      <c r="DR101" s="576">
        <v>0.106969495951</v>
      </c>
      <c r="DS101" s="576">
        <v>-2.6568701740000002E-3</v>
      </c>
      <c r="DT101" s="577">
        <v>-2.5831613170000001E-3</v>
      </c>
      <c r="DY101" s="968" t="s">
        <v>120</v>
      </c>
      <c r="DZ101" s="969"/>
      <c r="EA101" s="969"/>
      <c r="EB101" s="969"/>
      <c r="EC101" s="969"/>
      <c r="ED101" s="969"/>
      <c r="EE101" s="970"/>
      <c r="EF101" s="576">
        <v>0.109856493769</v>
      </c>
      <c r="EG101" s="576">
        <v>9.8659377847000004E-2</v>
      </c>
      <c r="EH101" s="576">
        <v>9.8271391528999996E-2</v>
      </c>
      <c r="EI101" s="576">
        <v>-3.9325842689999996E-3</v>
      </c>
      <c r="EJ101" s="577">
        <v>-0.105456690288</v>
      </c>
      <c r="EO101" s="968" t="s">
        <v>116</v>
      </c>
      <c r="EP101" s="969"/>
      <c r="EQ101" s="969"/>
      <c r="ER101" s="969"/>
      <c r="ES101" s="969"/>
      <c r="ET101" s="969"/>
      <c r="EU101" s="970"/>
      <c r="EV101" s="578">
        <v>4.5634764756199999</v>
      </c>
      <c r="EW101" s="578">
        <v>5.8776372261120002</v>
      </c>
      <c r="EX101" s="578">
        <v>5.8886522687929999</v>
      </c>
      <c r="EY101" s="576">
        <v>1.874059636E-3</v>
      </c>
      <c r="EZ101" s="577">
        <v>0.29038733961899998</v>
      </c>
      <c r="FE101" s="968" t="s">
        <v>116</v>
      </c>
      <c r="FF101" s="969"/>
      <c r="FG101" s="969"/>
      <c r="FH101" s="969"/>
      <c r="FI101" s="969"/>
      <c r="FJ101" s="969"/>
      <c r="FK101" s="970"/>
      <c r="FL101" s="578">
        <v>3.1840154392839999</v>
      </c>
      <c r="FM101" s="578">
        <v>4.0403362325599996</v>
      </c>
      <c r="FN101" s="578">
        <v>4.0708161674639998</v>
      </c>
      <c r="FO101" s="576">
        <v>7.5439104930000002E-3</v>
      </c>
      <c r="FP101" s="577">
        <v>0.27851646610699998</v>
      </c>
      <c r="GJ101" s="353" t="s">
        <v>137</v>
      </c>
      <c r="GL101" s="353">
        <v>5</v>
      </c>
      <c r="GM101" s="353" t="s">
        <v>137</v>
      </c>
      <c r="GN101" s="585">
        <f t="shared" ref="GN101:GS101" si="519">+GN52/GN9</f>
        <v>0.16427640156453716</v>
      </c>
      <c r="GO101" s="585">
        <f t="shared" si="519"/>
        <v>0.21503131524008351</v>
      </c>
      <c r="GP101" s="585">
        <f t="shared" si="519"/>
        <v>0.23323170731707318</v>
      </c>
      <c r="GQ101" s="585">
        <f t="shared" si="519"/>
        <v>0.1906677393403057</v>
      </c>
      <c r="GR101" s="585">
        <f t="shared" si="519"/>
        <v>0.28708901363271855</v>
      </c>
      <c r="GS101" s="585">
        <f t="shared" si="519"/>
        <v>5.3042121684867397E-2</v>
      </c>
      <c r="GT101" s="585">
        <f t="shared" ref="GT101:HL101" si="520">+GT52/GT9</f>
        <v>5.459387483355526E-2</v>
      </c>
      <c r="GU101" s="585">
        <f t="shared" si="520"/>
        <v>0.29174311926605506</v>
      </c>
      <c r="GV101" s="585">
        <f t="shared" si="520"/>
        <v>0.23952095808383234</v>
      </c>
      <c r="GW101" s="585">
        <f t="shared" si="520"/>
        <v>0.36430678466076694</v>
      </c>
      <c r="GX101" s="585">
        <f t="shared" si="520"/>
        <v>0.31778929188255611</v>
      </c>
      <c r="GY101" s="585">
        <f t="shared" si="520"/>
        <v>0.39292730844793711</v>
      </c>
      <c r="GZ101" s="585">
        <f t="shared" si="520"/>
        <v>0.38579387186629527</v>
      </c>
      <c r="HA101" s="585">
        <f t="shared" si="520"/>
        <v>0.35018726591760302</v>
      </c>
      <c r="HB101" s="585">
        <f t="shared" si="520"/>
        <v>0.27724665391969405</v>
      </c>
      <c r="HC101" s="585">
        <f t="shared" si="520"/>
        <v>0.30044843049327352</v>
      </c>
      <c r="HD101" s="585">
        <f t="shared" si="520"/>
        <v>0.22097378277153559</v>
      </c>
      <c r="HE101" s="585">
        <f t="shared" si="520"/>
        <v>0.12860576923076922</v>
      </c>
      <c r="HF101" s="585">
        <f t="shared" si="520"/>
        <v>6.5769805680119586E-2</v>
      </c>
      <c r="HG101" s="585">
        <f t="shared" si="520"/>
        <v>6.8150208623087627E-2</v>
      </c>
      <c r="HH101" s="585">
        <f t="shared" si="520"/>
        <v>0.16960651289009498</v>
      </c>
      <c r="HI101" s="585">
        <f t="shared" si="520"/>
        <v>4.0257648953301126E-2</v>
      </c>
      <c r="HJ101" s="585">
        <f t="shared" si="520"/>
        <v>7.7826725403817909E-2</v>
      </c>
      <c r="HK101" s="585">
        <f t="shared" si="520"/>
        <v>0.23113207547169812</v>
      </c>
      <c r="HL101" s="585">
        <f t="shared" si="520"/>
        <v>3.6608863198458574E-2</v>
      </c>
      <c r="HM101" s="585">
        <f t="shared" ref="HM101:HP101" si="521">+HM52/HM9</f>
        <v>0.1709090909090909</v>
      </c>
      <c r="HN101" s="585">
        <f t="shared" si="521"/>
        <v>0.34097421203438394</v>
      </c>
      <c r="HO101" s="585">
        <f t="shared" si="521"/>
        <v>0.55378486055776888</v>
      </c>
      <c r="HP101" s="585">
        <f t="shared" si="521"/>
        <v>8.7403598971722368E-2</v>
      </c>
      <c r="HQ101" s="585">
        <f t="shared" ref="HQ101:HS101" si="522">+HQ52/HQ9</f>
        <v>4.6296296296296294E-2</v>
      </c>
      <c r="HR101" s="585">
        <f t="shared" si="522"/>
        <v>0.22413793103448276</v>
      </c>
      <c r="HS101" s="585">
        <f t="shared" si="522"/>
        <v>0.1907356948228883</v>
      </c>
      <c r="HT101" s="585">
        <f t="shared" ref="HT101:HW101" si="523">+HT52/HT9</f>
        <v>0.35735735735735735</v>
      </c>
      <c r="HU101" s="585">
        <f t="shared" si="523"/>
        <v>0.22611464968152867</v>
      </c>
      <c r="HV101" s="585">
        <f t="shared" si="523"/>
        <v>0.29629629629629628</v>
      </c>
      <c r="HW101" s="585">
        <f t="shared" si="523"/>
        <v>0.30132450331125826</v>
      </c>
      <c r="HX101" s="585">
        <f t="shared" ref="HX101:HZ101" si="524">+HX52/HX9</f>
        <v>0.17647058823529413</v>
      </c>
      <c r="HY101" s="585">
        <f t="shared" si="524"/>
        <v>0.19137931034482758</v>
      </c>
      <c r="HZ101" s="585">
        <f t="shared" si="524"/>
        <v>0.31578947368421051</v>
      </c>
      <c r="IA101" s="585">
        <f t="shared" ref="IA101" si="525">+IA52/IA9</f>
        <v>0.2709677419354839</v>
      </c>
      <c r="IB101" s="831">
        <f>+IB52/II9</f>
        <v>0.29491525423728815</v>
      </c>
      <c r="IC101" s="585">
        <f>+IC52/IJ9</f>
        <v>0.20106761565836298</v>
      </c>
      <c r="IV101" s="353">
        <v>5</v>
      </c>
      <c r="IW101" s="353" t="s">
        <v>137</v>
      </c>
      <c r="IX101" s="585">
        <f t="shared" ref="IX101:JE101" si="526">+IX52/IX9</f>
        <v>0.15514993481095177</v>
      </c>
      <c r="IY101" s="585">
        <f t="shared" si="526"/>
        <v>0.23277661795407098</v>
      </c>
      <c r="IZ101" s="585">
        <f t="shared" si="526"/>
        <v>0.2972560975609756</v>
      </c>
      <c r="JA101" s="585">
        <f t="shared" si="526"/>
        <v>0.19629927594529364</v>
      </c>
      <c r="JB101" s="585">
        <f t="shared" si="526"/>
        <v>0.27586206896551724</v>
      </c>
      <c r="JC101" s="585">
        <f t="shared" si="526"/>
        <v>0.24960998439937598</v>
      </c>
      <c r="JD101" s="585">
        <f t="shared" si="526"/>
        <v>0.2769640479360852</v>
      </c>
      <c r="JE101" s="585">
        <f t="shared" si="526"/>
        <v>0.25688073394495414</v>
      </c>
      <c r="JF101" s="585">
        <f t="shared" ref="JF101:JY101" si="527">+JF52/JF9</f>
        <v>0.22754491017964071</v>
      </c>
      <c r="JG101" s="585">
        <f t="shared" si="527"/>
        <v>0.31415929203539822</v>
      </c>
      <c r="JH101" s="585">
        <f t="shared" si="527"/>
        <v>0.27720207253886009</v>
      </c>
      <c r="JI101" s="585">
        <f t="shared" si="527"/>
        <v>0.35952848722986247</v>
      </c>
      <c r="JJ101" s="585">
        <f t="shared" si="527"/>
        <v>0.4763231197771588</v>
      </c>
      <c r="JK101" s="585">
        <f t="shared" si="527"/>
        <v>0.5056179775280899</v>
      </c>
      <c r="JL101" s="585">
        <f t="shared" si="527"/>
        <v>0.37476099426386233</v>
      </c>
      <c r="JM101" s="585">
        <f t="shared" si="527"/>
        <v>0.31390134529147984</v>
      </c>
      <c r="JN101" s="585">
        <f t="shared" si="527"/>
        <v>0.25093632958801498</v>
      </c>
      <c r="JO101" s="585">
        <f t="shared" si="527"/>
        <v>0.15024038461538461</v>
      </c>
      <c r="JP101" s="585">
        <f t="shared" si="527"/>
        <v>7.1748878923766815E-2</v>
      </c>
      <c r="JQ101" s="585">
        <f t="shared" si="527"/>
        <v>0.12517385257301808</v>
      </c>
      <c r="JR101" s="585">
        <f t="shared" si="527"/>
        <v>0.18046132971506107</v>
      </c>
      <c r="JS101" s="585">
        <f t="shared" si="527"/>
        <v>0.1610305958132045</v>
      </c>
      <c r="JT101" s="585">
        <f t="shared" si="527"/>
        <v>0.21439060205580029</v>
      </c>
      <c r="JU101" s="585">
        <f t="shared" si="527"/>
        <v>0.24528301886792453</v>
      </c>
      <c r="JV101" s="585">
        <f t="shared" si="527"/>
        <v>0.27360308285163776</v>
      </c>
      <c r="JW101" s="585">
        <f t="shared" si="527"/>
        <v>0.28545454545454546</v>
      </c>
      <c r="JX101" s="585">
        <f t="shared" si="527"/>
        <v>0.28939828080229224</v>
      </c>
      <c r="JY101" s="585">
        <f t="shared" si="527"/>
        <v>0.24302788844621515</v>
      </c>
      <c r="JZ101" s="585">
        <f t="shared" ref="JZ101:KC101" si="528">+JZ52/JZ9</f>
        <v>0.30334190231362468</v>
      </c>
      <c r="KA101" s="585">
        <f t="shared" si="528"/>
        <v>4.3981481481481483E-2</v>
      </c>
      <c r="KB101" s="585">
        <f t="shared" si="528"/>
        <v>0.21674876847290642</v>
      </c>
      <c r="KC101" s="585">
        <f t="shared" si="528"/>
        <v>0.20163487738419619</v>
      </c>
      <c r="KD101" s="585">
        <f t="shared" ref="KD101:KE101" si="529">+KD52/KD9</f>
        <v>0.37537537537537535</v>
      </c>
      <c r="KE101" s="585">
        <f t="shared" si="529"/>
        <v>0.20382165605095542</v>
      </c>
      <c r="KF101" s="585">
        <f t="shared" ref="KF101:KL101" si="530">+KF52/KF9</f>
        <v>0.29135802469135802</v>
      </c>
      <c r="KG101" s="585">
        <f t="shared" si="530"/>
        <v>0.2185430463576159</v>
      </c>
      <c r="KH101" s="585">
        <f t="shared" si="530"/>
        <v>0.22426470588235295</v>
      </c>
      <c r="KI101" s="585">
        <f t="shared" si="530"/>
        <v>0.19310344827586207</v>
      </c>
      <c r="KJ101" s="585">
        <f t="shared" si="530"/>
        <v>0.30827067669172931</v>
      </c>
      <c r="KK101" s="585">
        <f t="shared" si="530"/>
        <v>0.27526881720430108</v>
      </c>
      <c r="KL101" s="585">
        <f t="shared" si="530"/>
        <v>0.16949152542372881</v>
      </c>
      <c r="KM101" s="585">
        <f t="shared" ref="KM101" si="531">+KM52/KM9</f>
        <v>0.22826086956521738</v>
      </c>
      <c r="KN101" s="833">
        <f t="shared" si="485"/>
        <v>0.37966101694915255</v>
      </c>
      <c r="KO101" s="585">
        <f t="shared" ref="KO101" si="532">KO70</f>
        <v>0.24377224199288255</v>
      </c>
    </row>
    <row r="102" spans="1:301" ht="15.6" thickBot="1">
      <c r="A102" s="975" t="s">
        <v>118</v>
      </c>
      <c r="B102" s="976"/>
      <c r="C102" s="976"/>
      <c r="D102" s="976"/>
      <c r="E102" s="976"/>
      <c r="F102" s="976"/>
      <c r="G102" s="976"/>
      <c r="H102" s="976"/>
      <c r="I102" s="976"/>
      <c r="J102" s="976"/>
      <c r="K102" s="976"/>
      <c r="L102" s="976"/>
      <c r="Q102" s="977" t="s">
        <v>119</v>
      </c>
      <c r="R102" s="978"/>
      <c r="S102" s="978"/>
      <c r="T102" s="978"/>
      <c r="U102" s="978"/>
      <c r="V102" s="978"/>
      <c r="W102" s="979"/>
      <c r="X102" s="576">
        <v>0.80878466306200003</v>
      </c>
      <c r="Y102" s="576">
        <v>0.80061463959699997</v>
      </c>
      <c r="Z102" s="576">
        <v>0.79985578078599995</v>
      </c>
      <c r="AA102" s="576">
        <v>-9.4784528399999995E-4</v>
      </c>
      <c r="AB102" s="577">
        <v>-1.1039875857E-2</v>
      </c>
      <c r="AG102" s="968" t="s">
        <v>116</v>
      </c>
      <c r="AH102" s="969"/>
      <c r="AI102" s="969"/>
      <c r="AJ102" s="969"/>
      <c r="AK102" s="969"/>
      <c r="AL102" s="969"/>
      <c r="AM102" s="970"/>
      <c r="AN102" s="578">
        <v>5.4305433593680004</v>
      </c>
      <c r="AO102" s="578">
        <v>6.6713344523549996</v>
      </c>
      <c r="AP102" s="578">
        <v>6.7752347737629997</v>
      </c>
      <c r="AQ102" s="576">
        <v>1.5574143695999999E-2</v>
      </c>
      <c r="AR102" s="577">
        <v>0.24761636643099999</v>
      </c>
      <c r="AW102" s="971" t="s">
        <v>117</v>
      </c>
      <c r="AX102" s="972"/>
      <c r="AY102" s="972"/>
      <c r="AZ102" s="972"/>
      <c r="BA102" s="972"/>
      <c r="BB102" s="972"/>
      <c r="BC102" s="973"/>
      <c r="BD102" s="579">
        <v>0.40917755565699998</v>
      </c>
      <c r="BE102" s="579">
        <v>0.41031311036700002</v>
      </c>
      <c r="BF102" s="579">
        <v>0.43707644319099997</v>
      </c>
      <c r="BG102" s="579">
        <v>6.5226609015000006E-2</v>
      </c>
      <c r="BH102" s="580">
        <v>6.8182839326E-2</v>
      </c>
      <c r="BM102" s="971" t="s">
        <v>117</v>
      </c>
      <c r="BN102" s="972"/>
      <c r="BO102" s="972"/>
      <c r="BP102" s="972"/>
      <c r="BQ102" s="972"/>
      <c r="BR102" s="972"/>
      <c r="BS102" s="973"/>
      <c r="BT102" s="579">
        <v>0.419862766341</v>
      </c>
      <c r="BU102" s="579">
        <v>0.48132029616200001</v>
      </c>
      <c r="BV102" s="579">
        <v>0.50440466041400001</v>
      </c>
      <c r="BW102" s="579">
        <v>4.7960504546000003E-2</v>
      </c>
      <c r="BX102" s="580">
        <v>0.201356016419</v>
      </c>
      <c r="CC102" s="975" t="s">
        <v>118</v>
      </c>
      <c r="CD102" s="976"/>
      <c r="CE102" s="976"/>
      <c r="CF102" s="976"/>
      <c r="CG102" s="976"/>
      <c r="CH102" s="976"/>
      <c r="CI102" s="976"/>
      <c r="CJ102" s="976"/>
      <c r="CK102" s="976"/>
      <c r="CL102" s="976"/>
      <c r="CM102" s="976"/>
      <c r="CN102" s="976"/>
      <c r="CS102" s="968" t="s">
        <v>120</v>
      </c>
      <c r="CT102" s="969"/>
      <c r="CU102" s="969"/>
      <c r="CV102" s="969"/>
      <c r="CW102" s="969"/>
      <c r="CX102" s="969"/>
      <c r="CY102" s="970"/>
      <c r="CZ102" s="576">
        <v>0.28839502743200002</v>
      </c>
      <c r="DA102" s="576">
        <v>0.27408691882500003</v>
      </c>
      <c r="DB102" s="576">
        <v>0.272637368592</v>
      </c>
      <c r="DC102" s="576">
        <v>-5.2886516400000002E-3</v>
      </c>
      <c r="DD102" s="577">
        <v>-5.4639148880000002E-2</v>
      </c>
      <c r="DI102" s="968" t="s">
        <v>116</v>
      </c>
      <c r="DJ102" s="969"/>
      <c r="DK102" s="969"/>
      <c r="DL102" s="969"/>
      <c r="DM102" s="969"/>
      <c r="DN102" s="969"/>
      <c r="DO102" s="970"/>
      <c r="DP102" s="578">
        <v>4.8472397742110003</v>
      </c>
      <c r="DQ102" s="578">
        <v>5.0730382932960003</v>
      </c>
      <c r="DR102" s="578">
        <v>5.0739758742529997</v>
      </c>
      <c r="DS102" s="576">
        <v>1.84816455E-4</v>
      </c>
      <c r="DT102" s="577">
        <v>4.6776332635000001E-2</v>
      </c>
      <c r="DY102" s="968" t="s">
        <v>121</v>
      </c>
      <c r="DZ102" s="969"/>
      <c r="EA102" s="969"/>
      <c r="EB102" s="969"/>
      <c r="EC102" s="969"/>
      <c r="ED102" s="969"/>
      <c r="EE102" s="970"/>
      <c r="EF102" s="576">
        <v>0.60983781683899996</v>
      </c>
      <c r="EG102" s="576">
        <v>0.63575729504400003</v>
      </c>
      <c r="EH102" s="576">
        <v>0.63297504267100002</v>
      </c>
      <c r="EI102" s="576">
        <v>-4.376280687E-3</v>
      </c>
      <c r="EJ102" s="577">
        <v>3.7939965664E-2</v>
      </c>
      <c r="EO102" s="971" t="s">
        <v>117</v>
      </c>
      <c r="EP102" s="972"/>
      <c r="EQ102" s="972"/>
      <c r="ER102" s="972"/>
      <c r="ES102" s="972"/>
      <c r="ET102" s="972"/>
      <c r="EU102" s="973"/>
      <c r="EV102" s="579">
        <v>0.26415474983999998</v>
      </c>
      <c r="EW102" s="579">
        <v>0.25315988349500002</v>
      </c>
      <c r="EX102" s="579">
        <v>0.27818264475299997</v>
      </c>
      <c r="EY102" s="579">
        <v>9.8841731604999997E-2</v>
      </c>
      <c r="EZ102" s="580">
        <v>5.3104836922999998E-2</v>
      </c>
      <c r="FE102" s="971" t="s">
        <v>117</v>
      </c>
      <c r="FF102" s="972"/>
      <c r="FG102" s="972"/>
      <c r="FH102" s="972"/>
      <c r="FI102" s="972"/>
      <c r="FJ102" s="972"/>
      <c r="FK102" s="973"/>
      <c r="FL102" s="579">
        <v>0.23642646653499999</v>
      </c>
      <c r="FM102" s="579">
        <v>0.22374067069299999</v>
      </c>
      <c r="FN102" s="579">
        <v>0.24049520610799999</v>
      </c>
      <c r="FO102" s="579">
        <v>7.4883727499000005E-2</v>
      </c>
      <c r="FP102" s="580">
        <v>1.7209323610999999E-2</v>
      </c>
      <c r="GJ102" s="353" t="s">
        <v>123</v>
      </c>
      <c r="GL102" s="353">
        <v>6</v>
      </c>
      <c r="GM102" s="353" t="s">
        <v>123</v>
      </c>
      <c r="GN102" s="585">
        <f t="shared" ref="GN102:GS102" si="533">+GN46/GN3</f>
        <v>0.59530386740331487</v>
      </c>
      <c r="GO102" s="585">
        <f t="shared" si="533"/>
        <v>0.18861209964412812</v>
      </c>
      <c r="GP102" s="585">
        <f t="shared" si="533"/>
        <v>0.35416666666666669</v>
      </c>
      <c r="GQ102" s="585">
        <f t="shared" si="533"/>
        <v>0.37731481481481483</v>
      </c>
      <c r="GR102" s="585">
        <f t="shared" si="533"/>
        <v>0.30327868852459017</v>
      </c>
      <c r="GS102" s="585">
        <f t="shared" si="533"/>
        <v>0.27631578947368424</v>
      </c>
      <c r="GT102" s="585">
        <f t="shared" ref="GT102:HL102" si="534">+GT46/GT3</f>
        <v>0.31020408163265306</v>
      </c>
      <c r="GU102" s="585">
        <f t="shared" si="534"/>
        <v>0.49609375</v>
      </c>
      <c r="GV102" s="585">
        <f t="shared" si="534"/>
        <v>0.29268292682926828</v>
      </c>
      <c r="GW102" s="585">
        <f t="shared" si="534"/>
        <v>0.24087591240875914</v>
      </c>
      <c r="GX102" s="585">
        <f t="shared" si="534"/>
        <v>0.19217081850533807</v>
      </c>
      <c r="GY102" s="585">
        <f t="shared" si="534"/>
        <v>0.33333333333333331</v>
      </c>
      <c r="GZ102" s="585">
        <f t="shared" si="534"/>
        <v>0.30409356725146197</v>
      </c>
      <c r="HA102" s="585">
        <f t="shared" si="534"/>
        <v>0.31318681318681318</v>
      </c>
      <c r="HB102" s="585">
        <f t="shared" si="534"/>
        <v>0.33571428571428569</v>
      </c>
      <c r="HC102" s="585">
        <f t="shared" si="534"/>
        <v>0.23863636363636365</v>
      </c>
      <c r="HD102" s="585">
        <f t="shared" si="534"/>
        <v>0.12941176470588237</v>
      </c>
      <c r="HE102" s="585">
        <f t="shared" si="534"/>
        <v>0.18888888888888888</v>
      </c>
      <c r="HF102" s="585">
        <f t="shared" si="534"/>
        <v>0.17777777777777778</v>
      </c>
      <c r="HG102" s="585">
        <f t="shared" si="534"/>
        <v>8.2568807339449546E-2</v>
      </c>
      <c r="HH102" s="585">
        <f t="shared" si="534"/>
        <v>0.21551724137931033</v>
      </c>
      <c r="HI102" s="585">
        <f t="shared" si="534"/>
        <v>0.28925619834710742</v>
      </c>
      <c r="HJ102" s="585">
        <f t="shared" si="534"/>
        <v>0.16216216216216217</v>
      </c>
      <c r="HK102" s="585">
        <f t="shared" si="534"/>
        <v>0.12162162162162163</v>
      </c>
      <c r="HL102" s="585">
        <f t="shared" si="534"/>
        <v>5.6338028169014086E-2</v>
      </c>
      <c r="HM102" s="585">
        <f t="shared" ref="HM102:HP102" si="535">+HM46/HM3</f>
        <v>0.16</v>
      </c>
      <c r="HN102" s="585">
        <f t="shared" si="535"/>
        <v>0.2578125</v>
      </c>
      <c r="HO102" s="585">
        <f t="shared" si="535"/>
        <v>8.6419753086419748E-2</v>
      </c>
      <c r="HP102" s="585">
        <f t="shared" si="535"/>
        <v>6.0240963855421686E-2</v>
      </c>
      <c r="HQ102" s="585">
        <f t="shared" ref="HQ102:HS102" si="536">+HQ46/HQ3</f>
        <v>8.1632653061224483E-2</v>
      </c>
      <c r="HR102" s="585">
        <f t="shared" si="536"/>
        <v>6.7567567567567571E-2</v>
      </c>
      <c r="HS102" s="585">
        <f t="shared" si="536"/>
        <v>5.5555555555555552E-2</v>
      </c>
      <c r="HT102" s="585">
        <f t="shared" ref="HT102:HW102" si="537">+HT46/HT3</f>
        <v>8.6419753086419748E-2</v>
      </c>
      <c r="HU102" s="585">
        <f t="shared" si="537"/>
        <v>9.2783505154639179E-2</v>
      </c>
      <c r="HV102" s="585">
        <f t="shared" si="537"/>
        <v>9.45945945945946E-2</v>
      </c>
      <c r="HW102" s="585">
        <f t="shared" si="537"/>
        <v>4.9382716049382713E-2</v>
      </c>
      <c r="HX102" s="585">
        <f t="shared" ref="HX102" si="538">+HX46/HX3</f>
        <v>0.05</v>
      </c>
      <c r="HY102" s="585">
        <f t="shared" ref="HY102:HZ102" si="539">+HY53/HY10</f>
        <v>0.16821310984735111</v>
      </c>
      <c r="HZ102" s="585">
        <f t="shared" si="539"/>
        <v>0.17156374501992031</v>
      </c>
      <c r="IA102" s="585">
        <f t="shared" ref="IA102:IB102" si="540">+IA53/IA10</f>
        <v>0.18493701420530689</v>
      </c>
      <c r="IB102" s="831">
        <f t="shared" si="540"/>
        <v>0.16994719155064811</v>
      </c>
      <c r="IC102" s="585">
        <f t="shared" ref="IC102" si="541">+IC53/IC10</f>
        <v>0.15012106537530268</v>
      </c>
      <c r="IV102" s="353">
        <v>6</v>
      </c>
      <c r="IW102" s="353" t="s">
        <v>123</v>
      </c>
      <c r="IX102" s="585">
        <f t="shared" ref="IX102:JE102" si="542">+IX46/IX3</f>
        <v>0.649171270718232</v>
      </c>
      <c r="IY102" s="585">
        <f t="shared" si="542"/>
        <v>0.39323843416370108</v>
      </c>
      <c r="IZ102" s="585">
        <f t="shared" si="542"/>
        <v>0.33333333333333331</v>
      </c>
      <c r="JA102" s="585">
        <f t="shared" si="542"/>
        <v>0.30324074074074076</v>
      </c>
      <c r="JB102" s="585">
        <f t="shared" si="542"/>
        <v>0.26639344262295084</v>
      </c>
      <c r="JC102" s="585">
        <f t="shared" si="542"/>
        <v>0.25438596491228072</v>
      </c>
      <c r="JD102" s="585">
        <f t="shared" si="542"/>
        <v>0.29387755102040819</v>
      </c>
      <c r="JE102" s="585">
        <f t="shared" si="542"/>
        <v>0.4296875</v>
      </c>
      <c r="JF102" s="585">
        <f t="shared" ref="JF102:JY102" si="543">+JF46/JF3</f>
        <v>0.29878048780487804</v>
      </c>
      <c r="JG102" s="585">
        <f t="shared" si="543"/>
        <v>0.21167883211678831</v>
      </c>
      <c r="JH102" s="585">
        <f t="shared" si="543"/>
        <v>0.18861209964412812</v>
      </c>
      <c r="JI102" s="585">
        <f t="shared" si="543"/>
        <v>0.25308641975308643</v>
      </c>
      <c r="JJ102" s="585">
        <f t="shared" si="543"/>
        <v>0.31578947368421051</v>
      </c>
      <c r="JK102" s="585">
        <f t="shared" si="543"/>
        <v>0.32417582417582419</v>
      </c>
      <c r="JL102" s="585">
        <f t="shared" si="543"/>
        <v>0.4</v>
      </c>
      <c r="JM102" s="585">
        <f t="shared" si="543"/>
        <v>0.25</v>
      </c>
      <c r="JN102" s="585">
        <f t="shared" si="543"/>
        <v>0.25882352941176473</v>
      </c>
      <c r="JO102" s="585">
        <f t="shared" si="543"/>
        <v>0.28888888888888886</v>
      </c>
      <c r="JP102" s="585">
        <f t="shared" si="543"/>
        <v>0.28888888888888886</v>
      </c>
      <c r="JQ102" s="585">
        <f t="shared" si="543"/>
        <v>0.14678899082568808</v>
      </c>
      <c r="JR102" s="585">
        <f t="shared" si="543"/>
        <v>0.23275862068965517</v>
      </c>
      <c r="JS102" s="585">
        <f t="shared" si="543"/>
        <v>0.28925619834710742</v>
      </c>
      <c r="JT102" s="585">
        <f t="shared" si="543"/>
        <v>0.25225225225225223</v>
      </c>
      <c r="JU102" s="585">
        <f t="shared" si="543"/>
        <v>0.35135135135135137</v>
      </c>
      <c r="JV102" s="585">
        <f t="shared" si="543"/>
        <v>0.18309859154929578</v>
      </c>
      <c r="JW102" s="585">
        <f t="shared" si="543"/>
        <v>0.06</v>
      </c>
      <c r="JX102" s="585">
        <f t="shared" si="543"/>
        <v>3.90625E-2</v>
      </c>
      <c r="JY102" s="585">
        <f t="shared" si="543"/>
        <v>3.7037037037037035E-2</v>
      </c>
      <c r="JZ102" s="585">
        <f t="shared" ref="JZ102:KC102" si="544">+JZ46/JZ3</f>
        <v>0.18072289156626506</v>
      </c>
      <c r="KA102" s="585">
        <f t="shared" si="544"/>
        <v>3.0612244897959183E-2</v>
      </c>
      <c r="KB102" s="585">
        <f t="shared" si="544"/>
        <v>2.7027027027027029E-2</v>
      </c>
      <c r="KC102" s="585">
        <f t="shared" si="544"/>
        <v>5.5555555555555552E-2</v>
      </c>
      <c r="KD102" s="585">
        <f t="shared" ref="KD102:KE102" si="545">+KD46/KD3</f>
        <v>0.1111111111111111</v>
      </c>
      <c r="KE102" s="585">
        <f t="shared" si="545"/>
        <v>0.14432989690721648</v>
      </c>
      <c r="KF102" s="585">
        <f t="shared" ref="KF102:KJ102" si="546">+KF46/KF3</f>
        <v>0.13513513513513514</v>
      </c>
      <c r="KG102" s="585">
        <f t="shared" si="546"/>
        <v>2.4691358024691357E-2</v>
      </c>
      <c r="KH102" s="585">
        <f t="shared" si="546"/>
        <v>0.16250000000000001</v>
      </c>
      <c r="KI102" s="585">
        <f t="shared" si="546"/>
        <v>0.11235955056179775</v>
      </c>
      <c r="KJ102" s="585">
        <f t="shared" si="546"/>
        <v>0.15294117647058825</v>
      </c>
      <c r="KK102" s="585">
        <f t="shared" ref="KK102:KL102" si="547">+KK53/KK10</f>
        <v>0.14151701956580007</v>
      </c>
      <c r="KL102" s="585">
        <f t="shared" si="547"/>
        <v>0.14114258281325012</v>
      </c>
      <c r="KM102" s="585">
        <f t="shared" ref="KM102" si="548">+KM53/KM10</f>
        <v>0.13728813559322034</v>
      </c>
      <c r="KN102" s="833">
        <f t="shared" si="485"/>
        <v>0.36363636363636365</v>
      </c>
      <c r="KO102" s="585">
        <f t="shared" ref="KO102" si="549">KO71</f>
        <v>0.29310344827586204</v>
      </c>
    </row>
    <row r="103" spans="1:301" ht="15.6" thickBot="1">
      <c r="A103" s="544"/>
      <c r="B103" s="545"/>
      <c r="C103" s="545"/>
      <c r="D103" s="545"/>
      <c r="E103" s="545"/>
      <c r="F103" s="545"/>
      <c r="G103" s="546"/>
      <c r="H103" s="593" t="s">
        <v>78</v>
      </c>
      <c r="I103" s="593" t="s">
        <v>161</v>
      </c>
      <c r="J103" s="593" t="s">
        <v>162</v>
      </c>
      <c r="K103" s="593" t="s">
        <v>79</v>
      </c>
      <c r="L103" s="593" t="s">
        <v>80</v>
      </c>
      <c r="Q103" s="968" t="s">
        <v>120</v>
      </c>
      <c r="R103" s="969"/>
      <c r="S103" s="969"/>
      <c r="T103" s="969"/>
      <c r="U103" s="969"/>
      <c r="V103" s="969"/>
      <c r="W103" s="970"/>
      <c r="X103" s="576">
        <v>0.55100014757299998</v>
      </c>
      <c r="Y103" s="576">
        <v>0.61807200063800005</v>
      </c>
      <c r="Z103" s="576">
        <v>0.63885105360100003</v>
      </c>
      <c r="AA103" s="576">
        <v>3.3619146218000003E-2</v>
      </c>
      <c r="AB103" s="577">
        <v>0.15943898819999999</v>
      </c>
      <c r="AG103" s="971" t="s">
        <v>117</v>
      </c>
      <c r="AH103" s="972"/>
      <c r="AI103" s="972"/>
      <c r="AJ103" s="972"/>
      <c r="AK103" s="972"/>
      <c r="AL103" s="972"/>
      <c r="AM103" s="973"/>
      <c r="AN103" s="579">
        <v>0.36172195160600001</v>
      </c>
      <c r="AO103" s="579">
        <v>0.36046209552199998</v>
      </c>
      <c r="AP103" s="579">
        <v>0.37653660595100003</v>
      </c>
      <c r="AQ103" s="579">
        <v>4.4594176830999997E-2</v>
      </c>
      <c r="AR103" s="580">
        <v>4.0955917325000001E-2</v>
      </c>
      <c r="AW103" s="975" t="s">
        <v>118</v>
      </c>
      <c r="AX103" s="976"/>
      <c r="AY103" s="976"/>
      <c r="AZ103" s="976"/>
      <c r="BA103" s="976"/>
      <c r="BB103" s="976"/>
      <c r="BC103" s="976"/>
      <c r="BD103" s="976"/>
      <c r="BE103" s="976"/>
      <c r="BF103" s="976"/>
      <c r="BG103" s="976"/>
      <c r="BH103" s="976"/>
      <c r="BM103" s="975" t="s">
        <v>118</v>
      </c>
      <c r="BN103" s="976"/>
      <c r="BO103" s="976"/>
      <c r="BP103" s="976"/>
      <c r="BQ103" s="976"/>
      <c r="BR103" s="976"/>
      <c r="BS103" s="976"/>
      <c r="BT103" s="976"/>
      <c r="BU103" s="976"/>
      <c r="BV103" s="976"/>
      <c r="BW103" s="976"/>
      <c r="BX103" s="976"/>
      <c r="CC103" s="544"/>
      <c r="CD103" s="545"/>
      <c r="CE103" s="545"/>
      <c r="CF103" s="545"/>
      <c r="CG103" s="545"/>
      <c r="CH103" s="545"/>
      <c r="CI103" s="546"/>
      <c r="CJ103" s="593" t="s">
        <v>78</v>
      </c>
      <c r="CK103" s="593" t="s">
        <v>161</v>
      </c>
      <c r="CL103" s="593" t="s">
        <v>162</v>
      </c>
      <c r="CM103" s="593" t="s">
        <v>79</v>
      </c>
      <c r="CN103" s="593" t="s">
        <v>80</v>
      </c>
      <c r="CS103" s="968" t="s">
        <v>121</v>
      </c>
      <c r="CT103" s="969"/>
      <c r="CU103" s="969"/>
      <c r="CV103" s="969"/>
      <c r="CW103" s="969"/>
      <c r="CX103" s="969"/>
      <c r="CY103" s="970"/>
      <c r="CZ103" s="576">
        <v>0.491585430913</v>
      </c>
      <c r="DA103" s="576">
        <v>0.51213626026799997</v>
      </c>
      <c r="DB103" s="576">
        <v>0.51368972032000004</v>
      </c>
      <c r="DC103" s="576">
        <v>3.0332944039999999E-3</v>
      </c>
      <c r="DD103" s="577">
        <v>4.4965306165000003E-2</v>
      </c>
      <c r="DI103" s="971" t="s">
        <v>117</v>
      </c>
      <c r="DJ103" s="972"/>
      <c r="DK103" s="972"/>
      <c r="DL103" s="972"/>
      <c r="DM103" s="972"/>
      <c r="DN103" s="972"/>
      <c r="DO103" s="973"/>
      <c r="DP103" s="579">
        <v>0.54866226739699997</v>
      </c>
      <c r="DQ103" s="579">
        <v>0.53917091376000004</v>
      </c>
      <c r="DR103" s="579">
        <v>0.56838065878900002</v>
      </c>
      <c r="DS103" s="579">
        <v>5.4175298190999997E-2</v>
      </c>
      <c r="DT103" s="580">
        <v>3.5939033104999997E-2</v>
      </c>
      <c r="DY103" s="968" t="s">
        <v>39</v>
      </c>
      <c r="DZ103" s="969"/>
      <c r="EA103" s="969"/>
      <c r="EB103" s="969"/>
      <c r="EC103" s="969"/>
      <c r="ED103" s="969"/>
      <c r="EE103" s="970"/>
      <c r="EF103" s="576">
        <v>0.27279679697600001</v>
      </c>
      <c r="EG103" s="576">
        <v>0.57208555685700002</v>
      </c>
      <c r="EH103" s="576">
        <v>0.57169403630000004</v>
      </c>
      <c r="EI103" s="576">
        <v>-6.8437413099999998E-4</v>
      </c>
      <c r="EJ103" s="577">
        <v>1.0956772316829999</v>
      </c>
      <c r="EO103" s="975" t="s">
        <v>118</v>
      </c>
      <c r="EP103" s="976"/>
      <c r="EQ103" s="976"/>
      <c r="ER103" s="976"/>
      <c r="ES103" s="976"/>
      <c r="ET103" s="976"/>
      <c r="EU103" s="976"/>
      <c r="EV103" s="976"/>
      <c r="EW103" s="976"/>
      <c r="EX103" s="976"/>
      <c r="EY103" s="976"/>
      <c r="EZ103" s="976"/>
      <c r="FE103" s="975" t="s">
        <v>118</v>
      </c>
      <c r="FF103" s="976"/>
      <c r="FG103" s="976"/>
      <c r="FH103" s="976"/>
      <c r="FI103" s="976"/>
      <c r="FJ103" s="976"/>
      <c r="FK103" s="976"/>
      <c r="FL103" s="976"/>
      <c r="FM103" s="976"/>
      <c r="FN103" s="976"/>
      <c r="FO103" s="976"/>
      <c r="FP103" s="976"/>
      <c r="GJ103" s="353" t="s">
        <v>139</v>
      </c>
      <c r="GL103" s="353">
        <v>7</v>
      </c>
      <c r="GM103" s="353" t="s">
        <v>139</v>
      </c>
      <c r="GN103" s="585">
        <f t="shared" ref="GN103:GS103" si="550">+GN54/GN11</f>
        <v>0.24516129032258063</v>
      </c>
      <c r="GO103" s="585">
        <f t="shared" si="550"/>
        <v>0.17058823529411765</v>
      </c>
      <c r="GP103" s="585">
        <f t="shared" si="550"/>
        <v>0.22099447513812154</v>
      </c>
      <c r="GQ103" s="585">
        <f t="shared" si="550"/>
        <v>8.8235294117647065E-2</v>
      </c>
      <c r="GR103" s="585">
        <f t="shared" si="550"/>
        <v>0.12418300653594772</v>
      </c>
      <c r="GS103" s="585">
        <f t="shared" si="550"/>
        <v>0.13385826771653545</v>
      </c>
      <c r="GT103" s="585">
        <f t="shared" ref="GT103:HL103" si="551">+GT54/GT11</f>
        <v>0.13084112149532709</v>
      </c>
      <c r="GU103" s="585">
        <f t="shared" si="551"/>
        <v>8.2802547770700632E-2</v>
      </c>
      <c r="GV103" s="585">
        <f t="shared" si="551"/>
        <v>0.10928961748633879</v>
      </c>
      <c r="GW103" s="585">
        <f t="shared" si="551"/>
        <v>0.23643410852713179</v>
      </c>
      <c r="GX103" s="585">
        <f t="shared" si="551"/>
        <v>0.17358490566037735</v>
      </c>
      <c r="GY103" s="585">
        <f t="shared" si="551"/>
        <v>0.28000000000000003</v>
      </c>
      <c r="GZ103" s="585">
        <f t="shared" si="551"/>
        <v>0.13718411552346571</v>
      </c>
      <c r="HA103" s="585">
        <f t="shared" si="551"/>
        <v>4.405286343612335E-2</v>
      </c>
      <c r="HB103" s="585">
        <f t="shared" si="551"/>
        <v>0.12840466926070038</v>
      </c>
      <c r="HC103" s="585">
        <f t="shared" si="551"/>
        <v>0.17733990147783252</v>
      </c>
      <c r="HD103" s="585">
        <f t="shared" si="551"/>
        <v>8.6538461538461536E-2</v>
      </c>
      <c r="HE103" s="585">
        <f t="shared" si="551"/>
        <v>0.15151515151515152</v>
      </c>
      <c r="HF103" s="585">
        <f t="shared" si="551"/>
        <v>0.18656716417910449</v>
      </c>
      <c r="HG103" s="585">
        <f t="shared" si="551"/>
        <v>0.15642458100558659</v>
      </c>
      <c r="HH103" s="585">
        <f t="shared" si="551"/>
        <v>0.1811320754716981</v>
      </c>
      <c r="HI103" s="585">
        <f t="shared" si="551"/>
        <v>0.11428571428571428</v>
      </c>
      <c r="HJ103" s="585">
        <f t="shared" si="551"/>
        <v>0</v>
      </c>
      <c r="HK103" s="585">
        <f t="shared" si="551"/>
        <v>0</v>
      </c>
      <c r="HL103" s="585">
        <f t="shared" si="551"/>
        <v>4.048582995951417E-3</v>
      </c>
      <c r="HM103" s="585">
        <f t="shared" ref="HM103:HP103" si="552">+HM54/HM11</f>
        <v>0.17277486910994763</v>
      </c>
      <c r="HN103" s="585">
        <f t="shared" si="552"/>
        <v>0.21886792452830189</v>
      </c>
      <c r="HO103" s="585">
        <f t="shared" si="552"/>
        <v>0.17391304347826086</v>
      </c>
      <c r="HP103" s="585">
        <f t="shared" si="552"/>
        <v>0.1497005988023952</v>
      </c>
      <c r="HQ103" s="585">
        <f t="shared" ref="HQ103:HS103" si="553">+HQ54/HQ11</f>
        <v>0.1072961373390558</v>
      </c>
      <c r="HR103" s="585">
        <f t="shared" si="553"/>
        <v>0.12365591397849462</v>
      </c>
      <c r="HS103" s="585">
        <f t="shared" si="553"/>
        <v>0.23949579831932774</v>
      </c>
      <c r="HT103" s="585">
        <f t="shared" ref="HT103:HW103" si="554">+HT54/HT11</f>
        <v>0.2608695652173913</v>
      </c>
      <c r="HU103" s="585">
        <f t="shared" si="554"/>
        <v>0.12751677852348994</v>
      </c>
      <c r="HV103" s="585">
        <f t="shared" si="554"/>
        <v>0.102880658436214</v>
      </c>
      <c r="HW103" s="585">
        <f t="shared" si="554"/>
        <v>0.11616161616161616</v>
      </c>
      <c r="HX103" s="585">
        <f t="shared" ref="HX103:HZ103" si="555">+HX54/HX11</f>
        <v>0.14583333333333334</v>
      </c>
      <c r="HY103" s="585">
        <f t="shared" si="555"/>
        <v>0.11682242990654206</v>
      </c>
      <c r="HZ103" s="585">
        <f t="shared" si="555"/>
        <v>0.18974358974358974</v>
      </c>
      <c r="IA103" s="585">
        <f t="shared" ref="IA103" si="556">+IA54/IA11</f>
        <v>0.13043478260869565</v>
      </c>
      <c r="IB103" s="831">
        <f>+IB54/II11</f>
        <v>0.25</v>
      </c>
      <c r="IC103" s="585">
        <f>+IC54/IJ11</f>
        <v>0.19827586206896552</v>
      </c>
      <c r="IV103" s="353">
        <v>7</v>
      </c>
      <c r="IW103" s="353" t="s">
        <v>139</v>
      </c>
      <c r="IX103" s="585">
        <f t="shared" ref="IX103:JE103" si="557">+IX54/IX11</f>
        <v>0.18064516129032257</v>
      </c>
      <c r="IY103" s="585">
        <f t="shared" si="557"/>
        <v>0.10588235294117647</v>
      </c>
      <c r="IZ103" s="585">
        <f t="shared" si="557"/>
        <v>0.11602209944751381</v>
      </c>
      <c r="JA103" s="585">
        <f t="shared" si="557"/>
        <v>6.4705882352941183E-2</v>
      </c>
      <c r="JB103" s="585">
        <f t="shared" si="557"/>
        <v>7.8431372549019607E-2</v>
      </c>
      <c r="JC103" s="585">
        <f t="shared" si="557"/>
        <v>0.10236220472440945</v>
      </c>
      <c r="JD103" s="585">
        <f t="shared" si="557"/>
        <v>0.10280373831775701</v>
      </c>
      <c r="JE103" s="585">
        <f t="shared" si="557"/>
        <v>0.10828025477707007</v>
      </c>
      <c r="JF103" s="585">
        <f t="shared" ref="JF103:JY103" si="558">+JF54/JF11</f>
        <v>8.1967213114754092E-2</v>
      </c>
      <c r="JG103" s="585">
        <f t="shared" si="558"/>
        <v>5.0387596899224806E-2</v>
      </c>
      <c r="JH103" s="585">
        <f t="shared" si="558"/>
        <v>9.4339622641509441E-2</v>
      </c>
      <c r="JI103" s="585">
        <f t="shared" si="558"/>
        <v>0.25818181818181818</v>
      </c>
      <c r="JJ103" s="585">
        <f t="shared" si="558"/>
        <v>0.11913357400722022</v>
      </c>
      <c r="JK103" s="585">
        <f t="shared" si="558"/>
        <v>5.7268722466960353E-2</v>
      </c>
      <c r="JL103" s="585">
        <f t="shared" si="558"/>
        <v>0.11673151750972763</v>
      </c>
      <c r="JM103" s="585">
        <f t="shared" si="558"/>
        <v>0.13300492610837439</v>
      </c>
      <c r="JN103" s="585">
        <f t="shared" si="558"/>
        <v>9.6153846153846159E-2</v>
      </c>
      <c r="JO103" s="585">
        <f t="shared" si="558"/>
        <v>0.15151515151515152</v>
      </c>
      <c r="JP103" s="585">
        <f t="shared" si="558"/>
        <v>0.14925373134328357</v>
      </c>
      <c r="JQ103" s="585">
        <f t="shared" si="558"/>
        <v>0.20670391061452514</v>
      </c>
      <c r="JR103" s="585">
        <f t="shared" si="558"/>
        <v>0.17735849056603772</v>
      </c>
      <c r="JS103" s="585">
        <f t="shared" si="558"/>
        <v>0.18571428571428572</v>
      </c>
      <c r="JT103" s="585">
        <f t="shared" si="558"/>
        <v>6.7692307692307691E-2</v>
      </c>
      <c r="JU103" s="585">
        <f t="shared" si="558"/>
        <v>0.1210762331838565</v>
      </c>
      <c r="JV103" s="585">
        <f t="shared" si="558"/>
        <v>4.048582995951417E-3</v>
      </c>
      <c r="JW103" s="585">
        <f t="shared" si="558"/>
        <v>0</v>
      </c>
      <c r="JX103" s="585">
        <f t="shared" si="558"/>
        <v>1.509433962264151E-2</v>
      </c>
      <c r="JY103" s="585">
        <f t="shared" si="558"/>
        <v>0.22705314009661837</v>
      </c>
      <c r="JZ103" s="585">
        <f t="shared" ref="JZ103:KC103" si="559">+JZ54/JZ11</f>
        <v>0.19760479041916168</v>
      </c>
      <c r="KA103" s="585">
        <f t="shared" si="559"/>
        <v>0.18884120171673821</v>
      </c>
      <c r="KB103" s="585">
        <f t="shared" si="559"/>
        <v>0.16129032258064516</v>
      </c>
      <c r="KC103" s="585">
        <f t="shared" si="559"/>
        <v>0.27310924369747897</v>
      </c>
      <c r="KD103" s="585">
        <f t="shared" ref="KD103:KE103" si="560">+KD54/KD11</f>
        <v>0.23671497584541062</v>
      </c>
      <c r="KE103" s="585">
        <f t="shared" si="560"/>
        <v>0.12080536912751678</v>
      </c>
      <c r="KF103" s="585">
        <f t="shared" ref="KF103:KL103" si="561">+KF54/KF11</f>
        <v>0.102880658436214</v>
      </c>
      <c r="KG103" s="585">
        <f t="shared" si="561"/>
        <v>0.37878787878787878</v>
      </c>
      <c r="KH103" s="585">
        <f t="shared" si="561"/>
        <v>0.15277777777777779</v>
      </c>
      <c r="KI103" s="585">
        <f t="shared" si="561"/>
        <v>0.10747663551401869</v>
      </c>
      <c r="KJ103" s="585">
        <f t="shared" si="561"/>
        <v>0.14358974358974358</v>
      </c>
      <c r="KK103" s="585">
        <f t="shared" si="561"/>
        <v>0.11801242236024845</v>
      </c>
      <c r="KL103" s="585">
        <f t="shared" si="561"/>
        <v>0.14204545454545456</v>
      </c>
      <c r="KM103" s="585">
        <f t="shared" ref="KM103" si="562">+KM54/KM11</f>
        <v>8.9449541284403675E-2</v>
      </c>
      <c r="KN103" s="833">
        <f t="shared" si="485"/>
        <v>0.31428571428571428</v>
      </c>
      <c r="KO103" s="585">
        <f t="shared" ref="KO103" si="563">KO72</f>
        <v>0.16379310344827586</v>
      </c>
    </row>
    <row r="104" spans="1:301" ht="15.6" thickBot="1">
      <c r="A104" s="977" t="s">
        <v>119</v>
      </c>
      <c r="B104" s="978"/>
      <c r="C104" s="978"/>
      <c r="D104" s="978"/>
      <c r="E104" s="978"/>
      <c r="F104" s="978"/>
      <c r="G104" s="979"/>
      <c r="H104" s="576">
        <v>0.78840589241000003</v>
      </c>
      <c r="I104" s="576">
        <v>0.76724722913300003</v>
      </c>
      <c r="J104" s="576">
        <v>0.76676009892800001</v>
      </c>
      <c r="K104" s="576">
        <v>-6.3490643799999995E-4</v>
      </c>
      <c r="L104" s="577">
        <v>-2.7455139149E-2</v>
      </c>
      <c r="Q104" s="968" t="s">
        <v>121</v>
      </c>
      <c r="R104" s="969"/>
      <c r="S104" s="969"/>
      <c r="T104" s="969"/>
      <c r="U104" s="969"/>
      <c r="V104" s="969"/>
      <c r="W104" s="970"/>
      <c r="X104" s="576">
        <v>0.67423614105999996</v>
      </c>
      <c r="Y104" s="576">
        <v>0.69805583250199998</v>
      </c>
      <c r="Z104" s="576">
        <v>0.70059100470799995</v>
      </c>
      <c r="AA104" s="576">
        <v>3.6317613680000001E-3</v>
      </c>
      <c r="AB104" s="577">
        <v>3.9088476636E-2</v>
      </c>
      <c r="AG104" s="975" t="s">
        <v>118</v>
      </c>
      <c r="AH104" s="976"/>
      <c r="AI104" s="976"/>
      <c r="AJ104" s="976"/>
      <c r="AK104" s="976"/>
      <c r="AL104" s="976"/>
      <c r="AM104" s="976"/>
      <c r="AN104" s="976"/>
      <c r="AO104" s="976"/>
      <c r="AP104" s="976"/>
      <c r="AQ104" s="976"/>
      <c r="AR104" s="976"/>
      <c r="AW104" s="544"/>
      <c r="AX104" s="545"/>
      <c r="AY104" s="545"/>
      <c r="AZ104" s="545"/>
      <c r="BA104" s="545"/>
      <c r="BB104" s="545"/>
      <c r="BC104" s="546"/>
      <c r="BD104" s="593" t="s">
        <v>78</v>
      </c>
      <c r="BE104" s="593" t="s">
        <v>161</v>
      </c>
      <c r="BF104" s="593" t="s">
        <v>162</v>
      </c>
      <c r="BG104" s="593" t="s">
        <v>79</v>
      </c>
      <c r="BH104" s="593" t="s">
        <v>80</v>
      </c>
      <c r="BM104" s="544"/>
      <c r="BN104" s="545"/>
      <c r="BO104" s="545"/>
      <c r="BP104" s="545"/>
      <c r="BQ104" s="545"/>
      <c r="BR104" s="545"/>
      <c r="BS104" s="546"/>
      <c r="BT104" s="593" t="s">
        <v>78</v>
      </c>
      <c r="BU104" s="593" t="s">
        <v>161</v>
      </c>
      <c r="BV104" s="593" t="s">
        <v>162</v>
      </c>
      <c r="BW104" s="593" t="s">
        <v>79</v>
      </c>
      <c r="BX104" s="593" t="s">
        <v>80</v>
      </c>
      <c r="CC104" s="977" t="s">
        <v>119</v>
      </c>
      <c r="CD104" s="978"/>
      <c r="CE104" s="978"/>
      <c r="CF104" s="978"/>
      <c r="CG104" s="978"/>
      <c r="CH104" s="978"/>
      <c r="CI104" s="979"/>
      <c r="CJ104" s="576">
        <v>0.70645295482000003</v>
      </c>
      <c r="CK104" s="576">
        <v>0.71905719186200001</v>
      </c>
      <c r="CL104" s="576">
        <v>0.71589700601700001</v>
      </c>
      <c r="CM104" s="576">
        <v>-4.3949019360000003E-3</v>
      </c>
      <c r="CN104" s="577">
        <v>1.3368266255999999E-2</v>
      </c>
      <c r="CS104" s="968" t="s">
        <v>39</v>
      </c>
      <c r="CT104" s="969"/>
      <c r="CU104" s="969"/>
      <c r="CV104" s="969"/>
      <c r="CW104" s="969"/>
      <c r="CX104" s="969"/>
      <c r="CY104" s="970"/>
      <c r="CZ104" s="576">
        <v>0.35364955899700001</v>
      </c>
      <c r="DA104" s="576">
        <v>0.34865069903500001</v>
      </c>
      <c r="DB104" s="576">
        <v>0.341186192695</v>
      </c>
      <c r="DC104" s="576">
        <v>-2.1409698476000001E-2</v>
      </c>
      <c r="DD104" s="577">
        <v>-3.5242137264000002E-2</v>
      </c>
      <c r="DI104" s="975" t="s">
        <v>118</v>
      </c>
      <c r="DJ104" s="976"/>
      <c r="DK104" s="976"/>
      <c r="DL104" s="976"/>
      <c r="DM104" s="976"/>
      <c r="DN104" s="976"/>
      <c r="DO104" s="976"/>
      <c r="DP104" s="976"/>
      <c r="DQ104" s="976"/>
      <c r="DR104" s="976"/>
      <c r="DS104" s="976"/>
      <c r="DT104" s="976"/>
      <c r="DY104" s="971" t="s">
        <v>122</v>
      </c>
      <c r="DZ104" s="972"/>
      <c r="EA104" s="972"/>
      <c r="EB104" s="972"/>
      <c r="EC104" s="972"/>
      <c r="ED104" s="972"/>
      <c r="EE104" s="973"/>
      <c r="EF104" s="579">
        <v>0.49651356336300001</v>
      </c>
      <c r="EG104" s="579">
        <v>0.51143216625400001</v>
      </c>
      <c r="EH104" s="579">
        <v>0.51054451166799997</v>
      </c>
      <c r="EI104" s="579">
        <v>-1.735625259E-3</v>
      </c>
      <c r="EJ104" s="580">
        <v>2.8258942634999999E-2</v>
      </c>
      <c r="EO104" s="544"/>
      <c r="EP104" s="545"/>
      <c r="EQ104" s="545"/>
      <c r="ER104" s="545"/>
      <c r="ES104" s="545"/>
      <c r="ET104" s="545"/>
      <c r="EU104" s="546"/>
      <c r="EV104" s="593" t="s">
        <v>78</v>
      </c>
      <c r="EW104" s="593" t="s">
        <v>161</v>
      </c>
      <c r="EX104" s="593" t="s">
        <v>162</v>
      </c>
      <c r="EY104" s="593" t="s">
        <v>79</v>
      </c>
      <c r="EZ104" s="593" t="s">
        <v>80</v>
      </c>
      <c r="FE104" s="544"/>
      <c r="FF104" s="545"/>
      <c r="FG104" s="545"/>
      <c r="FH104" s="545"/>
      <c r="FI104" s="545"/>
      <c r="FJ104" s="545"/>
      <c r="FK104" s="546"/>
      <c r="FL104" s="593" t="s">
        <v>78</v>
      </c>
      <c r="FM104" s="593" t="s">
        <v>161</v>
      </c>
      <c r="FN104" s="593" t="s">
        <v>162</v>
      </c>
      <c r="FO104" s="593" t="s">
        <v>79</v>
      </c>
      <c r="FP104" s="593" t="s">
        <v>80</v>
      </c>
      <c r="FU104" s="995" t="s">
        <v>183</v>
      </c>
      <c r="FV104" s="995"/>
      <c r="GL104" s="353">
        <v>8</v>
      </c>
      <c r="HW104" s="713"/>
      <c r="HX104" s="742"/>
      <c r="IB104" s="831"/>
      <c r="IC104" s="585"/>
      <c r="IV104" s="353">
        <v>8</v>
      </c>
      <c r="KI104" s="713"/>
      <c r="KJ104" s="742"/>
      <c r="KN104" s="833">
        <f t="shared" si="485"/>
        <v>0</v>
      </c>
      <c r="KO104" s="585">
        <f t="shared" ref="KO104" si="564">KO73</f>
        <v>0</v>
      </c>
    </row>
    <row r="105" spans="1:301" ht="15.6" thickBot="1">
      <c r="A105" s="968" t="s">
        <v>120</v>
      </c>
      <c r="B105" s="969"/>
      <c r="C105" s="969"/>
      <c r="D105" s="969"/>
      <c r="E105" s="969"/>
      <c r="F105" s="969"/>
      <c r="G105" s="970"/>
      <c r="H105" s="576">
        <v>0.344600815467</v>
      </c>
      <c r="I105" s="576">
        <v>0.37948751090499999</v>
      </c>
      <c r="J105" s="576">
        <v>0.38529266281899999</v>
      </c>
      <c r="K105" s="576">
        <v>1.5297346412E-2</v>
      </c>
      <c r="L105" s="577">
        <v>0.118084013517</v>
      </c>
      <c r="Q105" s="968" t="s">
        <v>39</v>
      </c>
      <c r="R105" s="969"/>
      <c r="S105" s="969"/>
      <c r="T105" s="969"/>
      <c r="U105" s="969"/>
      <c r="V105" s="969"/>
      <c r="W105" s="970"/>
      <c r="X105" s="576">
        <v>0.726827566777</v>
      </c>
      <c r="Y105" s="576">
        <v>0.64785940451799995</v>
      </c>
      <c r="Z105" s="576">
        <v>0.63085222872000002</v>
      </c>
      <c r="AA105" s="576">
        <v>-2.6251337371000001E-2</v>
      </c>
      <c r="AB105" s="577">
        <v>-0.13204691517299999</v>
      </c>
      <c r="AG105" s="544"/>
      <c r="AH105" s="545"/>
      <c r="AI105" s="545"/>
      <c r="AJ105" s="545"/>
      <c r="AK105" s="545"/>
      <c r="AL105" s="545"/>
      <c r="AM105" s="546"/>
      <c r="AN105" s="593" t="s">
        <v>78</v>
      </c>
      <c r="AO105" s="593" t="s">
        <v>161</v>
      </c>
      <c r="AP105" s="593" t="s">
        <v>162</v>
      </c>
      <c r="AQ105" s="593" t="s">
        <v>79</v>
      </c>
      <c r="AR105" s="593" t="s">
        <v>80</v>
      </c>
      <c r="AW105" s="977" t="s">
        <v>119</v>
      </c>
      <c r="AX105" s="978"/>
      <c r="AY105" s="978"/>
      <c r="AZ105" s="978"/>
      <c r="BA105" s="978"/>
      <c r="BB105" s="978"/>
      <c r="BC105" s="979"/>
      <c r="BD105" s="576">
        <v>0.84318399406</v>
      </c>
      <c r="BE105" s="576">
        <v>0.85801828924900003</v>
      </c>
      <c r="BF105" s="576">
        <v>0.85909066699799996</v>
      </c>
      <c r="BG105" s="576">
        <v>1.2498308729999999E-3</v>
      </c>
      <c r="BH105" s="577">
        <v>1.8865008171000001E-2</v>
      </c>
      <c r="BM105" s="977" t="s">
        <v>119</v>
      </c>
      <c r="BN105" s="978"/>
      <c r="BO105" s="978"/>
      <c r="BP105" s="978"/>
      <c r="BQ105" s="978"/>
      <c r="BR105" s="978"/>
      <c r="BS105" s="979"/>
      <c r="BT105" s="576">
        <v>0.97725644699100001</v>
      </c>
      <c r="BU105" s="576">
        <v>0.96204259967200001</v>
      </c>
      <c r="BV105" s="576">
        <v>0.96592602628299995</v>
      </c>
      <c r="BW105" s="576">
        <v>4.0366472459999999E-3</v>
      </c>
      <c r="BX105" s="577">
        <v>-1.1594112008E-2</v>
      </c>
      <c r="CC105" s="968" t="s">
        <v>120</v>
      </c>
      <c r="CD105" s="969"/>
      <c r="CE105" s="969"/>
      <c r="CF105" s="969"/>
      <c r="CG105" s="969"/>
      <c r="CH105" s="969"/>
      <c r="CI105" s="970"/>
      <c r="CJ105" s="576">
        <v>0.37556726502600002</v>
      </c>
      <c r="CK105" s="576">
        <v>0.367674271346</v>
      </c>
      <c r="CL105" s="576">
        <v>0.372621266906</v>
      </c>
      <c r="CM105" s="576">
        <v>1.3454832021E-2</v>
      </c>
      <c r="CN105" s="577">
        <v>-7.8441291199999996E-3</v>
      </c>
      <c r="CS105" s="971" t="s">
        <v>122</v>
      </c>
      <c r="CT105" s="972"/>
      <c r="CU105" s="972"/>
      <c r="CV105" s="972"/>
      <c r="CW105" s="972"/>
      <c r="CX105" s="972"/>
      <c r="CY105" s="973"/>
      <c r="CZ105" s="579">
        <v>0.46836585873999997</v>
      </c>
      <c r="DA105" s="579">
        <v>0.46659260864800001</v>
      </c>
      <c r="DB105" s="579">
        <v>0.46641649506799998</v>
      </c>
      <c r="DC105" s="579">
        <v>-3.7744614100000001E-4</v>
      </c>
      <c r="DD105" s="580">
        <v>-4.1620533069999998E-3</v>
      </c>
      <c r="DI105" s="544"/>
      <c r="DJ105" s="545"/>
      <c r="DK105" s="545"/>
      <c r="DL105" s="545"/>
      <c r="DM105" s="545"/>
      <c r="DN105" s="545"/>
      <c r="DO105" s="546"/>
      <c r="DP105" s="593" t="s">
        <v>78</v>
      </c>
      <c r="DQ105" s="593" t="s">
        <v>161</v>
      </c>
      <c r="DR105" s="593" t="s">
        <v>162</v>
      </c>
      <c r="DS105" s="593" t="s">
        <v>79</v>
      </c>
      <c r="DT105" s="593" t="s">
        <v>80</v>
      </c>
      <c r="EO105" s="977" t="s">
        <v>119</v>
      </c>
      <c r="EP105" s="978"/>
      <c r="EQ105" s="978"/>
      <c r="ER105" s="978"/>
      <c r="ES105" s="978"/>
      <c r="ET105" s="978"/>
      <c r="EU105" s="979"/>
      <c r="EV105" s="576">
        <v>0.60398289136000005</v>
      </c>
      <c r="EW105" s="576">
        <v>0.67672615013899995</v>
      </c>
      <c r="EX105" s="576">
        <v>0.68301602829399999</v>
      </c>
      <c r="EY105" s="576">
        <v>9.2945693809999997E-3</v>
      </c>
      <c r="EZ105" s="577">
        <v>0.130853270952</v>
      </c>
      <c r="FE105" s="977" t="s">
        <v>119</v>
      </c>
      <c r="FF105" s="978"/>
      <c r="FG105" s="978"/>
      <c r="FH105" s="978"/>
      <c r="FI105" s="978"/>
      <c r="FJ105" s="978"/>
      <c r="FK105" s="979"/>
      <c r="FL105" s="576">
        <v>0.94685087611800001</v>
      </c>
      <c r="FM105" s="576">
        <v>0.952016811628</v>
      </c>
      <c r="FN105" s="576">
        <v>0.95354080837300004</v>
      </c>
      <c r="FO105" s="576">
        <v>1.600808648E-3</v>
      </c>
      <c r="FP105" s="577">
        <v>7.065454998E-3</v>
      </c>
      <c r="FU105" s="592" t="s">
        <v>142</v>
      </c>
      <c r="FV105" s="592" t="s">
        <v>145</v>
      </c>
      <c r="GJ105" s="353" t="s">
        <v>138</v>
      </c>
      <c r="GL105" s="353">
        <v>9</v>
      </c>
      <c r="GM105" s="353" t="s">
        <v>138</v>
      </c>
      <c r="GN105" s="585">
        <f t="shared" ref="GN105:GS105" si="565">+GN53/GN10</f>
        <v>0.11037891268533773</v>
      </c>
      <c r="GO105" s="585">
        <f t="shared" si="565"/>
        <v>0.10567345171069727</v>
      </c>
      <c r="GP105" s="585">
        <f t="shared" si="565"/>
        <v>0.13460772600557547</v>
      </c>
      <c r="GQ105" s="585">
        <f t="shared" si="565"/>
        <v>0.13671328671328672</v>
      </c>
      <c r="GR105" s="585">
        <f t="shared" si="565"/>
        <v>0.10337178349600711</v>
      </c>
      <c r="GS105" s="585">
        <f t="shared" si="565"/>
        <v>0.11394380853277836</v>
      </c>
      <c r="GT105" s="585">
        <f t="shared" ref="GT105:HL105" si="566">+GT53/GT10</f>
        <v>0.13695171978542126</v>
      </c>
      <c r="GU105" s="585">
        <f t="shared" si="566"/>
        <v>0.12447761194029851</v>
      </c>
      <c r="GV105" s="585">
        <f t="shared" si="566"/>
        <v>0.11331444759206799</v>
      </c>
      <c r="GW105" s="585">
        <f t="shared" si="566"/>
        <v>0.11193366893692627</v>
      </c>
      <c r="GX105" s="585">
        <f t="shared" si="566"/>
        <v>0.18155452436194897</v>
      </c>
      <c r="GY105" s="585">
        <f t="shared" si="566"/>
        <v>0.15296495956873316</v>
      </c>
      <c r="GZ105" s="585">
        <f t="shared" si="566"/>
        <v>7.2981366459627328E-2</v>
      </c>
      <c r="HA105" s="585">
        <f t="shared" si="566"/>
        <v>7.3353804162401906E-2</v>
      </c>
      <c r="HB105" s="585">
        <f t="shared" si="566"/>
        <v>5.6790123456790124E-2</v>
      </c>
      <c r="HC105" s="585">
        <f t="shared" si="566"/>
        <v>4.3294614572333683E-2</v>
      </c>
      <c r="HD105" s="585">
        <f t="shared" si="566"/>
        <v>3.0683403068340307E-2</v>
      </c>
      <c r="HE105" s="585">
        <f t="shared" si="566"/>
        <v>2.4752475247524754E-2</v>
      </c>
      <c r="HF105" s="585">
        <f t="shared" si="566"/>
        <v>8.4688346883468837E-2</v>
      </c>
      <c r="HG105" s="585">
        <f t="shared" si="566"/>
        <v>0.14949608062709965</v>
      </c>
      <c r="HH105" s="585">
        <f t="shared" si="566"/>
        <v>0.17030729359496483</v>
      </c>
      <c r="HI105" s="585">
        <f t="shared" si="566"/>
        <v>0.14249820531227567</v>
      </c>
      <c r="HJ105" s="585">
        <f t="shared" si="566"/>
        <v>0.15807962529274006</v>
      </c>
      <c r="HK105" s="585">
        <f t="shared" si="566"/>
        <v>0.14456521739130435</v>
      </c>
      <c r="HL105" s="585">
        <f t="shared" si="566"/>
        <v>0.12340966921119594</v>
      </c>
      <c r="HM105" s="585">
        <f t="shared" ref="HM105:HP105" si="567">+HM53/HM10</f>
        <v>0.18260869565217391</v>
      </c>
      <c r="HN105" s="585">
        <f t="shared" si="567"/>
        <v>0.13419674841554147</v>
      </c>
      <c r="HO105" s="585">
        <f t="shared" si="567"/>
        <v>0.21638141809290953</v>
      </c>
      <c r="HP105" s="585">
        <f t="shared" si="567"/>
        <v>0.15438247011952191</v>
      </c>
      <c r="HQ105" s="585">
        <f t="shared" ref="HQ105:HS105" si="568">+HQ53/HQ10</f>
        <v>0.15283505154639176</v>
      </c>
      <c r="HR105" s="585">
        <f t="shared" si="568"/>
        <v>0.13856209150326798</v>
      </c>
      <c r="HS105" s="585">
        <f t="shared" si="568"/>
        <v>0.15155728587319245</v>
      </c>
      <c r="HT105" s="585">
        <f t="shared" ref="HT105:HW105" si="569">+HT53/HT10</f>
        <v>0.25502788575291535</v>
      </c>
      <c r="HU105" s="585">
        <f t="shared" si="569"/>
        <v>0.12531581606872158</v>
      </c>
      <c r="HV105" s="585">
        <f t="shared" si="569"/>
        <v>0.14041656915516032</v>
      </c>
      <c r="HW105" s="585">
        <f t="shared" si="569"/>
        <v>0.16148830072880707</v>
      </c>
      <c r="HX105" s="585">
        <f t="shared" ref="HX105:HZ105" si="570">+HX53/HX10</f>
        <v>0.16569343065693432</v>
      </c>
      <c r="HY105" s="585">
        <f t="shared" si="570"/>
        <v>0.16821310984735111</v>
      </c>
      <c r="HZ105" s="585">
        <f t="shared" si="570"/>
        <v>0.17156374501992031</v>
      </c>
      <c r="IA105" s="585">
        <f t="shared" ref="IA105" si="571">+IA53/IA10</f>
        <v>0.18493701420530689</v>
      </c>
      <c r="IB105" s="831">
        <f>+IB53/II10</f>
        <v>0.19688542825361513</v>
      </c>
      <c r="IC105" s="585">
        <f>+IC53/IJ10</f>
        <v>0.19071055059981545</v>
      </c>
      <c r="IV105" s="353">
        <v>9</v>
      </c>
      <c r="IW105" s="353" t="s">
        <v>138</v>
      </c>
      <c r="IX105" s="585">
        <f t="shared" ref="IX105:JE105" si="572">+IX53/IX10</f>
        <v>5.8209774848984076E-2</v>
      </c>
      <c r="IY105" s="585">
        <f t="shared" si="572"/>
        <v>5.0238198354265913E-2</v>
      </c>
      <c r="IZ105" s="585">
        <f t="shared" si="572"/>
        <v>6.2923138191955399E-2</v>
      </c>
      <c r="JA105" s="585">
        <f t="shared" si="572"/>
        <v>0.1055944055944056</v>
      </c>
      <c r="JB105" s="585">
        <f t="shared" si="572"/>
        <v>4.9689440993788817E-2</v>
      </c>
      <c r="JC105" s="585">
        <f t="shared" si="572"/>
        <v>3.4859521331945892E-2</v>
      </c>
      <c r="JD105" s="585">
        <f t="shared" si="572"/>
        <v>4.2284632376143896E-2</v>
      </c>
      <c r="JE105" s="585">
        <f t="shared" si="572"/>
        <v>6.447761194029851E-2</v>
      </c>
      <c r="JF105" s="585">
        <f t="shared" ref="JF105:JY105" si="573">+JF53/JF10</f>
        <v>3.8243626062322948E-2</v>
      </c>
      <c r="JG105" s="585">
        <f t="shared" si="573"/>
        <v>2.9908202546639027E-2</v>
      </c>
      <c r="JH105" s="585">
        <f t="shared" si="573"/>
        <v>6.3225058004640372E-2</v>
      </c>
      <c r="JI105" s="585">
        <f t="shared" si="573"/>
        <v>6.8733153638814021E-2</v>
      </c>
      <c r="JJ105" s="585">
        <f t="shared" si="573"/>
        <v>0.10054347826086957</v>
      </c>
      <c r="JK105" s="585">
        <f t="shared" si="573"/>
        <v>8.2224496758785404E-2</v>
      </c>
      <c r="JL105" s="585">
        <f t="shared" si="573"/>
        <v>0.10679012345679012</v>
      </c>
      <c r="JM105" s="585">
        <f t="shared" si="573"/>
        <v>4.0654699049630413E-2</v>
      </c>
      <c r="JN105" s="585">
        <f t="shared" si="573"/>
        <v>3.2543003254300325E-2</v>
      </c>
      <c r="JO105" s="585">
        <f t="shared" si="573"/>
        <v>2.3652365236523653E-2</v>
      </c>
      <c r="JP105" s="585">
        <f t="shared" si="573"/>
        <v>7.2493224932249328E-2</v>
      </c>
      <c r="JQ105" s="585">
        <f t="shared" si="573"/>
        <v>0.12597984322508399</v>
      </c>
      <c r="JR105" s="585">
        <f t="shared" si="573"/>
        <v>0.15808959644576082</v>
      </c>
      <c r="JS105" s="585">
        <f t="shared" si="573"/>
        <v>0.12706389088298636</v>
      </c>
      <c r="JT105" s="585">
        <f t="shared" si="573"/>
        <v>0.13788056206088992</v>
      </c>
      <c r="JU105" s="585">
        <f t="shared" si="573"/>
        <v>0.12210144927536232</v>
      </c>
      <c r="JV105" s="585">
        <f t="shared" si="573"/>
        <v>0.10178117048346055</v>
      </c>
      <c r="JW105" s="585">
        <f t="shared" si="573"/>
        <v>0.10164917541229385</v>
      </c>
      <c r="JX105" s="585">
        <f t="shared" si="573"/>
        <v>8.9831909616974376E-2</v>
      </c>
      <c r="JY105" s="585">
        <f t="shared" si="573"/>
        <v>0.15770171149144255</v>
      </c>
      <c r="JZ105" s="585">
        <f t="shared" ref="JZ105:KC105" si="574">+JZ53/JZ10</f>
        <v>0.13579017264276227</v>
      </c>
      <c r="KA105" s="585">
        <f t="shared" si="574"/>
        <v>0.12938144329896908</v>
      </c>
      <c r="KB105" s="585">
        <f t="shared" si="574"/>
        <v>0.11045751633986928</v>
      </c>
      <c r="KC105" s="585">
        <f t="shared" si="574"/>
        <v>0.13403781979977752</v>
      </c>
      <c r="KD105" s="585">
        <f t="shared" ref="KD105:KE105" si="575">+KD53/KD10</f>
        <v>0.16393442622950818</v>
      </c>
      <c r="KE105" s="585">
        <f t="shared" si="575"/>
        <v>0.15891864578069731</v>
      </c>
      <c r="KF105" s="585">
        <f t="shared" ref="KF105:KL105" si="576">+KF53/KF10</f>
        <v>0.1844137608237772</v>
      </c>
      <c r="KG105" s="585">
        <f t="shared" si="576"/>
        <v>0.15304948216340622</v>
      </c>
      <c r="KH105" s="585">
        <f t="shared" si="576"/>
        <v>9.1605839416058391E-2</v>
      </c>
      <c r="KI105" s="585">
        <f t="shared" si="576"/>
        <v>0.1020652499251721</v>
      </c>
      <c r="KJ105" s="585">
        <f t="shared" si="576"/>
        <v>9.5617529880478086E-2</v>
      </c>
      <c r="KK105" s="585">
        <f t="shared" si="576"/>
        <v>0.14151701956580007</v>
      </c>
      <c r="KL105" s="585">
        <f t="shared" si="576"/>
        <v>0.14114258281325012</v>
      </c>
      <c r="KM105" s="585">
        <f t="shared" ref="KM105" si="577">+KM53/KM10</f>
        <v>0.13728813559322034</v>
      </c>
      <c r="KN105" s="833">
        <f t="shared" si="485"/>
        <v>0.13125695216907676</v>
      </c>
      <c r="KO105" s="585">
        <f t="shared" ref="KO105" si="578">KO74</f>
        <v>0.30698246693325132</v>
      </c>
    </row>
    <row r="106" spans="1:301" ht="15" thickBot="1">
      <c r="A106" s="968" t="s">
        <v>121</v>
      </c>
      <c r="B106" s="969"/>
      <c r="C106" s="969"/>
      <c r="D106" s="969"/>
      <c r="E106" s="969"/>
      <c r="F106" s="969"/>
      <c r="G106" s="970"/>
      <c r="H106" s="576">
        <v>0.46115026900700001</v>
      </c>
      <c r="I106" s="576">
        <v>0.43585747978400002</v>
      </c>
      <c r="J106" s="576">
        <v>0.44305866162000002</v>
      </c>
      <c r="K106" s="576">
        <v>1.6521872791000002E-2</v>
      </c>
      <c r="L106" s="577">
        <v>-3.9231479634999997E-2</v>
      </c>
      <c r="Q106" s="971" t="s">
        <v>122</v>
      </c>
      <c r="R106" s="972"/>
      <c r="S106" s="972"/>
      <c r="T106" s="972"/>
      <c r="U106" s="972"/>
      <c r="V106" s="972"/>
      <c r="W106" s="973"/>
      <c r="X106" s="579">
        <v>0.50479614698300002</v>
      </c>
      <c r="Y106" s="579">
        <v>0.55455924220999997</v>
      </c>
      <c r="Z106" s="579">
        <v>0.55484336191000005</v>
      </c>
      <c r="AA106" s="579">
        <v>5.1233425999999997E-4</v>
      </c>
      <c r="AB106" s="580">
        <v>9.9143417051999999E-2</v>
      </c>
      <c r="AG106" s="977" t="s">
        <v>119</v>
      </c>
      <c r="AH106" s="978"/>
      <c r="AI106" s="978"/>
      <c r="AJ106" s="978"/>
      <c r="AK106" s="978"/>
      <c r="AL106" s="978"/>
      <c r="AM106" s="979"/>
      <c r="AN106" s="576">
        <v>0.77006593643599996</v>
      </c>
      <c r="AO106" s="576">
        <v>0.76302840567999997</v>
      </c>
      <c r="AP106" s="576">
        <v>0.76079051096200001</v>
      </c>
      <c r="AQ106" s="576">
        <v>-2.9329114109999999E-3</v>
      </c>
      <c r="AR106" s="577">
        <v>-1.2044975676E-2</v>
      </c>
      <c r="AW106" s="968" t="s">
        <v>120</v>
      </c>
      <c r="AX106" s="969"/>
      <c r="AY106" s="969"/>
      <c r="AZ106" s="969"/>
      <c r="BA106" s="969"/>
      <c r="BB106" s="969"/>
      <c r="BC106" s="970"/>
      <c r="BD106" s="576">
        <v>0.31204288049599999</v>
      </c>
      <c r="BE106" s="576">
        <v>0.30685757972599997</v>
      </c>
      <c r="BF106" s="576">
        <v>0.30693391564700001</v>
      </c>
      <c r="BG106" s="576">
        <v>2.4876661199999998E-4</v>
      </c>
      <c r="BH106" s="577">
        <v>-1.6372637121000001E-2</v>
      </c>
      <c r="BM106" s="968" t="s">
        <v>120</v>
      </c>
      <c r="BN106" s="969"/>
      <c r="BO106" s="969"/>
      <c r="BP106" s="969"/>
      <c r="BQ106" s="969"/>
      <c r="BR106" s="969"/>
      <c r="BS106" s="970"/>
      <c r="BT106" s="576">
        <v>0.37822349570199998</v>
      </c>
      <c r="BU106" s="576">
        <v>0.42879574003199999</v>
      </c>
      <c r="BV106" s="576">
        <v>0.43611976696900001</v>
      </c>
      <c r="BW106" s="576">
        <v>1.7080456386E-2</v>
      </c>
      <c r="BX106" s="577">
        <v>0.15307423236500001</v>
      </c>
      <c r="CC106" s="968" t="s">
        <v>121</v>
      </c>
      <c r="CD106" s="969"/>
      <c r="CE106" s="969"/>
      <c r="CF106" s="969"/>
      <c r="CG106" s="969"/>
      <c r="CH106" s="969"/>
      <c r="CI106" s="970"/>
      <c r="CJ106" s="576">
        <v>0.418698642969</v>
      </c>
      <c r="CK106" s="576">
        <v>0.46268082486899997</v>
      </c>
      <c r="CL106" s="576">
        <v>0.47669063868</v>
      </c>
      <c r="CM106" s="576">
        <v>3.0279650806000001E-2</v>
      </c>
      <c r="CN106" s="577">
        <v>0.13850533476599999</v>
      </c>
      <c r="DI106" s="977" t="s">
        <v>119</v>
      </c>
      <c r="DJ106" s="978"/>
      <c r="DK106" s="978"/>
      <c r="DL106" s="978"/>
      <c r="DM106" s="978"/>
      <c r="DN106" s="978"/>
      <c r="DO106" s="979"/>
      <c r="DP106" s="576">
        <v>0.89273452967599998</v>
      </c>
      <c r="DQ106" s="576">
        <v>0.90489968475799998</v>
      </c>
      <c r="DR106" s="576">
        <v>0.90512976727100003</v>
      </c>
      <c r="DS106" s="576">
        <v>2.54263005E-4</v>
      </c>
      <c r="DT106" s="577">
        <v>1.3884572829E-2</v>
      </c>
      <c r="EO106" s="968" t="s">
        <v>120</v>
      </c>
      <c r="EP106" s="969"/>
      <c r="EQ106" s="969"/>
      <c r="ER106" s="969"/>
      <c r="ES106" s="969"/>
      <c r="ET106" s="969"/>
      <c r="EU106" s="970"/>
      <c r="EV106" s="576">
        <v>0.52120444824599999</v>
      </c>
      <c r="EW106" s="576">
        <v>0.47488893908500002</v>
      </c>
      <c r="EX106" s="576">
        <v>0.47385807810899999</v>
      </c>
      <c r="EY106" s="576">
        <v>-2.1707411800000001E-3</v>
      </c>
      <c r="EZ106" s="577">
        <v>-9.0840303255000004E-2</v>
      </c>
      <c r="FE106" s="968" t="s">
        <v>120</v>
      </c>
      <c r="FF106" s="969"/>
      <c r="FG106" s="969"/>
      <c r="FH106" s="969"/>
      <c r="FI106" s="969"/>
      <c r="FJ106" s="969"/>
      <c r="FK106" s="970"/>
      <c r="FL106" s="576">
        <v>0.15598578605499999</v>
      </c>
      <c r="FM106" s="576">
        <v>0.158397057965</v>
      </c>
      <c r="FN106" s="576">
        <v>0.155494933749</v>
      </c>
      <c r="FO106" s="576">
        <v>-1.8321831561999999E-2</v>
      </c>
      <c r="FP106" s="577">
        <v>-3.1467758630000001E-3</v>
      </c>
      <c r="FT106" s="592" t="s">
        <v>143</v>
      </c>
      <c r="FU106" s="335">
        <f>+SUM(FN82:FN83,DR83:DR84,BV82:BV83,BF82:BF83)</f>
        <v>380865</v>
      </c>
      <c r="FV106" s="335">
        <f>+SUM(EX82:EX83,EH78:EH79,DB78:DB79,CL81:CL82,AP83:AP84,Z79:Z80,J81:J82)</f>
        <v>636110</v>
      </c>
      <c r="GJ106" s="353" t="s">
        <v>132</v>
      </c>
      <c r="GL106" s="353">
        <v>10</v>
      </c>
      <c r="GM106" s="353" t="s">
        <v>132</v>
      </c>
      <c r="GN106" s="585">
        <f t="shared" ref="GN106:GS106" si="579">+GN49/GN6</f>
        <v>0.1410488245931284</v>
      </c>
      <c r="GO106" s="585">
        <f t="shared" si="579"/>
        <v>0.14918566775244299</v>
      </c>
      <c r="GP106" s="585">
        <f t="shared" si="579"/>
        <v>0.17940199335548174</v>
      </c>
      <c r="GQ106" s="585">
        <f t="shared" si="579"/>
        <v>0.21060842433697347</v>
      </c>
      <c r="GR106" s="585">
        <f t="shared" si="579"/>
        <v>0.26556679084619478</v>
      </c>
      <c r="GS106" s="585">
        <f t="shared" si="579"/>
        <v>0.2989449003516999</v>
      </c>
      <c r="GT106" s="585">
        <f t="shared" ref="GT106:HL106" si="580">+GT49/GT6</f>
        <v>0.21079429735234215</v>
      </c>
      <c r="GU106" s="585">
        <f t="shared" si="580"/>
        <v>0.21813031161473087</v>
      </c>
      <c r="GV106" s="585">
        <f t="shared" si="580"/>
        <v>0.23637264618434092</v>
      </c>
      <c r="GW106" s="585">
        <f t="shared" si="580"/>
        <v>0.25509696668324217</v>
      </c>
      <c r="GX106" s="585">
        <f t="shared" si="580"/>
        <v>0.33766233766233766</v>
      </c>
      <c r="GY106" s="585">
        <f t="shared" si="580"/>
        <v>0.41713483146067415</v>
      </c>
      <c r="GZ106" s="585">
        <f t="shared" si="580"/>
        <v>0.28625541125541126</v>
      </c>
      <c r="HA106" s="585">
        <f t="shared" si="580"/>
        <v>0.30921052631578949</v>
      </c>
      <c r="HB106" s="585">
        <f t="shared" si="580"/>
        <v>0.38790186125211507</v>
      </c>
      <c r="HC106" s="585">
        <f t="shared" si="580"/>
        <v>0.29172056921086675</v>
      </c>
      <c r="HD106" s="585">
        <f t="shared" si="580"/>
        <v>0.28059071729957807</v>
      </c>
      <c r="HE106" s="585">
        <f t="shared" si="580"/>
        <v>0.18360995850622408</v>
      </c>
      <c r="HF106" s="585">
        <f t="shared" si="580"/>
        <v>0.15307057745187902</v>
      </c>
      <c r="HG106" s="585">
        <f t="shared" si="580"/>
        <v>0.12748171368861025</v>
      </c>
      <c r="HH106" s="585">
        <f t="shared" si="580"/>
        <v>0.11148648648648649</v>
      </c>
      <c r="HI106" s="585">
        <f t="shared" si="580"/>
        <v>0.21808088818398097</v>
      </c>
      <c r="HJ106" s="585">
        <f t="shared" si="580"/>
        <v>0.19192825112107623</v>
      </c>
      <c r="HK106" s="585">
        <f t="shared" si="580"/>
        <v>0.19122609673790777</v>
      </c>
      <c r="HL106" s="585">
        <f t="shared" si="580"/>
        <v>0.16220735785953178</v>
      </c>
      <c r="HM106" s="585">
        <f t="shared" ref="HM106:HP106" si="581">+HM49/HM6</f>
        <v>0.19533762057877813</v>
      </c>
      <c r="HN106" s="585">
        <f t="shared" si="581"/>
        <v>0.11175337186897881</v>
      </c>
      <c r="HO106" s="585">
        <f t="shared" si="581"/>
        <v>0.23738317757009345</v>
      </c>
      <c r="HP106" s="585">
        <f t="shared" si="581"/>
        <v>5.6818181818181816E-2</v>
      </c>
      <c r="HQ106" s="585">
        <f t="shared" ref="HQ106:HS106" si="582">+HQ49/HQ6</f>
        <v>0.12260536398467432</v>
      </c>
      <c r="HR106" s="585">
        <f t="shared" si="582"/>
        <v>0.24936708860759493</v>
      </c>
      <c r="HS106" s="585">
        <f t="shared" si="582"/>
        <v>0.26019845644983464</v>
      </c>
      <c r="HT106" s="585">
        <f t="shared" ref="HT106:HW106" si="583">+HT49/HT6</f>
        <v>0.24552572706935122</v>
      </c>
      <c r="HU106" s="585">
        <f t="shared" si="583"/>
        <v>0.10388247639034627</v>
      </c>
      <c r="HV106" s="585">
        <f t="shared" si="583"/>
        <v>9.8457350272232305E-2</v>
      </c>
      <c r="HW106" s="585">
        <f t="shared" si="583"/>
        <v>5.6034482758620691E-2</v>
      </c>
      <c r="HX106" s="585">
        <f t="shared" ref="HX106" si="584">+HX49/HX6</f>
        <v>8.1134564643799478E-2</v>
      </c>
      <c r="HY106" s="585">
        <f t="shared" ref="HY106:HZ106" si="585">+HY54/HY11</f>
        <v>0.11682242990654206</v>
      </c>
      <c r="HZ106" s="585">
        <f t="shared" si="585"/>
        <v>0.18974358974358974</v>
      </c>
      <c r="IA106" s="585">
        <f t="shared" ref="IA106" si="586">+IA54/IA11</f>
        <v>0.13043478260869565</v>
      </c>
      <c r="IB106" s="831">
        <f>+IB49/II6</f>
        <v>0.33423423423423421</v>
      </c>
      <c r="IC106" s="585">
        <f>+IC49/IJ6</f>
        <v>0.15724815724815724</v>
      </c>
      <c r="IV106" s="353">
        <v>10</v>
      </c>
      <c r="IW106" s="353" t="s">
        <v>132</v>
      </c>
      <c r="IX106" s="585">
        <f t="shared" ref="IX106:JE106" si="587">+IX49/IX6</f>
        <v>7.5949367088607597E-2</v>
      </c>
      <c r="IY106" s="585">
        <f t="shared" si="587"/>
        <v>9.8371335504885998E-2</v>
      </c>
      <c r="IZ106" s="585">
        <f t="shared" si="587"/>
        <v>0.13455149501661129</v>
      </c>
      <c r="JA106" s="585">
        <f t="shared" si="587"/>
        <v>0.16328653146125846</v>
      </c>
      <c r="JB106" s="585">
        <f t="shared" si="587"/>
        <v>0.2017030335284726</v>
      </c>
      <c r="JC106" s="585">
        <f t="shared" si="587"/>
        <v>0.29308323563892147</v>
      </c>
      <c r="JD106" s="585">
        <f t="shared" si="587"/>
        <v>0.17209775967413443</v>
      </c>
      <c r="JE106" s="585">
        <f t="shared" si="587"/>
        <v>0.14844192634560907</v>
      </c>
      <c r="JF106" s="585">
        <f t="shared" ref="JF106:JY106" si="588">+JF49/JF6</f>
        <v>0.20465807730426164</v>
      </c>
      <c r="JG106" s="585">
        <f t="shared" si="588"/>
        <v>0.11934361014420686</v>
      </c>
      <c r="JH106" s="585">
        <f t="shared" si="588"/>
        <v>0.20415584415584415</v>
      </c>
      <c r="JI106" s="585">
        <f t="shared" si="588"/>
        <v>0.34129213483146065</v>
      </c>
      <c r="JJ106" s="585">
        <f t="shared" si="588"/>
        <v>0.27056277056277056</v>
      </c>
      <c r="JK106" s="585">
        <f t="shared" si="588"/>
        <v>0.32236842105263158</v>
      </c>
      <c r="JL106" s="585">
        <f t="shared" si="588"/>
        <v>0.40186125211505924</v>
      </c>
      <c r="JM106" s="585">
        <f t="shared" si="588"/>
        <v>0.37386804657179817</v>
      </c>
      <c r="JN106" s="585">
        <f t="shared" si="588"/>
        <v>0.33544303797468356</v>
      </c>
      <c r="JO106" s="585">
        <f t="shared" si="588"/>
        <v>0.21161825726141079</v>
      </c>
      <c r="JP106" s="585">
        <f t="shared" si="588"/>
        <v>0.15215398716773601</v>
      </c>
      <c r="JQ106" s="585">
        <f t="shared" si="588"/>
        <v>0.12957157784743992</v>
      </c>
      <c r="JR106" s="585">
        <f t="shared" si="588"/>
        <v>0.23395270270270271</v>
      </c>
      <c r="JS106" s="585">
        <f t="shared" si="588"/>
        <v>0.18953211736716891</v>
      </c>
      <c r="JT106" s="585">
        <f t="shared" si="588"/>
        <v>0.15874439461883408</v>
      </c>
      <c r="JU106" s="585">
        <f t="shared" si="588"/>
        <v>0.13160854893138357</v>
      </c>
      <c r="JV106" s="585">
        <f t="shared" si="588"/>
        <v>0.11789297658862877</v>
      </c>
      <c r="JW106" s="585">
        <f t="shared" si="588"/>
        <v>0.15112540192926044</v>
      </c>
      <c r="JX106" s="585">
        <f t="shared" si="588"/>
        <v>0.15221579961464354</v>
      </c>
      <c r="JY106" s="585">
        <f t="shared" si="588"/>
        <v>0.12087227414330218</v>
      </c>
      <c r="JZ106" s="585">
        <f t="shared" ref="JZ106:KC106" si="589">+JZ49/JZ6</f>
        <v>8.0255681818181823E-2</v>
      </c>
      <c r="KA106" s="585">
        <f t="shared" si="589"/>
        <v>4.2692939244663386E-2</v>
      </c>
      <c r="KB106" s="585">
        <f t="shared" si="589"/>
        <v>0.21265822784810126</v>
      </c>
      <c r="KC106" s="585">
        <f t="shared" si="589"/>
        <v>0.25192943770672549</v>
      </c>
      <c r="KD106" s="585">
        <f t="shared" ref="KD106:KE106" si="590">+KD49/KD6</f>
        <v>0.26677852348993286</v>
      </c>
      <c r="KE106" s="585">
        <f t="shared" si="590"/>
        <v>0.20986358866736621</v>
      </c>
      <c r="KF106" s="585">
        <f t="shared" ref="KF106:KJ106" si="591">+KF49/KF6</f>
        <v>0.26814882032667875</v>
      </c>
      <c r="KG106" s="585">
        <f t="shared" si="591"/>
        <v>0.16810344827586207</v>
      </c>
      <c r="KH106" s="585">
        <f t="shared" si="591"/>
        <v>0.16490765171503957</v>
      </c>
      <c r="KI106" s="585">
        <f t="shared" si="591"/>
        <v>0.2</v>
      </c>
      <c r="KJ106" s="585">
        <f t="shared" si="591"/>
        <v>0.14169821525148729</v>
      </c>
      <c r="KK106" s="585">
        <f t="shared" ref="KK106:KL106" si="592">+KK54/KK11</f>
        <v>0.11801242236024845</v>
      </c>
      <c r="KL106" s="585">
        <f t="shared" si="592"/>
        <v>0.14204545454545456</v>
      </c>
      <c r="KM106" s="585">
        <f t="shared" ref="KM106" si="593">+KM54/KM11</f>
        <v>8.9449541284403675E-2</v>
      </c>
      <c r="KN106" s="833">
        <f t="shared" si="485"/>
        <v>0.21621621621621623</v>
      </c>
      <c r="KO106" s="585">
        <f t="shared" ref="KO106" si="594">KO75</f>
        <v>0.31695331695331697</v>
      </c>
    </row>
    <row r="107" spans="1:301" ht="15" thickBot="1">
      <c r="A107" s="968" t="s">
        <v>39</v>
      </c>
      <c r="B107" s="969"/>
      <c r="C107" s="969"/>
      <c r="D107" s="969"/>
      <c r="E107" s="969"/>
      <c r="F107" s="969"/>
      <c r="G107" s="970"/>
      <c r="H107" s="576">
        <v>0.45758253320999998</v>
      </c>
      <c r="I107" s="576">
        <v>0.41186544737699998</v>
      </c>
      <c r="J107" s="576">
        <v>0.40791426215900001</v>
      </c>
      <c r="K107" s="576">
        <v>-9.5933884300000005E-3</v>
      </c>
      <c r="L107" s="577">
        <v>-0.10854494532800001</v>
      </c>
      <c r="AG107" s="968" t="s">
        <v>120</v>
      </c>
      <c r="AH107" s="969"/>
      <c r="AI107" s="969"/>
      <c r="AJ107" s="969"/>
      <c r="AK107" s="969"/>
      <c r="AL107" s="969"/>
      <c r="AM107" s="970"/>
      <c r="AN107" s="576">
        <v>0.70889756743800003</v>
      </c>
      <c r="AO107" s="576">
        <v>0.70425815634400002</v>
      </c>
      <c r="AP107" s="576">
        <v>0.71206655404700003</v>
      </c>
      <c r="AQ107" s="576">
        <v>1.1087408264999999E-2</v>
      </c>
      <c r="AR107" s="577">
        <v>4.4703025580000002E-3</v>
      </c>
      <c r="AW107" s="968" t="s">
        <v>121</v>
      </c>
      <c r="AX107" s="969"/>
      <c r="AY107" s="969"/>
      <c r="AZ107" s="969"/>
      <c r="BA107" s="969"/>
      <c r="BB107" s="969"/>
      <c r="BC107" s="970"/>
      <c r="BD107" s="576">
        <v>0.37574245572199999</v>
      </c>
      <c r="BE107" s="576">
        <v>0.35209321922600001</v>
      </c>
      <c r="BF107" s="576">
        <v>0.35164047915899999</v>
      </c>
      <c r="BG107" s="576">
        <v>-1.285852845E-3</v>
      </c>
      <c r="BH107" s="577">
        <v>-6.4144938100000007E-2</v>
      </c>
      <c r="BM107" s="968" t="s">
        <v>121</v>
      </c>
      <c r="BN107" s="969"/>
      <c r="BO107" s="969"/>
      <c r="BP107" s="969"/>
      <c r="BQ107" s="969"/>
      <c r="BR107" s="969"/>
      <c r="BS107" s="970"/>
      <c r="BT107" s="576">
        <v>0.19442917353799999</v>
      </c>
      <c r="BU107" s="576">
        <v>0.17697984672100001</v>
      </c>
      <c r="BV107" s="576">
        <v>0.178974682656</v>
      </c>
      <c r="BW107" s="576">
        <v>1.1271542900999999E-2</v>
      </c>
      <c r="BX107" s="577">
        <v>-7.9486481378000004E-2</v>
      </c>
      <c r="CC107" s="968" t="s">
        <v>39</v>
      </c>
      <c r="CD107" s="969"/>
      <c r="CE107" s="969"/>
      <c r="CF107" s="969"/>
      <c r="CG107" s="969"/>
      <c r="CH107" s="969"/>
      <c r="CI107" s="970"/>
      <c r="CJ107" s="576">
        <v>0.42285825937799998</v>
      </c>
      <c r="CK107" s="576">
        <v>0.40792927709400001</v>
      </c>
      <c r="CL107" s="576">
        <v>0.40943611045</v>
      </c>
      <c r="CM107" s="576">
        <v>3.6938593059999999E-3</v>
      </c>
      <c r="CN107" s="577">
        <v>-3.1741484599000003E-2</v>
      </c>
      <c r="DI107" s="968" t="s">
        <v>120</v>
      </c>
      <c r="DJ107" s="969"/>
      <c r="DK107" s="969"/>
      <c r="DL107" s="969"/>
      <c r="DM107" s="969"/>
      <c r="DN107" s="969"/>
      <c r="DO107" s="970"/>
      <c r="DP107" s="576">
        <v>0.39486183074199999</v>
      </c>
      <c r="DQ107" s="576">
        <v>0.383231103834</v>
      </c>
      <c r="DR107" s="576">
        <v>0.38396490800499999</v>
      </c>
      <c r="DS107" s="576">
        <v>1.914782395E-3</v>
      </c>
      <c r="DT107" s="577">
        <v>-2.7596799408999999E-2</v>
      </c>
      <c r="EO107" s="968" t="s">
        <v>121</v>
      </c>
      <c r="EP107" s="969"/>
      <c r="EQ107" s="969"/>
      <c r="ER107" s="969"/>
      <c r="ES107" s="969"/>
      <c r="ET107" s="969"/>
      <c r="EU107" s="970"/>
      <c r="EV107" s="576">
        <v>0.42097929034300002</v>
      </c>
      <c r="EW107" s="576">
        <v>0.41860128814000003</v>
      </c>
      <c r="EX107" s="576">
        <v>0.41302050073699997</v>
      </c>
      <c r="EY107" s="576">
        <v>-1.3331988126E-2</v>
      </c>
      <c r="EZ107" s="577">
        <v>-1.8905418361000001E-2</v>
      </c>
      <c r="FE107" s="968" t="s">
        <v>121</v>
      </c>
      <c r="FF107" s="969"/>
      <c r="FG107" s="969"/>
      <c r="FH107" s="969"/>
      <c r="FI107" s="969"/>
      <c r="FJ107" s="969"/>
      <c r="FK107" s="970"/>
      <c r="FL107" s="576">
        <v>0.44346306900900001</v>
      </c>
      <c r="FM107" s="576">
        <v>0.40229321233600002</v>
      </c>
      <c r="FN107" s="576">
        <v>0.41042183622799999</v>
      </c>
      <c r="FO107" s="576">
        <v>2.0205719713999998E-2</v>
      </c>
      <c r="FP107" s="577">
        <v>-7.4507292917000006E-2</v>
      </c>
      <c r="FT107" s="592" t="s">
        <v>144</v>
      </c>
      <c r="FU107" s="335">
        <f>+SUM(FN84:FN85,DR85:DR86,BV84:BV85,BF84:BF85)</f>
        <v>340137</v>
      </c>
      <c r="FV107" s="335">
        <f>+SUM(EX84:EX85,EH80:EH81,DB80:DB81,CL83:CL84,AP85:AP86,Z81:Z82,J83:J84)</f>
        <v>764898</v>
      </c>
      <c r="GJ107" s="353" t="s">
        <v>140</v>
      </c>
      <c r="GL107" s="353">
        <v>11</v>
      </c>
      <c r="GM107" s="353" t="s">
        <v>140</v>
      </c>
      <c r="GN107" s="585">
        <f t="shared" ref="GN107:HL107" si="595">+GN56/GN13</f>
        <v>0.18534482758620691</v>
      </c>
      <c r="GO107" s="585">
        <f t="shared" si="595"/>
        <v>0.17826086956521739</v>
      </c>
      <c r="GP107" s="585">
        <f t="shared" si="595"/>
        <v>0.21813031161473087</v>
      </c>
      <c r="GQ107" s="585">
        <f t="shared" si="595"/>
        <v>0.15605095541401273</v>
      </c>
      <c r="GR107" s="585">
        <f t="shared" si="595"/>
        <v>0.14583333333333334</v>
      </c>
      <c r="GS107" s="585">
        <f t="shared" si="595"/>
        <v>0.15032679738562091</v>
      </c>
      <c r="GT107" s="585">
        <f t="shared" si="595"/>
        <v>0.17989417989417988</v>
      </c>
      <c r="GU107" s="585">
        <f t="shared" si="595"/>
        <v>0.18264840182648401</v>
      </c>
      <c r="GV107" s="585">
        <f t="shared" si="595"/>
        <v>2.2594752186588921E-2</v>
      </c>
      <c r="GW107" s="585">
        <f t="shared" si="595"/>
        <v>2.404207362885049E-2</v>
      </c>
      <c r="GX107" s="585">
        <f t="shared" si="595"/>
        <v>4.7748976807639835E-2</v>
      </c>
      <c r="GY107" s="585">
        <f t="shared" si="595"/>
        <v>3.7924151696606789E-2</v>
      </c>
      <c r="GZ107" s="585">
        <f t="shared" si="595"/>
        <v>7.6716016150740238E-2</v>
      </c>
      <c r="HA107" s="585">
        <f t="shared" si="595"/>
        <v>8.5679314565483472E-2</v>
      </c>
      <c r="HB107" s="585">
        <f t="shared" si="595"/>
        <v>7.4666666666666673E-2</v>
      </c>
      <c r="HC107" s="585">
        <f t="shared" si="595"/>
        <v>1.556420233463035E-2</v>
      </c>
      <c r="HD107" s="585">
        <f t="shared" si="595"/>
        <v>5.2391799544419138E-2</v>
      </c>
      <c r="HE107" s="585">
        <f t="shared" si="595"/>
        <v>0.19621749408983452</v>
      </c>
      <c r="HF107" s="585">
        <f t="shared" si="595"/>
        <v>0.2289156626506024</v>
      </c>
      <c r="HG107" s="585">
        <f t="shared" si="595"/>
        <v>0.18823529411764706</v>
      </c>
      <c r="HH107" s="585">
        <f t="shared" si="595"/>
        <v>0.16494845360824742</v>
      </c>
      <c r="HI107" s="585">
        <f t="shared" si="595"/>
        <v>0.34065934065934067</v>
      </c>
      <c r="HJ107" s="585">
        <f t="shared" si="595"/>
        <v>0.375</v>
      </c>
      <c r="HK107" s="585">
        <f t="shared" si="595"/>
        <v>0.17803030303030304</v>
      </c>
      <c r="HL107" s="585">
        <f t="shared" si="595"/>
        <v>9.8814229249011856E-2</v>
      </c>
      <c r="HM107" s="585">
        <f t="shared" ref="HM107:HP107" si="596">+HM56/HM13</f>
        <v>0.14432989690721648</v>
      </c>
      <c r="HN107" s="585">
        <f t="shared" si="596"/>
        <v>0.21100917431192662</v>
      </c>
      <c r="HO107" s="585">
        <f t="shared" si="596"/>
        <v>0.4375</v>
      </c>
      <c r="HP107" s="585">
        <f t="shared" si="596"/>
        <v>0.20161290322580644</v>
      </c>
      <c r="HQ107" s="585">
        <f t="shared" ref="HQ107:HS107" si="597">+HQ56/HQ13</f>
        <v>0.27659574468085107</v>
      </c>
      <c r="HR107" s="585">
        <f t="shared" si="597"/>
        <v>0.20809248554913296</v>
      </c>
      <c r="HS107" s="585">
        <f t="shared" si="597"/>
        <v>0.14529914529914531</v>
      </c>
      <c r="HT107" s="585">
        <f t="shared" ref="HT107:HW107" si="598">+HT56/HT13</f>
        <v>0.23076923076923078</v>
      </c>
      <c r="HU107" s="585">
        <f t="shared" si="598"/>
        <v>0.1357142857142857</v>
      </c>
      <c r="HV107" s="585">
        <f t="shared" si="598"/>
        <v>0.21794871794871795</v>
      </c>
      <c r="HW107" s="585">
        <f t="shared" si="598"/>
        <v>0.23469387755102042</v>
      </c>
      <c r="HX107" s="585">
        <f t="shared" ref="HX107" si="599">+HX56/HX13</f>
        <v>0.1047008547008547</v>
      </c>
      <c r="HY107" s="585">
        <f t="shared" ref="HY107:HZ107" si="600">+HY55/HY12</f>
        <v>0.33734939759036142</v>
      </c>
      <c r="HZ107" s="585">
        <f t="shared" si="600"/>
        <v>0.33350383631713554</v>
      </c>
      <c r="IA107" s="585">
        <f t="shared" ref="IA107" si="601">+IA55/IA12</f>
        <v>0.37408906882591092</v>
      </c>
      <c r="IB107" s="831">
        <f>+IB56/II13</f>
        <v>0.33566433566433568</v>
      </c>
      <c r="IC107" s="585">
        <f>+IC56/IJ13</f>
        <v>6.258692628650904E-2</v>
      </c>
      <c r="IV107" s="353">
        <v>11</v>
      </c>
      <c r="IW107" s="353" t="s">
        <v>140</v>
      </c>
      <c r="IX107" s="585">
        <f t="shared" ref="IX107:JY107" si="602">+IX56/IX13</f>
        <v>0.26293103448275862</v>
      </c>
      <c r="IY107" s="585">
        <f t="shared" si="602"/>
        <v>0.12173913043478261</v>
      </c>
      <c r="IZ107" s="585">
        <f t="shared" si="602"/>
        <v>0.33144475920679889</v>
      </c>
      <c r="JA107" s="585">
        <f t="shared" si="602"/>
        <v>0.15286624203821655</v>
      </c>
      <c r="JB107" s="585">
        <f t="shared" si="602"/>
        <v>0.109375</v>
      </c>
      <c r="JC107" s="585">
        <f t="shared" si="602"/>
        <v>0.1437908496732026</v>
      </c>
      <c r="JD107" s="585">
        <f t="shared" si="602"/>
        <v>0.12169312169312169</v>
      </c>
      <c r="JE107" s="585">
        <f t="shared" si="602"/>
        <v>0.15525114155251141</v>
      </c>
      <c r="JF107" s="585">
        <f t="shared" si="602"/>
        <v>2.478134110787172E-2</v>
      </c>
      <c r="JG107" s="585">
        <f t="shared" si="602"/>
        <v>2.5544703230653644E-2</v>
      </c>
      <c r="JH107" s="585">
        <f t="shared" si="602"/>
        <v>6.1391541609822645E-2</v>
      </c>
      <c r="JI107" s="585">
        <f t="shared" si="602"/>
        <v>2.7944111776447105E-2</v>
      </c>
      <c r="JJ107" s="585">
        <f t="shared" si="602"/>
        <v>7.1332436069986543E-2</v>
      </c>
      <c r="JK107" s="585">
        <f t="shared" si="602"/>
        <v>0.20318237454100369</v>
      </c>
      <c r="JL107" s="585">
        <f t="shared" si="602"/>
        <v>0.13466666666666666</v>
      </c>
      <c r="JM107" s="585">
        <f t="shared" si="602"/>
        <v>1.8482490272373541E-2</v>
      </c>
      <c r="JN107" s="585">
        <f t="shared" si="602"/>
        <v>7.289293849658314E-2</v>
      </c>
      <c r="JO107" s="585">
        <f t="shared" si="602"/>
        <v>0.27895981087470451</v>
      </c>
      <c r="JP107" s="585">
        <f t="shared" si="602"/>
        <v>0.2289156626506024</v>
      </c>
      <c r="JQ107" s="585">
        <f t="shared" si="602"/>
        <v>0.18823529411764706</v>
      </c>
      <c r="JR107" s="585">
        <f t="shared" si="602"/>
        <v>0.17525773195876287</v>
      </c>
      <c r="JS107" s="585">
        <f t="shared" si="602"/>
        <v>0.37362637362637363</v>
      </c>
      <c r="JT107" s="585">
        <f t="shared" si="602"/>
        <v>0.44230769230769229</v>
      </c>
      <c r="JU107" s="585">
        <f t="shared" si="602"/>
        <v>0.57196969696969702</v>
      </c>
      <c r="JV107" s="585">
        <f t="shared" si="602"/>
        <v>0.15612648221343872</v>
      </c>
      <c r="JW107" s="585">
        <f t="shared" si="602"/>
        <v>0.21649484536082475</v>
      </c>
      <c r="JX107" s="585">
        <f t="shared" si="602"/>
        <v>0.22935779816513763</v>
      </c>
      <c r="JY107" s="585">
        <f t="shared" si="602"/>
        <v>0.13750000000000001</v>
      </c>
      <c r="JZ107" s="585">
        <f t="shared" ref="JZ107:KC107" si="603">+JZ56/JZ13</f>
        <v>0.23387096774193547</v>
      </c>
      <c r="KA107" s="585">
        <f t="shared" si="603"/>
        <v>9.9290780141843976E-2</v>
      </c>
      <c r="KB107" s="585">
        <f t="shared" si="603"/>
        <v>0.19653179190751446</v>
      </c>
      <c r="KC107" s="585">
        <f t="shared" si="603"/>
        <v>0.17948717948717949</v>
      </c>
      <c r="KD107" s="585">
        <f t="shared" ref="KD107:KE107" si="604">+KD56/KD13</f>
        <v>0.23076923076923078</v>
      </c>
      <c r="KE107" s="585">
        <f t="shared" si="604"/>
        <v>0.15714285714285714</v>
      </c>
      <c r="KF107" s="585">
        <f t="shared" ref="KF107:KJ107" si="605">+KF56/KF13</f>
        <v>0.22435897435897437</v>
      </c>
      <c r="KG107" s="585">
        <f t="shared" si="605"/>
        <v>0.2857142857142857</v>
      </c>
      <c r="KH107" s="585">
        <f t="shared" si="605"/>
        <v>0.11324786324786325</v>
      </c>
      <c r="KI107" s="585">
        <f t="shared" si="605"/>
        <v>0.20588235294117646</v>
      </c>
      <c r="KJ107" s="585">
        <f t="shared" si="605"/>
        <v>0.14507772020725387</v>
      </c>
      <c r="KK107" s="585">
        <f t="shared" ref="KK107:KL107" si="606">+KK55/KK12</f>
        <v>0.35060728744939273</v>
      </c>
      <c r="KL107" s="585">
        <f t="shared" si="606"/>
        <v>0.31140350877192985</v>
      </c>
      <c r="KM107" s="585">
        <f t="shared" ref="KM107" si="607">+KM55/KM12</f>
        <v>0.33958891867739055</v>
      </c>
      <c r="KN107" s="833">
        <f t="shared" si="485"/>
        <v>3.4188034188034191E-2</v>
      </c>
      <c r="KO107" s="585">
        <f t="shared" ref="KO107" si="608">KO76</f>
        <v>2.4919614147909969E-2</v>
      </c>
    </row>
    <row r="108" spans="1:301" ht="15" thickBot="1">
      <c r="A108" s="971" t="s">
        <v>122</v>
      </c>
      <c r="B108" s="972"/>
      <c r="C108" s="972"/>
      <c r="D108" s="972"/>
      <c r="E108" s="972"/>
      <c r="F108" s="972"/>
      <c r="G108" s="973"/>
      <c r="H108" s="579">
        <v>0.40628699197599999</v>
      </c>
      <c r="I108" s="579">
        <v>0.40701845089900002</v>
      </c>
      <c r="J108" s="579">
        <v>0.38822753503700003</v>
      </c>
      <c r="K108" s="579">
        <v>-4.6167233502999998E-2</v>
      </c>
      <c r="L108" s="580">
        <v>-4.4450000359999998E-2</v>
      </c>
      <c r="AG108" s="968" t="s">
        <v>121</v>
      </c>
      <c r="AH108" s="969"/>
      <c r="AI108" s="969"/>
      <c r="AJ108" s="969"/>
      <c r="AK108" s="969"/>
      <c r="AL108" s="969"/>
      <c r="AM108" s="970"/>
      <c r="AN108" s="576">
        <v>0.31601348377499999</v>
      </c>
      <c r="AO108" s="576">
        <v>0.31303876772299999</v>
      </c>
      <c r="AP108" s="576">
        <v>0.31802272000100001</v>
      </c>
      <c r="AQ108" s="576">
        <v>1.5921198240999999E-2</v>
      </c>
      <c r="AR108" s="577">
        <v>6.3580711870000004E-3</v>
      </c>
      <c r="AW108" s="968" t="s">
        <v>39</v>
      </c>
      <c r="AX108" s="969"/>
      <c r="AY108" s="969"/>
      <c r="AZ108" s="969"/>
      <c r="BA108" s="969"/>
      <c r="BB108" s="969"/>
      <c r="BC108" s="970"/>
      <c r="BD108" s="576">
        <v>0.78105807493599999</v>
      </c>
      <c r="BE108" s="576">
        <v>0.70702826358799997</v>
      </c>
      <c r="BF108" s="576">
        <v>0.70024440617499994</v>
      </c>
      <c r="BG108" s="576">
        <v>-9.5948885800000005E-3</v>
      </c>
      <c r="BH108" s="577">
        <v>-0.10346691411800001</v>
      </c>
      <c r="BM108" s="968" t="s">
        <v>39</v>
      </c>
      <c r="BN108" s="969"/>
      <c r="BO108" s="969"/>
      <c r="BP108" s="969"/>
      <c r="BQ108" s="969"/>
      <c r="BR108" s="969"/>
      <c r="BS108" s="970"/>
      <c r="BT108" s="576">
        <v>0.79486031518599998</v>
      </c>
      <c r="BU108" s="576">
        <v>0.60288093937700005</v>
      </c>
      <c r="BV108" s="576">
        <v>0.58088334913899997</v>
      </c>
      <c r="BW108" s="576">
        <v>-3.6487453492999998E-2</v>
      </c>
      <c r="BX108" s="577">
        <v>-0.269200716098</v>
      </c>
      <c r="CC108" s="971" t="s">
        <v>122</v>
      </c>
      <c r="CD108" s="972"/>
      <c r="CE108" s="972"/>
      <c r="CF108" s="972"/>
      <c r="CG108" s="972"/>
      <c r="CH108" s="972"/>
      <c r="CI108" s="973"/>
      <c r="CJ108" s="579">
        <v>0.66953660750300004</v>
      </c>
      <c r="CK108" s="579">
        <v>0.63271918014499995</v>
      </c>
      <c r="CL108" s="579">
        <v>0.63231448696899994</v>
      </c>
      <c r="CM108" s="579">
        <v>-6.3960946399999996E-4</v>
      </c>
      <c r="CN108" s="580">
        <v>-5.5593854190999999E-2</v>
      </c>
      <c r="DI108" s="968" t="s">
        <v>121</v>
      </c>
      <c r="DJ108" s="969"/>
      <c r="DK108" s="969"/>
      <c r="DL108" s="969"/>
      <c r="DM108" s="969"/>
      <c r="DN108" s="969"/>
      <c r="DO108" s="970"/>
      <c r="DP108" s="576">
        <v>0.51481335118500005</v>
      </c>
      <c r="DQ108" s="576">
        <v>0.51104257697900002</v>
      </c>
      <c r="DR108" s="576">
        <v>0.513434925421</v>
      </c>
      <c r="DS108" s="576">
        <v>4.6813094439999998E-3</v>
      </c>
      <c r="DT108" s="577">
        <v>-2.6775252830000002E-3</v>
      </c>
      <c r="EO108" s="968" t="s">
        <v>128</v>
      </c>
      <c r="EP108" s="969"/>
      <c r="EQ108" s="969"/>
      <c r="ER108" s="969"/>
      <c r="ES108" s="969"/>
      <c r="ET108" s="969"/>
      <c r="EU108" s="970"/>
      <c r="EV108" s="576">
        <v>0.42502173614599997</v>
      </c>
      <c r="EW108" s="576">
        <v>0.42181667357899999</v>
      </c>
      <c r="EX108" s="576">
        <v>0.41608155025299998</v>
      </c>
      <c r="EY108" s="576">
        <v>-1.3596246154E-2</v>
      </c>
      <c r="EZ108" s="577">
        <v>-2.1034655717999999E-2</v>
      </c>
      <c r="FE108" s="968" t="s">
        <v>39</v>
      </c>
      <c r="FF108" s="969"/>
      <c r="FG108" s="969"/>
      <c r="FH108" s="969"/>
      <c r="FI108" s="969"/>
      <c r="FJ108" s="969"/>
      <c r="FK108" s="970"/>
      <c r="FL108" s="576">
        <v>0.63521627251500001</v>
      </c>
      <c r="FM108" s="576">
        <v>0.63531025626000004</v>
      </c>
      <c r="FN108" s="576">
        <v>0.63411646809900002</v>
      </c>
      <c r="FO108" s="576">
        <v>-1.8790632600000001E-3</v>
      </c>
      <c r="FP108" s="577">
        <v>-1.731385771E-3</v>
      </c>
      <c r="FU108" s="335"/>
      <c r="FV108" s="335"/>
      <c r="GJ108" s="353" t="s">
        <v>135</v>
      </c>
      <c r="GM108" s="353" t="s">
        <v>135</v>
      </c>
      <c r="GN108" s="585">
        <f t="shared" ref="GN108:GS108" si="609">+GN50/GN7</f>
        <v>0.15116279069767441</v>
      </c>
      <c r="GO108" s="585">
        <f t="shared" si="609"/>
        <v>0.20689655172413793</v>
      </c>
      <c r="GP108" s="585">
        <f t="shared" si="609"/>
        <v>0.12211221122112212</v>
      </c>
      <c r="GQ108" s="585">
        <f t="shared" si="609"/>
        <v>8.8815789473684209E-2</v>
      </c>
      <c r="GR108" s="585">
        <f t="shared" si="609"/>
        <v>0.13106796116504854</v>
      </c>
      <c r="GS108" s="585">
        <f t="shared" si="609"/>
        <v>0.17745803357314149</v>
      </c>
      <c r="GT108" s="585">
        <f t="shared" ref="GT108:HL108" si="610">+GT50/GT7</f>
        <v>0.20689655172413793</v>
      </c>
      <c r="GU108" s="585">
        <f t="shared" si="610"/>
        <v>0.25</v>
      </c>
      <c r="GV108" s="585">
        <f t="shared" si="610"/>
        <v>0.16946564885496182</v>
      </c>
      <c r="GW108" s="585">
        <f t="shared" si="610"/>
        <v>0.27258064516129032</v>
      </c>
      <c r="GX108" s="585">
        <f t="shared" si="610"/>
        <v>0.25651302605210419</v>
      </c>
      <c r="GY108" s="585">
        <f t="shared" si="610"/>
        <v>0.35728155339805823</v>
      </c>
      <c r="GZ108" s="585">
        <f t="shared" si="610"/>
        <v>0.26725663716814158</v>
      </c>
      <c r="HA108" s="585">
        <f t="shared" si="610"/>
        <v>0.26410835214446954</v>
      </c>
      <c r="HB108" s="585">
        <f t="shared" si="610"/>
        <v>0.24271844660194175</v>
      </c>
      <c r="HC108" s="585">
        <f t="shared" si="610"/>
        <v>0.34782608695652173</v>
      </c>
      <c r="HD108" s="585">
        <f t="shared" si="610"/>
        <v>0.11904761904761904</v>
      </c>
      <c r="HE108" s="585">
        <f t="shared" si="610"/>
        <v>0.20087336244541484</v>
      </c>
      <c r="HF108" s="585">
        <f t="shared" si="610"/>
        <v>0.22922636103151864</v>
      </c>
      <c r="HG108" s="585">
        <f t="shared" si="610"/>
        <v>0.22070844686648503</v>
      </c>
      <c r="HH108" s="585">
        <f t="shared" si="610"/>
        <v>0.15322580645161291</v>
      </c>
      <c r="HI108" s="585">
        <f t="shared" si="610"/>
        <v>0.22589531680440772</v>
      </c>
      <c r="HJ108" s="585">
        <f t="shared" si="610"/>
        <v>0.26614987080103358</v>
      </c>
      <c r="HK108" s="585">
        <f t="shared" si="610"/>
        <v>0.16867469879518071</v>
      </c>
      <c r="HL108" s="585">
        <f t="shared" si="610"/>
        <v>0.21727019498607242</v>
      </c>
      <c r="HM108" s="585">
        <f t="shared" ref="HM108:HP108" si="611">+HM50/HM7</f>
        <v>0.28855721393034828</v>
      </c>
      <c r="HN108" s="585">
        <f t="shared" si="611"/>
        <v>0.27777777777777779</v>
      </c>
      <c r="HO108" s="585">
        <f t="shared" si="611"/>
        <v>0.19839142091152814</v>
      </c>
      <c r="HP108" s="585">
        <f t="shared" si="611"/>
        <v>0.1830238726790451</v>
      </c>
      <c r="HQ108" s="585">
        <f t="shared" ref="HQ108:HS108" si="612">+HQ50/HQ7</f>
        <v>0.20758928571428573</v>
      </c>
      <c r="HR108" s="585">
        <f t="shared" si="612"/>
        <v>0.23106796116504855</v>
      </c>
      <c r="HS108" s="585">
        <f t="shared" si="612"/>
        <v>0.16810344827586207</v>
      </c>
      <c r="HT108" s="585">
        <f t="shared" ref="HT108:HW108" si="613">+HT50/HT7</f>
        <v>0.16485900216919741</v>
      </c>
      <c r="HU108" s="585">
        <f t="shared" si="613"/>
        <v>0.15088757396449703</v>
      </c>
      <c r="HV108" s="585">
        <f t="shared" si="613"/>
        <v>0.13365155131264916</v>
      </c>
      <c r="HW108" s="585">
        <f t="shared" si="613"/>
        <v>0.12466843501326259</v>
      </c>
      <c r="HX108" s="585">
        <f t="shared" ref="HX108" si="614">+HX50/HX7</f>
        <v>8.4112149532710276E-2</v>
      </c>
      <c r="HY108" s="585">
        <f t="shared" ref="HY108:HZ108" si="615">+HY56/HY13</f>
        <v>0.23529411764705882</v>
      </c>
      <c r="HZ108" s="585">
        <f t="shared" si="615"/>
        <v>0.17098445595854922</v>
      </c>
      <c r="IA108" s="585">
        <f t="shared" ref="IA108" si="616">+IA56/IA13</f>
        <v>0.14925373134328357</v>
      </c>
      <c r="IB108" s="831">
        <f>+IB50/II7</f>
        <v>0.13874345549738221</v>
      </c>
      <c r="IC108" s="585">
        <f>+IC50/IJ7</f>
        <v>7.6433121019108277E-2</v>
      </c>
      <c r="IW108" s="353" t="s">
        <v>135</v>
      </c>
      <c r="IX108" s="585">
        <f t="shared" ref="IX108:JE108" si="617">+IX50/IX7</f>
        <v>9.6899224806201556E-2</v>
      </c>
      <c r="IY108" s="585">
        <f t="shared" si="617"/>
        <v>0.15517241379310345</v>
      </c>
      <c r="IZ108" s="585">
        <f t="shared" si="617"/>
        <v>0.10561056105610561</v>
      </c>
      <c r="JA108" s="585">
        <f t="shared" si="617"/>
        <v>4.9342105263157895E-2</v>
      </c>
      <c r="JB108" s="585">
        <f t="shared" si="617"/>
        <v>8.4951456310679616E-2</v>
      </c>
      <c r="JC108" s="585">
        <f t="shared" si="617"/>
        <v>0.14388489208633093</v>
      </c>
      <c r="JD108" s="585">
        <f t="shared" si="617"/>
        <v>0.14882032667876588</v>
      </c>
      <c r="JE108" s="585">
        <f t="shared" si="617"/>
        <v>0.23121387283236994</v>
      </c>
      <c r="JF108" s="585">
        <f t="shared" ref="JF108:JY108" si="618">+JF50/JF7</f>
        <v>0.20458015267175572</v>
      </c>
      <c r="JG108" s="585">
        <f t="shared" si="618"/>
        <v>0.19516129032258064</v>
      </c>
      <c r="JH108" s="585">
        <f t="shared" si="618"/>
        <v>0.19639278557114229</v>
      </c>
      <c r="JI108" s="585">
        <f t="shared" si="618"/>
        <v>0.26213592233009708</v>
      </c>
      <c r="JJ108" s="585">
        <f t="shared" si="618"/>
        <v>0.24778761061946902</v>
      </c>
      <c r="JK108" s="585">
        <f t="shared" si="618"/>
        <v>0.26862302483069977</v>
      </c>
      <c r="JL108" s="585">
        <f t="shared" si="618"/>
        <v>0.28883495145631066</v>
      </c>
      <c r="JM108" s="585">
        <f t="shared" si="618"/>
        <v>0.36956521739130432</v>
      </c>
      <c r="JN108" s="585">
        <f t="shared" si="618"/>
        <v>0.10714285714285714</v>
      </c>
      <c r="JO108" s="585">
        <f t="shared" si="618"/>
        <v>0.16157205240174671</v>
      </c>
      <c r="JP108" s="585">
        <f t="shared" si="618"/>
        <v>0.16332378223495703</v>
      </c>
      <c r="JQ108" s="585">
        <f t="shared" si="618"/>
        <v>0.14986376021798364</v>
      </c>
      <c r="JR108" s="585">
        <f t="shared" si="618"/>
        <v>0.21169354838709678</v>
      </c>
      <c r="JS108" s="585">
        <f t="shared" si="618"/>
        <v>0.20661157024793389</v>
      </c>
      <c r="JT108" s="585">
        <f t="shared" si="618"/>
        <v>0.23772609819121446</v>
      </c>
      <c r="JU108" s="585">
        <f t="shared" si="618"/>
        <v>0.20883534136546184</v>
      </c>
      <c r="JV108" s="585">
        <f t="shared" si="618"/>
        <v>0.20891364902506965</v>
      </c>
      <c r="JW108" s="585">
        <f t="shared" si="618"/>
        <v>0.24378109452736318</v>
      </c>
      <c r="JX108" s="585">
        <f t="shared" si="618"/>
        <v>0.27777777777777779</v>
      </c>
      <c r="JY108" s="585">
        <f t="shared" si="618"/>
        <v>0.24932975871313673</v>
      </c>
      <c r="JZ108" s="585">
        <f t="shared" ref="JZ108:KC108" si="619">+JZ50/JZ7</f>
        <v>0.17241379310344829</v>
      </c>
      <c r="KA108" s="585">
        <f t="shared" si="619"/>
        <v>0.22321428571428573</v>
      </c>
      <c r="KB108" s="585">
        <f t="shared" si="619"/>
        <v>0.19805825242718447</v>
      </c>
      <c r="KC108" s="585">
        <f t="shared" si="619"/>
        <v>0.14655172413793102</v>
      </c>
      <c r="KD108" s="585">
        <f t="shared" ref="KD108:KE108" si="620">+KD50/KD7</f>
        <v>0.16268980477223427</v>
      </c>
      <c r="KE108" s="585">
        <f t="shared" si="620"/>
        <v>0.15088757396449703</v>
      </c>
      <c r="KF108" s="585">
        <f t="shared" ref="KF108:KJ108" si="621">+KF50/KF7</f>
        <v>0.18615751789976134</v>
      </c>
      <c r="KG108" s="585">
        <f t="shared" si="621"/>
        <v>0.13527851458885942</v>
      </c>
      <c r="KH108" s="585">
        <f t="shared" si="621"/>
        <v>8.4112149532710276E-2</v>
      </c>
      <c r="KI108" s="585">
        <f t="shared" si="621"/>
        <v>0.10416666666666667</v>
      </c>
      <c r="KJ108" s="585">
        <f t="shared" si="621"/>
        <v>0.13854351687388988</v>
      </c>
      <c r="KK108" s="585">
        <f t="shared" ref="KK108:KL108" si="622">+KK56/KK13</f>
        <v>0.1455223880597015</v>
      </c>
      <c r="KL108" s="585">
        <f t="shared" si="622"/>
        <v>0.19889502762430938</v>
      </c>
      <c r="KM108" s="585">
        <f t="shared" ref="KM108" si="623">+KM56/KM13</f>
        <v>0.28497409326424872</v>
      </c>
      <c r="KN108" s="833">
        <f t="shared" si="485"/>
        <v>9.947643979057591E-2</v>
      </c>
      <c r="KO108" s="585">
        <f t="shared" ref="KO108" si="624">KO77</f>
        <v>0.19745222929936307</v>
      </c>
    </row>
    <row r="109" spans="1:301" ht="15" thickBot="1">
      <c r="AG109" s="968" t="s">
        <v>128</v>
      </c>
      <c r="AH109" s="969"/>
      <c r="AI109" s="969"/>
      <c r="AJ109" s="969"/>
      <c r="AK109" s="969"/>
      <c r="AL109" s="969"/>
      <c r="AM109" s="970"/>
      <c r="AN109" s="576">
        <v>0.36086802540700003</v>
      </c>
      <c r="AO109" s="576">
        <v>0.35229899683900001</v>
      </c>
      <c r="AP109" s="576">
        <v>0.35642790617999998</v>
      </c>
      <c r="AQ109" s="576">
        <v>1.1719900928E-2</v>
      </c>
      <c r="AR109" s="577">
        <v>-1.2303997347999999E-2</v>
      </c>
      <c r="AW109" s="971" t="s">
        <v>122</v>
      </c>
      <c r="AX109" s="972"/>
      <c r="AY109" s="972"/>
      <c r="AZ109" s="972"/>
      <c r="BA109" s="972"/>
      <c r="BB109" s="972"/>
      <c r="BC109" s="973"/>
      <c r="BD109" s="579">
        <v>0.63406993480600005</v>
      </c>
      <c r="BE109" s="579">
        <v>0.68732257471799996</v>
      </c>
      <c r="BF109" s="579">
        <v>0.68582266645300005</v>
      </c>
      <c r="BG109" s="579">
        <v>-2.1822479280000002E-3</v>
      </c>
      <c r="BH109" s="580">
        <v>8.1619911000000003E-2</v>
      </c>
      <c r="BM109" s="971" t="s">
        <v>122</v>
      </c>
      <c r="BN109" s="972"/>
      <c r="BO109" s="972"/>
      <c r="BP109" s="972"/>
      <c r="BQ109" s="972"/>
      <c r="BR109" s="972"/>
      <c r="BS109" s="973"/>
      <c r="BT109" s="579">
        <v>0.40723495702000001</v>
      </c>
      <c r="BU109" s="579">
        <v>0.36871927908199997</v>
      </c>
      <c r="BV109" s="579">
        <v>0.372916948922</v>
      </c>
      <c r="BW109" s="579">
        <v>1.1384459882E-2</v>
      </c>
      <c r="BX109" s="580">
        <v>-8.4270781535999997E-2</v>
      </c>
      <c r="DI109" s="968" t="s">
        <v>39</v>
      </c>
      <c r="DJ109" s="969"/>
      <c r="DK109" s="969"/>
      <c r="DL109" s="969"/>
      <c r="DM109" s="969"/>
      <c r="DN109" s="969"/>
      <c r="DO109" s="970"/>
      <c r="DP109" s="576">
        <v>0.81844749146899998</v>
      </c>
      <c r="DQ109" s="576">
        <v>0.80308887857</v>
      </c>
      <c r="DR109" s="576">
        <v>0.79654441330500003</v>
      </c>
      <c r="DS109" s="576">
        <v>-8.1491170400000007E-3</v>
      </c>
      <c r="DT109" s="577">
        <v>-2.6761739013999999E-2</v>
      </c>
      <c r="EO109" s="968" t="s">
        <v>39</v>
      </c>
      <c r="EP109" s="969"/>
      <c r="EQ109" s="969"/>
      <c r="ER109" s="969"/>
      <c r="ES109" s="969"/>
      <c r="ET109" s="969"/>
      <c r="EU109" s="970"/>
      <c r="EV109" s="576">
        <v>0.34549871685200001</v>
      </c>
      <c r="EW109" s="576">
        <v>0.46787139522600002</v>
      </c>
      <c r="EX109" s="576">
        <v>0.47005794265900003</v>
      </c>
      <c r="EY109" s="576">
        <v>4.6733941320000003E-3</v>
      </c>
      <c r="EZ109" s="577">
        <v>0.36052008222199999</v>
      </c>
      <c r="FE109" s="971" t="s">
        <v>122</v>
      </c>
      <c r="FF109" s="972"/>
      <c r="FG109" s="972"/>
      <c r="FH109" s="972"/>
      <c r="FI109" s="972"/>
      <c r="FJ109" s="972"/>
      <c r="FK109" s="973"/>
      <c r="FL109" s="579">
        <v>0.34560715598500003</v>
      </c>
      <c r="FM109" s="579">
        <v>0.33661198995899999</v>
      </c>
      <c r="FN109" s="579">
        <v>0.33849237278599997</v>
      </c>
      <c r="FO109" s="579">
        <v>5.5862027590000002E-3</v>
      </c>
      <c r="FP109" s="580">
        <v>-2.0586330680000001E-2</v>
      </c>
    </row>
    <row r="110" spans="1:301" ht="15" thickBot="1">
      <c r="AG110" s="968" t="s">
        <v>39</v>
      </c>
      <c r="AH110" s="969"/>
      <c r="AI110" s="969"/>
      <c r="AJ110" s="969"/>
      <c r="AK110" s="969"/>
      <c r="AL110" s="969"/>
      <c r="AM110" s="970"/>
      <c r="AN110" s="576">
        <v>0.81918318928900002</v>
      </c>
      <c r="AO110" s="576">
        <v>0.73428126763400003</v>
      </c>
      <c r="AP110" s="576">
        <v>0.72107968684699997</v>
      </c>
      <c r="AQ110" s="576">
        <v>-1.7978915395E-2</v>
      </c>
      <c r="AR110" s="577">
        <v>-0.119757709539</v>
      </c>
      <c r="DI110" s="971" t="s">
        <v>122</v>
      </c>
      <c r="DJ110" s="972"/>
      <c r="DK110" s="972"/>
      <c r="DL110" s="972"/>
      <c r="DM110" s="972"/>
      <c r="DN110" s="972"/>
      <c r="DO110" s="973"/>
      <c r="DP110" s="579">
        <v>0.69019335271000004</v>
      </c>
      <c r="DQ110" s="579">
        <v>0.71004129908799996</v>
      </c>
      <c r="DR110" s="579">
        <v>0.71298647496000001</v>
      </c>
      <c r="DS110" s="579">
        <v>4.1478937569999997E-3</v>
      </c>
      <c r="DT110" s="580">
        <v>3.3024256405999999E-2</v>
      </c>
      <c r="EO110" s="971" t="s">
        <v>122</v>
      </c>
      <c r="EP110" s="972"/>
      <c r="EQ110" s="972"/>
      <c r="ER110" s="972"/>
      <c r="ES110" s="972"/>
      <c r="ET110" s="972"/>
      <c r="EU110" s="973"/>
      <c r="EV110" s="579">
        <v>0.55567493584200001</v>
      </c>
      <c r="EW110" s="579">
        <v>0.61906482945499997</v>
      </c>
      <c r="EX110" s="579">
        <v>0.62970125667800003</v>
      </c>
      <c r="EY110" s="579">
        <v>1.7181443229000001E-2</v>
      </c>
      <c r="EZ110" s="580">
        <v>0.133218750857</v>
      </c>
    </row>
    <row r="111" spans="1:301" ht="15" thickBot="1">
      <c r="AG111" s="971" t="s">
        <v>122</v>
      </c>
      <c r="AH111" s="972"/>
      <c r="AI111" s="972"/>
      <c r="AJ111" s="972"/>
      <c r="AK111" s="972"/>
      <c r="AL111" s="972"/>
      <c r="AM111" s="973"/>
      <c r="AN111" s="579">
        <v>0.687152408682</v>
      </c>
      <c r="AO111" s="579">
        <v>0.70683526286800002</v>
      </c>
      <c r="AP111" s="579">
        <v>0.70747824823299998</v>
      </c>
      <c r="AQ111" s="579">
        <v>9.0966792199999996E-4</v>
      </c>
      <c r="AR111" s="580">
        <v>2.9579812707999999E-2</v>
      </c>
      <c r="FU111" s="995" t="s">
        <v>163</v>
      </c>
      <c r="FV111" s="995"/>
    </row>
    <row r="112" spans="1:301">
      <c r="FU112" s="592" t="s">
        <v>142</v>
      </c>
      <c r="FV112" s="592" t="s">
        <v>145</v>
      </c>
    </row>
    <row r="113" spans="176:179">
      <c r="FT113" s="592" t="s">
        <v>143</v>
      </c>
      <c r="FU113" s="335">
        <f>+SUM(FN26:FN27,DR26:DR27,BV26:BV27,BF26:BF27)</f>
        <v>455490</v>
      </c>
      <c r="FV113" s="335">
        <f>+SUM(EX24:EX25,EH24:EH25,DB24:DB25,CL24:CL25,AP26:AP27,Z24:Z25,J24:J25)</f>
        <v>885996</v>
      </c>
      <c r="FW113" s="335">
        <f>SUM(FU113:FV113)</f>
        <v>1341486</v>
      </c>
    </row>
    <row r="114" spans="176:179">
      <c r="FT114" s="592" t="s">
        <v>144</v>
      </c>
      <c r="FU114" s="335">
        <f>+SUM(FN28:FN29,DR28:DR29,BV28:BV29,BF28:BF29)</f>
        <v>476074</v>
      </c>
      <c r="FV114" s="335">
        <f>+SUM(EX26:EX27,EH26:EH27,DB26:DB27,CL26:CL27,AP28:AP29,Z26:Z27,J26:J27)</f>
        <v>887834</v>
      </c>
      <c r="FW114" s="335">
        <f>SUM(FU114:FV114)</f>
        <v>1363908</v>
      </c>
    </row>
    <row r="115" spans="176:179">
      <c r="FU115" s="335"/>
      <c r="FV115" s="335"/>
    </row>
    <row r="141" spans="4:4">
      <c r="D141" s="592" t="e">
        <f>+SUM(Source!AP7,Source!AP8/D125)</f>
        <v>#DIV/0!</v>
      </c>
    </row>
  </sheetData>
  <sortState xmlns:xlrd2="http://schemas.microsoft.com/office/spreadsheetml/2017/richdata2" ref="GF21:GH31">
    <sortCondition ref="GG21:GG31"/>
  </sortState>
  <mergeCells count="1035">
    <mergeCell ref="IV80:JG80"/>
    <mergeCell ref="IW64:JG64"/>
    <mergeCell ref="IV95:JG95"/>
    <mergeCell ref="A65:G65"/>
    <mergeCell ref="A66:G66"/>
    <mergeCell ref="A67:G67"/>
    <mergeCell ref="A68:G68"/>
    <mergeCell ref="A69:G69"/>
    <mergeCell ref="A70:G70"/>
    <mergeCell ref="A71:G71"/>
    <mergeCell ref="Q77:W77"/>
    <mergeCell ref="Q78:W78"/>
    <mergeCell ref="Q79:W79"/>
    <mergeCell ref="Q87:W87"/>
    <mergeCell ref="Q88:W88"/>
    <mergeCell ref="Q89:W89"/>
    <mergeCell ref="Q90:W90"/>
    <mergeCell ref="GL95:GS95"/>
    <mergeCell ref="GM64:GS64"/>
    <mergeCell ref="Q64:W64"/>
    <mergeCell ref="Q65:W65"/>
    <mergeCell ref="GL80:GS80"/>
    <mergeCell ref="AG68:AM68"/>
    <mergeCell ref="AG69:AM69"/>
    <mergeCell ref="AG70:AM70"/>
    <mergeCell ref="AG71:AM71"/>
    <mergeCell ref="AG72:AM72"/>
    <mergeCell ref="AG73:AM73"/>
    <mergeCell ref="AG74:AM74"/>
    <mergeCell ref="AG75:AM75"/>
    <mergeCell ref="AG76:AM76"/>
    <mergeCell ref="FE75:FK75"/>
    <mergeCell ref="GM1:GU1"/>
    <mergeCell ref="GL44:GU44"/>
    <mergeCell ref="A2:O2"/>
    <mergeCell ref="A3:O3"/>
    <mergeCell ref="A5:G5"/>
    <mergeCell ref="A6:G6"/>
    <mergeCell ref="A7:G7"/>
    <mergeCell ref="A8:G8"/>
    <mergeCell ref="A9:G9"/>
    <mergeCell ref="A10:G10"/>
    <mergeCell ref="A11:G11"/>
    <mergeCell ref="A12:G12"/>
    <mergeCell ref="A13:G13"/>
    <mergeCell ref="A14:G14"/>
    <mergeCell ref="A34:G34"/>
    <mergeCell ref="A35:G35"/>
    <mergeCell ref="A36:G36"/>
    <mergeCell ref="A22:G22"/>
    <mergeCell ref="A26:G26"/>
    <mergeCell ref="A27:G27"/>
    <mergeCell ref="A30:G30"/>
    <mergeCell ref="GF1:GH1"/>
    <mergeCell ref="A1:O1"/>
    <mergeCell ref="A33:G33"/>
    <mergeCell ref="Q1:AE1"/>
    <mergeCell ref="AG1:AU1"/>
    <mergeCell ref="AW1:BK1"/>
    <mergeCell ref="BM1:CA1"/>
    <mergeCell ref="CC1:CQ1"/>
    <mergeCell ref="CS1:DG1"/>
    <mergeCell ref="FE1:FS1"/>
    <mergeCell ref="GD16:GH16"/>
    <mergeCell ref="EO1:FC1"/>
    <mergeCell ref="A23:G23"/>
    <mergeCell ref="A24:G24"/>
    <mergeCell ref="A25:G25"/>
    <mergeCell ref="A28:G28"/>
    <mergeCell ref="A29:G29"/>
    <mergeCell ref="IW1:JG1"/>
    <mergeCell ref="A105:G105"/>
    <mergeCell ref="A106:G106"/>
    <mergeCell ref="A107:G107"/>
    <mergeCell ref="A108:G108"/>
    <mergeCell ref="A99:G99"/>
    <mergeCell ref="A100:G100"/>
    <mergeCell ref="A101:G101"/>
    <mergeCell ref="A102:L102"/>
    <mergeCell ref="A104:G104"/>
    <mergeCell ref="A15:G15"/>
    <mergeCell ref="A16:G16"/>
    <mergeCell ref="A37:G37"/>
    <mergeCell ref="A38:G38"/>
    <mergeCell ref="A39:G39"/>
    <mergeCell ref="A17:G17"/>
    <mergeCell ref="A20:G20"/>
    <mergeCell ref="FY1:GB1"/>
    <mergeCell ref="A93:G93"/>
    <mergeCell ref="A94:G94"/>
    <mergeCell ref="A95:O95"/>
    <mergeCell ref="A96:L96"/>
    <mergeCell ref="DI71:DO71"/>
    <mergeCell ref="DY71:EE71"/>
    <mergeCell ref="DY72:EE72"/>
    <mergeCell ref="DY73:EM73"/>
    <mergeCell ref="AG64:AM64"/>
    <mergeCell ref="AG65:AM65"/>
    <mergeCell ref="AG66:AM66"/>
    <mergeCell ref="AW64:BC64"/>
    <mergeCell ref="AW65:BC65"/>
    <mergeCell ref="CS67:CY67"/>
    <mergeCell ref="DY75:EE75"/>
    <mergeCell ref="DY76:EE76"/>
    <mergeCell ref="EO76:FC76"/>
    <mergeCell ref="A98:G98"/>
    <mergeCell ref="A88:G88"/>
    <mergeCell ref="A72:G72"/>
    <mergeCell ref="A73:G73"/>
    <mergeCell ref="A74:G74"/>
    <mergeCell ref="A75:G75"/>
    <mergeCell ref="A76:O76"/>
    <mergeCell ref="A78:G78"/>
    <mergeCell ref="A79:G79"/>
    <mergeCell ref="A89:G89"/>
    <mergeCell ref="A90:G90"/>
    <mergeCell ref="A91:G91"/>
    <mergeCell ref="A92:G92"/>
    <mergeCell ref="A82:G82"/>
    <mergeCell ref="A86:O86"/>
    <mergeCell ref="A85:G85"/>
    <mergeCell ref="A81:G81"/>
    <mergeCell ref="A83:G83"/>
    <mergeCell ref="DI67:DO67"/>
    <mergeCell ref="CS81:CY81"/>
    <mergeCell ref="CS82:CY82"/>
    <mergeCell ref="CS83:DG83"/>
    <mergeCell ref="CS85:CY85"/>
    <mergeCell ref="DI62:DW62"/>
    <mergeCell ref="EO79:EU79"/>
    <mergeCell ref="EO80:EU80"/>
    <mergeCell ref="AG67:AM67"/>
    <mergeCell ref="AW59:BK59"/>
    <mergeCell ref="AW60:BK60"/>
    <mergeCell ref="AW62:BC62"/>
    <mergeCell ref="AW66:BC66"/>
    <mergeCell ref="AW67:BC67"/>
    <mergeCell ref="CC61:CQ61"/>
    <mergeCell ref="CS77:CY77"/>
    <mergeCell ref="CS78:CY78"/>
    <mergeCell ref="CS79:CY79"/>
    <mergeCell ref="AG59:AU59"/>
    <mergeCell ref="AG60:AU60"/>
    <mergeCell ref="AG62:AM62"/>
    <mergeCell ref="AG63:AM63"/>
    <mergeCell ref="AW63:BC63"/>
    <mergeCell ref="AW80:BC80"/>
    <mergeCell ref="BM69:BS69"/>
    <mergeCell ref="BM70:BS70"/>
    <mergeCell ref="BM72:BS72"/>
    <mergeCell ref="AW69:BC69"/>
    <mergeCell ref="BM75:BS75"/>
    <mergeCell ref="BM76:BS76"/>
    <mergeCell ref="BM71:BS71"/>
    <mergeCell ref="CS75:CY75"/>
    <mergeCell ref="CS76:CY76"/>
    <mergeCell ref="DI68:DO68"/>
    <mergeCell ref="DI69:DO69"/>
    <mergeCell ref="DI70:DO70"/>
    <mergeCell ref="CS80:CY80"/>
    <mergeCell ref="CS86:CY86"/>
    <mergeCell ref="BM73:BS73"/>
    <mergeCell ref="A43:G43"/>
    <mergeCell ref="A49:G49"/>
    <mergeCell ref="A53:G53"/>
    <mergeCell ref="A54:G54"/>
    <mergeCell ref="A55:G55"/>
    <mergeCell ref="Q80:W80"/>
    <mergeCell ref="A46:G46"/>
    <mergeCell ref="Q67:W67"/>
    <mergeCell ref="Q68:W68"/>
    <mergeCell ref="Q71:W71"/>
    <mergeCell ref="Q72:W72"/>
    <mergeCell ref="Q73:W73"/>
    <mergeCell ref="Q74:AE74"/>
    <mergeCell ref="Q76:W76"/>
    <mergeCell ref="Q69:W69"/>
    <mergeCell ref="Q70:W70"/>
    <mergeCell ref="A44:G44"/>
    <mergeCell ref="A45:G45"/>
    <mergeCell ref="A60:O60"/>
    <mergeCell ref="AG83:AM83"/>
    <mergeCell ref="AG84:AM84"/>
    <mergeCell ref="AG85:AM85"/>
    <mergeCell ref="AG86:AM86"/>
    <mergeCell ref="AW86:BC86"/>
    <mergeCell ref="CC83:CI83"/>
    <mergeCell ref="A61:O61"/>
    <mergeCell ref="A63:G63"/>
    <mergeCell ref="A80:G80"/>
    <mergeCell ref="A50:G50"/>
    <mergeCell ref="A51:G51"/>
    <mergeCell ref="Q62:W62"/>
    <mergeCell ref="Q63:W63"/>
    <mergeCell ref="A64:G64"/>
    <mergeCell ref="Q91:W91"/>
    <mergeCell ref="Q92:W92"/>
    <mergeCell ref="Q93:AE93"/>
    <mergeCell ref="Q94:AB94"/>
    <mergeCell ref="Q96:W96"/>
    <mergeCell ref="Q86:W86"/>
    <mergeCell ref="Q58:AE58"/>
    <mergeCell ref="Q59:AE59"/>
    <mergeCell ref="Q61:W61"/>
    <mergeCell ref="Q81:W81"/>
    <mergeCell ref="Q82:W82"/>
    <mergeCell ref="Q83:W83"/>
    <mergeCell ref="Q84:AE84"/>
    <mergeCell ref="Q66:W66"/>
    <mergeCell ref="A84:G84"/>
    <mergeCell ref="Q103:W103"/>
    <mergeCell ref="Q104:W104"/>
    <mergeCell ref="Q105:W105"/>
    <mergeCell ref="Q106:W106"/>
    <mergeCell ref="Q97:W97"/>
    <mergeCell ref="Q98:W98"/>
    <mergeCell ref="Q99:W99"/>
    <mergeCell ref="Q100:AB100"/>
    <mergeCell ref="Q102:W102"/>
    <mergeCell ref="AG93:AM93"/>
    <mergeCell ref="AG94:AM94"/>
    <mergeCell ref="AG95:AM95"/>
    <mergeCell ref="AG96:AM96"/>
    <mergeCell ref="AG97:AU97"/>
    <mergeCell ref="AG81:AM81"/>
    <mergeCell ref="AG82:AM82"/>
    <mergeCell ref="AG98:AR98"/>
    <mergeCell ref="AG111:AM111"/>
    <mergeCell ref="AG103:AM103"/>
    <mergeCell ref="AG104:AR104"/>
    <mergeCell ref="AG106:AM106"/>
    <mergeCell ref="AG107:AM107"/>
    <mergeCell ref="AG108:AM108"/>
    <mergeCell ref="AG100:AM100"/>
    <mergeCell ref="AG101:AM101"/>
    <mergeCell ref="AG102:AM102"/>
    <mergeCell ref="AG109:AM109"/>
    <mergeCell ref="AG110:AM110"/>
    <mergeCell ref="AW92:BC92"/>
    <mergeCell ref="AW93:BC93"/>
    <mergeCell ref="AW94:BC94"/>
    <mergeCell ref="AW95:BC95"/>
    <mergeCell ref="AW96:BK96"/>
    <mergeCell ref="AW87:BK87"/>
    <mergeCell ref="AW89:BC89"/>
    <mergeCell ref="AW90:BC90"/>
    <mergeCell ref="AW91:BC91"/>
    <mergeCell ref="AG91:AM91"/>
    <mergeCell ref="AG90:AM90"/>
    <mergeCell ref="AG88:AU88"/>
    <mergeCell ref="AG92:AM92"/>
    <mergeCell ref="AW109:BC109"/>
    <mergeCell ref="AW103:BH103"/>
    <mergeCell ref="AW105:BC105"/>
    <mergeCell ref="AW106:BC106"/>
    <mergeCell ref="AW107:BC107"/>
    <mergeCell ref="AG77:AU77"/>
    <mergeCell ref="AG79:AM79"/>
    <mergeCell ref="AG80:AM80"/>
    <mergeCell ref="AW83:BC83"/>
    <mergeCell ref="AW84:BC84"/>
    <mergeCell ref="AW75:BC75"/>
    <mergeCell ref="AW76:BC76"/>
    <mergeCell ref="AW68:BC68"/>
    <mergeCell ref="AW70:BC70"/>
    <mergeCell ref="AW71:BC71"/>
    <mergeCell ref="AW72:BC72"/>
    <mergeCell ref="AW73:BC73"/>
    <mergeCell ref="AW74:BC74"/>
    <mergeCell ref="AW77:BK77"/>
    <mergeCell ref="AW79:BC79"/>
    <mergeCell ref="AW81:BC81"/>
    <mergeCell ref="AG87:AM87"/>
    <mergeCell ref="AW82:BC82"/>
    <mergeCell ref="AW85:BC85"/>
    <mergeCell ref="BM109:BS109"/>
    <mergeCell ref="BM103:BX103"/>
    <mergeCell ref="BM105:BS105"/>
    <mergeCell ref="BM106:BS106"/>
    <mergeCell ref="BM107:BS107"/>
    <mergeCell ref="BM108:BS108"/>
    <mergeCell ref="BM97:BX97"/>
    <mergeCell ref="BM99:BS99"/>
    <mergeCell ref="BM100:BS100"/>
    <mergeCell ref="BM101:BS101"/>
    <mergeCell ref="BM102:BS102"/>
    <mergeCell ref="AW108:BC108"/>
    <mergeCell ref="AW97:BH97"/>
    <mergeCell ref="AW99:BC99"/>
    <mergeCell ref="AW100:BC100"/>
    <mergeCell ref="AW101:BC101"/>
    <mergeCell ref="AW102:BC102"/>
    <mergeCell ref="CC106:CI106"/>
    <mergeCell ref="CC107:CI107"/>
    <mergeCell ref="CC108:CI108"/>
    <mergeCell ref="CC99:CI99"/>
    <mergeCell ref="CC100:CI100"/>
    <mergeCell ref="CC101:CI101"/>
    <mergeCell ref="CC102:CN102"/>
    <mergeCell ref="CC104:CI104"/>
    <mergeCell ref="BM59:CA59"/>
    <mergeCell ref="BM60:CA60"/>
    <mergeCell ref="BM62:BS62"/>
    <mergeCell ref="BM63:BS63"/>
    <mergeCell ref="BM64:BS64"/>
    <mergeCell ref="BM65:BS65"/>
    <mergeCell ref="BM66:BS66"/>
    <mergeCell ref="BM67:BS67"/>
    <mergeCell ref="BM68:BS68"/>
    <mergeCell ref="BM92:BS92"/>
    <mergeCell ref="BM93:BS93"/>
    <mergeCell ref="BM94:BS94"/>
    <mergeCell ref="BM95:BS95"/>
    <mergeCell ref="CC96:CN96"/>
    <mergeCell ref="CC98:CI98"/>
    <mergeCell ref="BM77:CA77"/>
    <mergeCell ref="BM79:BS79"/>
    <mergeCell ref="BM80:BS80"/>
    <mergeCell ref="BM81:BS81"/>
    <mergeCell ref="BM82:BS82"/>
    <mergeCell ref="BM83:BS83"/>
    <mergeCell ref="BM84:BS84"/>
    <mergeCell ref="BM85:BS85"/>
    <mergeCell ref="CC84:CI84"/>
    <mergeCell ref="BM96:CA96"/>
    <mergeCell ref="BM86:BS86"/>
    <mergeCell ref="BM87:CA87"/>
    <mergeCell ref="BM89:BS89"/>
    <mergeCell ref="BM90:BS90"/>
    <mergeCell ref="BM91:BS91"/>
    <mergeCell ref="CC80:CI80"/>
    <mergeCell ref="CC81:CI81"/>
    <mergeCell ref="CC82:CI82"/>
    <mergeCell ref="CC88:CI88"/>
    <mergeCell ref="CC79:CI79"/>
    <mergeCell ref="CC63:CI63"/>
    <mergeCell ref="CC64:CI64"/>
    <mergeCell ref="CC65:CI65"/>
    <mergeCell ref="CC66:CI66"/>
    <mergeCell ref="CC67:CI67"/>
    <mergeCell ref="CC68:CI68"/>
    <mergeCell ref="CC69:CI69"/>
    <mergeCell ref="CC70:CI70"/>
    <mergeCell ref="CC71:CI71"/>
    <mergeCell ref="CC72:CI72"/>
    <mergeCell ref="CC73:CI73"/>
    <mergeCell ref="CC86:CQ86"/>
    <mergeCell ref="CC92:CI92"/>
    <mergeCell ref="CC93:CI93"/>
    <mergeCell ref="CC94:CI94"/>
    <mergeCell ref="CC95:CQ95"/>
    <mergeCell ref="CC85:CI85"/>
    <mergeCell ref="BM74:BS74"/>
    <mergeCell ref="CC60:CQ60"/>
    <mergeCell ref="CS102:CY102"/>
    <mergeCell ref="CS103:CY103"/>
    <mergeCell ref="CS104:CY104"/>
    <mergeCell ref="CS105:CY105"/>
    <mergeCell ref="CS96:CY96"/>
    <mergeCell ref="CS97:CY97"/>
    <mergeCell ref="CS98:CY98"/>
    <mergeCell ref="CS99:DD99"/>
    <mergeCell ref="CS101:CY101"/>
    <mergeCell ref="CS87:CY87"/>
    <mergeCell ref="CS88:CY88"/>
    <mergeCell ref="CS89:CY89"/>
    <mergeCell ref="CS90:CY90"/>
    <mergeCell ref="CS91:CY91"/>
    <mergeCell ref="CS92:DG92"/>
    <mergeCell ref="CS93:DD93"/>
    <mergeCell ref="CS95:CY95"/>
    <mergeCell ref="CS68:CY68"/>
    <mergeCell ref="CS69:CY69"/>
    <mergeCell ref="CS70:CY70"/>
    <mergeCell ref="CS71:CY71"/>
    <mergeCell ref="CS72:CY72"/>
    <mergeCell ref="CS73:DG73"/>
    <mergeCell ref="CC89:CI89"/>
    <mergeCell ref="CC90:CI90"/>
    <mergeCell ref="CC91:CI91"/>
    <mergeCell ref="CC74:CI74"/>
    <mergeCell ref="CC75:CI75"/>
    <mergeCell ref="CC76:CQ76"/>
    <mergeCell ref="CC78:CI78"/>
    <mergeCell ref="CC105:CI105"/>
    <mergeCell ref="CS57:DG57"/>
    <mergeCell ref="DI1:DW1"/>
    <mergeCell ref="DI107:DO107"/>
    <mergeCell ref="DI108:DO108"/>
    <mergeCell ref="DI109:DO109"/>
    <mergeCell ref="DI110:DO110"/>
    <mergeCell ref="DI101:DO101"/>
    <mergeCell ref="DI102:DO102"/>
    <mergeCell ref="DI103:DO103"/>
    <mergeCell ref="DI104:DT104"/>
    <mergeCell ref="DI106:DO106"/>
    <mergeCell ref="DI95:DO95"/>
    <mergeCell ref="DI96:DO96"/>
    <mergeCell ref="DI97:DW97"/>
    <mergeCell ref="DI98:DT98"/>
    <mergeCell ref="DI100:DO100"/>
    <mergeCell ref="DI90:DO90"/>
    <mergeCell ref="DI63:DW63"/>
    <mergeCell ref="DI65:DO65"/>
    <mergeCell ref="DI66:DO66"/>
    <mergeCell ref="DI82:DO82"/>
    <mergeCell ref="DI83:DO83"/>
    <mergeCell ref="DI91:DO91"/>
    <mergeCell ref="DI92:DO92"/>
    <mergeCell ref="CS58:DG58"/>
    <mergeCell ref="CS60:CY60"/>
    <mergeCell ref="CS61:CY61"/>
    <mergeCell ref="CS62:CY62"/>
    <mergeCell ref="CS63:CY63"/>
    <mergeCell ref="CS64:CY64"/>
    <mergeCell ref="CS65:CY65"/>
    <mergeCell ref="CS66:CY66"/>
    <mergeCell ref="DI93:DO93"/>
    <mergeCell ref="DI94:DO94"/>
    <mergeCell ref="DI84:DO84"/>
    <mergeCell ref="DI85:DO85"/>
    <mergeCell ref="DI86:DO86"/>
    <mergeCell ref="DI87:DO87"/>
    <mergeCell ref="DI88:DW88"/>
    <mergeCell ref="DI72:DO72"/>
    <mergeCell ref="DI73:DO73"/>
    <mergeCell ref="DI74:DO74"/>
    <mergeCell ref="DI75:DO75"/>
    <mergeCell ref="DI76:DO76"/>
    <mergeCell ref="DI77:DO77"/>
    <mergeCell ref="DI78:DW78"/>
    <mergeCell ref="DI80:DO80"/>
    <mergeCell ref="DI81:DO81"/>
    <mergeCell ref="EO83:EU83"/>
    <mergeCell ref="EO84:EU84"/>
    <mergeCell ref="EO85:EU85"/>
    <mergeCell ref="EO86:EU86"/>
    <mergeCell ref="EO93:EU93"/>
    <mergeCell ref="EO94:EU94"/>
    <mergeCell ref="DY1:EM1"/>
    <mergeCell ref="DY102:EE102"/>
    <mergeCell ref="DY103:EE103"/>
    <mergeCell ref="DY104:EE104"/>
    <mergeCell ref="DY96:EE96"/>
    <mergeCell ref="DY97:EE97"/>
    <mergeCell ref="DY98:EJ98"/>
    <mergeCell ref="DY100:EE100"/>
    <mergeCell ref="DY101:EE101"/>
    <mergeCell ref="DY90:EE90"/>
    <mergeCell ref="DY91:EM91"/>
    <mergeCell ref="DY92:EJ92"/>
    <mergeCell ref="DY94:EE94"/>
    <mergeCell ref="DY95:EE95"/>
    <mergeCell ref="DY85:EE85"/>
    <mergeCell ref="DY86:EE86"/>
    <mergeCell ref="DY68:EE68"/>
    <mergeCell ref="DY69:EE69"/>
    <mergeCell ref="DY70:EE70"/>
    <mergeCell ref="DY89:EE89"/>
    <mergeCell ref="DY79:EE79"/>
    <mergeCell ref="DY80:EE80"/>
    <mergeCell ref="DY81:EE81"/>
    <mergeCell ref="DY82:EM82"/>
    <mergeCell ref="DY84:EE84"/>
    <mergeCell ref="DY32:EE32"/>
    <mergeCell ref="DY33:EE33"/>
    <mergeCell ref="DY77:EE77"/>
    <mergeCell ref="DY78:EE78"/>
    <mergeCell ref="DY87:EE87"/>
    <mergeCell ref="DY88:EE88"/>
    <mergeCell ref="EO95:EU95"/>
    <mergeCell ref="EO96:FC96"/>
    <mergeCell ref="EO97:EZ97"/>
    <mergeCell ref="DY57:EM57"/>
    <mergeCell ref="DY58:EM58"/>
    <mergeCell ref="DY60:EE60"/>
    <mergeCell ref="DY61:EE61"/>
    <mergeCell ref="DY62:EE62"/>
    <mergeCell ref="EO81:EU81"/>
    <mergeCell ref="EO71:EU71"/>
    <mergeCell ref="EO72:EU72"/>
    <mergeCell ref="EO73:EU73"/>
    <mergeCell ref="EO74:EU74"/>
    <mergeCell ref="EO75:EU75"/>
    <mergeCell ref="EO66:EU66"/>
    <mergeCell ref="EO67:EU67"/>
    <mergeCell ref="EO68:EU68"/>
    <mergeCell ref="EO69:EU69"/>
    <mergeCell ref="EO70:EU70"/>
    <mergeCell ref="EO60:FC60"/>
    <mergeCell ref="EO61:FC61"/>
    <mergeCell ref="EO63:EU63"/>
    <mergeCell ref="EO64:EU64"/>
    <mergeCell ref="EO65:EU65"/>
    <mergeCell ref="EO78:EU78"/>
    <mergeCell ref="DY63:EE63"/>
    <mergeCell ref="DY64:EE64"/>
    <mergeCell ref="DY65:EE65"/>
    <mergeCell ref="DY66:EE66"/>
    <mergeCell ref="DY67:EE67"/>
    <mergeCell ref="EO82:EU82"/>
    <mergeCell ref="FE84:FK84"/>
    <mergeCell ref="FE85:FK85"/>
    <mergeCell ref="EO110:EU110"/>
    <mergeCell ref="EO105:EU105"/>
    <mergeCell ref="EO106:EU106"/>
    <mergeCell ref="EO107:EU107"/>
    <mergeCell ref="EO108:EU108"/>
    <mergeCell ref="EO109:EU109"/>
    <mergeCell ref="EO99:EU99"/>
    <mergeCell ref="FE89:FK89"/>
    <mergeCell ref="FE90:FK90"/>
    <mergeCell ref="FE108:FK108"/>
    <mergeCell ref="FE97:FP97"/>
    <mergeCell ref="FE99:FK99"/>
    <mergeCell ref="FE100:FK100"/>
    <mergeCell ref="FE101:FK101"/>
    <mergeCell ref="FE102:FK102"/>
    <mergeCell ref="FE92:FK92"/>
    <mergeCell ref="FE93:FK93"/>
    <mergeCell ref="FE94:FK94"/>
    <mergeCell ref="FE95:FK95"/>
    <mergeCell ref="FE106:FK106"/>
    <mergeCell ref="FE107:FK107"/>
    <mergeCell ref="EO100:EU100"/>
    <mergeCell ref="EO101:EU101"/>
    <mergeCell ref="EO102:EU102"/>
    <mergeCell ref="EO87:FC87"/>
    <mergeCell ref="EO89:EU89"/>
    <mergeCell ref="EO90:EU90"/>
    <mergeCell ref="EO91:EU91"/>
    <mergeCell ref="EO92:EU92"/>
    <mergeCell ref="EO103:EZ103"/>
    <mergeCell ref="Q23:W23"/>
    <mergeCell ref="FU104:FV104"/>
    <mergeCell ref="FU111:FV111"/>
    <mergeCell ref="FE59:FS59"/>
    <mergeCell ref="FE60:FS60"/>
    <mergeCell ref="FE62:FK62"/>
    <mergeCell ref="FE63:FK63"/>
    <mergeCell ref="FE64:FK64"/>
    <mergeCell ref="FE65:FK65"/>
    <mergeCell ref="FE66:FK66"/>
    <mergeCell ref="FE67:FK67"/>
    <mergeCell ref="FE68:FK68"/>
    <mergeCell ref="FE69:FK69"/>
    <mergeCell ref="FE70:FK70"/>
    <mergeCell ref="FE71:FK71"/>
    <mergeCell ref="FE72:FK72"/>
    <mergeCell ref="FE73:FK73"/>
    <mergeCell ref="FE74:FK74"/>
    <mergeCell ref="FE96:FS96"/>
    <mergeCell ref="FE86:FK86"/>
    <mergeCell ref="FE87:FS87"/>
    <mergeCell ref="FE91:FK91"/>
    <mergeCell ref="FE109:FK109"/>
    <mergeCell ref="FE103:FP103"/>
    <mergeCell ref="FE105:FK105"/>
    <mergeCell ref="FE76:FK76"/>
    <mergeCell ref="FE77:FS77"/>
    <mergeCell ref="FE79:FK79"/>
    <mergeCell ref="FE80:FK80"/>
    <mergeCell ref="FE81:FK81"/>
    <mergeCell ref="FE82:FK82"/>
    <mergeCell ref="FE83:FK83"/>
    <mergeCell ref="Q24:W24"/>
    <mergeCell ref="Q25:W25"/>
    <mergeCell ref="Q26:W26"/>
    <mergeCell ref="Q27:W27"/>
    <mergeCell ref="Q28:W28"/>
    <mergeCell ref="Q29:W29"/>
    <mergeCell ref="Q30:W30"/>
    <mergeCell ref="Q31:AE31"/>
    <mergeCell ref="Q33:W33"/>
    <mergeCell ref="A18:O18"/>
    <mergeCell ref="A31:O31"/>
    <mergeCell ref="A40:O40"/>
    <mergeCell ref="A41:L41"/>
    <mergeCell ref="A47:L47"/>
    <mergeCell ref="Q2:AE2"/>
    <mergeCell ref="Q3:AE3"/>
    <mergeCell ref="Q5:W5"/>
    <mergeCell ref="Q6:W6"/>
    <mergeCell ref="Q7:W7"/>
    <mergeCell ref="Q8:W8"/>
    <mergeCell ref="Q9:W9"/>
    <mergeCell ref="Q10:W10"/>
    <mergeCell ref="Q11:W11"/>
    <mergeCell ref="Q12:W12"/>
    <mergeCell ref="Q13:W13"/>
    <mergeCell ref="Q14:W14"/>
    <mergeCell ref="Q15:W15"/>
    <mergeCell ref="Q16:W16"/>
    <mergeCell ref="Q17:W17"/>
    <mergeCell ref="Q18:AE18"/>
    <mergeCell ref="Q20:W20"/>
    <mergeCell ref="Q22:W22"/>
    <mergeCell ref="Q44:W44"/>
    <mergeCell ref="Q45:W45"/>
    <mergeCell ref="Q46:W46"/>
    <mergeCell ref="Q47:AB47"/>
    <mergeCell ref="Q49:W49"/>
    <mergeCell ref="Q50:W50"/>
    <mergeCell ref="Q51:W51"/>
    <mergeCell ref="Q53:W53"/>
    <mergeCell ref="Q54:W54"/>
    <mergeCell ref="Q34:W34"/>
    <mergeCell ref="Q35:W35"/>
    <mergeCell ref="Q36:W36"/>
    <mergeCell ref="Q37:W37"/>
    <mergeCell ref="Q38:W38"/>
    <mergeCell ref="Q39:W39"/>
    <mergeCell ref="Q40:AE40"/>
    <mergeCell ref="Q41:AB41"/>
    <mergeCell ref="Q43:W43"/>
    <mergeCell ref="AG26:AM26"/>
    <mergeCell ref="AG27:AM27"/>
    <mergeCell ref="AG28:AM28"/>
    <mergeCell ref="AG29:AM29"/>
    <mergeCell ref="AG30:AM30"/>
    <mergeCell ref="AG31:AU31"/>
    <mergeCell ref="AG33:AM33"/>
    <mergeCell ref="AG34:AM34"/>
    <mergeCell ref="AG35:AM35"/>
    <mergeCell ref="Q55:W55"/>
    <mergeCell ref="AG2:AU2"/>
    <mergeCell ref="AG3:AU3"/>
    <mergeCell ref="AG5:AM5"/>
    <mergeCell ref="AG6:AM6"/>
    <mergeCell ref="AG7:AM7"/>
    <mergeCell ref="AG8:AM8"/>
    <mergeCell ref="AG9:AM9"/>
    <mergeCell ref="AG10:AM10"/>
    <mergeCell ref="AG11:AM11"/>
    <mergeCell ref="AG12:AM12"/>
    <mergeCell ref="AG13:AM13"/>
    <mergeCell ref="AG14:AM14"/>
    <mergeCell ref="AG15:AM15"/>
    <mergeCell ref="AG16:AM16"/>
    <mergeCell ref="AG17:AM17"/>
    <mergeCell ref="AG18:AM18"/>
    <mergeCell ref="AG19:AM19"/>
    <mergeCell ref="AG20:AU20"/>
    <mergeCell ref="AG22:AM22"/>
    <mergeCell ref="AG23:AM23"/>
    <mergeCell ref="AG24:AM24"/>
    <mergeCell ref="AG25:AM25"/>
    <mergeCell ref="AG46:AM46"/>
    <mergeCell ref="AG47:AR47"/>
    <mergeCell ref="AG49:AM49"/>
    <mergeCell ref="AG50:AM50"/>
    <mergeCell ref="AG51:AM51"/>
    <mergeCell ref="AG52:AM52"/>
    <mergeCell ref="AG53:AM53"/>
    <mergeCell ref="AG54:AM54"/>
    <mergeCell ref="AG55:AM55"/>
    <mergeCell ref="AG36:AM36"/>
    <mergeCell ref="AG37:AM37"/>
    <mergeCell ref="AG38:AM38"/>
    <mergeCell ref="AG39:AM39"/>
    <mergeCell ref="AG40:AU40"/>
    <mergeCell ref="AG41:AR41"/>
    <mergeCell ref="AG43:AM43"/>
    <mergeCell ref="AG44:AM44"/>
    <mergeCell ref="AG45:AM45"/>
    <mergeCell ref="AW12:BC12"/>
    <mergeCell ref="AW13:BC13"/>
    <mergeCell ref="AW14:BC14"/>
    <mergeCell ref="AW15:BC15"/>
    <mergeCell ref="AW16:BC16"/>
    <mergeCell ref="AW18:BC18"/>
    <mergeCell ref="AW19:BK19"/>
    <mergeCell ref="AW21:BC21"/>
    <mergeCell ref="AW2:BK2"/>
    <mergeCell ref="AW3:BK3"/>
    <mergeCell ref="AW5:BC5"/>
    <mergeCell ref="AW6:BC6"/>
    <mergeCell ref="AW7:BC7"/>
    <mergeCell ref="AW8:BC8"/>
    <mergeCell ref="AW9:BC9"/>
    <mergeCell ref="AW10:BC10"/>
    <mergeCell ref="AW11:BC11"/>
    <mergeCell ref="AW34:BC34"/>
    <mergeCell ref="AW35:BC35"/>
    <mergeCell ref="AW36:BC36"/>
    <mergeCell ref="AW37:BC37"/>
    <mergeCell ref="AW42:BC42"/>
    <mergeCell ref="AW38:BC38"/>
    <mergeCell ref="AW39:BK39"/>
    <mergeCell ref="AW40:BH40"/>
    <mergeCell ref="AW23:BC23"/>
    <mergeCell ref="AW24:BC24"/>
    <mergeCell ref="AW25:BC25"/>
    <mergeCell ref="AW26:BC26"/>
    <mergeCell ref="AW27:BC27"/>
    <mergeCell ref="AW28:BC28"/>
    <mergeCell ref="AW32:BC32"/>
    <mergeCell ref="AW29:BC29"/>
    <mergeCell ref="AW30:BK30"/>
    <mergeCell ref="AW54:BC54"/>
    <mergeCell ref="BM2:CA2"/>
    <mergeCell ref="BM3:CA3"/>
    <mergeCell ref="BM5:BS5"/>
    <mergeCell ref="BM6:BS6"/>
    <mergeCell ref="BM7:BS7"/>
    <mergeCell ref="BM8:BS8"/>
    <mergeCell ref="BM9:BS9"/>
    <mergeCell ref="BM10:BS10"/>
    <mergeCell ref="BM12:BS12"/>
    <mergeCell ref="BM13:BS13"/>
    <mergeCell ref="BM14:BS14"/>
    <mergeCell ref="BM15:BS15"/>
    <mergeCell ref="BM16:BS16"/>
    <mergeCell ref="BM17:BS17"/>
    <mergeCell ref="BM19:BS19"/>
    <mergeCell ref="BM20:CA20"/>
    <mergeCell ref="BM22:BS22"/>
    <mergeCell ref="BM24:BS24"/>
    <mergeCell ref="BM25:BS25"/>
    <mergeCell ref="BM26:BS26"/>
    <mergeCell ref="BM27:BS27"/>
    <mergeCell ref="AW43:BC43"/>
    <mergeCell ref="AW44:BC44"/>
    <mergeCell ref="AW48:BC48"/>
    <mergeCell ref="AW49:BC49"/>
    <mergeCell ref="AW52:BC52"/>
    <mergeCell ref="AW53:BC53"/>
    <mergeCell ref="AW45:BC45"/>
    <mergeCell ref="AW46:BH46"/>
    <mergeCell ref="AW50:BC50"/>
    <mergeCell ref="AW33:BC33"/>
    <mergeCell ref="BM45:BS45"/>
    <mergeCell ref="BM46:BS46"/>
    <mergeCell ref="BM47:BX47"/>
    <mergeCell ref="BM28:BS28"/>
    <mergeCell ref="BM29:BS29"/>
    <mergeCell ref="BM30:BS30"/>
    <mergeCell ref="BM31:CA31"/>
    <mergeCell ref="BM33:BS33"/>
    <mergeCell ref="BM34:BS34"/>
    <mergeCell ref="BM35:BS35"/>
    <mergeCell ref="BM36:BS36"/>
    <mergeCell ref="BM37:BS37"/>
    <mergeCell ref="CC23:CI23"/>
    <mergeCell ref="CC24:CI24"/>
    <mergeCell ref="CC25:CI25"/>
    <mergeCell ref="CC26:CI26"/>
    <mergeCell ref="CC27:CI27"/>
    <mergeCell ref="CC28:CI28"/>
    <mergeCell ref="CC29:CI29"/>
    <mergeCell ref="CC30:CI30"/>
    <mergeCell ref="CC31:CQ31"/>
    <mergeCell ref="BM49:BS49"/>
    <mergeCell ref="BM50:BS50"/>
    <mergeCell ref="BM51:BS51"/>
    <mergeCell ref="BM53:BS53"/>
    <mergeCell ref="BM54:BS54"/>
    <mergeCell ref="BM55:BS55"/>
    <mergeCell ref="CC2:CQ2"/>
    <mergeCell ref="CC3:CQ3"/>
    <mergeCell ref="CC5:CI5"/>
    <mergeCell ref="CC6:CI6"/>
    <mergeCell ref="CC7:CI7"/>
    <mergeCell ref="CC8:CI8"/>
    <mergeCell ref="CC9:CI9"/>
    <mergeCell ref="CC10:CI10"/>
    <mergeCell ref="CC11:CI11"/>
    <mergeCell ref="CC12:CI12"/>
    <mergeCell ref="CC13:CI13"/>
    <mergeCell ref="CC14:CI14"/>
    <mergeCell ref="CC15:CI15"/>
    <mergeCell ref="CC16:CI16"/>
    <mergeCell ref="CC17:CI17"/>
    <mergeCell ref="CC18:CQ18"/>
    <mergeCell ref="CC20:CI20"/>
    <mergeCell ref="CC54:CI54"/>
    <mergeCell ref="CC55:CI55"/>
    <mergeCell ref="CC22:CI22"/>
    <mergeCell ref="BM38:BS38"/>
    <mergeCell ref="BM39:BS39"/>
    <mergeCell ref="BM40:CA40"/>
    <mergeCell ref="BM41:BX41"/>
    <mergeCell ref="BM43:BS43"/>
    <mergeCell ref="BM44:BS44"/>
    <mergeCell ref="CS25:CY25"/>
    <mergeCell ref="CS26:CY26"/>
    <mergeCell ref="CC43:CI43"/>
    <mergeCell ref="CC44:CI44"/>
    <mergeCell ref="CC45:CI45"/>
    <mergeCell ref="CC46:CI46"/>
    <mergeCell ref="CC47:CN47"/>
    <mergeCell ref="CC49:CI49"/>
    <mergeCell ref="CC50:CI50"/>
    <mergeCell ref="CC51:CI51"/>
    <mergeCell ref="CC53:CI53"/>
    <mergeCell ref="CC33:CI33"/>
    <mergeCell ref="CC34:CI34"/>
    <mergeCell ref="CC35:CI35"/>
    <mergeCell ref="CC36:CI36"/>
    <mergeCell ref="CC37:CI37"/>
    <mergeCell ref="CC38:CI38"/>
    <mergeCell ref="CC39:CI39"/>
    <mergeCell ref="CC40:CQ40"/>
    <mergeCell ref="CC41:CN41"/>
    <mergeCell ref="CS47:CY47"/>
    <mergeCell ref="CS27:CY27"/>
    <mergeCell ref="CS28:CY28"/>
    <mergeCell ref="CS29:DG29"/>
    <mergeCell ref="CS31:CY31"/>
    <mergeCell ref="CS32:CY32"/>
    <mergeCell ref="CS33:CY33"/>
    <mergeCell ref="CS34:CY34"/>
    <mergeCell ref="CS35:CY35"/>
    <mergeCell ref="CS36:CY36"/>
    <mergeCell ref="CS43:CY43"/>
    <mergeCell ref="CS44:CY44"/>
    <mergeCell ref="CS2:DG2"/>
    <mergeCell ref="CS3:DG3"/>
    <mergeCell ref="CS5:CY5"/>
    <mergeCell ref="CS6:CY6"/>
    <mergeCell ref="CS7:CY7"/>
    <mergeCell ref="CS8:CY8"/>
    <mergeCell ref="CS9:CY9"/>
    <mergeCell ref="CS10:CY10"/>
    <mergeCell ref="CS11:CY11"/>
    <mergeCell ref="CS12:CY12"/>
    <mergeCell ref="CS13:CY13"/>
    <mergeCell ref="CS14:CY14"/>
    <mergeCell ref="CS15:CY15"/>
    <mergeCell ref="CS16:CY16"/>
    <mergeCell ref="CS17:CY17"/>
    <mergeCell ref="CS18:DG18"/>
    <mergeCell ref="CS20:CY20"/>
    <mergeCell ref="CS22:CY22"/>
    <mergeCell ref="CS23:CY23"/>
    <mergeCell ref="CS24:CY24"/>
    <mergeCell ref="CS48:CY48"/>
    <mergeCell ref="CS49:CY49"/>
    <mergeCell ref="CS51:CY51"/>
    <mergeCell ref="CS52:CY52"/>
    <mergeCell ref="CS53:CY53"/>
    <mergeCell ref="DI2:DW2"/>
    <mergeCell ref="DI3:DW3"/>
    <mergeCell ref="DI5:DO5"/>
    <mergeCell ref="DI6:DO6"/>
    <mergeCell ref="DI7:DO7"/>
    <mergeCell ref="DI8:DO8"/>
    <mergeCell ref="DI9:DO9"/>
    <mergeCell ref="DI10:DO10"/>
    <mergeCell ref="DI12:DO12"/>
    <mergeCell ref="DI13:DO13"/>
    <mergeCell ref="DI14:DO14"/>
    <mergeCell ref="DI15:DO15"/>
    <mergeCell ref="DI16:DO16"/>
    <mergeCell ref="DI17:DO17"/>
    <mergeCell ref="DI19:DO19"/>
    <mergeCell ref="DI20:DW20"/>
    <mergeCell ref="DI22:DO22"/>
    <mergeCell ref="DI24:DO24"/>
    <mergeCell ref="DI25:DO25"/>
    <mergeCell ref="CS37:CY37"/>
    <mergeCell ref="CS38:DG38"/>
    <mergeCell ref="CS39:DD39"/>
    <mergeCell ref="CS41:CY41"/>
    <mergeCell ref="CS42:CY42"/>
    <mergeCell ref="CS45:DD45"/>
    <mergeCell ref="DY26:EE26"/>
    <mergeCell ref="DY27:EE27"/>
    <mergeCell ref="DI46:DO46"/>
    <mergeCell ref="DI47:DO47"/>
    <mergeCell ref="DI48:DO48"/>
    <mergeCell ref="DI49:DT49"/>
    <mergeCell ref="DI51:DO51"/>
    <mergeCell ref="DI52:DO52"/>
    <mergeCell ref="DI53:DO53"/>
    <mergeCell ref="DI55:DO55"/>
    <mergeCell ref="DI56:DO56"/>
    <mergeCell ref="DI36:DO36"/>
    <mergeCell ref="DI37:DO37"/>
    <mergeCell ref="DI38:DO38"/>
    <mergeCell ref="DI39:DO39"/>
    <mergeCell ref="DI40:DO40"/>
    <mergeCell ref="DI41:DO41"/>
    <mergeCell ref="DI42:DW42"/>
    <mergeCell ref="DI43:DT43"/>
    <mergeCell ref="DI45:DO45"/>
    <mergeCell ref="DI26:DO26"/>
    <mergeCell ref="DI27:DO27"/>
    <mergeCell ref="DI28:DO28"/>
    <mergeCell ref="DI29:DO29"/>
    <mergeCell ref="DI30:DO30"/>
    <mergeCell ref="DI31:DO31"/>
    <mergeCell ref="DI32:DO32"/>
    <mergeCell ref="DI33:DW33"/>
    <mergeCell ref="DI35:DO35"/>
    <mergeCell ref="DY48:EE48"/>
    <mergeCell ref="DY28:EM28"/>
    <mergeCell ref="DI57:DO57"/>
    <mergeCell ref="DY2:EM2"/>
    <mergeCell ref="DY3:EM3"/>
    <mergeCell ref="DY5:EE5"/>
    <mergeCell ref="DY6:EE6"/>
    <mergeCell ref="DY7:EE7"/>
    <mergeCell ref="DY8:EE8"/>
    <mergeCell ref="DY9:EE9"/>
    <mergeCell ref="DY10:EE10"/>
    <mergeCell ref="DY11:EE11"/>
    <mergeCell ref="DY12:EE12"/>
    <mergeCell ref="DY13:EE13"/>
    <mergeCell ref="DY14:EE14"/>
    <mergeCell ref="DY15:EE15"/>
    <mergeCell ref="DY16:EE16"/>
    <mergeCell ref="DY17:EE17"/>
    <mergeCell ref="DY18:EM18"/>
    <mergeCell ref="DY20:EE20"/>
    <mergeCell ref="DY22:EE22"/>
    <mergeCell ref="DY23:EE23"/>
    <mergeCell ref="DY24:EE24"/>
    <mergeCell ref="DY25:EE25"/>
    <mergeCell ref="DY50:EE50"/>
    <mergeCell ref="DY51:EE51"/>
    <mergeCell ref="DY52:EE52"/>
    <mergeCell ref="EO2:FC2"/>
    <mergeCell ref="EO3:FC3"/>
    <mergeCell ref="EO5:EU5"/>
    <mergeCell ref="EO6:EU6"/>
    <mergeCell ref="EO7:EU7"/>
    <mergeCell ref="EO8:EU8"/>
    <mergeCell ref="EO9:EU9"/>
    <mergeCell ref="EO10:EU10"/>
    <mergeCell ref="EO11:EU11"/>
    <mergeCell ref="EO12:EU12"/>
    <mergeCell ref="EO13:EU13"/>
    <mergeCell ref="EO14:EU14"/>
    <mergeCell ref="EO15:EU15"/>
    <mergeCell ref="EO16:EU16"/>
    <mergeCell ref="EO17:EU17"/>
    <mergeCell ref="EO18:FC18"/>
    <mergeCell ref="EO20:EU20"/>
    <mergeCell ref="EO54:EU54"/>
    <mergeCell ref="EO35:EU35"/>
    <mergeCell ref="EO36:EU36"/>
    <mergeCell ref="EO37:EU37"/>
    <mergeCell ref="EO38:EU38"/>
    <mergeCell ref="EO39:EU39"/>
    <mergeCell ref="EO40:FC40"/>
    <mergeCell ref="EO41:EZ41"/>
    <mergeCell ref="EO43:EU43"/>
    <mergeCell ref="EO44:EU44"/>
    <mergeCell ref="EO25:EU25"/>
    <mergeCell ref="EO26:EU26"/>
    <mergeCell ref="EO27:EU27"/>
    <mergeCell ref="EO28:EU28"/>
    <mergeCell ref="EO29:EU29"/>
    <mergeCell ref="EO30:EU30"/>
    <mergeCell ref="EO31:FC31"/>
    <mergeCell ref="EO33:EU33"/>
    <mergeCell ref="FE26:FK26"/>
    <mergeCell ref="FE27:FK27"/>
    <mergeCell ref="FE28:FK28"/>
    <mergeCell ref="FE29:FK29"/>
    <mergeCell ref="EO45:EU45"/>
    <mergeCell ref="EO46:EU46"/>
    <mergeCell ref="EO47:EZ47"/>
    <mergeCell ref="EO49:EU49"/>
    <mergeCell ref="EO50:EU50"/>
    <mergeCell ref="EO51:EU51"/>
    <mergeCell ref="EO52:EU52"/>
    <mergeCell ref="EO21:EU21"/>
    <mergeCell ref="EO22:EU22"/>
    <mergeCell ref="EO23:EU23"/>
    <mergeCell ref="EO24:EU24"/>
    <mergeCell ref="DY38:EJ38"/>
    <mergeCell ref="DY40:EE40"/>
    <mergeCell ref="DY41:EE41"/>
    <mergeCell ref="DY42:EE42"/>
    <mergeCell ref="DY43:EE43"/>
    <mergeCell ref="DY44:EJ44"/>
    <mergeCell ref="DY46:EE46"/>
    <mergeCell ref="DY47:EE47"/>
    <mergeCell ref="DY30:EE30"/>
    <mergeCell ref="DY31:EE31"/>
    <mergeCell ref="DY34:EE34"/>
    <mergeCell ref="DY35:EE35"/>
    <mergeCell ref="DY36:EE36"/>
    <mergeCell ref="DY37:EM37"/>
    <mergeCell ref="FE2:FS2"/>
    <mergeCell ref="FE3:FS3"/>
    <mergeCell ref="FE5:FK5"/>
    <mergeCell ref="FE6:FK6"/>
    <mergeCell ref="FE7:FK7"/>
    <mergeCell ref="FE8:FK8"/>
    <mergeCell ref="FE9:FK9"/>
    <mergeCell ref="FE10:FK10"/>
    <mergeCell ref="FE12:FK12"/>
    <mergeCell ref="FE13:FK13"/>
    <mergeCell ref="FE14:FK14"/>
    <mergeCell ref="FE15:FK15"/>
    <mergeCell ref="FE16:FK16"/>
    <mergeCell ref="FE17:FK17"/>
    <mergeCell ref="FE19:FK19"/>
    <mergeCell ref="FE20:FS20"/>
    <mergeCell ref="FE22:FK22"/>
    <mergeCell ref="GM16:HM16"/>
    <mergeCell ref="IW16:JW16"/>
    <mergeCell ref="IV30:JW30"/>
    <mergeCell ref="IV44:JW44"/>
    <mergeCell ref="GL30:HM30"/>
    <mergeCell ref="EO53:EU53"/>
    <mergeCell ref="FE51:FK51"/>
    <mergeCell ref="FE53:FK53"/>
    <mergeCell ref="FE54:FK54"/>
    <mergeCell ref="FE55:FK55"/>
    <mergeCell ref="FE40:FS40"/>
    <mergeCell ref="FE41:FP41"/>
    <mergeCell ref="FE43:FK43"/>
    <mergeCell ref="FE44:FK44"/>
    <mergeCell ref="FE45:FK45"/>
    <mergeCell ref="FE46:FK46"/>
    <mergeCell ref="FE47:FP47"/>
    <mergeCell ref="FE49:FK49"/>
    <mergeCell ref="FE50:FK50"/>
    <mergeCell ref="FE30:FK30"/>
    <mergeCell ref="FE31:FS31"/>
    <mergeCell ref="FE33:FK33"/>
    <mergeCell ref="FE34:FK34"/>
    <mergeCell ref="FE35:FK35"/>
    <mergeCell ref="FE36:FK36"/>
    <mergeCell ref="FE37:FK37"/>
    <mergeCell ref="FE38:FK38"/>
    <mergeCell ref="FE39:FK39"/>
    <mergeCell ref="EO34:EU34"/>
    <mergeCell ref="EO55:EU55"/>
    <mergeCell ref="FE24:FK24"/>
    <mergeCell ref="FE25:FK25"/>
  </mergeCells>
  <pageMargins left="0.7" right="0.7" top="0.75" bottom="0.75" header="0.3" footer="0.3"/>
  <pageSetup paperSize="9" orientation="portrait" r:id="rId1"/>
  <headerFooter>
    <oddFooter>&amp;R&amp;1#&amp;"Calibri"&amp;10&amp;K000000C2 - Confidential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AD9060"/>
  <sheetViews>
    <sheetView topLeftCell="R1" zoomScaleNormal="100" workbookViewId="0">
      <selection activeCell="U20" sqref="U20"/>
    </sheetView>
  </sheetViews>
  <sheetFormatPr baseColWidth="10" defaultColWidth="11.44140625" defaultRowHeight="14.4"/>
  <cols>
    <col min="1" max="1" width="10.6640625" style="773" bestFit="1" customWidth="1"/>
    <col min="2" max="2" width="11.5546875" style="773" bestFit="1" customWidth="1"/>
    <col min="3" max="3" width="9.88671875" style="773" bestFit="1" customWidth="1"/>
    <col min="4" max="4" width="23.44140625" style="773" bestFit="1" customWidth="1"/>
    <col min="5" max="5" width="19.44140625" style="773" customWidth="1"/>
    <col min="12" max="12" width="33.5546875" customWidth="1"/>
    <col min="13" max="13" width="11.5546875" bestFit="1" customWidth="1"/>
    <col min="14" max="14" width="12.33203125" bestFit="1" customWidth="1"/>
    <col min="15" max="16" width="10.109375" bestFit="1" customWidth="1"/>
    <col min="17" max="17" width="10.6640625" style="231" bestFit="1" customWidth="1"/>
    <col min="18" max="18" width="10.6640625" customWidth="1"/>
    <col min="19" max="19" width="20.109375" style="773" customWidth="1"/>
    <col min="20" max="20" width="14.109375" style="773" customWidth="1"/>
    <col min="21" max="21" width="14.33203125" style="773" customWidth="1"/>
    <col min="22" max="22" width="25.109375" style="773" customWidth="1"/>
    <col min="23" max="23" width="19.44140625" style="773" customWidth="1"/>
    <col min="26" max="26" width="32.88671875" customWidth="1"/>
    <col min="27" max="27" width="11.5546875" bestFit="1" customWidth="1"/>
    <col min="28" max="28" width="12.33203125" bestFit="1" customWidth="1"/>
    <col min="29" max="30" width="10.109375" bestFit="1" customWidth="1"/>
    <col min="31" max="31" width="10.6640625" customWidth="1"/>
  </cols>
  <sheetData>
    <row r="1" spans="1:30" s="231" customFormat="1">
      <c r="A1" s="773" t="s">
        <v>270</v>
      </c>
      <c r="B1" s="773" t="s">
        <v>384</v>
      </c>
      <c r="C1" s="773" t="s">
        <v>385</v>
      </c>
      <c r="D1" s="773" t="s">
        <v>386</v>
      </c>
      <c r="E1" s="773" t="s">
        <v>389</v>
      </c>
      <c r="L1"/>
      <c r="M1"/>
      <c r="N1" s="264">
        <f t="shared" ref="N1" si="0">+COUNTA(N6:N1048576)-1</f>
        <v>33</v>
      </c>
      <c r="O1" s="264">
        <f>+COUNTA(O6:O1048576)-1</f>
        <v>33</v>
      </c>
      <c r="P1" s="264">
        <f>+COUNTA(P6:P1048576)-1</f>
        <v>32</v>
      </c>
      <c r="S1" s="773" t="s">
        <v>270</v>
      </c>
      <c r="T1" s="773" t="s">
        <v>384</v>
      </c>
      <c r="U1" s="773" t="s">
        <v>385</v>
      </c>
      <c r="V1" s="773" t="s">
        <v>386</v>
      </c>
      <c r="W1" s="773" t="s">
        <v>389</v>
      </c>
      <c r="Z1"/>
      <c r="AA1"/>
      <c r="AB1" s="231">
        <f t="shared" ref="AB1" si="1">+COUNTA(AB6:AB1048576)-1</f>
        <v>120</v>
      </c>
      <c r="AC1" s="231">
        <f>+COUNTA(AC6:AC1048576)-1</f>
        <v>120</v>
      </c>
      <c r="AD1" s="231">
        <f>+COUNTA(AD6:AD1048576)-1</f>
        <v>128</v>
      </c>
    </row>
    <row r="2" spans="1:30">
      <c r="A2" s="27">
        <v>44104</v>
      </c>
      <c r="B2" s="773" t="s">
        <v>140</v>
      </c>
      <c r="C2" s="773">
        <v>213</v>
      </c>
      <c r="D2" s="773">
        <v>13</v>
      </c>
      <c r="E2" s="773" t="str">
        <f>+IF(D2&lt;100,"O","N")</f>
        <v>O</v>
      </c>
      <c r="L2" s="207" t="s">
        <v>389</v>
      </c>
      <c r="M2" s="907" t="s">
        <v>390</v>
      </c>
      <c r="P2" s="829">
        <f t="shared" ref="P2" si="2">+COUNTA(#REF!)-1</f>
        <v>0</v>
      </c>
      <c r="S2" s="27">
        <v>44104</v>
      </c>
      <c r="T2" s="773" t="s">
        <v>132</v>
      </c>
      <c r="U2" s="773">
        <v>0</v>
      </c>
      <c r="V2" s="773">
        <v>14</v>
      </c>
      <c r="W2" s="773" t="str">
        <f>+IF(V2&lt;100,"O","N")</f>
        <v>O</v>
      </c>
      <c r="Z2" s="207" t="s">
        <v>389</v>
      </c>
      <c r="AA2" s="907" t="s">
        <v>390</v>
      </c>
      <c r="AB2" s="231"/>
      <c r="AC2" s="231"/>
      <c r="AD2" s="231"/>
    </row>
    <row r="3" spans="1:30">
      <c r="A3" s="27">
        <v>44104</v>
      </c>
      <c r="B3" s="773" t="s">
        <v>140</v>
      </c>
      <c r="C3" s="773">
        <v>248</v>
      </c>
      <c r="D3" s="773">
        <v>296</v>
      </c>
      <c r="E3" s="773" t="str">
        <f t="shared" ref="E3:E66" si="3">+IF(D3&lt;100,"O","N")</f>
        <v>N</v>
      </c>
      <c r="S3" s="27">
        <v>44104</v>
      </c>
      <c r="T3" s="773" t="s">
        <v>132</v>
      </c>
      <c r="U3" s="773">
        <v>11</v>
      </c>
      <c r="V3" s="773">
        <v>7</v>
      </c>
      <c r="W3" s="773" t="str">
        <f t="shared" ref="W3:W66" si="4">+IF(V3&lt;100,"O","N")</f>
        <v>O</v>
      </c>
    </row>
    <row r="4" spans="1:30">
      <c r="A4" s="27">
        <v>44104</v>
      </c>
      <c r="B4" s="773" t="s">
        <v>140</v>
      </c>
      <c r="C4" s="773">
        <v>278</v>
      </c>
      <c r="D4" s="773">
        <v>1</v>
      </c>
      <c r="E4" s="773" t="str">
        <f t="shared" si="3"/>
        <v>O</v>
      </c>
      <c r="L4" s="207" t="s">
        <v>388</v>
      </c>
      <c r="N4" s="207" t="s">
        <v>270</v>
      </c>
      <c r="Q4"/>
      <c r="S4" s="27">
        <v>44104</v>
      </c>
      <c r="T4" s="773" t="s">
        <v>132</v>
      </c>
      <c r="U4" s="773">
        <v>13</v>
      </c>
      <c r="V4" s="773">
        <v>617</v>
      </c>
      <c r="W4" s="773" t="str">
        <f t="shared" si="4"/>
        <v>N</v>
      </c>
      <c r="Z4" s="207" t="s">
        <v>388</v>
      </c>
      <c r="AB4" s="207" t="s">
        <v>270</v>
      </c>
    </row>
    <row r="5" spans="1:30">
      <c r="A5" s="27">
        <v>44104</v>
      </c>
      <c r="B5" s="773" t="s">
        <v>140</v>
      </c>
      <c r="C5" s="773">
        <v>338</v>
      </c>
      <c r="D5" s="773">
        <v>1586</v>
      </c>
      <c r="E5" s="773" t="str">
        <f t="shared" si="3"/>
        <v>N</v>
      </c>
      <c r="L5" s="207" t="s">
        <v>384</v>
      </c>
      <c r="M5" s="207" t="s">
        <v>385</v>
      </c>
      <c r="N5" s="27">
        <v>44926</v>
      </c>
      <c r="O5" s="907" t="s">
        <v>557</v>
      </c>
      <c r="P5" s="907" t="s">
        <v>558</v>
      </c>
      <c r="Q5"/>
      <c r="S5" s="27">
        <v>44104</v>
      </c>
      <c r="T5" s="773" t="s">
        <v>132</v>
      </c>
      <c r="U5" s="773">
        <v>35</v>
      </c>
      <c r="V5" s="773">
        <v>788</v>
      </c>
      <c r="W5" s="773" t="str">
        <f t="shared" si="4"/>
        <v>N</v>
      </c>
      <c r="Z5" s="207" t="s">
        <v>384</v>
      </c>
      <c r="AA5" s="207" t="s">
        <v>385</v>
      </c>
      <c r="AB5" s="27">
        <v>44926</v>
      </c>
      <c r="AC5" s="907" t="s">
        <v>557</v>
      </c>
      <c r="AD5" s="907" t="s">
        <v>558</v>
      </c>
    </row>
    <row r="6" spans="1:30">
      <c r="A6" s="27">
        <v>44104</v>
      </c>
      <c r="B6" s="773" t="s">
        <v>140</v>
      </c>
      <c r="C6" s="773">
        <v>359</v>
      </c>
      <c r="D6" s="773">
        <v>391</v>
      </c>
      <c r="E6" s="773" t="str">
        <f t="shared" si="3"/>
        <v>N</v>
      </c>
      <c r="L6" s="907" t="s">
        <v>140</v>
      </c>
      <c r="M6" s="907">
        <v>248</v>
      </c>
      <c r="N6" s="244">
        <v>389</v>
      </c>
      <c r="O6" s="244">
        <v>389</v>
      </c>
      <c r="P6" s="244"/>
      <c r="Q6"/>
      <c r="S6" s="27">
        <v>44104</v>
      </c>
      <c r="T6" s="773" t="s">
        <v>132</v>
      </c>
      <c r="U6" s="773">
        <v>40</v>
      </c>
      <c r="V6" s="773">
        <v>1</v>
      </c>
      <c r="W6" s="773" t="str">
        <f t="shared" si="4"/>
        <v>O</v>
      </c>
      <c r="Z6" s="907" t="s">
        <v>132</v>
      </c>
      <c r="AA6" s="907">
        <v>13</v>
      </c>
      <c r="AB6" s="244">
        <v>2561</v>
      </c>
      <c r="AC6" s="244">
        <v>2561</v>
      </c>
      <c r="AD6" s="244">
        <v>2575</v>
      </c>
    </row>
    <row r="7" spans="1:30">
      <c r="A7" s="27">
        <v>44104</v>
      </c>
      <c r="B7" s="773" t="s">
        <v>140</v>
      </c>
      <c r="C7" s="773">
        <v>383</v>
      </c>
      <c r="D7" s="773">
        <v>1</v>
      </c>
      <c r="E7" s="773" t="str">
        <f t="shared" si="3"/>
        <v>O</v>
      </c>
      <c r="M7" s="907">
        <v>338</v>
      </c>
      <c r="N7" s="244">
        <v>2451</v>
      </c>
      <c r="O7" s="244">
        <v>2451</v>
      </c>
      <c r="P7" s="244">
        <v>2470</v>
      </c>
      <c r="Q7"/>
      <c r="S7" s="27">
        <v>44104</v>
      </c>
      <c r="T7" s="773" t="s">
        <v>132</v>
      </c>
      <c r="U7" s="773">
        <v>41</v>
      </c>
      <c r="V7" s="773">
        <v>1</v>
      </c>
      <c r="W7" s="773" t="str">
        <f t="shared" si="4"/>
        <v>O</v>
      </c>
      <c r="AA7" s="907">
        <v>35</v>
      </c>
      <c r="AB7" s="244">
        <v>879</v>
      </c>
      <c r="AC7" s="244">
        <v>879</v>
      </c>
      <c r="AD7" s="244">
        <v>870</v>
      </c>
    </row>
    <row r="8" spans="1:30">
      <c r="A8" s="27">
        <v>44104</v>
      </c>
      <c r="B8" s="773" t="s">
        <v>140</v>
      </c>
      <c r="C8" s="773">
        <v>387</v>
      </c>
      <c r="D8" s="773">
        <v>6</v>
      </c>
      <c r="E8" s="773" t="str">
        <f t="shared" si="3"/>
        <v>O</v>
      </c>
      <c r="M8" s="907">
        <v>359</v>
      </c>
      <c r="N8" s="244">
        <v>779</v>
      </c>
      <c r="O8" s="244">
        <v>779</v>
      </c>
      <c r="P8" s="244">
        <v>966</v>
      </c>
      <c r="Q8"/>
      <c r="S8" s="27">
        <v>44104</v>
      </c>
      <c r="T8" s="773" t="s">
        <v>132</v>
      </c>
      <c r="U8" s="773">
        <v>42</v>
      </c>
      <c r="V8" s="773">
        <v>1</v>
      </c>
      <c r="W8" s="773" t="str">
        <f t="shared" si="4"/>
        <v>O</v>
      </c>
      <c r="AA8" s="907">
        <v>43</v>
      </c>
      <c r="AB8" s="244">
        <v>1010</v>
      </c>
      <c r="AC8" s="244">
        <v>1010</v>
      </c>
      <c r="AD8" s="244">
        <v>988</v>
      </c>
    </row>
    <row r="9" spans="1:30">
      <c r="A9" s="27">
        <v>44104</v>
      </c>
      <c r="B9" s="773" t="s">
        <v>140</v>
      </c>
      <c r="C9" s="773">
        <v>449</v>
      </c>
      <c r="D9" s="773">
        <v>1428</v>
      </c>
      <c r="E9" s="773" t="str">
        <f t="shared" si="3"/>
        <v>N</v>
      </c>
      <c r="M9" s="907">
        <v>449</v>
      </c>
      <c r="N9" s="244">
        <v>1819</v>
      </c>
      <c r="O9" s="244">
        <v>1819</v>
      </c>
      <c r="P9" s="244">
        <v>1786</v>
      </c>
      <c r="Q9"/>
      <c r="S9" s="27">
        <v>44104</v>
      </c>
      <c r="T9" s="773" t="s">
        <v>132</v>
      </c>
      <c r="U9" s="773">
        <v>43</v>
      </c>
      <c r="V9" s="773">
        <v>2286</v>
      </c>
      <c r="W9" s="773" t="str">
        <f t="shared" si="4"/>
        <v>N</v>
      </c>
      <c r="AA9" s="907">
        <v>44</v>
      </c>
      <c r="AB9" s="244">
        <v>2198</v>
      </c>
      <c r="AC9" s="244">
        <v>2198</v>
      </c>
      <c r="AD9" s="244"/>
    </row>
    <row r="10" spans="1:30">
      <c r="A10" s="27">
        <v>44104</v>
      </c>
      <c r="B10" s="773" t="s">
        <v>140</v>
      </c>
      <c r="C10" s="773">
        <v>453</v>
      </c>
      <c r="D10" s="773">
        <v>1709</v>
      </c>
      <c r="E10" s="773" t="str">
        <f t="shared" si="3"/>
        <v>N</v>
      </c>
      <c r="M10" s="907">
        <v>453</v>
      </c>
      <c r="N10" s="244">
        <v>2327</v>
      </c>
      <c r="O10" s="244">
        <v>2327</v>
      </c>
      <c r="P10" s="244">
        <v>2493</v>
      </c>
      <c r="Q10"/>
      <c r="S10" s="27">
        <v>44104</v>
      </c>
      <c r="T10" s="773" t="s">
        <v>132</v>
      </c>
      <c r="U10" s="773">
        <v>44</v>
      </c>
      <c r="V10" s="773">
        <v>2394</v>
      </c>
      <c r="W10" s="773" t="str">
        <f t="shared" si="4"/>
        <v>N</v>
      </c>
      <c r="AA10" s="907">
        <v>48</v>
      </c>
      <c r="AB10" s="244">
        <v>666</v>
      </c>
      <c r="AC10" s="244">
        <v>666</v>
      </c>
      <c r="AD10" s="244">
        <v>169</v>
      </c>
    </row>
    <row r="11" spans="1:30">
      <c r="A11" s="27">
        <v>44104</v>
      </c>
      <c r="B11" s="773" t="s">
        <v>140</v>
      </c>
      <c r="C11" s="773">
        <v>478</v>
      </c>
      <c r="D11" s="773">
        <v>1346</v>
      </c>
      <c r="E11" s="773" t="str">
        <f t="shared" si="3"/>
        <v>N</v>
      </c>
      <c r="M11" s="907">
        <v>485</v>
      </c>
      <c r="N11" s="244">
        <v>1308</v>
      </c>
      <c r="O11" s="244">
        <v>1308</v>
      </c>
      <c r="P11" s="244">
        <v>1450</v>
      </c>
      <c r="Q11"/>
      <c r="S11" s="27">
        <v>44104</v>
      </c>
      <c r="T11" s="773" t="s">
        <v>132</v>
      </c>
      <c r="U11" s="773">
        <v>46</v>
      </c>
      <c r="V11" s="773">
        <v>1942</v>
      </c>
      <c r="W11" s="773" t="str">
        <f t="shared" si="4"/>
        <v>N</v>
      </c>
      <c r="AA11" s="907">
        <v>68</v>
      </c>
      <c r="AB11" s="244">
        <v>871</v>
      </c>
      <c r="AC11" s="244">
        <v>871</v>
      </c>
      <c r="AD11" s="244">
        <v>1116</v>
      </c>
    </row>
    <row r="12" spans="1:30">
      <c r="A12" s="27">
        <v>44104</v>
      </c>
      <c r="B12" s="773" t="s">
        <v>140</v>
      </c>
      <c r="C12" s="773">
        <v>493</v>
      </c>
      <c r="D12" s="773">
        <v>2</v>
      </c>
      <c r="E12" s="773" t="str">
        <f t="shared" si="3"/>
        <v>O</v>
      </c>
      <c r="M12" s="907">
        <v>502</v>
      </c>
      <c r="N12" s="244">
        <v>337</v>
      </c>
      <c r="O12" s="244">
        <v>337</v>
      </c>
      <c r="P12" s="244"/>
      <c r="Q12"/>
      <c r="S12" s="27">
        <v>44104</v>
      </c>
      <c r="T12" s="773" t="s">
        <v>132</v>
      </c>
      <c r="U12" s="773">
        <v>48</v>
      </c>
      <c r="V12" s="773">
        <v>611</v>
      </c>
      <c r="W12" s="773" t="str">
        <f t="shared" si="4"/>
        <v>N</v>
      </c>
      <c r="AA12" s="907">
        <v>70</v>
      </c>
      <c r="AB12" s="244">
        <v>209</v>
      </c>
      <c r="AC12" s="244">
        <v>209</v>
      </c>
      <c r="AD12" s="244">
        <v>207</v>
      </c>
    </row>
    <row r="13" spans="1:30">
      <c r="A13" s="27">
        <v>44104</v>
      </c>
      <c r="B13" s="773" t="s">
        <v>140</v>
      </c>
      <c r="C13" s="773">
        <v>510</v>
      </c>
      <c r="D13" s="773">
        <v>777</v>
      </c>
      <c r="E13" s="773" t="str">
        <f t="shared" si="3"/>
        <v>N</v>
      </c>
      <c r="M13" s="907">
        <v>510</v>
      </c>
      <c r="N13" s="244">
        <v>957</v>
      </c>
      <c r="O13" s="244">
        <v>957</v>
      </c>
      <c r="P13" s="244">
        <v>1151</v>
      </c>
      <c r="Q13"/>
      <c r="S13" s="27">
        <v>44104</v>
      </c>
      <c r="T13" s="773" t="s">
        <v>132</v>
      </c>
      <c r="U13" s="773">
        <v>52</v>
      </c>
      <c r="V13" s="773">
        <v>1</v>
      </c>
      <c r="W13" s="773" t="str">
        <f t="shared" si="4"/>
        <v>O</v>
      </c>
      <c r="AA13" s="907">
        <v>76</v>
      </c>
      <c r="AB13" s="244">
        <v>3035</v>
      </c>
      <c r="AC13" s="244">
        <v>3035</v>
      </c>
      <c r="AD13" s="244"/>
    </row>
    <row r="14" spans="1:30">
      <c r="A14" s="27">
        <v>44104</v>
      </c>
      <c r="B14" s="773" t="s">
        <v>140</v>
      </c>
      <c r="C14" s="773">
        <v>521</v>
      </c>
      <c r="D14" s="773">
        <v>3</v>
      </c>
      <c r="E14" s="773" t="str">
        <f t="shared" si="3"/>
        <v>O</v>
      </c>
      <c r="M14" s="907">
        <v>524</v>
      </c>
      <c r="N14" s="244">
        <v>1099</v>
      </c>
      <c r="O14" s="244">
        <v>1099</v>
      </c>
      <c r="P14" s="244">
        <v>1908</v>
      </c>
      <c r="Q14"/>
      <c r="S14" s="27">
        <v>44104</v>
      </c>
      <c r="T14" s="773" t="s">
        <v>132</v>
      </c>
      <c r="U14" s="773">
        <v>56</v>
      </c>
      <c r="V14" s="773">
        <v>43</v>
      </c>
      <c r="W14" s="773" t="str">
        <f t="shared" si="4"/>
        <v>O</v>
      </c>
      <c r="AA14" s="907">
        <v>77</v>
      </c>
      <c r="AB14" s="244">
        <v>3602</v>
      </c>
      <c r="AC14" s="244">
        <v>3602</v>
      </c>
      <c r="AD14" s="244">
        <v>3580</v>
      </c>
    </row>
    <row r="15" spans="1:30">
      <c r="A15" s="27">
        <v>44104</v>
      </c>
      <c r="B15" s="773" t="s">
        <v>140</v>
      </c>
      <c r="C15" s="773">
        <v>522</v>
      </c>
      <c r="D15" s="773">
        <v>2</v>
      </c>
      <c r="E15" s="773" t="str">
        <f t="shared" si="3"/>
        <v>O</v>
      </c>
      <c r="M15" s="907">
        <v>548</v>
      </c>
      <c r="N15" s="244">
        <v>690</v>
      </c>
      <c r="O15" s="244">
        <v>690</v>
      </c>
      <c r="P15" s="244">
        <v>1042</v>
      </c>
      <c r="Q15"/>
      <c r="S15" s="27">
        <v>44104</v>
      </c>
      <c r="T15" s="773" t="s">
        <v>132</v>
      </c>
      <c r="U15" s="773">
        <v>58</v>
      </c>
      <c r="V15" s="773">
        <v>2</v>
      </c>
      <c r="W15" s="773" t="str">
        <f t="shared" si="4"/>
        <v>O</v>
      </c>
      <c r="AA15" s="907">
        <v>83</v>
      </c>
      <c r="AB15" s="244">
        <v>2438</v>
      </c>
      <c r="AC15" s="244">
        <v>2438</v>
      </c>
      <c r="AD15" s="244">
        <v>2429</v>
      </c>
    </row>
    <row r="16" spans="1:30">
      <c r="A16" s="27">
        <v>44104</v>
      </c>
      <c r="B16" s="773" t="s">
        <v>140</v>
      </c>
      <c r="C16" s="773">
        <v>524</v>
      </c>
      <c r="D16" s="773">
        <v>909</v>
      </c>
      <c r="E16" s="773" t="str">
        <f t="shared" si="3"/>
        <v>N</v>
      </c>
      <c r="M16" s="907">
        <v>558</v>
      </c>
      <c r="N16" s="244">
        <v>1249</v>
      </c>
      <c r="O16" s="244">
        <v>1249</v>
      </c>
      <c r="P16" s="244">
        <v>1291</v>
      </c>
      <c r="Q16"/>
      <c r="S16" s="27">
        <v>44104</v>
      </c>
      <c r="T16" s="773" t="s">
        <v>132</v>
      </c>
      <c r="U16" s="773">
        <v>59</v>
      </c>
      <c r="V16" s="773">
        <v>95</v>
      </c>
      <c r="W16" s="773" t="str">
        <f t="shared" si="4"/>
        <v>O</v>
      </c>
      <c r="AA16" s="907">
        <v>84</v>
      </c>
      <c r="AB16" s="244">
        <v>2435</v>
      </c>
      <c r="AC16" s="244">
        <v>2435</v>
      </c>
      <c r="AD16" s="244">
        <v>2447</v>
      </c>
    </row>
    <row r="17" spans="1:30">
      <c r="A17" s="27">
        <v>44104</v>
      </c>
      <c r="B17" s="773" t="s">
        <v>140</v>
      </c>
      <c r="C17" s="773">
        <v>525</v>
      </c>
      <c r="D17" s="773">
        <v>2409</v>
      </c>
      <c r="E17" s="773" t="str">
        <f t="shared" si="3"/>
        <v>N</v>
      </c>
      <c r="M17" s="907">
        <v>574</v>
      </c>
      <c r="N17" s="244">
        <v>2485</v>
      </c>
      <c r="O17" s="244">
        <v>2485</v>
      </c>
      <c r="P17" s="244">
        <v>2550</v>
      </c>
      <c r="Q17"/>
      <c r="S17" s="27">
        <v>44104</v>
      </c>
      <c r="T17" s="773" t="s">
        <v>132</v>
      </c>
      <c r="U17" s="773">
        <v>64</v>
      </c>
      <c r="V17" s="773">
        <v>1</v>
      </c>
      <c r="W17" s="773" t="str">
        <f t="shared" si="4"/>
        <v>O</v>
      </c>
      <c r="AA17" s="907">
        <v>89</v>
      </c>
      <c r="AB17" s="244">
        <v>1098</v>
      </c>
      <c r="AC17" s="244">
        <v>1098</v>
      </c>
      <c r="AD17" s="244">
        <v>1061</v>
      </c>
    </row>
    <row r="18" spans="1:30">
      <c r="A18" s="27">
        <v>44104</v>
      </c>
      <c r="B18" s="773" t="s">
        <v>140</v>
      </c>
      <c r="C18" s="773">
        <v>530</v>
      </c>
      <c r="D18" s="773">
        <v>1</v>
      </c>
      <c r="E18" s="773" t="str">
        <f t="shared" si="3"/>
        <v>O</v>
      </c>
      <c r="M18" s="907">
        <v>576</v>
      </c>
      <c r="N18" s="244">
        <v>251</v>
      </c>
      <c r="O18" s="244">
        <v>251</v>
      </c>
      <c r="P18" s="244">
        <v>246</v>
      </c>
      <c r="Q18"/>
      <c r="S18" s="27">
        <v>44104</v>
      </c>
      <c r="T18" s="773" t="s">
        <v>132</v>
      </c>
      <c r="U18" s="773">
        <v>66</v>
      </c>
      <c r="V18" s="773">
        <v>65</v>
      </c>
      <c r="W18" s="773" t="str">
        <f t="shared" si="4"/>
        <v>O</v>
      </c>
      <c r="AA18" s="907">
        <v>93</v>
      </c>
      <c r="AB18" s="244">
        <v>2260</v>
      </c>
      <c r="AC18" s="244">
        <v>2260</v>
      </c>
      <c r="AD18" s="244">
        <v>1010</v>
      </c>
    </row>
    <row r="19" spans="1:30">
      <c r="A19" s="27">
        <v>44104</v>
      </c>
      <c r="B19" s="773" t="s">
        <v>140</v>
      </c>
      <c r="C19" s="773">
        <v>540</v>
      </c>
      <c r="D19" s="773">
        <v>2</v>
      </c>
      <c r="E19" s="773" t="str">
        <f t="shared" si="3"/>
        <v>O</v>
      </c>
      <c r="M19" s="907">
        <v>582</v>
      </c>
      <c r="N19" s="244">
        <v>2263</v>
      </c>
      <c r="O19" s="244">
        <v>2263</v>
      </c>
      <c r="P19" s="244"/>
      <c r="Q19"/>
      <c r="S19" s="27">
        <v>44104</v>
      </c>
      <c r="T19" s="773" t="s">
        <v>132</v>
      </c>
      <c r="U19" s="773">
        <v>68</v>
      </c>
      <c r="V19" s="773">
        <v>3318</v>
      </c>
      <c r="W19" s="773" t="str">
        <f t="shared" si="4"/>
        <v>N</v>
      </c>
      <c r="AA19" s="907">
        <v>94</v>
      </c>
      <c r="AB19" s="244">
        <v>483</v>
      </c>
      <c r="AC19" s="244">
        <v>483</v>
      </c>
      <c r="AD19" s="244">
        <v>555</v>
      </c>
    </row>
    <row r="20" spans="1:30">
      <c r="A20" s="27">
        <v>44104</v>
      </c>
      <c r="B20" s="773" t="s">
        <v>140</v>
      </c>
      <c r="C20" s="773">
        <v>548</v>
      </c>
      <c r="D20" s="773">
        <v>419</v>
      </c>
      <c r="E20" s="773" t="str">
        <f t="shared" si="3"/>
        <v>N</v>
      </c>
      <c r="M20" s="907">
        <v>585</v>
      </c>
      <c r="N20" s="244">
        <v>5163</v>
      </c>
      <c r="O20" s="244">
        <v>5163</v>
      </c>
      <c r="P20" s="244">
        <v>2681</v>
      </c>
      <c r="Q20"/>
      <c r="S20" s="27">
        <v>44104</v>
      </c>
      <c r="T20" s="773" t="s">
        <v>132</v>
      </c>
      <c r="U20" s="773">
        <v>69</v>
      </c>
      <c r="V20" s="773">
        <v>1</v>
      </c>
      <c r="W20" s="773" t="str">
        <f t="shared" si="4"/>
        <v>O</v>
      </c>
      <c r="AA20" s="907">
        <v>101</v>
      </c>
      <c r="AB20" s="244">
        <v>283</v>
      </c>
      <c r="AC20" s="244">
        <v>283</v>
      </c>
      <c r="AD20" s="244"/>
    </row>
    <row r="21" spans="1:30">
      <c r="A21" s="27">
        <v>44104</v>
      </c>
      <c r="B21" s="773" t="s">
        <v>140</v>
      </c>
      <c r="C21" s="773">
        <v>558</v>
      </c>
      <c r="D21" s="773">
        <v>1134</v>
      </c>
      <c r="E21" s="773" t="str">
        <f t="shared" si="3"/>
        <v>N</v>
      </c>
      <c r="M21" s="907">
        <v>597</v>
      </c>
      <c r="N21" s="244">
        <v>1266</v>
      </c>
      <c r="O21" s="244">
        <v>1266</v>
      </c>
      <c r="P21" s="244">
        <v>1473</v>
      </c>
      <c r="Q21"/>
      <c r="S21" s="27">
        <v>44104</v>
      </c>
      <c r="T21" s="773" t="s">
        <v>132</v>
      </c>
      <c r="U21" s="773">
        <v>70</v>
      </c>
      <c r="V21" s="773">
        <v>36</v>
      </c>
      <c r="W21" s="773" t="str">
        <f t="shared" si="4"/>
        <v>O</v>
      </c>
      <c r="AA21" s="907">
        <v>103</v>
      </c>
      <c r="AB21" s="244">
        <v>3377</v>
      </c>
      <c r="AC21" s="244">
        <v>3377</v>
      </c>
      <c r="AD21" s="244">
        <v>1748</v>
      </c>
    </row>
    <row r="22" spans="1:30">
      <c r="A22" s="27">
        <v>44104</v>
      </c>
      <c r="B22" s="773" t="s">
        <v>140</v>
      </c>
      <c r="C22" s="773">
        <v>574</v>
      </c>
      <c r="D22" s="773">
        <v>1198</v>
      </c>
      <c r="E22" s="773" t="str">
        <f t="shared" si="3"/>
        <v>N</v>
      </c>
      <c r="M22" s="907">
        <v>626</v>
      </c>
      <c r="N22" s="244">
        <v>3162</v>
      </c>
      <c r="O22" s="244">
        <v>3162</v>
      </c>
      <c r="P22" s="244">
        <v>3278</v>
      </c>
      <c r="Q22"/>
      <c r="S22" s="27">
        <v>44104</v>
      </c>
      <c r="T22" s="773" t="s">
        <v>132</v>
      </c>
      <c r="U22" s="773">
        <v>72</v>
      </c>
      <c r="V22" s="773">
        <v>3</v>
      </c>
      <c r="W22" s="773" t="str">
        <f t="shared" si="4"/>
        <v>O</v>
      </c>
      <c r="AA22" s="907">
        <v>132</v>
      </c>
      <c r="AB22" s="244">
        <v>2977</v>
      </c>
      <c r="AC22" s="244">
        <v>2977</v>
      </c>
      <c r="AD22" s="244">
        <v>2776</v>
      </c>
    </row>
    <row r="23" spans="1:30">
      <c r="A23" s="27">
        <v>44104</v>
      </c>
      <c r="B23" s="773" t="s">
        <v>140</v>
      </c>
      <c r="C23" s="773">
        <v>576</v>
      </c>
      <c r="D23" s="773">
        <v>213</v>
      </c>
      <c r="E23" s="773" t="str">
        <f t="shared" si="3"/>
        <v>N</v>
      </c>
      <c r="M23" s="907">
        <v>628</v>
      </c>
      <c r="N23" s="244">
        <v>1698</v>
      </c>
      <c r="O23" s="244">
        <v>1698</v>
      </c>
      <c r="P23" s="244">
        <v>745</v>
      </c>
      <c r="Q23"/>
      <c r="S23" s="27">
        <v>44104</v>
      </c>
      <c r="T23" s="773" t="s">
        <v>132</v>
      </c>
      <c r="U23" s="773">
        <v>76</v>
      </c>
      <c r="V23" s="773">
        <v>1586</v>
      </c>
      <c r="W23" s="773" t="str">
        <f t="shared" si="4"/>
        <v>N</v>
      </c>
      <c r="AA23" s="907">
        <v>139</v>
      </c>
      <c r="AB23" s="244">
        <v>2386</v>
      </c>
      <c r="AC23" s="244">
        <v>2386</v>
      </c>
      <c r="AD23" s="244">
        <v>2185</v>
      </c>
    </row>
    <row r="24" spans="1:30">
      <c r="A24" s="27">
        <v>44104</v>
      </c>
      <c r="B24" s="773" t="s">
        <v>140</v>
      </c>
      <c r="C24" s="773">
        <v>578</v>
      </c>
      <c r="D24" s="773">
        <v>1951</v>
      </c>
      <c r="E24" s="773" t="str">
        <f t="shared" si="3"/>
        <v>N</v>
      </c>
      <c r="M24" s="907">
        <v>639</v>
      </c>
      <c r="N24" s="244">
        <v>131</v>
      </c>
      <c r="O24" s="244">
        <v>131</v>
      </c>
      <c r="P24" s="244">
        <v>147</v>
      </c>
      <c r="Q24"/>
      <c r="S24" s="27">
        <v>44104</v>
      </c>
      <c r="T24" s="773" t="s">
        <v>132</v>
      </c>
      <c r="U24" s="773">
        <v>77</v>
      </c>
      <c r="V24" s="773">
        <v>2691</v>
      </c>
      <c r="W24" s="773" t="str">
        <f t="shared" si="4"/>
        <v>N</v>
      </c>
      <c r="AA24" s="907">
        <v>140</v>
      </c>
      <c r="AB24" s="244">
        <v>589</v>
      </c>
      <c r="AC24" s="244">
        <v>589</v>
      </c>
      <c r="AD24" s="244">
        <v>752</v>
      </c>
    </row>
    <row r="25" spans="1:30">
      <c r="A25" s="27">
        <v>44104</v>
      </c>
      <c r="B25" s="773" t="s">
        <v>140</v>
      </c>
      <c r="C25" s="773">
        <v>582</v>
      </c>
      <c r="D25" s="773">
        <v>1391</v>
      </c>
      <c r="E25" s="773" t="str">
        <f t="shared" si="3"/>
        <v>N</v>
      </c>
      <c r="M25" s="907">
        <v>640</v>
      </c>
      <c r="N25" s="244">
        <v>2992</v>
      </c>
      <c r="O25" s="244">
        <v>2992</v>
      </c>
      <c r="P25" s="244">
        <v>2999</v>
      </c>
      <c r="Q25"/>
      <c r="S25" s="27">
        <v>44104</v>
      </c>
      <c r="T25" s="773" t="s">
        <v>132</v>
      </c>
      <c r="U25" s="773">
        <v>78</v>
      </c>
      <c r="V25" s="773">
        <v>2</v>
      </c>
      <c r="W25" s="773" t="str">
        <f t="shared" si="4"/>
        <v>O</v>
      </c>
      <c r="AA25" s="907">
        <v>150</v>
      </c>
      <c r="AB25" s="244">
        <v>321</v>
      </c>
      <c r="AC25" s="244">
        <v>321</v>
      </c>
      <c r="AD25" s="244">
        <v>293</v>
      </c>
    </row>
    <row r="26" spans="1:30">
      <c r="A26" s="27">
        <v>44104</v>
      </c>
      <c r="B26" s="773" t="s">
        <v>140</v>
      </c>
      <c r="C26" s="773">
        <v>585</v>
      </c>
      <c r="D26" s="773">
        <v>1692</v>
      </c>
      <c r="E26" s="773" t="str">
        <f t="shared" si="3"/>
        <v>N</v>
      </c>
      <c r="M26" s="907">
        <v>648</v>
      </c>
      <c r="N26" s="244">
        <v>1440</v>
      </c>
      <c r="O26" s="244">
        <v>1440</v>
      </c>
      <c r="P26" s="244">
        <v>1631</v>
      </c>
      <c r="Q26"/>
      <c r="S26" s="27">
        <v>44104</v>
      </c>
      <c r="T26" s="773" t="s">
        <v>132</v>
      </c>
      <c r="U26" s="773">
        <v>79</v>
      </c>
      <c r="V26" s="773">
        <v>4</v>
      </c>
      <c r="W26" s="773" t="str">
        <f t="shared" si="4"/>
        <v>O</v>
      </c>
      <c r="AA26" s="907">
        <v>153</v>
      </c>
      <c r="AB26" s="244">
        <v>2302</v>
      </c>
      <c r="AC26" s="244">
        <v>2302</v>
      </c>
      <c r="AD26" s="244">
        <v>2194</v>
      </c>
    </row>
    <row r="27" spans="1:30">
      <c r="A27" s="27">
        <v>44104</v>
      </c>
      <c r="B27" s="773" t="s">
        <v>140</v>
      </c>
      <c r="C27" s="773">
        <v>587</v>
      </c>
      <c r="D27" s="773">
        <v>2</v>
      </c>
      <c r="E27" s="773" t="str">
        <f t="shared" si="3"/>
        <v>O</v>
      </c>
      <c r="M27" s="907">
        <v>659</v>
      </c>
      <c r="N27" s="244">
        <v>820</v>
      </c>
      <c r="O27" s="244">
        <v>820</v>
      </c>
      <c r="P27" s="244">
        <v>1052</v>
      </c>
      <c r="Q27"/>
      <c r="S27" s="27">
        <v>44104</v>
      </c>
      <c r="T27" s="773" t="s">
        <v>132</v>
      </c>
      <c r="U27" s="773">
        <v>81</v>
      </c>
      <c r="V27" s="773">
        <v>2</v>
      </c>
      <c r="W27" s="773" t="str">
        <f t="shared" si="4"/>
        <v>O</v>
      </c>
      <c r="AA27" s="907">
        <v>155</v>
      </c>
      <c r="AB27" s="244">
        <v>2570</v>
      </c>
      <c r="AC27" s="244">
        <v>2570</v>
      </c>
      <c r="AD27" s="244">
        <v>2428</v>
      </c>
    </row>
    <row r="28" spans="1:30">
      <c r="A28" s="27">
        <v>44104</v>
      </c>
      <c r="B28" s="773" t="s">
        <v>140</v>
      </c>
      <c r="C28" s="773">
        <v>597</v>
      </c>
      <c r="D28" s="773">
        <v>846</v>
      </c>
      <c r="E28" s="773" t="str">
        <f t="shared" si="3"/>
        <v>N</v>
      </c>
      <c r="M28" s="907">
        <v>691</v>
      </c>
      <c r="N28" s="244">
        <v>160</v>
      </c>
      <c r="O28" s="244">
        <v>160</v>
      </c>
      <c r="P28" s="244">
        <v>219</v>
      </c>
      <c r="Q28"/>
      <c r="S28" s="27">
        <v>44104</v>
      </c>
      <c r="T28" s="773" t="s">
        <v>132</v>
      </c>
      <c r="U28" s="773">
        <v>82</v>
      </c>
      <c r="V28" s="773">
        <v>1778</v>
      </c>
      <c r="W28" s="773" t="str">
        <f t="shared" si="4"/>
        <v>N</v>
      </c>
      <c r="AA28" s="907">
        <v>158</v>
      </c>
      <c r="AB28" s="244">
        <v>128</v>
      </c>
      <c r="AC28" s="244">
        <v>128</v>
      </c>
      <c r="AD28" s="244">
        <v>182</v>
      </c>
    </row>
    <row r="29" spans="1:30">
      <c r="A29" s="27">
        <v>44104</v>
      </c>
      <c r="B29" s="773" t="s">
        <v>140</v>
      </c>
      <c r="C29" s="773">
        <v>608</v>
      </c>
      <c r="D29" s="773">
        <v>2145</v>
      </c>
      <c r="E29" s="773" t="str">
        <f t="shared" si="3"/>
        <v>N</v>
      </c>
      <c r="M29" s="907">
        <v>722</v>
      </c>
      <c r="N29" s="244">
        <v>1898</v>
      </c>
      <c r="O29" s="244">
        <v>1898</v>
      </c>
      <c r="P29" s="244"/>
      <c r="Q29"/>
      <c r="S29" s="27">
        <v>44104</v>
      </c>
      <c r="T29" s="773" t="s">
        <v>132</v>
      </c>
      <c r="U29" s="773">
        <v>83</v>
      </c>
      <c r="V29" s="773">
        <v>1447</v>
      </c>
      <c r="W29" s="773" t="str">
        <f t="shared" si="4"/>
        <v>N</v>
      </c>
      <c r="AA29" s="907">
        <v>169</v>
      </c>
      <c r="AB29" s="244">
        <v>3230</v>
      </c>
      <c r="AC29" s="244">
        <v>3230</v>
      </c>
      <c r="AD29" s="244">
        <v>3015</v>
      </c>
    </row>
    <row r="30" spans="1:30">
      <c r="A30" s="27">
        <v>44104</v>
      </c>
      <c r="B30" s="773" t="s">
        <v>140</v>
      </c>
      <c r="C30" s="773">
        <v>610</v>
      </c>
      <c r="D30" s="773">
        <v>1950</v>
      </c>
      <c r="E30" s="773" t="str">
        <f t="shared" si="3"/>
        <v>N</v>
      </c>
      <c r="M30" s="907">
        <v>740</v>
      </c>
      <c r="N30" s="244">
        <v>366</v>
      </c>
      <c r="O30" s="244">
        <v>366</v>
      </c>
      <c r="P30" s="244">
        <v>348</v>
      </c>
      <c r="Q30"/>
      <c r="S30" s="27">
        <v>44104</v>
      </c>
      <c r="T30" s="773" t="s">
        <v>132</v>
      </c>
      <c r="U30" s="773">
        <v>84</v>
      </c>
      <c r="V30" s="773">
        <v>1870</v>
      </c>
      <c r="W30" s="773" t="str">
        <f t="shared" si="4"/>
        <v>N</v>
      </c>
      <c r="AA30" s="907">
        <v>182</v>
      </c>
      <c r="AB30" s="244">
        <v>167</v>
      </c>
      <c r="AC30" s="244">
        <v>167</v>
      </c>
      <c r="AD30" s="244"/>
    </row>
    <row r="31" spans="1:30">
      <c r="A31" s="27">
        <v>44104</v>
      </c>
      <c r="B31" s="773" t="s">
        <v>140</v>
      </c>
      <c r="C31" s="773">
        <v>626</v>
      </c>
      <c r="D31" s="773">
        <v>1779</v>
      </c>
      <c r="E31" s="773" t="str">
        <f t="shared" si="3"/>
        <v>N</v>
      </c>
      <c r="M31" s="907">
        <v>594</v>
      </c>
      <c r="N31" s="244">
        <v>2668</v>
      </c>
      <c r="O31" s="244">
        <v>2668</v>
      </c>
      <c r="P31" s="244">
        <v>2787</v>
      </c>
      <c r="Q31"/>
      <c r="S31" s="27">
        <v>44104</v>
      </c>
      <c r="T31" s="773" t="s">
        <v>132</v>
      </c>
      <c r="U31" s="773">
        <v>87</v>
      </c>
      <c r="V31" s="773">
        <v>7</v>
      </c>
      <c r="W31" s="773" t="str">
        <f t="shared" si="4"/>
        <v>O</v>
      </c>
      <c r="AA31" s="907">
        <v>183</v>
      </c>
      <c r="AB31" s="244">
        <v>589</v>
      </c>
      <c r="AC31" s="244">
        <v>589</v>
      </c>
      <c r="AD31" s="244">
        <v>550</v>
      </c>
    </row>
    <row r="32" spans="1:30">
      <c r="A32" s="27">
        <v>44104</v>
      </c>
      <c r="B32" s="773" t="s">
        <v>140</v>
      </c>
      <c r="C32" s="773">
        <v>628</v>
      </c>
      <c r="D32" s="773">
        <v>1182</v>
      </c>
      <c r="E32" s="773" t="str">
        <f t="shared" si="3"/>
        <v>N</v>
      </c>
      <c r="M32" s="907">
        <v>727</v>
      </c>
      <c r="N32" s="244"/>
      <c r="O32" s="244"/>
      <c r="P32" s="244">
        <v>2031</v>
      </c>
      <c r="Q32"/>
      <c r="S32" s="27">
        <v>44104</v>
      </c>
      <c r="T32" s="773" t="s">
        <v>132</v>
      </c>
      <c r="U32" s="773">
        <v>89</v>
      </c>
      <c r="V32" s="773">
        <v>1020</v>
      </c>
      <c r="W32" s="773" t="str">
        <f t="shared" si="4"/>
        <v>N</v>
      </c>
      <c r="AA32" s="907">
        <v>188</v>
      </c>
      <c r="AB32" s="244">
        <v>797</v>
      </c>
      <c r="AC32" s="244">
        <v>797</v>
      </c>
      <c r="AD32" s="244">
        <v>776</v>
      </c>
    </row>
    <row r="33" spans="1:30">
      <c r="A33" s="27">
        <v>44104</v>
      </c>
      <c r="B33" s="773" t="s">
        <v>140</v>
      </c>
      <c r="C33" s="773">
        <v>640</v>
      </c>
      <c r="D33" s="773">
        <v>2162</v>
      </c>
      <c r="E33" s="773" t="str">
        <f t="shared" si="3"/>
        <v>N</v>
      </c>
      <c r="M33" s="907">
        <v>556</v>
      </c>
      <c r="N33" s="244">
        <v>2630</v>
      </c>
      <c r="O33" s="244">
        <v>2630</v>
      </c>
      <c r="P33" s="244">
        <v>2588</v>
      </c>
      <c r="Q33"/>
      <c r="S33" s="27">
        <v>44104</v>
      </c>
      <c r="T33" s="773" t="s">
        <v>132</v>
      </c>
      <c r="U33" s="773">
        <v>92</v>
      </c>
      <c r="V33" s="773">
        <v>1720</v>
      </c>
      <c r="W33" s="773" t="str">
        <f t="shared" si="4"/>
        <v>N</v>
      </c>
      <c r="AA33" s="907">
        <v>191</v>
      </c>
      <c r="AB33" s="244">
        <v>341</v>
      </c>
      <c r="AC33" s="244">
        <v>341</v>
      </c>
      <c r="AD33" s="244">
        <v>344</v>
      </c>
    </row>
    <row r="34" spans="1:30">
      <c r="A34" s="27">
        <v>44104</v>
      </c>
      <c r="B34" s="773" t="s">
        <v>140</v>
      </c>
      <c r="C34" s="773">
        <v>648</v>
      </c>
      <c r="D34" s="773">
        <v>1185</v>
      </c>
      <c r="E34" s="773" t="str">
        <f t="shared" si="3"/>
        <v>N</v>
      </c>
      <c r="M34" s="907">
        <v>650</v>
      </c>
      <c r="N34" s="244">
        <v>2393</v>
      </c>
      <c r="O34" s="244">
        <v>2393</v>
      </c>
      <c r="P34" s="244">
        <v>2487</v>
      </c>
      <c r="Q34"/>
      <c r="S34" s="27">
        <v>44104</v>
      </c>
      <c r="T34" s="773" t="s">
        <v>132</v>
      </c>
      <c r="U34" s="773">
        <v>93</v>
      </c>
      <c r="V34" s="773">
        <v>12633</v>
      </c>
      <c r="W34" s="773" t="str">
        <f t="shared" si="4"/>
        <v>N</v>
      </c>
      <c r="AA34" s="907">
        <v>193</v>
      </c>
      <c r="AB34" s="244">
        <v>483</v>
      </c>
      <c r="AC34" s="244">
        <v>483</v>
      </c>
      <c r="AD34" s="244">
        <v>451</v>
      </c>
    </row>
    <row r="35" spans="1:30">
      <c r="A35" s="27">
        <v>44104</v>
      </c>
      <c r="B35" s="773" t="s">
        <v>140</v>
      </c>
      <c r="C35" s="773">
        <v>659</v>
      </c>
      <c r="D35" s="773">
        <v>439</v>
      </c>
      <c r="E35" s="773" t="str">
        <f t="shared" si="3"/>
        <v>N</v>
      </c>
      <c r="M35" s="907">
        <v>555</v>
      </c>
      <c r="N35" s="244">
        <v>1645</v>
      </c>
      <c r="O35" s="244">
        <v>1645</v>
      </c>
      <c r="P35" s="244">
        <v>1679</v>
      </c>
      <c r="Q35"/>
      <c r="S35" s="27">
        <v>44104</v>
      </c>
      <c r="T35" s="773" t="s">
        <v>132</v>
      </c>
      <c r="U35" s="773">
        <v>94</v>
      </c>
      <c r="V35" s="773">
        <v>1610</v>
      </c>
      <c r="W35" s="773" t="str">
        <f t="shared" si="4"/>
        <v>N</v>
      </c>
      <c r="AA35" s="907">
        <v>194</v>
      </c>
      <c r="AB35" s="244">
        <v>3723</v>
      </c>
      <c r="AC35" s="244">
        <v>3723</v>
      </c>
      <c r="AD35" s="244">
        <v>246</v>
      </c>
    </row>
    <row r="36" spans="1:30">
      <c r="A36" s="27">
        <v>44104</v>
      </c>
      <c r="B36" s="773" t="s">
        <v>140</v>
      </c>
      <c r="C36" s="773">
        <v>674</v>
      </c>
      <c r="D36" s="773">
        <v>1138</v>
      </c>
      <c r="E36" s="773" t="str">
        <f t="shared" si="3"/>
        <v>N</v>
      </c>
      <c r="M36" s="907">
        <v>708</v>
      </c>
      <c r="N36" s="244">
        <v>2949</v>
      </c>
      <c r="O36" s="244">
        <v>2949</v>
      </c>
      <c r="P36" s="244">
        <v>3060</v>
      </c>
      <c r="Q36"/>
      <c r="S36" s="27">
        <v>44104</v>
      </c>
      <c r="T36" s="773" t="s">
        <v>132</v>
      </c>
      <c r="U36" s="773">
        <v>97</v>
      </c>
      <c r="V36" s="773">
        <v>1</v>
      </c>
      <c r="W36" s="773" t="str">
        <f t="shared" si="4"/>
        <v>O</v>
      </c>
      <c r="AA36" s="907">
        <v>203</v>
      </c>
      <c r="AB36" s="244">
        <v>2521</v>
      </c>
      <c r="AC36" s="244">
        <v>2521</v>
      </c>
      <c r="AD36" s="244"/>
    </row>
    <row r="37" spans="1:30">
      <c r="A37" s="27">
        <v>44104</v>
      </c>
      <c r="B37" s="773" t="s">
        <v>140</v>
      </c>
      <c r="C37" s="773">
        <v>678</v>
      </c>
      <c r="D37" s="773">
        <v>2071</v>
      </c>
      <c r="E37" s="773" t="str">
        <f t="shared" si="3"/>
        <v>N</v>
      </c>
      <c r="M37" s="907">
        <v>746</v>
      </c>
      <c r="N37" s="244">
        <v>1978</v>
      </c>
      <c r="O37" s="244">
        <v>1978</v>
      </c>
      <c r="P37" s="244">
        <v>2213</v>
      </c>
      <c r="Q37"/>
      <c r="S37" s="27">
        <v>44104</v>
      </c>
      <c r="T37" s="773" t="s">
        <v>132</v>
      </c>
      <c r="U37" s="773">
        <v>98</v>
      </c>
      <c r="V37" s="773">
        <v>86</v>
      </c>
      <c r="W37" s="773" t="str">
        <f t="shared" si="4"/>
        <v>O</v>
      </c>
      <c r="AA37" s="907">
        <v>212</v>
      </c>
      <c r="AB37" s="244">
        <v>3429</v>
      </c>
      <c r="AC37" s="244">
        <v>3429</v>
      </c>
      <c r="AD37" s="244"/>
    </row>
    <row r="38" spans="1:30">
      <c r="A38" s="27">
        <v>44104</v>
      </c>
      <c r="B38" s="773" t="s">
        <v>140</v>
      </c>
      <c r="C38" s="773">
        <v>691</v>
      </c>
      <c r="D38" s="773">
        <v>29</v>
      </c>
      <c r="E38" s="773" t="str">
        <f t="shared" si="3"/>
        <v>O</v>
      </c>
      <c r="M38" s="907">
        <v>774</v>
      </c>
      <c r="N38" s="244">
        <v>2235</v>
      </c>
      <c r="O38" s="244">
        <v>2235</v>
      </c>
      <c r="P38" s="244">
        <v>2372</v>
      </c>
      <c r="Q38"/>
      <c r="S38" s="27">
        <v>44104</v>
      </c>
      <c r="T38" s="773" t="s">
        <v>132</v>
      </c>
      <c r="U38" s="773">
        <v>100</v>
      </c>
      <c r="V38" s="773">
        <v>1</v>
      </c>
      <c r="W38" s="773" t="str">
        <f t="shared" si="4"/>
        <v>O</v>
      </c>
      <c r="AA38" s="907">
        <v>215</v>
      </c>
      <c r="AB38" s="244">
        <v>681</v>
      </c>
      <c r="AC38" s="244">
        <v>681</v>
      </c>
      <c r="AD38" s="244"/>
    </row>
    <row r="39" spans="1:30">
      <c r="A39" s="27">
        <v>44104</v>
      </c>
      <c r="B39" s="773" t="s">
        <v>140</v>
      </c>
      <c r="C39" s="773">
        <v>710</v>
      </c>
      <c r="D39" s="773">
        <v>1867</v>
      </c>
      <c r="E39" s="773" t="str">
        <f t="shared" si="3"/>
        <v>N</v>
      </c>
      <c r="M39" s="907">
        <v>586</v>
      </c>
      <c r="N39" s="244"/>
      <c r="O39" s="244"/>
      <c r="P39" s="244">
        <v>2416</v>
      </c>
      <c r="Q39"/>
      <c r="S39" s="27">
        <v>44104</v>
      </c>
      <c r="T39" s="773" t="s">
        <v>132</v>
      </c>
      <c r="U39" s="773">
        <v>101</v>
      </c>
      <c r="V39" s="773">
        <v>507</v>
      </c>
      <c r="W39" s="773" t="str">
        <f t="shared" si="4"/>
        <v>N</v>
      </c>
      <c r="AA39" s="907">
        <v>216</v>
      </c>
      <c r="AB39" s="244">
        <v>2358</v>
      </c>
      <c r="AC39" s="244">
        <v>2358</v>
      </c>
      <c r="AD39" s="244">
        <v>2582</v>
      </c>
    </row>
    <row r="40" spans="1:30">
      <c r="A40" s="27">
        <v>44104</v>
      </c>
      <c r="B40" s="773" t="s">
        <v>140</v>
      </c>
      <c r="C40" s="773">
        <v>719</v>
      </c>
      <c r="D40" s="773">
        <v>1</v>
      </c>
      <c r="E40" s="773" t="str">
        <f t="shared" si="3"/>
        <v>O</v>
      </c>
      <c r="M40" s="907">
        <v>581</v>
      </c>
      <c r="N40" s="244"/>
      <c r="O40" s="244"/>
      <c r="P40" s="244">
        <v>2710</v>
      </c>
      <c r="Q40"/>
      <c r="S40" s="27">
        <v>44104</v>
      </c>
      <c r="T40" s="773" t="s">
        <v>132</v>
      </c>
      <c r="U40" s="773">
        <v>103</v>
      </c>
      <c r="V40" s="773">
        <v>2556</v>
      </c>
      <c r="W40" s="773" t="str">
        <f t="shared" si="4"/>
        <v>N</v>
      </c>
      <c r="AA40" s="907">
        <v>218</v>
      </c>
      <c r="AB40" s="244">
        <v>141</v>
      </c>
      <c r="AC40" s="244">
        <v>141</v>
      </c>
      <c r="AD40" s="244">
        <v>295</v>
      </c>
    </row>
    <row r="41" spans="1:30">
      <c r="A41" s="27">
        <v>44104</v>
      </c>
      <c r="B41" s="773" t="s">
        <v>140</v>
      </c>
      <c r="C41" s="773">
        <v>722</v>
      </c>
      <c r="D41" s="773">
        <v>220</v>
      </c>
      <c r="E41" s="773" t="str">
        <f t="shared" si="3"/>
        <v>N</v>
      </c>
      <c r="L41" s="907" t="s">
        <v>476</v>
      </c>
      <c r="M41" s="907"/>
      <c r="N41" s="244">
        <v>53998</v>
      </c>
      <c r="O41" s="244">
        <v>53998</v>
      </c>
      <c r="P41" s="244">
        <v>56269</v>
      </c>
      <c r="Q41"/>
      <c r="S41" s="27">
        <v>44104</v>
      </c>
      <c r="T41" s="773" t="s">
        <v>132</v>
      </c>
      <c r="U41" s="773">
        <v>111</v>
      </c>
      <c r="V41" s="773">
        <v>1</v>
      </c>
      <c r="W41" s="773" t="str">
        <f t="shared" si="4"/>
        <v>O</v>
      </c>
      <c r="AA41" s="907">
        <v>220</v>
      </c>
      <c r="AB41" s="244">
        <v>110</v>
      </c>
      <c r="AC41" s="244">
        <v>110</v>
      </c>
      <c r="AD41" s="244">
        <v>125</v>
      </c>
    </row>
    <row r="42" spans="1:30">
      <c r="A42" s="27">
        <v>44104</v>
      </c>
      <c r="B42" s="773" t="s">
        <v>140</v>
      </c>
      <c r="C42" s="773">
        <v>732</v>
      </c>
      <c r="D42" s="773">
        <v>2</v>
      </c>
      <c r="E42" s="773" t="str">
        <f t="shared" si="3"/>
        <v>O</v>
      </c>
      <c r="L42" s="907" t="s">
        <v>473</v>
      </c>
      <c r="N42" s="244">
        <v>53998</v>
      </c>
      <c r="O42" s="244">
        <v>53998</v>
      </c>
      <c r="P42" s="244">
        <v>56269</v>
      </c>
      <c r="Q42"/>
      <c r="S42" s="27">
        <v>44104</v>
      </c>
      <c r="T42" s="773" t="s">
        <v>132</v>
      </c>
      <c r="U42" s="773">
        <v>116</v>
      </c>
      <c r="V42" s="773">
        <v>2</v>
      </c>
      <c r="W42" s="773" t="str">
        <f t="shared" si="4"/>
        <v>O</v>
      </c>
      <c r="AA42" s="907">
        <v>233</v>
      </c>
      <c r="AB42" s="244">
        <v>2562</v>
      </c>
      <c r="AC42" s="244">
        <v>2562</v>
      </c>
      <c r="AD42" s="244">
        <v>1995</v>
      </c>
    </row>
    <row r="43" spans="1:30">
      <c r="A43" s="27">
        <v>44104</v>
      </c>
      <c r="B43" s="773" t="s">
        <v>140</v>
      </c>
      <c r="C43" s="773">
        <v>739</v>
      </c>
      <c r="D43" s="773">
        <v>1</v>
      </c>
      <c r="E43" s="773" t="str">
        <f t="shared" si="3"/>
        <v>O</v>
      </c>
      <c r="Q43"/>
      <c r="S43" s="27">
        <v>44104</v>
      </c>
      <c r="T43" s="773" t="s">
        <v>132</v>
      </c>
      <c r="U43" s="773">
        <v>120</v>
      </c>
      <c r="V43" s="773">
        <v>3</v>
      </c>
      <c r="W43" s="773" t="str">
        <f t="shared" si="4"/>
        <v>O</v>
      </c>
      <c r="AA43" s="907">
        <v>243</v>
      </c>
      <c r="AB43" s="244">
        <v>348</v>
      </c>
      <c r="AC43" s="244">
        <v>348</v>
      </c>
      <c r="AD43" s="244"/>
    </row>
    <row r="44" spans="1:30">
      <c r="A44" s="27">
        <v>44196</v>
      </c>
      <c r="B44" s="773" t="s">
        <v>140</v>
      </c>
      <c r="C44" s="773">
        <v>213</v>
      </c>
      <c r="D44" s="773">
        <v>19</v>
      </c>
      <c r="E44" s="773" t="str">
        <f t="shared" si="3"/>
        <v>O</v>
      </c>
      <c r="Q44"/>
      <c r="S44" s="27">
        <v>44104</v>
      </c>
      <c r="T44" s="773" t="s">
        <v>132</v>
      </c>
      <c r="U44" s="773">
        <v>123</v>
      </c>
      <c r="V44" s="773">
        <v>1</v>
      </c>
      <c r="W44" s="773" t="str">
        <f t="shared" si="4"/>
        <v>O</v>
      </c>
      <c r="AA44" s="907">
        <v>245</v>
      </c>
      <c r="AB44" s="244">
        <v>3165</v>
      </c>
      <c r="AC44" s="244">
        <v>3165</v>
      </c>
      <c r="AD44" s="244">
        <v>3064</v>
      </c>
    </row>
    <row r="45" spans="1:30">
      <c r="A45" s="27">
        <v>44196</v>
      </c>
      <c r="B45" s="773" t="s">
        <v>140</v>
      </c>
      <c r="C45" s="773">
        <v>248</v>
      </c>
      <c r="D45" s="773">
        <v>339</v>
      </c>
      <c r="E45" s="773" t="str">
        <f t="shared" si="3"/>
        <v>N</v>
      </c>
      <c r="Q45"/>
      <c r="S45" s="27">
        <v>44104</v>
      </c>
      <c r="T45" s="773" t="s">
        <v>132</v>
      </c>
      <c r="U45" s="773">
        <v>124</v>
      </c>
      <c r="V45" s="773">
        <v>4</v>
      </c>
      <c r="W45" s="773" t="str">
        <f t="shared" si="4"/>
        <v>O</v>
      </c>
      <c r="AA45" s="907">
        <v>247</v>
      </c>
      <c r="AB45" s="244">
        <v>2565</v>
      </c>
      <c r="AC45" s="244">
        <v>2565</v>
      </c>
      <c r="AD45" s="244">
        <v>2305</v>
      </c>
    </row>
    <row r="46" spans="1:30">
      <c r="A46" s="27">
        <v>44196</v>
      </c>
      <c r="B46" s="773" t="s">
        <v>140</v>
      </c>
      <c r="C46" s="773">
        <v>278</v>
      </c>
      <c r="D46" s="773">
        <v>1</v>
      </c>
      <c r="E46" s="773" t="str">
        <f t="shared" si="3"/>
        <v>O</v>
      </c>
      <c r="Q46"/>
      <c r="S46" s="27">
        <v>44104</v>
      </c>
      <c r="T46" s="773" t="s">
        <v>132</v>
      </c>
      <c r="U46" s="773">
        <v>132</v>
      </c>
      <c r="V46" s="773">
        <v>1334</v>
      </c>
      <c r="W46" s="773" t="str">
        <f t="shared" si="4"/>
        <v>N</v>
      </c>
      <c r="AA46" s="907">
        <v>249</v>
      </c>
      <c r="AB46" s="244">
        <v>3423</v>
      </c>
      <c r="AC46" s="244">
        <v>3423</v>
      </c>
      <c r="AD46" s="244"/>
    </row>
    <row r="47" spans="1:30">
      <c r="A47" s="27">
        <v>44196</v>
      </c>
      <c r="B47" s="773" t="s">
        <v>140</v>
      </c>
      <c r="C47" s="773">
        <v>338</v>
      </c>
      <c r="D47" s="773">
        <v>1585</v>
      </c>
      <c r="E47" s="773" t="str">
        <f t="shared" si="3"/>
        <v>N</v>
      </c>
      <c r="Q47"/>
      <c r="S47" s="27">
        <v>44104</v>
      </c>
      <c r="T47" s="773" t="s">
        <v>132</v>
      </c>
      <c r="U47" s="773">
        <v>136</v>
      </c>
      <c r="V47" s="773">
        <v>61</v>
      </c>
      <c r="W47" s="773" t="str">
        <f t="shared" si="4"/>
        <v>O</v>
      </c>
      <c r="AA47" s="907">
        <v>251</v>
      </c>
      <c r="AB47" s="244">
        <v>1943</v>
      </c>
      <c r="AC47" s="244">
        <v>1943</v>
      </c>
      <c r="AD47" s="244">
        <v>1861</v>
      </c>
    </row>
    <row r="48" spans="1:30">
      <c r="A48" s="27">
        <v>44196</v>
      </c>
      <c r="B48" s="773" t="s">
        <v>140</v>
      </c>
      <c r="C48" s="773">
        <v>359</v>
      </c>
      <c r="D48" s="773">
        <v>412</v>
      </c>
      <c r="E48" s="773" t="str">
        <f t="shared" si="3"/>
        <v>N</v>
      </c>
      <c r="Q48"/>
      <c r="S48" s="27">
        <v>44104</v>
      </c>
      <c r="T48" s="773" t="s">
        <v>132</v>
      </c>
      <c r="U48" s="773">
        <v>139</v>
      </c>
      <c r="V48" s="773">
        <v>1456</v>
      </c>
      <c r="W48" s="773" t="str">
        <f t="shared" si="4"/>
        <v>N</v>
      </c>
      <c r="AA48" s="907">
        <v>252</v>
      </c>
      <c r="AB48" s="244">
        <v>928</v>
      </c>
      <c r="AC48" s="244">
        <v>928</v>
      </c>
      <c r="AD48" s="244"/>
    </row>
    <row r="49" spans="1:30">
      <c r="A49" s="27">
        <v>44196</v>
      </c>
      <c r="B49" s="773" t="s">
        <v>140</v>
      </c>
      <c r="C49" s="773">
        <v>379</v>
      </c>
      <c r="D49" s="773">
        <v>1</v>
      </c>
      <c r="E49" s="773" t="str">
        <f t="shared" si="3"/>
        <v>O</v>
      </c>
      <c r="S49" s="27">
        <v>44104</v>
      </c>
      <c r="T49" s="773" t="s">
        <v>132</v>
      </c>
      <c r="U49" s="773">
        <v>140</v>
      </c>
      <c r="V49" s="773">
        <v>124</v>
      </c>
      <c r="W49" s="773" t="str">
        <f t="shared" si="4"/>
        <v>N</v>
      </c>
      <c r="AA49" s="907">
        <v>255</v>
      </c>
      <c r="AB49" s="244">
        <v>411</v>
      </c>
      <c r="AC49" s="244">
        <v>411</v>
      </c>
      <c r="AD49" s="244">
        <v>687</v>
      </c>
    </row>
    <row r="50" spans="1:30">
      <c r="A50" s="27">
        <v>44196</v>
      </c>
      <c r="B50" s="773" t="s">
        <v>140</v>
      </c>
      <c r="C50" s="773">
        <v>383</v>
      </c>
      <c r="D50" s="773">
        <v>1</v>
      </c>
      <c r="E50" s="773" t="str">
        <f t="shared" si="3"/>
        <v>O</v>
      </c>
      <c r="S50" s="27">
        <v>44104</v>
      </c>
      <c r="T50" s="773" t="s">
        <v>132</v>
      </c>
      <c r="U50" s="773">
        <v>141</v>
      </c>
      <c r="V50" s="773">
        <v>1849</v>
      </c>
      <c r="W50" s="773" t="str">
        <f t="shared" si="4"/>
        <v>N</v>
      </c>
      <c r="AA50" s="907">
        <v>256</v>
      </c>
      <c r="AB50" s="244">
        <v>278</v>
      </c>
      <c r="AC50" s="244">
        <v>278</v>
      </c>
      <c r="AD50" s="244"/>
    </row>
    <row r="51" spans="1:30">
      <c r="A51" s="27">
        <v>44196</v>
      </c>
      <c r="B51" s="773" t="s">
        <v>140</v>
      </c>
      <c r="C51" s="773">
        <v>387</v>
      </c>
      <c r="D51" s="773">
        <v>5</v>
      </c>
      <c r="E51" s="773" t="str">
        <f t="shared" si="3"/>
        <v>O</v>
      </c>
      <c r="S51" s="27">
        <v>44104</v>
      </c>
      <c r="T51" s="773" t="s">
        <v>132</v>
      </c>
      <c r="U51" s="773">
        <v>149</v>
      </c>
      <c r="V51" s="773">
        <v>1</v>
      </c>
      <c r="W51" s="773" t="str">
        <f t="shared" si="4"/>
        <v>O</v>
      </c>
      <c r="AA51" s="907">
        <v>257</v>
      </c>
      <c r="AB51" s="244">
        <v>2987</v>
      </c>
      <c r="AC51" s="244">
        <v>2987</v>
      </c>
      <c r="AD51" s="244">
        <v>2883</v>
      </c>
    </row>
    <row r="52" spans="1:30">
      <c r="A52" s="27">
        <v>44196</v>
      </c>
      <c r="B52" s="773" t="s">
        <v>140</v>
      </c>
      <c r="C52" s="773">
        <v>447</v>
      </c>
      <c r="D52" s="773">
        <v>1</v>
      </c>
      <c r="E52" s="773" t="str">
        <f t="shared" si="3"/>
        <v>O</v>
      </c>
      <c r="S52" s="27">
        <v>44104</v>
      </c>
      <c r="T52" s="773" t="s">
        <v>132</v>
      </c>
      <c r="U52" s="773">
        <v>150</v>
      </c>
      <c r="V52" s="773">
        <v>641</v>
      </c>
      <c r="W52" s="773" t="str">
        <f t="shared" si="4"/>
        <v>N</v>
      </c>
      <c r="AA52" s="907">
        <v>264</v>
      </c>
      <c r="AB52" s="244">
        <v>374</v>
      </c>
      <c r="AC52" s="244">
        <v>374</v>
      </c>
      <c r="AD52" s="244">
        <v>367</v>
      </c>
    </row>
    <row r="53" spans="1:30">
      <c r="A53" s="27">
        <v>44196</v>
      </c>
      <c r="B53" s="773" t="s">
        <v>140</v>
      </c>
      <c r="C53" s="773">
        <v>449</v>
      </c>
      <c r="D53" s="773">
        <v>1410</v>
      </c>
      <c r="E53" s="773" t="str">
        <f t="shared" si="3"/>
        <v>N</v>
      </c>
      <c r="S53" s="27">
        <v>44104</v>
      </c>
      <c r="T53" s="773" t="s">
        <v>132</v>
      </c>
      <c r="U53" s="773">
        <v>153</v>
      </c>
      <c r="V53" s="773">
        <v>1695</v>
      </c>
      <c r="W53" s="773" t="str">
        <f t="shared" si="4"/>
        <v>N</v>
      </c>
      <c r="AA53" s="907">
        <v>266</v>
      </c>
      <c r="AB53" s="244">
        <v>2449</v>
      </c>
      <c r="AC53" s="244">
        <v>2449</v>
      </c>
      <c r="AD53" s="244">
        <v>2335</v>
      </c>
    </row>
    <row r="54" spans="1:30">
      <c r="A54" s="27">
        <v>44196</v>
      </c>
      <c r="B54" s="773" t="s">
        <v>140</v>
      </c>
      <c r="C54" s="773">
        <v>453</v>
      </c>
      <c r="D54" s="773">
        <v>1709</v>
      </c>
      <c r="E54" s="773" t="str">
        <f t="shared" si="3"/>
        <v>N</v>
      </c>
      <c r="S54" s="27">
        <v>44104</v>
      </c>
      <c r="T54" s="773" t="s">
        <v>132</v>
      </c>
      <c r="U54" s="773">
        <v>155</v>
      </c>
      <c r="V54" s="773">
        <v>2083</v>
      </c>
      <c r="W54" s="773" t="str">
        <f t="shared" si="4"/>
        <v>N</v>
      </c>
      <c r="AA54" s="907">
        <v>271</v>
      </c>
      <c r="AB54" s="244">
        <v>2891</v>
      </c>
      <c r="AC54" s="244">
        <v>2891</v>
      </c>
      <c r="AD54" s="244">
        <v>2964</v>
      </c>
    </row>
    <row r="55" spans="1:30">
      <c r="A55" s="27">
        <v>44196</v>
      </c>
      <c r="B55" s="773" t="s">
        <v>140</v>
      </c>
      <c r="C55" s="773">
        <v>478</v>
      </c>
      <c r="D55" s="773">
        <v>1363</v>
      </c>
      <c r="E55" s="773" t="str">
        <f t="shared" si="3"/>
        <v>N</v>
      </c>
      <c r="S55" s="27">
        <v>44104</v>
      </c>
      <c r="T55" s="773" t="s">
        <v>132</v>
      </c>
      <c r="U55" s="773">
        <v>158</v>
      </c>
      <c r="V55" s="773">
        <v>36</v>
      </c>
      <c r="W55" s="773" t="str">
        <f t="shared" si="4"/>
        <v>O</v>
      </c>
      <c r="AA55" s="907">
        <v>290</v>
      </c>
      <c r="AB55" s="244">
        <v>521</v>
      </c>
      <c r="AC55" s="244">
        <v>521</v>
      </c>
      <c r="AD55" s="244">
        <v>488</v>
      </c>
    </row>
    <row r="56" spans="1:30">
      <c r="A56" s="27">
        <v>44196</v>
      </c>
      <c r="B56" s="773" t="s">
        <v>140</v>
      </c>
      <c r="C56" s="773">
        <v>493</v>
      </c>
      <c r="D56" s="773">
        <v>4</v>
      </c>
      <c r="E56" s="773" t="str">
        <f t="shared" si="3"/>
        <v>O</v>
      </c>
      <c r="S56" s="27">
        <v>44104</v>
      </c>
      <c r="T56" s="773" t="s">
        <v>132</v>
      </c>
      <c r="U56" s="773">
        <v>159</v>
      </c>
      <c r="V56" s="773">
        <v>2176</v>
      </c>
      <c r="W56" s="773" t="str">
        <f t="shared" si="4"/>
        <v>N</v>
      </c>
      <c r="AA56" s="907">
        <v>296</v>
      </c>
      <c r="AB56" s="244">
        <v>2469</v>
      </c>
      <c r="AC56" s="244">
        <v>2469</v>
      </c>
      <c r="AD56" s="244">
        <v>2329</v>
      </c>
    </row>
    <row r="57" spans="1:30">
      <c r="A57" s="27">
        <v>44196</v>
      </c>
      <c r="B57" s="773" t="s">
        <v>140</v>
      </c>
      <c r="C57" s="773">
        <v>510</v>
      </c>
      <c r="D57" s="773">
        <v>763</v>
      </c>
      <c r="E57" s="773" t="str">
        <f t="shared" si="3"/>
        <v>N</v>
      </c>
      <c r="S57" s="27">
        <v>44104</v>
      </c>
      <c r="T57" s="773" t="s">
        <v>132</v>
      </c>
      <c r="U57" s="773">
        <v>161</v>
      </c>
      <c r="V57" s="773">
        <v>7</v>
      </c>
      <c r="W57" s="773" t="str">
        <f t="shared" si="4"/>
        <v>O</v>
      </c>
      <c r="AA57" s="907">
        <v>297</v>
      </c>
      <c r="AB57" s="244">
        <v>805</v>
      </c>
      <c r="AC57" s="244">
        <v>805</v>
      </c>
      <c r="AD57" s="244">
        <v>1521</v>
      </c>
    </row>
    <row r="58" spans="1:30">
      <c r="A58" s="27">
        <v>44196</v>
      </c>
      <c r="B58" s="773" t="s">
        <v>140</v>
      </c>
      <c r="C58" s="773">
        <v>521</v>
      </c>
      <c r="D58" s="773">
        <v>2</v>
      </c>
      <c r="E58" s="773" t="str">
        <f t="shared" si="3"/>
        <v>O</v>
      </c>
      <c r="S58" s="27">
        <v>44104</v>
      </c>
      <c r="T58" s="773" t="s">
        <v>132</v>
      </c>
      <c r="U58" s="773">
        <v>162</v>
      </c>
      <c r="V58" s="773">
        <v>1730</v>
      </c>
      <c r="W58" s="773" t="str">
        <f t="shared" si="4"/>
        <v>N</v>
      </c>
      <c r="AA58" s="907">
        <v>303</v>
      </c>
      <c r="AB58" s="244">
        <v>2455</v>
      </c>
      <c r="AC58" s="244">
        <v>2455</v>
      </c>
      <c r="AD58" s="244"/>
    </row>
    <row r="59" spans="1:30">
      <c r="A59" s="27">
        <v>44196</v>
      </c>
      <c r="B59" s="773" t="s">
        <v>140</v>
      </c>
      <c r="C59" s="773">
        <v>522</v>
      </c>
      <c r="D59" s="773">
        <v>2</v>
      </c>
      <c r="E59" s="773" t="str">
        <f t="shared" si="3"/>
        <v>O</v>
      </c>
      <c r="S59" s="27">
        <v>44104</v>
      </c>
      <c r="T59" s="773" t="s">
        <v>132</v>
      </c>
      <c r="U59" s="773">
        <v>164</v>
      </c>
      <c r="V59" s="773">
        <v>4</v>
      </c>
      <c r="W59" s="773" t="str">
        <f t="shared" si="4"/>
        <v>O</v>
      </c>
      <c r="AA59" s="907">
        <v>304</v>
      </c>
      <c r="AB59" s="244">
        <v>120</v>
      </c>
      <c r="AC59" s="244">
        <v>120</v>
      </c>
      <c r="AD59" s="244">
        <v>313</v>
      </c>
    </row>
    <row r="60" spans="1:30">
      <c r="A60" s="27">
        <v>44196</v>
      </c>
      <c r="B60" s="773" t="s">
        <v>140</v>
      </c>
      <c r="C60" s="773">
        <v>524</v>
      </c>
      <c r="D60" s="773">
        <v>905</v>
      </c>
      <c r="E60" s="773" t="str">
        <f t="shared" si="3"/>
        <v>N</v>
      </c>
      <c r="S60" s="27">
        <v>44104</v>
      </c>
      <c r="T60" s="773" t="s">
        <v>132</v>
      </c>
      <c r="U60" s="773">
        <v>169</v>
      </c>
      <c r="V60" s="773">
        <v>2105</v>
      </c>
      <c r="W60" s="773" t="str">
        <f t="shared" si="4"/>
        <v>N</v>
      </c>
      <c r="AA60" s="907">
        <v>305</v>
      </c>
      <c r="AB60" s="244">
        <v>5014</v>
      </c>
      <c r="AC60" s="244">
        <v>5014</v>
      </c>
      <c r="AD60" s="244">
        <v>4799</v>
      </c>
    </row>
    <row r="61" spans="1:30">
      <c r="A61" s="27">
        <v>44196</v>
      </c>
      <c r="B61" s="773" t="s">
        <v>140</v>
      </c>
      <c r="C61" s="773">
        <v>525</v>
      </c>
      <c r="D61" s="773">
        <v>2447</v>
      </c>
      <c r="E61" s="773" t="str">
        <f t="shared" si="3"/>
        <v>N</v>
      </c>
      <c r="S61" s="27">
        <v>44104</v>
      </c>
      <c r="T61" s="773" t="s">
        <v>132</v>
      </c>
      <c r="U61" s="773">
        <v>171</v>
      </c>
      <c r="V61" s="773">
        <v>90</v>
      </c>
      <c r="W61" s="773" t="str">
        <f t="shared" si="4"/>
        <v>O</v>
      </c>
      <c r="AA61" s="907">
        <v>306</v>
      </c>
      <c r="AB61" s="244">
        <v>2382</v>
      </c>
      <c r="AC61" s="244">
        <v>2382</v>
      </c>
      <c r="AD61" s="244">
        <v>2420</v>
      </c>
    </row>
    <row r="62" spans="1:30">
      <c r="A62" s="27">
        <v>44196</v>
      </c>
      <c r="B62" s="773" t="s">
        <v>140</v>
      </c>
      <c r="C62" s="773">
        <v>540</v>
      </c>
      <c r="D62" s="773">
        <v>2</v>
      </c>
      <c r="E62" s="773" t="str">
        <f t="shared" si="3"/>
        <v>O</v>
      </c>
      <c r="S62" s="27">
        <v>44104</v>
      </c>
      <c r="T62" s="773" t="s">
        <v>132</v>
      </c>
      <c r="U62" s="773">
        <v>176</v>
      </c>
      <c r="V62" s="773">
        <v>1</v>
      </c>
      <c r="W62" s="773" t="str">
        <f t="shared" si="4"/>
        <v>O</v>
      </c>
      <c r="AA62" s="907">
        <v>308</v>
      </c>
      <c r="AB62" s="244">
        <v>2282</v>
      </c>
      <c r="AC62" s="244">
        <v>2282</v>
      </c>
      <c r="AD62" s="244">
        <v>2279</v>
      </c>
    </row>
    <row r="63" spans="1:30">
      <c r="A63" s="27">
        <v>44196</v>
      </c>
      <c r="B63" s="773" t="s">
        <v>140</v>
      </c>
      <c r="C63" s="773">
        <v>548</v>
      </c>
      <c r="D63" s="773">
        <v>434</v>
      </c>
      <c r="E63" s="773" t="str">
        <f t="shared" si="3"/>
        <v>N</v>
      </c>
      <c r="S63" s="27">
        <v>44104</v>
      </c>
      <c r="T63" s="773" t="s">
        <v>132</v>
      </c>
      <c r="U63" s="773">
        <v>182</v>
      </c>
      <c r="V63" s="773">
        <v>728</v>
      </c>
      <c r="W63" s="773" t="str">
        <f t="shared" si="4"/>
        <v>N</v>
      </c>
      <c r="AA63" s="907">
        <v>311</v>
      </c>
      <c r="AB63" s="244">
        <v>2488</v>
      </c>
      <c r="AC63" s="244">
        <v>2488</v>
      </c>
      <c r="AD63" s="244">
        <v>2421</v>
      </c>
    </row>
    <row r="64" spans="1:30">
      <c r="A64" s="27">
        <v>44196</v>
      </c>
      <c r="B64" s="773" t="s">
        <v>140</v>
      </c>
      <c r="C64" s="773">
        <v>558</v>
      </c>
      <c r="D64" s="773">
        <v>1107</v>
      </c>
      <c r="E64" s="773" t="str">
        <f t="shared" si="3"/>
        <v>N</v>
      </c>
      <c r="S64" s="27">
        <v>44104</v>
      </c>
      <c r="T64" s="773" t="s">
        <v>132</v>
      </c>
      <c r="U64" s="773">
        <v>183</v>
      </c>
      <c r="V64" s="773">
        <v>1619</v>
      </c>
      <c r="W64" s="773" t="str">
        <f t="shared" si="4"/>
        <v>N</v>
      </c>
      <c r="AA64" s="907">
        <v>312</v>
      </c>
      <c r="AB64" s="244">
        <v>2652</v>
      </c>
      <c r="AC64" s="244">
        <v>2652</v>
      </c>
      <c r="AD64" s="244">
        <v>2547</v>
      </c>
    </row>
    <row r="65" spans="1:30">
      <c r="A65" s="27">
        <v>44196</v>
      </c>
      <c r="B65" s="773" t="s">
        <v>140</v>
      </c>
      <c r="C65" s="773">
        <v>574</v>
      </c>
      <c r="D65" s="773">
        <v>1204</v>
      </c>
      <c r="E65" s="773" t="str">
        <f t="shared" si="3"/>
        <v>N</v>
      </c>
      <c r="S65" s="27">
        <v>44104</v>
      </c>
      <c r="T65" s="773" t="s">
        <v>132</v>
      </c>
      <c r="U65" s="773">
        <v>188</v>
      </c>
      <c r="V65" s="773">
        <v>267</v>
      </c>
      <c r="W65" s="773" t="str">
        <f t="shared" si="4"/>
        <v>N</v>
      </c>
      <c r="AA65" s="907">
        <v>315</v>
      </c>
      <c r="AB65" s="244">
        <v>1905</v>
      </c>
      <c r="AC65" s="244">
        <v>1905</v>
      </c>
      <c r="AD65" s="244">
        <v>1976</v>
      </c>
    </row>
    <row r="66" spans="1:30">
      <c r="A66" s="27">
        <v>44196</v>
      </c>
      <c r="B66" s="773" t="s">
        <v>140</v>
      </c>
      <c r="C66" s="773">
        <v>576</v>
      </c>
      <c r="D66" s="773">
        <v>212</v>
      </c>
      <c r="E66" s="773" t="str">
        <f t="shared" si="3"/>
        <v>N</v>
      </c>
      <c r="S66" s="27">
        <v>44104</v>
      </c>
      <c r="T66" s="773" t="s">
        <v>132</v>
      </c>
      <c r="U66" s="773">
        <v>191</v>
      </c>
      <c r="V66" s="773">
        <v>1707</v>
      </c>
      <c r="W66" s="773" t="str">
        <f t="shared" si="4"/>
        <v>N</v>
      </c>
      <c r="AA66" s="907">
        <v>317</v>
      </c>
      <c r="AB66" s="244">
        <v>3403</v>
      </c>
      <c r="AC66" s="244">
        <v>3403</v>
      </c>
      <c r="AD66" s="244">
        <v>3237</v>
      </c>
    </row>
    <row r="67" spans="1:30">
      <c r="A67" s="27">
        <v>44196</v>
      </c>
      <c r="B67" s="773" t="s">
        <v>140</v>
      </c>
      <c r="C67" s="773">
        <v>578</v>
      </c>
      <c r="D67" s="773">
        <v>2005</v>
      </c>
      <c r="E67" s="773" t="str">
        <f t="shared" ref="E67:E130" si="5">+IF(D67&lt;100,"O","N")</f>
        <v>N</v>
      </c>
      <c r="S67" s="27">
        <v>44104</v>
      </c>
      <c r="T67" s="773" t="s">
        <v>132</v>
      </c>
      <c r="U67" s="773">
        <v>193</v>
      </c>
      <c r="V67" s="773">
        <v>1973</v>
      </c>
      <c r="W67" s="773" t="str">
        <f t="shared" ref="W67:W130" si="6">+IF(V67&lt;100,"O","N")</f>
        <v>N</v>
      </c>
      <c r="AA67" s="907">
        <v>318</v>
      </c>
      <c r="AB67" s="244">
        <v>2495</v>
      </c>
      <c r="AC67" s="244">
        <v>2495</v>
      </c>
      <c r="AD67" s="244">
        <v>2438</v>
      </c>
    </row>
    <row r="68" spans="1:30">
      <c r="A68" s="27">
        <v>44196</v>
      </c>
      <c r="B68" s="773" t="s">
        <v>140</v>
      </c>
      <c r="C68" s="773">
        <v>582</v>
      </c>
      <c r="D68" s="773">
        <v>1359</v>
      </c>
      <c r="E68" s="773" t="str">
        <f t="shared" si="5"/>
        <v>N</v>
      </c>
      <c r="S68" s="27">
        <v>44104</v>
      </c>
      <c r="T68" s="773" t="s">
        <v>132</v>
      </c>
      <c r="U68" s="773">
        <v>194</v>
      </c>
      <c r="V68" s="773">
        <v>1645</v>
      </c>
      <c r="W68" s="773" t="str">
        <f t="shared" si="6"/>
        <v>N</v>
      </c>
      <c r="AA68" s="907">
        <v>319</v>
      </c>
      <c r="AB68" s="244">
        <v>3170</v>
      </c>
      <c r="AC68" s="244">
        <v>3170</v>
      </c>
      <c r="AD68" s="244">
        <v>3322</v>
      </c>
    </row>
    <row r="69" spans="1:30">
      <c r="A69" s="27">
        <v>44196</v>
      </c>
      <c r="B69" s="773" t="s">
        <v>140</v>
      </c>
      <c r="C69" s="773">
        <v>585</v>
      </c>
      <c r="D69" s="773">
        <v>1717</v>
      </c>
      <c r="E69" s="773" t="str">
        <f t="shared" si="5"/>
        <v>N</v>
      </c>
      <c r="S69" s="27">
        <v>44104</v>
      </c>
      <c r="T69" s="773" t="s">
        <v>132</v>
      </c>
      <c r="U69" s="773">
        <v>195</v>
      </c>
      <c r="V69" s="773">
        <v>1</v>
      </c>
      <c r="W69" s="773" t="str">
        <f t="shared" si="6"/>
        <v>O</v>
      </c>
      <c r="AA69" s="907">
        <v>320</v>
      </c>
      <c r="AB69" s="244">
        <v>1695</v>
      </c>
      <c r="AC69" s="244">
        <v>1695</v>
      </c>
      <c r="AD69" s="244">
        <v>1622</v>
      </c>
    </row>
    <row r="70" spans="1:30">
      <c r="A70" s="27">
        <v>44196</v>
      </c>
      <c r="B70" s="773" t="s">
        <v>140</v>
      </c>
      <c r="C70" s="773">
        <v>587</v>
      </c>
      <c r="D70" s="773">
        <v>1</v>
      </c>
      <c r="E70" s="773" t="str">
        <f t="shared" si="5"/>
        <v>O</v>
      </c>
      <c r="S70" s="27">
        <v>44104</v>
      </c>
      <c r="T70" s="773" t="s">
        <v>132</v>
      </c>
      <c r="U70" s="773">
        <v>200</v>
      </c>
      <c r="V70" s="773">
        <v>1</v>
      </c>
      <c r="W70" s="773" t="str">
        <f t="shared" si="6"/>
        <v>O</v>
      </c>
      <c r="AA70" s="907">
        <v>321</v>
      </c>
      <c r="AB70" s="244">
        <v>1948</v>
      </c>
      <c r="AC70" s="244">
        <v>1948</v>
      </c>
      <c r="AD70" s="244"/>
    </row>
    <row r="71" spans="1:30">
      <c r="A71" s="27">
        <v>44196</v>
      </c>
      <c r="B71" s="773" t="s">
        <v>140</v>
      </c>
      <c r="C71" s="773">
        <v>597</v>
      </c>
      <c r="D71" s="773">
        <v>910</v>
      </c>
      <c r="E71" s="773" t="str">
        <f t="shared" si="5"/>
        <v>N</v>
      </c>
      <c r="S71" s="27">
        <v>44104</v>
      </c>
      <c r="T71" s="773" t="s">
        <v>132</v>
      </c>
      <c r="U71" s="773">
        <v>203</v>
      </c>
      <c r="V71" s="773">
        <v>1588</v>
      </c>
      <c r="W71" s="773" t="str">
        <f t="shared" si="6"/>
        <v>N</v>
      </c>
      <c r="AA71" s="907">
        <v>322</v>
      </c>
      <c r="AB71" s="244">
        <v>2567</v>
      </c>
      <c r="AC71" s="244">
        <v>2567</v>
      </c>
      <c r="AD71" s="244">
        <v>2473</v>
      </c>
    </row>
    <row r="72" spans="1:30">
      <c r="A72" s="27">
        <v>44196</v>
      </c>
      <c r="B72" s="773" t="s">
        <v>140</v>
      </c>
      <c r="C72" s="773">
        <v>608</v>
      </c>
      <c r="D72" s="773">
        <v>2129</v>
      </c>
      <c r="E72" s="773" t="str">
        <f t="shared" si="5"/>
        <v>N</v>
      </c>
      <c r="S72" s="27">
        <v>44104</v>
      </c>
      <c r="T72" s="773" t="s">
        <v>132</v>
      </c>
      <c r="U72" s="773">
        <v>204</v>
      </c>
      <c r="V72" s="773">
        <v>16</v>
      </c>
      <c r="W72" s="773" t="str">
        <f t="shared" si="6"/>
        <v>O</v>
      </c>
      <c r="AA72" s="907">
        <v>323</v>
      </c>
      <c r="AB72" s="244">
        <v>3122</v>
      </c>
      <c r="AC72" s="244">
        <v>3122</v>
      </c>
      <c r="AD72" s="244">
        <v>2875</v>
      </c>
    </row>
    <row r="73" spans="1:30">
      <c r="A73" s="27">
        <v>44196</v>
      </c>
      <c r="B73" s="773" t="s">
        <v>140</v>
      </c>
      <c r="C73" s="773">
        <v>610</v>
      </c>
      <c r="D73" s="773">
        <v>1941</v>
      </c>
      <c r="E73" s="773" t="str">
        <f t="shared" si="5"/>
        <v>N</v>
      </c>
      <c r="S73" s="27">
        <v>44104</v>
      </c>
      <c r="T73" s="773" t="s">
        <v>132</v>
      </c>
      <c r="U73" s="773">
        <v>212</v>
      </c>
      <c r="V73" s="773">
        <v>2341</v>
      </c>
      <c r="W73" s="773" t="str">
        <f t="shared" si="6"/>
        <v>N</v>
      </c>
      <c r="AA73" s="907">
        <v>324</v>
      </c>
      <c r="AB73" s="244">
        <v>1666</v>
      </c>
      <c r="AC73" s="244">
        <v>1666</v>
      </c>
      <c r="AD73" s="244">
        <v>3107</v>
      </c>
    </row>
    <row r="74" spans="1:30">
      <c r="A74" s="27">
        <v>44196</v>
      </c>
      <c r="B74" s="773" t="s">
        <v>140</v>
      </c>
      <c r="C74" s="773">
        <v>626</v>
      </c>
      <c r="D74" s="773">
        <v>1814</v>
      </c>
      <c r="E74" s="773" t="str">
        <f t="shared" si="5"/>
        <v>N</v>
      </c>
      <c r="S74" s="27">
        <v>44104</v>
      </c>
      <c r="T74" s="773" t="s">
        <v>132</v>
      </c>
      <c r="U74" s="773">
        <v>213</v>
      </c>
      <c r="V74" s="773">
        <v>2432</v>
      </c>
      <c r="W74" s="773" t="str">
        <f t="shared" si="6"/>
        <v>N</v>
      </c>
      <c r="AA74" s="907">
        <v>325</v>
      </c>
      <c r="AB74" s="244">
        <v>2102</v>
      </c>
      <c r="AC74" s="244">
        <v>2102</v>
      </c>
      <c r="AD74" s="244">
        <v>2162</v>
      </c>
    </row>
    <row r="75" spans="1:30">
      <c r="A75" s="27">
        <v>44196</v>
      </c>
      <c r="B75" s="773" t="s">
        <v>140</v>
      </c>
      <c r="C75" s="773">
        <v>628</v>
      </c>
      <c r="D75" s="773">
        <v>1216</v>
      </c>
      <c r="E75" s="773" t="str">
        <f t="shared" si="5"/>
        <v>N</v>
      </c>
      <c r="S75" s="27">
        <v>44104</v>
      </c>
      <c r="T75" s="773" t="s">
        <v>132</v>
      </c>
      <c r="U75" s="773">
        <v>215</v>
      </c>
      <c r="V75" s="773">
        <v>347</v>
      </c>
      <c r="W75" s="773" t="str">
        <f t="shared" si="6"/>
        <v>N</v>
      </c>
      <c r="AA75" s="907">
        <v>326</v>
      </c>
      <c r="AB75" s="244">
        <v>2672</v>
      </c>
      <c r="AC75" s="244">
        <v>2672</v>
      </c>
      <c r="AD75" s="244">
        <v>2758</v>
      </c>
    </row>
    <row r="76" spans="1:30">
      <c r="A76" s="27">
        <v>44196</v>
      </c>
      <c r="B76" s="773" t="s">
        <v>140</v>
      </c>
      <c r="C76" s="773">
        <v>639</v>
      </c>
      <c r="D76" s="773">
        <v>4</v>
      </c>
      <c r="E76" s="773" t="str">
        <f t="shared" si="5"/>
        <v>O</v>
      </c>
      <c r="S76" s="27">
        <v>44104</v>
      </c>
      <c r="T76" s="773" t="s">
        <v>132</v>
      </c>
      <c r="U76" s="773">
        <v>216</v>
      </c>
      <c r="V76" s="773">
        <v>1896</v>
      </c>
      <c r="W76" s="773" t="str">
        <f t="shared" si="6"/>
        <v>N</v>
      </c>
      <c r="AA76" s="907">
        <v>328</v>
      </c>
      <c r="AB76" s="244">
        <v>1409</v>
      </c>
      <c r="AC76" s="244">
        <v>1409</v>
      </c>
      <c r="AD76" s="244">
        <v>516</v>
      </c>
    </row>
    <row r="77" spans="1:30">
      <c r="A77" s="27">
        <v>44196</v>
      </c>
      <c r="B77" s="773" t="s">
        <v>140</v>
      </c>
      <c r="C77" s="773">
        <v>640</v>
      </c>
      <c r="D77" s="773">
        <v>2106</v>
      </c>
      <c r="E77" s="773" t="str">
        <f t="shared" si="5"/>
        <v>N</v>
      </c>
      <c r="S77" s="27">
        <v>44104</v>
      </c>
      <c r="T77" s="773" t="s">
        <v>132</v>
      </c>
      <c r="U77" s="773">
        <v>218</v>
      </c>
      <c r="V77" s="773">
        <v>826</v>
      </c>
      <c r="W77" s="773" t="str">
        <f t="shared" si="6"/>
        <v>N</v>
      </c>
      <c r="AA77" s="907">
        <v>329</v>
      </c>
      <c r="AB77" s="244">
        <v>4025</v>
      </c>
      <c r="AC77" s="244">
        <v>4025</v>
      </c>
      <c r="AD77" s="244">
        <v>3803</v>
      </c>
    </row>
    <row r="78" spans="1:30">
      <c r="A78" s="27">
        <v>44196</v>
      </c>
      <c r="B78" s="773" t="s">
        <v>140</v>
      </c>
      <c r="C78" s="773">
        <v>648</v>
      </c>
      <c r="D78" s="773">
        <v>1192</v>
      </c>
      <c r="E78" s="773" t="str">
        <f t="shared" si="5"/>
        <v>N</v>
      </c>
      <c r="S78" s="27">
        <v>44104</v>
      </c>
      <c r="T78" s="773" t="s">
        <v>132</v>
      </c>
      <c r="U78" s="773">
        <v>222</v>
      </c>
      <c r="V78" s="773">
        <v>3</v>
      </c>
      <c r="W78" s="773" t="str">
        <f t="shared" si="6"/>
        <v>O</v>
      </c>
      <c r="AA78" s="907">
        <v>342</v>
      </c>
      <c r="AB78" s="244">
        <v>2650</v>
      </c>
      <c r="AC78" s="244">
        <v>2650</v>
      </c>
      <c r="AD78" s="244">
        <v>2635</v>
      </c>
    </row>
    <row r="79" spans="1:30">
      <c r="A79" s="27">
        <v>44196</v>
      </c>
      <c r="B79" s="773" t="s">
        <v>140</v>
      </c>
      <c r="C79" s="773">
        <v>659</v>
      </c>
      <c r="D79" s="773">
        <v>455</v>
      </c>
      <c r="E79" s="773" t="str">
        <f t="shared" si="5"/>
        <v>N</v>
      </c>
      <c r="S79" s="27">
        <v>44104</v>
      </c>
      <c r="T79" s="773" t="s">
        <v>132</v>
      </c>
      <c r="U79" s="773">
        <v>231</v>
      </c>
      <c r="V79" s="773">
        <v>2</v>
      </c>
      <c r="W79" s="773" t="str">
        <f t="shared" si="6"/>
        <v>O</v>
      </c>
      <c r="AA79" s="907">
        <v>344</v>
      </c>
      <c r="AB79" s="244"/>
      <c r="AC79" s="244"/>
      <c r="AD79" s="244">
        <v>296</v>
      </c>
    </row>
    <row r="80" spans="1:30">
      <c r="A80" s="27">
        <v>44196</v>
      </c>
      <c r="B80" s="773" t="s">
        <v>140</v>
      </c>
      <c r="C80" s="773">
        <v>674</v>
      </c>
      <c r="D80" s="773">
        <v>1263</v>
      </c>
      <c r="E80" s="773" t="str">
        <f t="shared" si="5"/>
        <v>N</v>
      </c>
      <c r="S80" s="27">
        <v>44104</v>
      </c>
      <c r="T80" s="773" t="s">
        <v>132</v>
      </c>
      <c r="U80" s="773">
        <v>232</v>
      </c>
      <c r="V80" s="773">
        <v>110</v>
      </c>
      <c r="W80" s="773" t="str">
        <f t="shared" si="6"/>
        <v>N</v>
      </c>
      <c r="AA80" s="907">
        <v>621</v>
      </c>
      <c r="AB80" s="244">
        <v>2470</v>
      </c>
      <c r="AC80" s="244">
        <v>2470</v>
      </c>
      <c r="AD80" s="244">
        <v>2716</v>
      </c>
    </row>
    <row r="81" spans="1:30">
      <c r="A81" s="27">
        <v>44196</v>
      </c>
      <c r="B81" s="773" t="s">
        <v>140</v>
      </c>
      <c r="C81" s="773">
        <v>678</v>
      </c>
      <c r="D81" s="773">
        <v>2093</v>
      </c>
      <c r="E81" s="773" t="str">
        <f t="shared" si="5"/>
        <v>N</v>
      </c>
      <c r="S81" s="27">
        <v>44104</v>
      </c>
      <c r="T81" s="773" t="s">
        <v>132</v>
      </c>
      <c r="U81" s="773">
        <v>233</v>
      </c>
      <c r="V81" s="773">
        <v>12643</v>
      </c>
      <c r="W81" s="773" t="str">
        <f t="shared" si="6"/>
        <v>N</v>
      </c>
      <c r="AA81" s="907">
        <v>641</v>
      </c>
      <c r="AB81" s="244">
        <v>2123</v>
      </c>
      <c r="AC81" s="244">
        <v>2123</v>
      </c>
      <c r="AD81" s="244">
        <v>2191</v>
      </c>
    </row>
    <row r="82" spans="1:30">
      <c r="A82" s="27">
        <v>44196</v>
      </c>
      <c r="B82" s="773" t="s">
        <v>140</v>
      </c>
      <c r="C82" s="773">
        <v>691</v>
      </c>
      <c r="D82" s="773">
        <v>26</v>
      </c>
      <c r="E82" s="773" t="str">
        <f t="shared" si="5"/>
        <v>O</v>
      </c>
      <c r="S82" s="27">
        <v>44104</v>
      </c>
      <c r="T82" s="773" t="s">
        <v>132</v>
      </c>
      <c r="U82" s="773">
        <v>237</v>
      </c>
      <c r="V82" s="773">
        <v>23</v>
      </c>
      <c r="W82" s="773" t="str">
        <f t="shared" si="6"/>
        <v>O</v>
      </c>
      <c r="AA82" s="907">
        <v>645</v>
      </c>
      <c r="AB82" s="244">
        <v>721</v>
      </c>
      <c r="AC82" s="244">
        <v>721</v>
      </c>
      <c r="AD82" s="244"/>
    </row>
    <row r="83" spans="1:30">
      <c r="A83" s="27">
        <v>44196</v>
      </c>
      <c r="B83" s="773" t="s">
        <v>140</v>
      </c>
      <c r="C83" s="773">
        <v>710</v>
      </c>
      <c r="D83" s="773">
        <v>1864</v>
      </c>
      <c r="E83" s="773" t="str">
        <f t="shared" si="5"/>
        <v>N</v>
      </c>
      <c r="S83" s="27">
        <v>44104</v>
      </c>
      <c r="T83" s="773" t="s">
        <v>132</v>
      </c>
      <c r="U83" s="773">
        <v>238</v>
      </c>
      <c r="V83" s="773">
        <v>2</v>
      </c>
      <c r="W83" s="773" t="str">
        <f t="shared" si="6"/>
        <v>O</v>
      </c>
      <c r="AA83" s="907">
        <v>652</v>
      </c>
      <c r="AB83" s="244">
        <v>3587</v>
      </c>
      <c r="AC83" s="244">
        <v>3587</v>
      </c>
      <c r="AD83" s="244"/>
    </row>
    <row r="84" spans="1:30">
      <c r="A84" s="27">
        <v>44196</v>
      </c>
      <c r="B84" s="773" t="s">
        <v>140</v>
      </c>
      <c r="C84" s="773">
        <v>719</v>
      </c>
      <c r="D84" s="773">
        <v>1</v>
      </c>
      <c r="E84" s="773" t="str">
        <f t="shared" si="5"/>
        <v>O</v>
      </c>
      <c r="S84" s="27">
        <v>44104</v>
      </c>
      <c r="T84" s="773" t="s">
        <v>132</v>
      </c>
      <c r="U84" s="773">
        <v>239</v>
      </c>
      <c r="V84" s="773">
        <v>2612</v>
      </c>
      <c r="W84" s="773" t="str">
        <f t="shared" si="6"/>
        <v>N</v>
      </c>
      <c r="AA84" s="907">
        <v>654</v>
      </c>
      <c r="AB84" s="244">
        <v>967</v>
      </c>
      <c r="AC84" s="244">
        <v>967</v>
      </c>
      <c r="AD84" s="244">
        <v>871</v>
      </c>
    </row>
    <row r="85" spans="1:30">
      <c r="A85" s="27">
        <v>44196</v>
      </c>
      <c r="B85" s="773" t="s">
        <v>140</v>
      </c>
      <c r="C85" s="773">
        <v>722</v>
      </c>
      <c r="D85" s="773">
        <v>219</v>
      </c>
      <c r="E85" s="773" t="str">
        <f t="shared" si="5"/>
        <v>N</v>
      </c>
      <c r="S85" s="27">
        <v>44104</v>
      </c>
      <c r="T85" s="773" t="s">
        <v>132</v>
      </c>
      <c r="U85" s="773">
        <v>240</v>
      </c>
      <c r="V85" s="773">
        <v>2</v>
      </c>
      <c r="W85" s="773" t="str">
        <f t="shared" si="6"/>
        <v>O</v>
      </c>
      <c r="AA85" s="907">
        <v>658</v>
      </c>
      <c r="AB85" s="244">
        <v>3273</v>
      </c>
      <c r="AC85" s="244">
        <v>3273</v>
      </c>
      <c r="AD85" s="244"/>
    </row>
    <row r="86" spans="1:30">
      <c r="A86" s="27">
        <v>44196</v>
      </c>
      <c r="B86" s="773" t="s">
        <v>140</v>
      </c>
      <c r="C86" s="773">
        <v>732</v>
      </c>
      <c r="D86" s="773">
        <v>1</v>
      </c>
      <c r="E86" s="773" t="str">
        <f t="shared" si="5"/>
        <v>O</v>
      </c>
      <c r="S86" s="27">
        <v>44104</v>
      </c>
      <c r="T86" s="773" t="s">
        <v>132</v>
      </c>
      <c r="U86" s="773">
        <v>241</v>
      </c>
      <c r="V86" s="773">
        <v>9</v>
      </c>
      <c r="W86" s="773" t="str">
        <f t="shared" si="6"/>
        <v>O</v>
      </c>
      <c r="AA86" s="907">
        <v>662</v>
      </c>
      <c r="AB86" s="244"/>
      <c r="AC86" s="244"/>
      <c r="AD86" s="244">
        <v>321</v>
      </c>
    </row>
    <row r="87" spans="1:30">
      <c r="A87" s="27">
        <v>44196</v>
      </c>
      <c r="B87" s="773" t="s">
        <v>140</v>
      </c>
      <c r="C87" s="773">
        <v>739</v>
      </c>
      <c r="D87" s="773">
        <v>1</v>
      </c>
      <c r="E87" s="773" t="str">
        <f t="shared" si="5"/>
        <v>O</v>
      </c>
      <c r="S87" s="27">
        <v>44104</v>
      </c>
      <c r="T87" s="773" t="s">
        <v>132</v>
      </c>
      <c r="U87" s="773">
        <v>243</v>
      </c>
      <c r="V87" s="773">
        <v>544</v>
      </c>
      <c r="W87" s="773" t="str">
        <f t="shared" si="6"/>
        <v>N</v>
      </c>
      <c r="AA87" s="907">
        <v>663</v>
      </c>
      <c r="AB87" s="244">
        <v>655</v>
      </c>
      <c r="AC87" s="244">
        <v>655</v>
      </c>
      <c r="AD87" s="244">
        <v>222</v>
      </c>
    </row>
    <row r="88" spans="1:30">
      <c r="A88" s="27">
        <v>44469</v>
      </c>
      <c r="B88" s="773" t="s">
        <v>140</v>
      </c>
      <c r="C88" s="773">
        <v>198</v>
      </c>
      <c r="D88" s="773">
        <v>3</v>
      </c>
      <c r="E88" s="773" t="str">
        <f t="shared" si="5"/>
        <v>O</v>
      </c>
      <c r="S88" s="27">
        <v>44104</v>
      </c>
      <c r="T88" s="773" t="s">
        <v>132</v>
      </c>
      <c r="U88" s="773">
        <v>245</v>
      </c>
      <c r="V88" s="773">
        <v>1228</v>
      </c>
      <c r="W88" s="773" t="str">
        <f t="shared" si="6"/>
        <v>N</v>
      </c>
      <c r="AA88" s="907">
        <v>664</v>
      </c>
      <c r="AB88" s="244">
        <v>2185</v>
      </c>
      <c r="AC88" s="244">
        <v>2185</v>
      </c>
      <c r="AD88" s="244">
        <v>3425</v>
      </c>
    </row>
    <row r="89" spans="1:30">
      <c r="A89" s="27">
        <v>44469</v>
      </c>
      <c r="B89" s="773" t="s">
        <v>140</v>
      </c>
      <c r="C89" s="773">
        <v>248</v>
      </c>
      <c r="D89" s="773">
        <v>355</v>
      </c>
      <c r="E89" s="773" t="str">
        <f t="shared" si="5"/>
        <v>N</v>
      </c>
      <c r="S89" s="27">
        <v>44104</v>
      </c>
      <c r="T89" s="773" t="s">
        <v>132</v>
      </c>
      <c r="U89" s="773">
        <v>247</v>
      </c>
      <c r="V89" s="773">
        <v>8</v>
      </c>
      <c r="W89" s="773" t="str">
        <f t="shared" si="6"/>
        <v>O</v>
      </c>
      <c r="AA89" s="907">
        <v>665</v>
      </c>
      <c r="AB89" s="244">
        <v>3195</v>
      </c>
      <c r="AC89" s="244">
        <v>3195</v>
      </c>
      <c r="AD89" s="244"/>
    </row>
    <row r="90" spans="1:30">
      <c r="A90" s="27">
        <v>44469</v>
      </c>
      <c r="B90" s="773" t="s">
        <v>140</v>
      </c>
      <c r="C90" s="773">
        <v>338</v>
      </c>
      <c r="D90" s="773">
        <v>1531</v>
      </c>
      <c r="E90" s="773" t="str">
        <f t="shared" si="5"/>
        <v>N</v>
      </c>
      <c r="S90" s="27">
        <v>44104</v>
      </c>
      <c r="T90" s="773" t="s">
        <v>132</v>
      </c>
      <c r="U90" s="773">
        <v>249</v>
      </c>
      <c r="V90" s="773">
        <v>1773</v>
      </c>
      <c r="W90" s="773" t="str">
        <f t="shared" si="6"/>
        <v>N</v>
      </c>
      <c r="AA90" s="907">
        <v>666</v>
      </c>
      <c r="AB90" s="244">
        <v>1583</v>
      </c>
      <c r="AC90" s="244">
        <v>1583</v>
      </c>
      <c r="AD90" s="244">
        <v>1678</v>
      </c>
    </row>
    <row r="91" spans="1:30">
      <c r="A91" s="27">
        <v>44469</v>
      </c>
      <c r="B91" s="773" t="s">
        <v>140</v>
      </c>
      <c r="C91" s="773">
        <v>346</v>
      </c>
      <c r="D91" s="773">
        <v>2</v>
      </c>
      <c r="E91" s="773" t="str">
        <f t="shared" si="5"/>
        <v>O</v>
      </c>
      <c r="S91" s="27">
        <v>44104</v>
      </c>
      <c r="T91" s="773" t="s">
        <v>132</v>
      </c>
      <c r="U91" s="773">
        <v>251</v>
      </c>
      <c r="V91" s="773">
        <v>2174</v>
      </c>
      <c r="W91" s="773" t="str">
        <f t="shared" si="6"/>
        <v>N</v>
      </c>
      <c r="AA91" s="907">
        <v>669</v>
      </c>
      <c r="AB91" s="244">
        <v>2910</v>
      </c>
      <c r="AC91" s="244">
        <v>2910</v>
      </c>
      <c r="AD91" s="244">
        <v>2872</v>
      </c>
    </row>
    <row r="92" spans="1:30">
      <c r="A92" s="27">
        <v>44469</v>
      </c>
      <c r="B92" s="773" t="s">
        <v>140</v>
      </c>
      <c r="C92" s="773">
        <v>359</v>
      </c>
      <c r="D92" s="773">
        <v>463</v>
      </c>
      <c r="E92" s="773" t="str">
        <f t="shared" si="5"/>
        <v>N</v>
      </c>
      <c r="S92" s="27">
        <v>44104</v>
      </c>
      <c r="T92" s="773" t="s">
        <v>132</v>
      </c>
      <c r="U92" s="773">
        <v>252</v>
      </c>
      <c r="V92" s="773">
        <v>1093</v>
      </c>
      <c r="W92" s="773" t="str">
        <f t="shared" si="6"/>
        <v>N</v>
      </c>
      <c r="AA92" s="907">
        <v>670</v>
      </c>
      <c r="AB92" s="244">
        <v>2489</v>
      </c>
      <c r="AC92" s="244">
        <v>2489</v>
      </c>
      <c r="AD92" s="244">
        <v>2458</v>
      </c>
    </row>
    <row r="93" spans="1:30">
      <c r="A93" s="27">
        <v>44469</v>
      </c>
      <c r="B93" s="773" t="s">
        <v>140</v>
      </c>
      <c r="C93" s="773">
        <v>379</v>
      </c>
      <c r="D93" s="773">
        <v>1</v>
      </c>
      <c r="E93" s="773" t="str">
        <f t="shared" si="5"/>
        <v>O</v>
      </c>
      <c r="S93" s="27">
        <v>44104</v>
      </c>
      <c r="T93" s="773" t="s">
        <v>132</v>
      </c>
      <c r="U93" s="773">
        <v>253</v>
      </c>
      <c r="V93" s="773">
        <v>2578</v>
      </c>
      <c r="W93" s="773" t="str">
        <f t="shared" si="6"/>
        <v>N</v>
      </c>
      <c r="AA93" s="907">
        <v>671</v>
      </c>
      <c r="AB93" s="244">
        <v>2015</v>
      </c>
      <c r="AC93" s="244">
        <v>2015</v>
      </c>
      <c r="AD93" s="244">
        <v>1999</v>
      </c>
    </row>
    <row r="94" spans="1:30">
      <c r="A94" s="27">
        <v>44469</v>
      </c>
      <c r="B94" s="773" t="s">
        <v>140</v>
      </c>
      <c r="C94" s="773">
        <v>383</v>
      </c>
      <c r="D94" s="773">
        <v>2</v>
      </c>
      <c r="E94" s="773" t="str">
        <f t="shared" si="5"/>
        <v>O</v>
      </c>
      <c r="S94" s="27">
        <v>44104</v>
      </c>
      <c r="T94" s="773" t="s">
        <v>132</v>
      </c>
      <c r="U94" s="773">
        <v>254</v>
      </c>
      <c r="V94" s="773">
        <v>1</v>
      </c>
      <c r="W94" s="773" t="str">
        <f t="shared" si="6"/>
        <v>O</v>
      </c>
      <c r="AA94" s="907">
        <v>672</v>
      </c>
      <c r="AB94" s="244">
        <v>2367</v>
      </c>
      <c r="AC94" s="244">
        <v>2367</v>
      </c>
      <c r="AD94" s="244">
        <v>2345</v>
      </c>
    </row>
    <row r="95" spans="1:30">
      <c r="A95" s="27">
        <v>44469</v>
      </c>
      <c r="B95" s="773" t="s">
        <v>140</v>
      </c>
      <c r="C95" s="773">
        <v>387</v>
      </c>
      <c r="D95" s="773">
        <v>5</v>
      </c>
      <c r="E95" s="773" t="str">
        <f t="shared" si="5"/>
        <v>O</v>
      </c>
      <c r="S95" s="27">
        <v>44104</v>
      </c>
      <c r="T95" s="773" t="s">
        <v>132</v>
      </c>
      <c r="U95" s="773">
        <v>255</v>
      </c>
      <c r="V95" s="773">
        <v>1595</v>
      </c>
      <c r="W95" s="773" t="str">
        <f t="shared" si="6"/>
        <v>N</v>
      </c>
      <c r="AA95" s="907">
        <v>674</v>
      </c>
      <c r="AB95" s="244">
        <v>3600</v>
      </c>
      <c r="AC95" s="244">
        <v>3600</v>
      </c>
      <c r="AD95" s="244">
        <v>3972</v>
      </c>
    </row>
    <row r="96" spans="1:30">
      <c r="A96" s="27">
        <v>44469</v>
      </c>
      <c r="B96" s="773" t="s">
        <v>140</v>
      </c>
      <c r="C96" s="773">
        <v>449</v>
      </c>
      <c r="D96" s="773">
        <v>1355</v>
      </c>
      <c r="E96" s="773" t="str">
        <f t="shared" si="5"/>
        <v>N</v>
      </c>
      <c r="S96" s="27">
        <v>44104</v>
      </c>
      <c r="T96" s="773" t="s">
        <v>132</v>
      </c>
      <c r="U96" s="773">
        <v>256</v>
      </c>
      <c r="V96" s="773">
        <v>2123</v>
      </c>
      <c r="W96" s="773" t="str">
        <f t="shared" si="6"/>
        <v>N</v>
      </c>
      <c r="AA96" s="907">
        <v>678</v>
      </c>
      <c r="AB96" s="244">
        <v>183</v>
      </c>
      <c r="AC96" s="244">
        <v>183</v>
      </c>
      <c r="AD96" s="244">
        <v>156</v>
      </c>
    </row>
    <row r="97" spans="1:30">
      <c r="A97" s="27">
        <v>44469</v>
      </c>
      <c r="B97" s="773" t="s">
        <v>140</v>
      </c>
      <c r="C97" s="773">
        <v>453</v>
      </c>
      <c r="D97" s="773">
        <v>1619</v>
      </c>
      <c r="E97" s="773" t="str">
        <f t="shared" si="5"/>
        <v>N</v>
      </c>
      <c r="S97" s="27">
        <v>44104</v>
      </c>
      <c r="T97" s="773" t="s">
        <v>132</v>
      </c>
      <c r="U97" s="773">
        <v>257</v>
      </c>
      <c r="V97" s="773">
        <v>1763</v>
      </c>
      <c r="W97" s="773" t="str">
        <f t="shared" si="6"/>
        <v>N</v>
      </c>
      <c r="AA97" s="907">
        <v>680</v>
      </c>
      <c r="AB97" s="244">
        <v>3029</v>
      </c>
      <c r="AC97" s="244">
        <v>3029</v>
      </c>
      <c r="AD97" s="244">
        <v>2976</v>
      </c>
    </row>
    <row r="98" spans="1:30">
      <c r="A98" s="27">
        <v>44469</v>
      </c>
      <c r="B98" s="773" t="s">
        <v>140</v>
      </c>
      <c r="C98" s="773">
        <v>469</v>
      </c>
      <c r="D98" s="773">
        <v>5</v>
      </c>
      <c r="E98" s="773" t="str">
        <f t="shared" si="5"/>
        <v>O</v>
      </c>
      <c r="S98" s="27">
        <v>44104</v>
      </c>
      <c r="T98" s="773" t="s">
        <v>132</v>
      </c>
      <c r="U98" s="773">
        <v>262</v>
      </c>
      <c r="V98" s="773">
        <v>79</v>
      </c>
      <c r="W98" s="773" t="str">
        <f t="shared" si="6"/>
        <v>O</v>
      </c>
      <c r="AA98" s="907">
        <v>681</v>
      </c>
      <c r="AB98" s="244">
        <v>643</v>
      </c>
      <c r="AC98" s="244">
        <v>643</v>
      </c>
      <c r="AD98" s="244"/>
    </row>
    <row r="99" spans="1:30">
      <c r="A99" s="27">
        <v>44469</v>
      </c>
      <c r="B99" s="773" t="s">
        <v>140</v>
      </c>
      <c r="C99" s="773">
        <v>476</v>
      </c>
      <c r="D99" s="773">
        <v>1</v>
      </c>
      <c r="E99" s="773" t="str">
        <f t="shared" si="5"/>
        <v>O</v>
      </c>
      <c r="S99" s="27">
        <v>44104</v>
      </c>
      <c r="T99" s="773" t="s">
        <v>132</v>
      </c>
      <c r="U99" s="773">
        <v>264</v>
      </c>
      <c r="V99" s="773">
        <v>756</v>
      </c>
      <c r="W99" s="773" t="str">
        <f t="shared" si="6"/>
        <v>N</v>
      </c>
      <c r="AA99" s="907">
        <v>684</v>
      </c>
      <c r="AB99" s="244">
        <v>3194</v>
      </c>
      <c r="AC99" s="244">
        <v>3194</v>
      </c>
      <c r="AD99" s="244">
        <v>2989</v>
      </c>
    </row>
    <row r="100" spans="1:30">
      <c r="A100" s="27">
        <v>44469</v>
      </c>
      <c r="B100" s="773" t="s">
        <v>140</v>
      </c>
      <c r="C100" s="773">
        <v>478</v>
      </c>
      <c r="D100" s="773">
        <v>1357</v>
      </c>
      <c r="E100" s="773" t="str">
        <f t="shared" si="5"/>
        <v>N</v>
      </c>
      <c r="S100" s="27">
        <v>44104</v>
      </c>
      <c r="T100" s="773" t="s">
        <v>132</v>
      </c>
      <c r="U100" s="773">
        <v>265</v>
      </c>
      <c r="V100" s="773">
        <v>797</v>
      </c>
      <c r="W100" s="773" t="str">
        <f t="shared" si="6"/>
        <v>N</v>
      </c>
      <c r="AA100" s="907">
        <v>687</v>
      </c>
      <c r="AB100" s="244">
        <v>3122</v>
      </c>
      <c r="AC100" s="244">
        <v>3122</v>
      </c>
      <c r="AD100" s="244">
        <v>2967</v>
      </c>
    </row>
    <row r="101" spans="1:30">
      <c r="A101" s="27">
        <v>44469</v>
      </c>
      <c r="B101" s="773" t="s">
        <v>140</v>
      </c>
      <c r="C101" s="773">
        <v>485</v>
      </c>
      <c r="D101" s="773">
        <v>183</v>
      </c>
      <c r="E101" s="773" t="str">
        <f t="shared" si="5"/>
        <v>N</v>
      </c>
      <c r="S101" s="27">
        <v>44104</v>
      </c>
      <c r="T101" s="773" t="s">
        <v>132</v>
      </c>
      <c r="U101" s="773">
        <v>266</v>
      </c>
      <c r="V101" s="773">
        <v>1849</v>
      </c>
      <c r="W101" s="773" t="str">
        <f t="shared" si="6"/>
        <v>N</v>
      </c>
      <c r="AA101" s="907">
        <v>691</v>
      </c>
      <c r="AB101" s="244">
        <v>3037</v>
      </c>
      <c r="AC101" s="244">
        <v>3037</v>
      </c>
      <c r="AD101" s="244">
        <v>2900</v>
      </c>
    </row>
    <row r="102" spans="1:30">
      <c r="A102" s="27">
        <v>44469</v>
      </c>
      <c r="B102" s="773" t="s">
        <v>140</v>
      </c>
      <c r="C102" s="773">
        <v>501</v>
      </c>
      <c r="D102" s="773">
        <v>1</v>
      </c>
      <c r="E102" s="773" t="str">
        <f t="shared" si="5"/>
        <v>O</v>
      </c>
      <c r="S102" s="27">
        <v>44104</v>
      </c>
      <c r="T102" s="773" t="s">
        <v>132</v>
      </c>
      <c r="U102" s="773">
        <v>267</v>
      </c>
      <c r="V102" s="773">
        <v>1</v>
      </c>
      <c r="W102" s="773" t="str">
        <f t="shared" si="6"/>
        <v>O</v>
      </c>
      <c r="AA102" s="907">
        <v>696</v>
      </c>
      <c r="AB102" s="244">
        <v>2149</v>
      </c>
      <c r="AC102" s="244">
        <v>2149</v>
      </c>
      <c r="AD102" s="244">
        <v>119</v>
      </c>
    </row>
    <row r="103" spans="1:30">
      <c r="A103" s="27">
        <v>44469</v>
      </c>
      <c r="B103" s="773" t="s">
        <v>140</v>
      </c>
      <c r="C103" s="773">
        <v>502</v>
      </c>
      <c r="D103" s="773">
        <v>5</v>
      </c>
      <c r="E103" s="773" t="str">
        <f t="shared" si="5"/>
        <v>O</v>
      </c>
      <c r="S103" s="27">
        <v>44104</v>
      </c>
      <c r="T103" s="773" t="s">
        <v>132</v>
      </c>
      <c r="U103" s="773">
        <v>269</v>
      </c>
      <c r="V103" s="773">
        <v>1</v>
      </c>
      <c r="W103" s="773" t="str">
        <f t="shared" si="6"/>
        <v>O</v>
      </c>
      <c r="AA103" s="907">
        <v>697</v>
      </c>
      <c r="AB103" s="244">
        <v>1483</v>
      </c>
      <c r="AC103" s="244">
        <v>1483</v>
      </c>
      <c r="AD103" s="244">
        <v>1382</v>
      </c>
    </row>
    <row r="104" spans="1:30">
      <c r="A104" s="27">
        <v>44469</v>
      </c>
      <c r="B104" s="773" t="s">
        <v>140</v>
      </c>
      <c r="C104" s="773">
        <v>510</v>
      </c>
      <c r="D104" s="773">
        <v>846</v>
      </c>
      <c r="E104" s="773" t="str">
        <f t="shared" si="5"/>
        <v>N</v>
      </c>
      <c r="S104" s="27">
        <v>44104</v>
      </c>
      <c r="T104" s="773" t="s">
        <v>132</v>
      </c>
      <c r="U104" s="773">
        <v>271</v>
      </c>
      <c r="V104" s="773">
        <v>1427</v>
      </c>
      <c r="W104" s="773" t="str">
        <f t="shared" si="6"/>
        <v>N</v>
      </c>
      <c r="AA104" s="907">
        <v>698</v>
      </c>
      <c r="AB104" s="244">
        <v>2799</v>
      </c>
      <c r="AC104" s="244">
        <v>2799</v>
      </c>
      <c r="AD104" s="244">
        <v>2658</v>
      </c>
    </row>
    <row r="105" spans="1:30">
      <c r="A105" s="27">
        <v>44469</v>
      </c>
      <c r="B105" s="773" t="s">
        <v>140</v>
      </c>
      <c r="C105" s="773">
        <v>524</v>
      </c>
      <c r="D105" s="773">
        <v>870</v>
      </c>
      <c r="E105" s="773" t="str">
        <f t="shared" si="5"/>
        <v>N</v>
      </c>
      <c r="S105" s="27">
        <v>44104</v>
      </c>
      <c r="T105" s="773" t="s">
        <v>132</v>
      </c>
      <c r="U105" s="773">
        <v>275</v>
      </c>
      <c r="V105" s="773">
        <v>1073</v>
      </c>
      <c r="W105" s="773" t="str">
        <f t="shared" si="6"/>
        <v>N</v>
      </c>
      <c r="AA105" s="907">
        <v>699</v>
      </c>
      <c r="AB105" s="244">
        <v>2825</v>
      </c>
      <c r="AC105" s="244">
        <v>2825</v>
      </c>
      <c r="AD105" s="244"/>
    </row>
    <row r="106" spans="1:30">
      <c r="A106" s="27">
        <v>44469</v>
      </c>
      <c r="B106" s="773" t="s">
        <v>140</v>
      </c>
      <c r="C106" s="773">
        <v>525</v>
      </c>
      <c r="D106" s="773">
        <v>2573</v>
      </c>
      <c r="E106" s="773" t="str">
        <f t="shared" si="5"/>
        <v>N</v>
      </c>
      <c r="S106" s="27">
        <v>44104</v>
      </c>
      <c r="T106" s="773" t="s">
        <v>132</v>
      </c>
      <c r="U106" s="773">
        <v>279</v>
      </c>
      <c r="V106" s="773">
        <v>971</v>
      </c>
      <c r="W106" s="773" t="str">
        <f t="shared" si="6"/>
        <v>N</v>
      </c>
      <c r="AA106" s="907">
        <v>700</v>
      </c>
      <c r="AB106" s="244">
        <v>2788</v>
      </c>
      <c r="AC106" s="244">
        <v>2788</v>
      </c>
      <c r="AD106" s="244">
        <v>2806</v>
      </c>
    </row>
    <row r="107" spans="1:30">
      <c r="A107" s="27">
        <v>44469</v>
      </c>
      <c r="B107" s="773" t="s">
        <v>140</v>
      </c>
      <c r="C107" s="773">
        <v>548</v>
      </c>
      <c r="D107" s="773">
        <v>434</v>
      </c>
      <c r="E107" s="773" t="str">
        <f t="shared" si="5"/>
        <v>N</v>
      </c>
      <c r="S107" s="27">
        <v>44104</v>
      </c>
      <c r="T107" s="773" t="s">
        <v>132</v>
      </c>
      <c r="U107" s="773">
        <v>290</v>
      </c>
      <c r="V107" s="773">
        <v>1873</v>
      </c>
      <c r="W107" s="773" t="str">
        <f t="shared" si="6"/>
        <v>N</v>
      </c>
      <c r="AA107" s="907">
        <v>701</v>
      </c>
      <c r="AB107" s="244">
        <v>2394</v>
      </c>
      <c r="AC107" s="244">
        <v>2394</v>
      </c>
      <c r="AD107" s="244">
        <v>2327</v>
      </c>
    </row>
    <row r="108" spans="1:30">
      <c r="A108" s="27">
        <v>44469</v>
      </c>
      <c r="B108" s="773" t="s">
        <v>140</v>
      </c>
      <c r="C108" s="773">
        <v>558</v>
      </c>
      <c r="D108" s="773">
        <v>1013</v>
      </c>
      <c r="E108" s="773" t="str">
        <f t="shared" si="5"/>
        <v>N</v>
      </c>
      <c r="S108" s="27">
        <v>44104</v>
      </c>
      <c r="T108" s="773" t="s">
        <v>132</v>
      </c>
      <c r="U108" s="773">
        <v>291</v>
      </c>
      <c r="V108" s="773">
        <v>1756</v>
      </c>
      <c r="W108" s="773" t="str">
        <f t="shared" si="6"/>
        <v>N</v>
      </c>
      <c r="AA108" s="907">
        <v>703</v>
      </c>
      <c r="AB108" s="244">
        <v>3257</v>
      </c>
      <c r="AC108" s="244">
        <v>3257</v>
      </c>
      <c r="AD108" s="244">
        <v>198</v>
      </c>
    </row>
    <row r="109" spans="1:30">
      <c r="A109" s="27">
        <v>44469</v>
      </c>
      <c r="B109" s="773" t="s">
        <v>140</v>
      </c>
      <c r="C109" s="773">
        <v>574</v>
      </c>
      <c r="D109" s="773">
        <v>1252</v>
      </c>
      <c r="E109" s="773" t="str">
        <f t="shared" si="5"/>
        <v>N</v>
      </c>
      <c r="S109" s="27">
        <v>44104</v>
      </c>
      <c r="T109" s="773" t="s">
        <v>132</v>
      </c>
      <c r="U109" s="773">
        <v>292</v>
      </c>
      <c r="V109" s="773">
        <v>8</v>
      </c>
      <c r="W109" s="773" t="str">
        <f t="shared" si="6"/>
        <v>O</v>
      </c>
      <c r="AA109" s="907">
        <v>704</v>
      </c>
      <c r="AB109" s="244">
        <v>3337</v>
      </c>
      <c r="AC109" s="244">
        <v>3337</v>
      </c>
      <c r="AD109" s="244">
        <v>3416</v>
      </c>
    </row>
    <row r="110" spans="1:30">
      <c r="A110" s="27">
        <v>44469</v>
      </c>
      <c r="B110" s="773" t="s">
        <v>140</v>
      </c>
      <c r="C110" s="773">
        <v>576</v>
      </c>
      <c r="D110" s="773">
        <v>219</v>
      </c>
      <c r="E110" s="773" t="str">
        <f t="shared" si="5"/>
        <v>N</v>
      </c>
      <c r="S110" s="27">
        <v>44104</v>
      </c>
      <c r="T110" s="773" t="s">
        <v>132</v>
      </c>
      <c r="U110" s="773">
        <v>293</v>
      </c>
      <c r="V110" s="773">
        <v>444</v>
      </c>
      <c r="W110" s="773" t="str">
        <f t="shared" si="6"/>
        <v>N</v>
      </c>
      <c r="AA110" s="907">
        <v>706</v>
      </c>
      <c r="AB110" s="244">
        <v>1213</v>
      </c>
      <c r="AC110" s="244">
        <v>1213</v>
      </c>
      <c r="AD110" s="244">
        <v>1180</v>
      </c>
    </row>
    <row r="111" spans="1:30">
      <c r="A111" s="27">
        <v>44469</v>
      </c>
      <c r="B111" s="773" t="s">
        <v>140</v>
      </c>
      <c r="C111" s="773">
        <v>578</v>
      </c>
      <c r="D111" s="773">
        <v>2129</v>
      </c>
      <c r="E111" s="773" t="str">
        <f t="shared" si="5"/>
        <v>N</v>
      </c>
      <c r="S111" s="27">
        <v>44104</v>
      </c>
      <c r="T111" s="773" t="s">
        <v>132</v>
      </c>
      <c r="U111" s="773">
        <v>294</v>
      </c>
      <c r="V111" s="773">
        <v>1589</v>
      </c>
      <c r="W111" s="773" t="str">
        <f t="shared" si="6"/>
        <v>N</v>
      </c>
      <c r="AA111" s="907">
        <v>707</v>
      </c>
      <c r="AB111" s="244">
        <v>303</v>
      </c>
      <c r="AC111" s="244">
        <v>303</v>
      </c>
      <c r="AD111" s="244">
        <v>106</v>
      </c>
    </row>
    <row r="112" spans="1:30">
      <c r="A112" s="27">
        <v>44469</v>
      </c>
      <c r="B112" s="773" t="s">
        <v>140</v>
      </c>
      <c r="C112" s="773">
        <v>582</v>
      </c>
      <c r="D112" s="773">
        <v>1356</v>
      </c>
      <c r="E112" s="773" t="str">
        <f t="shared" si="5"/>
        <v>N</v>
      </c>
      <c r="S112" s="27">
        <v>44104</v>
      </c>
      <c r="T112" s="773" t="s">
        <v>132</v>
      </c>
      <c r="U112" s="773">
        <v>295</v>
      </c>
      <c r="V112" s="773">
        <v>3</v>
      </c>
      <c r="W112" s="773" t="str">
        <f t="shared" si="6"/>
        <v>O</v>
      </c>
      <c r="AA112" s="907">
        <v>709</v>
      </c>
      <c r="AB112" s="244">
        <v>2139</v>
      </c>
      <c r="AC112" s="244">
        <v>2139</v>
      </c>
      <c r="AD112" s="244">
        <v>2561</v>
      </c>
    </row>
    <row r="113" spans="1:30">
      <c r="A113" s="27">
        <v>44469</v>
      </c>
      <c r="B113" s="773" t="s">
        <v>140</v>
      </c>
      <c r="C113" s="773">
        <v>585</v>
      </c>
      <c r="D113" s="773">
        <v>1717</v>
      </c>
      <c r="E113" s="773" t="str">
        <f t="shared" si="5"/>
        <v>N</v>
      </c>
      <c r="S113" s="27">
        <v>44104</v>
      </c>
      <c r="T113" s="773" t="s">
        <v>132</v>
      </c>
      <c r="U113" s="773">
        <v>296</v>
      </c>
      <c r="V113" s="773">
        <v>1610</v>
      </c>
      <c r="W113" s="773" t="str">
        <f t="shared" si="6"/>
        <v>N</v>
      </c>
      <c r="AA113" s="907">
        <v>710</v>
      </c>
      <c r="AB113" s="244">
        <v>947</v>
      </c>
      <c r="AC113" s="244">
        <v>947</v>
      </c>
      <c r="AD113" s="244">
        <v>1230</v>
      </c>
    </row>
    <row r="114" spans="1:30">
      <c r="A114" s="27">
        <v>44469</v>
      </c>
      <c r="B114" s="773" t="s">
        <v>140</v>
      </c>
      <c r="C114" s="773">
        <v>587</v>
      </c>
      <c r="D114" s="773">
        <v>1</v>
      </c>
      <c r="E114" s="773" t="str">
        <f t="shared" si="5"/>
        <v>O</v>
      </c>
      <c r="S114" s="27">
        <v>44104</v>
      </c>
      <c r="T114" s="773" t="s">
        <v>132</v>
      </c>
      <c r="U114" s="773">
        <v>299</v>
      </c>
      <c r="V114" s="773">
        <v>1</v>
      </c>
      <c r="W114" s="773" t="str">
        <f t="shared" si="6"/>
        <v>O</v>
      </c>
      <c r="AA114" s="907">
        <v>716</v>
      </c>
      <c r="AB114" s="244">
        <v>360</v>
      </c>
      <c r="AC114" s="244">
        <v>360</v>
      </c>
      <c r="AD114" s="244">
        <v>285</v>
      </c>
    </row>
    <row r="115" spans="1:30">
      <c r="A115" s="27">
        <v>44469</v>
      </c>
      <c r="B115" s="773" t="s">
        <v>140</v>
      </c>
      <c r="C115" s="773">
        <v>597</v>
      </c>
      <c r="D115" s="773">
        <v>977</v>
      </c>
      <c r="E115" s="773" t="str">
        <f t="shared" si="5"/>
        <v>N</v>
      </c>
      <c r="S115" s="27">
        <v>44104</v>
      </c>
      <c r="T115" s="773" t="s">
        <v>132</v>
      </c>
      <c r="U115" s="773">
        <v>303</v>
      </c>
      <c r="V115" s="773">
        <v>2173</v>
      </c>
      <c r="W115" s="773" t="str">
        <f t="shared" si="6"/>
        <v>N</v>
      </c>
      <c r="AA115" s="907">
        <v>718</v>
      </c>
      <c r="AB115" s="244">
        <v>1484</v>
      </c>
      <c r="AC115" s="244">
        <v>1484</v>
      </c>
      <c r="AD115" s="244">
        <v>1601</v>
      </c>
    </row>
    <row r="116" spans="1:30">
      <c r="A116" s="27">
        <v>44469</v>
      </c>
      <c r="B116" s="773" t="s">
        <v>140</v>
      </c>
      <c r="C116" s="773">
        <v>608</v>
      </c>
      <c r="D116" s="773">
        <v>2146</v>
      </c>
      <c r="E116" s="773" t="str">
        <f t="shared" si="5"/>
        <v>N</v>
      </c>
      <c r="S116" s="27">
        <v>44104</v>
      </c>
      <c r="T116" s="773" t="s">
        <v>132</v>
      </c>
      <c r="U116" s="773">
        <v>304</v>
      </c>
      <c r="V116" s="773">
        <v>75</v>
      </c>
      <c r="W116" s="773" t="str">
        <f t="shared" si="6"/>
        <v>O</v>
      </c>
      <c r="AA116" s="907">
        <v>720</v>
      </c>
      <c r="AB116" s="244">
        <v>2924</v>
      </c>
      <c r="AC116" s="244">
        <v>2924</v>
      </c>
      <c r="AD116" s="244">
        <v>2861</v>
      </c>
    </row>
    <row r="117" spans="1:30">
      <c r="A117" s="27">
        <v>44469</v>
      </c>
      <c r="B117" s="773" t="s">
        <v>140</v>
      </c>
      <c r="C117" s="773">
        <v>610</v>
      </c>
      <c r="D117" s="773">
        <v>1956</v>
      </c>
      <c r="E117" s="773" t="str">
        <f t="shared" si="5"/>
        <v>N</v>
      </c>
      <c r="S117" s="27">
        <v>44104</v>
      </c>
      <c r="T117" s="773" t="s">
        <v>132</v>
      </c>
      <c r="U117" s="773">
        <v>305</v>
      </c>
      <c r="V117" s="773">
        <v>190</v>
      </c>
      <c r="W117" s="773" t="str">
        <f t="shared" si="6"/>
        <v>N</v>
      </c>
      <c r="AA117" s="907">
        <v>723</v>
      </c>
      <c r="AB117" s="244">
        <v>2196</v>
      </c>
      <c r="AC117" s="244">
        <v>2196</v>
      </c>
      <c r="AD117" s="244">
        <v>2227</v>
      </c>
    </row>
    <row r="118" spans="1:30">
      <c r="A118" s="27">
        <v>44469</v>
      </c>
      <c r="B118" s="773" t="s">
        <v>140</v>
      </c>
      <c r="C118" s="773">
        <v>626</v>
      </c>
      <c r="D118" s="773">
        <v>1786</v>
      </c>
      <c r="E118" s="773" t="str">
        <f t="shared" si="5"/>
        <v>N</v>
      </c>
      <c r="S118" s="27">
        <v>44104</v>
      </c>
      <c r="T118" s="773" t="s">
        <v>132</v>
      </c>
      <c r="U118" s="773">
        <v>308</v>
      </c>
      <c r="V118" s="773">
        <v>387</v>
      </c>
      <c r="W118" s="773" t="str">
        <f t="shared" si="6"/>
        <v>N</v>
      </c>
      <c r="AA118" s="907">
        <v>724</v>
      </c>
      <c r="AB118" s="244">
        <v>2453</v>
      </c>
      <c r="AC118" s="244">
        <v>2453</v>
      </c>
      <c r="AD118" s="244">
        <v>2489</v>
      </c>
    </row>
    <row r="119" spans="1:30">
      <c r="A119" s="27">
        <v>44469</v>
      </c>
      <c r="B119" s="773" t="s">
        <v>140</v>
      </c>
      <c r="C119" s="773">
        <v>628</v>
      </c>
      <c r="D119" s="773">
        <v>1332</v>
      </c>
      <c r="E119" s="773" t="str">
        <f t="shared" si="5"/>
        <v>N</v>
      </c>
      <c r="S119" s="27">
        <v>44104</v>
      </c>
      <c r="T119" s="773" t="s">
        <v>132</v>
      </c>
      <c r="U119" s="773">
        <v>311</v>
      </c>
      <c r="V119" s="773">
        <v>1483</v>
      </c>
      <c r="W119" s="773" t="str">
        <f t="shared" si="6"/>
        <v>N</v>
      </c>
      <c r="AA119" s="907">
        <v>725</v>
      </c>
      <c r="AB119" s="244">
        <v>193</v>
      </c>
      <c r="AC119" s="244">
        <v>193</v>
      </c>
      <c r="AD119" s="244">
        <v>449</v>
      </c>
    </row>
    <row r="120" spans="1:30">
      <c r="A120" s="27">
        <v>44469</v>
      </c>
      <c r="B120" s="773" t="s">
        <v>140</v>
      </c>
      <c r="C120" s="773">
        <v>630</v>
      </c>
      <c r="D120" s="773">
        <v>1</v>
      </c>
      <c r="E120" s="773" t="str">
        <f t="shared" si="5"/>
        <v>O</v>
      </c>
      <c r="S120" s="27">
        <v>44104</v>
      </c>
      <c r="T120" s="773" t="s">
        <v>132</v>
      </c>
      <c r="U120" s="773">
        <v>342</v>
      </c>
      <c r="V120" s="773">
        <v>1534</v>
      </c>
      <c r="W120" s="773" t="str">
        <f t="shared" si="6"/>
        <v>N</v>
      </c>
      <c r="AA120" s="907">
        <v>726</v>
      </c>
      <c r="AB120" s="244"/>
      <c r="AC120" s="244"/>
      <c r="AD120" s="244">
        <v>1429</v>
      </c>
    </row>
    <row r="121" spans="1:30">
      <c r="A121" s="27">
        <v>44469</v>
      </c>
      <c r="B121" s="773" t="s">
        <v>140</v>
      </c>
      <c r="C121" s="773">
        <v>639</v>
      </c>
      <c r="D121" s="773">
        <v>43</v>
      </c>
      <c r="E121" s="773" t="str">
        <f t="shared" si="5"/>
        <v>O</v>
      </c>
      <c r="S121" s="27">
        <v>44104</v>
      </c>
      <c r="T121" s="773" t="s">
        <v>132</v>
      </c>
      <c r="U121" s="773">
        <v>367</v>
      </c>
      <c r="V121" s="773">
        <v>6</v>
      </c>
      <c r="W121" s="773" t="str">
        <f t="shared" si="6"/>
        <v>O</v>
      </c>
      <c r="AA121" s="907">
        <v>727</v>
      </c>
      <c r="AB121" s="244">
        <v>3659</v>
      </c>
      <c r="AC121" s="244">
        <v>3659</v>
      </c>
      <c r="AD121" s="244">
        <v>3492</v>
      </c>
    </row>
    <row r="122" spans="1:30">
      <c r="A122" s="27">
        <v>44469</v>
      </c>
      <c r="B122" s="773" t="s">
        <v>140</v>
      </c>
      <c r="C122" s="773">
        <v>640</v>
      </c>
      <c r="D122" s="773">
        <v>2078</v>
      </c>
      <c r="E122" s="773" t="str">
        <f t="shared" si="5"/>
        <v>N</v>
      </c>
      <c r="S122" s="27">
        <v>44104</v>
      </c>
      <c r="T122" s="773" t="s">
        <v>132</v>
      </c>
      <c r="U122" s="773">
        <v>528</v>
      </c>
      <c r="V122" s="773">
        <v>19</v>
      </c>
      <c r="W122" s="773" t="str">
        <f t="shared" si="6"/>
        <v>O</v>
      </c>
      <c r="AA122" s="907">
        <v>728</v>
      </c>
      <c r="AB122" s="244"/>
      <c r="AC122" s="244"/>
      <c r="AD122" s="244">
        <v>1351</v>
      </c>
    </row>
    <row r="123" spans="1:30">
      <c r="A123" s="27">
        <v>44469</v>
      </c>
      <c r="B123" s="773" t="s">
        <v>140</v>
      </c>
      <c r="C123" s="773">
        <v>648</v>
      </c>
      <c r="D123" s="773">
        <v>1189</v>
      </c>
      <c r="E123" s="773" t="str">
        <f t="shared" si="5"/>
        <v>N</v>
      </c>
      <c r="S123" s="27">
        <v>44104</v>
      </c>
      <c r="T123" s="773" t="s">
        <v>132</v>
      </c>
      <c r="U123" s="773">
        <v>621</v>
      </c>
      <c r="V123" s="773">
        <v>154</v>
      </c>
      <c r="W123" s="773" t="str">
        <f t="shared" si="6"/>
        <v>N</v>
      </c>
      <c r="AA123" s="907">
        <v>729</v>
      </c>
      <c r="AB123" s="244"/>
      <c r="AC123" s="244"/>
      <c r="AD123" s="244">
        <v>176</v>
      </c>
    </row>
    <row r="124" spans="1:30">
      <c r="A124" s="27">
        <v>44469</v>
      </c>
      <c r="B124" s="773" t="s">
        <v>140</v>
      </c>
      <c r="C124" s="773">
        <v>659</v>
      </c>
      <c r="D124" s="773">
        <v>512</v>
      </c>
      <c r="E124" s="773" t="str">
        <f t="shared" si="5"/>
        <v>N</v>
      </c>
      <c r="S124" s="27">
        <v>44104</v>
      </c>
      <c r="T124" s="773" t="s">
        <v>132</v>
      </c>
      <c r="U124" s="773">
        <v>636</v>
      </c>
      <c r="V124" s="773">
        <v>3</v>
      </c>
      <c r="W124" s="773" t="str">
        <f t="shared" si="6"/>
        <v>O</v>
      </c>
      <c r="AA124" s="907">
        <v>732</v>
      </c>
      <c r="AB124" s="244">
        <v>3419</v>
      </c>
      <c r="AC124" s="244">
        <v>3419</v>
      </c>
      <c r="AD124" s="244">
        <v>3458</v>
      </c>
    </row>
    <row r="125" spans="1:30">
      <c r="A125" s="27">
        <v>44469</v>
      </c>
      <c r="B125" s="773" t="s">
        <v>140</v>
      </c>
      <c r="C125" s="773">
        <v>674</v>
      </c>
      <c r="D125" s="773">
        <v>1286</v>
      </c>
      <c r="E125" s="773" t="str">
        <f t="shared" si="5"/>
        <v>N</v>
      </c>
      <c r="S125" s="27">
        <v>44104</v>
      </c>
      <c r="T125" s="773" t="s">
        <v>132</v>
      </c>
      <c r="U125" s="773">
        <v>641</v>
      </c>
      <c r="V125" s="773">
        <v>458</v>
      </c>
      <c r="W125" s="773" t="str">
        <f t="shared" si="6"/>
        <v>N</v>
      </c>
      <c r="AA125" s="907">
        <v>735</v>
      </c>
      <c r="AB125" s="244">
        <v>2679</v>
      </c>
      <c r="AC125" s="244">
        <v>2679</v>
      </c>
      <c r="AD125" s="244">
        <v>2804</v>
      </c>
    </row>
    <row r="126" spans="1:30">
      <c r="A126" s="27">
        <v>44469</v>
      </c>
      <c r="B126" s="773" t="s">
        <v>140</v>
      </c>
      <c r="C126" s="773">
        <v>678</v>
      </c>
      <c r="D126" s="773">
        <v>2065</v>
      </c>
      <c r="E126" s="773" t="str">
        <f t="shared" si="5"/>
        <v>N</v>
      </c>
      <c r="S126" s="27">
        <v>44104</v>
      </c>
      <c r="T126" s="773" t="s">
        <v>132</v>
      </c>
      <c r="U126" s="773">
        <v>645</v>
      </c>
      <c r="V126" s="773">
        <v>1177</v>
      </c>
      <c r="W126" s="773" t="str">
        <f t="shared" si="6"/>
        <v>N</v>
      </c>
      <c r="AA126" s="907">
        <v>736</v>
      </c>
      <c r="AB126" s="244">
        <v>3129</v>
      </c>
      <c r="AC126" s="244">
        <v>3129</v>
      </c>
      <c r="AD126" s="244">
        <v>3528</v>
      </c>
    </row>
    <row r="127" spans="1:30">
      <c r="A127" s="27">
        <v>44469</v>
      </c>
      <c r="B127" s="773" t="s">
        <v>140</v>
      </c>
      <c r="C127" s="773">
        <v>691</v>
      </c>
      <c r="D127" s="773">
        <v>6</v>
      </c>
      <c r="E127" s="773" t="str">
        <f t="shared" si="5"/>
        <v>O</v>
      </c>
      <c r="S127" s="27">
        <v>44104</v>
      </c>
      <c r="T127" s="773" t="s">
        <v>132</v>
      </c>
      <c r="U127" s="773">
        <v>650</v>
      </c>
      <c r="V127" s="773">
        <v>20</v>
      </c>
      <c r="W127" s="773" t="str">
        <f t="shared" si="6"/>
        <v>O</v>
      </c>
      <c r="AA127" s="907">
        <v>737</v>
      </c>
      <c r="AB127" s="244">
        <v>1808</v>
      </c>
      <c r="AC127" s="244">
        <v>1808</v>
      </c>
      <c r="AD127" s="244">
        <v>2125</v>
      </c>
    </row>
    <row r="128" spans="1:30">
      <c r="A128" s="27">
        <v>44469</v>
      </c>
      <c r="B128" s="773" t="s">
        <v>140</v>
      </c>
      <c r="C128" s="773">
        <v>710</v>
      </c>
      <c r="D128" s="773">
        <v>1843</v>
      </c>
      <c r="E128" s="773" t="str">
        <f t="shared" si="5"/>
        <v>N</v>
      </c>
      <c r="S128" s="27">
        <v>44104</v>
      </c>
      <c r="T128" s="773" t="s">
        <v>132</v>
      </c>
      <c r="U128" s="773">
        <v>651</v>
      </c>
      <c r="V128" s="773">
        <v>29</v>
      </c>
      <c r="W128" s="773" t="str">
        <f t="shared" si="6"/>
        <v>O</v>
      </c>
      <c r="AA128" s="907">
        <v>739</v>
      </c>
      <c r="AB128" s="244">
        <v>104</v>
      </c>
      <c r="AC128" s="244">
        <v>104</v>
      </c>
      <c r="AD128" s="244">
        <v>2139</v>
      </c>
    </row>
    <row r="129" spans="1:30">
      <c r="A129" s="27">
        <v>44469</v>
      </c>
      <c r="B129" s="773" t="s">
        <v>140</v>
      </c>
      <c r="C129" s="773">
        <v>719</v>
      </c>
      <c r="D129" s="773">
        <v>2</v>
      </c>
      <c r="E129" s="773" t="str">
        <f t="shared" si="5"/>
        <v>O</v>
      </c>
      <c r="S129" s="27">
        <v>44104</v>
      </c>
      <c r="T129" s="773" t="s">
        <v>132</v>
      </c>
      <c r="U129" s="773">
        <v>652</v>
      </c>
      <c r="V129" s="773">
        <v>2248</v>
      </c>
      <c r="W129" s="773" t="str">
        <f t="shared" si="6"/>
        <v>N</v>
      </c>
      <c r="AA129" s="907">
        <v>740</v>
      </c>
      <c r="AB129" s="244"/>
      <c r="AC129" s="244"/>
      <c r="AD129" s="244">
        <v>737</v>
      </c>
    </row>
    <row r="130" spans="1:30">
      <c r="A130" s="27">
        <v>44469</v>
      </c>
      <c r="B130" s="773" t="s">
        <v>140</v>
      </c>
      <c r="C130" s="773">
        <v>722</v>
      </c>
      <c r="D130" s="773">
        <v>177</v>
      </c>
      <c r="E130" s="773" t="str">
        <f t="shared" si="5"/>
        <v>N</v>
      </c>
      <c r="S130" s="27">
        <v>44104</v>
      </c>
      <c r="T130" s="773" t="s">
        <v>132</v>
      </c>
      <c r="U130" s="773">
        <v>653</v>
      </c>
      <c r="V130" s="773">
        <v>1766</v>
      </c>
      <c r="W130" s="773" t="str">
        <f t="shared" si="6"/>
        <v>N</v>
      </c>
      <c r="AA130" s="907">
        <v>741</v>
      </c>
      <c r="AB130" s="244">
        <v>2818</v>
      </c>
      <c r="AC130" s="244">
        <v>2818</v>
      </c>
      <c r="AD130" s="244">
        <v>2836</v>
      </c>
    </row>
    <row r="131" spans="1:30">
      <c r="A131" s="27">
        <v>44469</v>
      </c>
      <c r="B131" s="773" t="s">
        <v>140</v>
      </c>
      <c r="C131" s="773">
        <v>732</v>
      </c>
      <c r="D131" s="773">
        <v>5</v>
      </c>
      <c r="E131" s="773" t="str">
        <f t="shared" ref="E131:E194" si="7">+IF(D131&lt;100,"O","N")</f>
        <v>O</v>
      </c>
      <c r="S131" s="27">
        <v>44104</v>
      </c>
      <c r="T131" s="773" t="s">
        <v>132</v>
      </c>
      <c r="U131" s="773">
        <v>654</v>
      </c>
      <c r="V131" s="773">
        <v>1778</v>
      </c>
      <c r="W131" s="773" t="str">
        <f t="shared" ref="W131:W194" si="8">+IF(V131&lt;100,"O","N")</f>
        <v>N</v>
      </c>
      <c r="AA131" s="907">
        <v>748</v>
      </c>
      <c r="AB131" s="244"/>
      <c r="AC131" s="244"/>
      <c r="AD131" s="244">
        <v>686</v>
      </c>
    </row>
    <row r="132" spans="1:30">
      <c r="A132" s="27">
        <v>44469</v>
      </c>
      <c r="B132" s="773" t="s">
        <v>140</v>
      </c>
      <c r="C132" s="773">
        <v>739</v>
      </c>
      <c r="D132" s="773">
        <v>2</v>
      </c>
      <c r="E132" s="773" t="str">
        <f t="shared" si="7"/>
        <v>O</v>
      </c>
      <c r="S132" s="27">
        <v>44104</v>
      </c>
      <c r="T132" s="773" t="s">
        <v>132</v>
      </c>
      <c r="U132" s="773">
        <v>656</v>
      </c>
      <c r="V132" s="773">
        <v>1</v>
      </c>
      <c r="W132" s="773" t="str">
        <f t="shared" si="8"/>
        <v>O</v>
      </c>
      <c r="AA132" s="907">
        <v>750</v>
      </c>
      <c r="AB132" s="244"/>
      <c r="AC132" s="244"/>
      <c r="AD132" s="244">
        <v>2044</v>
      </c>
    </row>
    <row r="133" spans="1:30">
      <c r="A133" s="27">
        <v>44469</v>
      </c>
      <c r="B133" s="773" t="s">
        <v>140</v>
      </c>
      <c r="C133" s="773">
        <v>740</v>
      </c>
      <c r="D133" s="773">
        <v>28</v>
      </c>
      <c r="E133" s="773" t="str">
        <f t="shared" si="7"/>
        <v>O</v>
      </c>
      <c r="S133" s="27">
        <v>44104</v>
      </c>
      <c r="T133" s="773" t="s">
        <v>132</v>
      </c>
      <c r="U133" s="773">
        <v>658</v>
      </c>
      <c r="V133" s="773">
        <v>1870</v>
      </c>
      <c r="W133" s="773" t="str">
        <f t="shared" si="8"/>
        <v>N</v>
      </c>
      <c r="AA133" s="907">
        <v>769</v>
      </c>
      <c r="AB133" s="244"/>
      <c r="AC133" s="244"/>
      <c r="AD133" s="244">
        <v>1664</v>
      </c>
    </row>
    <row r="134" spans="1:30">
      <c r="A134" s="27">
        <v>44469</v>
      </c>
      <c r="B134" s="773" t="s">
        <v>140</v>
      </c>
      <c r="C134" s="773">
        <v>760</v>
      </c>
      <c r="D134" s="773">
        <v>22</v>
      </c>
      <c r="E134" s="773" t="str">
        <f t="shared" si="7"/>
        <v>O</v>
      </c>
      <c r="S134" s="27">
        <v>44104</v>
      </c>
      <c r="T134" s="773" t="s">
        <v>132</v>
      </c>
      <c r="U134" s="773">
        <v>660</v>
      </c>
      <c r="V134" s="773">
        <v>3</v>
      </c>
      <c r="W134" s="773" t="str">
        <f t="shared" si="8"/>
        <v>O</v>
      </c>
      <c r="AA134" s="907">
        <v>779</v>
      </c>
      <c r="AB134" s="244"/>
      <c r="AC134" s="244"/>
      <c r="AD134" s="244">
        <v>2061</v>
      </c>
    </row>
    <row r="135" spans="1:30">
      <c r="A135" s="27">
        <v>44500</v>
      </c>
      <c r="B135" s="773" t="s">
        <v>140</v>
      </c>
      <c r="C135" s="773">
        <v>678</v>
      </c>
      <c r="D135" s="773">
        <v>2305</v>
      </c>
      <c r="E135" s="773" t="str">
        <f t="shared" si="7"/>
        <v>N</v>
      </c>
      <c r="S135" s="27">
        <v>44104</v>
      </c>
      <c r="T135" s="773" t="s">
        <v>132</v>
      </c>
      <c r="U135" s="773">
        <v>662</v>
      </c>
      <c r="V135" s="773">
        <v>1520</v>
      </c>
      <c r="W135" s="773" t="str">
        <f t="shared" si="8"/>
        <v>N</v>
      </c>
      <c r="AA135" s="907">
        <v>790</v>
      </c>
      <c r="AB135" s="244"/>
      <c r="AC135" s="244"/>
      <c r="AD135" s="244">
        <v>784</v>
      </c>
    </row>
    <row r="136" spans="1:30">
      <c r="A136" s="27">
        <v>44500</v>
      </c>
      <c r="B136" s="773" t="s">
        <v>140</v>
      </c>
      <c r="C136" s="773">
        <v>739</v>
      </c>
      <c r="D136" s="773">
        <v>1</v>
      </c>
      <c r="E136" s="773" t="str">
        <f t="shared" si="7"/>
        <v>O</v>
      </c>
      <c r="S136" s="27">
        <v>44104</v>
      </c>
      <c r="T136" s="773" t="s">
        <v>132</v>
      </c>
      <c r="U136" s="773">
        <v>663</v>
      </c>
      <c r="V136" s="773">
        <v>908</v>
      </c>
      <c r="W136" s="773" t="str">
        <f t="shared" si="8"/>
        <v>N</v>
      </c>
      <c r="AA136" s="907">
        <v>791</v>
      </c>
      <c r="AB136" s="244"/>
      <c r="AC136" s="244"/>
      <c r="AD136" s="244">
        <v>3096</v>
      </c>
    </row>
    <row r="137" spans="1:30">
      <c r="A137" s="27">
        <v>44500</v>
      </c>
      <c r="B137" s="773" t="s">
        <v>140</v>
      </c>
      <c r="C137" s="773">
        <v>630</v>
      </c>
      <c r="D137" s="773">
        <v>1</v>
      </c>
      <c r="E137" s="773" t="str">
        <f t="shared" si="7"/>
        <v>O</v>
      </c>
      <c r="S137" s="27">
        <v>44104</v>
      </c>
      <c r="T137" s="773" t="s">
        <v>132</v>
      </c>
      <c r="U137" s="773">
        <v>664</v>
      </c>
      <c r="V137" s="773">
        <v>1590</v>
      </c>
      <c r="W137" s="773" t="str">
        <f t="shared" si="8"/>
        <v>N</v>
      </c>
      <c r="AA137" s="907">
        <v>792</v>
      </c>
      <c r="AB137" s="244"/>
      <c r="AC137" s="244"/>
      <c r="AD137" s="244">
        <v>690</v>
      </c>
    </row>
    <row r="138" spans="1:30">
      <c r="A138" s="27">
        <v>44135</v>
      </c>
      <c r="B138" s="773" t="s">
        <v>140</v>
      </c>
      <c r="C138" s="773">
        <v>705</v>
      </c>
      <c r="D138" s="773">
        <v>1</v>
      </c>
      <c r="E138" s="773" t="str">
        <f t="shared" si="7"/>
        <v>O</v>
      </c>
      <c r="S138" s="27">
        <v>44104</v>
      </c>
      <c r="T138" s="773" t="s">
        <v>132</v>
      </c>
      <c r="U138" s="773">
        <v>665</v>
      </c>
      <c r="V138" s="773">
        <v>1683</v>
      </c>
      <c r="W138" s="773" t="str">
        <f t="shared" si="8"/>
        <v>N</v>
      </c>
      <c r="AA138" s="907">
        <v>793</v>
      </c>
      <c r="AB138" s="244"/>
      <c r="AC138" s="244"/>
      <c r="AD138" s="244">
        <v>247</v>
      </c>
    </row>
    <row r="139" spans="1:30">
      <c r="A139" s="27">
        <v>44500</v>
      </c>
      <c r="B139" s="773" t="s">
        <v>140</v>
      </c>
      <c r="C139" s="773">
        <v>493</v>
      </c>
      <c r="D139" s="773">
        <v>7</v>
      </c>
      <c r="E139" s="773" t="str">
        <f t="shared" si="7"/>
        <v>O</v>
      </c>
      <c r="S139" s="27">
        <v>44104</v>
      </c>
      <c r="T139" s="773" t="s">
        <v>132</v>
      </c>
      <c r="U139" s="773">
        <v>666</v>
      </c>
      <c r="V139" s="773">
        <v>973</v>
      </c>
      <c r="W139" s="773" t="str">
        <f t="shared" si="8"/>
        <v>N</v>
      </c>
      <c r="AA139" s="907">
        <v>797</v>
      </c>
      <c r="AB139" s="244"/>
      <c r="AC139" s="244"/>
      <c r="AD139" s="244">
        <v>3096</v>
      </c>
    </row>
    <row r="140" spans="1:30">
      <c r="A140" s="27">
        <v>44500</v>
      </c>
      <c r="B140" s="773" t="s">
        <v>140</v>
      </c>
      <c r="C140" s="773">
        <v>0</v>
      </c>
      <c r="D140" s="773">
        <v>8</v>
      </c>
      <c r="E140" s="773" t="str">
        <f t="shared" si="7"/>
        <v>O</v>
      </c>
      <c r="S140" s="27">
        <v>44104</v>
      </c>
      <c r="T140" s="773" t="s">
        <v>132</v>
      </c>
      <c r="U140" s="773">
        <v>668</v>
      </c>
      <c r="V140" s="773">
        <v>2594</v>
      </c>
      <c r="W140" s="773" t="str">
        <f t="shared" si="8"/>
        <v>N</v>
      </c>
      <c r="AA140" s="907">
        <v>798</v>
      </c>
      <c r="AB140" s="244"/>
      <c r="AC140" s="244"/>
      <c r="AD140" s="244">
        <v>2862</v>
      </c>
    </row>
    <row r="141" spans="1:30">
      <c r="A141" s="27">
        <v>44500</v>
      </c>
      <c r="B141" s="773" t="s">
        <v>140</v>
      </c>
      <c r="C141" s="773">
        <v>582</v>
      </c>
      <c r="D141" s="773">
        <v>2248</v>
      </c>
      <c r="E141" s="773" t="str">
        <f t="shared" si="7"/>
        <v>N</v>
      </c>
      <c r="S141" s="27">
        <v>44104</v>
      </c>
      <c r="T141" s="773" t="s">
        <v>132</v>
      </c>
      <c r="U141" s="773">
        <v>669</v>
      </c>
      <c r="V141" s="773">
        <v>1355</v>
      </c>
      <c r="W141" s="773" t="str">
        <f t="shared" si="8"/>
        <v>N</v>
      </c>
      <c r="AA141" s="907">
        <v>799</v>
      </c>
      <c r="AB141" s="244"/>
      <c r="AC141" s="244"/>
      <c r="AD141" s="244">
        <v>115</v>
      </c>
    </row>
    <row r="142" spans="1:30">
      <c r="A142" s="27">
        <v>44135</v>
      </c>
      <c r="B142" s="773" t="s">
        <v>140</v>
      </c>
      <c r="C142" s="773">
        <v>674</v>
      </c>
      <c r="D142" s="773">
        <v>1508</v>
      </c>
      <c r="E142" s="773" t="str">
        <f t="shared" si="7"/>
        <v>N</v>
      </c>
      <c r="S142" s="27">
        <v>44104</v>
      </c>
      <c r="T142" s="773" t="s">
        <v>132</v>
      </c>
      <c r="U142" s="773">
        <v>670</v>
      </c>
      <c r="V142" s="773">
        <v>1628</v>
      </c>
      <c r="W142" s="773" t="str">
        <f t="shared" si="8"/>
        <v>N</v>
      </c>
      <c r="AA142" s="907">
        <v>801</v>
      </c>
      <c r="AB142" s="244"/>
      <c r="AC142" s="244"/>
      <c r="AD142" s="244">
        <v>383</v>
      </c>
    </row>
    <row r="143" spans="1:30">
      <c r="A143" s="27">
        <v>44135</v>
      </c>
      <c r="B143" s="773" t="s">
        <v>140</v>
      </c>
      <c r="C143" s="773">
        <v>574</v>
      </c>
      <c r="D143" s="773">
        <v>1515</v>
      </c>
      <c r="E143" s="773" t="str">
        <f t="shared" si="7"/>
        <v>N</v>
      </c>
      <c r="S143" s="27">
        <v>44104</v>
      </c>
      <c r="T143" s="773" t="s">
        <v>132</v>
      </c>
      <c r="U143" s="773">
        <v>671</v>
      </c>
      <c r="V143" s="773">
        <v>1502</v>
      </c>
      <c r="W143" s="773" t="str">
        <f t="shared" si="8"/>
        <v>N</v>
      </c>
      <c r="AA143" s="907">
        <v>803</v>
      </c>
      <c r="AB143" s="244"/>
      <c r="AC143" s="244"/>
      <c r="AD143" s="244">
        <v>114</v>
      </c>
    </row>
    <row r="144" spans="1:30">
      <c r="A144" s="27">
        <v>44500</v>
      </c>
      <c r="B144" s="773" t="s">
        <v>140</v>
      </c>
      <c r="C144" s="773">
        <v>648</v>
      </c>
      <c r="D144" s="773">
        <v>1352</v>
      </c>
      <c r="E144" s="773" t="str">
        <f t="shared" si="7"/>
        <v>N</v>
      </c>
      <c r="S144" s="27">
        <v>44104</v>
      </c>
      <c r="T144" s="773" t="s">
        <v>132</v>
      </c>
      <c r="U144" s="773">
        <v>672</v>
      </c>
      <c r="V144" s="773">
        <v>1252</v>
      </c>
      <c r="W144" s="773" t="str">
        <f t="shared" si="8"/>
        <v>N</v>
      </c>
      <c r="AA144" s="907">
        <v>804</v>
      </c>
      <c r="AB144" s="244"/>
      <c r="AC144" s="244"/>
      <c r="AD144" s="244">
        <v>2116</v>
      </c>
    </row>
    <row r="145" spans="1:30">
      <c r="A145" s="27">
        <v>44135</v>
      </c>
      <c r="B145" s="773" t="s">
        <v>140</v>
      </c>
      <c r="C145" s="773">
        <v>739</v>
      </c>
      <c r="D145" s="773">
        <v>3</v>
      </c>
      <c r="E145" s="773" t="str">
        <f t="shared" si="7"/>
        <v>O</v>
      </c>
      <c r="S145" s="27">
        <v>44104</v>
      </c>
      <c r="T145" s="773" t="s">
        <v>132</v>
      </c>
      <c r="U145" s="773">
        <v>674</v>
      </c>
      <c r="V145" s="773">
        <v>1636</v>
      </c>
      <c r="W145" s="773" t="str">
        <f t="shared" si="8"/>
        <v>N</v>
      </c>
      <c r="AA145" s="907">
        <v>809</v>
      </c>
      <c r="AB145" s="244"/>
      <c r="AC145" s="244"/>
      <c r="AD145" s="244">
        <v>129</v>
      </c>
    </row>
    <row r="146" spans="1:30">
      <c r="A146" s="27">
        <v>44500</v>
      </c>
      <c r="B146" s="773" t="s">
        <v>140</v>
      </c>
      <c r="C146" s="773">
        <v>338</v>
      </c>
      <c r="D146" s="773">
        <v>2392</v>
      </c>
      <c r="E146" s="773" t="str">
        <f t="shared" si="7"/>
        <v>N</v>
      </c>
      <c r="S146" s="27">
        <v>44104</v>
      </c>
      <c r="T146" s="773" t="s">
        <v>132</v>
      </c>
      <c r="U146" s="773">
        <v>678</v>
      </c>
      <c r="V146" s="773">
        <v>1520</v>
      </c>
      <c r="W146" s="773" t="str">
        <f t="shared" si="8"/>
        <v>N</v>
      </c>
      <c r="AA146" s="907">
        <v>812</v>
      </c>
      <c r="AB146" s="244"/>
      <c r="AC146" s="244"/>
      <c r="AD146" s="244">
        <v>3371</v>
      </c>
    </row>
    <row r="147" spans="1:30">
      <c r="A147" s="27">
        <v>44135</v>
      </c>
      <c r="B147" s="773" t="s">
        <v>140</v>
      </c>
      <c r="C147" s="773">
        <v>279</v>
      </c>
      <c r="D147" s="773">
        <v>1</v>
      </c>
      <c r="E147" s="773" t="str">
        <f t="shared" si="7"/>
        <v>O</v>
      </c>
      <c r="S147" s="27">
        <v>44104</v>
      </c>
      <c r="T147" s="773" t="s">
        <v>132</v>
      </c>
      <c r="U147" s="773">
        <v>679</v>
      </c>
      <c r="V147" s="773">
        <v>2208</v>
      </c>
      <c r="W147" s="773" t="str">
        <f t="shared" si="8"/>
        <v>N</v>
      </c>
      <c r="AA147" s="907">
        <v>814</v>
      </c>
      <c r="AB147" s="244"/>
      <c r="AC147" s="244"/>
      <c r="AD147" s="244">
        <v>3315</v>
      </c>
    </row>
    <row r="148" spans="1:30">
      <c r="A148" s="27">
        <v>44500</v>
      </c>
      <c r="B148" s="773" t="s">
        <v>140</v>
      </c>
      <c r="C148" s="773">
        <v>248</v>
      </c>
      <c r="D148" s="773">
        <v>454</v>
      </c>
      <c r="E148" s="773" t="str">
        <f t="shared" si="7"/>
        <v>N</v>
      </c>
      <c r="S148" s="27">
        <v>44104</v>
      </c>
      <c r="T148" s="773" t="s">
        <v>132</v>
      </c>
      <c r="U148" s="773">
        <v>680</v>
      </c>
      <c r="V148" s="773">
        <v>989</v>
      </c>
      <c r="W148" s="773" t="str">
        <f t="shared" si="8"/>
        <v>N</v>
      </c>
      <c r="AA148" s="907">
        <v>817</v>
      </c>
      <c r="AB148" s="244"/>
      <c r="AC148" s="244"/>
      <c r="AD148" s="244">
        <v>2397</v>
      </c>
    </row>
    <row r="149" spans="1:30">
      <c r="A149" s="27">
        <v>44135</v>
      </c>
      <c r="B149" s="773" t="s">
        <v>140</v>
      </c>
      <c r="C149" s="773">
        <v>640</v>
      </c>
      <c r="D149" s="773">
        <v>3499</v>
      </c>
      <c r="E149" s="773" t="str">
        <f t="shared" si="7"/>
        <v>N</v>
      </c>
      <c r="S149" s="27">
        <v>44104</v>
      </c>
      <c r="T149" s="773" t="s">
        <v>132</v>
      </c>
      <c r="U149" s="773">
        <v>681</v>
      </c>
      <c r="V149" s="773">
        <v>711</v>
      </c>
      <c r="W149" s="773" t="str">
        <f t="shared" si="8"/>
        <v>N</v>
      </c>
      <c r="AA149" s="907">
        <v>819</v>
      </c>
      <c r="AB149" s="244"/>
      <c r="AC149" s="244"/>
      <c r="AD149" s="244">
        <v>2352</v>
      </c>
    </row>
    <row r="150" spans="1:30">
      <c r="A150" s="27">
        <v>44500</v>
      </c>
      <c r="B150" s="773" t="s">
        <v>140</v>
      </c>
      <c r="C150" s="773">
        <v>705</v>
      </c>
      <c r="D150" s="773">
        <v>1</v>
      </c>
      <c r="E150" s="773" t="str">
        <f t="shared" si="7"/>
        <v>O</v>
      </c>
      <c r="S150" s="27">
        <v>44104</v>
      </c>
      <c r="T150" s="773" t="s">
        <v>132</v>
      </c>
      <c r="U150" s="773">
        <v>684</v>
      </c>
      <c r="V150" s="773">
        <v>1795</v>
      </c>
      <c r="W150" s="773" t="str">
        <f t="shared" si="8"/>
        <v>N</v>
      </c>
      <c r="AA150" s="907">
        <v>828</v>
      </c>
      <c r="AB150" s="244"/>
      <c r="AC150" s="244"/>
      <c r="AD150" s="244">
        <v>3206</v>
      </c>
    </row>
    <row r="151" spans="1:30">
      <c r="A151" s="27">
        <v>44500</v>
      </c>
      <c r="B151" s="773" t="s">
        <v>140</v>
      </c>
      <c r="C151" s="773">
        <v>722</v>
      </c>
      <c r="D151" s="773">
        <v>1863</v>
      </c>
      <c r="E151" s="773" t="str">
        <f t="shared" si="7"/>
        <v>N</v>
      </c>
      <c r="S151" s="27">
        <v>44104</v>
      </c>
      <c r="T151" s="773" t="s">
        <v>132</v>
      </c>
      <c r="U151" s="773">
        <v>686</v>
      </c>
      <c r="V151" s="773">
        <v>1279</v>
      </c>
      <c r="W151" s="773" t="str">
        <f t="shared" si="8"/>
        <v>N</v>
      </c>
      <c r="AA151" s="907">
        <v>829</v>
      </c>
      <c r="AB151" s="244"/>
      <c r="AC151" s="244"/>
      <c r="AD151" s="244">
        <v>2853</v>
      </c>
    </row>
    <row r="152" spans="1:30">
      <c r="A152" s="27">
        <v>44135</v>
      </c>
      <c r="B152" s="773" t="s">
        <v>140</v>
      </c>
      <c r="C152" s="773">
        <v>722</v>
      </c>
      <c r="D152" s="773">
        <v>3002</v>
      </c>
      <c r="E152" s="773" t="str">
        <f t="shared" si="7"/>
        <v>N</v>
      </c>
      <c r="S152" s="27">
        <v>44104</v>
      </c>
      <c r="T152" s="773" t="s">
        <v>132</v>
      </c>
      <c r="U152" s="773">
        <v>687</v>
      </c>
      <c r="V152" s="773">
        <v>353</v>
      </c>
      <c r="W152" s="773" t="str">
        <f t="shared" si="8"/>
        <v>N</v>
      </c>
      <c r="Z152" s="907" t="s">
        <v>474</v>
      </c>
      <c r="AA152" s="907"/>
      <c r="AB152" s="244">
        <v>237797</v>
      </c>
      <c r="AC152" s="244">
        <v>237797</v>
      </c>
      <c r="AD152" s="244">
        <v>235356</v>
      </c>
    </row>
    <row r="153" spans="1:30">
      <c r="A153" s="27">
        <v>44135</v>
      </c>
      <c r="B153" s="773" t="s">
        <v>140</v>
      </c>
      <c r="C153" s="773">
        <v>524</v>
      </c>
      <c r="D153" s="773">
        <v>1212</v>
      </c>
      <c r="E153" s="773" t="str">
        <f t="shared" si="7"/>
        <v>N</v>
      </c>
      <c r="S153" s="27">
        <v>44104</v>
      </c>
      <c r="T153" s="773" t="s">
        <v>132</v>
      </c>
      <c r="U153" s="773">
        <v>688</v>
      </c>
      <c r="V153" s="773">
        <v>2095</v>
      </c>
      <c r="W153" s="773" t="str">
        <f t="shared" si="8"/>
        <v>N</v>
      </c>
      <c r="Z153" s="907" t="s">
        <v>473</v>
      </c>
      <c r="AB153" s="244">
        <v>237797</v>
      </c>
      <c r="AC153" s="244">
        <v>237797</v>
      </c>
      <c r="AD153" s="244">
        <v>235356</v>
      </c>
    </row>
    <row r="154" spans="1:30">
      <c r="A154" s="27">
        <v>44135</v>
      </c>
      <c r="B154" s="773" t="s">
        <v>140</v>
      </c>
      <c r="C154" s="773">
        <v>710</v>
      </c>
      <c r="D154" s="773">
        <v>2913</v>
      </c>
      <c r="E154" s="773" t="str">
        <f t="shared" si="7"/>
        <v>N</v>
      </c>
      <c r="S154" s="27">
        <v>44104</v>
      </c>
      <c r="T154" s="773" t="s">
        <v>132</v>
      </c>
      <c r="U154" s="773">
        <v>691</v>
      </c>
      <c r="V154" s="773">
        <v>1773</v>
      </c>
      <c r="W154" s="773" t="str">
        <f t="shared" si="8"/>
        <v>N</v>
      </c>
    </row>
    <row r="155" spans="1:30">
      <c r="A155" s="27">
        <v>44135</v>
      </c>
      <c r="B155" s="773" t="s">
        <v>140</v>
      </c>
      <c r="C155" s="773">
        <v>510</v>
      </c>
      <c r="D155" s="773">
        <v>914</v>
      </c>
      <c r="E155" s="773" t="str">
        <f t="shared" si="7"/>
        <v>N</v>
      </c>
      <c r="S155" s="27">
        <v>44104</v>
      </c>
      <c r="T155" s="773" t="s">
        <v>132</v>
      </c>
      <c r="U155" s="773">
        <v>696</v>
      </c>
      <c r="V155" s="773">
        <v>4</v>
      </c>
      <c r="W155" s="773" t="str">
        <f t="shared" si="8"/>
        <v>O</v>
      </c>
    </row>
    <row r="156" spans="1:30">
      <c r="A156" s="27">
        <v>44135</v>
      </c>
      <c r="B156" s="773" t="s">
        <v>140</v>
      </c>
      <c r="C156" s="773">
        <v>278</v>
      </c>
      <c r="D156" s="773">
        <v>1</v>
      </c>
      <c r="E156" s="773" t="str">
        <f t="shared" si="7"/>
        <v>O</v>
      </c>
      <c r="S156" s="27">
        <v>44104</v>
      </c>
      <c r="T156" s="773" t="s">
        <v>132</v>
      </c>
      <c r="U156" s="773">
        <v>697</v>
      </c>
      <c r="V156" s="773">
        <v>7</v>
      </c>
      <c r="W156" s="773" t="str">
        <f t="shared" si="8"/>
        <v>O</v>
      </c>
    </row>
    <row r="157" spans="1:30">
      <c r="A157" s="27">
        <v>44135</v>
      </c>
      <c r="B157" s="773" t="s">
        <v>140</v>
      </c>
      <c r="C157" s="773">
        <v>578</v>
      </c>
      <c r="D157" s="773">
        <v>2682</v>
      </c>
      <c r="E157" s="773" t="str">
        <f t="shared" si="7"/>
        <v>N</v>
      </c>
      <c r="S157" s="27">
        <v>44104</v>
      </c>
      <c r="T157" s="773" t="s">
        <v>132</v>
      </c>
      <c r="U157" s="773">
        <v>999</v>
      </c>
      <c r="V157" s="773">
        <v>1</v>
      </c>
      <c r="W157" s="773" t="str">
        <f t="shared" si="8"/>
        <v>O</v>
      </c>
    </row>
    <row r="158" spans="1:30">
      <c r="A158" s="27">
        <v>44135</v>
      </c>
      <c r="B158" s="773" t="s">
        <v>140</v>
      </c>
      <c r="C158" s="773">
        <v>712</v>
      </c>
      <c r="D158" s="773">
        <v>1</v>
      </c>
      <c r="E158" s="773" t="str">
        <f t="shared" si="7"/>
        <v>O</v>
      </c>
      <c r="S158" s="27">
        <v>44196</v>
      </c>
      <c r="T158" s="773" t="s">
        <v>132</v>
      </c>
      <c r="U158" s="773">
        <v>0</v>
      </c>
      <c r="V158" s="773">
        <v>12</v>
      </c>
      <c r="W158" s="773" t="str">
        <f t="shared" si="8"/>
        <v>O</v>
      </c>
    </row>
    <row r="159" spans="1:30">
      <c r="A159" s="27">
        <v>44135</v>
      </c>
      <c r="B159" s="773" t="s">
        <v>140</v>
      </c>
      <c r="C159" s="773">
        <v>601</v>
      </c>
      <c r="D159" s="773">
        <v>6</v>
      </c>
      <c r="E159" s="773" t="str">
        <f t="shared" si="7"/>
        <v>O</v>
      </c>
      <c r="S159" s="27">
        <v>44196</v>
      </c>
      <c r="T159" s="773" t="s">
        <v>132</v>
      </c>
      <c r="U159" s="773">
        <v>1</v>
      </c>
      <c r="V159" s="773">
        <v>1</v>
      </c>
      <c r="W159" s="773" t="str">
        <f t="shared" si="8"/>
        <v>O</v>
      </c>
    </row>
    <row r="160" spans="1:30">
      <c r="A160" s="27">
        <v>44135</v>
      </c>
      <c r="B160" s="773" t="s">
        <v>140</v>
      </c>
      <c r="C160" s="773">
        <v>521</v>
      </c>
      <c r="D160" s="773">
        <v>15</v>
      </c>
      <c r="E160" s="773" t="str">
        <f t="shared" si="7"/>
        <v>O</v>
      </c>
      <c r="S160" s="27">
        <v>44196</v>
      </c>
      <c r="T160" s="773" t="s">
        <v>132</v>
      </c>
      <c r="U160" s="773">
        <v>11</v>
      </c>
      <c r="V160" s="773">
        <v>7</v>
      </c>
      <c r="W160" s="773" t="str">
        <f t="shared" si="8"/>
        <v>O</v>
      </c>
    </row>
    <row r="161" spans="1:23">
      <c r="A161" s="27">
        <v>44500</v>
      </c>
      <c r="B161" s="773" t="s">
        <v>140</v>
      </c>
      <c r="C161" s="773">
        <v>387</v>
      </c>
      <c r="D161" s="773">
        <v>9</v>
      </c>
      <c r="E161" s="773" t="str">
        <f t="shared" si="7"/>
        <v>O</v>
      </c>
      <c r="S161" s="27">
        <v>44196</v>
      </c>
      <c r="T161" s="773" t="s">
        <v>132</v>
      </c>
      <c r="U161" s="773">
        <v>13</v>
      </c>
      <c r="V161" s="773">
        <v>707</v>
      </c>
      <c r="W161" s="773" t="str">
        <f t="shared" si="8"/>
        <v>N</v>
      </c>
    </row>
    <row r="162" spans="1:23">
      <c r="A162" s="27">
        <v>44135</v>
      </c>
      <c r="B162" s="773" t="s">
        <v>140</v>
      </c>
      <c r="C162" s="773">
        <v>359</v>
      </c>
      <c r="D162" s="773">
        <v>540</v>
      </c>
      <c r="E162" s="773" t="str">
        <f t="shared" si="7"/>
        <v>N</v>
      </c>
      <c r="S162" s="27">
        <v>44196</v>
      </c>
      <c r="T162" s="773" t="s">
        <v>132</v>
      </c>
      <c r="U162" s="773">
        <v>35</v>
      </c>
      <c r="V162" s="773">
        <v>786</v>
      </c>
      <c r="W162" s="773" t="str">
        <f t="shared" si="8"/>
        <v>N</v>
      </c>
    </row>
    <row r="163" spans="1:23">
      <c r="A163" s="27">
        <v>44135</v>
      </c>
      <c r="B163" s="773" t="s">
        <v>140</v>
      </c>
      <c r="C163" s="773">
        <v>383</v>
      </c>
      <c r="D163" s="773">
        <v>2</v>
      </c>
      <c r="E163" s="773" t="str">
        <f t="shared" si="7"/>
        <v>O</v>
      </c>
      <c r="S163" s="27">
        <v>44196</v>
      </c>
      <c r="T163" s="773" t="s">
        <v>132</v>
      </c>
      <c r="U163" s="773">
        <v>41</v>
      </c>
      <c r="V163" s="773">
        <v>1</v>
      </c>
      <c r="W163" s="773" t="str">
        <f t="shared" si="8"/>
        <v>O</v>
      </c>
    </row>
    <row r="164" spans="1:23">
      <c r="A164" s="27">
        <v>44500</v>
      </c>
      <c r="B164" s="773" t="s">
        <v>140</v>
      </c>
      <c r="C164" s="773">
        <v>370</v>
      </c>
      <c r="D164" s="773">
        <v>1</v>
      </c>
      <c r="E164" s="773" t="str">
        <f t="shared" si="7"/>
        <v>O</v>
      </c>
      <c r="S164" s="27">
        <v>44196</v>
      </c>
      <c r="T164" s="773" t="s">
        <v>132</v>
      </c>
      <c r="U164" s="773">
        <v>42</v>
      </c>
      <c r="V164" s="773">
        <v>1</v>
      </c>
      <c r="W164" s="773" t="str">
        <f t="shared" si="8"/>
        <v>O</v>
      </c>
    </row>
    <row r="165" spans="1:23">
      <c r="A165" s="27">
        <v>44500</v>
      </c>
      <c r="B165" s="773" t="s">
        <v>140</v>
      </c>
      <c r="C165" s="773">
        <v>476</v>
      </c>
      <c r="D165" s="773">
        <v>1</v>
      </c>
      <c r="E165" s="773" t="str">
        <f t="shared" si="7"/>
        <v>O</v>
      </c>
      <c r="S165" s="27">
        <v>44196</v>
      </c>
      <c r="T165" s="773" t="s">
        <v>132</v>
      </c>
      <c r="U165" s="773">
        <v>43</v>
      </c>
      <c r="V165" s="773">
        <v>2338</v>
      </c>
      <c r="W165" s="773" t="str">
        <f t="shared" si="8"/>
        <v>N</v>
      </c>
    </row>
    <row r="166" spans="1:23">
      <c r="A166" s="27">
        <v>44500</v>
      </c>
      <c r="B166" s="773" t="s">
        <v>140</v>
      </c>
      <c r="C166" s="773">
        <v>691</v>
      </c>
      <c r="D166" s="773">
        <v>227</v>
      </c>
      <c r="E166" s="773" t="str">
        <f t="shared" si="7"/>
        <v>N</v>
      </c>
      <c r="S166" s="27">
        <v>44196</v>
      </c>
      <c r="T166" s="773" t="s">
        <v>132</v>
      </c>
      <c r="U166" s="773">
        <v>44</v>
      </c>
      <c r="V166" s="773">
        <v>2577</v>
      </c>
      <c r="W166" s="773" t="str">
        <f t="shared" si="8"/>
        <v>N</v>
      </c>
    </row>
    <row r="167" spans="1:23">
      <c r="A167" s="27">
        <v>44500</v>
      </c>
      <c r="B167" s="773" t="s">
        <v>140</v>
      </c>
      <c r="C167" s="773">
        <v>576</v>
      </c>
      <c r="D167" s="773">
        <v>249</v>
      </c>
      <c r="E167" s="773" t="str">
        <f t="shared" si="7"/>
        <v>N</v>
      </c>
      <c r="S167" s="27">
        <v>44196</v>
      </c>
      <c r="T167" s="773" t="s">
        <v>132</v>
      </c>
      <c r="U167" s="773">
        <v>46</v>
      </c>
      <c r="V167" s="773">
        <v>2051</v>
      </c>
      <c r="W167" s="773" t="str">
        <f t="shared" si="8"/>
        <v>N</v>
      </c>
    </row>
    <row r="168" spans="1:23">
      <c r="A168" s="27">
        <v>44135</v>
      </c>
      <c r="B168" s="773" t="s">
        <v>140</v>
      </c>
      <c r="C168" s="773">
        <v>648</v>
      </c>
      <c r="D168" s="773">
        <v>1446</v>
      </c>
      <c r="E168" s="773" t="str">
        <f t="shared" si="7"/>
        <v>N</v>
      </c>
      <c r="S168" s="27">
        <v>44196</v>
      </c>
      <c r="T168" s="773" t="s">
        <v>132</v>
      </c>
      <c r="U168" s="773">
        <v>48</v>
      </c>
      <c r="V168" s="773">
        <v>633</v>
      </c>
      <c r="W168" s="773" t="str">
        <f t="shared" si="8"/>
        <v>N</v>
      </c>
    </row>
    <row r="169" spans="1:23">
      <c r="A169" s="27">
        <v>44135</v>
      </c>
      <c r="B169" s="773" t="s">
        <v>140</v>
      </c>
      <c r="C169" s="773">
        <v>576</v>
      </c>
      <c r="D169" s="773">
        <v>248</v>
      </c>
      <c r="E169" s="773" t="str">
        <f t="shared" si="7"/>
        <v>N</v>
      </c>
      <c r="S169" s="27">
        <v>44196</v>
      </c>
      <c r="T169" s="773" t="s">
        <v>132</v>
      </c>
      <c r="U169" s="773">
        <v>52</v>
      </c>
      <c r="V169" s="773">
        <v>1</v>
      </c>
      <c r="W169" s="773" t="str">
        <f t="shared" si="8"/>
        <v>O</v>
      </c>
    </row>
    <row r="170" spans="1:23">
      <c r="A170" s="27">
        <v>44500</v>
      </c>
      <c r="B170" s="773" t="s">
        <v>140</v>
      </c>
      <c r="C170" s="773">
        <v>578</v>
      </c>
      <c r="D170" s="773">
        <v>2663</v>
      </c>
      <c r="E170" s="773" t="str">
        <f t="shared" si="7"/>
        <v>N</v>
      </c>
      <c r="S170" s="27">
        <v>44196</v>
      </c>
      <c r="T170" s="773" t="s">
        <v>132</v>
      </c>
      <c r="U170" s="773">
        <v>53</v>
      </c>
      <c r="V170" s="773">
        <v>1</v>
      </c>
      <c r="W170" s="773" t="str">
        <f t="shared" si="8"/>
        <v>O</v>
      </c>
    </row>
    <row r="171" spans="1:23">
      <c r="A171" s="27">
        <v>44135</v>
      </c>
      <c r="B171" s="773" t="s">
        <v>140</v>
      </c>
      <c r="C171" s="773">
        <v>530</v>
      </c>
      <c r="D171" s="773">
        <v>2</v>
      </c>
      <c r="E171" s="773" t="str">
        <f t="shared" si="7"/>
        <v>O</v>
      </c>
      <c r="S171" s="27">
        <v>44196</v>
      </c>
      <c r="T171" s="773" t="s">
        <v>132</v>
      </c>
      <c r="U171" s="773">
        <v>56</v>
      </c>
      <c r="V171" s="773">
        <v>36</v>
      </c>
      <c r="W171" s="773" t="str">
        <f t="shared" si="8"/>
        <v>O</v>
      </c>
    </row>
    <row r="172" spans="1:23">
      <c r="A172" s="27">
        <v>44500</v>
      </c>
      <c r="B172" s="773" t="s">
        <v>140</v>
      </c>
      <c r="C172" s="773">
        <v>359</v>
      </c>
      <c r="D172" s="773">
        <v>593</v>
      </c>
      <c r="E172" s="773" t="str">
        <f t="shared" si="7"/>
        <v>N</v>
      </c>
      <c r="S172" s="27">
        <v>44196</v>
      </c>
      <c r="T172" s="773" t="s">
        <v>132</v>
      </c>
      <c r="U172" s="773">
        <v>58</v>
      </c>
      <c r="V172" s="773">
        <v>2</v>
      </c>
      <c r="W172" s="773" t="str">
        <f t="shared" si="8"/>
        <v>O</v>
      </c>
    </row>
    <row r="173" spans="1:23">
      <c r="A173" s="27">
        <v>44500</v>
      </c>
      <c r="B173" s="773" t="s">
        <v>140</v>
      </c>
      <c r="C173" s="773">
        <v>502</v>
      </c>
      <c r="D173" s="773">
        <v>11</v>
      </c>
      <c r="E173" s="773" t="str">
        <f t="shared" si="7"/>
        <v>O</v>
      </c>
      <c r="S173" s="27">
        <v>44196</v>
      </c>
      <c r="T173" s="773" t="s">
        <v>132</v>
      </c>
      <c r="U173" s="773">
        <v>59</v>
      </c>
      <c r="V173" s="773">
        <v>90</v>
      </c>
      <c r="W173" s="773" t="str">
        <f t="shared" si="8"/>
        <v>O</v>
      </c>
    </row>
    <row r="174" spans="1:23">
      <c r="A174" s="27">
        <v>44500</v>
      </c>
      <c r="B174" s="773" t="s">
        <v>140</v>
      </c>
      <c r="C174" s="773">
        <v>601</v>
      </c>
      <c r="D174" s="773">
        <v>3</v>
      </c>
      <c r="E174" s="773" t="str">
        <f t="shared" si="7"/>
        <v>O</v>
      </c>
      <c r="S174" s="27">
        <v>44196</v>
      </c>
      <c r="T174" s="773" t="s">
        <v>132</v>
      </c>
      <c r="U174" s="773">
        <v>61</v>
      </c>
      <c r="V174" s="773">
        <v>1</v>
      </c>
      <c r="W174" s="773" t="str">
        <f t="shared" si="8"/>
        <v>O</v>
      </c>
    </row>
    <row r="175" spans="1:23">
      <c r="A175" s="27">
        <v>44135</v>
      </c>
      <c r="B175" s="773" t="s">
        <v>140</v>
      </c>
      <c r="C175" s="773">
        <v>213</v>
      </c>
      <c r="D175" s="773">
        <v>68</v>
      </c>
      <c r="E175" s="773" t="str">
        <f t="shared" si="7"/>
        <v>O</v>
      </c>
      <c r="S175" s="27">
        <v>44196</v>
      </c>
      <c r="T175" s="773" t="s">
        <v>132</v>
      </c>
      <c r="U175" s="773">
        <v>63</v>
      </c>
      <c r="V175" s="773">
        <v>1</v>
      </c>
      <c r="W175" s="773" t="str">
        <f t="shared" si="8"/>
        <v>O</v>
      </c>
    </row>
    <row r="176" spans="1:23">
      <c r="A176" s="27">
        <v>44500</v>
      </c>
      <c r="B176" s="773" t="s">
        <v>140</v>
      </c>
      <c r="C176" s="773">
        <v>758</v>
      </c>
      <c r="D176" s="773">
        <v>1</v>
      </c>
      <c r="E176" s="773" t="str">
        <f t="shared" si="7"/>
        <v>O</v>
      </c>
      <c r="S176" s="27">
        <v>44196</v>
      </c>
      <c r="T176" s="773" t="s">
        <v>132</v>
      </c>
      <c r="U176" s="773">
        <v>64</v>
      </c>
      <c r="V176" s="773">
        <v>3</v>
      </c>
      <c r="W176" s="773" t="str">
        <f t="shared" si="8"/>
        <v>O</v>
      </c>
    </row>
    <row r="177" spans="1:23">
      <c r="A177" s="27">
        <v>44135</v>
      </c>
      <c r="B177" s="773" t="s">
        <v>140</v>
      </c>
      <c r="C177" s="773">
        <v>248</v>
      </c>
      <c r="D177" s="773">
        <v>408</v>
      </c>
      <c r="E177" s="773" t="str">
        <f t="shared" si="7"/>
        <v>N</v>
      </c>
      <c r="S177" s="27">
        <v>44196</v>
      </c>
      <c r="T177" s="773" t="s">
        <v>132</v>
      </c>
      <c r="U177" s="773">
        <v>66</v>
      </c>
      <c r="V177" s="773">
        <v>78</v>
      </c>
      <c r="W177" s="773" t="str">
        <f t="shared" si="8"/>
        <v>O</v>
      </c>
    </row>
    <row r="178" spans="1:23">
      <c r="A178" s="27">
        <v>44500</v>
      </c>
      <c r="B178" s="773" t="s">
        <v>140</v>
      </c>
      <c r="C178" s="773">
        <v>585</v>
      </c>
      <c r="D178" s="773">
        <v>2235</v>
      </c>
      <c r="E178" s="773" t="str">
        <f t="shared" si="7"/>
        <v>N</v>
      </c>
      <c r="S178" s="27">
        <v>44196</v>
      </c>
      <c r="T178" s="773" t="s">
        <v>132</v>
      </c>
      <c r="U178" s="773">
        <v>68</v>
      </c>
      <c r="V178" s="773">
        <v>213</v>
      </c>
      <c r="W178" s="773" t="str">
        <f t="shared" si="8"/>
        <v>N</v>
      </c>
    </row>
    <row r="179" spans="1:23">
      <c r="A179" s="27">
        <v>44135</v>
      </c>
      <c r="B179" s="773" t="s">
        <v>140</v>
      </c>
      <c r="C179" s="773">
        <v>719</v>
      </c>
      <c r="D179" s="773">
        <v>3</v>
      </c>
      <c r="E179" s="773" t="str">
        <f t="shared" si="7"/>
        <v>O</v>
      </c>
      <c r="S179" s="27">
        <v>44196</v>
      </c>
      <c r="T179" s="773" t="s">
        <v>132</v>
      </c>
      <c r="U179" s="773">
        <v>69</v>
      </c>
      <c r="V179" s="773">
        <v>1</v>
      </c>
      <c r="W179" s="773" t="str">
        <f t="shared" si="8"/>
        <v>O</v>
      </c>
    </row>
    <row r="180" spans="1:23">
      <c r="A180" s="27">
        <v>44135</v>
      </c>
      <c r="B180" s="773" t="s">
        <v>140</v>
      </c>
      <c r="C180" s="773">
        <v>0</v>
      </c>
      <c r="D180" s="773">
        <v>7</v>
      </c>
      <c r="E180" s="773" t="str">
        <f t="shared" si="7"/>
        <v>O</v>
      </c>
      <c r="S180" s="27">
        <v>44196</v>
      </c>
      <c r="T180" s="773" t="s">
        <v>132</v>
      </c>
      <c r="U180" s="773">
        <v>70</v>
      </c>
      <c r="V180" s="773">
        <v>44</v>
      </c>
      <c r="W180" s="773" t="str">
        <f t="shared" si="8"/>
        <v>O</v>
      </c>
    </row>
    <row r="181" spans="1:23">
      <c r="A181" s="27">
        <v>44500</v>
      </c>
      <c r="B181" s="773" t="s">
        <v>140</v>
      </c>
      <c r="C181" s="773">
        <v>530</v>
      </c>
      <c r="D181" s="773">
        <v>1</v>
      </c>
      <c r="E181" s="773" t="str">
        <f t="shared" si="7"/>
        <v>O</v>
      </c>
      <c r="S181" s="27">
        <v>44196</v>
      </c>
      <c r="T181" s="773" t="s">
        <v>132</v>
      </c>
      <c r="U181" s="773">
        <v>72</v>
      </c>
      <c r="V181" s="773">
        <v>3</v>
      </c>
      <c r="W181" s="773" t="str">
        <f t="shared" si="8"/>
        <v>O</v>
      </c>
    </row>
    <row r="182" spans="1:23">
      <c r="A182" s="27">
        <v>44500</v>
      </c>
      <c r="B182" s="773" t="s">
        <v>140</v>
      </c>
      <c r="C182" s="773">
        <v>485</v>
      </c>
      <c r="D182" s="773">
        <v>1315</v>
      </c>
      <c r="E182" s="773" t="str">
        <f t="shared" si="7"/>
        <v>N</v>
      </c>
      <c r="S182" s="27">
        <v>44196</v>
      </c>
      <c r="T182" s="773" t="s">
        <v>132</v>
      </c>
      <c r="U182" s="773">
        <v>76</v>
      </c>
      <c r="V182" s="773">
        <v>1506</v>
      </c>
      <c r="W182" s="773" t="str">
        <f t="shared" si="8"/>
        <v>N</v>
      </c>
    </row>
    <row r="183" spans="1:23">
      <c r="A183" s="27">
        <v>44500</v>
      </c>
      <c r="B183" s="773" t="s">
        <v>140</v>
      </c>
      <c r="C183" s="773">
        <v>453</v>
      </c>
      <c r="D183" s="773">
        <v>2322</v>
      </c>
      <c r="E183" s="773" t="str">
        <f t="shared" si="7"/>
        <v>N</v>
      </c>
      <c r="S183" s="27">
        <v>44196</v>
      </c>
      <c r="T183" s="773" t="s">
        <v>132</v>
      </c>
      <c r="U183" s="773">
        <v>77</v>
      </c>
      <c r="V183" s="773">
        <v>2868</v>
      </c>
      <c r="W183" s="773" t="str">
        <f t="shared" si="8"/>
        <v>N</v>
      </c>
    </row>
    <row r="184" spans="1:23">
      <c r="A184" s="27">
        <v>44500</v>
      </c>
      <c r="B184" s="773" t="s">
        <v>140</v>
      </c>
      <c r="C184" s="773">
        <v>449</v>
      </c>
      <c r="D184" s="773">
        <v>1866</v>
      </c>
      <c r="E184" s="773" t="str">
        <f t="shared" si="7"/>
        <v>N</v>
      </c>
      <c r="S184" s="27">
        <v>44196</v>
      </c>
      <c r="T184" s="773" t="s">
        <v>132</v>
      </c>
      <c r="U184" s="773">
        <v>78</v>
      </c>
      <c r="V184" s="773">
        <v>2</v>
      </c>
      <c r="W184" s="773" t="str">
        <f t="shared" si="8"/>
        <v>O</v>
      </c>
    </row>
    <row r="185" spans="1:23">
      <c r="A185" s="27">
        <v>44500</v>
      </c>
      <c r="B185" s="773" t="s">
        <v>140</v>
      </c>
      <c r="C185" s="773">
        <v>469</v>
      </c>
      <c r="D185" s="773">
        <v>7</v>
      </c>
      <c r="E185" s="773" t="str">
        <f t="shared" si="7"/>
        <v>O</v>
      </c>
      <c r="S185" s="27">
        <v>44196</v>
      </c>
      <c r="T185" s="773" t="s">
        <v>132</v>
      </c>
      <c r="U185" s="773">
        <v>79</v>
      </c>
      <c r="V185" s="773">
        <v>4</v>
      </c>
      <c r="W185" s="773" t="str">
        <f t="shared" si="8"/>
        <v>O</v>
      </c>
    </row>
    <row r="186" spans="1:23">
      <c r="A186" s="27">
        <v>44135</v>
      </c>
      <c r="B186" s="773" t="s">
        <v>140</v>
      </c>
      <c r="C186" s="773">
        <v>387</v>
      </c>
      <c r="D186" s="773">
        <v>10</v>
      </c>
      <c r="E186" s="773" t="str">
        <f t="shared" si="7"/>
        <v>O</v>
      </c>
      <c r="S186" s="27">
        <v>44196</v>
      </c>
      <c r="T186" s="773" t="s">
        <v>132</v>
      </c>
      <c r="U186" s="773">
        <v>81</v>
      </c>
      <c r="V186" s="773">
        <v>3</v>
      </c>
      <c r="W186" s="773" t="str">
        <f t="shared" si="8"/>
        <v>O</v>
      </c>
    </row>
    <row r="187" spans="1:23">
      <c r="A187" s="27">
        <v>44500</v>
      </c>
      <c r="B187" s="773" t="s">
        <v>140</v>
      </c>
      <c r="C187" s="773">
        <v>279</v>
      </c>
      <c r="D187" s="773">
        <v>1</v>
      </c>
      <c r="E187" s="773" t="str">
        <f t="shared" si="7"/>
        <v>O</v>
      </c>
      <c r="S187" s="27">
        <v>44196</v>
      </c>
      <c r="T187" s="773" t="s">
        <v>132</v>
      </c>
      <c r="U187" s="773">
        <v>82</v>
      </c>
      <c r="V187" s="773">
        <v>1860</v>
      </c>
      <c r="W187" s="773" t="str">
        <f t="shared" si="8"/>
        <v>N</v>
      </c>
    </row>
    <row r="188" spans="1:23">
      <c r="A188" s="27">
        <v>44500</v>
      </c>
      <c r="B188" s="773" t="s">
        <v>140</v>
      </c>
      <c r="C188" s="773">
        <v>510</v>
      </c>
      <c r="D188" s="773">
        <v>904</v>
      </c>
      <c r="E188" s="773" t="str">
        <f t="shared" si="7"/>
        <v>N</v>
      </c>
      <c r="S188" s="27">
        <v>44196</v>
      </c>
      <c r="T188" s="773" t="s">
        <v>132</v>
      </c>
      <c r="U188" s="773">
        <v>83</v>
      </c>
      <c r="V188" s="773">
        <v>1688</v>
      </c>
      <c r="W188" s="773" t="str">
        <f t="shared" si="8"/>
        <v>N</v>
      </c>
    </row>
    <row r="189" spans="1:23">
      <c r="A189" s="27">
        <v>44500</v>
      </c>
      <c r="B189" s="773" t="s">
        <v>140</v>
      </c>
      <c r="C189" s="773">
        <v>346</v>
      </c>
      <c r="D189" s="773">
        <v>3</v>
      </c>
      <c r="E189" s="773" t="str">
        <f t="shared" si="7"/>
        <v>O</v>
      </c>
      <c r="S189" s="27">
        <v>44196</v>
      </c>
      <c r="T189" s="773" t="s">
        <v>132</v>
      </c>
      <c r="U189" s="773">
        <v>84</v>
      </c>
      <c r="V189" s="773">
        <v>1980</v>
      </c>
      <c r="W189" s="773" t="str">
        <f t="shared" si="8"/>
        <v>N</v>
      </c>
    </row>
    <row r="190" spans="1:23">
      <c r="A190" s="27">
        <v>44135</v>
      </c>
      <c r="B190" s="773" t="s">
        <v>140</v>
      </c>
      <c r="C190" s="773">
        <v>338</v>
      </c>
      <c r="D190" s="773">
        <v>3235</v>
      </c>
      <c r="E190" s="773" t="str">
        <f t="shared" si="7"/>
        <v>N</v>
      </c>
      <c r="S190" s="27">
        <v>44196</v>
      </c>
      <c r="T190" s="773" t="s">
        <v>132</v>
      </c>
      <c r="U190" s="773">
        <v>87</v>
      </c>
      <c r="V190" s="773">
        <v>8</v>
      </c>
      <c r="W190" s="773" t="str">
        <f t="shared" si="8"/>
        <v>O</v>
      </c>
    </row>
    <row r="191" spans="1:23">
      <c r="A191" s="27">
        <v>44500</v>
      </c>
      <c r="B191" s="773" t="s">
        <v>140</v>
      </c>
      <c r="C191" s="773">
        <v>540</v>
      </c>
      <c r="D191" s="773">
        <v>1</v>
      </c>
      <c r="E191" s="773" t="str">
        <f t="shared" si="7"/>
        <v>O</v>
      </c>
      <c r="S191" s="27">
        <v>44196</v>
      </c>
      <c r="T191" s="773" t="s">
        <v>132</v>
      </c>
      <c r="U191" s="773">
        <v>89</v>
      </c>
      <c r="V191" s="773">
        <v>1077</v>
      </c>
      <c r="W191" s="773" t="str">
        <f t="shared" si="8"/>
        <v>N</v>
      </c>
    </row>
    <row r="192" spans="1:23">
      <c r="A192" s="27">
        <v>44135</v>
      </c>
      <c r="B192" s="773" t="s">
        <v>140</v>
      </c>
      <c r="C192" s="773">
        <v>678</v>
      </c>
      <c r="D192" s="773">
        <v>2343</v>
      </c>
      <c r="E192" s="773" t="str">
        <f t="shared" si="7"/>
        <v>N</v>
      </c>
      <c r="S192" s="27">
        <v>44196</v>
      </c>
      <c r="T192" s="773" t="s">
        <v>132</v>
      </c>
      <c r="U192" s="773">
        <v>92</v>
      </c>
      <c r="V192" s="773">
        <v>1861</v>
      </c>
      <c r="W192" s="773" t="str">
        <f t="shared" si="8"/>
        <v>N</v>
      </c>
    </row>
    <row r="193" spans="1:23">
      <c r="A193" s="27">
        <v>44500</v>
      </c>
      <c r="B193" s="773" t="s">
        <v>140</v>
      </c>
      <c r="C193" s="773">
        <v>608</v>
      </c>
      <c r="D193" s="773">
        <v>2675</v>
      </c>
      <c r="E193" s="773" t="str">
        <f t="shared" si="7"/>
        <v>N</v>
      </c>
      <c r="S193" s="27">
        <v>44196</v>
      </c>
      <c r="T193" s="773" t="s">
        <v>132</v>
      </c>
      <c r="U193" s="773">
        <v>93</v>
      </c>
      <c r="V193" s="773">
        <v>11379</v>
      </c>
      <c r="W193" s="773" t="str">
        <f t="shared" si="8"/>
        <v>N</v>
      </c>
    </row>
    <row r="194" spans="1:23">
      <c r="A194" s="27">
        <v>44500</v>
      </c>
      <c r="B194" s="773" t="s">
        <v>140</v>
      </c>
      <c r="C194" s="773">
        <v>524</v>
      </c>
      <c r="D194" s="773">
        <v>1135</v>
      </c>
      <c r="E194" s="773" t="str">
        <f t="shared" si="7"/>
        <v>N</v>
      </c>
      <c r="S194" s="27">
        <v>44196</v>
      </c>
      <c r="T194" s="773" t="s">
        <v>132</v>
      </c>
      <c r="U194" s="773">
        <v>94</v>
      </c>
      <c r="V194" s="773">
        <v>1651</v>
      </c>
      <c r="W194" s="773" t="str">
        <f t="shared" si="8"/>
        <v>N</v>
      </c>
    </row>
    <row r="195" spans="1:23">
      <c r="A195" s="27">
        <v>44135</v>
      </c>
      <c r="B195" s="773" t="s">
        <v>140</v>
      </c>
      <c r="C195" s="773">
        <v>548</v>
      </c>
      <c r="D195" s="773">
        <v>519</v>
      </c>
      <c r="E195" s="773" t="str">
        <f t="shared" ref="E195:E237" si="9">+IF(D195&lt;100,"O","N")</f>
        <v>N</v>
      </c>
      <c r="S195" s="27">
        <v>44196</v>
      </c>
      <c r="T195" s="773" t="s">
        <v>132</v>
      </c>
      <c r="U195" s="773">
        <v>97</v>
      </c>
      <c r="V195" s="773">
        <v>1</v>
      </c>
      <c r="W195" s="773" t="str">
        <f t="shared" ref="W195:W258" si="10">+IF(V195&lt;100,"O","N")</f>
        <v>O</v>
      </c>
    </row>
    <row r="196" spans="1:23">
      <c r="A196" s="27">
        <v>44500</v>
      </c>
      <c r="B196" s="773" t="s">
        <v>140</v>
      </c>
      <c r="C196" s="773">
        <v>379</v>
      </c>
      <c r="D196" s="773">
        <v>1</v>
      </c>
      <c r="E196" s="773" t="str">
        <f t="shared" si="9"/>
        <v>O</v>
      </c>
      <c r="S196" s="27">
        <v>44196</v>
      </c>
      <c r="T196" s="773" t="s">
        <v>132</v>
      </c>
      <c r="U196" s="773">
        <v>98</v>
      </c>
      <c r="V196" s="773">
        <v>96</v>
      </c>
      <c r="W196" s="773" t="str">
        <f t="shared" si="10"/>
        <v>O</v>
      </c>
    </row>
    <row r="197" spans="1:23">
      <c r="A197" s="27">
        <v>44500</v>
      </c>
      <c r="B197" s="773" t="s">
        <v>140</v>
      </c>
      <c r="C197" s="773">
        <v>640</v>
      </c>
      <c r="D197" s="773">
        <v>3055</v>
      </c>
      <c r="E197" s="773" t="str">
        <f t="shared" si="9"/>
        <v>N</v>
      </c>
      <c r="S197" s="27">
        <v>44196</v>
      </c>
      <c r="T197" s="773" t="s">
        <v>132</v>
      </c>
      <c r="U197" s="773">
        <v>100</v>
      </c>
      <c r="V197" s="773">
        <v>1</v>
      </c>
      <c r="W197" s="773" t="str">
        <f t="shared" si="10"/>
        <v>O</v>
      </c>
    </row>
    <row r="198" spans="1:23">
      <c r="A198" s="27">
        <v>44135</v>
      </c>
      <c r="B198" s="773" t="s">
        <v>140</v>
      </c>
      <c r="C198" s="773">
        <v>453</v>
      </c>
      <c r="D198" s="773">
        <v>2561</v>
      </c>
      <c r="E198" s="773" t="str">
        <f t="shared" si="9"/>
        <v>N</v>
      </c>
      <c r="S198" s="27">
        <v>44196</v>
      </c>
      <c r="T198" s="773" t="s">
        <v>132</v>
      </c>
      <c r="U198" s="773">
        <v>101</v>
      </c>
      <c r="V198" s="773">
        <v>486</v>
      </c>
      <c r="W198" s="773" t="str">
        <f t="shared" si="10"/>
        <v>N</v>
      </c>
    </row>
    <row r="199" spans="1:23">
      <c r="A199" s="27">
        <v>44500</v>
      </c>
      <c r="B199" s="773" t="s">
        <v>140</v>
      </c>
      <c r="C199" s="773">
        <v>659</v>
      </c>
      <c r="D199" s="773">
        <v>691</v>
      </c>
      <c r="E199" s="773" t="str">
        <f t="shared" si="9"/>
        <v>N</v>
      </c>
      <c r="S199" s="27">
        <v>44196</v>
      </c>
      <c r="T199" s="773" t="s">
        <v>132</v>
      </c>
      <c r="U199" s="773">
        <v>102</v>
      </c>
      <c r="V199" s="773">
        <v>1</v>
      </c>
      <c r="W199" s="773" t="str">
        <f t="shared" si="10"/>
        <v>O</v>
      </c>
    </row>
    <row r="200" spans="1:23">
      <c r="A200" s="27">
        <v>44500</v>
      </c>
      <c r="B200" s="773" t="s">
        <v>140</v>
      </c>
      <c r="C200" s="773">
        <v>719</v>
      </c>
      <c r="D200" s="773">
        <v>24</v>
      </c>
      <c r="E200" s="773" t="str">
        <f t="shared" si="9"/>
        <v>O</v>
      </c>
      <c r="S200" s="27">
        <v>44196</v>
      </c>
      <c r="T200" s="773" t="s">
        <v>132</v>
      </c>
      <c r="U200" s="773">
        <v>103</v>
      </c>
      <c r="V200" s="773">
        <v>2600</v>
      </c>
      <c r="W200" s="773" t="str">
        <f t="shared" si="10"/>
        <v>N</v>
      </c>
    </row>
    <row r="201" spans="1:23">
      <c r="A201" s="27">
        <v>44135</v>
      </c>
      <c r="B201" s="773" t="s">
        <v>140</v>
      </c>
      <c r="C201" s="773">
        <v>585</v>
      </c>
      <c r="D201" s="773">
        <v>2554</v>
      </c>
      <c r="E201" s="773" t="str">
        <f t="shared" si="9"/>
        <v>N</v>
      </c>
      <c r="S201" s="27">
        <v>44196</v>
      </c>
      <c r="T201" s="773" t="s">
        <v>132</v>
      </c>
      <c r="U201" s="773">
        <v>111</v>
      </c>
      <c r="V201" s="773">
        <v>1</v>
      </c>
      <c r="W201" s="773" t="str">
        <f t="shared" si="10"/>
        <v>O</v>
      </c>
    </row>
    <row r="202" spans="1:23">
      <c r="A202" s="27">
        <v>44135</v>
      </c>
      <c r="B202" s="773" t="s">
        <v>140</v>
      </c>
      <c r="C202" s="773">
        <v>449</v>
      </c>
      <c r="D202" s="773">
        <v>2154</v>
      </c>
      <c r="E202" s="773" t="str">
        <f t="shared" si="9"/>
        <v>N</v>
      </c>
      <c r="S202" s="27">
        <v>44196</v>
      </c>
      <c r="T202" s="773" t="s">
        <v>132</v>
      </c>
      <c r="U202" s="773">
        <v>113</v>
      </c>
      <c r="V202" s="773">
        <v>1</v>
      </c>
      <c r="W202" s="773" t="str">
        <f t="shared" si="10"/>
        <v>O</v>
      </c>
    </row>
    <row r="203" spans="1:23">
      <c r="A203" s="27">
        <v>44500</v>
      </c>
      <c r="B203" s="773" t="s">
        <v>140</v>
      </c>
      <c r="C203" s="773">
        <v>558</v>
      </c>
      <c r="D203" s="773">
        <v>1253</v>
      </c>
      <c r="E203" s="773" t="str">
        <f t="shared" si="9"/>
        <v>N</v>
      </c>
      <c r="S203" s="27">
        <v>44196</v>
      </c>
      <c r="T203" s="773" t="s">
        <v>132</v>
      </c>
      <c r="U203" s="773">
        <v>116</v>
      </c>
      <c r="V203" s="773">
        <v>2</v>
      </c>
      <c r="W203" s="773" t="str">
        <f t="shared" si="10"/>
        <v>O</v>
      </c>
    </row>
    <row r="204" spans="1:23">
      <c r="A204" s="27">
        <v>44500</v>
      </c>
      <c r="B204" s="773" t="s">
        <v>140</v>
      </c>
      <c r="C204" s="773">
        <v>712</v>
      </c>
      <c r="D204" s="773">
        <v>1</v>
      </c>
      <c r="E204" s="773" t="str">
        <f t="shared" si="9"/>
        <v>O</v>
      </c>
      <c r="S204" s="27">
        <v>44196</v>
      </c>
      <c r="T204" s="773" t="s">
        <v>132</v>
      </c>
      <c r="U204" s="773">
        <v>120</v>
      </c>
      <c r="V204" s="773">
        <v>2</v>
      </c>
      <c r="W204" s="773" t="str">
        <f t="shared" si="10"/>
        <v>O</v>
      </c>
    </row>
    <row r="205" spans="1:23">
      <c r="A205" s="27">
        <v>44135</v>
      </c>
      <c r="B205" s="773" t="s">
        <v>140</v>
      </c>
      <c r="C205" s="773">
        <v>626</v>
      </c>
      <c r="D205" s="773">
        <v>2767</v>
      </c>
      <c r="E205" s="773" t="str">
        <f t="shared" si="9"/>
        <v>N</v>
      </c>
      <c r="S205" s="27">
        <v>44196</v>
      </c>
      <c r="T205" s="773" t="s">
        <v>132</v>
      </c>
      <c r="U205" s="773">
        <v>123</v>
      </c>
      <c r="V205" s="773">
        <v>1</v>
      </c>
      <c r="W205" s="773" t="str">
        <f t="shared" si="10"/>
        <v>O</v>
      </c>
    </row>
    <row r="206" spans="1:23">
      <c r="A206" s="27">
        <v>44135</v>
      </c>
      <c r="B206" s="773" t="s">
        <v>140</v>
      </c>
      <c r="C206" s="773">
        <v>732</v>
      </c>
      <c r="D206" s="773">
        <v>6</v>
      </c>
      <c r="E206" s="773" t="str">
        <f t="shared" si="9"/>
        <v>O</v>
      </c>
      <c r="S206" s="27">
        <v>44196</v>
      </c>
      <c r="T206" s="773" t="s">
        <v>132</v>
      </c>
      <c r="U206" s="773">
        <v>124</v>
      </c>
      <c r="V206" s="773">
        <v>9</v>
      </c>
      <c r="W206" s="773" t="str">
        <f t="shared" si="10"/>
        <v>O</v>
      </c>
    </row>
    <row r="207" spans="1:23">
      <c r="A207" s="27">
        <v>44500</v>
      </c>
      <c r="B207" s="773" t="s">
        <v>140</v>
      </c>
      <c r="C207" s="773">
        <v>478</v>
      </c>
      <c r="D207" s="773">
        <v>1984</v>
      </c>
      <c r="E207" s="773" t="str">
        <f t="shared" si="9"/>
        <v>N</v>
      </c>
      <c r="S207" s="27">
        <v>44196</v>
      </c>
      <c r="T207" s="773" t="s">
        <v>132</v>
      </c>
      <c r="U207" s="773">
        <v>132</v>
      </c>
      <c r="V207" s="773">
        <v>1356</v>
      </c>
      <c r="W207" s="773" t="str">
        <f t="shared" si="10"/>
        <v>N</v>
      </c>
    </row>
    <row r="208" spans="1:23">
      <c r="A208" s="27">
        <v>44135</v>
      </c>
      <c r="B208" s="773" t="s">
        <v>140</v>
      </c>
      <c r="C208" s="773">
        <v>478</v>
      </c>
      <c r="D208" s="773">
        <v>2304</v>
      </c>
      <c r="E208" s="773" t="str">
        <f t="shared" si="9"/>
        <v>N</v>
      </c>
      <c r="S208" s="27">
        <v>44196</v>
      </c>
      <c r="T208" s="773" t="s">
        <v>132</v>
      </c>
      <c r="U208" s="773">
        <v>136</v>
      </c>
      <c r="V208" s="773">
        <v>60</v>
      </c>
      <c r="W208" s="773" t="str">
        <f t="shared" si="10"/>
        <v>O</v>
      </c>
    </row>
    <row r="209" spans="1:23">
      <c r="A209" s="27">
        <v>44500</v>
      </c>
      <c r="B209" s="773" t="s">
        <v>140</v>
      </c>
      <c r="C209" s="773">
        <v>198</v>
      </c>
      <c r="D209" s="773">
        <v>4</v>
      </c>
      <c r="E209" s="773" t="str">
        <f t="shared" si="9"/>
        <v>O</v>
      </c>
      <c r="S209" s="27">
        <v>44196</v>
      </c>
      <c r="T209" s="773" t="s">
        <v>132</v>
      </c>
      <c r="U209" s="773">
        <v>139</v>
      </c>
      <c r="V209" s="773">
        <v>1437</v>
      </c>
      <c r="W209" s="773" t="str">
        <f t="shared" si="10"/>
        <v>N</v>
      </c>
    </row>
    <row r="210" spans="1:23">
      <c r="A210" s="27">
        <v>44135</v>
      </c>
      <c r="B210" s="773" t="s">
        <v>140</v>
      </c>
      <c r="C210" s="773">
        <v>628</v>
      </c>
      <c r="D210" s="773">
        <v>1467</v>
      </c>
      <c r="E210" s="773" t="str">
        <f t="shared" si="9"/>
        <v>N</v>
      </c>
      <c r="S210" s="27">
        <v>44196</v>
      </c>
      <c r="T210" s="773" t="s">
        <v>132</v>
      </c>
      <c r="U210" s="773">
        <v>140</v>
      </c>
      <c r="V210" s="773">
        <v>189</v>
      </c>
      <c r="W210" s="773" t="str">
        <f t="shared" si="10"/>
        <v>N</v>
      </c>
    </row>
    <row r="211" spans="1:23">
      <c r="A211" s="27">
        <v>44135</v>
      </c>
      <c r="B211" s="773" t="s">
        <v>140</v>
      </c>
      <c r="C211" s="773">
        <v>659</v>
      </c>
      <c r="D211" s="773">
        <v>641</v>
      </c>
      <c r="E211" s="773" t="str">
        <f t="shared" si="9"/>
        <v>N</v>
      </c>
      <c r="S211" s="27">
        <v>44196</v>
      </c>
      <c r="T211" s="773" t="s">
        <v>132</v>
      </c>
      <c r="U211" s="773">
        <v>141</v>
      </c>
      <c r="V211" s="773">
        <v>1882</v>
      </c>
      <c r="W211" s="773" t="str">
        <f t="shared" si="10"/>
        <v>N</v>
      </c>
    </row>
    <row r="212" spans="1:23">
      <c r="A212" s="27">
        <v>44500</v>
      </c>
      <c r="B212" s="773" t="s">
        <v>140</v>
      </c>
      <c r="C212" s="773">
        <v>597</v>
      </c>
      <c r="D212" s="773">
        <v>1169</v>
      </c>
      <c r="E212" s="773" t="str">
        <f t="shared" si="9"/>
        <v>N</v>
      </c>
      <c r="S212" s="27">
        <v>44196</v>
      </c>
      <c r="T212" s="773" t="s">
        <v>132</v>
      </c>
      <c r="U212" s="773">
        <v>149</v>
      </c>
      <c r="V212" s="773">
        <v>2</v>
      </c>
      <c r="W212" s="773" t="str">
        <f t="shared" si="10"/>
        <v>O</v>
      </c>
    </row>
    <row r="213" spans="1:23">
      <c r="A213" s="27">
        <v>44135</v>
      </c>
      <c r="B213" s="773" t="s">
        <v>140</v>
      </c>
      <c r="C213" s="773">
        <v>540</v>
      </c>
      <c r="D213" s="773">
        <v>2</v>
      </c>
      <c r="E213" s="773" t="str">
        <f t="shared" si="9"/>
        <v>O</v>
      </c>
      <c r="S213" s="27">
        <v>44196</v>
      </c>
      <c r="T213" s="773" t="s">
        <v>132</v>
      </c>
      <c r="U213" s="773">
        <v>150</v>
      </c>
      <c r="V213" s="773">
        <v>665</v>
      </c>
      <c r="W213" s="773" t="str">
        <f t="shared" si="10"/>
        <v>N</v>
      </c>
    </row>
    <row r="214" spans="1:23">
      <c r="A214" s="27">
        <v>44135</v>
      </c>
      <c r="B214" s="773" t="s">
        <v>140</v>
      </c>
      <c r="C214" s="773">
        <v>597</v>
      </c>
      <c r="D214" s="773">
        <v>1073</v>
      </c>
      <c r="E214" s="773" t="str">
        <f t="shared" si="9"/>
        <v>N</v>
      </c>
      <c r="S214" s="27">
        <v>44196</v>
      </c>
      <c r="T214" s="773" t="s">
        <v>132</v>
      </c>
      <c r="U214" s="773">
        <v>153</v>
      </c>
      <c r="V214" s="773">
        <v>1844</v>
      </c>
      <c r="W214" s="773" t="str">
        <f t="shared" si="10"/>
        <v>N</v>
      </c>
    </row>
    <row r="215" spans="1:23">
      <c r="A215" s="27">
        <v>44135</v>
      </c>
      <c r="B215" s="773" t="s">
        <v>140</v>
      </c>
      <c r="C215" s="773">
        <v>587</v>
      </c>
      <c r="D215" s="773">
        <v>1</v>
      </c>
      <c r="E215" s="773" t="str">
        <f t="shared" si="9"/>
        <v>O</v>
      </c>
      <c r="S215" s="27">
        <v>44196</v>
      </c>
      <c r="T215" s="773" t="s">
        <v>132</v>
      </c>
      <c r="U215" s="773">
        <v>155</v>
      </c>
      <c r="V215" s="773">
        <v>2144</v>
      </c>
      <c r="W215" s="773" t="str">
        <f t="shared" si="10"/>
        <v>N</v>
      </c>
    </row>
    <row r="216" spans="1:23">
      <c r="A216" s="27">
        <v>44135</v>
      </c>
      <c r="B216" s="773" t="s">
        <v>140</v>
      </c>
      <c r="C216" s="773">
        <v>525</v>
      </c>
      <c r="D216" s="773">
        <v>3718</v>
      </c>
      <c r="E216" s="773" t="str">
        <f t="shared" si="9"/>
        <v>N</v>
      </c>
      <c r="S216" s="27">
        <v>44196</v>
      </c>
      <c r="T216" s="773" t="s">
        <v>132</v>
      </c>
      <c r="U216" s="773">
        <v>158</v>
      </c>
      <c r="V216" s="773">
        <v>49</v>
      </c>
      <c r="W216" s="773" t="str">
        <f t="shared" si="10"/>
        <v>O</v>
      </c>
    </row>
    <row r="217" spans="1:23">
      <c r="A217" s="27">
        <v>44135</v>
      </c>
      <c r="B217" s="773" t="s">
        <v>140</v>
      </c>
      <c r="C217" s="773">
        <v>493</v>
      </c>
      <c r="D217" s="773">
        <v>8</v>
      </c>
      <c r="E217" s="773" t="str">
        <f t="shared" si="9"/>
        <v>O</v>
      </c>
      <c r="S217" s="27">
        <v>44196</v>
      </c>
      <c r="T217" s="773" t="s">
        <v>132</v>
      </c>
      <c r="U217" s="773">
        <v>159</v>
      </c>
      <c r="V217" s="773">
        <v>2438</v>
      </c>
      <c r="W217" s="773" t="str">
        <f t="shared" si="10"/>
        <v>N</v>
      </c>
    </row>
    <row r="218" spans="1:23">
      <c r="A218" s="27">
        <v>44135</v>
      </c>
      <c r="B218" s="773" t="s">
        <v>140</v>
      </c>
      <c r="C218" s="773">
        <v>370</v>
      </c>
      <c r="D218" s="773">
        <v>1</v>
      </c>
      <c r="E218" s="773" t="str">
        <f t="shared" si="9"/>
        <v>O</v>
      </c>
      <c r="S218" s="27">
        <v>44196</v>
      </c>
      <c r="T218" s="773" t="s">
        <v>132</v>
      </c>
      <c r="U218" s="773">
        <v>161</v>
      </c>
      <c r="V218" s="773">
        <v>7</v>
      </c>
      <c r="W218" s="773" t="str">
        <f t="shared" si="10"/>
        <v>O</v>
      </c>
    </row>
    <row r="219" spans="1:23">
      <c r="A219" s="27">
        <v>44135</v>
      </c>
      <c r="B219" s="773" t="s">
        <v>140</v>
      </c>
      <c r="C219" s="773">
        <v>558</v>
      </c>
      <c r="D219" s="773">
        <v>1413</v>
      </c>
      <c r="E219" s="773" t="str">
        <f t="shared" si="9"/>
        <v>N</v>
      </c>
      <c r="S219" s="27">
        <v>44196</v>
      </c>
      <c r="T219" s="773" t="s">
        <v>132</v>
      </c>
      <c r="U219" s="773">
        <v>162</v>
      </c>
      <c r="V219" s="773">
        <v>1770</v>
      </c>
      <c r="W219" s="773" t="str">
        <f t="shared" si="10"/>
        <v>N</v>
      </c>
    </row>
    <row r="220" spans="1:23">
      <c r="A220" s="27">
        <v>44135</v>
      </c>
      <c r="B220" s="773" t="s">
        <v>140</v>
      </c>
      <c r="C220" s="773">
        <v>691</v>
      </c>
      <c r="D220" s="773">
        <v>243</v>
      </c>
      <c r="E220" s="773" t="str">
        <f t="shared" si="9"/>
        <v>N</v>
      </c>
      <c r="S220" s="27">
        <v>44196</v>
      </c>
      <c r="T220" s="773" t="s">
        <v>132</v>
      </c>
      <c r="U220" s="773">
        <v>164</v>
      </c>
      <c r="V220" s="773">
        <v>5</v>
      </c>
      <c r="W220" s="773" t="str">
        <f t="shared" si="10"/>
        <v>O</v>
      </c>
    </row>
    <row r="221" spans="1:23">
      <c r="A221" s="27">
        <v>44135</v>
      </c>
      <c r="B221" s="773" t="s">
        <v>140</v>
      </c>
      <c r="C221" s="773">
        <v>522</v>
      </c>
      <c r="D221" s="773">
        <v>10</v>
      </c>
      <c r="E221" s="773" t="str">
        <f t="shared" si="9"/>
        <v>O</v>
      </c>
      <c r="S221" s="27">
        <v>44196</v>
      </c>
      <c r="T221" s="773" t="s">
        <v>132</v>
      </c>
      <c r="U221" s="773">
        <v>169</v>
      </c>
      <c r="V221" s="773">
        <v>2266</v>
      </c>
      <c r="W221" s="773" t="str">
        <f t="shared" si="10"/>
        <v>N</v>
      </c>
    </row>
    <row r="222" spans="1:23">
      <c r="A222" s="27">
        <v>44500</v>
      </c>
      <c r="B222" s="773" t="s">
        <v>140</v>
      </c>
      <c r="C222" s="773">
        <v>574</v>
      </c>
      <c r="D222" s="773">
        <v>1533</v>
      </c>
      <c r="E222" s="773" t="str">
        <f t="shared" si="9"/>
        <v>N</v>
      </c>
      <c r="S222" s="27">
        <v>44196</v>
      </c>
      <c r="T222" s="773" t="s">
        <v>132</v>
      </c>
      <c r="U222" s="773">
        <v>171</v>
      </c>
      <c r="V222" s="773">
        <v>103</v>
      </c>
      <c r="W222" s="773" t="str">
        <f t="shared" si="10"/>
        <v>N</v>
      </c>
    </row>
    <row r="223" spans="1:23">
      <c r="A223" s="27">
        <v>44135</v>
      </c>
      <c r="B223" s="773" t="s">
        <v>140</v>
      </c>
      <c r="C223" s="773">
        <v>608</v>
      </c>
      <c r="D223" s="773">
        <v>2707</v>
      </c>
      <c r="E223" s="773" t="str">
        <f t="shared" si="9"/>
        <v>N</v>
      </c>
      <c r="S223" s="27">
        <v>44196</v>
      </c>
      <c r="T223" s="773" t="s">
        <v>132</v>
      </c>
      <c r="U223" s="773">
        <v>173</v>
      </c>
      <c r="V223" s="773">
        <v>1</v>
      </c>
      <c r="W223" s="773" t="str">
        <f t="shared" si="10"/>
        <v>O</v>
      </c>
    </row>
    <row r="224" spans="1:23">
      <c r="A224" s="27">
        <v>44135</v>
      </c>
      <c r="B224" s="773" t="s">
        <v>140</v>
      </c>
      <c r="C224" s="773">
        <v>582</v>
      </c>
      <c r="D224" s="773">
        <v>2908</v>
      </c>
      <c r="E224" s="773" t="str">
        <f t="shared" si="9"/>
        <v>N</v>
      </c>
      <c r="S224" s="27">
        <v>44196</v>
      </c>
      <c r="T224" s="773" t="s">
        <v>132</v>
      </c>
      <c r="U224" s="773">
        <v>176</v>
      </c>
      <c r="V224" s="773">
        <v>1</v>
      </c>
      <c r="W224" s="773" t="str">
        <f t="shared" si="10"/>
        <v>O</v>
      </c>
    </row>
    <row r="225" spans="1:23">
      <c r="A225" s="27">
        <v>44500</v>
      </c>
      <c r="B225" s="773" t="s">
        <v>140</v>
      </c>
      <c r="C225" s="773">
        <v>740</v>
      </c>
      <c r="D225" s="773">
        <v>408</v>
      </c>
      <c r="E225" s="773" t="str">
        <f t="shared" si="9"/>
        <v>N</v>
      </c>
      <c r="S225" s="27">
        <v>44196</v>
      </c>
      <c r="T225" s="773" t="s">
        <v>132</v>
      </c>
      <c r="U225" s="773">
        <v>182</v>
      </c>
      <c r="V225" s="773">
        <v>727</v>
      </c>
      <c r="W225" s="773" t="str">
        <f t="shared" si="10"/>
        <v>N</v>
      </c>
    </row>
    <row r="226" spans="1:23">
      <c r="A226" s="27">
        <v>44500</v>
      </c>
      <c r="B226" s="773" t="s">
        <v>140</v>
      </c>
      <c r="C226" s="773">
        <v>732</v>
      </c>
      <c r="D226" s="773">
        <v>4</v>
      </c>
      <c r="E226" s="773" t="str">
        <f t="shared" si="9"/>
        <v>O</v>
      </c>
      <c r="S226" s="27">
        <v>44196</v>
      </c>
      <c r="T226" s="773" t="s">
        <v>132</v>
      </c>
      <c r="U226" s="773">
        <v>183</v>
      </c>
      <c r="V226" s="773">
        <v>1597</v>
      </c>
      <c r="W226" s="773" t="str">
        <f t="shared" si="10"/>
        <v>N</v>
      </c>
    </row>
    <row r="227" spans="1:23">
      <c r="A227" s="27">
        <v>44500</v>
      </c>
      <c r="B227" s="773" t="s">
        <v>140</v>
      </c>
      <c r="C227" s="773">
        <v>525</v>
      </c>
      <c r="D227" s="773">
        <v>3419</v>
      </c>
      <c r="E227" s="773" t="str">
        <f t="shared" si="9"/>
        <v>N</v>
      </c>
      <c r="S227" s="27">
        <v>44196</v>
      </c>
      <c r="T227" s="773" t="s">
        <v>132</v>
      </c>
      <c r="U227" s="773">
        <v>188</v>
      </c>
      <c r="V227" s="773">
        <v>393</v>
      </c>
      <c r="W227" s="773" t="str">
        <f t="shared" si="10"/>
        <v>N</v>
      </c>
    </row>
    <row r="228" spans="1:23">
      <c r="A228" s="27">
        <v>44500</v>
      </c>
      <c r="B228" s="773" t="s">
        <v>140</v>
      </c>
      <c r="C228" s="773">
        <v>674</v>
      </c>
      <c r="D228" s="773">
        <v>1592</v>
      </c>
      <c r="E228" s="773" t="str">
        <f t="shared" si="9"/>
        <v>N</v>
      </c>
      <c r="S228" s="27">
        <v>44196</v>
      </c>
      <c r="T228" s="773" t="s">
        <v>132</v>
      </c>
      <c r="U228" s="773">
        <v>190</v>
      </c>
      <c r="V228" s="773">
        <v>6</v>
      </c>
      <c r="W228" s="773" t="str">
        <f t="shared" si="10"/>
        <v>O</v>
      </c>
    </row>
    <row r="229" spans="1:23">
      <c r="A229" s="27">
        <v>44500</v>
      </c>
      <c r="B229" s="773" t="s">
        <v>140</v>
      </c>
      <c r="C229" s="773">
        <v>383</v>
      </c>
      <c r="D229" s="773">
        <v>4</v>
      </c>
      <c r="E229" s="773" t="str">
        <f t="shared" si="9"/>
        <v>O</v>
      </c>
      <c r="S229" s="27">
        <v>44196</v>
      </c>
      <c r="T229" s="773" t="s">
        <v>132</v>
      </c>
      <c r="U229" s="773">
        <v>191</v>
      </c>
      <c r="V229" s="773">
        <v>1701</v>
      </c>
      <c r="W229" s="773" t="str">
        <f t="shared" si="10"/>
        <v>N</v>
      </c>
    </row>
    <row r="230" spans="1:23">
      <c r="A230" s="27">
        <v>44500</v>
      </c>
      <c r="B230" s="773" t="s">
        <v>140</v>
      </c>
      <c r="C230" s="773">
        <v>639</v>
      </c>
      <c r="D230" s="773">
        <v>85</v>
      </c>
      <c r="E230" s="773" t="str">
        <f t="shared" si="9"/>
        <v>O</v>
      </c>
      <c r="S230" s="27">
        <v>44196</v>
      </c>
      <c r="T230" s="773" t="s">
        <v>132</v>
      </c>
      <c r="U230" s="773">
        <v>193</v>
      </c>
      <c r="V230" s="773">
        <v>2022</v>
      </c>
      <c r="W230" s="773" t="str">
        <f t="shared" si="10"/>
        <v>N</v>
      </c>
    </row>
    <row r="231" spans="1:23">
      <c r="A231" s="27">
        <v>44500</v>
      </c>
      <c r="B231" s="773" t="s">
        <v>140</v>
      </c>
      <c r="C231" s="773">
        <v>760</v>
      </c>
      <c r="D231" s="773">
        <v>73</v>
      </c>
      <c r="E231" s="773" t="str">
        <f t="shared" si="9"/>
        <v>O</v>
      </c>
      <c r="S231" s="27">
        <v>44196</v>
      </c>
      <c r="T231" s="773" t="s">
        <v>132</v>
      </c>
      <c r="U231" s="773">
        <v>194</v>
      </c>
      <c r="V231" s="773">
        <v>1672</v>
      </c>
      <c r="W231" s="773" t="str">
        <f t="shared" si="10"/>
        <v>N</v>
      </c>
    </row>
    <row r="232" spans="1:23">
      <c r="A232" s="27">
        <v>44500</v>
      </c>
      <c r="B232" s="773" t="s">
        <v>140</v>
      </c>
      <c r="C232" s="773">
        <v>610</v>
      </c>
      <c r="D232" s="773">
        <v>2953</v>
      </c>
      <c r="E232" s="773" t="str">
        <f t="shared" si="9"/>
        <v>N</v>
      </c>
      <c r="S232" s="27">
        <v>44196</v>
      </c>
      <c r="T232" s="773" t="s">
        <v>132</v>
      </c>
      <c r="U232" s="773">
        <v>195</v>
      </c>
      <c r="V232" s="773">
        <v>1</v>
      </c>
      <c r="W232" s="773" t="str">
        <f t="shared" si="10"/>
        <v>O</v>
      </c>
    </row>
    <row r="233" spans="1:23">
      <c r="A233" s="27">
        <v>44500</v>
      </c>
      <c r="B233" s="773" t="s">
        <v>140</v>
      </c>
      <c r="C233" s="773">
        <v>710</v>
      </c>
      <c r="D233" s="773">
        <v>2736</v>
      </c>
      <c r="E233" s="773" t="str">
        <f t="shared" si="9"/>
        <v>N</v>
      </c>
      <c r="S233" s="27">
        <v>44196</v>
      </c>
      <c r="T233" s="773" t="s">
        <v>132</v>
      </c>
      <c r="U233" s="773">
        <v>200</v>
      </c>
      <c r="V233" s="773">
        <v>2</v>
      </c>
      <c r="W233" s="773" t="str">
        <f t="shared" si="10"/>
        <v>O</v>
      </c>
    </row>
    <row r="234" spans="1:23">
      <c r="A234" s="27">
        <v>44500</v>
      </c>
      <c r="B234" s="773" t="s">
        <v>140</v>
      </c>
      <c r="C234" s="773">
        <v>626</v>
      </c>
      <c r="D234" s="773">
        <v>2478</v>
      </c>
      <c r="E234" s="773" t="str">
        <f t="shared" si="9"/>
        <v>N</v>
      </c>
      <c r="S234" s="27">
        <v>44196</v>
      </c>
      <c r="T234" s="773" t="s">
        <v>132</v>
      </c>
      <c r="U234" s="773">
        <v>203</v>
      </c>
      <c r="V234" s="773">
        <v>1663</v>
      </c>
      <c r="W234" s="773" t="str">
        <f t="shared" si="10"/>
        <v>N</v>
      </c>
    </row>
    <row r="235" spans="1:23">
      <c r="A235" s="27">
        <v>44500</v>
      </c>
      <c r="B235" s="773" t="s">
        <v>140</v>
      </c>
      <c r="C235" s="773">
        <v>548</v>
      </c>
      <c r="D235" s="773">
        <v>543</v>
      </c>
      <c r="E235" s="773" t="str">
        <f t="shared" si="9"/>
        <v>N</v>
      </c>
      <c r="S235" s="27">
        <v>44196</v>
      </c>
      <c r="T235" s="773" t="s">
        <v>132</v>
      </c>
      <c r="U235" s="773">
        <v>204</v>
      </c>
      <c r="V235" s="773">
        <v>15</v>
      </c>
      <c r="W235" s="773" t="str">
        <f t="shared" si="10"/>
        <v>O</v>
      </c>
    </row>
    <row r="236" spans="1:23">
      <c r="A236" s="27">
        <v>44500</v>
      </c>
      <c r="B236" s="773" t="s">
        <v>140</v>
      </c>
      <c r="C236" s="773">
        <v>628</v>
      </c>
      <c r="D236" s="773">
        <v>1592</v>
      </c>
      <c r="E236" s="773" t="str">
        <f t="shared" si="9"/>
        <v>N</v>
      </c>
      <c r="S236" s="27">
        <v>44196</v>
      </c>
      <c r="T236" s="773" t="s">
        <v>132</v>
      </c>
      <c r="U236" s="773">
        <v>212</v>
      </c>
      <c r="V236" s="773">
        <v>2487</v>
      </c>
      <c r="W236" s="773" t="str">
        <f t="shared" si="10"/>
        <v>N</v>
      </c>
    </row>
    <row r="237" spans="1:23">
      <c r="A237" s="27">
        <v>44135</v>
      </c>
      <c r="B237" s="773" t="s">
        <v>140</v>
      </c>
      <c r="C237" s="773">
        <v>610</v>
      </c>
      <c r="D237" s="773">
        <v>3247</v>
      </c>
      <c r="E237" s="773" t="str">
        <f t="shared" si="9"/>
        <v>N</v>
      </c>
      <c r="S237" s="27">
        <v>44196</v>
      </c>
      <c r="T237" s="773" t="s">
        <v>132</v>
      </c>
      <c r="U237" s="773">
        <v>213</v>
      </c>
      <c r="V237" s="773">
        <v>2488</v>
      </c>
      <c r="W237" s="773" t="str">
        <f t="shared" si="10"/>
        <v>N</v>
      </c>
    </row>
    <row r="238" spans="1:23">
      <c r="A238" s="27">
        <v>44530</v>
      </c>
      <c r="B238" s="773" t="s">
        <v>140</v>
      </c>
      <c r="C238" s="773">
        <v>502</v>
      </c>
      <c r="D238" s="773">
        <v>12</v>
      </c>
      <c r="E238" s="773" t="s">
        <v>410</v>
      </c>
      <c r="S238" s="27">
        <v>44196</v>
      </c>
      <c r="T238" s="773" t="s">
        <v>132</v>
      </c>
      <c r="U238" s="773">
        <v>215</v>
      </c>
      <c r="V238" s="773">
        <v>476</v>
      </c>
      <c r="W238" s="773" t="str">
        <f t="shared" si="10"/>
        <v>N</v>
      </c>
    </row>
    <row r="239" spans="1:23">
      <c r="A239" s="27">
        <v>44530</v>
      </c>
      <c r="B239" s="773" t="s">
        <v>140</v>
      </c>
      <c r="C239" s="773">
        <v>485</v>
      </c>
      <c r="D239" s="773">
        <v>1312</v>
      </c>
      <c r="E239" s="773" t="s">
        <v>390</v>
      </c>
      <c r="S239" s="27">
        <v>44196</v>
      </c>
      <c r="T239" s="773" t="s">
        <v>132</v>
      </c>
      <c r="U239" s="773">
        <v>216</v>
      </c>
      <c r="V239" s="773">
        <v>1965</v>
      </c>
      <c r="W239" s="773" t="str">
        <f t="shared" si="10"/>
        <v>N</v>
      </c>
    </row>
    <row r="240" spans="1:23">
      <c r="A240" s="27">
        <v>44165</v>
      </c>
      <c r="B240" s="773" t="s">
        <v>140</v>
      </c>
      <c r="C240" s="773">
        <v>601</v>
      </c>
      <c r="D240" s="773">
        <v>4</v>
      </c>
      <c r="E240" s="773" t="s">
        <v>410</v>
      </c>
      <c r="S240" s="27">
        <v>44196</v>
      </c>
      <c r="T240" s="773" t="s">
        <v>132</v>
      </c>
      <c r="U240" s="773">
        <v>218</v>
      </c>
      <c r="V240" s="773">
        <v>855</v>
      </c>
      <c r="W240" s="773" t="str">
        <f t="shared" si="10"/>
        <v>N</v>
      </c>
    </row>
    <row r="241" spans="1:23">
      <c r="A241" s="27">
        <v>44530</v>
      </c>
      <c r="B241" s="773" t="s">
        <v>140</v>
      </c>
      <c r="C241" s="773">
        <v>510</v>
      </c>
      <c r="D241" s="773">
        <v>908</v>
      </c>
      <c r="E241" s="773" t="s">
        <v>390</v>
      </c>
      <c r="S241" s="27">
        <v>44196</v>
      </c>
      <c r="T241" s="773" t="s">
        <v>132</v>
      </c>
      <c r="U241" s="773">
        <v>220</v>
      </c>
      <c r="V241" s="773">
        <v>1</v>
      </c>
      <c r="W241" s="773" t="str">
        <f t="shared" si="10"/>
        <v>O</v>
      </c>
    </row>
    <row r="242" spans="1:23">
      <c r="A242" s="27">
        <v>44165</v>
      </c>
      <c r="B242" s="773" t="s">
        <v>140</v>
      </c>
      <c r="C242" s="773">
        <v>370</v>
      </c>
      <c r="D242" s="773">
        <v>2</v>
      </c>
      <c r="E242" s="773" t="s">
        <v>410</v>
      </c>
      <c r="S242" s="27">
        <v>44196</v>
      </c>
      <c r="T242" s="773" t="s">
        <v>132</v>
      </c>
      <c r="U242" s="773">
        <v>222</v>
      </c>
      <c r="V242" s="773">
        <v>3</v>
      </c>
      <c r="W242" s="773" t="str">
        <f t="shared" si="10"/>
        <v>O</v>
      </c>
    </row>
    <row r="243" spans="1:23">
      <c r="A243" s="27">
        <v>44165</v>
      </c>
      <c r="B243" s="773" t="s">
        <v>140</v>
      </c>
      <c r="C243" s="773">
        <v>710</v>
      </c>
      <c r="D243" s="773">
        <v>2901</v>
      </c>
      <c r="E243" s="773" t="s">
        <v>390</v>
      </c>
      <c r="S243" s="27">
        <v>44196</v>
      </c>
      <c r="T243" s="773" t="s">
        <v>132</v>
      </c>
      <c r="U243" s="773">
        <v>231</v>
      </c>
      <c r="V243" s="773">
        <v>2</v>
      </c>
      <c r="W243" s="773" t="str">
        <f t="shared" si="10"/>
        <v>O</v>
      </c>
    </row>
    <row r="244" spans="1:23">
      <c r="A244" s="27">
        <v>44165</v>
      </c>
      <c r="B244" s="773" t="s">
        <v>140</v>
      </c>
      <c r="C244" s="773">
        <v>478</v>
      </c>
      <c r="D244" s="773">
        <v>2293</v>
      </c>
      <c r="E244" s="773" t="s">
        <v>390</v>
      </c>
      <c r="S244" s="27">
        <v>44196</v>
      </c>
      <c r="T244" s="773" t="s">
        <v>132</v>
      </c>
      <c r="U244" s="773">
        <v>232</v>
      </c>
      <c r="V244" s="773">
        <v>110</v>
      </c>
      <c r="W244" s="773" t="str">
        <f t="shared" si="10"/>
        <v>N</v>
      </c>
    </row>
    <row r="245" spans="1:23">
      <c r="A245" s="27">
        <v>44165</v>
      </c>
      <c r="B245" s="773" t="s">
        <v>140</v>
      </c>
      <c r="C245" s="773">
        <v>739</v>
      </c>
      <c r="D245" s="773">
        <v>3</v>
      </c>
      <c r="E245" s="773" t="s">
        <v>410</v>
      </c>
      <c r="S245" s="27">
        <v>44196</v>
      </c>
      <c r="T245" s="773" t="s">
        <v>132</v>
      </c>
      <c r="U245" s="773">
        <v>233</v>
      </c>
      <c r="V245" s="773">
        <v>10123</v>
      </c>
      <c r="W245" s="773" t="str">
        <f t="shared" si="10"/>
        <v>N</v>
      </c>
    </row>
    <row r="246" spans="1:23">
      <c r="A246" s="27">
        <v>44530</v>
      </c>
      <c r="B246" s="773" t="s">
        <v>140</v>
      </c>
      <c r="C246" s="773">
        <v>525</v>
      </c>
      <c r="D246" s="773">
        <v>3359</v>
      </c>
      <c r="E246" s="773" t="s">
        <v>390</v>
      </c>
      <c r="S246" s="27">
        <v>44196</v>
      </c>
      <c r="T246" s="773" t="s">
        <v>132</v>
      </c>
      <c r="U246" s="773">
        <v>237</v>
      </c>
      <c r="V246" s="773">
        <v>22</v>
      </c>
      <c r="W246" s="773" t="str">
        <f t="shared" si="10"/>
        <v>O</v>
      </c>
    </row>
    <row r="247" spans="1:23">
      <c r="A247" s="27">
        <v>44530</v>
      </c>
      <c r="B247" s="773" t="s">
        <v>140</v>
      </c>
      <c r="C247" s="773">
        <v>198</v>
      </c>
      <c r="D247" s="773">
        <v>4</v>
      </c>
      <c r="E247" s="773" t="s">
        <v>410</v>
      </c>
      <c r="S247" s="27">
        <v>44196</v>
      </c>
      <c r="T247" s="773" t="s">
        <v>132</v>
      </c>
      <c r="U247" s="773">
        <v>238</v>
      </c>
      <c r="V247" s="773">
        <v>2</v>
      </c>
      <c r="W247" s="773" t="str">
        <f t="shared" si="10"/>
        <v>O</v>
      </c>
    </row>
    <row r="248" spans="1:23">
      <c r="A248" s="27">
        <v>44165</v>
      </c>
      <c r="B248" s="773" t="s">
        <v>140</v>
      </c>
      <c r="C248" s="773">
        <v>510</v>
      </c>
      <c r="D248" s="773">
        <v>915</v>
      </c>
      <c r="E248" s="773" t="s">
        <v>390</v>
      </c>
      <c r="S248" s="27">
        <v>44196</v>
      </c>
      <c r="T248" s="773" t="s">
        <v>132</v>
      </c>
      <c r="U248" s="773">
        <v>239</v>
      </c>
      <c r="V248" s="773">
        <v>2752</v>
      </c>
      <c r="W248" s="773" t="str">
        <f t="shared" si="10"/>
        <v>N</v>
      </c>
    </row>
    <row r="249" spans="1:23">
      <c r="A249" s="27">
        <v>44530</v>
      </c>
      <c r="B249" s="773" t="s">
        <v>140</v>
      </c>
      <c r="C249" s="773">
        <v>585</v>
      </c>
      <c r="D249" s="773">
        <v>2229</v>
      </c>
      <c r="E249" s="773" t="s">
        <v>390</v>
      </c>
      <c r="S249" s="27">
        <v>44196</v>
      </c>
      <c r="T249" s="773" t="s">
        <v>132</v>
      </c>
      <c r="U249" s="773">
        <v>240</v>
      </c>
      <c r="V249" s="773">
        <v>3</v>
      </c>
      <c r="W249" s="773" t="str">
        <f t="shared" si="10"/>
        <v>O</v>
      </c>
    </row>
    <row r="250" spans="1:23">
      <c r="A250" s="27">
        <v>44530</v>
      </c>
      <c r="B250" s="773" t="s">
        <v>140</v>
      </c>
      <c r="C250" s="773">
        <v>597</v>
      </c>
      <c r="D250" s="773">
        <v>1184</v>
      </c>
      <c r="E250" s="773" t="s">
        <v>390</v>
      </c>
      <c r="S250" s="27">
        <v>44196</v>
      </c>
      <c r="T250" s="773" t="s">
        <v>132</v>
      </c>
      <c r="U250" s="773">
        <v>241</v>
      </c>
      <c r="V250" s="773">
        <v>17</v>
      </c>
      <c r="W250" s="773" t="str">
        <f t="shared" si="10"/>
        <v>O</v>
      </c>
    </row>
    <row r="251" spans="1:23">
      <c r="A251" s="27">
        <v>44530</v>
      </c>
      <c r="B251" s="773" t="s">
        <v>140</v>
      </c>
      <c r="C251" s="773">
        <v>639</v>
      </c>
      <c r="D251" s="773">
        <v>77</v>
      </c>
      <c r="E251" s="773" t="s">
        <v>410</v>
      </c>
      <c r="S251" s="27">
        <v>44196</v>
      </c>
      <c r="T251" s="773" t="s">
        <v>132</v>
      </c>
      <c r="U251" s="773">
        <v>243</v>
      </c>
      <c r="V251" s="773">
        <v>541</v>
      </c>
      <c r="W251" s="773" t="str">
        <f t="shared" si="10"/>
        <v>N</v>
      </c>
    </row>
    <row r="252" spans="1:23">
      <c r="A252" s="27">
        <v>44530</v>
      </c>
      <c r="B252" s="773" t="s">
        <v>140</v>
      </c>
      <c r="C252" s="773">
        <v>719</v>
      </c>
      <c r="D252" s="773">
        <v>24</v>
      </c>
      <c r="E252" s="773" t="s">
        <v>410</v>
      </c>
      <c r="S252" s="27">
        <v>44196</v>
      </c>
      <c r="T252" s="773" t="s">
        <v>132</v>
      </c>
      <c r="U252" s="773">
        <v>245</v>
      </c>
      <c r="V252" s="773">
        <v>1100</v>
      </c>
      <c r="W252" s="773" t="str">
        <f t="shared" si="10"/>
        <v>N</v>
      </c>
    </row>
    <row r="253" spans="1:23">
      <c r="A253" s="27">
        <v>44165</v>
      </c>
      <c r="B253" s="773" t="s">
        <v>140</v>
      </c>
      <c r="C253" s="773">
        <v>597</v>
      </c>
      <c r="D253" s="773">
        <v>1089</v>
      </c>
      <c r="E253" s="773" t="s">
        <v>390</v>
      </c>
      <c r="S253" s="27">
        <v>44196</v>
      </c>
      <c r="T253" s="773" t="s">
        <v>132</v>
      </c>
      <c r="U253" s="773">
        <v>247</v>
      </c>
      <c r="V253" s="773">
        <v>13</v>
      </c>
      <c r="W253" s="773" t="str">
        <f t="shared" si="10"/>
        <v>O</v>
      </c>
    </row>
    <row r="254" spans="1:23">
      <c r="A254" s="27">
        <v>44530</v>
      </c>
      <c r="B254" s="773" t="s">
        <v>140</v>
      </c>
      <c r="C254" s="773">
        <v>628</v>
      </c>
      <c r="D254" s="773">
        <v>1603</v>
      </c>
      <c r="E254" s="773" t="s">
        <v>390</v>
      </c>
      <c r="S254" s="27">
        <v>44196</v>
      </c>
      <c r="T254" s="773" t="s">
        <v>132</v>
      </c>
      <c r="U254" s="773">
        <v>249</v>
      </c>
      <c r="V254" s="773">
        <v>1861</v>
      </c>
      <c r="W254" s="773" t="str">
        <f t="shared" si="10"/>
        <v>N</v>
      </c>
    </row>
    <row r="255" spans="1:23">
      <c r="A255" s="27">
        <v>44165</v>
      </c>
      <c r="B255" s="773" t="s">
        <v>140</v>
      </c>
      <c r="C255" s="773">
        <v>678</v>
      </c>
      <c r="D255" s="773">
        <v>2343</v>
      </c>
      <c r="E255" s="773" t="s">
        <v>390</v>
      </c>
      <c r="S255" s="27">
        <v>44196</v>
      </c>
      <c r="T255" s="773" t="s">
        <v>132</v>
      </c>
      <c r="U255" s="773">
        <v>251</v>
      </c>
      <c r="V255" s="773">
        <v>2263</v>
      </c>
      <c r="W255" s="773" t="str">
        <f t="shared" si="10"/>
        <v>N</v>
      </c>
    </row>
    <row r="256" spans="1:23">
      <c r="A256" s="27">
        <v>44530</v>
      </c>
      <c r="B256" s="773" t="s">
        <v>140</v>
      </c>
      <c r="C256" s="773">
        <v>640</v>
      </c>
      <c r="D256" s="773">
        <v>3063</v>
      </c>
      <c r="E256" s="773" t="s">
        <v>390</v>
      </c>
      <c r="S256" s="27">
        <v>44196</v>
      </c>
      <c r="T256" s="773" t="s">
        <v>132</v>
      </c>
      <c r="U256" s="773">
        <v>252</v>
      </c>
      <c r="V256" s="773">
        <v>1095</v>
      </c>
      <c r="W256" s="773" t="str">
        <f t="shared" si="10"/>
        <v>N</v>
      </c>
    </row>
    <row r="257" spans="1:23">
      <c r="A257" s="27">
        <v>44530</v>
      </c>
      <c r="B257" s="773" t="s">
        <v>140</v>
      </c>
      <c r="C257" s="773">
        <v>739</v>
      </c>
      <c r="D257" s="773">
        <v>1</v>
      </c>
      <c r="E257" s="773" t="s">
        <v>410</v>
      </c>
      <c r="S257" s="27">
        <v>44196</v>
      </c>
      <c r="T257" s="773" t="s">
        <v>132</v>
      </c>
      <c r="U257" s="773">
        <v>253</v>
      </c>
      <c r="V257" s="773">
        <v>2602</v>
      </c>
      <c r="W257" s="773" t="str">
        <f t="shared" si="10"/>
        <v>N</v>
      </c>
    </row>
    <row r="258" spans="1:23">
      <c r="A258" s="27">
        <v>44530</v>
      </c>
      <c r="B258" s="773" t="s">
        <v>140</v>
      </c>
      <c r="C258" s="773">
        <v>379</v>
      </c>
      <c r="D258" s="773">
        <v>1</v>
      </c>
      <c r="E258" s="773" t="s">
        <v>410</v>
      </c>
      <c r="S258" s="27">
        <v>44196</v>
      </c>
      <c r="T258" s="773" t="s">
        <v>132</v>
      </c>
      <c r="U258" s="773">
        <v>254</v>
      </c>
      <c r="V258" s="773">
        <v>8</v>
      </c>
      <c r="W258" s="773" t="str">
        <f t="shared" si="10"/>
        <v>O</v>
      </c>
    </row>
    <row r="259" spans="1:23">
      <c r="A259" s="27">
        <v>44165</v>
      </c>
      <c r="B259" s="773" t="s">
        <v>140</v>
      </c>
      <c r="C259" s="773">
        <v>548</v>
      </c>
      <c r="D259" s="773">
        <v>518</v>
      </c>
      <c r="E259" s="773" t="s">
        <v>390</v>
      </c>
      <c r="S259" s="27">
        <v>44196</v>
      </c>
      <c r="T259" s="773" t="s">
        <v>132</v>
      </c>
      <c r="U259" s="773">
        <v>255</v>
      </c>
      <c r="V259" s="773">
        <v>1767</v>
      </c>
      <c r="W259" s="773" t="str">
        <f t="shared" ref="W259:W322" si="11">+IF(V259&lt;100,"O","N")</f>
        <v>N</v>
      </c>
    </row>
    <row r="260" spans="1:23">
      <c r="A260" s="27">
        <v>44530</v>
      </c>
      <c r="B260" s="773" t="s">
        <v>140</v>
      </c>
      <c r="C260" s="773">
        <v>248</v>
      </c>
      <c r="D260" s="773">
        <v>452</v>
      </c>
      <c r="E260" s="773" t="s">
        <v>390</v>
      </c>
      <c r="S260" s="27">
        <v>44196</v>
      </c>
      <c r="T260" s="773" t="s">
        <v>132</v>
      </c>
      <c r="U260" s="773">
        <v>256</v>
      </c>
      <c r="V260" s="773">
        <v>2118</v>
      </c>
      <c r="W260" s="773" t="str">
        <f t="shared" si="11"/>
        <v>N</v>
      </c>
    </row>
    <row r="261" spans="1:23">
      <c r="A261" s="27">
        <v>44165</v>
      </c>
      <c r="B261" s="773" t="s">
        <v>140</v>
      </c>
      <c r="C261" s="773">
        <v>732</v>
      </c>
      <c r="D261" s="773">
        <v>7</v>
      </c>
      <c r="E261" s="773" t="s">
        <v>410</v>
      </c>
      <c r="S261" s="27">
        <v>44196</v>
      </c>
      <c r="T261" s="773" t="s">
        <v>132</v>
      </c>
      <c r="U261" s="773">
        <v>257</v>
      </c>
      <c r="V261" s="773">
        <v>1810</v>
      </c>
      <c r="W261" s="773" t="str">
        <f t="shared" si="11"/>
        <v>N</v>
      </c>
    </row>
    <row r="262" spans="1:23">
      <c r="A262" s="27">
        <v>44165</v>
      </c>
      <c r="B262" s="773" t="s">
        <v>140</v>
      </c>
      <c r="C262" s="773">
        <v>585</v>
      </c>
      <c r="D262" s="773">
        <v>2558</v>
      </c>
      <c r="E262" s="773" t="s">
        <v>390</v>
      </c>
      <c r="S262" s="27">
        <v>44196</v>
      </c>
      <c r="T262" s="773" t="s">
        <v>132</v>
      </c>
      <c r="U262" s="773">
        <v>262</v>
      </c>
      <c r="V262" s="773">
        <v>79</v>
      </c>
      <c r="W262" s="773" t="str">
        <f t="shared" si="11"/>
        <v>O</v>
      </c>
    </row>
    <row r="263" spans="1:23">
      <c r="A263" s="27">
        <v>44530</v>
      </c>
      <c r="B263" s="773" t="s">
        <v>140</v>
      </c>
      <c r="C263" s="773">
        <v>608</v>
      </c>
      <c r="D263" s="773">
        <v>2667</v>
      </c>
      <c r="E263" s="773" t="s">
        <v>390</v>
      </c>
      <c r="S263" s="27">
        <v>44196</v>
      </c>
      <c r="T263" s="773" t="s">
        <v>132</v>
      </c>
      <c r="U263" s="773">
        <v>264</v>
      </c>
      <c r="V263" s="773">
        <v>778</v>
      </c>
      <c r="W263" s="773" t="str">
        <f t="shared" si="11"/>
        <v>N</v>
      </c>
    </row>
    <row r="264" spans="1:23">
      <c r="A264" s="27">
        <v>44530</v>
      </c>
      <c r="B264" s="773" t="s">
        <v>140</v>
      </c>
      <c r="C264" s="773">
        <v>659</v>
      </c>
      <c r="D264" s="773">
        <v>700</v>
      </c>
      <c r="E264" s="773" t="s">
        <v>390</v>
      </c>
      <c r="S264" s="27">
        <v>44196</v>
      </c>
      <c r="T264" s="773" t="s">
        <v>132</v>
      </c>
      <c r="U264" s="773">
        <v>265</v>
      </c>
      <c r="V264" s="773">
        <v>1086</v>
      </c>
      <c r="W264" s="773" t="str">
        <f t="shared" si="11"/>
        <v>N</v>
      </c>
    </row>
    <row r="265" spans="1:23">
      <c r="A265" s="27">
        <v>44165</v>
      </c>
      <c r="B265" s="773" t="s">
        <v>140</v>
      </c>
      <c r="C265" s="773">
        <v>628</v>
      </c>
      <c r="D265" s="773">
        <v>1468</v>
      </c>
      <c r="E265" s="773" t="s">
        <v>390</v>
      </c>
      <c r="S265" s="27">
        <v>44196</v>
      </c>
      <c r="T265" s="773" t="s">
        <v>132</v>
      </c>
      <c r="U265" s="773">
        <v>266</v>
      </c>
      <c r="V265" s="773">
        <v>1912</v>
      </c>
      <c r="W265" s="773" t="str">
        <f t="shared" si="11"/>
        <v>N</v>
      </c>
    </row>
    <row r="266" spans="1:23">
      <c r="A266" s="27">
        <v>44165</v>
      </c>
      <c r="B266" s="773" t="s">
        <v>140</v>
      </c>
      <c r="C266" s="773">
        <v>558</v>
      </c>
      <c r="D266" s="773">
        <v>1405</v>
      </c>
      <c r="E266" s="773" t="s">
        <v>390</v>
      </c>
      <c r="S266" s="27">
        <v>44196</v>
      </c>
      <c r="T266" s="773" t="s">
        <v>132</v>
      </c>
      <c r="U266" s="773">
        <v>267</v>
      </c>
      <c r="V266" s="773">
        <v>1</v>
      </c>
      <c r="W266" s="773" t="str">
        <f t="shared" si="11"/>
        <v>O</v>
      </c>
    </row>
    <row r="267" spans="1:23">
      <c r="A267" s="27">
        <v>44165</v>
      </c>
      <c r="B267" s="773" t="s">
        <v>140</v>
      </c>
      <c r="C267" s="773">
        <v>640</v>
      </c>
      <c r="D267" s="773">
        <v>3467</v>
      </c>
      <c r="E267" s="773" t="s">
        <v>390</v>
      </c>
      <c r="S267" s="27">
        <v>44196</v>
      </c>
      <c r="T267" s="773" t="s">
        <v>132</v>
      </c>
      <c r="U267" s="773">
        <v>269</v>
      </c>
      <c r="V267" s="773">
        <v>1</v>
      </c>
      <c r="W267" s="773" t="str">
        <f t="shared" si="11"/>
        <v>O</v>
      </c>
    </row>
    <row r="268" spans="1:23">
      <c r="A268" s="27">
        <v>44530</v>
      </c>
      <c r="B268" s="773" t="s">
        <v>140</v>
      </c>
      <c r="C268" s="773">
        <v>530</v>
      </c>
      <c r="D268" s="773">
        <v>1</v>
      </c>
      <c r="E268" s="773" t="s">
        <v>410</v>
      </c>
      <c r="S268" s="27">
        <v>44196</v>
      </c>
      <c r="T268" s="773" t="s">
        <v>132</v>
      </c>
      <c r="U268" s="773">
        <v>271</v>
      </c>
      <c r="V268" s="773">
        <v>1452</v>
      </c>
      <c r="W268" s="773" t="str">
        <f t="shared" si="11"/>
        <v>N</v>
      </c>
    </row>
    <row r="269" spans="1:23">
      <c r="A269" s="27">
        <v>44530</v>
      </c>
      <c r="B269" s="773" t="s">
        <v>140</v>
      </c>
      <c r="C269" s="773">
        <v>478</v>
      </c>
      <c r="D269" s="773">
        <v>1991</v>
      </c>
      <c r="E269" s="773" t="s">
        <v>390</v>
      </c>
      <c r="S269" s="27">
        <v>44196</v>
      </c>
      <c r="T269" s="773" t="s">
        <v>132</v>
      </c>
      <c r="U269" s="773">
        <v>275</v>
      </c>
      <c r="V269" s="773">
        <v>1240</v>
      </c>
      <c r="W269" s="773" t="str">
        <f t="shared" si="11"/>
        <v>N</v>
      </c>
    </row>
    <row r="270" spans="1:23">
      <c r="A270" s="27">
        <v>44165</v>
      </c>
      <c r="B270" s="773" t="s">
        <v>140</v>
      </c>
      <c r="C270" s="773">
        <v>338</v>
      </c>
      <c r="D270" s="773">
        <v>3203</v>
      </c>
      <c r="E270" s="773" t="s">
        <v>390</v>
      </c>
      <c r="S270" s="27">
        <v>44196</v>
      </c>
      <c r="T270" s="773" t="s">
        <v>132</v>
      </c>
      <c r="U270" s="773">
        <v>276</v>
      </c>
      <c r="V270" s="773">
        <v>1</v>
      </c>
      <c r="W270" s="773" t="str">
        <f t="shared" si="11"/>
        <v>O</v>
      </c>
    </row>
    <row r="271" spans="1:23">
      <c r="A271" s="27">
        <v>44165</v>
      </c>
      <c r="B271" s="773" t="s">
        <v>140</v>
      </c>
      <c r="C271" s="773">
        <v>278</v>
      </c>
      <c r="D271" s="773">
        <v>1</v>
      </c>
      <c r="E271" s="773" t="s">
        <v>410</v>
      </c>
      <c r="S271" s="27">
        <v>44196</v>
      </c>
      <c r="T271" s="773" t="s">
        <v>132</v>
      </c>
      <c r="U271" s="773">
        <v>279</v>
      </c>
      <c r="V271" s="773">
        <v>947</v>
      </c>
      <c r="W271" s="773" t="str">
        <f t="shared" si="11"/>
        <v>N</v>
      </c>
    </row>
    <row r="272" spans="1:23">
      <c r="A272" s="27">
        <v>44165</v>
      </c>
      <c r="B272" s="773" t="s">
        <v>140</v>
      </c>
      <c r="C272" s="773">
        <v>359</v>
      </c>
      <c r="D272" s="773">
        <v>563</v>
      </c>
      <c r="E272" s="773" t="s">
        <v>390</v>
      </c>
      <c r="S272" s="27">
        <v>44196</v>
      </c>
      <c r="T272" s="773" t="s">
        <v>132</v>
      </c>
      <c r="U272" s="773">
        <v>290</v>
      </c>
      <c r="V272" s="773">
        <v>2019</v>
      </c>
      <c r="W272" s="773" t="str">
        <f t="shared" si="11"/>
        <v>N</v>
      </c>
    </row>
    <row r="273" spans="1:23">
      <c r="A273" s="27">
        <v>44530</v>
      </c>
      <c r="B273" s="773" t="s">
        <v>140</v>
      </c>
      <c r="C273" s="773">
        <v>540</v>
      </c>
      <c r="D273" s="773">
        <v>1</v>
      </c>
      <c r="E273" s="773" t="s">
        <v>410</v>
      </c>
      <c r="S273" s="27">
        <v>44196</v>
      </c>
      <c r="T273" s="773" t="s">
        <v>132</v>
      </c>
      <c r="U273" s="773">
        <v>291</v>
      </c>
      <c r="V273" s="773">
        <v>1843</v>
      </c>
      <c r="W273" s="773" t="str">
        <f t="shared" si="11"/>
        <v>N</v>
      </c>
    </row>
    <row r="274" spans="1:23">
      <c r="A274" s="27">
        <v>44530</v>
      </c>
      <c r="B274" s="773" t="s">
        <v>140</v>
      </c>
      <c r="C274" s="773">
        <v>453</v>
      </c>
      <c r="D274" s="773">
        <v>2313</v>
      </c>
      <c r="E274" s="773" t="s">
        <v>390</v>
      </c>
      <c r="S274" s="27">
        <v>44196</v>
      </c>
      <c r="T274" s="773" t="s">
        <v>132</v>
      </c>
      <c r="U274" s="773">
        <v>292</v>
      </c>
      <c r="V274" s="773">
        <v>8</v>
      </c>
      <c r="W274" s="773" t="str">
        <f t="shared" si="11"/>
        <v>O</v>
      </c>
    </row>
    <row r="275" spans="1:23">
      <c r="A275" s="27">
        <v>44530</v>
      </c>
      <c r="B275" s="773" t="s">
        <v>140</v>
      </c>
      <c r="C275" s="773">
        <v>476</v>
      </c>
      <c r="D275" s="773">
        <v>1</v>
      </c>
      <c r="E275" s="773" t="s">
        <v>410</v>
      </c>
      <c r="S275" s="27">
        <v>44196</v>
      </c>
      <c r="T275" s="773" t="s">
        <v>132</v>
      </c>
      <c r="U275" s="773">
        <v>293</v>
      </c>
      <c r="V275" s="773">
        <v>438</v>
      </c>
      <c r="W275" s="773" t="str">
        <f t="shared" si="11"/>
        <v>N</v>
      </c>
    </row>
    <row r="276" spans="1:23">
      <c r="A276" s="27">
        <v>44530</v>
      </c>
      <c r="B276" s="773" t="s">
        <v>140</v>
      </c>
      <c r="C276" s="773">
        <v>346</v>
      </c>
      <c r="D276" s="773">
        <v>3</v>
      </c>
      <c r="E276" s="773" t="s">
        <v>410</v>
      </c>
      <c r="S276" s="27">
        <v>44196</v>
      </c>
      <c r="T276" s="773" t="s">
        <v>132</v>
      </c>
      <c r="U276" s="773">
        <v>294</v>
      </c>
      <c r="V276" s="773">
        <v>9</v>
      </c>
      <c r="W276" s="773" t="str">
        <f t="shared" si="11"/>
        <v>O</v>
      </c>
    </row>
    <row r="277" spans="1:23">
      <c r="A277" s="27">
        <v>44530</v>
      </c>
      <c r="B277" s="773" t="s">
        <v>140</v>
      </c>
      <c r="C277" s="773">
        <v>626</v>
      </c>
      <c r="D277" s="773">
        <v>2471</v>
      </c>
      <c r="E277" s="773" t="s">
        <v>390</v>
      </c>
      <c r="S277" s="27">
        <v>44196</v>
      </c>
      <c r="T277" s="773" t="s">
        <v>132</v>
      </c>
      <c r="U277" s="773">
        <v>295</v>
      </c>
      <c r="V277" s="773">
        <v>3</v>
      </c>
      <c r="W277" s="773" t="str">
        <f t="shared" si="11"/>
        <v>O</v>
      </c>
    </row>
    <row r="278" spans="1:23">
      <c r="A278" s="27">
        <v>44530</v>
      </c>
      <c r="B278" s="773" t="s">
        <v>140</v>
      </c>
      <c r="C278" s="773">
        <v>760</v>
      </c>
      <c r="D278" s="773">
        <v>73</v>
      </c>
      <c r="E278" s="773" t="s">
        <v>410</v>
      </c>
      <c r="S278" s="27">
        <v>44196</v>
      </c>
      <c r="T278" s="773" t="s">
        <v>132</v>
      </c>
      <c r="U278" s="773">
        <v>296</v>
      </c>
      <c r="V278" s="773">
        <v>1700</v>
      </c>
      <c r="W278" s="773" t="str">
        <f t="shared" si="11"/>
        <v>N</v>
      </c>
    </row>
    <row r="279" spans="1:23">
      <c r="A279" s="27">
        <v>44530</v>
      </c>
      <c r="B279" s="773" t="s">
        <v>140</v>
      </c>
      <c r="C279" s="773">
        <v>740</v>
      </c>
      <c r="D279" s="773">
        <v>526</v>
      </c>
      <c r="E279" s="773" t="s">
        <v>390</v>
      </c>
      <c r="S279" s="27">
        <v>44196</v>
      </c>
      <c r="T279" s="773" t="s">
        <v>132</v>
      </c>
      <c r="U279" s="773">
        <v>299</v>
      </c>
      <c r="V279" s="773">
        <v>1</v>
      </c>
      <c r="W279" s="773" t="str">
        <f t="shared" si="11"/>
        <v>O</v>
      </c>
    </row>
    <row r="280" spans="1:23">
      <c r="A280" s="27">
        <v>44530</v>
      </c>
      <c r="B280" s="773" t="s">
        <v>140</v>
      </c>
      <c r="C280" s="773">
        <v>449</v>
      </c>
      <c r="D280" s="773">
        <v>1872</v>
      </c>
      <c r="E280" s="773" t="s">
        <v>390</v>
      </c>
      <c r="S280" s="27">
        <v>44196</v>
      </c>
      <c r="T280" s="773" t="s">
        <v>132</v>
      </c>
      <c r="U280" s="773">
        <v>303</v>
      </c>
      <c r="V280" s="773">
        <v>2322</v>
      </c>
      <c r="W280" s="773" t="str">
        <f t="shared" si="11"/>
        <v>N</v>
      </c>
    </row>
    <row r="281" spans="1:23">
      <c r="A281" s="27">
        <v>44530</v>
      </c>
      <c r="B281" s="773" t="s">
        <v>140</v>
      </c>
      <c r="C281" s="773">
        <v>630</v>
      </c>
      <c r="D281" s="773">
        <v>1</v>
      </c>
      <c r="E281" s="773" t="s">
        <v>410</v>
      </c>
      <c r="S281" s="27">
        <v>44196</v>
      </c>
      <c r="T281" s="773" t="s">
        <v>132</v>
      </c>
      <c r="U281" s="773">
        <v>304</v>
      </c>
      <c r="V281" s="773">
        <v>79</v>
      </c>
      <c r="W281" s="773" t="str">
        <f t="shared" si="11"/>
        <v>O</v>
      </c>
    </row>
    <row r="282" spans="1:23">
      <c r="A282" s="27">
        <v>44530</v>
      </c>
      <c r="B282" s="773" t="s">
        <v>140</v>
      </c>
      <c r="C282" s="773">
        <v>648</v>
      </c>
      <c r="D282" s="773">
        <v>1344</v>
      </c>
      <c r="E282" s="773" t="s">
        <v>390</v>
      </c>
      <c r="S282" s="27">
        <v>44196</v>
      </c>
      <c r="T282" s="773" t="s">
        <v>132</v>
      </c>
      <c r="U282" s="773">
        <v>305</v>
      </c>
      <c r="V282" s="773">
        <v>3456</v>
      </c>
      <c r="W282" s="773" t="str">
        <f t="shared" si="11"/>
        <v>N</v>
      </c>
    </row>
    <row r="283" spans="1:23">
      <c r="A283" s="27">
        <v>44165</v>
      </c>
      <c r="B283" s="773" t="s">
        <v>140</v>
      </c>
      <c r="C283" s="773">
        <v>674</v>
      </c>
      <c r="D283" s="773">
        <v>1547</v>
      </c>
      <c r="E283" s="773" t="s">
        <v>390</v>
      </c>
      <c r="S283" s="27">
        <v>44196</v>
      </c>
      <c r="T283" s="773" t="s">
        <v>132</v>
      </c>
      <c r="U283" s="773">
        <v>308</v>
      </c>
      <c r="V283" s="773">
        <v>479</v>
      </c>
      <c r="W283" s="773" t="str">
        <f t="shared" si="11"/>
        <v>N</v>
      </c>
    </row>
    <row r="284" spans="1:23">
      <c r="A284" s="27">
        <v>44165</v>
      </c>
      <c r="B284" s="773" t="s">
        <v>140</v>
      </c>
      <c r="C284" s="773">
        <v>248</v>
      </c>
      <c r="D284" s="773">
        <v>430</v>
      </c>
      <c r="E284" s="773" t="s">
        <v>390</v>
      </c>
      <c r="S284" s="27">
        <v>44196</v>
      </c>
      <c r="T284" s="773" t="s">
        <v>132</v>
      </c>
      <c r="U284" s="773">
        <v>309</v>
      </c>
      <c r="V284" s="773">
        <v>4</v>
      </c>
      <c r="W284" s="773" t="str">
        <f t="shared" si="11"/>
        <v>O</v>
      </c>
    </row>
    <row r="285" spans="1:23">
      <c r="A285" s="27">
        <v>44165</v>
      </c>
      <c r="B285" s="773" t="s">
        <v>140</v>
      </c>
      <c r="C285" s="773">
        <v>576</v>
      </c>
      <c r="D285" s="773">
        <v>244</v>
      </c>
      <c r="E285" s="773" t="s">
        <v>390</v>
      </c>
      <c r="S285" s="27">
        <v>44196</v>
      </c>
      <c r="T285" s="773" t="s">
        <v>132</v>
      </c>
      <c r="U285" s="773">
        <v>311</v>
      </c>
      <c r="V285" s="773">
        <v>1616</v>
      </c>
      <c r="W285" s="773" t="str">
        <f t="shared" si="11"/>
        <v>N</v>
      </c>
    </row>
    <row r="286" spans="1:23">
      <c r="A286" s="27">
        <v>44165</v>
      </c>
      <c r="B286" s="773" t="s">
        <v>140</v>
      </c>
      <c r="C286" s="773">
        <v>493</v>
      </c>
      <c r="D286" s="773">
        <v>8</v>
      </c>
      <c r="E286" s="773" t="s">
        <v>410</v>
      </c>
      <c r="S286" s="27">
        <v>44196</v>
      </c>
      <c r="T286" s="773" t="s">
        <v>132</v>
      </c>
      <c r="U286" s="773">
        <v>312</v>
      </c>
      <c r="V286" s="773">
        <v>1766</v>
      </c>
      <c r="W286" s="773" t="str">
        <f t="shared" si="11"/>
        <v>N</v>
      </c>
    </row>
    <row r="287" spans="1:23">
      <c r="A287" s="27">
        <v>44530</v>
      </c>
      <c r="B287" s="773" t="s">
        <v>140</v>
      </c>
      <c r="C287" s="773">
        <v>722</v>
      </c>
      <c r="D287" s="773">
        <v>1859</v>
      </c>
      <c r="E287" s="773" t="s">
        <v>390</v>
      </c>
      <c r="S287" s="27">
        <v>44196</v>
      </c>
      <c r="T287" s="773" t="s">
        <v>132</v>
      </c>
      <c r="U287" s="773">
        <v>315</v>
      </c>
      <c r="V287" s="773">
        <v>17</v>
      </c>
      <c r="W287" s="773" t="str">
        <f t="shared" si="11"/>
        <v>O</v>
      </c>
    </row>
    <row r="288" spans="1:23">
      <c r="A288" s="27">
        <v>44165</v>
      </c>
      <c r="B288" s="773" t="s">
        <v>140</v>
      </c>
      <c r="C288" s="773">
        <v>719</v>
      </c>
      <c r="D288" s="773">
        <v>3</v>
      </c>
      <c r="E288" s="773" t="s">
        <v>410</v>
      </c>
      <c r="S288" s="27">
        <v>44196</v>
      </c>
      <c r="T288" s="773" t="s">
        <v>132</v>
      </c>
      <c r="U288" s="773">
        <v>342</v>
      </c>
      <c r="V288" s="773">
        <v>1743</v>
      </c>
      <c r="W288" s="773" t="str">
        <f t="shared" si="11"/>
        <v>N</v>
      </c>
    </row>
    <row r="289" spans="1:23">
      <c r="A289" s="27">
        <v>44530</v>
      </c>
      <c r="B289" s="773" t="s">
        <v>140</v>
      </c>
      <c r="C289" s="773">
        <v>691</v>
      </c>
      <c r="D289" s="773">
        <v>227</v>
      </c>
      <c r="E289" s="773" t="s">
        <v>390</v>
      </c>
      <c r="S289" s="27">
        <v>44196</v>
      </c>
      <c r="T289" s="773" t="s">
        <v>132</v>
      </c>
      <c r="U289" s="773">
        <v>367</v>
      </c>
      <c r="V289" s="773">
        <v>5</v>
      </c>
      <c r="W289" s="773" t="str">
        <f t="shared" si="11"/>
        <v>O</v>
      </c>
    </row>
    <row r="290" spans="1:23">
      <c r="A290" s="27">
        <v>44165</v>
      </c>
      <c r="B290" s="773" t="s">
        <v>140</v>
      </c>
      <c r="C290" s="773">
        <v>449</v>
      </c>
      <c r="D290" s="773">
        <v>2148</v>
      </c>
      <c r="E290" s="773" t="s">
        <v>390</v>
      </c>
      <c r="S290" s="27">
        <v>44196</v>
      </c>
      <c r="T290" s="773" t="s">
        <v>132</v>
      </c>
      <c r="U290" s="773">
        <v>528</v>
      </c>
      <c r="V290" s="773">
        <v>14</v>
      </c>
      <c r="W290" s="773" t="str">
        <f t="shared" si="11"/>
        <v>O</v>
      </c>
    </row>
    <row r="291" spans="1:23">
      <c r="A291" s="27">
        <v>44165</v>
      </c>
      <c r="B291" s="773" t="s">
        <v>140</v>
      </c>
      <c r="C291" s="773">
        <v>691</v>
      </c>
      <c r="D291" s="773">
        <v>251</v>
      </c>
      <c r="E291" s="773" t="s">
        <v>390</v>
      </c>
      <c r="S291" s="27">
        <v>44196</v>
      </c>
      <c r="T291" s="773" t="s">
        <v>132</v>
      </c>
      <c r="U291" s="773">
        <v>621</v>
      </c>
      <c r="V291" s="773">
        <v>388</v>
      </c>
      <c r="W291" s="773" t="str">
        <f t="shared" si="11"/>
        <v>N</v>
      </c>
    </row>
    <row r="292" spans="1:23">
      <c r="A292" s="27">
        <v>44530</v>
      </c>
      <c r="B292" s="773" t="s">
        <v>140</v>
      </c>
      <c r="C292" s="773">
        <v>582</v>
      </c>
      <c r="D292" s="773">
        <v>2253</v>
      </c>
      <c r="E292" s="773" t="s">
        <v>390</v>
      </c>
      <c r="S292" s="27">
        <v>44196</v>
      </c>
      <c r="T292" s="773" t="s">
        <v>132</v>
      </c>
      <c r="U292" s="773">
        <v>636</v>
      </c>
      <c r="V292" s="773">
        <v>3</v>
      </c>
      <c r="W292" s="773" t="str">
        <f t="shared" si="11"/>
        <v>O</v>
      </c>
    </row>
    <row r="293" spans="1:23">
      <c r="A293" s="27">
        <v>44165</v>
      </c>
      <c r="B293" s="773" t="s">
        <v>140</v>
      </c>
      <c r="C293" s="773">
        <v>522</v>
      </c>
      <c r="D293" s="773">
        <v>10</v>
      </c>
      <c r="E293" s="773" t="s">
        <v>410</v>
      </c>
      <c r="S293" s="27">
        <v>44196</v>
      </c>
      <c r="T293" s="773" t="s">
        <v>132</v>
      </c>
      <c r="U293" s="773">
        <v>641</v>
      </c>
      <c r="V293" s="773">
        <v>589</v>
      </c>
      <c r="W293" s="773" t="str">
        <f t="shared" si="11"/>
        <v>N</v>
      </c>
    </row>
    <row r="294" spans="1:23">
      <c r="A294" s="27">
        <v>44530</v>
      </c>
      <c r="B294" s="773" t="s">
        <v>140</v>
      </c>
      <c r="C294" s="773">
        <v>712</v>
      </c>
      <c r="D294" s="773">
        <v>1</v>
      </c>
      <c r="E294" s="773" t="s">
        <v>410</v>
      </c>
      <c r="S294" s="27">
        <v>44196</v>
      </c>
      <c r="T294" s="773" t="s">
        <v>132</v>
      </c>
      <c r="U294" s="773">
        <v>645</v>
      </c>
      <c r="V294" s="773">
        <v>1117</v>
      </c>
      <c r="W294" s="773" t="str">
        <f t="shared" si="11"/>
        <v>N</v>
      </c>
    </row>
    <row r="295" spans="1:23">
      <c r="A295" s="27">
        <v>44530</v>
      </c>
      <c r="B295" s="773" t="s">
        <v>140</v>
      </c>
      <c r="C295" s="773">
        <v>383</v>
      </c>
      <c r="D295" s="773">
        <v>3</v>
      </c>
      <c r="E295" s="773" t="s">
        <v>410</v>
      </c>
      <c r="S295" s="27">
        <v>44196</v>
      </c>
      <c r="T295" s="773" t="s">
        <v>132</v>
      </c>
      <c r="U295" s="773">
        <v>650</v>
      </c>
      <c r="V295" s="773">
        <v>27</v>
      </c>
      <c r="W295" s="773" t="str">
        <f t="shared" si="11"/>
        <v>O</v>
      </c>
    </row>
    <row r="296" spans="1:23">
      <c r="A296" s="27">
        <v>44530</v>
      </c>
      <c r="B296" s="773" t="s">
        <v>140</v>
      </c>
      <c r="C296" s="773">
        <v>338</v>
      </c>
      <c r="D296" s="773">
        <v>2392</v>
      </c>
      <c r="E296" s="773" t="s">
        <v>390</v>
      </c>
      <c r="S296" s="27">
        <v>44196</v>
      </c>
      <c r="T296" s="773" t="s">
        <v>132</v>
      </c>
      <c r="U296" s="773">
        <v>651</v>
      </c>
      <c r="V296" s="773">
        <v>53</v>
      </c>
      <c r="W296" s="773" t="str">
        <f t="shared" si="11"/>
        <v>O</v>
      </c>
    </row>
    <row r="297" spans="1:23">
      <c r="A297" s="27">
        <v>44530</v>
      </c>
      <c r="B297" s="773" t="s">
        <v>140</v>
      </c>
      <c r="C297" s="773">
        <v>548</v>
      </c>
      <c r="D297" s="773">
        <v>549</v>
      </c>
      <c r="E297" s="773" t="s">
        <v>390</v>
      </c>
      <c r="S297" s="27">
        <v>44196</v>
      </c>
      <c r="T297" s="773" t="s">
        <v>132</v>
      </c>
      <c r="U297" s="773">
        <v>652</v>
      </c>
      <c r="V297" s="773">
        <v>2316</v>
      </c>
      <c r="W297" s="773" t="str">
        <f t="shared" si="11"/>
        <v>N</v>
      </c>
    </row>
    <row r="298" spans="1:23">
      <c r="A298" s="27">
        <v>44530</v>
      </c>
      <c r="B298" s="773" t="s">
        <v>140</v>
      </c>
      <c r="C298" s="773">
        <v>370</v>
      </c>
      <c r="D298" s="773">
        <v>1</v>
      </c>
      <c r="E298" s="773" t="s">
        <v>410</v>
      </c>
      <c r="S298" s="27">
        <v>44196</v>
      </c>
      <c r="T298" s="773" t="s">
        <v>132</v>
      </c>
      <c r="U298" s="773">
        <v>653</v>
      </c>
      <c r="V298" s="773">
        <v>1890</v>
      </c>
      <c r="W298" s="773" t="str">
        <f t="shared" si="11"/>
        <v>N</v>
      </c>
    </row>
    <row r="299" spans="1:23">
      <c r="A299" s="27">
        <v>44530</v>
      </c>
      <c r="B299" s="773" t="s">
        <v>140</v>
      </c>
      <c r="C299" s="773">
        <v>279</v>
      </c>
      <c r="D299" s="773">
        <v>1</v>
      </c>
      <c r="E299" s="773" t="s">
        <v>410</v>
      </c>
      <c r="S299" s="27">
        <v>44196</v>
      </c>
      <c r="T299" s="773" t="s">
        <v>132</v>
      </c>
      <c r="U299" s="773">
        <v>654</v>
      </c>
      <c r="V299" s="773">
        <v>1901</v>
      </c>
      <c r="W299" s="773" t="str">
        <f t="shared" si="11"/>
        <v>N</v>
      </c>
    </row>
    <row r="300" spans="1:23">
      <c r="A300" s="27">
        <v>44530</v>
      </c>
      <c r="B300" s="773" t="s">
        <v>140</v>
      </c>
      <c r="C300" s="773">
        <v>578</v>
      </c>
      <c r="D300" s="773">
        <v>2672</v>
      </c>
      <c r="E300" s="773" t="s">
        <v>390</v>
      </c>
      <c r="S300" s="27">
        <v>44196</v>
      </c>
      <c r="T300" s="773" t="s">
        <v>132</v>
      </c>
      <c r="U300" s="773">
        <v>658</v>
      </c>
      <c r="V300" s="773">
        <v>1700</v>
      </c>
      <c r="W300" s="773" t="str">
        <f t="shared" si="11"/>
        <v>N</v>
      </c>
    </row>
    <row r="301" spans="1:23">
      <c r="A301" s="27">
        <v>44165</v>
      </c>
      <c r="B301" s="773" t="s">
        <v>140</v>
      </c>
      <c r="C301" s="773">
        <v>0</v>
      </c>
      <c r="D301" s="773">
        <v>8</v>
      </c>
      <c r="E301" s="773" t="s">
        <v>410</v>
      </c>
      <c r="S301" s="27">
        <v>44196</v>
      </c>
      <c r="T301" s="773" t="s">
        <v>132</v>
      </c>
      <c r="U301" s="773">
        <v>660</v>
      </c>
      <c r="V301" s="773">
        <v>3</v>
      </c>
      <c r="W301" s="773" t="str">
        <f t="shared" si="11"/>
        <v>O</v>
      </c>
    </row>
    <row r="302" spans="1:23">
      <c r="A302" s="27">
        <v>44530</v>
      </c>
      <c r="B302" s="773" t="s">
        <v>140</v>
      </c>
      <c r="C302" s="773">
        <v>359</v>
      </c>
      <c r="D302" s="773">
        <v>612</v>
      </c>
      <c r="E302" s="773" t="s">
        <v>390</v>
      </c>
      <c r="S302" s="27">
        <v>44196</v>
      </c>
      <c r="T302" s="773" t="s">
        <v>132</v>
      </c>
      <c r="U302" s="773">
        <v>662</v>
      </c>
      <c r="V302" s="773">
        <v>1585</v>
      </c>
      <c r="W302" s="773" t="str">
        <f t="shared" si="11"/>
        <v>N</v>
      </c>
    </row>
    <row r="303" spans="1:23">
      <c r="A303" s="27">
        <v>44165</v>
      </c>
      <c r="B303" s="773" t="s">
        <v>140</v>
      </c>
      <c r="C303" s="773">
        <v>540</v>
      </c>
      <c r="D303" s="773">
        <v>2</v>
      </c>
      <c r="E303" s="773" t="s">
        <v>410</v>
      </c>
      <c r="S303" s="27">
        <v>44196</v>
      </c>
      <c r="T303" s="773" t="s">
        <v>132</v>
      </c>
      <c r="U303" s="773">
        <v>663</v>
      </c>
      <c r="V303" s="773">
        <v>923</v>
      </c>
      <c r="W303" s="773" t="str">
        <f t="shared" si="11"/>
        <v>N</v>
      </c>
    </row>
    <row r="304" spans="1:23">
      <c r="A304" s="27">
        <v>44165</v>
      </c>
      <c r="B304" s="773" t="s">
        <v>140</v>
      </c>
      <c r="C304" s="773">
        <v>648</v>
      </c>
      <c r="D304" s="773">
        <v>1447</v>
      </c>
      <c r="E304" s="773" t="s">
        <v>390</v>
      </c>
      <c r="S304" s="27">
        <v>44196</v>
      </c>
      <c r="T304" s="773" t="s">
        <v>132</v>
      </c>
      <c r="U304" s="773">
        <v>664</v>
      </c>
      <c r="V304" s="773">
        <v>1724</v>
      </c>
      <c r="W304" s="773" t="str">
        <f t="shared" si="11"/>
        <v>N</v>
      </c>
    </row>
    <row r="305" spans="1:23">
      <c r="A305" s="27">
        <v>44165</v>
      </c>
      <c r="B305" s="773" t="s">
        <v>140</v>
      </c>
      <c r="C305" s="773">
        <v>722</v>
      </c>
      <c r="D305" s="773">
        <v>2998</v>
      </c>
      <c r="E305" s="773" t="s">
        <v>390</v>
      </c>
      <c r="S305" s="27">
        <v>44196</v>
      </c>
      <c r="T305" s="773" t="s">
        <v>132</v>
      </c>
      <c r="U305" s="773">
        <v>665</v>
      </c>
      <c r="V305" s="773">
        <v>1729</v>
      </c>
      <c r="W305" s="773" t="str">
        <f t="shared" si="11"/>
        <v>N</v>
      </c>
    </row>
    <row r="306" spans="1:23">
      <c r="A306" s="27">
        <v>44165</v>
      </c>
      <c r="B306" s="773" t="s">
        <v>140</v>
      </c>
      <c r="C306" s="773">
        <v>578</v>
      </c>
      <c r="D306" s="773">
        <v>2715</v>
      </c>
      <c r="E306" s="773" t="s">
        <v>390</v>
      </c>
      <c r="S306" s="27">
        <v>44196</v>
      </c>
      <c r="T306" s="773" t="s">
        <v>132</v>
      </c>
      <c r="U306" s="773">
        <v>666</v>
      </c>
      <c r="V306" s="773">
        <v>1093</v>
      </c>
      <c r="W306" s="773" t="str">
        <f t="shared" si="11"/>
        <v>N</v>
      </c>
    </row>
    <row r="307" spans="1:23">
      <c r="A307" s="27">
        <v>44530</v>
      </c>
      <c r="B307" s="773" t="s">
        <v>140</v>
      </c>
      <c r="C307" s="773">
        <v>601</v>
      </c>
      <c r="D307" s="773">
        <v>3</v>
      </c>
      <c r="E307" s="773" t="s">
        <v>410</v>
      </c>
      <c r="S307" s="27">
        <v>44196</v>
      </c>
      <c r="T307" s="773" t="s">
        <v>132</v>
      </c>
      <c r="U307" s="773">
        <v>667</v>
      </c>
      <c r="V307" s="773">
        <v>1</v>
      </c>
      <c r="W307" s="773" t="str">
        <f t="shared" si="11"/>
        <v>O</v>
      </c>
    </row>
    <row r="308" spans="1:23">
      <c r="A308" s="27">
        <v>44165</v>
      </c>
      <c r="B308" s="773" t="s">
        <v>140</v>
      </c>
      <c r="C308" s="773">
        <v>383</v>
      </c>
      <c r="D308" s="773">
        <v>3</v>
      </c>
      <c r="E308" s="773" t="s">
        <v>410</v>
      </c>
      <c r="S308" s="27">
        <v>44196</v>
      </c>
      <c r="T308" s="773" t="s">
        <v>132</v>
      </c>
      <c r="U308" s="773">
        <v>668</v>
      </c>
      <c r="V308" s="773">
        <v>2615</v>
      </c>
      <c r="W308" s="773" t="str">
        <f t="shared" si="11"/>
        <v>N</v>
      </c>
    </row>
    <row r="309" spans="1:23">
      <c r="A309" s="27">
        <v>44530</v>
      </c>
      <c r="B309" s="773" t="s">
        <v>140</v>
      </c>
      <c r="C309" s="773">
        <v>574</v>
      </c>
      <c r="D309" s="773">
        <v>1544</v>
      </c>
      <c r="E309" s="773" t="s">
        <v>390</v>
      </c>
      <c r="S309" s="27">
        <v>44196</v>
      </c>
      <c r="T309" s="773" t="s">
        <v>132</v>
      </c>
      <c r="U309" s="773">
        <v>669</v>
      </c>
      <c r="V309" s="773">
        <v>1400</v>
      </c>
      <c r="W309" s="773" t="str">
        <f t="shared" si="11"/>
        <v>N</v>
      </c>
    </row>
    <row r="310" spans="1:23">
      <c r="A310" s="27">
        <v>44165</v>
      </c>
      <c r="B310" s="773" t="s">
        <v>140</v>
      </c>
      <c r="C310" s="773">
        <v>525</v>
      </c>
      <c r="D310" s="773">
        <v>3740</v>
      </c>
      <c r="E310" s="773" t="s">
        <v>390</v>
      </c>
      <c r="S310" s="27">
        <v>44196</v>
      </c>
      <c r="T310" s="773" t="s">
        <v>132</v>
      </c>
      <c r="U310" s="773">
        <v>670</v>
      </c>
      <c r="V310" s="773">
        <v>1645</v>
      </c>
      <c r="W310" s="773" t="str">
        <f t="shared" si="11"/>
        <v>N</v>
      </c>
    </row>
    <row r="311" spans="1:23">
      <c r="A311" s="27">
        <v>44165</v>
      </c>
      <c r="B311" s="773" t="s">
        <v>140</v>
      </c>
      <c r="C311" s="773">
        <v>521</v>
      </c>
      <c r="D311" s="773">
        <v>15</v>
      </c>
      <c r="E311" s="773" t="s">
        <v>410</v>
      </c>
      <c r="S311" s="27">
        <v>44196</v>
      </c>
      <c r="T311" s="773" t="s">
        <v>132</v>
      </c>
      <c r="U311" s="773">
        <v>671</v>
      </c>
      <c r="V311" s="773">
        <v>1630</v>
      </c>
      <c r="W311" s="773" t="str">
        <f t="shared" si="11"/>
        <v>N</v>
      </c>
    </row>
    <row r="312" spans="1:23">
      <c r="A312" s="27">
        <v>44530</v>
      </c>
      <c r="B312" s="773" t="s">
        <v>140</v>
      </c>
      <c r="C312" s="773">
        <v>678</v>
      </c>
      <c r="D312" s="773">
        <v>2305</v>
      </c>
      <c r="E312" s="773" t="s">
        <v>390</v>
      </c>
      <c r="S312" s="27">
        <v>44196</v>
      </c>
      <c r="T312" s="773" t="s">
        <v>132</v>
      </c>
      <c r="U312" s="773">
        <v>672</v>
      </c>
      <c r="V312" s="773">
        <v>1363</v>
      </c>
      <c r="W312" s="773" t="str">
        <f t="shared" si="11"/>
        <v>N</v>
      </c>
    </row>
    <row r="313" spans="1:23">
      <c r="A313" s="27">
        <v>44530</v>
      </c>
      <c r="B313" s="773" t="s">
        <v>140</v>
      </c>
      <c r="C313" s="773">
        <v>610</v>
      </c>
      <c r="D313" s="773">
        <v>2985</v>
      </c>
      <c r="E313" s="773" t="s">
        <v>390</v>
      </c>
      <c r="S313" s="27">
        <v>44196</v>
      </c>
      <c r="T313" s="773" t="s">
        <v>132</v>
      </c>
      <c r="U313" s="773">
        <v>674</v>
      </c>
      <c r="V313" s="773">
        <v>1548</v>
      </c>
      <c r="W313" s="773" t="str">
        <f t="shared" si="11"/>
        <v>N</v>
      </c>
    </row>
    <row r="314" spans="1:23">
      <c r="A314" s="27">
        <v>44530</v>
      </c>
      <c r="B314" s="773" t="s">
        <v>140</v>
      </c>
      <c r="C314" s="773">
        <v>524</v>
      </c>
      <c r="D314" s="773">
        <v>1125</v>
      </c>
      <c r="E314" s="773" t="s">
        <v>390</v>
      </c>
      <c r="S314" s="27">
        <v>44196</v>
      </c>
      <c r="T314" s="773" t="s">
        <v>132</v>
      </c>
      <c r="U314" s="773">
        <v>678</v>
      </c>
      <c r="V314" s="773">
        <v>1493</v>
      </c>
      <c r="W314" s="773" t="str">
        <f t="shared" si="11"/>
        <v>N</v>
      </c>
    </row>
    <row r="315" spans="1:23">
      <c r="A315" s="27">
        <v>44165</v>
      </c>
      <c r="B315" s="773" t="s">
        <v>140</v>
      </c>
      <c r="C315" s="773">
        <v>387</v>
      </c>
      <c r="D315" s="773">
        <v>10</v>
      </c>
      <c r="E315" s="773" t="s">
        <v>410</v>
      </c>
      <c r="S315" s="27">
        <v>44196</v>
      </c>
      <c r="T315" s="773" t="s">
        <v>132</v>
      </c>
      <c r="U315" s="773">
        <v>679</v>
      </c>
      <c r="V315" s="773">
        <v>2164</v>
      </c>
      <c r="W315" s="773" t="str">
        <f t="shared" si="11"/>
        <v>N</v>
      </c>
    </row>
    <row r="316" spans="1:23">
      <c r="A316" s="27">
        <v>44165</v>
      </c>
      <c r="B316" s="773" t="s">
        <v>140</v>
      </c>
      <c r="C316" s="773">
        <v>530</v>
      </c>
      <c r="D316" s="773">
        <v>2</v>
      </c>
      <c r="E316" s="773" t="s">
        <v>410</v>
      </c>
      <c r="S316" s="27">
        <v>44196</v>
      </c>
      <c r="T316" s="773" t="s">
        <v>132</v>
      </c>
      <c r="U316" s="773">
        <v>680</v>
      </c>
      <c r="V316" s="773">
        <v>1013</v>
      </c>
      <c r="W316" s="773" t="str">
        <f t="shared" si="11"/>
        <v>N</v>
      </c>
    </row>
    <row r="317" spans="1:23">
      <c r="A317" s="27">
        <v>44165</v>
      </c>
      <c r="B317" s="773" t="s">
        <v>140</v>
      </c>
      <c r="C317" s="773">
        <v>524</v>
      </c>
      <c r="D317" s="773">
        <v>1219</v>
      </c>
      <c r="E317" s="773" t="s">
        <v>390</v>
      </c>
      <c r="S317" s="27">
        <v>44196</v>
      </c>
      <c r="T317" s="773" t="s">
        <v>132</v>
      </c>
      <c r="U317" s="773">
        <v>681</v>
      </c>
      <c r="V317" s="773">
        <v>705</v>
      </c>
      <c r="W317" s="773" t="str">
        <f t="shared" si="11"/>
        <v>N</v>
      </c>
    </row>
    <row r="318" spans="1:23">
      <c r="A318" s="27">
        <v>44530</v>
      </c>
      <c r="B318" s="773" t="s">
        <v>140</v>
      </c>
      <c r="C318" s="773">
        <v>558</v>
      </c>
      <c r="D318" s="773">
        <v>1256</v>
      </c>
      <c r="E318" s="773" t="s">
        <v>390</v>
      </c>
      <c r="S318" s="27">
        <v>44196</v>
      </c>
      <c r="T318" s="773" t="s">
        <v>132</v>
      </c>
      <c r="U318" s="773">
        <v>684</v>
      </c>
      <c r="V318" s="773">
        <v>1863</v>
      </c>
      <c r="W318" s="773" t="str">
        <f t="shared" si="11"/>
        <v>N</v>
      </c>
    </row>
    <row r="319" spans="1:23">
      <c r="A319" s="27">
        <v>44165</v>
      </c>
      <c r="B319" s="773" t="s">
        <v>140</v>
      </c>
      <c r="C319" s="773">
        <v>659</v>
      </c>
      <c r="D319" s="773">
        <v>649</v>
      </c>
      <c r="E319" s="773" t="s">
        <v>390</v>
      </c>
      <c r="S319" s="27">
        <v>44196</v>
      </c>
      <c r="T319" s="773" t="s">
        <v>132</v>
      </c>
      <c r="U319" s="773">
        <v>686</v>
      </c>
      <c r="V319" s="773">
        <v>1307</v>
      </c>
      <c r="W319" s="773" t="str">
        <f t="shared" si="11"/>
        <v>N</v>
      </c>
    </row>
    <row r="320" spans="1:23">
      <c r="A320" s="27">
        <v>44165</v>
      </c>
      <c r="B320" s="773" t="s">
        <v>140</v>
      </c>
      <c r="C320" s="773">
        <v>453</v>
      </c>
      <c r="D320" s="773">
        <v>2566</v>
      </c>
      <c r="E320" s="773" t="s">
        <v>390</v>
      </c>
      <c r="S320" s="27">
        <v>44196</v>
      </c>
      <c r="T320" s="773" t="s">
        <v>132</v>
      </c>
      <c r="U320" s="773">
        <v>687</v>
      </c>
      <c r="V320" s="773">
        <v>444</v>
      </c>
      <c r="W320" s="773" t="str">
        <f t="shared" si="11"/>
        <v>N</v>
      </c>
    </row>
    <row r="321" spans="1:23">
      <c r="A321" s="27">
        <v>44530</v>
      </c>
      <c r="B321" s="773" t="s">
        <v>140</v>
      </c>
      <c r="C321" s="773">
        <v>387</v>
      </c>
      <c r="D321" s="773">
        <v>9</v>
      </c>
      <c r="E321" s="773" t="s">
        <v>410</v>
      </c>
      <c r="S321" s="27">
        <v>44196</v>
      </c>
      <c r="T321" s="773" t="s">
        <v>132</v>
      </c>
      <c r="U321" s="773">
        <v>688</v>
      </c>
      <c r="V321" s="773">
        <v>2153</v>
      </c>
      <c r="W321" s="773" t="str">
        <f t="shared" si="11"/>
        <v>N</v>
      </c>
    </row>
    <row r="322" spans="1:23">
      <c r="A322" s="27">
        <v>44165</v>
      </c>
      <c r="B322" s="773" t="s">
        <v>140</v>
      </c>
      <c r="C322" s="773">
        <v>712</v>
      </c>
      <c r="D322" s="773">
        <v>1</v>
      </c>
      <c r="E322" s="773" t="s">
        <v>410</v>
      </c>
      <c r="S322" s="27">
        <v>44196</v>
      </c>
      <c r="T322" s="773" t="s">
        <v>132</v>
      </c>
      <c r="U322" s="773">
        <v>691</v>
      </c>
      <c r="V322" s="773">
        <v>1777</v>
      </c>
      <c r="W322" s="773" t="str">
        <f t="shared" si="11"/>
        <v>N</v>
      </c>
    </row>
    <row r="323" spans="1:23">
      <c r="A323" s="27">
        <v>44165</v>
      </c>
      <c r="B323" s="773" t="s">
        <v>140</v>
      </c>
      <c r="C323" s="773">
        <v>610</v>
      </c>
      <c r="D323" s="773">
        <v>3220</v>
      </c>
      <c r="E323" s="773" t="s">
        <v>390</v>
      </c>
      <c r="S323" s="27">
        <v>44196</v>
      </c>
      <c r="T323" s="773" t="s">
        <v>132</v>
      </c>
      <c r="U323" s="773">
        <v>696</v>
      </c>
      <c r="V323" s="773">
        <v>33</v>
      </c>
      <c r="W323" s="773" t="str">
        <f t="shared" ref="W323:W386" si="12">+IF(V323&lt;100,"O","N")</f>
        <v>O</v>
      </c>
    </row>
    <row r="324" spans="1:23">
      <c r="A324" s="27">
        <v>44165</v>
      </c>
      <c r="B324" s="773" t="s">
        <v>140</v>
      </c>
      <c r="C324" s="773">
        <v>626</v>
      </c>
      <c r="D324" s="773">
        <v>2785</v>
      </c>
      <c r="E324" s="773" t="s">
        <v>390</v>
      </c>
      <c r="S324" s="27">
        <v>44196</v>
      </c>
      <c r="T324" s="773" t="s">
        <v>132</v>
      </c>
      <c r="U324" s="773">
        <v>697</v>
      </c>
      <c r="V324" s="773">
        <v>153</v>
      </c>
      <c r="W324" s="773" t="str">
        <f t="shared" si="12"/>
        <v>N</v>
      </c>
    </row>
    <row r="325" spans="1:23">
      <c r="A325" s="27">
        <v>44165</v>
      </c>
      <c r="B325" s="773" t="s">
        <v>140</v>
      </c>
      <c r="C325" s="773">
        <v>608</v>
      </c>
      <c r="D325" s="773">
        <v>2712</v>
      </c>
      <c r="E325" s="773" t="s">
        <v>390</v>
      </c>
      <c r="S325" s="27">
        <v>44196</v>
      </c>
      <c r="T325" s="773" t="s">
        <v>132</v>
      </c>
      <c r="U325" s="773">
        <v>698</v>
      </c>
      <c r="V325" s="773">
        <v>1831</v>
      </c>
      <c r="W325" s="773" t="str">
        <f t="shared" si="12"/>
        <v>N</v>
      </c>
    </row>
    <row r="326" spans="1:23">
      <c r="A326" s="27">
        <v>44165</v>
      </c>
      <c r="B326" s="773" t="s">
        <v>140</v>
      </c>
      <c r="C326" s="773">
        <v>582</v>
      </c>
      <c r="D326" s="773">
        <v>2863</v>
      </c>
      <c r="E326" s="773" t="s">
        <v>390</v>
      </c>
      <c r="S326" s="27">
        <v>44196</v>
      </c>
      <c r="T326" s="773" t="s">
        <v>132</v>
      </c>
      <c r="U326" s="773">
        <v>699</v>
      </c>
      <c r="V326" s="773">
        <v>1779</v>
      </c>
      <c r="W326" s="773" t="str">
        <f t="shared" si="12"/>
        <v>N</v>
      </c>
    </row>
    <row r="327" spans="1:23">
      <c r="A327" s="27">
        <v>44165</v>
      </c>
      <c r="B327" s="773" t="s">
        <v>140</v>
      </c>
      <c r="C327" s="773">
        <v>574</v>
      </c>
      <c r="D327" s="773">
        <v>1526</v>
      </c>
      <c r="E327" s="773" t="s">
        <v>390</v>
      </c>
      <c r="S327" s="27">
        <v>44196</v>
      </c>
      <c r="T327" s="773" t="s">
        <v>132</v>
      </c>
      <c r="U327" s="773">
        <v>700</v>
      </c>
      <c r="V327" s="773">
        <v>692</v>
      </c>
      <c r="W327" s="773" t="str">
        <f t="shared" si="12"/>
        <v>N</v>
      </c>
    </row>
    <row r="328" spans="1:23">
      <c r="A328" s="27">
        <v>44530</v>
      </c>
      <c r="B328" s="773" t="s">
        <v>140</v>
      </c>
      <c r="C328" s="773">
        <v>732</v>
      </c>
      <c r="D328" s="773">
        <v>4</v>
      </c>
      <c r="E328" s="773" t="s">
        <v>410</v>
      </c>
      <c r="S328" s="27">
        <v>44196</v>
      </c>
      <c r="T328" s="773" t="s">
        <v>132</v>
      </c>
      <c r="U328" s="773">
        <v>999</v>
      </c>
      <c r="V328" s="773">
        <v>1</v>
      </c>
      <c r="W328" s="773" t="str">
        <f t="shared" si="12"/>
        <v>O</v>
      </c>
    </row>
    <row r="329" spans="1:23">
      <c r="A329" s="27">
        <v>44530</v>
      </c>
      <c r="B329" s="773" t="s">
        <v>140</v>
      </c>
      <c r="C329" s="773">
        <v>0</v>
      </c>
      <c r="D329" s="773">
        <v>7</v>
      </c>
      <c r="E329" s="773" t="s">
        <v>410</v>
      </c>
      <c r="S329" s="27">
        <v>44469</v>
      </c>
      <c r="T329" s="773" t="s">
        <v>132</v>
      </c>
      <c r="U329" s="773">
        <v>0</v>
      </c>
      <c r="V329" s="773">
        <v>11</v>
      </c>
      <c r="W329" s="773" t="str">
        <f t="shared" si="12"/>
        <v>O</v>
      </c>
    </row>
    <row r="330" spans="1:23">
      <c r="A330" s="27">
        <v>44530</v>
      </c>
      <c r="B330" s="773" t="s">
        <v>140</v>
      </c>
      <c r="C330" s="773">
        <v>493</v>
      </c>
      <c r="D330" s="773">
        <v>7</v>
      </c>
      <c r="E330" s="773" t="s">
        <v>410</v>
      </c>
      <c r="S330" s="27">
        <v>44469</v>
      </c>
      <c r="T330" s="773" t="s">
        <v>132</v>
      </c>
      <c r="U330" s="773">
        <v>11</v>
      </c>
      <c r="V330" s="773">
        <v>6</v>
      </c>
      <c r="W330" s="773" t="str">
        <f t="shared" si="12"/>
        <v>O</v>
      </c>
    </row>
    <row r="331" spans="1:23">
      <c r="A331" s="27">
        <v>44165</v>
      </c>
      <c r="B331" s="773" t="s">
        <v>140</v>
      </c>
      <c r="C331" s="773">
        <v>279</v>
      </c>
      <c r="D331" s="773">
        <v>1</v>
      </c>
      <c r="E331" s="773" t="s">
        <v>410</v>
      </c>
      <c r="S331" s="27">
        <v>44469</v>
      </c>
      <c r="T331" s="773" t="s">
        <v>132</v>
      </c>
      <c r="U331" s="773">
        <v>13</v>
      </c>
      <c r="V331" s="773">
        <v>435</v>
      </c>
      <c r="W331" s="773" t="str">
        <f t="shared" si="12"/>
        <v>N</v>
      </c>
    </row>
    <row r="332" spans="1:23">
      <c r="A332" s="27">
        <v>44530</v>
      </c>
      <c r="B332" s="773" t="s">
        <v>140</v>
      </c>
      <c r="C332" s="773">
        <v>674</v>
      </c>
      <c r="D332" s="773">
        <v>1604</v>
      </c>
      <c r="E332" s="773" t="s">
        <v>390</v>
      </c>
      <c r="S332" s="27">
        <v>44469</v>
      </c>
      <c r="T332" s="773" t="s">
        <v>132</v>
      </c>
      <c r="U332" s="773">
        <v>35</v>
      </c>
      <c r="V332" s="773">
        <v>780</v>
      </c>
      <c r="W332" s="773" t="str">
        <f t="shared" si="12"/>
        <v>N</v>
      </c>
    </row>
    <row r="333" spans="1:23">
      <c r="A333" s="27">
        <v>44165</v>
      </c>
      <c r="B333" s="773" t="s">
        <v>140</v>
      </c>
      <c r="C333" s="773">
        <v>213</v>
      </c>
      <c r="D333" s="773">
        <v>68</v>
      </c>
      <c r="E333" s="773" t="s">
        <v>410</v>
      </c>
      <c r="S333" s="27">
        <v>44469</v>
      </c>
      <c r="T333" s="773" t="s">
        <v>132</v>
      </c>
      <c r="U333" s="773">
        <v>40</v>
      </c>
      <c r="V333" s="773">
        <v>1</v>
      </c>
      <c r="W333" s="773" t="str">
        <f t="shared" si="12"/>
        <v>O</v>
      </c>
    </row>
    <row r="334" spans="1:23">
      <c r="A334" s="27">
        <v>44530</v>
      </c>
      <c r="B334" s="773" t="s">
        <v>140</v>
      </c>
      <c r="C334" s="773">
        <v>710</v>
      </c>
      <c r="D334" s="773">
        <v>2740</v>
      </c>
      <c r="E334" s="773" t="s">
        <v>390</v>
      </c>
      <c r="S334" s="27">
        <v>44469</v>
      </c>
      <c r="T334" s="773" t="s">
        <v>132</v>
      </c>
      <c r="U334" s="773">
        <v>41</v>
      </c>
      <c r="V334" s="773">
        <v>1</v>
      </c>
      <c r="W334" s="773" t="str">
        <f t="shared" si="12"/>
        <v>O</v>
      </c>
    </row>
    <row r="335" spans="1:23">
      <c r="A335" s="27">
        <v>44530</v>
      </c>
      <c r="B335" s="773" t="s">
        <v>140</v>
      </c>
      <c r="C335" s="773">
        <v>469</v>
      </c>
      <c r="D335" s="773">
        <v>7</v>
      </c>
      <c r="E335" s="773" t="s">
        <v>410</v>
      </c>
      <c r="S335" s="27">
        <v>44469</v>
      </c>
      <c r="T335" s="773" t="s">
        <v>132</v>
      </c>
      <c r="U335" s="773">
        <v>43</v>
      </c>
      <c r="V335" s="773">
        <v>2381</v>
      </c>
      <c r="W335" s="773" t="str">
        <f t="shared" si="12"/>
        <v>N</v>
      </c>
    </row>
    <row r="336" spans="1:23">
      <c r="A336" s="27">
        <v>44530</v>
      </c>
      <c r="B336" s="773" t="s">
        <v>140</v>
      </c>
      <c r="C336" s="773">
        <v>758</v>
      </c>
      <c r="D336" s="773">
        <v>1</v>
      </c>
      <c r="E336" s="773" t="s">
        <v>410</v>
      </c>
      <c r="S336" s="27">
        <v>44469</v>
      </c>
      <c r="T336" s="773" t="s">
        <v>132</v>
      </c>
      <c r="U336" s="773">
        <v>44</v>
      </c>
      <c r="V336" s="773">
        <v>2341</v>
      </c>
      <c r="W336" s="773" t="str">
        <f t="shared" si="12"/>
        <v>N</v>
      </c>
    </row>
    <row r="337" spans="1:23">
      <c r="A337" s="27">
        <v>44165</v>
      </c>
      <c r="B337" s="773" t="s">
        <v>140</v>
      </c>
      <c r="C337" s="773">
        <v>587</v>
      </c>
      <c r="D337" s="773">
        <v>1</v>
      </c>
      <c r="E337" s="773" t="s">
        <v>410</v>
      </c>
      <c r="S337" s="27">
        <v>44469</v>
      </c>
      <c r="T337" s="773" t="s">
        <v>132</v>
      </c>
      <c r="U337" s="773">
        <v>46</v>
      </c>
      <c r="V337" s="773">
        <v>2043</v>
      </c>
      <c r="W337" s="773" t="str">
        <f t="shared" si="12"/>
        <v>N</v>
      </c>
    </row>
    <row r="338" spans="1:23">
      <c r="A338" s="27">
        <v>44165</v>
      </c>
      <c r="B338" s="773" t="s">
        <v>140</v>
      </c>
      <c r="C338" s="773">
        <v>705</v>
      </c>
      <c r="D338" s="773">
        <v>1</v>
      </c>
      <c r="E338" s="773" t="s">
        <v>410</v>
      </c>
      <c r="S338" s="27">
        <v>44469</v>
      </c>
      <c r="T338" s="773" t="s">
        <v>132</v>
      </c>
      <c r="U338" s="773">
        <v>48</v>
      </c>
      <c r="V338" s="773">
        <v>638</v>
      </c>
      <c r="W338" s="773" t="str">
        <f t="shared" si="12"/>
        <v>N</v>
      </c>
    </row>
    <row r="339" spans="1:23">
      <c r="A339" s="27">
        <v>44530</v>
      </c>
      <c r="B339" s="773" t="s">
        <v>140</v>
      </c>
      <c r="C339" s="773">
        <v>576</v>
      </c>
      <c r="D339" s="773">
        <v>248</v>
      </c>
      <c r="E339" s="773" t="s">
        <v>390</v>
      </c>
      <c r="S339" s="27">
        <v>44469</v>
      </c>
      <c r="T339" s="773" t="s">
        <v>132</v>
      </c>
      <c r="U339" s="773">
        <v>52</v>
      </c>
      <c r="V339" s="773">
        <v>1</v>
      </c>
      <c r="W339" s="773" t="str">
        <f t="shared" si="12"/>
        <v>O</v>
      </c>
    </row>
    <row r="340" spans="1:23">
      <c r="A340" s="27">
        <v>44196</v>
      </c>
      <c r="B340" s="773" t="s">
        <v>140</v>
      </c>
      <c r="C340" s="773">
        <v>640</v>
      </c>
      <c r="D340" s="773">
        <v>3410</v>
      </c>
      <c r="E340" s="773" t="s">
        <v>390</v>
      </c>
      <c r="S340" s="27">
        <v>44469</v>
      </c>
      <c r="T340" s="773" t="s">
        <v>132</v>
      </c>
      <c r="U340" s="773">
        <v>53</v>
      </c>
      <c r="V340" s="773">
        <v>2</v>
      </c>
      <c r="W340" s="773" t="str">
        <f t="shared" si="12"/>
        <v>O</v>
      </c>
    </row>
    <row r="341" spans="1:23">
      <c r="A341" s="27">
        <v>44196</v>
      </c>
      <c r="B341" s="773" t="s">
        <v>140</v>
      </c>
      <c r="C341" s="773">
        <v>279</v>
      </c>
      <c r="D341" s="773">
        <v>1</v>
      </c>
      <c r="E341" s="773" t="s">
        <v>410</v>
      </c>
      <c r="S341" s="27">
        <v>44469</v>
      </c>
      <c r="T341" s="773" t="s">
        <v>132</v>
      </c>
      <c r="U341" s="773">
        <v>56</v>
      </c>
      <c r="V341" s="773">
        <v>33</v>
      </c>
      <c r="W341" s="773" t="str">
        <f t="shared" si="12"/>
        <v>O</v>
      </c>
    </row>
    <row r="342" spans="1:23">
      <c r="A342" s="27">
        <v>44561</v>
      </c>
      <c r="B342" s="773" t="s">
        <v>140</v>
      </c>
      <c r="C342" s="773">
        <v>758</v>
      </c>
      <c r="D342" s="773">
        <v>1</v>
      </c>
      <c r="E342" s="773" t="s">
        <v>410</v>
      </c>
      <c r="S342" s="27">
        <v>44469</v>
      </c>
      <c r="T342" s="773" t="s">
        <v>132</v>
      </c>
      <c r="U342" s="773">
        <v>58</v>
      </c>
      <c r="V342" s="773">
        <v>2</v>
      </c>
      <c r="W342" s="773" t="str">
        <f t="shared" si="12"/>
        <v>O</v>
      </c>
    </row>
    <row r="343" spans="1:23">
      <c r="A343" s="27">
        <v>44196</v>
      </c>
      <c r="B343" s="773" t="s">
        <v>140</v>
      </c>
      <c r="C343" s="773">
        <v>510</v>
      </c>
      <c r="D343" s="773">
        <v>905</v>
      </c>
      <c r="E343" s="773" t="s">
        <v>390</v>
      </c>
      <c r="S343" s="27">
        <v>44469</v>
      </c>
      <c r="T343" s="773" t="s">
        <v>132</v>
      </c>
      <c r="U343" s="773">
        <v>59</v>
      </c>
      <c r="V343" s="773">
        <v>63</v>
      </c>
      <c r="W343" s="773" t="str">
        <f t="shared" si="12"/>
        <v>O</v>
      </c>
    </row>
    <row r="344" spans="1:23">
      <c r="A344" s="27">
        <v>44561</v>
      </c>
      <c r="B344" s="773" t="s">
        <v>140</v>
      </c>
      <c r="C344" s="773">
        <v>383</v>
      </c>
      <c r="D344" s="773">
        <v>3</v>
      </c>
      <c r="E344" s="773" t="s">
        <v>410</v>
      </c>
      <c r="S344" s="27">
        <v>44469</v>
      </c>
      <c r="T344" s="773" t="s">
        <v>132</v>
      </c>
      <c r="U344" s="773">
        <v>60</v>
      </c>
      <c r="V344" s="773">
        <v>1</v>
      </c>
      <c r="W344" s="773" t="str">
        <f t="shared" si="12"/>
        <v>O</v>
      </c>
    </row>
    <row r="345" spans="1:23">
      <c r="A345" s="27">
        <v>44196</v>
      </c>
      <c r="B345" s="773" t="s">
        <v>140</v>
      </c>
      <c r="C345" s="773">
        <v>338</v>
      </c>
      <c r="D345" s="773">
        <v>3164</v>
      </c>
      <c r="E345" s="773" t="s">
        <v>390</v>
      </c>
      <c r="S345" s="27">
        <v>44469</v>
      </c>
      <c r="T345" s="773" t="s">
        <v>132</v>
      </c>
      <c r="U345" s="773">
        <v>61</v>
      </c>
      <c r="V345" s="773">
        <v>1</v>
      </c>
      <c r="W345" s="773" t="str">
        <f t="shared" si="12"/>
        <v>O</v>
      </c>
    </row>
    <row r="346" spans="1:23">
      <c r="A346" s="27">
        <v>44196</v>
      </c>
      <c r="B346" s="773" t="s">
        <v>140</v>
      </c>
      <c r="C346" s="773">
        <v>359</v>
      </c>
      <c r="D346" s="773">
        <v>568</v>
      </c>
      <c r="E346" s="773" t="s">
        <v>390</v>
      </c>
      <c r="S346" s="27">
        <v>44469</v>
      </c>
      <c r="T346" s="773" t="s">
        <v>132</v>
      </c>
      <c r="U346" s="773">
        <v>64</v>
      </c>
      <c r="V346" s="773">
        <v>3</v>
      </c>
      <c r="W346" s="773" t="str">
        <f t="shared" si="12"/>
        <v>O</v>
      </c>
    </row>
    <row r="347" spans="1:23">
      <c r="A347" s="27">
        <v>44561</v>
      </c>
      <c r="B347" s="773" t="s">
        <v>140</v>
      </c>
      <c r="C347" s="773">
        <v>540</v>
      </c>
      <c r="D347" s="773">
        <v>1</v>
      </c>
      <c r="E347" s="773" t="s">
        <v>410</v>
      </c>
      <c r="S347" s="27">
        <v>44469</v>
      </c>
      <c r="T347" s="773" t="s">
        <v>132</v>
      </c>
      <c r="U347" s="773">
        <v>66</v>
      </c>
      <c r="V347" s="773">
        <v>6</v>
      </c>
      <c r="W347" s="773" t="str">
        <f t="shared" si="12"/>
        <v>O</v>
      </c>
    </row>
    <row r="348" spans="1:23">
      <c r="A348" s="27">
        <v>44561</v>
      </c>
      <c r="B348" s="773" t="s">
        <v>140</v>
      </c>
      <c r="C348" s="773">
        <v>648</v>
      </c>
      <c r="D348" s="773">
        <v>1333</v>
      </c>
      <c r="E348" s="773" t="s">
        <v>390</v>
      </c>
      <c r="S348" s="27">
        <v>44469</v>
      </c>
      <c r="T348" s="773" t="s">
        <v>132</v>
      </c>
      <c r="U348" s="773">
        <v>68</v>
      </c>
      <c r="V348" s="773">
        <v>441</v>
      </c>
      <c r="W348" s="773" t="str">
        <f t="shared" si="12"/>
        <v>N</v>
      </c>
    </row>
    <row r="349" spans="1:23">
      <c r="A349" s="27">
        <v>44561</v>
      </c>
      <c r="B349" s="773" t="s">
        <v>140</v>
      </c>
      <c r="C349" s="773">
        <v>608</v>
      </c>
      <c r="D349" s="773">
        <v>2679</v>
      </c>
      <c r="E349" s="773" t="s">
        <v>390</v>
      </c>
      <c r="S349" s="27">
        <v>44469</v>
      </c>
      <c r="T349" s="773" t="s">
        <v>132</v>
      </c>
      <c r="U349" s="773">
        <v>70</v>
      </c>
      <c r="V349" s="773">
        <v>39</v>
      </c>
      <c r="W349" s="773" t="str">
        <f t="shared" si="12"/>
        <v>O</v>
      </c>
    </row>
    <row r="350" spans="1:23">
      <c r="A350" s="27">
        <v>44196</v>
      </c>
      <c r="B350" s="773" t="s">
        <v>140</v>
      </c>
      <c r="C350" s="773">
        <v>379</v>
      </c>
      <c r="D350" s="773">
        <v>1</v>
      </c>
      <c r="E350" s="773" t="s">
        <v>410</v>
      </c>
      <c r="S350" s="27">
        <v>44469</v>
      </c>
      <c r="T350" s="773" t="s">
        <v>132</v>
      </c>
      <c r="U350" s="773">
        <v>72</v>
      </c>
      <c r="V350" s="773">
        <v>3</v>
      </c>
      <c r="W350" s="773" t="str">
        <f t="shared" si="12"/>
        <v>O</v>
      </c>
    </row>
    <row r="351" spans="1:23">
      <c r="A351" s="27">
        <v>44196</v>
      </c>
      <c r="B351" s="773" t="s">
        <v>140</v>
      </c>
      <c r="C351" s="773">
        <v>639</v>
      </c>
      <c r="D351" s="773">
        <v>7</v>
      </c>
      <c r="E351" s="773" t="s">
        <v>410</v>
      </c>
      <c r="S351" s="27">
        <v>44469</v>
      </c>
      <c r="T351" s="773" t="s">
        <v>132</v>
      </c>
      <c r="U351" s="773">
        <v>76</v>
      </c>
      <c r="V351" s="773">
        <v>1773</v>
      </c>
      <c r="W351" s="773" t="str">
        <f t="shared" si="12"/>
        <v>N</v>
      </c>
    </row>
    <row r="352" spans="1:23">
      <c r="A352" s="27">
        <v>44561</v>
      </c>
      <c r="B352" s="773" t="s">
        <v>140</v>
      </c>
      <c r="C352" s="773">
        <v>530</v>
      </c>
      <c r="D352" s="773">
        <v>1</v>
      </c>
      <c r="E352" s="773" t="s">
        <v>410</v>
      </c>
      <c r="S352" s="27">
        <v>44469</v>
      </c>
      <c r="T352" s="773" t="s">
        <v>132</v>
      </c>
      <c r="U352" s="773">
        <v>77</v>
      </c>
      <c r="V352" s="773">
        <v>2753</v>
      </c>
      <c r="W352" s="773" t="str">
        <f t="shared" si="12"/>
        <v>N</v>
      </c>
    </row>
    <row r="353" spans="1:23">
      <c r="A353" s="27">
        <v>44196</v>
      </c>
      <c r="B353" s="773" t="s">
        <v>140</v>
      </c>
      <c r="C353" s="773">
        <v>712</v>
      </c>
      <c r="D353" s="773">
        <v>1</v>
      </c>
      <c r="E353" s="773" t="s">
        <v>410</v>
      </c>
      <c r="S353" s="27">
        <v>44469</v>
      </c>
      <c r="T353" s="773" t="s">
        <v>132</v>
      </c>
      <c r="U353" s="773">
        <v>78</v>
      </c>
      <c r="V353" s="773">
        <v>1</v>
      </c>
      <c r="W353" s="773" t="str">
        <f t="shared" si="12"/>
        <v>O</v>
      </c>
    </row>
    <row r="354" spans="1:23">
      <c r="A354" s="27">
        <v>44561</v>
      </c>
      <c r="B354" s="773" t="s">
        <v>140</v>
      </c>
      <c r="C354" s="773">
        <v>732</v>
      </c>
      <c r="D354" s="773">
        <v>3</v>
      </c>
      <c r="E354" s="773" t="s">
        <v>410</v>
      </c>
      <c r="S354" s="27">
        <v>44469</v>
      </c>
      <c r="T354" s="773" t="s">
        <v>132</v>
      </c>
      <c r="U354" s="773">
        <v>79</v>
      </c>
      <c r="V354" s="773">
        <v>4</v>
      </c>
      <c r="W354" s="773" t="str">
        <f t="shared" si="12"/>
        <v>O</v>
      </c>
    </row>
    <row r="355" spans="1:23">
      <c r="A355" s="27">
        <v>44196</v>
      </c>
      <c r="B355" s="773" t="s">
        <v>140</v>
      </c>
      <c r="C355" s="773">
        <v>610</v>
      </c>
      <c r="D355" s="773">
        <v>3193</v>
      </c>
      <c r="E355" s="773" t="s">
        <v>390</v>
      </c>
      <c r="S355" s="27">
        <v>44469</v>
      </c>
      <c r="T355" s="773" t="s">
        <v>132</v>
      </c>
      <c r="U355" s="773">
        <v>81</v>
      </c>
      <c r="V355" s="773">
        <v>2</v>
      </c>
      <c r="W355" s="773" t="str">
        <f t="shared" si="12"/>
        <v>O</v>
      </c>
    </row>
    <row r="356" spans="1:23">
      <c r="A356" s="27">
        <v>44561</v>
      </c>
      <c r="B356" s="773" t="s">
        <v>140</v>
      </c>
      <c r="C356" s="773">
        <v>616</v>
      </c>
      <c r="D356" s="773">
        <v>1</v>
      </c>
      <c r="E356" s="773" t="s">
        <v>410</v>
      </c>
      <c r="S356" s="27">
        <v>44469</v>
      </c>
      <c r="T356" s="773" t="s">
        <v>132</v>
      </c>
      <c r="U356" s="773">
        <v>82</v>
      </c>
      <c r="V356" s="773">
        <v>1718</v>
      </c>
      <c r="W356" s="773" t="str">
        <f t="shared" si="12"/>
        <v>N</v>
      </c>
    </row>
    <row r="357" spans="1:23">
      <c r="A357" s="27">
        <v>44196</v>
      </c>
      <c r="B357" s="773" t="s">
        <v>140</v>
      </c>
      <c r="C357" s="773">
        <v>574</v>
      </c>
      <c r="D357" s="773">
        <v>1528</v>
      </c>
      <c r="E357" s="773" t="s">
        <v>390</v>
      </c>
      <c r="S357" s="27">
        <v>44469</v>
      </c>
      <c r="T357" s="773" t="s">
        <v>132</v>
      </c>
      <c r="U357" s="773">
        <v>83</v>
      </c>
      <c r="V357" s="773">
        <v>1502</v>
      </c>
      <c r="W357" s="773" t="str">
        <f t="shared" si="12"/>
        <v>N</v>
      </c>
    </row>
    <row r="358" spans="1:23">
      <c r="A358" s="27">
        <v>44196</v>
      </c>
      <c r="B358" s="773" t="s">
        <v>140</v>
      </c>
      <c r="C358" s="773">
        <v>739</v>
      </c>
      <c r="D358" s="773">
        <v>2</v>
      </c>
      <c r="E358" s="773" t="s">
        <v>410</v>
      </c>
      <c r="S358" s="27">
        <v>44469</v>
      </c>
      <c r="T358" s="773" t="s">
        <v>132</v>
      </c>
      <c r="U358" s="773">
        <v>84</v>
      </c>
      <c r="V358" s="773">
        <v>2101</v>
      </c>
      <c r="W358" s="773" t="str">
        <f t="shared" si="12"/>
        <v>N</v>
      </c>
    </row>
    <row r="359" spans="1:23">
      <c r="A359" s="27">
        <v>44561</v>
      </c>
      <c r="B359" s="773" t="s">
        <v>140</v>
      </c>
      <c r="C359" s="773">
        <v>582</v>
      </c>
      <c r="D359" s="773">
        <v>2250</v>
      </c>
      <c r="E359" s="773" t="s">
        <v>390</v>
      </c>
      <c r="S359" s="27">
        <v>44469</v>
      </c>
      <c r="T359" s="773" t="s">
        <v>132</v>
      </c>
      <c r="U359" s="773">
        <v>87</v>
      </c>
      <c r="V359" s="773">
        <v>8</v>
      </c>
      <c r="W359" s="773" t="str">
        <f t="shared" si="12"/>
        <v>O</v>
      </c>
    </row>
    <row r="360" spans="1:23">
      <c r="A360" s="27">
        <v>44196</v>
      </c>
      <c r="B360" s="773" t="s">
        <v>140</v>
      </c>
      <c r="C360" s="773">
        <v>525</v>
      </c>
      <c r="D360" s="773">
        <v>3709</v>
      </c>
      <c r="E360" s="773" t="s">
        <v>390</v>
      </c>
      <c r="S360" s="27">
        <v>44469</v>
      </c>
      <c r="T360" s="773" t="s">
        <v>132</v>
      </c>
      <c r="U360" s="773">
        <v>89</v>
      </c>
      <c r="V360" s="773">
        <v>966</v>
      </c>
      <c r="W360" s="773" t="str">
        <f t="shared" si="12"/>
        <v>N</v>
      </c>
    </row>
    <row r="361" spans="1:23">
      <c r="A361" s="27">
        <v>44196</v>
      </c>
      <c r="B361" s="773" t="s">
        <v>140</v>
      </c>
      <c r="C361" s="773">
        <v>659</v>
      </c>
      <c r="D361" s="773">
        <v>651</v>
      </c>
      <c r="E361" s="773" t="s">
        <v>390</v>
      </c>
      <c r="S361" s="27">
        <v>44469</v>
      </c>
      <c r="T361" s="773" t="s">
        <v>132</v>
      </c>
      <c r="U361" s="773">
        <v>92</v>
      </c>
      <c r="V361" s="773">
        <v>1953</v>
      </c>
      <c r="W361" s="773" t="str">
        <f t="shared" si="12"/>
        <v>N</v>
      </c>
    </row>
    <row r="362" spans="1:23">
      <c r="A362" s="27">
        <v>44196</v>
      </c>
      <c r="B362" s="773" t="s">
        <v>140</v>
      </c>
      <c r="C362" s="773">
        <v>678</v>
      </c>
      <c r="D362" s="773">
        <v>2355</v>
      </c>
      <c r="E362" s="773" t="s">
        <v>390</v>
      </c>
      <c r="S362" s="27">
        <v>44469</v>
      </c>
      <c r="T362" s="773" t="s">
        <v>132</v>
      </c>
      <c r="U362" s="773">
        <v>93</v>
      </c>
      <c r="V362" s="773">
        <v>5825</v>
      </c>
      <c r="W362" s="773" t="str">
        <f t="shared" si="12"/>
        <v>N</v>
      </c>
    </row>
    <row r="363" spans="1:23">
      <c r="A363" s="27">
        <v>44561</v>
      </c>
      <c r="B363" s="773" t="s">
        <v>140</v>
      </c>
      <c r="C363" s="773">
        <v>639</v>
      </c>
      <c r="D363" s="773">
        <v>91</v>
      </c>
      <c r="E363" s="773" t="s">
        <v>410</v>
      </c>
      <c r="S363" s="27">
        <v>44469</v>
      </c>
      <c r="T363" s="773" t="s">
        <v>132</v>
      </c>
      <c r="U363" s="773">
        <v>94</v>
      </c>
      <c r="V363" s="773">
        <v>144</v>
      </c>
      <c r="W363" s="773" t="str">
        <f t="shared" si="12"/>
        <v>N</v>
      </c>
    </row>
    <row r="364" spans="1:23">
      <c r="A364" s="27">
        <v>44561</v>
      </c>
      <c r="B364" s="773" t="s">
        <v>140</v>
      </c>
      <c r="C364" s="773">
        <v>346</v>
      </c>
      <c r="D364" s="773">
        <v>2</v>
      </c>
      <c r="E364" s="773" t="s">
        <v>410</v>
      </c>
      <c r="S364" s="27">
        <v>44469</v>
      </c>
      <c r="T364" s="773" t="s">
        <v>132</v>
      </c>
      <c r="U364" s="773">
        <v>97</v>
      </c>
      <c r="V364" s="773">
        <v>2</v>
      </c>
      <c r="W364" s="773" t="str">
        <f t="shared" si="12"/>
        <v>O</v>
      </c>
    </row>
    <row r="365" spans="1:23">
      <c r="A365" s="27">
        <v>44561</v>
      </c>
      <c r="B365" s="773" t="s">
        <v>140</v>
      </c>
      <c r="C365" s="773">
        <v>548</v>
      </c>
      <c r="D365" s="773">
        <v>554</v>
      </c>
      <c r="E365" s="773" t="s">
        <v>390</v>
      </c>
      <c r="S365" s="27">
        <v>44469</v>
      </c>
      <c r="T365" s="773" t="s">
        <v>132</v>
      </c>
      <c r="U365" s="773">
        <v>98</v>
      </c>
      <c r="V365" s="773">
        <v>66</v>
      </c>
      <c r="W365" s="773" t="str">
        <f t="shared" si="12"/>
        <v>O</v>
      </c>
    </row>
    <row r="366" spans="1:23">
      <c r="A366" s="27">
        <v>44196</v>
      </c>
      <c r="B366" s="773" t="s">
        <v>140</v>
      </c>
      <c r="C366" s="773">
        <v>608</v>
      </c>
      <c r="D366" s="773">
        <v>2699</v>
      </c>
      <c r="E366" s="773" t="s">
        <v>390</v>
      </c>
      <c r="S366" s="27">
        <v>44469</v>
      </c>
      <c r="T366" s="773" t="s">
        <v>132</v>
      </c>
      <c r="U366" s="773">
        <v>100</v>
      </c>
      <c r="V366" s="773">
        <v>1</v>
      </c>
      <c r="W366" s="773" t="str">
        <f t="shared" si="12"/>
        <v>O</v>
      </c>
    </row>
    <row r="367" spans="1:23">
      <c r="A367" s="27">
        <v>44561</v>
      </c>
      <c r="B367" s="773" t="s">
        <v>140</v>
      </c>
      <c r="C367" s="773">
        <v>712</v>
      </c>
      <c r="D367" s="773">
        <v>1</v>
      </c>
      <c r="E367" s="773" t="s">
        <v>410</v>
      </c>
      <c r="S367" s="27">
        <v>44469</v>
      </c>
      <c r="T367" s="773" t="s">
        <v>132</v>
      </c>
      <c r="U367" s="773">
        <v>101</v>
      </c>
      <c r="V367" s="773">
        <v>500</v>
      </c>
      <c r="W367" s="773" t="str">
        <f t="shared" si="12"/>
        <v>N</v>
      </c>
    </row>
    <row r="368" spans="1:23">
      <c r="A368" s="27">
        <v>44196</v>
      </c>
      <c r="B368" s="773" t="s">
        <v>140</v>
      </c>
      <c r="C368" s="773">
        <v>522</v>
      </c>
      <c r="D368" s="773">
        <v>10</v>
      </c>
      <c r="E368" s="773" t="s">
        <v>410</v>
      </c>
      <c r="S368" s="27">
        <v>44469</v>
      </c>
      <c r="T368" s="773" t="s">
        <v>132</v>
      </c>
      <c r="U368" s="773">
        <v>103</v>
      </c>
      <c r="V368" s="773">
        <v>2663</v>
      </c>
      <c r="W368" s="773" t="str">
        <f t="shared" si="12"/>
        <v>N</v>
      </c>
    </row>
    <row r="369" spans="1:23">
      <c r="A369" s="27">
        <v>44196</v>
      </c>
      <c r="B369" s="773" t="s">
        <v>140</v>
      </c>
      <c r="C369" s="773">
        <v>530</v>
      </c>
      <c r="D369" s="773">
        <v>2</v>
      </c>
      <c r="E369" s="773" t="s">
        <v>410</v>
      </c>
      <c r="S369" s="27">
        <v>44469</v>
      </c>
      <c r="T369" s="773" t="s">
        <v>132</v>
      </c>
      <c r="U369" s="773">
        <v>110</v>
      </c>
      <c r="V369" s="773">
        <v>1</v>
      </c>
      <c r="W369" s="773" t="str">
        <f t="shared" si="12"/>
        <v>O</v>
      </c>
    </row>
    <row r="370" spans="1:23">
      <c r="A370" s="27">
        <v>44561</v>
      </c>
      <c r="B370" s="773" t="s">
        <v>140</v>
      </c>
      <c r="C370" s="773">
        <v>628</v>
      </c>
      <c r="D370" s="773">
        <v>1604</v>
      </c>
      <c r="E370" s="773" t="s">
        <v>390</v>
      </c>
      <c r="S370" s="27">
        <v>44469</v>
      </c>
      <c r="T370" s="773" t="s">
        <v>132</v>
      </c>
      <c r="U370" s="773">
        <v>111</v>
      </c>
      <c r="V370" s="773">
        <v>1</v>
      </c>
      <c r="W370" s="773" t="str">
        <f t="shared" si="12"/>
        <v>O</v>
      </c>
    </row>
    <row r="371" spans="1:23">
      <c r="A371" s="27">
        <v>44561</v>
      </c>
      <c r="B371" s="773" t="s">
        <v>140</v>
      </c>
      <c r="C371" s="773">
        <v>449</v>
      </c>
      <c r="D371" s="773">
        <v>1868</v>
      </c>
      <c r="E371" s="773" t="s">
        <v>390</v>
      </c>
      <c r="S371" s="27">
        <v>44469</v>
      </c>
      <c r="T371" s="773" t="s">
        <v>132</v>
      </c>
      <c r="U371" s="773">
        <v>116</v>
      </c>
      <c r="V371" s="773">
        <v>3</v>
      </c>
      <c r="W371" s="773" t="str">
        <f t="shared" si="12"/>
        <v>O</v>
      </c>
    </row>
    <row r="372" spans="1:23">
      <c r="A372" s="27">
        <v>44196</v>
      </c>
      <c r="B372" s="773" t="s">
        <v>140</v>
      </c>
      <c r="C372" s="773">
        <v>576</v>
      </c>
      <c r="D372" s="773">
        <v>244</v>
      </c>
      <c r="E372" s="773" t="s">
        <v>390</v>
      </c>
      <c r="S372" s="27">
        <v>44469</v>
      </c>
      <c r="T372" s="773" t="s">
        <v>132</v>
      </c>
      <c r="U372" s="773">
        <v>120</v>
      </c>
      <c r="V372" s="773">
        <v>2</v>
      </c>
      <c r="W372" s="773" t="str">
        <f t="shared" si="12"/>
        <v>O</v>
      </c>
    </row>
    <row r="373" spans="1:23">
      <c r="A373" s="27">
        <v>44561</v>
      </c>
      <c r="B373" s="773" t="s">
        <v>140</v>
      </c>
      <c r="C373" s="773">
        <v>659</v>
      </c>
      <c r="D373" s="773">
        <v>714</v>
      </c>
      <c r="E373" s="773" t="s">
        <v>390</v>
      </c>
      <c r="S373" s="27">
        <v>44469</v>
      </c>
      <c r="T373" s="773" t="s">
        <v>132</v>
      </c>
      <c r="U373" s="773">
        <v>124</v>
      </c>
      <c r="V373" s="773">
        <v>9</v>
      </c>
      <c r="W373" s="773" t="str">
        <f t="shared" si="12"/>
        <v>O</v>
      </c>
    </row>
    <row r="374" spans="1:23">
      <c r="A374" s="27">
        <v>44561</v>
      </c>
      <c r="B374" s="773" t="s">
        <v>140</v>
      </c>
      <c r="C374" s="773">
        <v>502</v>
      </c>
      <c r="D374" s="773">
        <v>15</v>
      </c>
      <c r="E374" s="773" t="s">
        <v>410</v>
      </c>
      <c r="S374" s="27">
        <v>44469</v>
      </c>
      <c r="T374" s="773" t="s">
        <v>132</v>
      </c>
      <c r="U374" s="773">
        <v>130</v>
      </c>
      <c r="V374" s="773">
        <v>1</v>
      </c>
      <c r="W374" s="773" t="str">
        <f t="shared" si="12"/>
        <v>O</v>
      </c>
    </row>
    <row r="375" spans="1:23">
      <c r="A375" s="27">
        <v>44196</v>
      </c>
      <c r="B375" s="773" t="s">
        <v>140</v>
      </c>
      <c r="C375" s="773">
        <v>548</v>
      </c>
      <c r="D375" s="773">
        <v>525</v>
      </c>
      <c r="E375" s="773" t="s">
        <v>390</v>
      </c>
      <c r="S375" s="27">
        <v>44469</v>
      </c>
      <c r="T375" s="773" t="s">
        <v>132</v>
      </c>
      <c r="U375" s="773">
        <v>132</v>
      </c>
      <c r="V375" s="773">
        <v>1513</v>
      </c>
      <c r="W375" s="773" t="str">
        <f t="shared" si="12"/>
        <v>N</v>
      </c>
    </row>
    <row r="376" spans="1:23">
      <c r="A376" s="27">
        <v>44561</v>
      </c>
      <c r="B376" s="773" t="s">
        <v>140</v>
      </c>
      <c r="C376" s="773">
        <v>525</v>
      </c>
      <c r="D376" s="773">
        <v>3343</v>
      </c>
      <c r="E376" s="773" t="s">
        <v>390</v>
      </c>
      <c r="S376" s="27">
        <v>44469</v>
      </c>
      <c r="T376" s="773" t="s">
        <v>132</v>
      </c>
      <c r="U376" s="773">
        <v>136</v>
      </c>
      <c r="V376" s="773">
        <v>81</v>
      </c>
      <c r="W376" s="773" t="str">
        <f t="shared" si="12"/>
        <v>O</v>
      </c>
    </row>
    <row r="377" spans="1:23">
      <c r="A377" s="27">
        <v>44561</v>
      </c>
      <c r="B377" s="773" t="s">
        <v>140</v>
      </c>
      <c r="C377" s="773">
        <v>338</v>
      </c>
      <c r="D377" s="773">
        <v>2388</v>
      </c>
      <c r="E377" s="773" t="s">
        <v>390</v>
      </c>
      <c r="S377" s="27">
        <v>44469</v>
      </c>
      <c r="T377" s="773" t="s">
        <v>132</v>
      </c>
      <c r="U377" s="773">
        <v>139</v>
      </c>
      <c r="V377" s="773">
        <v>1680</v>
      </c>
      <c r="W377" s="773" t="str">
        <f t="shared" si="12"/>
        <v>N</v>
      </c>
    </row>
    <row r="378" spans="1:23">
      <c r="A378" s="27">
        <v>44196</v>
      </c>
      <c r="B378" s="773" t="s">
        <v>140</v>
      </c>
      <c r="C378" s="773">
        <v>493</v>
      </c>
      <c r="D378" s="773">
        <v>9</v>
      </c>
      <c r="E378" s="773" t="s">
        <v>410</v>
      </c>
      <c r="S378" s="27">
        <v>44469</v>
      </c>
      <c r="T378" s="773" t="s">
        <v>132</v>
      </c>
      <c r="U378" s="773">
        <v>140</v>
      </c>
      <c r="V378" s="773">
        <v>327</v>
      </c>
      <c r="W378" s="773" t="str">
        <f t="shared" si="12"/>
        <v>N</v>
      </c>
    </row>
    <row r="379" spans="1:23">
      <c r="A379" s="27">
        <v>44561</v>
      </c>
      <c r="B379" s="773" t="s">
        <v>140</v>
      </c>
      <c r="C379" s="773">
        <v>691</v>
      </c>
      <c r="D379" s="773">
        <v>226</v>
      </c>
      <c r="E379" s="773" t="s">
        <v>390</v>
      </c>
      <c r="S379" s="27">
        <v>44469</v>
      </c>
      <c r="T379" s="773" t="s">
        <v>132</v>
      </c>
      <c r="U379" s="773">
        <v>141</v>
      </c>
      <c r="V379" s="773">
        <v>6</v>
      </c>
      <c r="W379" s="773" t="str">
        <f t="shared" si="12"/>
        <v>O</v>
      </c>
    </row>
    <row r="380" spans="1:23">
      <c r="A380" s="27">
        <v>44561</v>
      </c>
      <c r="B380" s="773" t="s">
        <v>140</v>
      </c>
      <c r="C380" s="773">
        <v>476</v>
      </c>
      <c r="D380" s="773">
        <v>1</v>
      </c>
      <c r="E380" s="773" t="s">
        <v>410</v>
      </c>
      <c r="S380" s="27">
        <v>44469</v>
      </c>
      <c r="T380" s="773" t="s">
        <v>132</v>
      </c>
      <c r="U380" s="773">
        <v>149</v>
      </c>
      <c r="V380" s="773">
        <v>1</v>
      </c>
      <c r="W380" s="773" t="str">
        <f t="shared" si="12"/>
        <v>O</v>
      </c>
    </row>
    <row r="381" spans="1:23">
      <c r="A381" s="27">
        <v>44196</v>
      </c>
      <c r="B381" s="773" t="s">
        <v>140</v>
      </c>
      <c r="C381" s="773">
        <v>558</v>
      </c>
      <c r="D381" s="773">
        <v>1363</v>
      </c>
      <c r="E381" s="773" t="s">
        <v>390</v>
      </c>
      <c r="S381" s="27">
        <v>44469</v>
      </c>
      <c r="T381" s="773" t="s">
        <v>132</v>
      </c>
      <c r="U381" s="773">
        <v>150</v>
      </c>
      <c r="V381" s="773">
        <v>14</v>
      </c>
      <c r="W381" s="773" t="str">
        <f t="shared" si="12"/>
        <v>O</v>
      </c>
    </row>
    <row r="382" spans="1:23">
      <c r="A382" s="27">
        <v>44196</v>
      </c>
      <c r="B382" s="773" t="s">
        <v>140</v>
      </c>
      <c r="C382" s="773">
        <v>278</v>
      </c>
      <c r="D382" s="773">
        <v>1</v>
      </c>
      <c r="E382" s="773" t="s">
        <v>410</v>
      </c>
      <c r="S382" s="27">
        <v>44469</v>
      </c>
      <c r="T382" s="773" t="s">
        <v>132</v>
      </c>
      <c r="U382" s="773">
        <v>153</v>
      </c>
      <c r="V382" s="773">
        <v>1737</v>
      </c>
      <c r="W382" s="773" t="str">
        <f t="shared" si="12"/>
        <v>N</v>
      </c>
    </row>
    <row r="383" spans="1:23">
      <c r="A383" s="27">
        <v>44196</v>
      </c>
      <c r="B383" s="773" t="s">
        <v>140</v>
      </c>
      <c r="C383" s="773">
        <v>597</v>
      </c>
      <c r="D383" s="773">
        <v>1104</v>
      </c>
      <c r="E383" s="773" t="s">
        <v>390</v>
      </c>
      <c r="S383" s="27">
        <v>44469</v>
      </c>
      <c r="T383" s="773" t="s">
        <v>132</v>
      </c>
      <c r="U383" s="773">
        <v>155</v>
      </c>
      <c r="V383" s="773">
        <v>2009</v>
      </c>
      <c r="W383" s="773" t="str">
        <f t="shared" si="12"/>
        <v>N</v>
      </c>
    </row>
    <row r="384" spans="1:23">
      <c r="A384" s="27">
        <v>44196</v>
      </c>
      <c r="B384" s="773" t="s">
        <v>140</v>
      </c>
      <c r="C384" s="773">
        <v>705</v>
      </c>
      <c r="D384" s="773">
        <v>1</v>
      </c>
      <c r="E384" s="773" t="s">
        <v>410</v>
      </c>
      <c r="S384" s="27">
        <v>44469</v>
      </c>
      <c r="T384" s="773" t="s">
        <v>132</v>
      </c>
      <c r="U384" s="773">
        <v>158</v>
      </c>
      <c r="V384" s="773">
        <v>84</v>
      </c>
      <c r="W384" s="773" t="str">
        <f t="shared" si="12"/>
        <v>O</v>
      </c>
    </row>
    <row r="385" spans="1:23">
      <c r="A385" s="27">
        <v>44561</v>
      </c>
      <c r="B385" s="773" t="s">
        <v>140</v>
      </c>
      <c r="C385" s="773">
        <v>719</v>
      </c>
      <c r="D385" s="773">
        <v>24</v>
      </c>
      <c r="E385" s="773" t="s">
        <v>410</v>
      </c>
      <c r="S385" s="27">
        <v>44469</v>
      </c>
      <c r="T385" s="773" t="s">
        <v>132</v>
      </c>
      <c r="U385" s="773">
        <v>159</v>
      </c>
      <c r="V385" s="773">
        <v>15</v>
      </c>
      <c r="W385" s="773" t="str">
        <f t="shared" si="12"/>
        <v>O</v>
      </c>
    </row>
    <row r="386" spans="1:23">
      <c r="A386" s="27">
        <v>44196</v>
      </c>
      <c r="B386" s="773" t="s">
        <v>140</v>
      </c>
      <c r="C386" s="773">
        <v>719</v>
      </c>
      <c r="D386" s="773">
        <v>3</v>
      </c>
      <c r="E386" s="773" t="s">
        <v>410</v>
      </c>
      <c r="S386" s="27">
        <v>44469</v>
      </c>
      <c r="T386" s="773" t="s">
        <v>132</v>
      </c>
      <c r="U386" s="773">
        <v>161</v>
      </c>
      <c r="V386" s="773">
        <v>5</v>
      </c>
      <c r="W386" s="773" t="str">
        <f t="shared" si="12"/>
        <v>O</v>
      </c>
    </row>
    <row r="387" spans="1:23">
      <c r="A387" s="27">
        <v>44196</v>
      </c>
      <c r="B387" s="773" t="s">
        <v>140</v>
      </c>
      <c r="C387" s="773">
        <v>521</v>
      </c>
      <c r="D387" s="773">
        <v>15</v>
      </c>
      <c r="E387" s="773" t="s">
        <v>410</v>
      </c>
      <c r="S387" s="27">
        <v>44469</v>
      </c>
      <c r="T387" s="773" t="s">
        <v>132</v>
      </c>
      <c r="U387" s="773">
        <v>162</v>
      </c>
      <c r="V387" s="773">
        <v>1765</v>
      </c>
      <c r="W387" s="773" t="str">
        <f t="shared" ref="W387:W450" si="13">+IF(V387&lt;100,"O","N")</f>
        <v>N</v>
      </c>
    </row>
    <row r="388" spans="1:23">
      <c r="A388" s="27">
        <v>44561</v>
      </c>
      <c r="B388" s="773" t="s">
        <v>140</v>
      </c>
      <c r="C388" s="773">
        <v>524</v>
      </c>
      <c r="D388" s="773">
        <v>1122</v>
      </c>
      <c r="E388" s="773" t="s">
        <v>390</v>
      </c>
      <c r="S388" s="27">
        <v>44469</v>
      </c>
      <c r="T388" s="773" t="s">
        <v>132</v>
      </c>
      <c r="U388" s="773">
        <v>164</v>
      </c>
      <c r="V388" s="773">
        <v>4</v>
      </c>
      <c r="W388" s="773" t="str">
        <f t="shared" si="13"/>
        <v>O</v>
      </c>
    </row>
    <row r="389" spans="1:23">
      <c r="A389" s="27">
        <v>44561</v>
      </c>
      <c r="B389" s="773" t="s">
        <v>140</v>
      </c>
      <c r="C389" s="773">
        <v>248</v>
      </c>
      <c r="D389" s="773">
        <v>452</v>
      </c>
      <c r="E389" s="773" t="s">
        <v>390</v>
      </c>
      <c r="S389" s="27">
        <v>44469</v>
      </c>
      <c r="T389" s="773" t="s">
        <v>132</v>
      </c>
      <c r="U389" s="773">
        <v>169</v>
      </c>
      <c r="V389" s="773">
        <v>2265</v>
      </c>
      <c r="W389" s="773" t="str">
        <f t="shared" si="13"/>
        <v>N</v>
      </c>
    </row>
    <row r="390" spans="1:23">
      <c r="A390" s="27">
        <v>44561</v>
      </c>
      <c r="B390" s="773" t="s">
        <v>140</v>
      </c>
      <c r="C390" s="773">
        <v>379</v>
      </c>
      <c r="D390" s="773">
        <v>1</v>
      </c>
      <c r="E390" s="773" t="s">
        <v>410</v>
      </c>
      <c r="S390" s="27">
        <v>44469</v>
      </c>
      <c r="T390" s="773" t="s">
        <v>132</v>
      </c>
      <c r="U390" s="773">
        <v>171</v>
      </c>
      <c r="V390" s="773">
        <v>173</v>
      </c>
      <c r="W390" s="773" t="str">
        <f t="shared" si="13"/>
        <v>N</v>
      </c>
    </row>
    <row r="391" spans="1:23">
      <c r="A391" s="27">
        <v>44561</v>
      </c>
      <c r="B391" s="773" t="s">
        <v>140</v>
      </c>
      <c r="C391" s="773">
        <v>678</v>
      </c>
      <c r="D391" s="773">
        <v>2301</v>
      </c>
      <c r="E391" s="773" t="s">
        <v>390</v>
      </c>
      <c r="S391" s="27">
        <v>44469</v>
      </c>
      <c r="T391" s="773" t="s">
        <v>132</v>
      </c>
      <c r="U391" s="773">
        <v>173</v>
      </c>
      <c r="V391" s="773">
        <v>2</v>
      </c>
      <c r="W391" s="773" t="str">
        <f t="shared" si="13"/>
        <v>O</v>
      </c>
    </row>
    <row r="392" spans="1:23">
      <c r="A392" s="27">
        <v>44196</v>
      </c>
      <c r="B392" s="773" t="s">
        <v>140</v>
      </c>
      <c r="C392" s="773">
        <v>578</v>
      </c>
      <c r="D392" s="773">
        <v>2715</v>
      </c>
      <c r="E392" s="773" t="s">
        <v>390</v>
      </c>
      <c r="S392" s="27">
        <v>44469</v>
      </c>
      <c r="T392" s="773" t="s">
        <v>132</v>
      </c>
      <c r="U392" s="773">
        <v>176</v>
      </c>
      <c r="V392" s="773">
        <v>1</v>
      </c>
      <c r="W392" s="773" t="str">
        <f t="shared" si="13"/>
        <v>O</v>
      </c>
    </row>
    <row r="393" spans="1:23">
      <c r="A393" s="27">
        <v>44196</v>
      </c>
      <c r="B393" s="773" t="s">
        <v>140</v>
      </c>
      <c r="C393" s="773">
        <v>0</v>
      </c>
      <c r="D393" s="773">
        <v>8</v>
      </c>
      <c r="E393" s="773" t="s">
        <v>410</v>
      </c>
      <c r="S393" s="27">
        <v>44469</v>
      </c>
      <c r="T393" s="773" t="s">
        <v>132</v>
      </c>
      <c r="U393" s="773">
        <v>182</v>
      </c>
      <c r="V393" s="773">
        <v>667</v>
      </c>
      <c r="W393" s="773" t="str">
        <f t="shared" si="13"/>
        <v>N</v>
      </c>
    </row>
    <row r="394" spans="1:23">
      <c r="A394" s="27">
        <v>44196</v>
      </c>
      <c r="B394" s="773" t="s">
        <v>140</v>
      </c>
      <c r="C394" s="773">
        <v>524</v>
      </c>
      <c r="D394" s="773">
        <v>1203</v>
      </c>
      <c r="E394" s="773" t="s">
        <v>390</v>
      </c>
      <c r="S394" s="27">
        <v>44469</v>
      </c>
      <c r="T394" s="773" t="s">
        <v>132</v>
      </c>
      <c r="U394" s="773">
        <v>183</v>
      </c>
      <c r="V394" s="773">
        <v>1535</v>
      </c>
      <c r="W394" s="773" t="str">
        <f t="shared" si="13"/>
        <v>N</v>
      </c>
    </row>
    <row r="395" spans="1:23">
      <c r="A395" s="27">
        <v>44561</v>
      </c>
      <c r="B395" s="773" t="s">
        <v>140</v>
      </c>
      <c r="C395" s="773">
        <v>370</v>
      </c>
      <c r="D395" s="773">
        <v>1</v>
      </c>
      <c r="E395" s="773" t="s">
        <v>410</v>
      </c>
      <c r="S395" s="27">
        <v>44469</v>
      </c>
      <c r="T395" s="773" t="s">
        <v>132</v>
      </c>
      <c r="U395" s="773">
        <v>188</v>
      </c>
      <c r="V395" s="773">
        <v>416</v>
      </c>
      <c r="W395" s="773" t="str">
        <f t="shared" si="13"/>
        <v>N</v>
      </c>
    </row>
    <row r="396" spans="1:23">
      <c r="A396" s="27">
        <v>44196</v>
      </c>
      <c r="B396" s="773" t="s">
        <v>140</v>
      </c>
      <c r="C396" s="773">
        <v>648</v>
      </c>
      <c r="D396" s="773">
        <v>1430</v>
      </c>
      <c r="E396" s="773" t="s">
        <v>390</v>
      </c>
      <c r="S396" s="27">
        <v>44469</v>
      </c>
      <c r="T396" s="773" t="s">
        <v>132</v>
      </c>
      <c r="U396" s="773">
        <v>191</v>
      </c>
      <c r="V396" s="773">
        <v>1526</v>
      </c>
      <c r="W396" s="773" t="str">
        <f t="shared" si="13"/>
        <v>N</v>
      </c>
    </row>
    <row r="397" spans="1:23">
      <c r="A397" s="27">
        <v>44196</v>
      </c>
      <c r="B397" s="773" t="s">
        <v>140</v>
      </c>
      <c r="C397" s="773">
        <v>626</v>
      </c>
      <c r="D397" s="773">
        <v>2788</v>
      </c>
      <c r="E397" s="773" t="s">
        <v>390</v>
      </c>
      <c r="S397" s="27">
        <v>44469</v>
      </c>
      <c r="T397" s="773" t="s">
        <v>132</v>
      </c>
      <c r="U397" s="773">
        <v>193</v>
      </c>
      <c r="V397" s="773">
        <v>388</v>
      </c>
      <c r="W397" s="773" t="str">
        <f t="shared" si="13"/>
        <v>N</v>
      </c>
    </row>
    <row r="398" spans="1:23">
      <c r="A398" s="27">
        <v>44561</v>
      </c>
      <c r="B398" s="773" t="s">
        <v>140</v>
      </c>
      <c r="C398" s="773">
        <v>558</v>
      </c>
      <c r="D398" s="773">
        <v>1262</v>
      </c>
      <c r="E398" s="773" t="s">
        <v>390</v>
      </c>
      <c r="S398" s="27">
        <v>44469</v>
      </c>
      <c r="T398" s="773" t="s">
        <v>132</v>
      </c>
      <c r="U398" s="773">
        <v>194</v>
      </c>
      <c r="V398" s="773">
        <v>1775</v>
      </c>
      <c r="W398" s="773" t="str">
        <f t="shared" si="13"/>
        <v>N</v>
      </c>
    </row>
    <row r="399" spans="1:23">
      <c r="A399" s="27">
        <v>44196</v>
      </c>
      <c r="B399" s="773" t="s">
        <v>140</v>
      </c>
      <c r="C399" s="773">
        <v>387</v>
      </c>
      <c r="D399" s="773">
        <v>10</v>
      </c>
      <c r="E399" s="773" t="s">
        <v>410</v>
      </c>
      <c r="S399" s="27">
        <v>44469</v>
      </c>
      <c r="T399" s="773" t="s">
        <v>132</v>
      </c>
      <c r="U399" s="773">
        <v>195</v>
      </c>
      <c r="V399" s="773">
        <v>1</v>
      </c>
      <c r="W399" s="773" t="str">
        <f t="shared" si="13"/>
        <v>O</v>
      </c>
    </row>
    <row r="400" spans="1:23">
      <c r="A400" s="27">
        <v>44196</v>
      </c>
      <c r="B400" s="773" t="s">
        <v>140</v>
      </c>
      <c r="C400" s="773">
        <v>478</v>
      </c>
      <c r="D400" s="773">
        <v>2279</v>
      </c>
      <c r="E400" s="773" t="s">
        <v>390</v>
      </c>
      <c r="S400" s="27">
        <v>44469</v>
      </c>
      <c r="T400" s="773" t="s">
        <v>132</v>
      </c>
      <c r="U400" s="773">
        <v>200</v>
      </c>
      <c r="V400" s="773">
        <v>3</v>
      </c>
      <c r="W400" s="773" t="str">
        <f t="shared" si="13"/>
        <v>O</v>
      </c>
    </row>
    <row r="401" spans="1:23">
      <c r="A401" s="27">
        <v>44561</v>
      </c>
      <c r="B401" s="773" t="s">
        <v>140</v>
      </c>
      <c r="C401" s="773">
        <v>478</v>
      </c>
      <c r="D401" s="773">
        <v>1993</v>
      </c>
      <c r="E401" s="773" t="s">
        <v>390</v>
      </c>
      <c r="S401" s="27">
        <v>44469</v>
      </c>
      <c r="T401" s="773" t="s">
        <v>132</v>
      </c>
      <c r="U401" s="773">
        <v>202</v>
      </c>
      <c r="V401" s="773">
        <v>1</v>
      </c>
      <c r="W401" s="773" t="str">
        <f t="shared" si="13"/>
        <v>O</v>
      </c>
    </row>
    <row r="402" spans="1:23">
      <c r="A402" s="27">
        <v>44196</v>
      </c>
      <c r="B402" s="773" t="s">
        <v>140</v>
      </c>
      <c r="C402" s="773">
        <v>585</v>
      </c>
      <c r="D402" s="773">
        <v>2544</v>
      </c>
      <c r="E402" s="773" t="s">
        <v>390</v>
      </c>
      <c r="S402" s="27">
        <v>44469</v>
      </c>
      <c r="T402" s="773" t="s">
        <v>132</v>
      </c>
      <c r="U402" s="773">
        <v>203</v>
      </c>
      <c r="V402" s="773">
        <v>1801</v>
      </c>
      <c r="W402" s="773" t="str">
        <f t="shared" si="13"/>
        <v>N</v>
      </c>
    </row>
    <row r="403" spans="1:23">
      <c r="A403" s="27">
        <v>44561</v>
      </c>
      <c r="B403" s="773" t="s">
        <v>140</v>
      </c>
      <c r="C403" s="773">
        <v>740</v>
      </c>
      <c r="D403" s="773">
        <v>612</v>
      </c>
      <c r="E403" s="773" t="s">
        <v>390</v>
      </c>
      <c r="S403" s="27">
        <v>44469</v>
      </c>
      <c r="T403" s="773" t="s">
        <v>132</v>
      </c>
      <c r="U403" s="773">
        <v>204</v>
      </c>
      <c r="V403" s="773">
        <v>19</v>
      </c>
      <c r="W403" s="773" t="str">
        <f t="shared" si="13"/>
        <v>O</v>
      </c>
    </row>
    <row r="404" spans="1:23">
      <c r="A404" s="27">
        <v>44196</v>
      </c>
      <c r="B404" s="773" t="s">
        <v>140</v>
      </c>
      <c r="C404" s="773">
        <v>691</v>
      </c>
      <c r="D404" s="773">
        <v>249</v>
      </c>
      <c r="E404" s="773" t="s">
        <v>390</v>
      </c>
      <c r="S404" s="27">
        <v>44469</v>
      </c>
      <c r="T404" s="773" t="s">
        <v>132</v>
      </c>
      <c r="U404" s="773">
        <v>212</v>
      </c>
      <c r="V404" s="773">
        <v>2586</v>
      </c>
      <c r="W404" s="773" t="str">
        <f t="shared" si="13"/>
        <v>N</v>
      </c>
    </row>
    <row r="405" spans="1:23">
      <c r="A405" s="27">
        <v>44196</v>
      </c>
      <c r="B405" s="773" t="s">
        <v>140</v>
      </c>
      <c r="C405" s="773">
        <v>449</v>
      </c>
      <c r="D405" s="773">
        <v>2125</v>
      </c>
      <c r="E405" s="773" t="s">
        <v>390</v>
      </c>
      <c r="S405" s="27">
        <v>44469</v>
      </c>
      <c r="T405" s="773" t="s">
        <v>132</v>
      </c>
      <c r="U405" s="773">
        <v>213</v>
      </c>
      <c r="V405" s="773">
        <v>2476</v>
      </c>
      <c r="W405" s="773" t="str">
        <f t="shared" si="13"/>
        <v>N</v>
      </c>
    </row>
    <row r="406" spans="1:23">
      <c r="A406" s="27">
        <v>44196</v>
      </c>
      <c r="B406" s="773" t="s">
        <v>140</v>
      </c>
      <c r="C406" s="773">
        <v>453</v>
      </c>
      <c r="D406" s="773">
        <v>2552</v>
      </c>
      <c r="E406" s="773" t="s">
        <v>390</v>
      </c>
      <c r="S406" s="27">
        <v>44469</v>
      </c>
      <c r="T406" s="773" t="s">
        <v>132</v>
      </c>
      <c r="U406" s="773">
        <v>215</v>
      </c>
      <c r="V406" s="773">
        <v>604</v>
      </c>
      <c r="W406" s="773" t="str">
        <f t="shared" si="13"/>
        <v>N</v>
      </c>
    </row>
    <row r="407" spans="1:23">
      <c r="A407" s="27">
        <v>44196</v>
      </c>
      <c r="B407" s="773" t="s">
        <v>140</v>
      </c>
      <c r="C407" s="773">
        <v>722</v>
      </c>
      <c r="D407" s="773">
        <v>2989</v>
      </c>
      <c r="E407" s="773" t="s">
        <v>390</v>
      </c>
      <c r="S407" s="27">
        <v>44469</v>
      </c>
      <c r="T407" s="773" t="s">
        <v>132</v>
      </c>
      <c r="U407" s="773">
        <v>216</v>
      </c>
      <c r="V407" s="773">
        <v>1891</v>
      </c>
      <c r="W407" s="773" t="str">
        <f t="shared" si="13"/>
        <v>N</v>
      </c>
    </row>
    <row r="408" spans="1:23">
      <c r="A408" s="27">
        <v>44561</v>
      </c>
      <c r="B408" s="773" t="s">
        <v>140</v>
      </c>
      <c r="C408" s="773">
        <v>279</v>
      </c>
      <c r="D408" s="773">
        <v>1</v>
      </c>
      <c r="E408" s="773" t="s">
        <v>410</v>
      </c>
      <c r="S408" s="27">
        <v>44469</v>
      </c>
      <c r="T408" s="773" t="s">
        <v>132</v>
      </c>
      <c r="U408" s="773">
        <v>218</v>
      </c>
      <c r="V408" s="773">
        <v>834</v>
      </c>
      <c r="W408" s="773" t="str">
        <f t="shared" si="13"/>
        <v>N</v>
      </c>
    </row>
    <row r="409" spans="1:23">
      <c r="A409" s="27">
        <v>44561</v>
      </c>
      <c r="B409" s="773" t="s">
        <v>140</v>
      </c>
      <c r="C409" s="773">
        <v>493</v>
      </c>
      <c r="D409" s="773">
        <v>6</v>
      </c>
      <c r="E409" s="773" t="s">
        <v>410</v>
      </c>
      <c r="S409" s="27">
        <v>44469</v>
      </c>
      <c r="T409" s="773" t="s">
        <v>132</v>
      </c>
      <c r="U409" s="773">
        <v>220</v>
      </c>
      <c r="V409" s="773">
        <v>12</v>
      </c>
      <c r="W409" s="773" t="str">
        <f t="shared" si="13"/>
        <v>O</v>
      </c>
    </row>
    <row r="410" spans="1:23">
      <c r="A410" s="27">
        <v>44561</v>
      </c>
      <c r="B410" s="773" t="s">
        <v>140</v>
      </c>
      <c r="C410" s="773">
        <v>510</v>
      </c>
      <c r="D410" s="773">
        <v>911</v>
      </c>
      <c r="E410" s="773" t="s">
        <v>390</v>
      </c>
      <c r="S410" s="27">
        <v>44469</v>
      </c>
      <c r="T410" s="773" t="s">
        <v>132</v>
      </c>
      <c r="U410" s="773">
        <v>222</v>
      </c>
      <c r="V410" s="773">
        <v>1</v>
      </c>
      <c r="W410" s="773" t="str">
        <f t="shared" si="13"/>
        <v>O</v>
      </c>
    </row>
    <row r="411" spans="1:23">
      <c r="A411" s="27">
        <v>44561</v>
      </c>
      <c r="B411" s="773" t="s">
        <v>140</v>
      </c>
      <c r="C411" s="773">
        <v>674</v>
      </c>
      <c r="D411" s="773">
        <v>1617</v>
      </c>
      <c r="E411" s="773" t="s">
        <v>390</v>
      </c>
      <c r="S411" s="27">
        <v>44469</v>
      </c>
      <c r="T411" s="773" t="s">
        <v>132</v>
      </c>
      <c r="U411" s="773">
        <v>230</v>
      </c>
      <c r="V411" s="773">
        <v>1</v>
      </c>
      <c r="W411" s="773" t="str">
        <f t="shared" si="13"/>
        <v>O</v>
      </c>
    </row>
    <row r="412" spans="1:23">
      <c r="A412" s="27">
        <v>44561</v>
      </c>
      <c r="B412" s="773" t="s">
        <v>140</v>
      </c>
      <c r="C412" s="773">
        <v>453</v>
      </c>
      <c r="D412" s="773">
        <v>2297</v>
      </c>
      <c r="E412" s="773" t="s">
        <v>390</v>
      </c>
      <c r="S412" s="27">
        <v>44469</v>
      </c>
      <c r="T412" s="773" t="s">
        <v>132</v>
      </c>
      <c r="U412" s="773">
        <v>231</v>
      </c>
      <c r="V412" s="773">
        <v>2</v>
      </c>
      <c r="W412" s="773" t="str">
        <f t="shared" si="13"/>
        <v>O</v>
      </c>
    </row>
    <row r="413" spans="1:23">
      <c r="A413" s="27">
        <v>44561</v>
      </c>
      <c r="B413" s="773" t="s">
        <v>140</v>
      </c>
      <c r="C413" s="773">
        <v>0</v>
      </c>
      <c r="D413" s="773">
        <v>7</v>
      </c>
      <c r="E413" s="773" t="s">
        <v>410</v>
      </c>
      <c r="S413" s="27">
        <v>44469</v>
      </c>
      <c r="T413" s="773" t="s">
        <v>132</v>
      </c>
      <c r="U413" s="773">
        <v>232</v>
      </c>
      <c r="V413" s="773">
        <v>114</v>
      </c>
      <c r="W413" s="773" t="str">
        <f t="shared" si="13"/>
        <v>N</v>
      </c>
    </row>
    <row r="414" spans="1:23">
      <c r="A414" s="27">
        <v>44196</v>
      </c>
      <c r="B414" s="773" t="s">
        <v>140</v>
      </c>
      <c r="C414" s="773">
        <v>732</v>
      </c>
      <c r="D414" s="773">
        <v>3</v>
      </c>
      <c r="E414" s="773" t="s">
        <v>410</v>
      </c>
      <c r="S414" s="27">
        <v>44469</v>
      </c>
      <c r="T414" s="773" t="s">
        <v>132</v>
      </c>
      <c r="U414" s="773">
        <v>233</v>
      </c>
      <c r="V414" s="773">
        <v>6670</v>
      </c>
      <c r="W414" s="773" t="str">
        <f t="shared" si="13"/>
        <v>N</v>
      </c>
    </row>
    <row r="415" spans="1:23">
      <c r="A415" s="27">
        <v>44561</v>
      </c>
      <c r="B415" s="773" t="s">
        <v>140</v>
      </c>
      <c r="C415" s="773">
        <v>576</v>
      </c>
      <c r="D415" s="773">
        <v>247</v>
      </c>
      <c r="E415" s="773" t="s">
        <v>390</v>
      </c>
      <c r="S415" s="27">
        <v>44469</v>
      </c>
      <c r="T415" s="773" t="s">
        <v>132</v>
      </c>
      <c r="U415" s="773">
        <v>236</v>
      </c>
      <c r="V415" s="773">
        <v>1</v>
      </c>
      <c r="W415" s="773" t="str">
        <f t="shared" si="13"/>
        <v>O</v>
      </c>
    </row>
    <row r="416" spans="1:23">
      <c r="A416" s="27">
        <v>44561</v>
      </c>
      <c r="B416" s="773" t="s">
        <v>140</v>
      </c>
      <c r="C416" s="773">
        <v>597</v>
      </c>
      <c r="D416" s="773">
        <v>1190</v>
      </c>
      <c r="E416" s="773" t="s">
        <v>390</v>
      </c>
      <c r="S416" s="27">
        <v>44469</v>
      </c>
      <c r="T416" s="773" t="s">
        <v>132</v>
      </c>
      <c r="U416" s="773">
        <v>237</v>
      </c>
      <c r="V416" s="773">
        <v>12</v>
      </c>
      <c r="W416" s="773" t="str">
        <f t="shared" si="13"/>
        <v>O</v>
      </c>
    </row>
    <row r="417" spans="1:23">
      <c r="A417" s="27">
        <v>44561</v>
      </c>
      <c r="B417" s="773" t="s">
        <v>140</v>
      </c>
      <c r="C417" s="773">
        <v>610</v>
      </c>
      <c r="D417" s="773">
        <v>2986</v>
      </c>
      <c r="E417" s="773" t="s">
        <v>390</v>
      </c>
      <c r="S417" s="27">
        <v>44469</v>
      </c>
      <c r="T417" s="773" t="s">
        <v>132</v>
      </c>
      <c r="U417" s="773">
        <v>238</v>
      </c>
      <c r="V417" s="773">
        <v>1</v>
      </c>
      <c r="W417" s="773" t="str">
        <f t="shared" si="13"/>
        <v>O</v>
      </c>
    </row>
    <row r="418" spans="1:23">
      <c r="A418" s="27">
        <v>44561</v>
      </c>
      <c r="B418" s="773" t="s">
        <v>140</v>
      </c>
      <c r="C418" s="773">
        <v>760</v>
      </c>
      <c r="D418" s="773">
        <v>73</v>
      </c>
      <c r="E418" s="773" t="s">
        <v>410</v>
      </c>
      <c r="S418" s="27">
        <v>44469</v>
      </c>
      <c r="T418" s="773" t="s">
        <v>132</v>
      </c>
      <c r="U418" s="773">
        <v>239</v>
      </c>
      <c r="V418" s="773">
        <v>2666</v>
      </c>
      <c r="W418" s="773" t="str">
        <f t="shared" si="13"/>
        <v>N</v>
      </c>
    </row>
    <row r="419" spans="1:23">
      <c r="A419" s="27">
        <v>44561</v>
      </c>
      <c r="B419" s="773" t="s">
        <v>140</v>
      </c>
      <c r="C419" s="773">
        <v>626</v>
      </c>
      <c r="D419" s="773">
        <v>2475</v>
      </c>
      <c r="E419" s="773" t="s">
        <v>390</v>
      </c>
      <c r="S419" s="27">
        <v>44469</v>
      </c>
      <c r="T419" s="773" t="s">
        <v>132</v>
      </c>
      <c r="U419" s="773">
        <v>240</v>
      </c>
      <c r="V419" s="773">
        <v>6</v>
      </c>
      <c r="W419" s="773" t="str">
        <f t="shared" si="13"/>
        <v>O</v>
      </c>
    </row>
    <row r="420" spans="1:23">
      <c r="A420" s="27">
        <v>44196</v>
      </c>
      <c r="B420" s="773" t="s">
        <v>140</v>
      </c>
      <c r="C420" s="773">
        <v>540</v>
      </c>
      <c r="D420" s="773">
        <v>2</v>
      </c>
      <c r="E420" s="773" t="s">
        <v>410</v>
      </c>
      <c r="S420" s="27">
        <v>44469</v>
      </c>
      <c r="T420" s="773" t="s">
        <v>132</v>
      </c>
      <c r="U420" s="773">
        <v>241</v>
      </c>
      <c r="V420" s="773">
        <v>21</v>
      </c>
      <c r="W420" s="773" t="str">
        <f t="shared" si="13"/>
        <v>O</v>
      </c>
    </row>
    <row r="421" spans="1:23">
      <c r="A421" s="27">
        <v>44196</v>
      </c>
      <c r="B421" s="773" t="s">
        <v>140</v>
      </c>
      <c r="C421" s="773">
        <v>447</v>
      </c>
      <c r="D421" s="773">
        <v>1</v>
      </c>
      <c r="E421" s="773" t="s">
        <v>410</v>
      </c>
      <c r="S421" s="27">
        <v>44469</v>
      </c>
      <c r="T421" s="773" t="s">
        <v>132</v>
      </c>
      <c r="U421" s="773">
        <v>243</v>
      </c>
      <c r="V421" s="773">
        <v>539</v>
      </c>
      <c r="W421" s="773" t="str">
        <f t="shared" si="13"/>
        <v>N</v>
      </c>
    </row>
    <row r="422" spans="1:23">
      <c r="A422" s="27">
        <v>44196</v>
      </c>
      <c r="B422" s="773" t="s">
        <v>140</v>
      </c>
      <c r="C422" s="773">
        <v>710</v>
      </c>
      <c r="D422" s="773">
        <v>2854</v>
      </c>
      <c r="E422" s="773" t="s">
        <v>390</v>
      </c>
      <c r="S422" s="27">
        <v>44469</v>
      </c>
      <c r="T422" s="773" t="s">
        <v>132</v>
      </c>
      <c r="U422" s="773">
        <v>245</v>
      </c>
      <c r="V422" s="773">
        <v>2855</v>
      </c>
      <c r="W422" s="773" t="str">
        <f t="shared" si="13"/>
        <v>N</v>
      </c>
    </row>
    <row r="423" spans="1:23">
      <c r="A423" s="27">
        <v>44196</v>
      </c>
      <c r="B423" s="773" t="s">
        <v>140</v>
      </c>
      <c r="C423" s="773">
        <v>383</v>
      </c>
      <c r="D423" s="773">
        <v>3</v>
      </c>
      <c r="E423" s="773" t="s">
        <v>410</v>
      </c>
      <c r="S423" s="27">
        <v>44469</v>
      </c>
      <c r="T423" s="773" t="s">
        <v>132</v>
      </c>
      <c r="U423" s="773">
        <v>246</v>
      </c>
      <c r="V423" s="773">
        <v>4</v>
      </c>
      <c r="W423" s="773" t="str">
        <f t="shared" si="13"/>
        <v>O</v>
      </c>
    </row>
    <row r="424" spans="1:23">
      <c r="A424" s="27">
        <v>44196</v>
      </c>
      <c r="B424" s="773" t="s">
        <v>140</v>
      </c>
      <c r="C424" s="773">
        <v>582</v>
      </c>
      <c r="D424" s="773">
        <v>2855</v>
      </c>
      <c r="E424" s="773" t="s">
        <v>390</v>
      </c>
      <c r="S424" s="27">
        <v>44469</v>
      </c>
      <c r="T424" s="773" t="s">
        <v>132</v>
      </c>
      <c r="U424" s="773">
        <v>247</v>
      </c>
      <c r="V424" s="773">
        <v>2141</v>
      </c>
      <c r="W424" s="773" t="str">
        <f t="shared" si="13"/>
        <v>N</v>
      </c>
    </row>
    <row r="425" spans="1:23">
      <c r="A425" s="27">
        <v>44561</v>
      </c>
      <c r="B425" s="773" t="s">
        <v>140</v>
      </c>
      <c r="C425" s="773">
        <v>574</v>
      </c>
      <c r="D425" s="773">
        <v>1553</v>
      </c>
      <c r="E425" s="773" t="s">
        <v>390</v>
      </c>
      <c r="S425" s="27">
        <v>44469</v>
      </c>
      <c r="T425" s="773" t="s">
        <v>132</v>
      </c>
      <c r="U425" s="773">
        <v>249</v>
      </c>
      <c r="V425" s="773">
        <v>1978</v>
      </c>
      <c r="W425" s="773" t="str">
        <f t="shared" si="13"/>
        <v>N</v>
      </c>
    </row>
    <row r="426" spans="1:23">
      <c r="A426" s="27">
        <v>44196</v>
      </c>
      <c r="B426" s="773" t="s">
        <v>140</v>
      </c>
      <c r="C426" s="773">
        <v>628</v>
      </c>
      <c r="D426" s="773">
        <v>1482</v>
      </c>
      <c r="E426" s="773" t="s">
        <v>390</v>
      </c>
      <c r="S426" s="27">
        <v>44469</v>
      </c>
      <c r="T426" s="773" t="s">
        <v>132</v>
      </c>
      <c r="U426" s="773">
        <v>250</v>
      </c>
      <c r="V426" s="773">
        <v>1</v>
      </c>
      <c r="W426" s="773" t="str">
        <f t="shared" si="13"/>
        <v>O</v>
      </c>
    </row>
    <row r="427" spans="1:23">
      <c r="A427" s="27">
        <v>44561</v>
      </c>
      <c r="B427" s="773" t="s">
        <v>140</v>
      </c>
      <c r="C427" s="773">
        <v>585</v>
      </c>
      <c r="D427" s="773">
        <v>2210</v>
      </c>
      <c r="E427" s="773" t="s">
        <v>390</v>
      </c>
      <c r="S427" s="27">
        <v>44469</v>
      </c>
      <c r="T427" s="773" t="s">
        <v>132</v>
      </c>
      <c r="U427" s="773">
        <v>251</v>
      </c>
      <c r="V427" s="773">
        <v>2143</v>
      </c>
      <c r="W427" s="773" t="str">
        <f t="shared" si="13"/>
        <v>N</v>
      </c>
    </row>
    <row r="428" spans="1:23">
      <c r="A428" s="27">
        <v>44561</v>
      </c>
      <c r="B428" s="773" t="s">
        <v>140</v>
      </c>
      <c r="C428" s="773">
        <v>359</v>
      </c>
      <c r="D428" s="773">
        <v>620</v>
      </c>
      <c r="E428" s="773" t="s">
        <v>390</v>
      </c>
      <c r="S428" s="27">
        <v>44469</v>
      </c>
      <c r="T428" s="773" t="s">
        <v>132</v>
      </c>
      <c r="U428" s="773">
        <v>252</v>
      </c>
      <c r="V428" s="773">
        <v>1072</v>
      </c>
      <c r="W428" s="773" t="str">
        <f t="shared" si="13"/>
        <v>N</v>
      </c>
    </row>
    <row r="429" spans="1:23">
      <c r="A429" s="27">
        <v>44561</v>
      </c>
      <c r="B429" s="773" t="s">
        <v>140</v>
      </c>
      <c r="C429" s="773">
        <v>710</v>
      </c>
      <c r="D429" s="773">
        <v>2747</v>
      </c>
      <c r="E429" s="773" t="s">
        <v>390</v>
      </c>
      <c r="S429" s="27">
        <v>44469</v>
      </c>
      <c r="T429" s="773" t="s">
        <v>132</v>
      </c>
      <c r="U429" s="773">
        <v>253</v>
      </c>
      <c r="V429" s="773">
        <v>13</v>
      </c>
      <c r="W429" s="773" t="str">
        <f t="shared" si="13"/>
        <v>O</v>
      </c>
    </row>
    <row r="430" spans="1:23">
      <c r="A430" s="27">
        <v>44196</v>
      </c>
      <c r="B430" s="773" t="s">
        <v>140</v>
      </c>
      <c r="C430" s="773">
        <v>601</v>
      </c>
      <c r="D430" s="773">
        <v>4</v>
      </c>
      <c r="E430" s="773" t="s">
        <v>410</v>
      </c>
      <c r="S430" s="27">
        <v>44469</v>
      </c>
      <c r="T430" s="773" t="s">
        <v>132</v>
      </c>
      <c r="U430" s="773">
        <v>254</v>
      </c>
      <c r="V430" s="773">
        <v>6</v>
      </c>
      <c r="W430" s="773" t="str">
        <f t="shared" si="13"/>
        <v>O</v>
      </c>
    </row>
    <row r="431" spans="1:23">
      <c r="A431" s="27">
        <v>44196</v>
      </c>
      <c r="B431" s="773" t="s">
        <v>140</v>
      </c>
      <c r="C431" s="773">
        <v>674</v>
      </c>
      <c r="D431" s="773">
        <v>1568</v>
      </c>
      <c r="E431" s="773" t="s">
        <v>390</v>
      </c>
      <c r="S431" s="27">
        <v>44469</v>
      </c>
      <c r="T431" s="773" t="s">
        <v>132</v>
      </c>
      <c r="U431" s="773">
        <v>255</v>
      </c>
      <c r="V431" s="773">
        <v>19</v>
      </c>
      <c r="W431" s="773" t="str">
        <f t="shared" si="13"/>
        <v>O</v>
      </c>
    </row>
    <row r="432" spans="1:23">
      <c r="A432" s="27">
        <v>44561</v>
      </c>
      <c r="B432" s="773" t="s">
        <v>140</v>
      </c>
      <c r="C432" s="773">
        <v>578</v>
      </c>
      <c r="D432" s="773">
        <v>2676</v>
      </c>
      <c r="E432" s="773" t="s">
        <v>390</v>
      </c>
      <c r="S432" s="27">
        <v>44469</v>
      </c>
      <c r="T432" s="773" t="s">
        <v>132</v>
      </c>
      <c r="U432" s="773">
        <v>256</v>
      </c>
      <c r="V432" s="773">
        <v>546</v>
      </c>
      <c r="W432" s="773" t="str">
        <f t="shared" si="13"/>
        <v>N</v>
      </c>
    </row>
    <row r="433" spans="1:23">
      <c r="A433" s="27">
        <v>44561</v>
      </c>
      <c r="B433" s="773" t="s">
        <v>140</v>
      </c>
      <c r="C433" s="773">
        <v>198</v>
      </c>
      <c r="D433" s="773">
        <v>3</v>
      </c>
      <c r="E433" s="773" t="s">
        <v>410</v>
      </c>
      <c r="S433" s="27">
        <v>44469</v>
      </c>
      <c r="T433" s="773" t="s">
        <v>132</v>
      </c>
      <c r="U433" s="773">
        <v>257</v>
      </c>
      <c r="V433" s="773">
        <v>1803</v>
      </c>
      <c r="W433" s="773" t="str">
        <f t="shared" si="13"/>
        <v>N</v>
      </c>
    </row>
    <row r="434" spans="1:23">
      <c r="A434" s="27">
        <v>44561</v>
      </c>
      <c r="B434" s="773" t="s">
        <v>140</v>
      </c>
      <c r="C434" s="773">
        <v>722</v>
      </c>
      <c r="D434" s="773">
        <v>1849</v>
      </c>
      <c r="E434" s="773" t="s">
        <v>390</v>
      </c>
      <c r="S434" s="27">
        <v>44469</v>
      </c>
      <c r="T434" s="773" t="s">
        <v>132</v>
      </c>
      <c r="U434" s="773">
        <v>262</v>
      </c>
      <c r="V434" s="773">
        <v>77</v>
      </c>
      <c r="W434" s="773" t="str">
        <f t="shared" si="13"/>
        <v>O</v>
      </c>
    </row>
    <row r="435" spans="1:23">
      <c r="A435" s="27">
        <v>44561</v>
      </c>
      <c r="B435" s="773" t="s">
        <v>140</v>
      </c>
      <c r="C435" s="773">
        <v>387</v>
      </c>
      <c r="D435" s="773">
        <v>9</v>
      </c>
      <c r="E435" s="773" t="s">
        <v>410</v>
      </c>
      <c r="S435" s="27">
        <v>44469</v>
      </c>
      <c r="T435" s="773" t="s">
        <v>132</v>
      </c>
      <c r="U435" s="773">
        <v>264</v>
      </c>
      <c r="V435" s="773">
        <v>772</v>
      </c>
      <c r="W435" s="773" t="str">
        <f t="shared" si="13"/>
        <v>N</v>
      </c>
    </row>
    <row r="436" spans="1:23">
      <c r="A436" s="27">
        <v>44561</v>
      </c>
      <c r="B436" s="773" t="s">
        <v>140</v>
      </c>
      <c r="C436" s="773">
        <v>469</v>
      </c>
      <c r="D436" s="773">
        <v>7</v>
      </c>
      <c r="E436" s="773" t="s">
        <v>410</v>
      </c>
      <c r="S436" s="27">
        <v>44469</v>
      </c>
      <c r="T436" s="773" t="s">
        <v>132</v>
      </c>
      <c r="U436" s="773">
        <v>265</v>
      </c>
      <c r="V436" s="773">
        <v>999</v>
      </c>
      <c r="W436" s="773" t="str">
        <f t="shared" si="13"/>
        <v>N</v>
      </c>
    </row>
    <row r="437" spans="1:23">
      <c r="A437" s="27">
        <v>44196</v>
      </c>
      <c r="B437" s="773" t="s">
        <v>140</v>
      </c>
      <c r="C437" s="773">
        <v>587</v>
      </c>
      <c r="D437" s="773">
        <v>1</v>
      </c>
      <c r="E437" s="773" t="s">
        <v>410</v>
      </c>
      <c r="S437" s="27">
        <v>44469</v>
      </c>
      <c r="T437" s="773" t="s">
        <v>132</v>
      </c>
      <c r="U437" s="773">
        <v>266</v>
      </c>
      <c r="V437" s="773">
        <v>1932</v>
      </c>
      <c r="W437" s="773" t="str">
        <f t="shared" si="13"/>
        <v>N</v>
      </c>
    </row>
    <row r="438" spans="1:23">
      <c r="A438" s="27">
        <v>44561</v>
      </c>
      <c r="B438" s="773" t="s">
        <v>140</v>
      </c>
      <c r="C438" s="773">
        <v>630</v>
      </c>
      <c r="D438" s="773">
        <v>1</v>
      </c>
      <c r="E438" s="773" t="s">
        <v>410</v>
      </c>
      <c r="S438" s="27">
        <v>44469</v>
      </c>
      <c r="T438" s="773" t="s">
        <v>132</v>
      </c>
      <c r="U438" s="773">
        <v>267</v>
      </c>
      <c r="V438" s="773">
        <v>1</v>
      </c>
      <c r="W438" s="773" t="str">
        <f t="shared" si="13"/>
        <v>O</v>
      </c>
    </row>
    <row r="439" spans="1:23">
      <c r="A439" s="27">
        <v>44561</v>
      </c>
      <c r="B439" s="773" t="s">
        <v>140</v>
      </c>
      <c r="C439" s="773">
        <v>485</v>
      </c>
      <c r="D439" s="773">
        <v>1297</v>
      </c>
      <c r="E439" s="773" t="s">
        <v>390</v>
      </c>
      <c r="S439" s="27">
        <v>44469</v>
      </c>
      <c r="T439" s="773" t="s">
        <v>132</v>
      </c>
      <c r="U439" s="773">
        <v>269</v>
      </c>
      <c r="V439" s="773">
        <v>1</v>
      </c>
      <c r="W439" s="773" t="str">
        <f t="shared" si="13"/>
        <v>O</v>
      </c>
    </row>
    <row r="440" spans="1:23">
      <c r="A440" s="27">
        <v>44561</v>
      </c>
      <c r="B440" s="773" t="s">
        <v>140</v>
      </c>
      <c r="C440" s="773">
        <v>601</v>
      </c>
      <c r="D440" s="773">
        <v>3</v>
      </c>
      <c r="E440" s="773" t="s">
        <v>410</v>
      </c>
      <c r="S440" s="27">
        <v>44469</v>
      </c>
      <c r="T440" s="773" t="s">
        <v>132</v>
      </c>
      <c r="U440" s="773">
        <v>271</v>
      </c>
      <c r="V440" s="773">
        <v>1836</v>
      </c>
      <c r="W440" s="773" t="str">
        <f t="shared" si="13"/>
        <v>N</v>
      </c>
    </row>
    <row r="441" spans="1:23">
      <c r="A441" s="27">
        <v>44561</v>
      </c>
      <c r="B441" s="773" t="s">
        <v>140</v>
      </c>
      <c r="C441" s="773">
        <v>640</v>
      </c>
      <c r="D441" s="773">
        <v>3061</v>
      </c>
      <c r="E441" s="773" t="s">
        <v>390</v>
      </c>
      <c r="S441" s="27">
        <v>44469</v>
      </c>
      <c r="T441" s="773" t="s">
        <v>132</v>
      </c>
      <c r="U441" s="773">
        <v>275</v>
      </c>
      <c r="V441" s="773">
        <v>808</v>
      </c>
      <c r="W441" s="773" t="str">
        <f t="shared" si="13"/>
        <v>N</v>
      </c>
    </row>
    <row r="442" spans="1:23">
      <c r="A442" s="27">
        <v>44196</v>
      </c>
      <c r="B442" s="773" t="s">
        <v>140</v>
      </c>
      <c r="C442" s="773">
        <v>213</v>
      </c>
      <c r="D442" s="773">
        <v>69</v>
      </c>
      <c r="E442" s="773" t="s">
        <v>410</v>
      </c>
      <c r="S442" s="27">
        <v>44469</v>
      </c>
      <c r="T442" s="773" t="s">
        <v>132</v>
      </c>
      <c r="U442" s="773">
        <v>276</v>
      </c>
      <c r="V442" s="773">
        <v>1</v>
      </c>
      <c r="W442" s="773" t="str">
        <f t="shared" si="13"/>
        <v>O</v>
      </c>
    </row>
    <row r="443" spans="1:23">
      <c r="A443" s="27">
        <v>44196</v>
      </c>
      <c r="B443" s="773" t="s">
        <v>140</v>
      </c>
      <c r="C443" s="773">
        <v>248</v>
      </c>
      <c r="D443" s="773">
        <v>434</v>
      </c>
      <c r="E443" s="773" t="s">
        <v>390</v>
      </c>
      <c r="S443" s="27">
        <v>44469</v>
      </c>
      <c r="T443" s="773" t="s">
        <v>132</v>
      </c>
      <c r="U443" s="773">
        <v>279</v>
      </c>
      <c r="V443" s="773">
        <v>2465</v>
      </c>
      <c r="W443" s="773" t="str">
        <f t="shared" si="13"/>
        <v>N</v>
      </c>
    </row>
    <row r="444" spans="1:23">
      <c r="A444" s="27">
        <v>44592</v>
      </c>
      <c r="B444" s="773" t="s">
        <v>140</v>
      </c>
      <c r="C444" s="773">
        <v>198</v>
      </c>
      <c r="D444" s="773">
        <v>3</v>
      </c>
      <c r="E444" s="773" t="s">
        <v>410</v>
      </c>
      <c r="S444" s="27">
        <v>44469</v>
      </c>
      <c r="T444" s="773" t="s">
        <v>132</v>
      </c>
      <c r="U444" s="773">
        <v>290</v>
      </c>
      <c r="V444" s="773">
        <v>1823</v>
      </c>
      <c r="W444" s="773" t="str">
        <f t="shared" si="13"/>
        <v>N</v>
      </c>
    </row>
    <row r="445" spans="1:23">
      <c r="A445" s="27">
        <v>44592</v>
      </c>
      <c r="B445" s="773" t="s">
        <v>140</v>
      </c>
      <c r="C445" s="773">
        <v>525</v>
      </c>
      <c r="D445" s="773">
        <v>3359</v>
      </c>
      <c r="E445" s="773" t="s">
        <v>390</v>
      </c>
      <c r="S445" s="27">
        <v>44469</v>
      </c>
      <c r="T445" s="773" t="s">
        <v>132</v>
      </c>
      <c r="U445" s="773">
        <v>291</v>
      </c>
      <c r="V445" s="773">
        <v>1732</v>
      </c>
      <c r="W445" s="773" t="str">
        <f t="shared" si="13"/>
        <v>N</v>
      </c>
    </row>
    <row r="446" spans="1:23">
      <c r="A446" s="27">
        <v>44227</v>
      </c>
      <c r="B446" s="773" t="s">
        <v>140</v>
      </c>
      <c r="C446" s="773">
        <v>510</v>
      </c>
      <c r="D446" s="773">
        <v>918</v>
      </c>
      <c r="E446" s="773" t="s">
        <v>390</v>
      </c>
      <c r="S446" s="27">
        <v>44469</v>
      </c>
      <c r="T446" s="773" t="s">
        <v>132</v>
      </c>
      <c r="U446" s="773">
        <v>292</v>
      </c>
      <c r="V446" s="773">
        <v>6</v>
      </c>
      <c r="W446" s="773" t="str">
        <f t="shared" si="13"/>
        <v>O</v>
      </c>
    </row>
    <row r="447" spans="1:23">
      <c r="A447" s="27">
        <v>44592</v>
      </c>
      <c r="B447" s="773" t="s">
        <v>140</v>
      </c>
      <c r="C447" s="773">
        <v>493</v>
      </c>
      <c r="D447" s="773">
        <v>6</v>
      </c>
      <c r="E447" s="773" t="s">
        <v>410</v>
      </c>
      <c r="S447" s="27">
        <v>44469</v>
      </c>
      <c r="T447" s="773" t="s">
        <v>132</v>
      </c>
      <c r="U447" s="773">
        <v>293</v>
      </c>
      <c r="V447" s="773">
        <v>410</v>
      </c>
      <c r="W447" s="773" t="str">
        <f t="shared" si="13"/>
        <v>N</v>
      </c>
    </row>
    <row r="448" spans="1:23">
      <c r="A448" s="27">
        <v>44592</v>
      </c>
      <c r="B448" s="773" t="s">
        <v>140</v>
      </c>
      <c r="C448" s="773">
        <v>502</v>
      </c>
      <c r="D448" s="773">
        <v>15</v>
      </c>
      <c r="E448" s="773" t="s">
        <v>410</v>
      </c>
      <c r="S448" s="27">
        <v>44469</v>
      </c>
      <c r="T448" s="773" t="s">
        <v>132</v>
      </c>
      <c r="U448" s="773">
        <v>294</v>
      </c>
      <c r="V448" s="773">
        <v>9</v>
      </c>
      <c r="W448" s="773" t="str">
        <f t="shared" si="13"/>
        <v>O</v>
      </c>
    </row>
    <row r="449" spans="1:23">
      <c r="A449" s="27">
        <v>44227</v>
      </c>
      <c r="B449" s="773" t="s">
        <v>140</v>
      </c>
      <c r="C449" s="773">
        <v>691</v>
      </c>
      <c r="D449" s="773">
        <v>243</v>
      </c>
      <c r="E449" s="773" t="s">
        <v>390</v>
      </c>
      <c r="S449" s="27">
        <v>44469</v>
      </c>
      <c r="T449" s="773" t="s">
        <v>132</v>
      </c>
      <c r="U449" s="773">
        <v>295</v>
      </c>
      <c r="V449" s="773">
        <v>6</v>
      </c>
      <c r="W449" s="773" t="str">
        <f t="shared" si="13"/>
        <v>O</v>
      </c>
    </row>
    <row r="450" spans="1:23">
      <c r="A450" s="27">
        <v>44592</v>
      </c>
      <c r="B450" s="773" t="s">
        <v>140</v>
      </c>
      <c r="C450" s="773">
        <v>346</v>
      </c>
      <c r="D450" s="773">
        <v>2</v>
      </c>
      <c r="E450" s="773" t="s">
        <v>410</v>
      </c>
      <c r="S450" s="27">
        <v>44469</v>
      </c>
      <c r="T450" s="773" t="s">
        <v>132</v>
      </c>
      <c r="U450" s="773">
        <v>296</v>
      </c>
      <c r="V450" s="773">
        <v>1636</v>
      </c>
      <c r="W450" s="773" t="str">
        <f t="shared" si="13"/>
        <v>N</v>
      </c>
    </row>
    <row r="451" spans="1:23">
      <c r="A451" s="27">
        <v>44227</v>
      </c>
      <c r="B451" s="773" t="s">
        <v>140</v>
      </c>
      <c r="C451" s="773">
        <v>582</v>
      </c>
      <c r="D451" s="773">
        <v>2827</v>
      </c>
      <c r="E451" s="773" t="s">
        <v>390</v>
      </c>
      <c r="S451" s="27">
        <v>44469</v>
      </c>
      <c r="T451" s="773" t="s">
        <v>132</v>
      </c>
      <c r="U451" s="773">
        <v>297</v>
      </c>
      <c r="V451" s="773">
        <v>119</v>
      </c>
      <c r="W451" s="773" t="str">
        <f t="shared" ref="W451:W514" si="14">+IF(V451&lt;100,"O","N")</f>
        <v>N</v>
      </c>
    </row>
    <row r="452" spans="1:23">
      <c r="A452" s="27">
        <v>44227</v>
      </c>
      <c r="B452" s="773" t="s">
        <v>140</v>
      </c>
      <c r="C452" s="773">
        <v>540</v>
      </c>
      <c r="D452" s="773">
        <v>2</v>
      </c>
      <c r="E452" s="773" t="s">
        <v>410</v>
      </c>
      <c r="S452" s="27">
        <v>44469</v>
      </c>
      <c r="T452" s="773" t="s">
        <v>132</v>
      </c>
      <c r="U452" s="773">
        <v>299</v>
      </c>
      <c r="V452" s="773">
        <v>1</v>
      </c>
      <c r="W452" s="773" t="str">
        <f t="shared" si="14"/>
        <v>O</v>
      </c>
    </row>
    <row r="453" spans="1:23">
      <c r="A453" s="27">
        <v>44592</v>
      </c>
      <c r="B453" s="773" t="s">
        <v>140</v>
      </c>
      <c r="C453" s="773">
        <v>383</v>
      </c>
      <c r="D453" s="773">
        <v>2</v>
      </c>
      <c r="E453" s="773" t="s">
        <v>410</v>
      </c>
      <c r="S453" s="27">
        <v>44469</v>
      </c>
      <c r="T453" s="773" t="s">
        <v>132</v>
      </c>
      <c r="U453" s="773">
        <v>303</v>
      </c>
      <c r="V453" s="773">
        <v>2300</v>
      </c>
      <c r="W453" s="773" t="str">
        <f t="shared" si="14"/>
        <v>N</v>
      </c>
    </row>
    <row r="454" spans="1:23">
      <c r="A454" s="27">
        <v>44227</v>
      </c>
      <c r="B454" s="773" t="s">
        <v>140</v>
      </c>
      <c r="C454" s="773">
        <v>248</v>
      </c>
      <c r="D454" s="773">
        <v>438</v>
      </c>
      <c r="E454" s="773" t="s">
        <v>390</v>
      </c>
      <c r="S454" s="27">
        <v>44469</v>
      </c>
      <c r="T454" s="773" t="s">
        <v>132</v>
      </c>
      <c r="U454" s="773">
        <v>304</v>
      </c>
      <c r="V454" s="773">
        <v>105</v>
      </c>
      <c r="W454" s="773" t="str">
        <f t="shared" si="14"/>
        <v>N</v>
      </c>
    </row>
    <row r="455" spans="1:23">
      <c r="A455" s="27">
        <v>44227</v>
      </c>
      <c r="B455" s="773" t="s">
        <v>140</v>
      </c>
      <c r="C455" s="773">
        <v>525</v>
      </c>
      <c r="D455" s="773">
        <v>3750</v>
      </c>
      <c r="E455" s="773" t="s">
        <v>390</v>
      </c>
      <c r="S455" s="27">
        <v>44469</v>
      </c>
      <c r="T455" s="773" t="s">
        <v>132</v>
      </c>
      <c r="U455" s="773">
        <v>305</v>
      </c>
      <c r="V455" s="773">
        <v>3316</v>
      </c>
      <c r="W455" s="773" t="str">
        <f t="shared" si="14"/>
        <v>N</v>
      </c>
    </row>
    <row r="456" spans="1:23">
      <c r="A456" s="27">
        <v>44592</v>
      </c>
      <c r="B456" s="773" t="s">
        <v>140</v>
      </c>
      <c r="C456" s="773">
        <v>639</v>
      </c>
      <c r="D456" s="773">
        <v>109</v>
      </c>
      <c r="E456" s="773" t="s">
        <v>390</v>
      </c>
      <c r="S456" s="27">
        <v>44469</v>
      </c>
      <c r="T456" s="773" t="s">
        <v>132</v>
      </c>
      <c r="U456" s="773">
        <v>306</v>
      </c>
      <c r="V456" s="773">
        <v>1889</v>
      </c>
      <c r="W456" s="773" t="str">
        <f t="shared" si="14"/>
        <v>N</v>
      </c>
    </row>
    <row r="457" spans="1:23">
      <c r="A457" s="27">
        <v>44227</v>
      </c>
      <c r="B457" s="773" t="s">
        <v>140</v>
      </c>
      <c r="C457" s="773">
        <v>548</v>
      </c>
      <c r="D457" s="773">
        <v>540</v>
      </c>
      <c r="E457" s="773" t="s">
        <v>390</v>
      </c>
      <c r="S457" s="27">
        <v>44469</v>
      </c>
      <c r="T457" s="773" t="s">
        <v>132</v>
      </c>
      <c r="U457" s="773">
        <v>308</v>
      </c>
      <c r="V457" s="773">
        <v>1947</v>
      </c>
      <c r="W457" s="773" t="str">
        <f t="shared" si="14"/>
        <v>N</v>
      </c>
    </row>
    <row r="458" spans="1:23">
      <c r="A458" s="27">
        <v>44227</v>
      </c>
      <c r="B458" s="773" t="s">
        <v>140</v>
      </c>
      <c r="C458" s="773">
        <v>279</v>
      </c>
      <c r="D458" s="773">
        <v>1</v>
      </c>
      <c r="E458" s="773" t="s">
        <v>410</v>
      </c>
      <c r="S458" s="27">
        <v>44469</v>
      </c>
      <c r="T458" s="773" t="s">
        <v>132</v>
      </c>
      <c r="U458" s="773">
        <v>309</v>
      </c>
      <c r="V458" s="773">
        <v>20</v>
      </c>
      <c r="W458" s="773" t="str">
        <f t="shared" si="14"/>
        <v>O</v>
      </c>
    </row>
    <row r="459" spans="1:23">
      <c r="A459" s="27">
        <v>44592</v>
      </c>
      <c r="B459" s="773" t="s">
        <v>140</v>
      </c>
      <c r="C459" s="773">
        <v>548</v>
      </c>
      <c r="D459" s="773">
        <v>559</v>
      </c>
      <c r="E459" s="773" t="s">
        <v>390</v>
      </c>
      <c r="S459" s="27">
        <v>44469</v>
      </c>
      <c r="T459" s="773" t="s">
        <v>132</v>
      </c>
      <c r="U459" s="773">
        <v>311</v>
      </c>
      <c r="V459" s="773">
        <v>1615</v>
      </c>
      <c r="W459" s="773" t="str">
        <f t="shared" si="14"/>
        <v>N</v>
      </c>
    </row>
    <row r="460" spans="1:23">
      <c r="A460" s="27">
        <v>44592</v>
      </c>
      <c r="B460" s="773" t="s">
        <v>140</v>
      </c>
      <c r="C460" s="773">
        <v>616</v>
      </c>
      <c r="D460" s="773">
        <v>1</v>
      </c>
      <c r="E460" s="773" t="s">
        <v>410</v>
      </c>
      <c r="S460" s="27">
        <v>44469</v>
      </c>
      <c r="T460" s="773" t="s">
        <v>132</v>
      </c>
      <c r="U460" s="773">
        <v>312</v>
      </c>
      <c r="V460" s="773">
        <v>1710</v>
      </c>
      <c r="W460" s="773" t="str">
        <f t="shared" si="14"/>
        <v>N</v>
      </c>
    </row>
    <row r="461" spans="1:23">
      <c r="A461" s="27">
        <v>44227</v>
      </c>
      <c r="B461" s="773" t="s">
        <v>140</v>
      </c>
      <c r="C461" s="773">
        <v>659</v>
      </c>
      <c r="D461" s="773">
        <v>653</v>
      </c>
      <c r="E461" s="773" t="s">
        <v>390</v>
      </c>
      <c r="S461" s="27">
        <v>44469</v>
      </c>
      <c r="T461" s="773" t="s">
        <v>132</v>
      </c>
      <c r="U461" s="773">
        <v>315</v>
      </c>
      <c r="V461" s="773">
        <v>184</v>
      </c>
      <c r="W461" s="773" t="str">
        <f t="shared" si="14"/>
        <v>N</v>
      </c>
    </row>
    <row r="462" spans="1:23">
      <c r="A462" s="27">
        <v>44227</v>
      </c>
      <c r="B462" s="773" t="s">
        <v>140</v>
      </c>
      <c r="C462" s="773">
        <v>383</v>
      </c>
      <c r="D462" s="773">
        <v>3</v>
      </c>
      <c r="E462" s="773" t="s">
        <v>410</v>
      </c>
      <c r="S462" s="27">
        <v>44469</v>
      </c>
      <c r="T462" s="773" t="s">
        <v>132</v>
      </c>
      <c r="U462" s="773">
        <v>317</v>
      </c>
      <c r="V462" s="773">
        <v>234</v>
      </c>
      <c r="W462" s="773" t="str">
        <f t="shared" si="14"/>
        <v>N</v>
      </c>
    </row>
    <row r="463" spans="1:23">
      <c r="A463" s="27">
        <v>44592</v>
      </c>
      <c r="B463" s="773" t="s">
        <v>140</v>
      </c>
      <c r="C463" s="773">
        <v>732</v>
      </c>
      <c r="D463" s="773">
        <v>3</v>
      </c>
      <c r="E463" s="773" t="s">
        <v>410</v>
      </c>
      <c r="S463" s="27">
        <v>44469</v>
      </c>
      <c r="T463" s="773" t="s">
        <v>132</v>
      </c>
      <c r="U463" s="773">
        <v>318</v>
      </c>
      <c r="V463" s="773">
        <v>1636</v>
      </c>
      <c r="W463" s="773" t="str">
        <f t="shared" si="14"/>
        <v>N</v>
      </c>
    </row>
    <row r="464" spans="1:23">
      <c r="A464" s="27">
        <v>44592</v>
      </c>
      <c r="B464" s="773" t="s">
        <v>140</v>
      </c>
      <c r="C464" s="773">
        <v>576</v>
      </c>
      <c r="D464" s="773">
        <v>247</v>
      </c>
      <c r="E464" s="773" t="s">
        <v>390</v>
      </c>
      <c r="S464" s="27">
        <v>44469</v>
      </c>
      <c r="T464" s="773" t="s">
        <v>132</v>
      </c>
      <c r="U464" s="773">
        <v>319</v>
      </c>
      <c r="V464" s="773">
        <v>1634</v>
      </c>
      <c r="W464" s="773" t="str">
        <f t="shared" si="14"/>
        <v>N</v>
      </c>
    </row>
    <row r="465" spans="1:23">
      <c r="A465" s="27">
        <v>44592</v>
      </c>
      <c r="B465" s="773" t="s">
        <v>140</v>
      </c>
      <c r="C465" s="773">
        <v>585</v>
      </c>
      <c r="D465" s="773">
        <v>2208</v>
      </c>
      <c r="E465" s="773" t="s">
        <v>390</v>
      </c>
      <c r="S465" s="27">
        <v>44469</v>
      </c>
      <c r="T465" s="773" t="s">
        <v>132</v>
      </c>
      <c r="U465" s="773">
        <v>320</v>
      </c>
      <c r="V465" s="773">
        <v>958</v>
      </c>
      <c r="W465" s="773" t="str">
        <f t="shared" si="14"/>
        <v>N</v>
      </c>
    </row>
    <row r="466" spans="1:23">
      <c r="A466" s="27">
        <v>44227</v>
      </c>
      <c r="B466" s="773" t="s">
        <v>140</v>
      </c>
      <c r="C466" s="773">
        <v>346</v>
      </c>
      <c r="D466" s="773">
        <v>1</v>
      </c>
      <c r="E466" s="773" t="s">
        <v>410</v>
      </c>
      <c r="S466" s="27">
        <v>44469</v>
      </c>
      <c r="T466" s="773" t="s">
        <v>132</v>
      </c>
      <c r="U466" s="773">
        <v>321</v>
      </c>
      <c r="V466" s="773">
        <v>610</v>
      </c>
      <c r="W466" s="773" t="str">
        <f t="shared" si="14"/>
        <v>N</v>
      </c>
    </row>
    <row r="467" spans="1:23">
      <c r="A467" s="27">
        <v>44227</v>
      </c>
      <c r="B467" s="773" t="s">
        <v>140</v>
      </c>
      <c r="C467" s="773">
        <v>587</v>
      </c>
      <c r="D467" s="773">
        <v>1</v>
      </c>
      <c r="E467" s="773" t="s">
        <v>410</v>
      </c>
      <c r="S467" s="27">
        <v>44469</v>
      </c>
      <c r="T467" s="773" t="s">
        <v>132</v>
      </c>
      <c r="U467" s="773">
        <v>322</v>
      </c>
      <c r="V467" s="773">
        <v>1632</v>
      </c>
      <c r="W467" s="773" t="str">
        <f t="shared" si="14"/>
        <v>N</v>
      </c>
    </row>
    <row r="468" spans="1:23">
      <c r="A468" s="27">
        <v>44592</v>
      </c>
      <c r="B468" s="773" t="s">
        <v>140</v>
      </c>
      <c r="C468" s="773">
        <v>648</v>
      </c>
      <c r="D468" s="773">
        <v>1333</v>
      </c>
      <c r="E468" s="773" t="s">
        <v>390</v>
      </c>
      <c r="S468" s="27">
        <v>44469</v>
      </c>
      <c r="T468" s="773" t="s">
        <v>132</v>
      </c>
      <c r="U468" s="773">
        <v>323</v>
      </c>
      <c r="V468" s="773">
        <v>2241</v>
      </c>
      <c r="W468" s="773" t="str">
        <f t="shared" si="14"/>
        <v>N</v>
      </c>
    </row>
    <row r="469" spans="1:23">
      <c r="A469" s="27">
        <v>44227</v>
      </c>
      <c r="B469" s="773" t="s">
        <v>140</v>
      </c>
      <c r="C469" s="773">
        <v>453</v>
      </c>
      <c r="D469" s="773">
        <v>2556</v>
      </c>
      <c r="E469" s="773" t="s">
        <v>390</v>
      </c>
      <c r="S469" s="27">
        <v>44469</v>
      </c>
      <c r="T469" s="773" t="s">
        <v>132</v>
      </c>
      <c r="U469" s="773">
        <v>324</v>
      </c>
      <c r="V469" s="773">
        <v>237</v>
      </c>
      <c r="W469" s="773" t="str">
        <f t="shared" si="14"/>
        <v>N</v>
      </c>
    </row>
    <row r="470" spans="1:23">
      <c r="A470" s="27">
        <v>44592</v>
      </c>
      <c r="B470" s="773" t="s">
        <v>140</v>
      </c>
      <c r="C470" s="773">
        <v>740</v>
      </c>
      <c r="D470" s="773">
        <v>607</v>
      </c>
      <c r="E470" s="773" t="s">
        <v>390</v>
      </c>
      <c r="S470" s="27">
        <v>44469</v>
      </c>
      <c r="T470" s="773" t="s">
        <v>132</v>
      </c>
      <c r="U470" s="773">
        <v>325</v>
      </c>
      <c r="V470" s="773">
        <v>2540</v>
      </c>
      <c r="W470" s="773" t="str">
        <f t="shared" si="14"/>
        <v>N</v>
      </c>
    </row>
    <row r="471" spans="1:23">
      <c r="A471" s="27">
        <v>44227</v>
      </c>
      <c r="B471" s="773" t="s">
        <v>140</v>
      </c>
      <c r="C471" s="773">
        <v>628</v>
      </c>
      <c r="D471" s="773">
        <v>1507</v>
      </c>
      <c r="E471" s="773" t="s">
        <v>390</v>
      </c>
      <c r="S471" s="27">
        <v>44469</v>
      </c>
      <c r="T471" s="773" t="s">
        <v>132</v>
      </c>
      <c r="U471" s="773">
        <v>326</v>
      </c>
      <c r="V471" s="773">
        <v>1704</v>
      </c>
      <c r="W471" s="773" t="str">
        <f t="shared" si="14"/>
        <v>N</v>
      </c>
    </row>
    <row r="472" spans="1:23">
      <c r="A472" s="27">
        <v>44227</v>
      </c>
      <c r="B472" s="773" t="s">
        <v>140</v>
      </c>
      <c r="C472" s="773">
        <v>493</v>
      </c>
      <c r="D472" s="773">
        <v>10</v>
      </c>
      <c r="E472" s="773" t="s">
        <v>410</v>
      </c>
      <c r="S472" s="27">
        <v>44469</v>
      </c>
      <c r="T472" s="773" t="s">
        <v>132</v>
      </c>
      <c r="U472" s="773">
        <v>328</v>
      </c>
      <c r="V472" s="773">
        <v>7</v>
      </c>
      <c r="W472" s="773" t="str">
        <f t="shared" si="14"/>
        <v>O</v>
      </c>
    </row>
    <row r="473" spans="1:23">
      <c r="A473" s="27">
        <v>44592</v>
      </c>
      <c r="B473" s="773" t="s">
        <v>140</v>
      </c>
      <c r="C473" s="773">
        <v>640</v>
      </c>
      <c r="D473" s="773">
        <v>3065</v>
      </c>
      <c r="E473" s="773" t="s">
        <v>390</v>
      </c>
      <c r="S473" s="27">
        <v>44469</v>
      </c>
      <c r="T473" s="773" t="s">
        <v>132</v>
      </c>
      <c r="U473" s="773">
        <v>342</v>
      </c>
      <c r="V473" s="773">
        <v>1667</v>
      </c>
      <c r="W473" s="773" t="str">
        <f t="shared" si="14"/>
        <v>N</v>
      </c>
    </row>
    <row r="474" spans="1:23">
      <c r="A474" s="27">
        <v>44227</v>
      </c>
      <c r="B474" s="773" t="s">
        <v>140</v>
      </c>
      <c r="C474" s="773">
        <v>608</v>
      </c>
      <c r="D474" s="773">
        <v>2709</v>
      </c>
      <c r="E474" s="773" t="s">
        <v>390</v>
      </c>
      <c r="S474" s="27">
        <v>44469</v>
      </c>
      <c r="T474" s="773" t="s">
        <v>132</v>
      </c>
      <c r="U474" s="773">
        <v>367</v>
      </c>
      <c r="V474" s="773">
        <v>12</v>
      </c>
      <c r="W474" s="773" t="str">
        <f t="shared" si="14"/>
        <v>O</v>
      </c>
    </row>
    <row r="475" spans="1:23">
      <c r="A475" s="27">
        <v>44592</v>
      </c>
      <c r="B475" s="773" t="s">
        <v>140</v>
      </c>
      <c r="C475" s="773">
        <v>248</v>
      </c>
      <c r="D475" s="773">
        <v>468</v>
      </c>
      <c r="E475" s="773" t="s">
        <v>390</v>
      </c>
      <c r="S475" s="27">
        <v>44469</v>
      </c>
      <c r="T475" s="773" t="s">
        <v>132</v>
      </c>
      <c r="U475" s="773">
        <v>528</v>
      </c>
      <c r="V475" s="773">
        <v>16</v>
      </c>
      <c r="W475" s="773" t="str">
        <f t="shared" si="14"/>
        <v>O</v>
      </c>
    </row>
    <row r="476" spans="1:23">
      <c r="A476" s="27">
        <v>44227</v>
      </c>
      <c r="B476" s="773" t="s">
        <v>140</v>
      </c>
      <c r="C476" s="773">
        <v>449</v>
      </c>
      <c r="D476" s="773">
        <v>2105</v>
      </c>
      <c r="E476" s="773" t="s">
        <v>390</v>
      </c>
      <c r="S476" s="27">
        <v>44469</v>
      </c>
      <c r="T476" s="773" t="s">
        <v>132</v>
      </c>
      <c r="U476" s="773">
        <v>621</v>
      </c>
      <c r="V476" s="773">
        <v>299</v>
      </c>
      <c r="W476" s="773" t="str">
        <f t="shared" si="14"/>
        <v>N</v>
      </c>
    </row>
    <row r="477" spans="1:23">
      <c r="A477" s="27">
        <v>44227</v>
      </c>
      <c r="B477" s="773" t="s">
        <v>140</v>
      </c>
      <c r="C477" s="773">
        <v>198</v>
      </c>
      <c r="D477" s="773">
        <v>7</v>
      </c>
      <c r="E477" s="773" t="s">
        <v>410</v>
      </c>
      <c r="S477" s="27">
        <v>44469</v>
      </c>
      <c r="T477" s="773" t="s">
        <v>132</v>
      </c>
      <c r="U477" s="773">
        <v>622</v>
      </c>
      <c r="V477" s="773">
        <v>1</v>
      </c>
      <c r="W477" s="773" t="str">
        <f t="shared" si="14"/>
        <v>O</v>
      </c>
    </row>
    <row r="478" spans="1:23">
      <c r="A478" s="27">
        <v>44227</v>
      </c>
      <c r="B478" s="773" t="s">
        <v>140</v>
      </c>
      <c r="C478" s="773">
        <v>712</v>
      </c>
      <c r="D478" s="773">
        <v>1</v>
      </c>
      <c r="E478" s="773" t="s">
        <v>410</v>
      </c>
      <c r="S478" s="27">
        <v>44469</v>
      </c>
      <c r="T478" s="773" t="s">
        <v>132</v>
      </c>
      <c r="U478" s="773">
        <v>636</v>
      </c>
      <c r="V478" s="773">
        <v>4</v>
      </c>
      <c r="W478" s="773" t="str">
        <f t="shared" si="14"/>
        <v>O</v>
      </c>
    </row>
    <row r="479" spans="1:23">
      <c r="A479" s="27">
        <v>44592</v>
      </c>
      <c r="B479" s="773" t="s">
        <v>140</v>
      </c>
      <c r="C479" s="773">
        <v>626</v>
      </c>
      <c r="D479" s="773">
        <v>2470</v>
      </c>
      <c r="E479" s="773" t="s">
        <v>390</v>
      </c>
      <c r="S479" s="27">
        <v>44469</v>
      </c>
      <c r="T479" s="773" t="s">
        <v>132</v>
      </c>
      <c r="U479" s="773">
        <v>641</v>
      </c>
      <c r="V479" s="773">
        <v>540</v>
      </c>
      <c r="W479" s="773" t="str">
        <f t="shared" si="14"/>
        <v>N</v>
      </c>
    </row>
    <row r="480" spans="1:23">
      <c r="A480" s="27">
        <v>44227</v>
      </c>
      <c r="B480" s="773" t="s">
        <v>140</v>
      </c>
      <c r="C480" s="773">
        <v>521</v>
      </c>
      <c r="D480" s="773">
        <v>15</v>
      </c>
      <c r="E480" s="773" t="s">
        <v>410</v>
      </c>
      <c r="S480" s="27">
        <v>44469</v>
      </c>
      <c r="T480" s="773" t="s">
        <v>132</v>
      </c>
      <c r="U480" s="773">
        <v>645</v>
      </c>
      <c r="V480" s="773">
        <v>1418</v>
      </c>
      <c r="W480" s="773" t="str">
        <f t="shared" si="14"/>
        <v>N</v>
      </c>
    </row>
    <row r="481" spans="1:23">
      <c r="A481" s="27">
        <v>44592</v>
      </c>
      <c r="B481" s="773" t="s">
        <v>140</v>
      </c>
      <c r="C481" s="773">
        <v>0</v>
      </c>
      <c r="D481" s="773">
        <v>7</v>
      </c>
      <c r="E481" s="773" t="s">
        <v>410</v>
      </c>
      <c r="S481" s="27">
        <v>44469</v>
      </c>
      <c r="T481" s="773" t="s">
        <v>132</v>
      </c>
      <c r="U481" s="773">
        <v>650</v>
      </c>
      <c r="V481" s="773">
        <v>23</v>
      </c>
      <c r="W481" s="773" t="str">
        <f t="shared" si="14"/>
        <v>O</v>
      </c>
    </row>
    <row r="482" spans="1:23">
      <c r="A482" s="27">
        <v>44592</v>
      </c>
      <c r="B482" s="773" t="s">
        <v>140</v>
      </c>
      <c r="C482" s="773">
        <v>530</v>
      </c>
      <c r="D482" s="773">
        <v>1</v>
      </c>
      <c r="E482" s="773" t="s">
        <v>410</v>
      </c>
      <c r="S482" s="27">
        <v>44469</v>
      </c>
      <c r="T482" s="773" t="s">
        <v>132</v>
      </c>
      <c r="U482" s="773">
        <v>651</v>
      </c>
      <c r="V482" s="773">
        <v>39</v>
      </c>
      <c r="W482" s="773" t="str">
        <f t="shared" si="14"/>
        <v>O</v>
      </c>
    </row>
    <row r="483" spans="1:23">
      <c r="A483" s="27">
        <v>44227</v>
      </c>
      <c r="B483" s="773" t="s">
        <v>140</v>
      </c>
      <c r="C483" s="773">
        <v>530</v>
      </c>
      <c r="D483" s="773">
        <v>2</v>
      </c>
      <c r="E483" s="773" t="s">
        <v>410</v>
      </c>
      <c r="S483" s="27">
        <v>44469</v>
      </c>
      <c r="T483" s="773" t="s">
        <v>132</v>
      </c>
      <c r="U483" s="773">
        <v>652</v>
      </c>
      <c r="V483" s="773">
        <v>2273</v>
      </c>
      <c r="W483" s="773" t="str">
        <f t="shared" si="14"/>
        <v>N</v>
      </c>
    </row>
    <row r="484" spans="1:23">
      <c r="A484" s="27">
        <v>44592</v>
      </c>
      <c r="B484" s="773" t="s">
        <v>140</v>
      </c>
      <c r="C484" s="773">
        <v>370</v>
      </c>
      <c r="D484" s="773">
        <v>1</v>
      </c>
      <c r="E484" s="773" t="s">
        <v>410</v>
      </c>
      <c r="S484" s="27">
        <v>44469</v>
      </c>
      <c r="T484" s="773" t="s">
        <v>132</v>
      </c>
      <c r="U484" s="773">
        <v>653</v>
      </c>
      <c r="V484" s="773">
        <v>71</v>
      </c>
      <c r="W484" s="773" t="str">
        <f t="shared" si="14"/>
        <v>O</v>
      </c>
    </row>
    <row r="485" spans="1:23">
      <c r="A485" s="27">
        <v>44227</v>
      </c>
      <c r="B485" s="773" t="s">
        <v>140</v>
      </c>
      <c r="C485" s="773">
        <v>213</v>
      </c>
      <c r="D485" s="773">
        <v>69</v>
      </c>
      <c r="E485" s="773" t="s">
        <v>410</v>
      </c>
      <c r="S485" s="27">
        <v>44469</v>
      </c>
      <c r="T485" s="773" t="s">
        <v>132</v>
      </c>
      <c r="U485" s="773">
        <v>654</v>
      </c>
      <c r="V485" s="773">
        <v>1526</v>
      </c>
      <c r="W485" s="773" t="str">
        <f t="shared" si="14"/>
        <v>N</v>
      </c>
    </row>
    <row r="486" spans="1:23">
      <c r="A486" s="27">
        <v>44227</v>
      </c>
      <c r="B486" s="773" t="s">
        <v>140</v>
      </c>
      <c r="C486" s="773">
        <v>379</v>
      </c>
      <c r="D486" s="773">
        <v>1</v>
      </c>
      <c r="E486" s="773" t="s">
        <v>410</v>
      </c>
      <c r="S486" s="27">
        <v>44469</v>
      </c>
      <c r="T486" s="773" t="s">
        <v>132</v>
      </c>
      <c r="U486" s="773">
        <v>658</v>
      </c>
      <c r="V486" s="773">
        <v>1797</v>
      </c>
      <c r="W486" s="773" t="str">
        <f t="shared" si="14"/>
        <v>N</v>
      </c>
    </row>
    <row r="487" spans="1:23">
      <c r="A487" s="27">
        <v>44227</v>
      </c>
      <c r="B487" s="773" t="s">
        <v>140</v>
      </c>
      <c r="C487" s="773">
        <v>558</v>
      </c>
      <c r="D487" s="773">
        <v>1360</v>
      </c>
      <c r="E487" s="773" t="s">
        <v>390</v>
      </c>
      <c r="S487" s="27">
        <v>44469</v>
      </c>
      <c r="T487" s="773" t="s">
        <v>132</v>
      </c>
      <c r="U487" s="773">
        <v>660</v>
      </c>
      <c r="V487" s="773">
        <v>4</v>
      </c>
      <c r="W487" s="773" t="str">
        <f t="shared" si="14"/>
        <v>O</v>
      </c>
    </row>
    <row r="488" spans="1:23">
      <c r="A488" s="27">
        <v>44592</v>
      </c>
      <c r="B488" s="773" t="s">
        <v>140</v>
      </c>
      <c r="C488" s="773">
        <v>453</v>
      </c>
      <c r="D488" s="773">
        <v>2290</v>
      </c>
      <c r="E488" s="773" t="s">
        <v>390</v>
      </c>
      <c r="S488" s="27">
        <v>44469</v>
      </c>
      <c r="T488" s="773" t="s">
        <v>132</v>
      </c>
      <c r="U488" s="773">
        <v>662</v>
      </c>
      <c r="V488" s="773">
        <v>690</v>
      </c>
      <c r="W488" s="773" t="str">
        <f t="shared" si="14"/>
        <v>N</v>
      </c>
    </row>
    <row r="489" spans="1:23">
      <c r="A489" s="27">
        <v>44592</v>
      </c>
      <c r="B489" s="773" t="s">
        <v>140</v>
      </c>
      <c r="C489" s="773">
        <v>478</v>
      </c>
      <c r="D489" s="773">
        <v>1999</v>
      </c>
      <c r="E489" s="773" t="s">
        <v>390</v>
      </c>
      <c r="S489" s="27">
        <v>44469</v>
      </c>
      <c r="T489" s="773" t="s">
        <v>132</v>
      </c>
      <c r="U489" s="773">
        <v>663</v>
      </c>
      <c r="V489" s="773">
        <v>886</v>
      </c>
      <c r="W489" s="773" t="str">
        <f t="shared" si="14"/>
        <v>N</v>
      </c>
    </row>
    <row r="490" spans="1:23">
      <c r="A490" s="27">
        <v>44592</v>
      </c>
      <c r="B490" s="773" t="s">
        <v>140</v>
      </c>
      <c r="C490" s="773">
        <v>678</v>
      </c>
      <c r="D490" s="773">
        <v>2305</v>
      </c>
      <c r="E490" s="773" t="s">
        <v>390</v>
      </c>
      <c r="S490" s="27">
        <v>44469</v>
      </c>
      <c r="T490" s="773" t="s">
        <v>132</v>
      </c>
      <c r="U490" s="773">
        <v>664</v>
      </c>
      <c r="V490" s="773">
        <v>1731</v>
      </c>
      <c r="W490" s="773" t="str">
        <f t="shared" si="14"/>
        <v>N</v>
      </c>
    </row>
    <row r="491" spans="1:23">
      <c r="A491" s="27">
        <v>44592</v>
      </c>
      <c r="B491" s="773" t="s">
        <v>140</v>
      </c>
      <c r="C491" s="773">
        <v>630</v>
      </c>
      <c r="D491" s="773">
        <v>1</v>
      </c>
      <c r="E491" s="773" t="s">
        <v>410</v>
      </c>
      <c r="S491" s="27">
        <v>44469</v>
      </c>
      <c r="T491" s="773" t="s">
        <v>132</v>
      </c>
      <c r="U491" s="773">
        <v>665</v>
      </c>
      <c r="V491" s="773">
        <v>1909</v>
      </c>
      <c r="W491" s="773" t="str">
        <f t="shared" si="14"/>
        <v>N</v>
      </c>
    </row>
    <row r="492" spans="1:23">
      <c r="A492" s="27">
        <v>44592</v>
      </c>
      <c r="B492" s="773" t="s">
        <v>140</v>
      </c>
      <c r="C492" s="773">
        <v>387</v>
      </c>
      <c r="D492" s="773">
        <v>9</v>
      </c>
      <c r="E492" s="773" t="s">
        <v>410</v>
      </c>
      <c r="S492" s="27">
        <v>44469</v>
      </c>
      <c r="T492" s="773" t="s">
        <v>132</v>
      </c>
      <c r="U492" s="773">
        <v>666</v>
      </c>
      <c r="V492" s="773">
        <v>1041</v>
      </c>
      <c r="W492" s="773" t="str">
        <f t="shared" si="14"/>
        <v>N</v>
      </c>
    </row>
    <row r="493" spans="1:23">
      <c r="A493" s="27">
        <v>44227</v>
      </c>
      <c r="B493" s="773" t="s">
        <v>140</v>
      </c>
      <c r="C493" s="773">
        <v>719</v>
      </c>
      <c r="D493" s="773">
        <v>3</v>
      </c>
      <c r="E493" s="773" t="s">
        <v>410</v>
      </c>
      <c r="S493" s="27">
        <v>44469</v>
      </c>
      <c r="T493" s="773" t="s">
        <v>132</v>
      </c>
      <c r="U493" s="773">
        <v>667</v>
      </c>
      <c r="V493" s="773">
        <v>1</v>
      </c>
      <c r="W493" s="773" t="str">
        <f t="shared" si="14"/>
        <v>O</v>
      </c>
    </row>
    <row r="494" spans="1:23">
      <c r="A494" s="27">
        <v>44592</v>
      </c>
      <c r="B494" s="773" t="s">
        <v>140</v>
      </c>
      <c r="C494" s="773">
        <v>659</v>
      </c>
      <c r="D494" s="773">
        <v>731</v>
      </c>
      <c r="E494" s="773" t="s">
        <v>390</v>
      </c>
      <c r="S494" s="27">
        <v>44469</v>
      </c>
      <c r="T494" s="773" t="s">
        <v>132</v>
      </c>
      <c r="U494" s="773">
        <v>668</v>
      </c>
      <c r="V494" s="773">
        <v>6</v>
      </c>
      <c r="W494" s="773" t="str">
        <f t="shared" si="14"/>
        <v>O</v>
      </c>
    </row>
    <row r="495" spans="1:23">
      <c r="A495" s="27">
        <v>44592</v>
      </c>
      <c r="B495" s="773" t="s">
        <v>140</v>
      </c>
      <c r="C495" s="773">
        <v>691</v>
      </c>
      <c r="D495" s="773">
        <v>225</v>
      </c>
      <c r="E495" s="773" t="s">
        <v>390</v>
      </c>
      <c r="S495" s="27">
        <v>44469</v>
      </c>
      <c r="T495" s="773" t="s">
        <v>132</v>
      </c>
      <c r="U495" s="773">
        <v>669</v>
      </c>
      <c r="V495" s="773">
        <v>1525</v>
      </c>
      <c r="W495" s="773" t="str">
        <f t="shared" si="14"/>
        <v>N</v>
      </c>
    </row>
    <row r="496" spans="1:23">
      <c r="A496" s="27">
        <v>44592</v>
      </c>
      <c r="B496" s="773" t="s">
        <v>140</v>
      </c>
      <c r="C496" s="773">
        <v>558</v>
      </c>
      <c r="D496" s="773">
        <v>1271</v>
      </c>
      <c r="E496" s="773" t="s">
        <v>390</v>
      </c>
      <c r="S496" s="27">
        <v>44469</v>
      </c>
      <c r="T496" s="773" t="s">
        <v>132</v>
      </c>
      <c r="U496" s="773">
        <v>670</v>
      </c>
      <c r="V496" s="773">
        <v>2166</v>
      </c>
      <c r="W496" s="773" t="str">
        <f t="shared" si="14"/>
        <v>N</v>
      </c>
    </row>
    <row r="497" spans="1:23">
      <c r="A497" s="27">
        <v>44592</v>
      </c>
      <c r="B497" s="773" t="s">
        <v>140</v>
      </c>
      <c r="C497" s="773">
        <v>597</v>
      </c>
      <c r="D497" s="773">
        <v>1185</v>
      </c>
      <c r="E497" s="773" t="s">
        <v>390</v>
      </c>
      <c r="S497" s="27">
        <v>44469</v>
      </c>
      <c r="T497" s="773" t="s">
        <v>132</v>
      </c>
      <c r="U497" s="773">
        <v>671</v>
      </c>
      <c r="V497" s="773">
        <v>1623</v>
      </c>
      <c r="W497" s="773" t="str">
        <f t="shared" si="14"/>
        <v>N</v>
      </c>
    </row>
    <row r="498" spans="1:23">
      <c r="A498" s="27">
        <v>44592</v>
      </c>
      <c r="B498" s="773" t="s">
        <v>140</v>
      </c>
      <c r="C498" s="773">
        <v>476</v>
      </c>
      <c r="D498" s="773">
        <v>1</v>
      </c>
      <c r="E498" s="773" t="s">
        <v>410</v>
      </c>
      <c r="S498" s="27">
        <v>44469</v>
      </c>
      <c r="T498" s="773" t="s">
        <v>132</v>
      </c>
      <c r="U498" s="773">
        <v>672</v>
      </c>
      <c r="V498" s="773">
        <v>1590</v>
      </c>
      <c r="W498" s="773" t="str">
        <f t="shared" si="14"/>
        <v>N</v>
      </c>
    </row>
    <row r="499" spans="1:23">
      <c r="A499" s="27">
        <v>44592</v>
      </c>
      <c r="B499" s="773" t="s">
        <v>140</v>
      </c>
      <c r="C499" s="773">
        <v>379</v>
      </c>
      <c r="D499" s="773">
        <v>1</v>
      </c>
      <c r="E499" s="773" t="s">
        <v>410</v>
      </c>
      <c r="S499" s="27">
        <v>44469</v>
      </c>
      <c r="T499" s="773" t="s">
        <v>132</v>
      </c>
      <c r="U499" s="773">
        <v>674</v>
      </c>
      <c r="V499" s="773">
        <v>2497</v>
      </c>
      <c r="W499" s="773" t="str">
        <f t="shared" si="14"/>
        <v>N</v>
      </c>
    </row>
    <row r="500" spans="1:23">
      <c r="A500" s="27">
        <v>44592</v>
      </c>
      <c r="B500" s="773" t="s">
        <v>140</v>
      </c>
      <c r="C500" s="773">
        <v>574</v>
      </c>
      <c r="D500" s="773">
        <v>1559</v>
      </c>
      <c r="E500" s="773" t="s">
        <v>390</v>
      </c>
      <c r="S500" s="27">
        <v>44469</v>
      </c>
      <c r="T500" s="773" t="s">
        <v>132</v>
      </c>
      <c r="U500" s="773">
        <v>676</v>
      </c>
      <c r="V500" s="773">
        <v>1</v>
      </c>
      <c r="W500" s="773" t="str">
        <f t="shared" si="14"/>
        <v>O</v>
      </c>
    </row>
    <row r="501" spans="1:23">
      <c r="A501" s="27">
        <v>44592</v>
      </c>
      <c r="B501" s="773" t="s">
        <v>140</v>
      </c>
      <c r="C501" s="773">
        <v>338</v>
      </c>
      <c r="D501" s="773">
        <v>2377</v>
      </c>
      <c r="E501" s="773" t="s">
        <v>390</v>
      </c>
      <c r="S501" s="27">
        <v>44469</v>
      </c>
      <c r="T501" s="773" t="s">
        <v>132</v>
      </c>
      <c r="U501" s="773">
        <v>678</v>
      </c>
      <c r="V501" s="773">
        <v>1718</v>
      </c>
      <c r="W501" s="773" t="str">
        <f t="shared" si="14"/>
        <v>N</v>
      </c>
    </row>
    <row r="502" spans="1:23">
      <c r="A502" s="27">
        <v>44227</v>
      </c>
      <c r="B502" s="773" t="s">
        <v>140</v>
      </c>
      <c r="C502" s="773">
        <v>522</v>
      </c>
      <c r="D502" s="773">
        <v>10</v>
      </c>
      <c r="E502" s="773" t="s">
        <v>410</v>
      </c>
      <c r="S502" s="27">
        <v>44469</v>
      </c>
      <c r="T502" s="773" t="s">
        <v>132</v>
      </c>
      <c r="U502" s="773">
        <v>679</v>
      </c>
      <c r="V502" s="773">
        <v>3</v>
      </c>
      <c r="W502" s="773" t="str">
        <f t="shared" si="14"/>
        <v>O</v>
      </c>
    </row>
    <row r="503" spans="1:23">
      <c r="A503" s="27">
        <v>44592</v>
      </c>
      <c r="B503" s="773" t="s">
        <v>140</v>
      </c>
      <c r="C503" s="773">
        <v>674</v>
      </c>
      <c r="D503" s="773">
        <v>1609</v>
      </c>
      <c r="E503" s="773" t="s">
        <v>390</v>
      </c>
      <c r="S503" s="27">
        <v>44469</v>
      </c>
      <c r="T503" s="773" t="s">
        <v>132</v>
      </c>
      <c r="U503" s="773">
        <v>680</v>
      </c>
      <c r="V503" s="773">
        <v>171</v>
      </c>
      <c r="W503" s="773" t="str">
        <f t="shared" si="14"/>
        <v>N</v>
      </c>
    </row>
    <row r="504" spans="1:23">
      <c r="A504" s="27">
        <v>44227</v>
      </c>
      <c r="B504" s="773" t="s">
        <v>140</v>
      </c>
      <c r="C504" s="773">
        <v>387</v>
      </c>
      <c r="D504" s="773">
        <v>10</v>
      </c>
      <c r="E504" s="773" t="s">
        <v>410</v>
      </c>
      <c r="S504" s="27">
        <v>44469</v>
      </c>
      <c r="T504" s="773" t="s">
        <v>132</v>
      </c>
      <c r="U504" s="773">
        <v>681</v>
      </c>
      <c r="V504" s="773">
        <v>742</v>
      </c>
      <c r="W504" s="773" t="str">
        <f t="shared" si="14"/>
        <v>N</v>
      </c>
    </row>
    <row r="505" spans="1:23">
      <c r="A505" s="27">
        <v>44592</v>
      </c>
      <c r="B505" s="773" t="s">
        <v>140</v>
      </c>
      <c r="C505" s="773">
        <v>722</v>
      </c>
      <c r="D505" s="773">
        <v>1845</v>
      </c>
      <c r="E505" s="773" t="s">
        <v>390</v>
      </c>
      <c r="S505" s="27">
        <v>44469</v>
      </c>
      <c r="T505" s="773" t="s">
        <v>132</v>
      </c>
      <c r="U505" s="773">
        <v>684</v>
      </c>
      <c r="V505" s="773">
        <v>1892</v>
      </c>
      <c r="W505" s="773" t="str">
        <f t="shared" si="14"/>
        <v>N</v>
      </c>
    </row>
    <row r="506" spans="1:23">
      <c r="A506" s="27">
        <v>44592</v>
      </c>
      <c r="B506" s="773" t="s">
        <v>140</v>
      </c>
      <c r="C506" s="773">
        <v>608</v>
      </c>
      <c r="D506" s="773">
        <v>2678</v>
      </c>
      <c r="E506" s="773" t="s">
        <v>390</v>
      </c>
      <c r="S506" s="27">
        <v>44469</v>
      </c>
      <c r="T506" s="773" t="s">
        <v>132</v>
      </c>
      <c r="U506" s="773">
        <v>686</v>
      </c>
      <c r="V506" s="773">
        <v>1432</v>
      </c>
      <c r="W506" s="773" t="str">
        <f t="shared" si="14"/>
        <v>N</v>
      </c>
    </row>
    <row r="507" spans="1:23">
      <c r="A507" s="27">
        <v>44227</v>
      </c>
      <c r="B507" s="773" t="s">
        <v>140</v>
      </c>
      <c r="C507" s="773">
        <v>338</v>
      </c>
      <c r="D507" s="773">
        <v>3066</v>
      </c>
      <c r="E507" s="773" t="s">
        <v>390</v>
      </c>
      <c r="S507" s="27">
        <v>44469</v>
      </c>
      <c r="T507" s="773" t="s">
        <v>132</v>
      </c>
      <c r="U507" s="773">
        <v>687</v>
      </c>
      <c r="V507" s="773">
        <v>2453</v>
      </c>
      <c r="W507" s="773" t="str">
        <f t="shared" si="14"/>
        <v>N</v>
      </c>
    </row>
    <row r="508" spans="1:23">
      <c r="A508" s="27">
        <v>44592</v>
      </c>
      <c r="B508" s="773" t="s">
        <v>140</v>
      </c>
      <c r="C508" s="773">
        <v>510</v>
      </c>
      <c r="D508" s="773">
        <v>922</v>
      </c>
      <c r="E508" s="773" t="s">
        <v>390</v>
      </c>
      <c r="S508" s="27">
        <v>44469</v>
      </c>
      <c r="T508" s="773" t="s">
        <v>132</v>
      </c>
      <c r="U508" s="773">
        <v>688</v>
      </c>
      <c r="V508" s="773">
        <v>1932</v>
      </c>
      <c r="W508" s="773" t="str">
        <f t="shared" si="14"/>
        <v>N</v>
      </c>
    </row>
    <row r="509" spans="1:23">
      <c r="A509" s="27">
        <v>44592</v>
      </c>
      <c r="B509" s="773" t="s">
        <v>140</v>
      </c>
      <c r="C509" s="773">
        <v>279</v>
      </c>
      <c r="D509" s="773">
        <v>1</v>
      </c>
      <c r="E509" s="773" t="s">
        <v>410</v>
      </c>
      <c r="S509" s="27">
        <v>44469</v>
      </c>
      <c r="T509" s="773" t="s">
        <v>132</v>
      </c>
      <c r="U509" s="773">
        <v>691</v>
      </c>
      <c r="V509" s="773">
        <v>1634</v>
      </c>
      <c r="W509" s="773" t="str">
        <f t="shared" si="14"/>
        <v>N</v>
      </c>
    </row>
    <row r="510" spans="1:23">
      <c r="A510" s="27">
        <v>44227</v>
      </c>
      <c r="B510" s="773" t="s">
        <v>140</v>
      </c>
      <c r="C510" s="773">
        <v>478</v>
      </c>
      <c r="D510" s="773">
        <v>2263</v>
      </c>
      <c r="E510" s="773" t="s">
        <v>390</v>
      </c>
      <c r="S510" s="27">
        <v>44469</v>
      </c>
      <c r="T510" s="773" t="s">
        <v>132</v>
      </c>
      <c r="U510" s="773">
        <v>694</v>
      </c>
      <c r="V510" s="773">
        <v>1</v>
      </c>
      <c r="W510" s="773" t="str">
        <f t="shared" si="14"/>
        <v>O</v>
      </c>
    </row>
    <row r="511" spans="1:23">
      <c r="A511" s="27">
        <v>44592</v>
      </c>
      <c r="B511" s="773" t="s">
        <v>140</v>
      </c>
      <c r="C511" s="773">
        <v>628</v>
      </c>
      <c r="D511" s="773">
        <v>1616</v>
      </c>
      <c r="E511" s="773" t="s">
        <v>390</v>
      </c>
      <c r="S511" s="27">
        <v>44469</v>
      </c>
      <c r="T511" s="773" t="s">
        <v>132</v>
      </c>
      <c r="U511" s="773">
        <v>696</v>
      </c>
      <c r="V511" s="773">
        <v>1830</v>
      </c>
      <c r="W511" s="773" t="str">
        <f t="shared" si="14"/>
        <v>N</v>
      </c>
    </row>
    <row r="512" spans="1:23">
      <c r="A512" s="27">
        <v>44227</v>
      </c>
      <c r="B512" s="773" t="s">
        <v>140</v>
      </c>
      <c r="C512" s="773">
        <v>722</v>
      </c>
      <c r="D512" s="773">
        <v>2980</v>
      </c>
      <c r="E512" s="773" t="s">
        <v>390</v>
      </c>
      <c r="S512" s="27">
        <v>44469</v>
      </c>
      <c r="T512" s="773" t="s">
        <v>132</v>
      </c>
      <c r="U512" s="773">
        <v>697</v>
      </c>
      <c r="V512" s="773">
        <v>587</v>
      </c>
      <c r="W512" s="773" t="str">
        <f t="shared" si="14"/>
        <v>N</v>
      </c>
    </row>
    <row r="513" spans="1:23">
      <c r="A513" s="27">
        <v>44227</v>
      </c>
      <c r="B513" s="773" t="s">
        <v>140</v>
      </c>
      <c r="C513" s="773">
        <v>710</v>
      </c>
      <c r="D513" s="773">
        <v>2853</v>
      </c>
      <c r="E513" s="773" t="s">
        <v>390</v>
      </c>
      <c r="S513" s="27">
        <v>44469</v>
      </c>
      <c r="T513" s="773" t="s">
        <v>132</v>
      </c>
      <c r="U513" s="773">
        <v>698</v>
      </c>
      <c r="V513" s="773">
        <v>2030</v>
      </c>
      <c r="W513" s="773" t="str">
        <f t="shared" si="14"/>
        <v>N</v>
      </c>
    </row>
    <row r="514" spans="1:23">
      <c r="A514" s="27">
        <v>44227</v>
      </c>
      <c r="B514" s="773" t="s">
        <v>140</v>
      </c>
      <c r="C514" s="773">
        <v>648</v>
      </c>
      <c r="D514" s="773">
        <v>1433</v>
      </c>
      <c r="E514" s="773" t="s">
        <v>390</v>
      </c>
      <c r="S514" s="27">
        <v>44469</v>
      </c>
      <c r="T514" s="773" t="s">
        <v>132</v>
      </c>
      <c r="U514" s="773">
        <v>699</v>
      </c>
      <c r="V514" s="773">
        <v>1791</v>
      </c>
      <c r="W514" s="773" t="str">
        <f t="shared" si="14"/>
        <v>N</v>
      </c>
    </row>
    <row r="515" spans="1:23">
      <c r="A515" s="27">
        <v>44592</v>
      </c>
      <c r="B515" s="773" t="s">
        <v>140</v>
      </c>
      <c r="C515" s="773">
        <v>582</v>
      </c>
      <c r="D515" s="773">
        <v>2247</v>
      </c>
      <c r="E515" s="773" t="s">
        <v>390</v>
      </c>
      <c r="S515" s="27">
        <v>44469</v>
      </c>
      <c r="T515" s="773" t="s">
        <v>132</v>
      </c>
      <c r="U515" s="773">
        <v>700</v>
      </c>
      <c r="V515" s="773">
        <v>956</v>
      </c>
      <c r="W515" s="773" t="str">
        <f t="shared" ref="W515:W578" si="15">+IF(V515&lt;100,"O","N")</f>
        <v>N</v>
      </c>
    </row>
    <row r="516" spans="1:23">
      <c r="A516" s="27">
        <v>44592</v>
      </c>
      <c r="B516" s="773" t="s">
        <v>140</v>
      </c>
      <c r="C516" s="773">
        <v>760</v>
      </c>
      <c r="D516" s="773">
        <v>73</v>
      </c>
      <c r="E516" s="773" t="s">
        <v>410</v>
      </c>
      <c r="S516" s="27">
        <v>44469</v>
      </c>
      <c r="T516" s="773" t="s">
        <v>132</v>
      </c>
      <c r="U516" s="773">
        <v>701</v>
      </c>
      <c r="V516" s="773">
        <v>1835</v>
      </c>
      <c r="W516" s="773" t="str">
        <f t="shared" si="15"/>
        <v>N</v>
      </c>
    </row>
    <row r="517" spans="1:23">
      <c r="A517" s="27">
        <v>44227</v>
      </c>
      <c r="B517" s="773" t="s">
        <v>140</v>
      </c>
      <c r="C517" s="773">
        <v>601</v>
      </c>
      <c r="D517" s="773">
        <v>4</v>
      </c>
      <c r="E517" s="773" t="s">
        <v>410</v>
      </c>
      <c r="S517" s="27">
        <v>44469</v>
      </c>
      <c r="T517" s="773" t="s">
        <v>132</v>
      </c>
      <c r="U517" s="773">
        <v>703</v>
      </c>
      <c r="V517" s="773">
        <v>1009</v>
      </c>
      <c r="W517" s="773" t="str">
        <f t="shared" si="15"/>
        <v>N</v>
      </c>
    </row>
    <row r="518" spans="1:23">
      <c r="A518" s="27">
        <v>44227</v>
      </c>
      <c r="B518" s="773" t="s">
        <v>140</v>
      </c>
      <c r="C518" s="773">
        <v>705</v>
      </c>
      <c r="D518" s="773">
        <v>1</v>
      </c>
      <c r="E518" s="773" t="s">
        <v>410</v>
      </c>
      <c r="S518" s="27">
        <v>44469</v>
      </c>
      <c r="T518" s="773" t="s">
        <v>132</v>
      </c>
      <c r="U518" s="773">
        <v>704</v>
      </c>
      <c r="V518" s="773">
        <v>1825</v>
      </c>
      <c r="W518" s="773" t="str">
        <f t="shared" si="15"/>
        <v>N</v>
      </c>
    </row>
    <row r="519" spans="1:23">
      <c r="A519" s="27">
        <v>44227</v>
      </c>
      <c r="B519" s="773" t="s">
        <v>140</v>
      </c>
      <c r="C519" s="773">
        <v>626</v>
      </c>
      <c r="D519" s="773">
        <v>2786</v>
      </c>
      <c r="E519" s="773" t="s">
        <v>390</v>
      </c>
      <c r="S519" s="27">
        <v>44469</v>
      </c>
      <c r="T519" s="773" t="s">
        <v>132</v>
      </c>
      <c r="U519" s="773">
        <v>999</v>
      </c>
      <c r="V519" s="773">
        <v>1</v>
      </c>
      <c r="W519" s="773" t="str">
        <f t="shared" si="15"/>
        <v>O</v>
      </c>
    </row>
    <row r="520" spans="1:23">
      <c r="A520" s="27">
        <v>44227</v>
      </c>
      <c r="B520" s="773" t="s">
        <v>140</v>
      </c>
      <c r="C520" s="773">
        <v>639</v>
      </c>
      <c r="D520" s="773">
        <v>14</v>
      </c>
      <c r="E520" s="773" t="s">
        <v>410</v>
      </c>
      <c r="S520" s="27">
        <v>44500</v>
      </c>
      <c r="T520" s="773" t="s">
        <v>132</v>
      </c>
      <c r="U520" s="773">
        <v>176</v>
      </c>
      <c r="V520" s="773">
        <v>1</v>
      </c>
      <c r="W520" s="773" t="str">
        <f t="shared" si="15"/>
        <v>O</v>
      </c>
    </row>
    <row r="521" spans="1:23">
      <c r="A521" s="27">
        <v>44227</v>
      </c>
      <c r="B521" s="773" t="s">
        <v>140</v>
      </c>
      <c r="C521" s="773">
        <v>739</v>
      </c>
      <c r="D521" s="773">
        <v>2</v>
      </c>
      <c r="E521" s="773" t="s">
        <v>410</v>
      </c>
      <c r="S521" s="27">
        <v>44135</v>
      </c>
      <c r="T521" s="773" t="s">
        <v>132</v>
      </c>
      <c r="U521" s="773">
        <v>132</v>
      </c>
      <c r="V521" s="773">
        <v>2883</v>
      </c>
      <c r="W521" s="773" t="str">
        <f t="shared" si="15"/>
        <v>N</v>
      </c>
    </row>
    <row r="522" spans="1:23">
      <c r="A522" s="27">
        <v>44592</v>
      </c>
      <c r="B522" s="773" t="s">
        <v>140</v>
      </c>
      <c r="C522" s="773">
        <v>601</v>
      </c>
      <c r="D522" s="773">
        <v>3</v>
      </c>
      <c r="E522" s="773" t="s">
        <v>410</v>
      </c>
      <c r="S522" s="27">
        <v>44135</v>
      </c>
      <c r="T522" s="773" t="s">
        <v>132</v>
      </c>
      <c r="U522" s="773">
        <v>315</v>
      </c>
      <c r="V522" s="773">
        <v>3</v>
      </c>
      <c r="W522" s="773" t="str">
        <f t="shared" si="15"/>
        <v>O</v>
      </c>
    </row>
    <row r="523" spans="1:23">
      <c r="A523" s="27">
        <v>44592</v>
      </c>
      <c r="B523" s="773" t="s">
        <v>140</v>
      </c>
      <c r="C523" s="773">
        <v>540</v>
      </c>
      <c r="D523" s="773">
        <v>1</v>
      </c>
      <c r="E523" s="773" t="s">
        <v>410</v>
      </c>
      <c r="S523" s="27">
        <v>44500</v>
      </c>
      <c r="T523" s="773" t="s">
        <v>132</v>
      </c>
      <c r="U523" s="773">
        <v>213</v>
      </c>
      <c r="V523" s="773">
        <v>2857</v>
      </c>
      <c r="W523" s="773" t="str">
        <f t="shared" si="15"/>
        <v>N</v>
      </c>
    </row>
    <row r="524" spans="1:23">
      <c r="A524" s="27">
        <v>44592</v>
      </c>
      <c r="B524" s="773" t="s">
        <v>140</v>
      </c>
      <c r="C524" s="773">
        <v>524</v>
      </c>
      <c r="D524" s="773">
        <v>1114</v>
      </c>
      <c r="E524" s="773" t="s">
        <v>390</v>
      </c>
      <c r="S524" s="27">
        <v>44500</v>
      </c>
      <c r="T524" s="773" t="s">
        <v>132</v>
      </c>
      <c r="U524" s="773">
        <v>240</v>
      </c>
      <c r="V524" s="773">
        <v>7</v>
      </c>
      <c r="W524" s="773" t="str">
        <f t="shared" si="15"/>
        <v>O</v>
      </c>
    </row>
    <row r="525" spans="1:23">
      <c r="A525" s="27">
        <v>44227</v>
      </c>
      <c r="B525" s="773" t="s">
        <v>140</v>
      </c>
      <c r="C525" s="773">
        <v>576</v>
      </c>
      <c r="D525" s="773">
        <v>245</v>
      </c>
      <c r="E525" s="773" t="s">
        <v>390</v>
      </c>
      <c r="S525" s="27">
        <v>44500</v>
      </c>
      <c r="T525" s="773" t="s">
        <v>132</v>
      </c>
      <c r="U525" s="773">
        <v>72</v>
      </c>
      <c r="V525" s="773">
        <v>3</v>
      </c>
      <c r="W525" s="773" t="str">
        <f t="shared" si="15"/>
        <v>O</v>
      </c>
    </row>
    <row r="526" spans="1:23">
      <c r="A526" s="27">
        <v>44227</v>
      </c>
      <c r="B526" s="773" t="s">
        <v>140</v>
      </c>
      <c r="C526" s="773">
        <v>597</v>
      </c>
      <c r="D526" s="773">
        <v>1130</v>
      </c>
      <c r="E526" s="773" t="s">
        <v>390</v>
      </c>
      <c r="S526" s="27">
        <v>44500</v>
      </c>
      <c r="T526" s="773" t="s">
        <v>132</v>
      </c>
      <c r="U526" s="773">
        <v>699</v>
      </c>
      <c r="V526" s="773">
        <v>2216</v>
      </c>
      <c r="W526" s="773" t="str">
        <f t="shared" si="15"/>
        <v>N</v>
      </c>
    </row>
    <row r="527" spans="1:23">
      <c r="A527" s="27">
        <v>44592</v>
      </c>
      <c r="B527" s="773" t="s">
        <v>140</v>
      </c>
      <c r="C527" s="773">
        <v>610</v>
      </c>
      <c r="D527" s="773">
        <v>2981</v>
      </c>
      <c r="E527" s="773" t="s">
        <v>390</v>
      </c>
      <c r="S527" s="27">
        <v>44135</v>
      </c>
      <c r="T527" s="773" t="s">
        <v>132</v>
      </c>
      <c r="U527" s="773">
        <v>696</v>
      </c>
      <c r="V527" s="773">
        <v>10</v>
      </c>
      <c r="W527" s="773" t="str">
        <f t="shared" si="15"/>
        <v>O</v>
      </c>
    </row>
    <row r="528" spans="1:23">
      <c r="A528" s="27">
        <v>44227</v>
      </c>
      <c r="B528" s="773" t="s">
        <v>140</v>
      </c>
      <c r="C528" s="773">
        <v>278</v>
      </c>
      <c r="D528" s="773">
        <v>1</v>
      </c>
      <c r="E528" s="773" t="s">
        <v>410</v>
      </c>
      <c r="S528" s="27">
        <v>44135</v>
      </c>
      <c r="T528" s="773" t="s">
        <v>132</v>
      </c>
      <c r="U528" s="773">
        <v>621</v>
      </c>
      <c r="V528" s="773">
        <v>2151</v>
      </c>
      <c r="W528" s="773" t="str">
        <f t="shared" si="15"/>
        <v>N</v>
      </c>
    </row>
    <row r="529" spans="1:23">
      <c r="A529" s="27">
        <v>44227</v>
      </c>
      <c r="B529" s="773" t="s">
        <v>140</v>
      </c>
      <c r="C529" s="773">
        <v>370</v>
      </c>
      <c r="D529" s="773">
        <v>1</v>
      </c>
      <c r="E529" s="773" t="s">
        <v>410</v>
      </c>
      <c r="S529" s="27">
        <v>44135</v>
      </c>
      <c r="T529" s="773" t="s">
        <v>132</v>
      </c>
      <c r="U529" s="773">
        <v>193</v>
      </c>
      <c r="V529" s="773">
        <v>2297</v>
      </c>
      <c r="W529" s="773" t="str">
        <f t="shared" si="15"/>
        <v>N</v>
      </c>
    </row>
    <row r="530" spans="1:23">
      <c r="A530" s="27">
        <v>44227</v>
      </c>
      <c r="B530" s="773" t="s">
        <v>140</v>
      </c>
      <c r="C530" s="773">
        <v>524</v>
      </c>
      <c r="D530" s="773">
        <v>1205</v>
      </c>
      <c r="E530" s="773" t="s">
        <v>390</v>
      </c>
      <c r="S530" s="27">
        <v>44500</v>
      </c>
      <c r="T530" s="773" t="s">
        <v>132</v>
      </c>
      <c r="U530" s="773">
        <v>999</v>
      </c>
      <c r="V530" s="773">
        <v>1</v>
      </c>
      <c r="W530" s="773" t="str">
        <f t="shared" si="15"/>
        <v>O</v>
      </c>
    </row>
    <row r="531" spans="1:23">
      <c r="A531" s="27">
        <v>44227</v>
      </c>
      <c r="B531" s="773" t="s">
        <v>140</v>
      </c>
      <c r="C531" s="773">
        <v>578</v>
      </c>
      <c r="D531" s="773">
        <v>2730</v>
      </c>
      <c r="E531" s="773" t="s">
        <v>390</v>
      </c>
      <c r="S531" s="27">
        <v>44135</v>
      </c>
      <c r="T531" s="773" t="s">
        <v>132</v>
      </c>
      <c r="U531" s="773">
        <v>131</v>
      </c>
      <c r="V531" s="773">
        <v>2</v>
      </c>
      <c r="W531" s="773" t="str">
        <f t="shared" si="15"/>
        <v>O</v>
      </c>
    </row>
    <row r="532" spans="1:23">
      <c r="A532" s="27">
        <v>44592</v>
      </c>
      <c r="B532" s="773" t="s">
        <v>140</v>
      </c>
      <c r="C532" s="773">
        <v>710</v>
      </c>
      <c r="D532" s="773">
        <v>2747</v>
      </c>
      <c r="E532" s="773" t="s">
        <v>390</v>
      </c>
      <c r="S532" s="27">
        <v>44500</v>
      </c>
      <c r="T532" s="773" t="s">
        <v>132</v>
      </c>
      <c r="U532" s="773">
        <v>698</v>
      </c>
      <c r="V532" s="773">
        <v>2686</v>
      </c>
      <c r="W532" s="773" t="str">
        <f t="shared" si="15"/>
        <v>N</v>
      </c>
    </row>
    <row r="533" spans="1:23">
      <c r="A533" s="27">
        <v>44227</v>
      </c>
      <c r="B533" s="773" t="s">
        <v>140</v>
      </c>
      <c r="C533" s="773">
        <v>678</v>
      </c>
      <c r="D533" s="773">
        <v>2378</v>
      </c>
      <c r="E533" s="773" t="s">
        <v>390</v>
      </c>
      <c r="S533" s="27">
        <v>44135</v>
      </c>
      <c r="T533" s="773" t="s">
        <v>132</v>
      </c>
      <c r="U533" s="773">
        <v>155</v>
      </c>
      <c r="V533" s="773">
        <v>2502</v>
      </c>
      <c r="W533" s="773" t="str">
        <f t="shared" si="15"/>
        <v>N</v>
      </c>
    </row>
    <row r="534" spans="1:23">
      <c r="A534" s="27">
        <v>44592</v>
      </c>
      <c r="B534" s="773" t="s">
        <v>140</v>
      </c>
      <c r="C534" s="773">
        <v>485</v>
      </c>
      <c r="D534" s="773">
        <v>1292</v>
      </c>
      <c r="E534" s="773" t="s">
        <v>390</v>
      </c>
      <c r="S534" s="27">
        <v>44135</v>
      </c>
      <c r="T534" s="773" t="s">
        <v>132</v>
      </c>
      <c r="U534" s="773">
        <v>299</v>
      </c>
      <c r="V534" s="773">
        <v>1</v>
      </c>
      <c r="W534" s="773" t="str">
        <f t="shared" si="15"/>
        <v>O</v>
      </c>
    </row>
    <row r="535" spans="1:23">
      <c r="A535" s="27">
        <v>44227</v>
      </c>
      <c r="B535" s="773" t="s">
        <v>140</v>
      </c>
      <c r="C535" s="773">
        <v>640</v>
      </c>
      <c r="D535" s="773">
        <v>3363</v>
      </c>
      <c r="E535" s="773" t="s">
        <v>390</v>
      </c>
      <c r="S535" s="27">
        <v>44500</v>
      </c>
      <c r="T535" s="773" t="s">
        <v>132</v>
      </c>
      <c r="U535" s="773">
        <v>676</v>
      </c>
      <c r="V535" s="773">
        <v>1</v>
      </c>
      <c r="W535" s="773" t="str">
        <f t="shared" si="15"/>
        <v>O</v>
      </c>
    </row>
    <row r="536" spans="1:23">
      <c r="A536" s="27">
        <v>44227</v>
      </c>
      <c r="B536" s="773" t="s">
        <v>140</v>
      </c>
      <c r="C536" s="773">
        <v>359</v>
      </c>
      <c r="D536" s="773">
        <v>570</v>
      </c>
      <c r="E536" s="773" t="s">
        <v>390</v>
      </c>
      <c r="S536" s="27">
        <v>44500</v>
      </c>
      <c r="T536" s="773" t="s">
        <v>132</v>
      </c>
      <c r="U536" s="773">
        <v>367</v>
      </c>
      <c r="V536" s="773">
        <v>14</v>
      </c>
      <c r="W536" s="773" t="str">
        <f t="shared" si="15"/>
        <v>O</v>
      </c>
    </row>
    <row r="537" spans="1:23">
      <c r="A537" s="27">
        <v>44227</v>
      </c>
      <c r="B537" s="773" t="s">
        <v>140</v>
      </c>
      <c r="C537" s="773">
        <v>585</v>
      </c>
      <c r="D537" s="773">
        <v>2557</v>
      </c>
      <c r="E537" s="773" t="s">
        <v>390</v>
      </c>
      <c r="S537" s="27">
        <v>44500</v>
      </c>
      <c r="T537" s="773" t="s">
        <v>132</v>
      </c>
      <c r="U537" s="773">
        <v>77</v>
      </c>
      <c r="V537" s="773">
        <v>3345</v>
      </c>
      <c r="W537" s="773" t="str">
        <f t="shared" si="15"/>
        <v>N</v>
      </c>
    </row>
    <row r="538" spans="1:23">
      <c r="A538" s="27">
        <v>44227</v>
      </c>
      <c r="B538" s="773" t="s">
        <v>140</v>
      </c>
      <c r="C538" s="773">
        <v>0</v>
      </c>
      <c r="D538" s="773">
        <v>8</v>
      </c>
      <c r="E538" s="773" t="s">
        <v>410</v>
      </c>
      <c r="S538" s="27">
        <v>44135</v>
      </c>
      <c r="T538" s="773" t="s">
        <v>132</v>
      </c>
      <c r="U538" s="773">
        <v>296</v>
      </c>
      <c r="V538" s="773">
        <v>2388</v>
      </c>
      <c r="W538" s="773" t="str">
        <f t="shared" si="15"/>
        <v>N</v>
      </c>
    </row>
    <row r="539" spans="1:23">
      <c r="A539" s="27">
        <v>44227</v>
      </c>
      <c r="B539" s="773" t="s">
        <v>140</v>
      </c>
      <c r="C539" s="773">
        <v>447</v>
      </c>
      <c r="D539" s="773">
        <v>1</v>
      </c>
      <c r="E539" s="773" t="s">
        <v>410</v>
      </c>
      <c r="S539" s="27">
        <v>44500</v>
      </c>
      <c r="T539" s="773" t="s">
        <v>132</v>
      </c>
      <c r="U539" s="773">
        <v>100</v>
      </c>
      <c r="V539" s="773">
        <v>3</v>
      </c>
      <c r="W539" s="773" t="str">
        <f t="shared" si="15"/>
        <v>O</v>
      </c>
    </row>
    <row r="540" spans="1:23">
      <c r="A540" s="27">
        <v>44592</v>
      </c>
      <c r="B540" s="773" t="s">
        <v>140</v>
      </c>
      <c r="C540" s="773">
        <v>578</v>
      </c>
      <c r="D540" s="773">
        <v>2740</v>
      </c>
      <c r="E540" s="773" t="s">
        <v>390</v>
      </c>
      <c r="S540" s="27">
        <v>44135</v>
      </c>
      <c r="T540" s="773" t="s">
        <v>132</v>
      </c>
      <c r="U540" s="773">
        <v>140</v>
      </c>
      <c r="V540" s="773">
        <v>165</v>
      </c>
      <c r="W540" s="773" t="str">
        <f t="shared" si="15"/>
        <v>N</v>
      </c>
    </row>
    <row r="541" spans="1:23">
      <c r="A541" s="27">
        <v>44592</v>
      </c>
      <c r="B541" s="773" t="s">
        <v>140</v>
      </c>
      <c r="C541" s="773">
        <v>719</v>
      </c>
      <c r="D541" s="773">
        <v>24</v>
      </c>
      <c r="E541" s="773" t="s">
        <v>410</v>
      </c>
      <c r="S541" s="27">
        <v>44135</v>
      </c>
      <c r="T541" s="773" t="s">
        <v>132</v>
      </c>
      <c r="U541" s="773">
        <v>291</v>
      </c>
      <c r="V541" s="773">
        <v>2238</v>
      </c>
      <c r="W541" s="773" t="str">
        <f t="shared" si="15"/>
        <v>N</v>
      </c>
    </row>
    <row r="542" spans="1:23">
      <c r="A542" s="27">
        <v>44227</v>
      </c>
      <c r="B542" s="773" t="s">
        <v>140</v>
      </c>
      <c r="C542" s="773">
        <v>610</v>
      </c>
      <c r="D542" s="773">
        <v>3179</v>
      </c>
      <c r="E542" s="773" t="s">
        <v>390</v>
      </c>
      <c r="S542" s="27">
        <v>44135</v>
      </c>
      <c r="T542" s="773" t="s">
        <v>132</v>
      </c>
      <c r="U542" s="773">
        <v>279</v>
      </c>
      <c r="V542" s="773">
        <v>2464</v>
      </c>
      <c r="W542" s="773" t="str">
        <f t="shared" si="15"/>
        <v>N</v>
      </c>
    </row>
    <row r="543" spans="1:23">
      <c r="A543" s="27">
        <v>44592</v>
      </c>
      <c r="B543" s="773" t="s">
        <v>140</v>
      </c>
      <c r="C543" s="773">
        <v>359</v>
      </c>
      <c r="D543" s="773">
        <v>643</v>
      </c>
      <c r="E543" s="773" t="s">
        <v>390</v>
      </c>
      <c r="S543" s="27">
        <v>44500</v>
      </c>
      <c r="T543" s="773" t="s">
        <v>132</v>
      </c>
      <c r="U543" s="773">
        <v>202</v>
      </c>
      <c r="V543" s="773">
        <v>1</v>
      </c>
      <c r="W543" s="773" t="str">
        <f t="shared" si="15"/>
        <v>O</v>
      </c>
    </row>
    <row r="544" spans="1:23">
      <c r="A544" s="27">
        <v>44227</v>
      </c>
      <c r="B544" s="773" t="s">
        <v>140</v>
      </c>
      <c r="C544" s="773">
        <v>732</v>
      </c>
      <c r="D544" s="773">
        <v>4</v>
      </c>
      <c r="E544" s="773" t="s">
        <v>410</v>
      </c>
      <c r="S544" s="27">
        <v>44135</v>
      </c>
      <c r="T544" s="773" t="s">
        <v>132</v>
      </c>
      <c r="U544" s="773">
        <v>367</v>
      </c>
      <c r="V544" s="773">
        <v>7</v>
      </c>
      <c r="W544" s="773" t="str">
        <f t="shared" si="15"/>
        <v>O</v>
      </c>
    </row>
    <row r="545" spans="1:23">
      <c r="A545" s="27">
        <v>44592</v>
      </c>
      <c r="B545" s="773" t="s">
        <v>140</v>
      </c>
      <c r="C545" s="773">
        <v>469</v>
      </c>
      <c r="D545" s="773">
        <v>7</v>
      </c>
      <c r="E545" s="773" t="s">
        <v>410</v>
      </c>
      <c r="S545" s="27">
        <v>44135</v>
      </c>
      <c r="T545" s="773" t="s">
        <v>132</v>
      </c>
      <c r="U545" s="773">
        <v>124</v>
      </c>
      <c r="V545" s="773">
        <v>5</v>
      </c>
      <c r="W545" s="773" t="str">
        <f t="shared" si="15"/>
        <v>O</v>
      </c>
    </row>
    <row r="546" spans="1:23">
      <c r="A546" s="27">
        <v>44592</v>
      </c>
      <c r="B546" s="773" t="s">
        <v>140</v>
      </c>
      <c r="C546" s="773">
        <v>449</v>
      </c>
      <c r="D546" s="773">
        <v>1865</v>
      </c>
      <c r="E546" s="773" t="s">
        <v>390</v>
      </c>
      <c r="S546" s="27">
        <v>44500</v>
      </c>
      <c r="T546" s="773" t="s">
        <v>132</v>
      </c>
      <c r="U546" s="773">
        <v>215</v>
      </c>
      <c r="V546" s="773">
        <v>695</v>
      </c>
      <c r="W546" s="773" t="str">
        <f t="shared" si="15"/>
        <v>N</v>
      </c>
    </row>
    <row r="547" spans="1:23">
      <c r="A547" s="27">
        <v>44227</v>
      </c>
      <c r="B547" s="773" t="s">
        <v>140</v>
      </c>
      <c r="C547" s="773">
        <v>574</v>
      </c>
      <c r="D547" s="773">
        <v>1545</v>
      </c>
      <c r="E547" s="773" t="s">
        <v>390</v>
      </c>
      <c r="S547" s="27">
        <v>44500</v>
      </c>
      <c r="T547" s="773" t="s">
        <v>132</v>
      </c>
      <c r="U547" s="773">
        <v>152</v>
      </c>
      <c r="V547" s="773">
        <v>1</v>
      </c>
      <c r="W547" s="773" t="str">
        <f t="shared" si="15"/>
        <v>O</v>
      </c>
    </row>
    <row r="548" spans="1:23">
      <c r="A548" s="27">
        <v>44227</v>
      </c>
      <c r="B548" s="773" t="s">
        <v>140</v>
      </c>
      <c r="C548" s="773">
        <v>674</v>
      </c>
      <c r="D548" s="773">
        <v>1587</v>
      </c>
      <c r="E548" s="773" t="s">
        <v>390</v>
      </c>
      <c r="S548" s="27">
        <v>44500</v>
      </c>
      <c r="T548" s="773" t="s">
        <v>132</v>
      </c>
      <c r="U548" s="773">
        <v>295</v>
      </c>
      <c r="V548" s="773">
        <v>7</v>
      </c>
      <c r="W548" s="773" t="str">
        <f t="shared" si="15"/>
        <v>O</v>
      </c>
    </row>
    <row r="549" spans="1:23">
      <c r="A549" s="27">
        <v>44620</v>
      </c>
      <c r="B549" s="773" t="s">
        <v>140</v>
      </c>
      <c r="C549" s="773">
        <v>248</v>
      </c>
      <c r="D549" s="773">
        <v>468</v>
      </c>
      <c r="E549" s="773" t="s">
        <v>390</v>
      </c>
      <c r="S549" s="27">
        <v>44500</v>
      </c>
      <c r="T549" s="773" t="s">
        <v>132</v>
      </c>
      <c r="U549" s="773">
        <v>94</v>
      </c>
      <c r="V549" s="773">
        <v>150</v>
      </c>
      <c r="W549" s="773" t="str">
        <f t="shared" si="15"/>
        <v>N</v>
      </c>
    </row>
    <row r="550" spans="1:23">
      <c r="A550" s="27">
        <v>44255</v>
      </c>
      <c r="B550" s="773" t="s">
        <v>140</v>
      </c>
      <c r="C550" s="773">
        <v>587</v>
      </c>
      <c r="D550" s="773">
        <v>1</v>
      </c>
      <c r="E550" s="773" t="s">
        <v>410</v>
      </c>
      <c r="S550" s="27">
        <v>44135</v>
      </c>
      <c r="T550" s="773" t="s">
        <v>132</v>
      </c>
      <c r="U550" s="773">
        <v>312</v>
      </c>
      <c r="V550" s="773">
        <v>2377</v>
      </c>
      <c r="W550" s="773" t="str">
        <f t="shared" si="15"/>
        <v>N</v>
      </c>
    </row>
    <row r="551" spans="1:23">
      <c r="A551" s="27">
        <v>44620</v>
      </c>
      <c r="B551" s="773" t="s">
        <v>140</v>
      </c>
      <c r="C551" s="773">
        <v>525</v>
      </c>
      <c r="D551" s="773">
        <v>1</v>
      </c>
      <c r="E551" s="773" t="s">
        <v>410</v>
      </c>
      <c r="S551" s="27">
        <v>44135</v>
      </c>
      <c r="T551" s="773" t="s">
        <v>132</v>
      </c>
      <c r="U551" s="773">
        <v>250</v>
      </c>
      <c r="V551" s="773">
        <v>1</v>
      </c>
      <c r="W551" s="773" t="str">
        <f t="shared" si="15"/>
        <v>O</v>
      </c>
    </row>
    <row r="552" spans="1:23">
      <c r="A552" s="27">
        <v>44620</v>
      </c>
      <c r="B552" s="773" t="s">
        <v>140</v>
      </c>
      <c r="C552" s="773">
        <v>597</v>
      </c>
      <c r="D552" s="773">
        <v>1178</v>
      </c>
      <c r="E552" s="773" t="s">
        <v>390</v>
      </c>
      <c r="S552" s="27">
        <v>44500</v>
      </c>
      <c r="T552" s="773" t="s">
        <v>132</v>
      </c>
      <c r="U552" s="773">
        <v>691</v>
      </c>
      <c r="V552" s="773">
        <v>2449</v>
      </c>
      <c r="W552" s="773" t="str">
        <f t="shared" si="15"/>
        <v>N</v>
      </c>
    </row>
    <row r="553" spans="1:23">
      <c r="A553" s="27">
        <v>44255</v>
      </c>
      <c r="B553" s="773" t="s">
        <v>140</v>
      </c>
      <c r="C553" s="773">
        <v>648</v>
      </c>
      <c r="D553" s="773">
        <v>1431</v>
      </c>
      <c r="E553" s="773" t="s">
        <v>390</v>
      </c>
      <c r="S553" s="27">
        <v>44500</v>
      </c>
      <c r="T553" s="773" t="s">
        <v>132</v>
      </c>
      <c r="U553" s="773">
        <v>294</v>
      </c>
      <c r="V553" s="773">
        <v>9</v>
      </c>
      <c r="W553" s="773" t="str">
        <f t="shared" si="15"/>
        <v>O</v>
      </c>
    </row>
    <row r="554" spans="1:23">
      <c r="A554" s="27">
        <v>44255</v>
      </c>
      <c r="B554" s="773" t="s">
        <v>140</v>
      </c>
      <c r="C554" s="773">
        <v>576</v>
      </c>
      <c r="D554" s="773">
        <v>245</v>
      </c>
      <c r="E554" s="773" t="s">
        <v>390</v>
      </c>
      <c r="S554" s="27">
        <v>44135</v>
      </c>
      <c r="T554" s="773" t="s">
        <v>132</v>
      </c>
      <c r="U554" s="773">
        <v>114</v>
      </c>
      <c r="V554" s="773">
        <v>1</v>
      </c>
      <c r="W554" s="773" t="str">
        <f t="shared" si="15"/>
        <v>O</v>
      </c>
    </row>
    <row r="555" spans="1:23">
      <c r="A555" s="27">
        <v>44255</v>
      </c>
      <c r="B555" s="773" t="s">
        <v>140</v>
      </c>
      <c r="C555" s="773">
        <v>601</v>
      </c>
      <c r="D555" s="773">
        <v>4</v>
      </c>
      <c r="E555" s="773" t="s">
        <v>410</v>
      </c>
      <c r="S555" s="27">
        <v>44500</v>
      </c>
      <c r="T555" s="773" t="s">
        <v>132</v>
      </c>
      <c r="U555" s="773">
        <v>212</v>
      </c>
      <c r="V555" s="773">
        <v>3403</v>
      </c>
      <c r="W555" s="773" t="str">
        <f t="shared" si="15"/>
        <v>N</v>
      </c>
    </row>
    <row r="556" spans="1:23">
      <c r="A556" s="27">
        <v>44255</v>
      </c>
      <c r="B556" s="773" t="s">
        <v>140</v>
      </c>
      <c r="C556" s="773">
        <v>691</v>
      </c>
      <c r="D556" s="773">
        <v>243</v>
      </c>
      <c r="E556" s="773" t="s">
        <v>390</v>
      </c>
      <c r="S556" s="27">
        <v>44500</v>
      </c>
      <c r="T556" s="773" t="s">
        <v>132</v>
      </c>
      <c r="U556" s="773">
        <v>697</v>
      </c>
      <c r="V556" s="773">
        <v>711</v>
      </c>
      <c r="W556" s="773" t="str">
        <f t="shared" si="15"/>
        <v>N</v>
      </c>
    </row>
    <row r="557" spans="1:23">
      <c r="A557" s="27">
        <v>44620</v>
      </c>
      <c r="B557" s="773" t="s">
        <v>140</v>
      </c>
      <c r="C557" s="773">
        <v>616</v>
      </c>
      <c r="D557" s="773">
        <v>1</v>
      </c>
      <c r="E557" s="773" t="s">
        <v>410</v>
      </c>
      <c r="S557" s="27">
        <v>44500</v>
      </c>
      <c r="T557" s="773" t="s">
        <v>132</v>
      </c>
      <c r="U557" s="773">
        <v>124</v>
      </c>
      <c r="V557" s="773">
        <v>11</v>
      </c>
      <c r="W557" s="773" t="str">
        <f t="shared" si="15"/>
        <v>O</v>
      </c>
    </row>
    <row r="558" spans="1:23">
      <c r="A558" s="27">
        <v>44255</v>
      </c>
      <c r="B558" s="773" t="s">
        <v>140</v>
      </c>
      <c r="C558" s="773">
        <v>722</v>
      </c>
      <c r="D558" s="773">
        <v>10</v>
      </c>
      <c r="E558" s="773" t="s">
        <v>410</v>
      </c>
      <c r="S558" s="27">
        <v>44135</v>
      </c>
      <c r="T558" s="773" t="s">
        <v>132</v>
      </c>
      <c r="U558" s="773">
        <v>686</v>
      </c>
      <c r="V558" s="773">
        <v>2455</v>
      </c>
      <c r="W558" s="773" t="str">
        <f t="shared" si="15"/>
        <v>N</v>
      </c>
    </row>
    <row r="559" spans="1:23">
      <c r="A559" s="27">
        <v>44255</v>
      </c>
      <c r="B559" s="773" t="s">
        <v>140</v>
      </c>
      <c r="C559" s="773">
        <v>485</v>
      </c>
      <c r="D559" s="773">
        <v>1806</v>
      </c>
      <c r="E559" s="773" t="s">
        <v>390</v>
      </c>
      <c r="S559" s="27">
        <v>44500</v>
      </c>
      <c r="T559" s="773" t="s">
        <v>132</v>
      </c>
      <c r="U559" s="773">
        <v>191</v>
      </c>
      <c r="V559" s="773">
        <v>1872</v>
      </c>
      <c r="W559" s="773" t="str">
        <f t="shared" si="15"/>
        <v>N</v>
      </c>
    </row>
    <row r="560" spans="1:23">
      <c r="A560" s="27">
        <v>44255</v>
      </c>
      <c r="B560" s="773" t="s">
        <v>140</v>
      </c>
      <c r="C560" s="773">
        <v>719</v>
      </c>
      <c r="D560" s="773">
        <v>3</v>
      </c>
      <c r="E560" s="773" t="s">
        <v>410</v>
      </c>
      <c r="S560" s="27">
        <v>44500</v>
      </c>
      <c r="T560" s="773" t="s">
        <v>132</v>
      </c>
      <c r="U560" s="773">
        <v>309</v>
      </c>
      <c r="V560" s="773">
        <v>22</v>
      </c>
      <c r="W560" s="773" t="str">
        <f t="shared" si="15"/>
        <v>O</v>
      </c>
    </row>
    <row r="561" spans="1:23">
      <c r="A561" s="27">
        <v>44255</v>
      </c>
      <c r="B561" s="773" t="s">
        <v>140</v>
      </c>
      <c r="C561" s="773">
        <v>574</v>
      </c>
      <c r="D561" s="773">
        <v>1553</v>
      </c>
      <c r="E561" s="773" t="s">
        <v>390</v>
      </c>
      <c r="S561" s="27">
        <v>44135</v>
      </c>
      <c r="T561" s="773" t="s">
        <v>132</v>
      </c>
      <c r="U561" s="773">
        <v>123</v>
      </c>
      <c r="V561" s="773">
        <v>1</v>
      </c>
      <c r="W561" s="773" t="str">
        <f t="shared" si="15"/>
        <v>O</v>
      </c>
    </row>
    <row r="562" spans="1:23">
      <c r="A562" s="27">
        <v>44620</v>
      </c>
      <c r="B562" s="773" t="s">
        <v>140</v>
      </c>
      <c r="C562" s="773">
        <v>594</v>
      </c>
      <c r="D562" s="773">
        <v>2626</v>
      </c>
      <c r="E562" s="773" t="s">
        <v>390</v>
      </c>
      <c r="S562" s="27">
        <v>44500</v>
      </c>
      <c r="T562" s="773" t="s">
        <v>132</v>
      </c>
      <c r="U562" s="773">
        <v>293</v>
      </c>
      <c r="V562" s="773">
        <v>512</v>
      </c>
      <c r="W562" s="773" t="str">
        <f t="shared" si="15"/>
        <v>N</v>
      </c>
    </row>
    <row r="563" spans="1:23">
      <c r="A563" s="27">
        <v>44620</v>
      </c>
      <c r="B563" s="773" t="s">
        <v>140</v>
      </c>
      <c r="C563" s="773">
        <v>493</v>
      </c>
      <c r="D563" s="773">
        <v>6</v>
      </c>
      <c r="E563" s="773" t="s">
        <v>410</v>
      </c>
      <c r="S563" s="27">
        <v>44135</v>
      </c>
      <c r="T563" s="773" t="s">
        <v>132</v>
      </c>
      <c r="U563" s="773">
        <v>27</v>
      </c>
      <c r="V563" s="773">
        <v>1</v>
      </c>
      <c r="W563" s="773" t="str">
        <f t="shared" si="15"/>
        <v>O</v>
      </c>
    </row>
    <row r="564" spans="1:23">
      <c r="A564" s="27">
        <v>44255</v>
      </c>
      <c r="B564" s="773" t="s">
        <v>140</v>
      </c>
      <c r="C564" s="773">
        <v>524</v>
      </c>
      <c r="D564" s="773">
        <v>1201</v>
      </c>
      <c r="E564" s="773" t="s">
        <v>390</v>
      </c>
      <c r="S564" s="27">
        <v>44500</v>
      </c>
      <c r="T564" s="773" t="s">
        <v>132</v>
      </c>
      <c r="U564" s="773">
        <v>66</v>
      </c>
      <c r="V564" s="773">
        <v>7</v>
      </c>
      <c r="W564" s="773" t="str">
        <f t="shared" si="15"/>
        <v>O</v>
      </c>
    </row>
    <row r="565" spans="1:23">
      <c r="A565" s="27">
        <v>44620</v>
      </c>
      <c r="B565" s="773" t="s">
        <v>140</v>
      </c>
      <c r="C565" s="773">
        <v>510</v>
      </c>
      <c r="D565" s="773">
        <v>934</v>
      </c>
      <c r="E565" s="773" t="s">
        <v>390</v>
      </c>
      <c r="S565" s="27">
        <v>44135</v>
      </c>
      <c r="T565" s="773" t="s">
        <v>132</v>
      </c>
      <c r="U565" s="773">
        <v>39</v>
      </c>
      <c r="V565" s="773">
        <v>1</v>
      </c>
      <c r="W565" s="773" t="str">
        <f t="shared" si="15"/>
        <v>O</v>
      </c>
    </row>
    <row r="566" spans="1:23">
      <c r="A566" s="27">
        <v>44620</v>
      </c>
      <c r="B566" s="773" t="s">
        <v>140</v>
      </c>
      <c r="C566" s="773">
        <v>338</v>
      </c>
      <c r="D566" s="773">
        <v>2388</v>
      </c>
      <c r="E566" s="773" t="s">
        <v>390</v>
      </c>
      <c r="S566" s="27">
        <v>44135</v>
      </c>
      <c r="T566" s="773" t="s">
        <v>132</v>
      </c>
      <c r="U566" s="773">
        <v>73</v>
      </c>
      <c r="V566" s="773">
        <v>2</v>
      </c>
      <c r="W566" s="773" t="str">
        <f t="shared" si="15"/>
        <v>O</v>
      </c>
    </row>
    <row r="567" spans="1:23">
      <c r="A567" s="27">
        <v>44255</v>
      </c>
      <c r="B567" s="773" t="s">
        <v>140</v>
      </c>
      <c r="C567" s="773">
        <v>359</v>
      </c>
      <c r="D567" s="773">
        <v>580</v>
      </c>
      <c r="E567" s="773" t="s">
        <v>390</v>
      </c>
      <c r="S567" s="27">
        <v>44135</v>
      </c>
      <c r="T567" s="773" t="s">
        <v>132</v>
      </c>
      <c r="U567" s="773">
        <v>150</v>
      </c>
      <c r="V567" s="773">
        <v>757</v>
      </c>
      <c r="W567" s="773" t="str">
        <f t="shared" si="15"/>
        <v>N</v>
      </c>
    </row>
    <row r="568" spans="1:23">
      <c r="A568" s="27">
        <v>44620</v>
      </c>
      <c r="B568" s="773" t="s">
        <v>140</v>
      </c>
      <c r="C568" s="773">
        <v>626</v>
      </c>
      <c r="D568" s="773">
        <v>2762</v>
      </c>
      <c r="E568" s="773" t="s">
        <v>390</v>
      </c>
      <c r="S568" s="27">
        <v>44500</v>
      </c>
      <c r="T568" s="773" t="s">
        <v>132</v>
      </c>
      <c r="U568" s="773">
        <v>79</v>
      </c>
      <c r="V568" s="773">
        <v>14</v>
      </c>
      <c r="W568" s="773" t="str">
        <f t="shared" si="15"/>
        <v>O</v>
      </c>
    </row>
    <row r="569" spans="1:23">
      <c r="A569" s="27">
        <v>44255</v>
      </c>
      <c r="B569" s="773" t="s">
        <v>140</v>
      </c>
      <c r="C569" s="773">
        <v>628</v>
      </c>
      <c r="D569" s="773">
        <v>1514</v>
      </c>
      <c r="E569" s="773" t="s">
        <v>390</v>
      </c>
      <c r="S569" s="27">
        <v>44135</v>
      </c>
      <c r="T569" s="773" t="s">
        <v>132</v>
      </c>
      <c r="U569" s="773">
        <v>98</v>
      </c>
      <c r="V569" s="773">
        <v>120</v>
      </c>
      <c r="W569" s="773" t="str">
        <f t="shared" si="15"/>
        <v>N</v>
      </c>
    </row>
    <row r="570" spans="1:23">
      <c r="A570" s="27">
        <v>44255</v>
      </c>
      <c r="B570" s="773" t="s">
        <v>140</v>
      </c>
      <c r="C570" s="773">
        <v>387</v>
      </c>
      <c r="D570" s="773">
        <v>10</v>
      </c>
      <c r="E570" s="773" t="s">
        <v>410</v>
      </c>
      <c r="S570" s="27">
        <v>44500</v>
      </c>
      <c r="T570" s="773" t="s">
        <v>132</v>
      </c>
      <c r="U570" s="773">
        <v>328</v>
      </c>
      <c r="V570" s="773">
        <v>13</v>
      </c>
      <c r="W570" s="773" t="str">
        <f t="shared" si="15"/>
        <v>O</v>
      </c>
    </row>
    <row r="571" spans="1:23">
      <c r="A571" s="27">
        <v>44255</v>
      </c>
      <c r="B571" s="773" t="s">
        <v>140</v>
      </c>
      <c r="C571" s="773">
        <v>608</v>
      </c>
      <c r="D571" s="773">
        <v>2703</v>
      </c>
      <c r="E571" s="773" t="s">
        <v>390</v>
      </c>
      <c r="S571" s="27">
        <v>44500</v>
      </c>
      <c r="T571" s="773" t="s">
        <v>132</v>
      </c>
      <c r="U571" s="773">
        <v>183</v>
      </c>
      <c r="V571" s="773">
        <v>2244</v>
      </c>
      <c r="W571" s="773" t="str">
        <f t="shared" si="15"/>
        <v>N</v>
      </c>
    </row>
    <row r="572" spans="1:23">
      <c r="A572" s="27">
        <v>44255</v>
      </c>
      <c r="B572" s="773" t="s">
        <v>140</v>
      </c>
      <c r="C572" s="773">
        <v>453</v>
      </c>
      <c r="D572" s="773">
        <v>2545</v>
      </c>
      <c r="E572" s="773" t="s">
        <v>390</v>
      </c>
      <c r="S572" s="27">
        <v>44500</v>
      </c>
      <c r="T572" s="773" t="s">
        <v>132</v>
      </c>
      <c r="U572" s="773">
        <v>64</v>
      </c>
      <c r="V572" s="773">
        <v>5</v>
      </c>
      <c r="W572" s="773" t="str">
        <f t="shared" si="15"/>
        <v>O</v>
      </c>
    </row>
    <row r="573" spans="1:23">
      <c r="A573" s="27">
        <v>44620</v>
      </c>
      <c r="B573" s="773" t="s">
        <v>140</v>
      </c>
      <c r="C573" s="773">
        <v>0</v>
      </c>
      <c r="D573" s="773">
        <v>7</v>
      </c>
      <c r="E573" s="773" t="s">
        <v>410</v>
      </c>
      <c r="S573" s="27">
        <v>44500</v>
      </c>
      <c r="T573" s="773" t="s">
        <v>132</v>
      </c>
      <c r="U573" s="773">
        <v>271</v>
      </c>
      <c r="V573" s="773">
        <v>2674</v>
      </c>
      <c r="W573" s="773" t="str">
        <f t="shared" si="15"/>
        <v>N</v>
      </c>
    </row>
    <row r="574" spans="1:23">
      <c r="A574" s="27">
        <v>44255</v>
      </c>
      <c r="B574" s="773" t="s">
        <v>140</v>
      </c>
      <c r="C574" s="773">
        <v>732</v>
      </c>
      <c r="D574" s="773">
        <v>4</v>
      </c>
      <c r="E574" s="773" t="s">
        <v>410</v>
      </c>
      <c r="S574" s="27">
        <v>44135</v>
      </c>
      <c r="T574" s="773" t="s">
        <v>132</v>
      </c>
      <c r="U574" s="773">
        <v>116</v>
      </c>
      <c r="V574" s="773">
        <v>3</v>
      </c>
      <c r="W574" s="773" t="str">
        <f t="shared" si="15"/>
        <v>O</v>
      </c>
    </row>
    <row r="575" spans="1:23">
      <c r="A575" s="27">
        <v>44620</v>
      </c>
      <c r="B575" s="773" t="s">
        <v>140</v>
      </c>
      <c r="C575" s="773">
        <v>674</v>
      </c>
      <c r="D575" s="773">
        <v>1661</v>
      </c>
      <c r="E575" s="773" t="s">
        <v>390</v>
      </c>
      <c r="S575" s="27">
        <v>44500</v>
      </c>
      <c r="T575" s="773" t="s">
        <v>132</v>
      </c>
      <c r="U575" s="773">
        <v>145</v>
      </c>
      <c r="V575" s="773">
        <v>2</v>
      </c>
      <c r="W575" s="773" t="str">
        <f t="shared" si="15"/>
        <v>O</v>
      </c>
    </row>
    <row r="576" spans="1:23">
      <c r="A576" s="27">
        <v>44255</v>
      </c>
      <c r="B576" s="773" t="s">
        <v>140</v>
      </c>
      <c r="C576" s="773">
        <v>447</v>
      </c>
      <c r="D576" s="773">
        <v>1</v>
      </c>
      <c r="E576" s="773" t="s">
        <v>410</v>
      </c>
      <c r="S576" s="27">
        <v>44500</v>
      </c>
      <c r="T576" s="773" t="s">
        <v>132</v>
      </c>
      <c r="U576" s="773">
        <v>324</v>
      </c>
      <c r="V576" s="773">
        <v>488</v>
      </c>
      <c r="W576" s="773" t="str">
        <f t="shared" si="15"/>
        <v>N</v>
      </c>
    </row>
    <row r="577" spans="1:23">
      <c r="A577" s="27">
        <v>44255</v>
      </c>
      <c r="B577" s="773" t="s">
        <v>140</v>
      </c>
      <c r="C577" s="773">
        <v>530</v>
      </c>
      <c r="D577" s="773">
        <v>2</v>
      </c>
      <c r="E577" s="773" t="s">
        <v>410</v>
      </c>
      <c r="S577" s="27">
        <v>44500</v>
      </c>
      <c r="T577" s="773" t="s">
        <v>132</v>
      </c>
      <c r="U577" s="773">
        <v>63</v>
      </c>
      <c r="V577" s="773">
        <v>2</v>
      </c>
      <c r="W577" s="773" t="str">
        <f t="shared" si="15"/>
        <v>O</v>
      </c>
    </row>
    <row r="578" spans="1:23">
      <c r="A578" s="27">
        <v>44620</v>
      </c>
      <c r="B578" s="773" t="s">
        <v>140</v>
      </c>
      <c r="C578" s="773">
        <v>476</v>
      </c>
      <c r="D578" s="773">
        <v>1</v>
      </c>
      <c r="E578" s="773" t="s">
        <v>410</v>
      </c>
      <c r="S578" s="27">
        <v>44135</v>
      </c>
      <c r="T578" s="773" t="s">
        <v>132</v>
      </c>
      <c r="U578" s="773">
        <v>641</v>
      </c>
      <c r="V578" s="773">
        <v>2883</v>
      </c>
      <c r="W578" s="773" t="str">
        <f t="shared" si="15"/>
        <v>N</v>
      </c>
    </row>
    <row r="579" spans="1:23">
      <c r="A579" s="27">
        <v>44255</v>
      </c>
      <c r="B579" s="773" t="s">
        <v>140</v>
      </c>
      <c r="C579" s="773">
        <v>449</v>
      </c>
      <c r="D579" s="773">
        <v>2104</v>
      </c>
      <c r="E579" s="773" t="s">
        <v>390</v>
      </c>
      <c r="S579" s="27">
        <v>44135</v>
      </c>
      <c r="T579" s="773" t="s">
        <v>132</v>
      </c>
      <c r="U579" s="773">
        <v>111</v>
      </c>
      <c r="V579" s="773">
        <v>1</v>
      </c>
      <c r="W579" s="773" t="str">
        <f t="shared" ref="W579:W642" si="16">+IF(V579&lt;100,"O","N")</f>
        <v>O</v>
      </c>
    </row>
    <row r="580" spans="1:23">
      <c r="A580" s="27">
        <v>44255</v>
      </c>
      <c r="B580" s="773" t="s">
        <v>140</v>
      </c>
      <c r="C580" s="773">
        <v>379</v>
      </c>
      <c r="D580" s="773">
        <v>1</v>
      </c>
      <c r="E580" s="773" t="s">
        <v>410</v>
      </c>
      <c r="S580" s="27">
        <v>44500</v>
      </c>
      <c r="T580" s="773" t="s">
        <v>132</v>
      </c>
      <c r="U580" s="773">
        <v>98</v>
      </c>
      <c r="V580" s="773">
        <v>85</v>
      </c>
      <c r="W580" s="773" t="str">
        <f t="shared" si="16"/>
        <v>O</v>
      </c>
    </row>
    <row r="581" spans="1:23">
      <c r="A581" s="27">
        <v>44620</v>
      </c>
      <c r="B581" s="773" t="s">
        <v>140</v>
      </c>
      <c r="C581" s="773">
        <v>582</v>
      </c>
      <c r="D581" s="773">
        <v>2234</v>
      </c>
      <c r="E581" s="773" t="s">
        <v>390</v>
      </c>
      <c r="S581" s="27">
        <v>44135</v>
      </c>
      <c r="T581" s="773" t="s">
        <v>132</v>
      </c>
      <c r="U581" s="773">
        <v>194</v>
      </c>
      <c r="V581" s="773">
        <v>3389</v>
      </c>
      <c r="W581" s="773" t="str">
        <f t="shared" si="16"/>
        <v>N</v>
      </c>
    </row>
    <row r="582" spans="1:23">
      <c r="A582" s="27">
        <v>44620</v>
      </c>
      <c r="B582" s="773" t="s">
        <v>140</v>
      </c>
      <c r="C582" s="773">
        <v>574</v>
      </c>
      <c r="D582" s="773">
        <v>1564</v>
      </c>
      <c r="E582" s="773" t="s">
        <v>390</v>
      </c>
      <c r="S582" s="27">
        <v>44135</v>
      </c>
      <c r="T582" s="773" t="s">
        <v>132</v>
      </c>
      <c r="U582" s="773">
        <v>158</v>
      </c>
      <c r="V582" s="773">
        <v>42</v>
      </c>
      <c r="W582" s="773" t="str">
        <f t="shared" si="16"/>
        <v>O</v>
      </c>
    </row>
    <row r="583" spans="1:23">
      <c r="A583" s="27">
        <v>44255</v>
      </c>
      <c r="B583" s="773" t="s">
        <v>140</v>
      </c>
      <c r="C583" s="773">
        <v>548</v>
      </c>
      <c r="D583" s="773">
        <v>546</v>
      </c>
      <c r="E583" s="773" t="s">
        <v>390</v>
      </c>
      <c r="S583" s="27">
        <v>44135</v>
      </c>
      <c r="T583" s="773" t="s">
        <v>132</v>
      </c>
      <c r="U583" s="773">
        <v>200</v>
      </c>
      <c r="V583" s="773">
        <v>2</v>
      </c>
      <c r="W583" s="773" t="str">
        <f t="shared" si="16"/>
        <v>O</v>
      </c>
    </row>
    <row r="584" spans="1:23">
      <c r="A584" s="27">
        <v>44620</v>
      </c>
      <c r="B584" s="773" t="s">
        <v>140</v>
      </c>
      <c r="C584" s="773">
        <v>530</v>
      </c>
      <c r="D584" s="773">
        <v>1</v>
      </c>
      <c r="E584" s="773" t="s">
        <v>410</v>
      </c>
      <c r="S584" s="27">
        <v>44500</v>
      </c>
      <c r="T584" s="773" t="s">
        <v>132</v>
      </c>
      <c r="U584" s="773">
        <v>41</v>
      </c>
      <c r="V584" s="773">
        <v>1</v>
      </c>
      <c r="W584" s="773" t="str">
        <f t="shared" si="16"/>
        <v>O</v>
      </c>
    </row>
    <row r="585" spans="1:23">
      <c r="A585" s="27">
        <v>44255</v>
      </c>
      <c r="B585" s="773" t="s">
        <v>140</v>
      </c>
      <c r="C585" s="773">
        <v>525</v>
      </c>
      <c r="D585" s="773">
        <v>3761</v>
      </c>
      <c r="E585" s="773" t="s">
        <v>390</v>
      </c>
      <c r="S585" s="27">
        <v>44500</v>
      </c>
      <c r="T585" s="773" t="s">
        <v>132</v>
      </c>
      <c r="U585" s="773">
        <v>182</v>
      </c>
      <c r="V585" s="773">
        <v>903</v>
      </c>
      <c r="W585" s="773" t="str">
        <f t="shared" si="16"/>
        <v>N</v>
      </c>
    </row>
    <row r="586" spans="1:23">
      <c r="A586" s="27">
        <v>44620</v>
      </c>
      <c r="B586" s="773" t="s">
        <v>140</v>
      </c>
      <c r="C586" s="773">
        <v>732</v>
      </c>
      <c r="D586" s="773">
        <v>3</v>
      </c>
      <c r="E586" s="773" t="s">
        <v>410</v>
      </c>
      <c r="S586" s="27">
        <v>44500</v>
      </c>
      <c r="T586" s="773" t="s">
        <v>132</v>
      </c>
      <c r="U586" s="773">
        <v>262</v>
      </c>
      <c r="V586" s="773">
        <v>79</v>
      </c>
      <c r="W586" s="773" t="str">
        <f t="shared" si="16"/>
        <v>O</v>
      </c>
    </row>
    <row r="587" spans="1:23">
      <c r="A587" s="27">
        <v>44620</v>
      </c>
      <c r="B587" s="773" t="s">
        <v>140</v>
      </c>
      <c r="C587" s="773">
        <v>740</v>
      </c>
      <c r="D587" s="773">
        <v>599</v>
      </c>
      <c r="E587" s="773" t="s">
        <v>390</v>
      </c>
      <c r="S587" s="27">
        <v>44135</v>
      </c>
      <c r="T587" s="773" t="s">
        <v>132</v>
      </c>
      <c r="U587" s="773">
        <v>691</v>
      </c>
      <c r="V587" s="773">
        <v>2683</v>
      </c>
      <c r="W587" s="773" t="str">
        <f t="shared" si="16"/>
        <v>N</v>
      </c>
    </row>
    <row r="588" spans="1:23">
      <c r="A588" s="27">
        <v>44255</v>
      </c>
      <c r="B588" s="773" t="s">
        <v>140</v>
      </c>
      <c r="C588" s="773">
        <v>370</v>
      </c>
      <c r="D588" s="773">
        <v>1</v>
      </c>
      <c r="E588" s="773" t="s">
        <v>410</v>
      </c>
      <c r="S588" s="27">
        <v>44500</v>
      </c>
      <c r="T588" s="773" t="s">
        <v>132</v>
      </c>
      <c r="U588" s="773">
        <v>265</v>
      </c>
      <c r="V588" s="773">
        <v>1581</v>
      </c>
      <c r="W588" s="773" t="str">
        <f t="shared" si="16"/>
        <v>N</v>
      </c>
    </row>
    <row r="589" spans="1:23">
      <c r="A589" s="27">
        <v>44620</v>
      </c>
      <c r="B589" s="773" t="s">
        <v>140</v>
      </c>
      <c r="C589" s="773">
        <v>710</v>
      </c>
      <c r="D589" s="773">
        <v>2746</v>
      </c>
      <c r="E589" s="773" t="s">
        <v>390</v>
      </c>
      <c r="S589" s="27">
        <v>44500</v>
      </c>
      <c r="T589" s="773" t="s">
        <v>132</v>
      </c>
      <c r="U589" s="773">
        <v>194</v>
      </c>
      <c r="V589" s="773">
        <v>3383</v>
      </c>
      <c r="W589" s="773" t="str">
        <f t="shared" si="16"/>
        <v>N</v>
      </c>
    </row>
    <row r="590" spans="1:23">
      <c r="A590" s="27">
        <v>44620</v>
      </c>
      <c r="B590" s="773" t="s">
        <v>140</v>
      </c>
      <c r="C590" s="773">
        <v>760</v>
      </c>
      <c r="D590" s="773">
        <v>72</v>
      </c>
      <c r="E590" s="773" t="s">
        <v>410</v>
      </c>
      <c r="S590" s="27">
        <v>44135</v>
      </c>
      <c r="T590" s="773" t="s">
        <v>132</v>
      </c>
      <c r="U590" s="773">
        <v>266</v>
      </c>
      <c r="V590" s="773">
        <v>2250</v>
      </c>
      <c r="W590" s="773" t="str">
        <f t="shared" si="16"/>
        <v>N</v>
      </c>
    </row>
    <row r="591" spans="1:23">
      <c r="A591" s="27">
        <v>44620</v>
      </c>
      <c r="B591" s="773" t="s">
        <v>140</v>
      </c>
      <c r="C591" s="773">
        <v>453</v>
      </c>
      <c r="D591" s="773">
        <v>2302</v>
      </c>
      <c r="E591" s="773" t="s">
        <v>390</v>
      </c>
      <c r="S591" s="27">
        <v>44135</v>
      </c>
      <c r="T591" s="773" t="s">
        <v>132</v>
      </c>
      <c r="U591" s="773">
        <v>78</v>
      </c>
      <c r="V591" s="773">
        <v>2</v>
      </c>
      <c r="W591" s="773" t="str">
        <f t="shared" si="16"/>
        <v>O</v>
      </c>
    </row>
    <row r="592" spans="1:23">
      <c r="A592" s="27">
        <v>44620</v>
      </c>
      <c r="B592" s="773" t="s">
        <v>140</v>
      </c>
      <c r="C592" s="773">
        <v>719</v>
      </c>
      <c r="D592" s="773">
        <v>24</v>
      </c>
      <c r="E592" s="773" t="s">
        <v>410</v>
      </c>
      <c r="S592" s="27">
        <v>44500</v>
      </c>
      <c r="T592" s="773" t="s">
        <v>132</v>
      </c>
      <c r="U592" s="773">
        <v>670</v>
      </c>
      <c r="V592" s="773">
        <v>3861</v>
      </c>
      <c r="W592" s="773" t="str">
        <f t="shared" si="16"/>
        <v>N</v>
      </c>
    </row>
    <row r="593" spans="1:23">
      <c r="A593" s="27">
        <v>44255</v>
      </c>
      <c r="B593" s="773" t="s">
        <v>140</v>
      </c>
      <c r="C593" s="773">
        <v>712</v>
      </c>
      <c r="D593" s="773">
        <v>1</v>
      </c>
      <c r="E593" s="773" t="s">
        <v>410</v>
      </c>
      <c r="S593" s="27">
        <v>44135</v>
      </c>
      <c r="T593" s="773" t="s">
        <v>132</v>
      </c>
      <c r="U593" s="773">
        <v>153</v>
      </c>
      <c r="V593" s="773">
        <v>2274</v>
      </c>
      <c r="W593" s="773" t="str">
        <f t="shared" si="16"/>
        <v>N</v>
      </c>
    </row>
    <row r="594" spans="1:23">
      <c r="A594" s="27">
        <v>44255</v>
      </c>
      <c r="B594" s="773" t="s">
        <v>140</v>
      </c>
      <c r="C594" s="773">
        <v>626</v>
      </c>
      <c r="D594" s="773">
        <v>2779</v>
      </c>
      <c r="E594" s="773" t="s">
        <v>390</v>
      </c>
      <c r="S594" s="27">
        <v>44135</v>
      </c>
      <c r="T594" s="773" t="s">
        <v>132</v>
      </c>
      <c r="U594" s="773">
        <v>171</v>
      </c>
      <c r="V594" s="773">
        <v>117</v>
      </c>
      <c r="W594" s="773" t="str">
        <f t="shared" si="16"/>
        <v>N</v>
      </c>
    </row>
    <row r="595" spans="1:23">
      <c r="A595" s="27">
        <v>44255</v>
      </c>
      <c r="B595" s="773" t="s">
        <v>140</v>
      </c>
      <c r="C595" s="773">
        <v>710</v>
      </c>
      <c r="D595" s="773">
        <v>2854</v>
      </c>
      <c r="E595" s="773" t="s">
        <v>390</v>
      </c>
      <c r="S595" s="27">
        <v>44135</v>
      </c>
      <c r="T595" s="773" t="s">
        <v>132</v>
      </c>
      <c r="U595" s="773">
        <v>523</v>
      </c>
      <c r="V595" s="773">
        <v>5</v>
      </c>
      <c r="W595" s="773" t="str">
        <f t="shared" si="16"/>
        <v>O</v>
      </c>
    </row>
    <row r="596" spans="1:23">
      <c r="A596" s="27">
        <v>44620</v>
      </c>
      <c r="B596" s="773" t="s">
        <v>140</v>
      </c>
      <c r="C596" s="773">
        <v>610</v>
      </c>
      <c r="D596" s="773">
        <v>3003</v>
      </c>
      <c r="E596" s="773" t="s">
        <v>390</v>
      </c>
      <c r="S596" s="27">
        <v>44135</v>
      </c>
      <c r="T596" s="773" t="s">
        <v>132</v>
      </c>
      <c r="U596" s="773">
        <v>626</v>
      </c>
      <c r="V596" s="773">
        <v>5</v>
      </c>
      <c r="W596" s="773" t="str">
        <f t="shared" si="16"/>
        <v>O</v>
      </c>
    </row>
    <row r="597" spans="1:23">
      <c r="A597" s="27">
        <v>44255</v>
      </c>
      <c r="B597" s="773" t="s">
        <v>140</v>
      </c>
      <c r="C597" s="773">
        <v>510</v>
      </c>
      <c r="D597" s="773">
        <v>927</v>
      </c>
      <c r="E597" s="773" t="s">
        <v>390</v>
      </c>
      <c r="S597" s="27">
        <v>44500</v>
      </c>
      <c r="T597" s="773" t="s">
        <v>132</v>
      </c>
      <c r="U597" s="773">
        <v>110</v>
      </c>
      <c r="V597" s="773">
        <v>1</v>
      </c>
      <c r="W597" s="773" t="str">
        <f t="shared" si="16"/>
        <v>O</v>
      </c>
    </row>
    <row r="598" spans="1:23">
      <c r="A598" s="27">
        <v>44620</v>
      </c>
      <c r="B598" s="773" t="s">
        <v>140</v>
      </c>
      <c r="C598" s="773">
        <v>630</v>
      </c>
      <c r="D598" s="773">
        <v>1</v>
      </c>
      <c r="E598" s="773" t="s">
        <v>410</v>
      </c>
      <c r="S598" s="27">
        <v>44135</v>
      </c>
      <c r="T598" s="773" t="s">
        <v>132</v>
      </c>
      <c r="U598" s="773">
        <v>670</v>
      </c>
      <c r="V598" s="773">
        <v>3476</v>
      </c>
      <c r="W598" s="773" t="str">
        <f t="shared" si="16"/>
        <v>N</v>
      </c>
    </row>
    <row r="599" spans="1:23">
      <c r="A599" s="27">
        <v>44255</v>
      </c>
      <c r="B599" s="773" t="s">
        <v>140</v>
      </c>
      <c r="C599" s="773">
        <v>278</v>
      </c>
      <c r="D599" s="773">
        <v>1</v>
      </c>
      <c r="E599" s="773" t="s">
        <v>410</v>
      </c>
      <c r="S599" s="27">
        <v>44135</v>
      </c>
      <c r="T599" s="773" t="s">
        <v>132</v>
      </c>
      <c r="U599" s="773">
        <v>204</v>
      </c>
      <c r="V599" s="773">
        <v>19</v>
      </c>
      <c r="W599" s="773" t="str">
        <f t="shared" si="16"/>
        <v>O</v>
      </c>
    </row>
    <row r="600" spans="1:23">
      <c r="A600" s="27">
        <v>44255</v>
      </c>
      <c r="B600" s="773" t="s">
        <v>140</v>
      </c>
      <c r="C600" s="773">
        <v>540</v>
      </c>
      <c r="D600" s="773">
        <v>1</v>
      </c>
      <c r="E600" s="773" t="s">
        <v>410</v>
      </c>
      <c r="S600" s="27">
        <v>44500</v>
      </c>
      <c r="T600" s="773" t="s">
        <v>132</v>
      </c>
      <c r="U600" s="773">
        <v>666</v>
      </c>
      <c r="V600" s="773">
        <v>1475</v>
      </c>
      <c r="W600" s="773" t="str">
        <f t="shared" si="16"/>
        <v>N</v>
      </c>
    </row>
    <row r="601" spans="1:23">
      <c r="A601" s="27">
        <v>44620</v>
      </c>
      <c r="B601" s="773" t="s">
        <v>140</v>
      </c>
      <c r="C601" s="773">
        <v>502</v>
      </c>
      <c r="D601" s="773">
        <v>496</v>
      </c>
      <c r="E601" s="773" t="s">
        <v>390</v>
      </c>
      <c r="S601" s="27">
        <v>44500</v>
      </c>
      <c r="T601" s="773" t="s">
        <v>132</v>
      </c>
      <c r="U601" s="773">
        <v>81</v>
      </c>
      <c r="V601" s="773">
        <v>3</v>
      </c>
      <c r="W601" s="773" t="str">
        <f t="shared" si="16"/>
        <v>O</v>
      </c>
    </row>
    <row r="602" spans="1:23">
      <c r="A602" s="27">
        <v>44255</v>
      </c>
      <c r="B602" s="773" t="s">
        <v>140</v>
      </c>
      <c r="C602" s="773">
        <v>493</v>
      </c>
      <c r="D602" s="773">
        <v>11</v>
      </c>
      <c r="E602" s="773" t="s">
        <v>410</v>
      </c>
      <c r="S602" s="27">
        <v>44500</v>
      </c>
      <c r="T602" s="773" t="s">
        <v>132</v>
      </c>
      <c r="U602" s="773">
        <v>230</v>
      </c>
      <c r="V602" s="773">
        <v>1</v>
      </c>
      <c r="W602" s="773" t="str">
        <f t="shared" si="16"/>
        <v>O</v>
      </c>
    </row>
    <row r="603" spans="1:23">
      <c r="A603" s="27">
        <v>44620</v>
      </c>
      <c r="B603" s="773" t="s">
        <v>140</v>
      </c>
      <c r="C603" s="773">
        <v>639</v>
      </c>
      <c r="D603" s="773">
        <v>97</v>
      </c>
      <c r="E603" s="773" t="s">
        <v>410</v>
      </c>
      <c r="S603" s="27">
        <v>44135</v>
      </c>
      <c r="T603" s="773" t="s">
        <v>132</v>
      </c>
      <c r="U603" s="773">
        <v>83</v>
      </c>
      <c r="V603" s="773">
        <v>2204</v>
      </c>
      <c r="W603" s="773" t="str">
        <f t="shared" si="16"/>
        <v>N</v>
      </c>
    </row>
    <row r="604" spans="1:23">
      <c r="A604" s="27">
        <v>44255</v>
      </c>
      <c r="B604" s="773" t="s">
        <v>140</v>
      </c>
      <c r="C604" s="773">
        <v>0</v>
      </c>
      <c r="D604" s="773">
        <v>8</v>
      </c>
      <c r="E604" s="773" t="s">
        <v>410</v>
      </c>
      <c r="S604" s="27">
        <v>44500</v>
      </c>
      <c r="T604" s="773" t="s">
        <v>132</v>
      </c>
      <c r="U604" s="773">
        <v>140</v>
      </c>
      <c r="V604" s="773">
        <v>230</v>
      </c>
      <c r="W604" s="773" t="str">
        <f t="shared" si="16"/>
        <v>N</v>
      </c>
    </row>
    <row r="605" spans="1:23">
      <c r="A605" s="27">
        <v>44620</v>
      </c>
      <c r="B605" s="773" t="s">
        <v>140</v>
      </c>
      <c r="C605" s="773">
        <v>659</v>
      </c>
      <c r="D605" s="773">
        <v>569</v>
      </c>
      <c r="E605" s="773" t="s">
        <v>390</v>
      </c>
      <c r="S605" s="27">
        <v>44500</v>
      </c>
      <c r="T605" s="773" t="s">
        <v>132</v>
      </c>
      <c r="U605" s="773">
        <v>120</v>
      </c>
      <c r="V605" s="773">
        <v>3</v>
      </c>
      <c r="W605" s="773" t="str">
        <f t="shared" si="16"/>
        <v>O</v>
      </c>
    </row>
    <row r="606" spans="1:23">
      <c r="A606" s="27">
        <v>44620</v>
      </c>
      <c r="B606" s="773" t="s">
        <v>140</v>
      </c>
      <c r="C606" s="773">
        <v>540</v>
      </c>
      <c r="D606" s="773">
        <v>1</v>
      </c>
      <c r="E606" s="773" t="s">
        <v>410</v>
      </c>
      <c r="S606" s="27">
        <v>44135</v>
      </c>
      <c r="T606" s="773" t="s">
        <v>132</v>
      </c>
      <c r="U606" s="773">
        <v>271</v>
      </c>
      <c r="V606" s="773">
        <v>2416</v>
      </c>
      <c r="W606" s="773" t="str">
        <f t="shared" si="16"/>
        <v>N</v>
      </c>
    </row>
    <row r="607" spans="1:23">
      <c r="A607" s="27">
        <v>44620</v>
      </c>
      <c r="B607" s="773" t="s">
        <v>140</v>
      </c>
      <c r="C607" s="773">
        <v>601</v>
      </c>
      <c r="D607" s="773">
        <v>3</v>
      </c>
      <c r="E607" s="773" t="s">
        <v>410</v>
      </c>
      <c r="S607" s="27">
        <v>44500</v>
      </c>
      <c r="T607" s="773" t="s">
        <v>132</v>
      </c>
      <c r="U607" s="773">
        <v>672</v>
      </c>
      <c r="V607" s="773">
        <v>2410</v>
      </c>
      <c r="W607" s="773" t="str">
        <f t="shared" si="16"/>
        <v>N</v>
      </c>
    </row>
    <row r="608" spans="1:23">
      <c r="A608" s="27">
        <v>44255</v>
      </c>
      <c r="B608" s="773" t="s">
        <v>140</v>
      </c>
      <c r="C608" s="773">
        <v>705</v>
      </c>
      <c r="D608" s="773">
        <v>1</v>
      </c>
      <c r="E608" s="773" t="s">
        <v>410</v>
      </c>
      <c r="S608" s="27">
        <v>44500</v>
      </c>
      <c r="T608" s="773" t="s">
        <v>132</v>
      </c>
      <c r="U608" s="773">
        <v>665</v>
      </c>
      <c r="V608" s="773">
        <v>2784</v>
      </c>
      <c r="W608" s="773" t="str">
        <f t="shared" si="16"/>
        <v>N</v>
      </c>
    </row>
    <row r="609" spans="1:23">
      <c r="A609" s="27">
        <v>44255</v>
      </c>
      <c r="B609" s="773" t="s">
        <v>140</v>
      </c>
      <c r="C609" s="773">
        <v>678</v>
      </c>
      <c r="D609" s="773">
        <v>2379</v>
      </c>
      <c r="E609" s="773" t="s">
        <v>390</v>
      </c>
      <c r="S609" s="27">
        <v>44135</v>
      </c>
      <c r="T609" s="773" t="s">
        <v>132</v>
      </c>
      <c r="U609" s="773">
        <v>202</v>
      </c>
      <c r="V609" s="773">
        <v>1</v>
      </c>
      <c r="W609" s="773" t="str">
        <f t="shared" si="16"/>
        <v>O</v>
      </c>
    </row>
    <row r="610" spans="1:23">
      <c r="A610" s="27">
        <v>44620</v>
      </c>
      <c r="B610" s="773" t="s">
        <v>140</v>
      </c>
      <c r="C610" s="773">
        <v>648</v>
      </c>
      <c r="D610" s="773">
        <v>1343</v>
      </c>
      <c r="E610" s="773" t="s">
        <v>390</v>
      </c>
      <c r="S610" s="27">
        <v>44500</v>
      </c>
      <c r="T610" s="773" t="s">
        <v>132</v>
      </c>
      <c r="U610" s="773">
        <v>161</v>
      </c>
      <c r="V610" s="773">
        <v>6</v>
      </c>
      <c r="W610" s="773" t="str">
        <f t="shared" si="16"/>
        <v>O</v>
      </c>
    </row>
    <row r="611" spans="1:23">
      <c r="A611" s="27">
        <v>44255</v>
      </c>
      <c r="B611" s="773" t="s">
        <v>140</v>
      </c>
      <c r="C611" s="773">
        <v>478</v>
      </c>
      <c r="D611" s="773">
        <v>2262</v>
      </c>
      <c r="E611" s="773" t="s">
        <v>390</v>
      </c>
      <c r="S611" s="27">
        <v>44135</v>
      </c>
      <c r="T611" s="773" t="s">
        <v>132</v>
      </c>
      <c r="U611" s="773">
        <v>243</v>
      </c>
      <c r="V611" s="773">
        <v>645</v>
      </c>
      <c r="W611" s="773" t="str">
        <f t="shared" si="16"/>
        <v>N</v>
      </c>
    </row>
    <row r="612" spans="1:23">
      <c r="A612" s="27">
        <v>44620</v>
      </c>
      <c r="B612" s="773" t="s">
        <v>140</v>
      </c>
      <c r="C612" s="773">
        <v>608</v>
      </c>
      <c r="D612" s="773">
        <v>2673</v>
      </c>
      <c r="E612" s="773" t="s">
        <v>390</v>
      </c>
      <c r="S612" s="27">
        <v>44135</v>
      </c>
      <c r="T612" s="773" t="s">
        <v>132</v>
      </c>
      <c r="U612" s="773">
        <v>672</v>
      </c>
      <c r="V612" s="773">
        <v>2119</v>
      </c>
      <c r="W612" s="773" t="str">
        <f t="shared" si="16"/>
        <v>N</v>
      </c>
    </row>
    <row r="613" spans="1:23">
      <c r="A613" s="27">
        <v>44255</v>
      </c>
      <c r="B613" s="773" t="s">
        <v>140</v>
      </c>
      <c r="C613" s="773">
        <v>279</v>
      </c>
      <c r="D613" s="773">
        <v>1</v>
      </c>
      <c r="E613" s="773" t="s">
        <v>410</v>
      </c>
      <c r="S613" s="27">
        <v>44500</v>
      </c>
      <c r="T613" s="773" t="s">
        <v>132</v>
      </c>
      <c r="U613" s="773">
        <v>241</v>
      </c>
      <c r="V613" s="773">
        <v>27</v>
      </c>
      <c r="W613" s="773" t="str">
        <f t="shared" si="16"/>
        <v>O</v>
      </c>
    </row>
    <row r="614" spans="1:23">
      <c r="A614" s="27">
        <v>44255</v>
      </c>
      <c r="B614" s="773" t="s">
        <v>140</v>
      </c>
      <c r="C614" s="773">
        <v>248</v>
      </c>
      <c r="D614" s="773">
        <v>440</v>
      </c>
      <c r="E614" s="773" t="s">
        <v>390</v>
      </c>
      <c r="S614" s="27">
        <v>44500</v>
      </c>
      <c r="T614" s="773" t="s">
        <v>132</v>
      </c>
      <c r="U614" s="773">
        <v>56</v>
      </c>
      <c r="V614" s="773">
        <v>44</v>
      </c>
      <c r="W614" s="773" t="str">
        <f t="shared" si="16"/>
        <v>O</v>
      </c>
    </row>
    <row r="615" spans="1:23">
      <c r="A615" s="27">
        <v>44620</v>
      </c>
      <c r="B615" s="773" t="s">
        <v>140</v>
      </c>
      <c r="C615" s="773">
        <v>478</v>
      </c>
      <c r="D615" s="773">
        <v>4203</v>
      </c>
      <c r="E615" s="773" t="s">
        <v>390</v>
      </c>
      <c r="S615" s="27">
        <v>44500</v>
      </c>
      <c r="T615" s="773" t="s">
        <v>132</v>
      </c>
      <c r="U615" s="773">
        <v>52</v>
      </c>
      <c r="V615" s="773">
        <v>2</v>
      </c>
      <c r="W615" s="773" t="str">
        <f t="shared" si="16"/>
        <v>O</v>
      </c>
    </row>
    <row r="616" spans="1:23">
      <c r="A616" s="27">
        <v>44620</v>
      </c>
      <c r="B616" s="773" t="s">
        <v>140</v>
      </c>
      <c r="C616" s="773">
        <v>691</v>
      </c>
      <c r="D616" s="773">
        <v>216</v>
      </c>
      <c r="E616" s="773" t="s">
        <v>390</v>
      </c>
      <c r="S616" s="27">
        <v>44500</v>
      </c>
      <c r="T616" s="773" t="s">
        <v>132</v>
      </c>
      <c r="U616" s="773">
        <v>239</v>
      </c>
      <c r="V616" s="773">
        <v>3361</v>
      </c>
      <c r="W616" s="773" t="str">
        <f t="shared" si="16"/>
        <v>N</v>
      </c>
    </row>
    <row r="617" spans="1:23">
      <c r="A617" s="27">
        <v>44620</v>
      </c>
      <c r="B617" s="773" t="s">
        <v>140</v>
      </c>
      <c r="C617" s="773">
        <v>585</v>
      </c>
      <c r="D617" s="773">
        <v>3048</v>
      </c>
      <c r="E617" s="773" t="s">
        <v>390</v>
      </c>
      <c r="S617" s="27">
        <v>44135</v>
      </c>
      <c r="T617" s="773" t="s">
        <v>132</v>
      </c>
      <c r="U617" s="773">
        <v>182</v>
      </c>
      <c r="V617" s="773">
        <v>1001</v>
      </c>
      <c r="W617" s="773" t="str">
        <f t="shared" si="16"/>
        <v>N</v>
      </c>
    </row>
    <row r="618" spans="1:23">
      <c r="A618" s="27">
        <v>44255</v>
      </c>
      <c r="B618" s="773" t="s">
        <v>140</v>
      </c>
      <c r="C618" s="773">
        <v>582</v>
      </c>
      <c r="D618" s="773">
        <v>2813</v>
      </c>
      <c r="E618" s="773" t="s">
        <v>390</v>
      </c>
      <c r="S618" s="27">
        <v>44500</v>
      </c>
      <c r="T618" s="773" t="s">
        <v>132</v>
      </c>
      <c r="U618" s="773">
        <v>306</v>
      </c>
      <c r="V618" s="773">
        <v>2301</v>
      </c>
      <c r="W618" s="773" t="str">
        <f t="shared" si="16"/>
        <v>N</v>
      </c>
    </row>
    <row r="619" spans="1:23">
      <c r="A619" s="27">
        <v>44620</v>
      </c>
      <c r="B619" s="773" t="s">
        <v>140</v>
      </c>
      <c r="C619" s="773">
        <v>558</v>
      </c>
      <c r="D619" s="773">
        <v>1274</v>
      </c>
      <c r="E619" s="773" t="s">
        <v>390</v>
      </c>
      <c r="S619" s="27">
        <v>44135</v>
      </c>
      <c r="T619" s="773" t="s">
        <v>132</v>
      </c>
      <c r="U619" s="773">
        <v>688</v>
      </c>
      <c r="V619" s="773">
        <v>2385</v>
      </c>
      <c r="W619" s="773" t="str">
        <f t="shared" si="16"/>
        <v>N</v>
      </c>
    </row>
    <row r="620" spans="1:23">
      <c r="A620" s="27">
        <v>44620</v>
      </c>
      <c r="B620" s="773" t="s">
        <v>140</v>
      </c>
      <c r="C620" s="773">
        <v>548</v>
      </c>
      <c r="D620" s="773">
        <v>554</v>
      </c>
      <c r="E620" s="773" t="s">
        <v>390</v>
      </c>
      <c r="S620" s="27">
        <v>44135</v>
      </c>
      <c r="T620" s="773" t="s">
        <v>132</v>
      </c>
      <c r="U620" s="773">
        <v>262</v>
      </c>
      <c r="V620" s="773">
        <v>82</v>
      </c>
      <c r="W620" s="773" t="str">
        <f t="shared" si="16"/>
        <v>O</v>
      </c>
    </row>
    <row r="621" spans="1:23">
      <c r="A621" s="27">
        <v>44255</v>
      </c>
      <c r="B621" s="773" t="s">
        <v>140</v>
      </c>
      <c r="C621" s="773">
        <v>585</v>
      </c>
      <c r="D621" s="773">
        <v>2550</v>
      </c>
      <c r="E621" s="773" t="s">
        <v>390</v>
      </c>
      <c r="S621" s="27">
        <v>44500</v>
      </c>
      <c r="T621" s="773" t="s">
        <v>132</v>
      </c>
      <c r="U621" s="773">
        <v>662</v>
      </c>
      <c r="V621" s="773">
        <v>833</v>
      </c>
      <c r="W621" s="773" t="str">
        <f t="shared" si="16"/>
        <v>N</v>
      </c>
    </row>
    <row r="622" spans="1:23">
      <c r="A622" s="27">
        <v>44620</v>
      </c>
      <c r="B622" s="773" t="s">
        <v>140</v>
      </c>
      <c r="C622" s="773">
        <v>359</v>
      </c>
      <c r="D622" s="773">
        <v>647</v>
      </c>
      <c r="E622" s="773" t="s">
        <v>390</v>
      </c>
      <c r="S622" s="27">
        <v>44135</v>
      </c>
      <c r="T622" s="773" t="s">
        <v>132</v>
      </c>
      <c r="U622" s="773">
        <v>653</v>
      </c>
      <c r="V622" s="773">
        <v>2311</v>
      </c>
      <c r="W622" s="773" t="str">
        <f t="shared" si="16"/>
        <v>N</v>
      </c>
    </row>
    <row r="623" spans="1:23">
      <c r="A623" s="27">
        <v>44255</v>
      </c>
      <c r="B623" s="773" t="s">
        <v>140</v>
      </c>
      <c r="C623" s="773">
        <v>198</v>
      </c>
      <c r="D623" s="773">
        <v>6</v>
      </c>
      <c r="E623" s="773" t="s">
        <v>410</v>
      </c>
      <c r="S623" s="27">
        <v>44135</v>
      </c>
      <c r="T623" s="773" t="s">
        <v>132</v>
      </c>
      <c r="U623" s="773">
        <v>528</v>
      </c>
      <c r="V623" s="773">
        <v>44</v>
      </c>
      <c r="W623" s="773" t="str">
        <f t="shared" si="16"/>
        <v>O</v>
      </c>
    </row>
    <row r="624" spans="1:23">
      <c r="A624" s="27">
        <v>44255</v>
      </c>
      <c r="B624" s="773" t="s">
        <v>140</v>
      </c>
      <c r="C624" s="773">
        <v>610</v>
      </c>
      <c r="D624" s="773">
        <v>3184</v>
      </c>
      <c r="E624" s="773" t="s">
        <v>390</v>
      </c>
      <c r="S624" s="27">
        <v>44500</v>
      </c>
      <c r="T624" s="773" t="s">
        <v>132</v>
      </c>
      <c r="U624" s="773">
        <v>136</v>
      </c>
      <c r="V624" s="773">
        <v>92</v>
      </c>
      <c r="W624" s="773" t="str">
        <f t="shared" si="16"/>
        <v>O</v>
      </c>
    </row>
    <row r="625" spans="1:23">
      <c r="A625" s="27">
        <v>44255</v>
      </c>
      <c r="B625" s="773" t="s">
        <v>140</v>
      </c>
      <c r="C625" s="773">
        <v>521</v>
      </c>
      <c r="D625" s="773">
        <v>15</v>
      </c>
      <c r="E625" s="773" t="s">
        <v>410</v>
      </c>
      <c r="S625" s="27">
        <v>44135</v>
      </c>
      <c r="T625" s="773" t="s">
        <v>132</v>
      </c>
      <c r="U625" s="773">
        <v>681</v>
      </c>
      <c r="V625" s="773">
        <v>839</v>
      </c>
      <c r="W625" s="773" t="str">
        <f t="shared" si="16"/>
        <v>N</v>
      </c>
    </row>
    <row r="626" spans="1:23">
      <c r="A626" s="27">
        <v>44620</v>
      </c>
      <c r="B626" s="773" t="s">
        <v>140</v>
      </c>
      <c r="C626" s="773">
        <v>742</v>
      </c>
      <c r="D626" s="773">
        <v>1</v>
      </c>
      <c r="E626" s="773" t="s">
        <v>410</v>
      </c>
      <c r="S626" s="27">
        <v>44135</v>
      </c>
      <c r="T626" s="773" t="s">
        <v>132</v>
      </c>
      <c r="U626" s="773">
        <v>272</v>
      </c>
      <c r="V626" s="773">
        <v>1</v>
      </c>
      <c r="W626" s="773" t="str">
        <f t="shared" si="16"/>
        <v>O</v>
      </c>
    </row>
    <row r="627" spans="1:23">
      <c r="A627" s="27">
        <v>44620</v>
      </c>
      <c r="B627" s="773" t="s">
        <v>140</v>
      </c>
      <c r="C627" s="773">
        <v>678</v>
      </c>
      <c r="D627" s="773">
        <v>2314</v>
      </c>
      <c r="E627" s="773" t="s">
        <v>390</v>
      </c>
      <c r="S627" s="27">
        <v>44500</v>
      </c>
      <c r="T627" s="773" t="s">
        <v>132</v>
      </c>
      <c r="U627" s="773">
        <v>688</v>
      </c>
      <c r="V627" s="773">
        <v>2907</v>
      </c>
      <c r="W627" s="773" t="str">
        <f t="shared" si="16"/>
        <v>N</v>
      </c>
    </row>
    <row r="628" spans="1:23">
      <c r="A628" s="27">
        <v>44620</v>
      </c>
      <c r="B628" s="773" t="s">
        <v>140</v>
      </c>
      <c r="C628" s="773">
        <v>449</v>
      </c>
      <c r="D628" s="773">
        <v>1860</v>
      </c>
      <c r="E628" s="773" t="s">
        <v>390</v>
      </c>
      <c r="S628" s="27">
        <v>44500</v>
      </c>
      <c r="T628" s="773" t="s">
        <v>132</v>
      </c>
      <c r="U628" s="773">
        <v>291</v>
      </c>
      <c r="V628" s="773">
        <v>2062</v>
      </c>
      <c r="W628" s="773" t="str">
        <f t="shared" si="16"/>
        <v>N</v>
      </c>
    </row>
    <row r="629" spans="1:23">
      <c r="A629" s="27">
        <v>44255</v>
      </c>
      <c r="B629" s="773" t="s">
        <v>140</v>
      </c>
      <c r="C629" s="773">
        <v>597</v>
      </c>
      <c r="D629" s="773">
        <v>1151</v>
      </c>
      <c r="E629" s="773" t="s">
        <v>390</v>
      </c>
      <c r="S629" s="27">
        <v>44500</v>
      </c>
      <c r="T629" s="773" t="s">
        <v>132</v>
      </c>
      <c r="U629" s="773">
        <v>259</v>
      </c>
      <c r="V629" s="773">
        <v>1</v>
      </c>
      <c r="W629" s="773" t="str">
        <f t="shared" si="16"/>
        <v>O</v>
      </c>
    </row>
    <row r="630" spans="1:23">
      <c r="A630" s="27">
        <v>44620</v>
      </c>
      <c r="B630" s="773" t="s">
        <v>140</v>
      </c>
      <c r="C630" s="773">
        <v>628</v>
      </c>
      <c r="D630" s="773">
        <v>1620</v>
      </c>
      <c r="E630" s="773" t="s">
        <v>390</v>
      </c>
      <c r="S630" s="27">
        <v>44135</v>
      </c>
      <c r="T630" s="773" t="s">
        <v>132</v>
      </c>
      <c r="U630" s="773">
        <v>684</v>
      </c>
      <c r="V630" s="773">
        <v>2777</v>
      </c>
      <c r="W630" s="773" t="str">
        <f t="shared" si="16"/>
        <v>N</v>
      </c>
    </row>
    <row r="631" spans="1:23">
      <c r="A631" s="27">
        <v>44255</v>
      </c>
      <c r="B631" s="773" t="s">
        <v>140</v>
      </c>
      <c r="C631" s="773">
        <v>346</v>
      </c>
      <c r="D631" s="773">
        <v>1</v>
      </c>
      <c r="E631" s="773" t="s">
        <v>410</v>
      </c>
      <c r="S631" s="27">
        <v>44135</v>
      </c>
      <c r="T631" s="773" t="s">
        <v>132</v>
      </c>
      <c r="U631" s="773">
        <v>241</v>
      </c>
      <c r="V631" s="773">
        <v>15</v>
      </c>
      <c r="W631" s="773" t="str">
        <f t="shared" si="16"/>
        <v>O</v>
      </c>
    </row>
    <row r="632" spans="1:23">
      <c r="A632" s="27">
        <v>44255</v>
      </c>
      <c r="B632" s="773" t="s">
        <v>140</v>
      </c>
      <c r="C632" s="773">
        <v>213</v>
      </c>
      <c r="D632" s="773">
        <v>69</v>
      </c>
      <c r="E632" s="773" t="s">
        <v>410</v>
      </c>
      <c r="S632" s="27">
        <v>44500</v>
      </c>
      <c r="T632" s="773" t="s">
        <v>132</v>
      </c>
      <c r="U632" s="773">
        <v>193</v>
      </c>
      <c r="V632" s="773">
        <v>419</v>
      </c>
      <c r="W632" s="773" t="str">
        <f t="shared" si="16"/>
        <v>N</v>
      </c>
    </row>
    <row r="633" spans="1:23">
      <c r="A633" s="27">
        <v>44620</v>
      </c>
      <c r="B633" s="773" t="s">
        <v>140</v>
      </c>
      <c r="C633" s="773">
        <v>279</v>
      </c>
      <c r="D633" s="773">
        <v>1</v>
      </c>
      <c r="E633" s="773" t="s">
        <v>410</v>
      </c>
      <c r="S633" s="27">
        <v>44135</v>
      </c>
      <c r="T633" s="773" t="s">
        <v>132</v>
      </c>
      <c r="U633" s="773">
        <v>999</v>
      </c>
      <c r="V633" s="773">
        <v>1</v>
      </c>
      <c r="W633" s="773" t="str">
        <f t="shared" si="16"/>
        <v>O</v>
      </c>
    </row>
    <row r="634" spans="1:23">
      <c r="A634" s="27">
        <v>44255</v>
      </c>
      <c r="B634" s="773" t="s">
        <v>140</v>
      </c>
      <c r="C634" s="773">
        <v>383</v>
      </c>
      <c r="D634" s="773">
        <v>3</v>
      </c>
      <c r="E634" s="773" t="s">
        <v>410</v>
      </c>
      <c r="S634" s="27">
        <v>44500</v>
      </c>
      <c r="T634" s="773" t="s">
        <v>132</v>
      </c>
      <c r="U634" s="773">
        <v>679</v>
      </c>
      <c r="V634" s="773">
        <v>3</v>
      </c>
      <c r="W634" s="773" t="str">
        <f t="shared" si="16"/>
        <v>O</v>
      </c>
    </row>
    <row r="635" spans="1:23">
      <c r="A635" s="27">
        <v>44620</v>
      </c>
      <c r="B635" s="773" t="s">
        <v>140</v>
      </c>
      <c r="C635" s="773">
        <v>346</v>
      </c>
      <c r="D635" s="773">
        <v>2</v>
      </c>
      <c r="E635" s="773" t="s">
        <v>410</v>
      </c>
      <c r="S635" s="27">
        <v>44500</v>
      </c>
      <c r="T635" s="773" t="s">
        <v>132</v>
      </c>
      <c r="U635" s="773">
        <v>237</v>
      </c>
      <c r="V635" s="773">
        <v>26</v>
      </c>
      <c r="W635" s="773" t="str">
        <f t="shared" si="16"/>
        <v>O</v>
      </c>
    </row>
    <row r="636" spans="1:23">
      <c r="A636" s="27">
        <v>44255</v>
      </c>
      <c r="B636" s="773" t="s">
        <v>140</v>
      </c>
      <c r="C636" s="773">
        <v>338</v>
      </c>
      <c r="D636" s="773">
        <v>3053</v>
      </c>
      <c r="E636" s="773" t="s">
        <v>390</v>
      </c>
      <c r="S636" s="27">
        <v>44500</v>
      </c>
      <c r="T636" s="773" t="s">
        <v>132</v>
      </c>
      <c r="U636" s="773">
        <v>523</v>
      </c>
      <c r="V636" s="773">
        <v>14</v>
      </c>
      <c r="W636" s="773" t="str">
        <f t="shared" si="16"/>
        <v>O</v>
      </c>
    </row>
    <row r="637" spans="1:23">
      <c r="A637" s="27">
        <v>44255</v>
      </c>
      <c r="B637" s="773" t="s">
        <v>140</v>
      </c>
      <c r="C637" s="773">
        <v>659</v>
      </c>
      <c r="D637" s="773">
        <v>664</v>
      </c>
      <c r="E637" s="773" t="s">
        <v>390</v>
      </c>
      <c r="S637" s="27">
        <v>44135</v>
      </c>
      <c r="T637" s="773" t="s">
        <v>132</v>
      </c>
      <c r="U637" s="773">
        <v>654</v>
      </c>
      <c r="V637" s="773">
        <v>2811</v>
      </c>
      <c r="W637" s="773" t="str">
        <f t="shared" si="16"/>
        <v>N</v>
      </c>
    </row>
    <row r="638" spans="1:23">
      <c r="A638" s="27">
        <v>44620</v>
      </c>
      <c r="B638" s="773" t="s">
        <v>140</v>
      </c>
      <c r="C638" s="773">
        <v>640</v>
      </c>
      <c r="D638" s="773">
        <v>3060</v>
      </c>
      <c r="E638" s="773" t="s">
        <v>390</v>
      </c>
      <c r="S638" s="27">
        <v>44500</v>
      </c>
      <c r="T638" s="773" t="s">
        <v>132</v>
      </c>
      <c r="U638" s="773">
        <v>257</v>
      </c>
      <c r="V638" s="773">
        <v>2595</v>
      </c>
      <c r="W638" s="773" t="str">
        <f t="shared" si="16"/>
        <v>N</v>
      </c>
    </row>
    <row r="639" spans="1:23">
      <c r="A639" s="27">
        <v>44620</v>
      </c>
      <c r="B639" s="773" t="s">
        <v>140</v>
      </c>
      <c r="C639" s="773">
        <v>469</v>
      </c>
      <c r="D639" s="773">
        <v>7</v>
      </c>
      <c r="E639" s="773" t="s">
        <v>410</v>
      </c>
      <c r="S639" s="27">
        <v>44135</v>
      </c>
      <c r="T639" s="773" t="s">
        <v>132</v>
      </c>
      <c r="U639" s="773">
        <v>148</v>
      </c>
      <c r="V639" s="773">
        <v>1</v>
      </c>
      <c r="W639" s="773" t="str">
        <f t="shared" si="16"/>
        <v>O</v>
      </c>
    </row>
    <row r="640" spans="1:23">
      <c r="A640" s="27">
        <v>44255</v>
      </c>
      <c r="B640" s="773" t="s">
        <v>140</v>
      </c>
      <c r="C640" s="773">
        <v>739</v>
      </c>
      <c r="D640" s="773">
        <v>1</v>
      </c>
      <c r="E640" s="773" t="s">
        <v>410</v>
      </c>
      <c r="S640" s="27">
        <v>44135</v>
      </c>
      <c r="T640" s="773" t="s">
        <v>132</v>
      </c>
      <c r="U640" s="773">
        <v>141</v>
      </c>
      <c r="V640" s="773">
        <v>2384</v>
      </c>
      <c r="W640" s="773" t="str">
        <f t="shared" si="16"/>
        <v>N</v>
      </c>
    </row>
    <row r="641" spans="1:23">
      <c r="A641" s="27">
        <v>44620</v>
      </c>
      <c r="B641" s="773" t="s">
        <v>140</v>
      </c>
      <c r="C641" s="773">
        <v>383</v>
      </c>
      <c r="D641" s="773">
        <v>2</v>
      </c>
      <c r="E641" s="773" t="s">
        <v>410</v>
      </c>
      <c r="S641" s="27">
        <v>44135</v>
      </c>
      <c r="T641" s="773" t="s">
        <v>132</v>
      </c>
      <c r="U641" s="773">
        <v>293</v>
      </c>
      <c r="V641" s="773">
        <v>551</v>
      </c>
      <c r="W641" s="773" t="str">
        <f t="shared" si="16"/>
        <v>N</v>
      </c>
    </row>
    <row r="642" spans="1:23">
      <c r="A642" s="27">
        <v>44620</v>
      </c>
      <c r="B642" s="773" t="s">
        <v>140</v>
      </c>
      <c r="C642" s="773">
        <v>370</v>
      </c>
      <c r="D642" s="773">
        <v>1</v>
      </c>
      <c r="E642" s="773" t="s">
        <v>410</v>
      </c>
      <c r="S642" s="27">
        <v>44500</v>
      </c>
      <c r="T642" s="773" t="s">
        <v>132</v>
      </c>
      <c r="U642" s="773">
        <v>164</v>
      </c>
      <c r="V642" s="773">
        <v>9</v>
      </c>
      <c r="W642" s="773" t="str">
        <f t="shared" si="16"/>
        <v>O</v>
      </c>
    </row>
    <row r="643" spans="1:23">
      <c r="A643" s="27">
        <v>44255</v>
      </c>
      <c r="B643" s="773" t="s">
        <v>140</v>
      </c>
      <c r="C643" s="773">
        <v>578</v>
      </c>
      <c r="D643" s="773">
        <v>2746</v>
      </c>
      <c r="E643" s="773" t="s">
        <v>390</v>
      </c>
      <c r="S643" s="27">
        <v>44500</v>
      </c>
      <c r="T643" s="773" t="s">
        <v>132</v>
      </c>
      <c r="U643" s="773">
        <v>162</v>
      </c>
      <c r="V643" s="773">
        <v>2495</v>
      </c>
      <c r="W643" s="773" t="str">
        <f t="shared" ref="W643:W706" si="17">+IF(V643&lt;100,"O","N")</f>
        <v>N</v>
      </c>
    </row>
    <row r="644" spans="1:23">
      <c r="A644" s="27">
        <v>44620</v>
      </c>
      <c r="B644" s="773" t="s">
        <v>140</v>
      </c>
      <c r="C644" s="773">
        <v>576</v>
      </c>
      <c r="D644" s="773">
        <v>246</v>
      </c>
      <c r="E644" s="773" t="s">
        <v>390</v>
      </c>
      <c r="S644" s="27">
        <v>44135</v>
      </c>
      <c r="T644" s="773" t="s">
        <v>132</v>
      </c>
      <c r="U644" s="773">
        <v>687</v>
      </c>
      <c r="V644" s="773">
        <v>470</v>
      </c>
      <c r="W644" s="773" t="str">
        <f t="shared" si="17"/>
        <v>N</v>
      </c>
    </row>
    <row r="645" spans="1:23">
      <c r="A645" s="27">
        <v>44620</v>
      </c>
      <c r="B645" s="773" t="s">
        <v>140</v>
      </c>
      <c r="C645" s="773">
        <v>524</v>
      </c>
      <c r="D645" s="773">
        <v>1112</v>
      </c>
      <c r="E645" s="773" t="s">
        <v>390</v>
      </c>
      <c r="S645" s="27">
        <v>44135</v>
      </c>
      <c r="T645" s="773" t="s">
        <v>132</v>
      </c>
      <c r="U645" s="773">
        <v>190</v>
      </c>
      <c r="V645" s="773">
        <v>6</v>
      </c>
      <c r="W645" s="773" t="str">
        <f t="shared" si="17"/>
        <v>O</v>
      </c>
    </row>
    <row r="646" spans="1:23">
      <c r="A646" s="27">
        <v>44620</v>
      </c>
      <c r="B646" s="773" t="s">
        <v>140</v>
      </c>
      <c r="C646" s="773">
        <v>379</v>
      </c>
      <c r="D646" s="773">
        <v>1</v>
      </c>
      <c r="E646" s="773" t="s">
        <v>410</v>
      </c>
      <c r="S646" s="27">
        <v>44500</v>
      </c>
      <c r="T646" s="773" t="s">
        <v>132</v>
      </c>
      <c r="U646" s="773">
        <v>133</v>
      </c>
      <c r="V646" s="773">
        <v>1</v>
      </c>
      <c r="W646" s="773" t="str">
        <f t="shared" si="17"/>
        <v>O</v>
      </c>
    </row>
    <row r="647" spans="1:23">
      <c r="A647" s="27">
        <v>44255</v>
      </c>
      <c r="B647" s="773" t="s">
        <v>140</v>
      </c>
      <c r="C647" s="773">
        <v>640</v>
      </c>
      <c r="D647" s="773">
        <v>3365</v>
      </c>
      <c r="E647" s="773" t="s">
        <v>390</v>
      </c>
      <c r="S647" s="27">
        <v>44500</v>
      </c>
      <c r="T647" s="773" t="s">
        <v>132</v>
      </c>
      <c r="U647" s="773">
        <v>173</v>
      </c>
      <c r="V647" s="773">
        <v>2</v>
      </c>
      <c r="W647" s="773" t="str">
        <f t="shared" si="17"/>
        <v>O</v>
      </c>
    </row>
    <row r="648" spans="1:23">
      <c r="A648" s="27">
        <v>44620</v>
      </c>
      <c r="B648" s="773" t="s">
        <v>140</v>
      </c>
      <c r="C648" s="773">
        <v>722</v>
      </c>
      <c r="D648" s="773">
        <v>1840</v>
      </c>
      <c r="E648" s="773" t="s">
        <v>390</v>
      </c>
      <c r="S648" s="27">
        <v>44500</v>
      </c>
      <c r="T648" s="773" t="s">
        <v>132</v>
      </c>
      <c r="U648" s="773">
        <v>701</v>
      </c>
      <c r="V648" s="773">
        <v>2119</v>
      </c>
      <c r="W648" s="773" t="str">
        <f t="shared" si="17"/>
        <v>N</v>
      </c>
    </row>
    <row r="649" spans="1:23">
      <c r="A649" s="27">
        <v>44620</v>
      </c>
      <c r="B649" s="773" t="s">
        <v>140</v>
      </c>
      <c r="C649" s="773">
        <v>485</v>
      </c>
      <c r="D649" s="773">
        <v>1184</v>
      </c>
      <c r="E649" s="773" t="s">
        <v>390</v>
      </c>
      <c r="S649" s="27">
        <v>44500</v>
      </c>
      <c r="T649" s="773" t="s">
        <v>132</v>
      </c>
      <c r="U649" s="773">
        <v>243</v>
      </c>
      <c r="V649" s="773">
        <v>643</v>
      </c>
      <c r="W649" s="773" t="str">
        <f t="shared" si="17"/>
        <v>N</v>
      </c>
    </row>
    <row r="650" spans="1:23">
      <c r="A650" s="27">
        <v>44255</v>
      </c>
      <c r="B650" s="773" t="s">
        <v>140</v>
      </c>
      <c r="C650" s="773">
        <v>727</v>
      </c>
      <c r="D650" s="773">
        <v>1228</v>
      </c>
      <c r="E650" s="773" t="s">
        <v>390</v>
      </c>
      <c r="S650" s="27">
        <v>44500</v>
      </c>
      <c r="T650" s="773" t="s">
        <v>132</v>
      </c>
      <c r="U650" s="773">
        <v>305</v>
      </c>
      <c r="V650" s="773">
        <v>3754</v>
      </c>
      <c r="W650" s="773" t="str">
        <f t="shared" si="17"/>
        <v>N</v>
      </c>
    </row>
    <row r="651" spans="1:23">
      <c r="A651" s="27">
        <v>44620</v>
      </c>
      <c r="B651" s="773" t="s">
        <v>140</v>
      </c>
      <c r="C651" s="773">
        <v>387</v>
      </c>
      <c r="D651" s="773">
        <v>9</v>
      </c>
      <c r="E651" s="773" t="s">
        <v>410</v>
      </c>
      <c r="S651" s="27">
        <v>44500</v>
      </c>
      <c r="T651" s="773" t="s">
        <v>132</v>
      </c>
      <c r="U651" s="773">
        <v>651</v>
      </c>
      <c r="V651" s="773">
        <v>309</v>
      </c>
      <c r="W651" s="773" t="str">
        <f t="shared" si="17"/>
        <v>N</v>
      </c>
    </row>
    <row r="652" spans="1:23">
      <c r="A652" s="27">
        <v>44255</v>
      </c>
      <c r="B652" s="773" t="s">
        <v>140</v>
      </c>
      <c r="C652" s="773">
        <v>639</v>
      </c>
      <c r="D652" s="773">
        <v>25</v>
      </c>
      <c r="E652" s="773" t="s">
        <v>410</v>
      </c>
      <c r="S652" s="27">
        <v>44135</v>
      </c>
      <c r="T652" s="773" t="s">
        <v>132</v>
      </c>
      <c r="U652" s="773">
        <v>251</v>
      </c>
      <c r="V652" s="773">
        <v>2520</v>
      </c>
      <c r="W652" s="773" t="str">
        <f t="shared" si="17"/>
        <v>N</v>
      </c>
    </row>
    <row r="653" spans="1:23">
      <c r="A653" s="27">
        <v>44255</v>
      </c>
      <c r="B653" s="773" t="s">
        <v>140</v>
      </c>
      <c r="C653" s="773">
        <v>674</v>
      </c>
      <c r="D653" s="773">
        <v>1605</v>
      </c>
      <c r="E653" s="773" t="s">
        <v>390</v>
      </c>
      <c r="S653" s="27">
        <v>44500</v>
      </c>
      <c r="T653" s="773" t="s">
        <v>132</v>
      </c>
      <c r="U653" s="773">
        <v>46</v>
      </c>
      <c r="V653" s="773">
        <v>2815</v>
      </c>
      <c r="W653" s="773" t="str">
        <f t="shared" si="17"/>
        <v>N</v>
      </c>
    </row>
    <row r="654" spans="1:23">
      <c r="A654" s="27">
        <v>44255</v>
      </c>
      <c r="B654" s="773" t="s">
        <v>140</v>
      </c>
      <c r="C654" s="773">
        <v>558</v>
      </c>
      <c r="D654" s="773">
        <v>1350</v>
      </c>
      <c r="E654" s="773" t="s">
        <v>390</v>
      </c>
      <c r="S654" s="27">
        <v>44500</v>
      </c>
      <c r="T654" s="773" t="s">
        <v>132</v>
      </c>
      <c r="U654" s="773">
        <v>111</v>
      </c>
      <c r="V654" s="773">
        <v>2</v>
      </c>
      <c r="W654" s="773" t="str">
        <f t="shared" si="17"/>
        <v>O</v>
      </c>
    </row>
    <row r="655" spans="1:23">
      <c r="A655" s="27">
        <v>44286</v>
      </c>
      <c r="B655" s="773" t="s">
        <v>140</v>
      </c>
      <c r="C655" s="773">
        <v>639</v>
      </c>
      <c r="D655" s="773">
        <v>34</v>
      </c>
      <c r="E655" s="773" t="s">
        <v>410</v>
      </c>
      <c r="S655" s="27">
        <v>44500</v>
      </c>
      <c r="T655" s="773" t="s">
        <v>132</v>
      </c>
      <c r="U655" s="773">
        <v>114</v>
      </c>
      <c r="V655" s="773">
        <v>1</v>
      </c>
      <c r="W655" s="773" t="str">
        <f t="shared" si="17"/>
        <v>O</v>
      </c>
    </row>
    <row r="656" spans="1:23">
      <c r="A656" s="27">
        <v>44286</v>
      </c>
      <c r="B656" s="773" t="s">
        <v>140</v>
      </c>
      <c r="C656" s="773">
        <v>574</v>
      </c>
      <c r="D656" s="773">
        <v>1562</v>
      </c>
      <c r="E656" s="773" t="s">
        <v>390</v>
      </c>
      <c r="S656" s="27">
        <v>44135</v>
      </c>
      <c r="T656" s="773" t="s">
        <v>132</v>
      </c>
      <c r="U656" s="773">
        <v>69</v>
      </c>
      <c r="V656" s="773">
        <v>1</v>
      </c>
      <c r="W656" s="773" t="str">
        <f t="shared" si="17"/>
        <v>O</v>
      </c>
    </row>
    <row r="657" spans="1:23">
      <c r="A657" s="27">
        <v>44286</v>
      </c>
      <c r="B657" s="773" t="s">
        <v>140</v>
      </c>
      <c r="C657" s="773">
        <v>493</v>
      </c>
      <c r="D657" s="773">
        <v>8</v>
      </c>
      <c r="E657" s="773" t="s">
        <v>410</v>
      </c>
      <c r="S657" s="27">
        <v>44500</v>
      </c>
      <c r="T657" s="773" t="s">
        <v>132</v>
      </c>
      <c r="U657" s="773">
        <v>264</v>
      </c>
      <c r="V657" s="773">
        <v>927</v>
      </c>
      <c r="W657" s="773" t="str">
        <f t="shared" si="17"/>
        <v>N</v>
      </c>
    </row>
    <row r="658" spans="1:23">
      <c r="A658" s="27">
        <v>44651</v>
      </c>
      <c r="B658" s="773" t="s">
        <v>140</v>
      </c>
      <c r="C658" s="773">
        <v>346</v>
      </c>
      <c r="D658" s="773">
        <v>3</v>
      </c>
      <c r="E658" s="773" t="s">
        <v>410</v>
      </c>
      <c r="S658" s="27">
        <v>44135</v>
      </c>
      <c r="T658" s="773" t="s">
        <v>132</v>
      </c>
      <c r="U658" s="773">
        <v>238</v>
      </c>
      <c r="V658" s="773">
        <v>3</v>
      </c>
      <c r="W658" s="773" t="str">
        <f t="shared" si="17"/>
        <v>O</v>
      </c>
    </row>
    <row r="659" spans="1:23">
      <c r="A659" s="27">
        <v>44651</v>
      </c>
      <c r="B659" s="773" t="s">
        <v>140</v>
      </c>
      <c r="C659" s="773">
        <v>478</v>
      </c>
      <c r="D659" s="773">
        <v>2212</v>
      </c>
      <c r="E659" s="773" t="s">
        <v>390</v>
      </c>
      <c r="S659" s="27">
        <v>44500</v>
      </c>
      <c r="T659" s="773" t="s">
        <v>132</v>
      </c>
      <c r="U659" s="773">
        <v>141</v>
      </c>
      <c r="V659" s="773">
        <v>10</v>
      </c>
      <c r="W659" s="773" t="str">
        <f t="shared" si="17"/>
        <v>O</v>
      </c>
    </row>
    <row r="660" spans="1:23">
      <c r="A660" s="27">
        <v>44651</v>
      </c>
      <c r="B660" s="773" t="s">
        <v>140</v>
      </c>
      <c r="C660" s="773">
        <v>740</v>
      </c>
      <c r="D660" s="773">
        <v>598</v>
      </c>
      <c r="E660" s="773" t="s">
        <v>390</v>
      </c>
      <c r="S660" s="27">
        <v>44135</v>
      </c>
      <c r="T660" s="773" t="s">
        <v>132</v>
      </c>
      <c r="U660" s="773">
        <v>252</v>
      </c>
      <c r="V660" s="773">
        <v>1289</v>
      </c>
      <c r="W660" s="773" t="str">
        <f t="shared" si="17"/>
        <v>N</v>
      </c>
    </row>
    <row r="661" spans="1:23">
      <c r="A661" s="27">
        <v>44286</v>
      </c>
      <c r="B661" s="773" t="s">
        <v>140</v>
      </c>
      <c r="C661" s="773">
        <v>705</v>
      </c>
      <c r="D661" s="773">
        <v>1</v>
      </c>
      <c r="E661" s="773" t="s">
        <v>410</v>
      </c>
      <c r="S661" s="27">
        <v>44500</v>
      </c>
      <c r="T661" s="773" t="s">
        <v>132</v>
      </c>
      <c r="U661" s="773">
        <v>303</v>
      </c>
      <c r="V661" s="773">
        <v>2541</v>
      </c>
      <c r="W661" s="773" t="str">
        <f t="shared" si="17"/>
        <v>N</v>
      </c>
    </row>
    <row r="662" spans="1:23">
      <c r="A662" s="27">
        <v>44286</v>
      </c>
      <c r="B662" s="773" t="s">
        <v>140</v>
      </c>
      <c r="C662" s="773">
        <v>521</v>
      </c>
      <c r="D662" s="773">
        <v>15</v>
      </c>
      <c r="E662" s="773" t="s">
        <v>410</v>
      </c>
      <c r="S662" s="27">
        <v>44135</v>
      </c>
      <c r="T662" s="773" t="s">
        <v>132</v>
      </c>
      <c r="U662" s="773">
        <v>113</v>
      </c>
      <c r="V662" s="773">
        <v>2</v>
      </c>
      <c r="W662" s="773" t="str">
        <f t="shared" si="17"/>
        <v>O</v>
      </c>
    </row>
    <row r="663" spans="1:23">
      <c r="A663" s="27">
        <v>44286</v>
      </c>
      <c r="B663" s="773" t="s">
        <v>140</v>
      </c>
      <c r="C663" s="773">
        <v>727</v>
      </c>
      <c r="D663" s="773">
        <v>1234</v>
      </c>
      <c r="E663" s="773" t="s">
        <v>390</v>
      </c>
      <c r="S663" s="27">
        <v>44500</v>
      </c>
      <c r="T663" s="773" t="s">
        <v>132</v>
      </c>
      <c r="U663" s="773">
        <v>232</v>
      </c>
      <c r="V663" s="773">
        <v>122</v>
      </c>
      <c r="W663" s="773" t="str">
        <f t="shared" si="17"/>
        <v>N</v>
      </c>
    </row>
    <row r="664" spans="1:23">
      <c r="A664" s="27">
        <v>44651</v>
      </c>
      <c r="B664" s="773" t="s">
        <v>140</v>
      </c>
      <c r="C664" s="773">
        <v>485</v>
      </c>
      <c r="D664" s="773">
        <v>1177</v>
      </c>
      <c r="E664" s="773" t="s">
        <v>390</v>
      </c>
      <c r="S664" s="27">
        <v>44135</v>
      </c>
      <c r="T664" s="773" t="s">
        <v>132</v>
      </c>
      <c r="U664" s="773">
        <v>159</v>
      </c>
      <c r="V664" s="773">
        <v>3028</v>
      </c>
      <c r="W664" s="773" t="str">
        <f t="shared" si="17"/>
        <v>N</v>
      </c>
    </row>
    <row r="665" spans="1:23">
      <c r="A665" s="27">
        <v>44651</v>
      </c>
      <c r="B665" s="773" t="s">
        <v>140</v>
      </c>
      <c r="C665" s="773">
        <v>628</v>
      </c>
      <c r="D665" s="773">
        <v>1618</v>
      </c>
      <c r="E665" s="773" t="s">
        <v>390</v>
      </c>
      <c r="S665" s="27">
        <v>44500</v>
      </c>
      <c r="T665" s="773" t="s">
        <v>132</v>
      </c>
      <c r="U665" s="773">
        <v>686</v>
      </c>
      <c r="V665" s="773">
        <v>2438</v>
      </c>
      <c r="W665" s="773" t="str">
        <f t="shared" si="17"/>
        <v>N</v>
      </c>
    </row>
    <row r="666" spans="1:23">
      <c r="A666" s="27">
        <v>44286</v>
      </c>
      <c r="B666" s="773" t="s">
        <v>140</v>
      </c>
      <c r="C666" s="773">
        <v>610</v>
      </c>
      <c r="D666" s="773">
        <v>3153</v>
      </c>
      <c r="E666" s="773" t="s">
        <v>390</v>
      </c>
      <c r="S666" s="27">
        <v>44500</v>
      </c>
      <c r="T666" s="773" t="s">
        <v>132</v>
      </c>
      <c r="U666" s="773">
        <v>139</v>
      </c>
      <c r="V666" s="773">
        <v>3007</v>
      </c>
      <c r="W666" s="773" t="str">
        <f t="shared" si="17"/>
        <v>N</v>
      </c>
    </row>
    <row r="667" spans="1:23">
      <c r="A667" s="27">
        <v>44651</v>
      </c>
      <c r="B667" s="773" t="s">
        <v>140</v>
      </c>
      <c r="C667" s="773">
        <v>574</v>
      </c>
      <c r="D667" s="773">
        <v>1596</v>
      </c>
      <c r="E667" s="773" t="s">
        <v>390</v>
      </c>
      <c r="S667" s="27">
        <v>44500</v>
      </c>
      <c r="T667" s="773" t="s">
        <v>132</v>
      </c>
      <c r="U667" s="773">
        <v>276</v>
      </c>
      <c r="V667" s="773">
        <v>1</v>
      </c>
      <c r="W667" s="773" t="str">
        <f t="shared" si="17"/>
        <v>O</v>
      </c>
    </row>
    <row r="668" spans="1:23">
      <c r="A668" s="27">
        <v>44651</v>
      </c>
      <c r="B668" s="773" t="s">
        <v>140</v>
      </c>
      <c r="C668" s="773">
        <v>453</v>
      </c>
      <c r="D668" s="773">
        <v>2296</v>
      </c>
      <c r="E668" s="773" t="s">
        <v>390</v>
      </c>
      <c r="S668" s="27">
        <v>44135</v>
      </c>
      <c r="T668" s="773" t="s">
        <v>132</v>
      </c>
      <c r="U668" s="773">
        <v>64</v>
      </c>
      <c r="V668" s="773">
        <v>7</v>
      </c>
      <c r="W668" s="773" t="str">
        <f t="shared" si="17"/>
        <v>O</v>
      </c>
    </row>
    <row r="669" spans="1:23">
      <c r="A669" s="27">
        <v>44651</v>
      </c>
      <c r="B669" s="773" t="s">
        <v>140</v>
      </c>
      <c r="C669" s="773">
        <v>556</v>
      </c>
      <c r="D669" s="773">
        <v>2675</v>
      </c>
      <c r="E669" s="773" t="s">
        <v>390</v>
      </c>
      <c r="S669" s="27">
        <v>44500</v>
      </c>
      <c r="T669" s="773" t="s">
        <v>132</v>
      </c>
      <c r="U669" s="773">
        <v>158</v>
      </c>
      <c r="V669" s="773">
        <v>87</v>
      </c>
      <c r="W669" s="773" t="str">
        <f t="shared" si="17"/>
        <v>O</v>
      </c>
    </row>
    <row r="670" spans="1:23">
      <c r="A670" s="27">
        <v>44651</v>
      </c>
      <c r="B670" s="773" t="s">
        <v>140</v>
      </c>
      <c r="C670" s="773">
        <v>540</v>
      </c>
      <c r="D670" s="773">
        <v>1</v>
      </c>
      <c r="E670" s="773" t="s">
        <v>410</v>
      </c>
      <c r="S670" s="27">
        <v>44500</v>
      </c>
      <c r="T670" s="773" t="s">
        <v>132</v>
      </c>
      <c r="U670" s="773">
        <v>311</v>
      </c>
      <c r="V670" s="773">
        <v>2396</v>
      </c>
      <c r="W670" s="773" t="str">
        <f t="shared" si="17"/>
        <v>N</v>
      </c>
    </row>
    <row r="671" spans="1:23">
      <c r="A671" s="27">
        <v>44651</v>
      </c>
      <c r="B671" s="773" t="s">
        <v>140</v>
      </c>
      <c r="C671" s="773">
        <v>742</v>
      </c>
      <c r="D671" s="773">
        <v>1</v>
      </c>
      <c r="E671" s="773" t="s">
        <v>410</v>
      </c>
      <c r="S671" s="27">
        <v>44135</v>
      </c>
      <c r="T671" s="773" t="s">
        <v>132</v>
      </c>
      <c r="U671" s="773">
        <v>139</v>
      </c>
      <c r="V671" s="773">
        <v>2806</v>
      </c>
      <c r="W671" s="773" t="str">
        <f t="shared" si="17"/>
        <v>N</v>
      </c>
    </row>
    <row r="672" spans="1:23">
      <c r="A672" s="27">
        <v>44286</v>
      </c>
      <c r="B672" s="773" t="s">
        <v>140</v>
      </c>
      <c r="C672" s="773">
        <v>359</v>
      </c>
      <c r="D672" s="773">
        <v>575</v>
      </c>
      <c r="E672" s="773" t="s">
        <v>390</v>
      </c>
      <c r="S672" s="27">
        <v>44500</v>
      </c>
      <c r="T672" s="773" t="s">
        <v>132</v>
      </c>
      <c r="U672" s="773">
        <v>641</v>
      </c>
      <c r="V672" s="773">
        <v>2652</v>
      </c>
      <c r="W672" s="773" t="str">
        <f t="shared" si="17"/>
        <v>N</v>
      </c>
    </row>
    <row r="673" spans="1:23">
      <c r="A673" s="27">
        <v>44651</v>
      </c>
      <c r="B673" s="773" t="s">
        <v>140</v>
      </c>
      <c r="C673" s="773">
        <v>338</v>
      </c>
      <c r="D673" s="773">
        <v>2399</v>
      </c>
      <c r="E673" s="773" t="s">
        <v>390</v>
      </c>
      <c r="S673" s="27">
        <v>44135</v>
      </c>
      <c r="T673" s="773" t="s">
        <v>132</v>
      </c>
      <c r="U673" s="773">
        <v>237</v>
      </c>
      <c r="V673" s="773">
        <v>35</v>
      </c>
      <c r="W673" s="773" t="str">
        <f t="shared" si="17"/>
        <v>O</v>
      </c>
    </row>
    <row r="674" spans="1:23">
      <c r="A674" s="27">
        <v>44651</v>
      </c>
      <c r="B674" s="773" t="s">
        <v>140</v>
      </c>
      <c r="C674" s="773">
        <v>510</v>
      </c>
      <c r="D674" s="773">
        <v>938</v>
      </c>
      <c r="E674" s="773" t="s">
        <v>390</v>
      </c>
      <c r="S674" s="27">
        <v>44135</v>
      </c>
      <c r="T674" s="773" t="s">
        <v>132</v>
      </c>
      <c r="U674" s="773">
        <v>92</v>
      </c>
      <c r="V674" s="773">
        <v>2521</v>
      </c>
      <c r="W674" s="773" t="str">
        <f t="shared" si="17"/>
        <v>N</v>
      </c>
    </row>
    <row r="675" spans="1:23">
      <c r="A675" s="27">
        <v>44651</v>
      </c>
      <c r="B675" s="773" t="s">
        <v>140</v>
      </c>
      <c r="C675" s="773">
        <v>648</v>
      </c>
      <c r="D675" s="773">
        <v>1351</v>
      </c>
      <c r="E675" s="773" t="s">
        <v>390</v>
      </c>
      <c r="S675" s="27">
        <v>44135</v>
      </c>
      <c r="T675" s="773" t="s">
        <v>132</v>
      </c>
      <c r="U675" s="773">
        <v>305</v>
      </c>
      <c r="V675" s="773">
        <v>264</v>
      </c>
      <c r="W675" s="773" t="str">
        <f t="shared" si="17"/>
        <v>N</v>
      </c>
    </row>
    <row r="676" spans="1:23">
      <c r="A676" s="27">
        <v>44286</v>
      </c>
      <c r="B676" s="773" t="s">
        <v>140</v>
      </c>
      <c r="C676" s="773">
        <v>678</v>
      </c>
      <c r="D676" s="773">
        <v>2371</v>
      </c>
      <c r="E676" s="773" t="s">
        <v>390</v>
      </c>
      <c r="S676" s="27">
        <v>44500</v>
      </c>
      <c r="T676" s="773" t="s">
        <v>132</v>
      </c>
      <c r="U676" s="773">
        <v>245</v>
      </c>
      <c r="V676" s="773">
        <v>4708</v>
      </c>
      <c r="W676" s="773" t="str">
        <f t="shared" si="17"/>
        <v>N</v>
      </c>
    </row>
    <row r="677" spans="1:23">
      <c r="A677" s="27">
        <v>44286</v>
      </c>
      <c r="B677" s="773" t="s">
        <v>140</v>
      </c>
      <c r="C677" s="773">
        <v>712</v>
      </c>
      <c r="D677" s="773">
        <v>1</v>
      </c>
      <c r="E677" s="773" t="s">
        <v>410</v>
      </c>
      <c r="S677" s="27">
        <v>44500</v>
      </c>
      <c r="T677" s="773" t="s">
        <v>132</v>
      </c>
      <c r="U677" s="773">
        <v>304</v>
      </c>
      <c r="V677" s="773">
        <v>116</v>
      </c>
      <c r="W677" s="773" t="str">
        <f t="shared" si="17"/>
        <v>N</v>
      </c>
    </row>
    <row r="678" spans="1:23">
      <c r="A678" s="27">
        <v>44651</v>
      </c>
      <c r="B678" s="773" t="s">
        <v>140</v>
      </c>
      <c r="C678" s="773">
        <v>359</v>
      </c>
      <c r="D678" s="773">
        <v>653</v>
      </c>
      <c r="E678" s="773" t="s">
        <v>390</v>
      </c>
      <c r="S678" s="27">
        <v>44135</v>
      </c>
      <c r="T678" s="773" t="s">
        <v>132</v>
      </c>
      <c r="U678" s="773">
        <v>91</v>
      </c>
      <c r="V678" s="773">
        <v>2</v>
      </c>
      <c r="W678" s="773" t="str">
        <f t="shared" si="17"/>
        <v>O</v>
      </c>
    </row>
    <row r="679" spans="1:23">
      <c r="A679" s="27">
        <v>44286</v>
      </c>
      <c r="B679" s="773" t="s">
        <v>140</v>
      </c>
      <c r="C679" s="773">
        <v>485</v>
      </c>
      <c r="D679" s="773">
        <v>1802</v>
      </c>
      <c r="E679" s="773" t="s">
        <v>390</v>
      </c>
      <c r="S679" s="27">
        <v>44135</v>
      </c>
      <c r="T679" s="773" t="s">
        <v>132</v>
      </c>
      <c r="U679" s="773">
        <v>276</v>
      </c>
      <c r="V679" s="773">
        <v>1</v>
      </c>
      <c r="W679" s="773" t="str">
        <f t="shared" si="17"/>
        <v>O</v>
      </c>
    </row>
    <row r="680" spans="1:23">
      <c r="A680" s="27">
        <v>44286</v>
      </c>
      <c r="B680" s="773" t="s">
        <v>140</v>
      </c>
      <c r="C680" s="773">
        <v>383</v>
      </c>
      <c r="D680" s="773">
        <v>3</v>
      </c>
      <c r="E680" s="773" t="s">
        <v>410</v>
      </c>
      <c r="S680" s="27">
        <v>44500</v>
      </c>
      <c r="T680" s="773" t="s">
        <v>132</v>
      </c>
      <c r="U680" s="773">
        <v>681</v>
      </c>
      <c r="V680" s="773">
        <v>857</v>
      </c>
      <c r="W680" s="773" t="str">
        <f t="shared" si="17"/>
        <v>N</v>
      </c>
    </row>
    <row r="681" spans="1:23">
      <c r="A681" s="27">
        <v>44286</v>
      </c>
      <c r="B681" s="773" t="s">
        <v>140</v>
      </c>
      <c r="C681" s="773">
        <v>449</v>
      </c>
      <c r="D681" s="773">
        <v>2074</v>
      </c>
      <c r="E681" s="773" t="s">
        <v>390</v>
      </c>
      <c r="S681" s="27">
        <v>44500</v>
      </c>
      <c r="T681" s="773" t="s">
        <v>132</v>
      </c>
      <c r="U681" s="773">
        <v>101</v>
      </c>
      <c r="V681" s="773">
        <v>845</v>
      </c>
      <c r="W681" s="773" t="str">
        <f t="shared" si="17"/>
        <v>N</v>
      </c>
    </row>
    <row r="682" spans="1:23">
      <c r="A682" s="27">
        <v>44286</v>
      </c>
      <c r="B682" s="773" t="s">
        <v>140</v>
      </c>
      <c r="C682" s="773">
        <v>525</v>
      </c>
      <c r="D682" s="773">
        <v>3781</v>
      </c>
      <c r="E682" s="773" t="s">
        <v>390</v>
      </c>
      <c r="S682" s="27">
        <v>44500</v>
      </c>
      <c r="T682" s="773" t="s">
        <v>132</v>
      </c>
      <c r="U682" s="773">
        <v>69</v>
      </c>
      <c r="V682" s="773">
        <v>1</v>
      </c>
      <c r="W682" s="773" t="str">
        <f t="shared" si="17"/>
        <v>O</v>
      </c>
    </row>
    <row r="683" spans="1:23">
      <c r="A683" s="27">
        <v>44651</v>
      </c>
      <c r="B683" s="773" t="s">
        <v>140</v>
      </c>
      <c r="C683" s="773">
        <v>610</v>
      </c>
      <c r="D683" s="773">
        <v>3001</v>
      </c>
      <c r="E683" s="773" t="s">
        <v>390</v>
      </c>
      <c r="S683" s="27">
        <v>44135</v>
      </c>
      <c r="T683" s="773" t="s">
        <v>132</v>
      </c>
      <c r="U683" s="773">
        <v>231</v>
      </c>
      <c r="V683" s="773">
        <v>6</v>
      </c>
      <c r="W683" s="773" t="str">
        <f t="shared" si="17"/>
        <v>O</v>
      </c>
    </row>
    <row r="684" spans="1:23">
      <c r="A684" s="27">
        <v>44651</v>
      </c>
      <c r="B684" s="773" t="s">
        <v>140</v>
      </c>
      <c r="C684" s="773">
        <v>582</v>
      </c>
      <c r="D684" s="773">
        <v>2236</v>
      </c>
      <c r="E684" s="773" t="s">
        <v>390</v>
      </c>
      <c r="S684" s="27">
        <v>44500</v>
      </c>
      <c r="T684" s="773" t="s">
        <v>132</v>
      </c>
      <c r="U684" s="773">
        <v>650</v>
      </c>
      <c r="V684" s="773">
        <v>113</v>
      </c>
      <c r="W684" s="773" t="str">
        <f t="shared" si="17"/>
        <v>N</v>
      </c>
    </row>
    <row r="685" spans="1:23">
      <c r="A685" s="27">
        <v>44286</v>
      </c>
      <c r="B685" s="773" t="s">
        <v>140</v>
      </c>
      <c r="C685" s="773">
        <v>576</v>
      </c>
      <c r="D685" s="773">
        <v>246</v>
      </c>
      <c r="E685" s="773" t="s">
        <v>390</v>
      </c>
      <c r="S685" s="27">
        <v>44135</v>
      </c>
      <c r="T685" s="773" t="s">
        <v>132</v>
      </c>
      <c r="U685" s="773">
        <v>145</v>
      </c>
      <c r="V685" s="773">
        <v>1</v>
      </c>
      <c r="W685" s="773" t="str">
        <f t="shared" si="17"/>
        <v>O</v>
      </c>
    </row>
    <row r="686" spans="1:23">
      <c r="A686" s="27">
        <v>44651</v>
      </c>
      <c r="B686" s="773" t="s">
        <v>140</v>
      </c>
      <c r="C686" s="773">
        <v>594</v>
      </c>
      <c r="D686" s="773">
        <v>2651</v>
      </c>
      <c r="E686" s="773" t="s">
        <v>390</v>
      </c>
      <c r="S686" s="27">
        <v>44135</v>
      </c>
      <c r="T686" s="773" t="s">
        <v>132</v>
      </c>
      <c r="U686" s="773">
        <v>295</v>
      </c>
      <c r="V686" s="773">
        <v>3</v>
      </c>
      <c r="W686" s="773" t="str">
        <f t="shared" si="17"/>
        <v>O</v>
      </c>
    </row>
    <row r="687" spans="1:23">
      <c r="A687" s="27">
        <v>44651</v>
      </c>
      <c r="B687" s="773" t="s">
        <v>140</v>
      </c>
      <c r="C687" s="773">
        <v>719</v>
      </c>
      <c r="D687" s="773">
        <v>24</v>
      </c>
      <c r="E687" s="773" t="s">
        <v>410</v>
      </c>
      <c r="S687" s="27">
        <v>44500</v>
      </c>
      <c r="T687" s="773" t="s">
        <v>132</v>
      </c>
      <c r="U687" s="773">
        <v>93</v>
      </c>
      <c r="V687" s="773">
        <v>8380</v>
      </c>
      <c r="W687" s="773" t="str">
        <f t="shared" si="17"/>
        <v>N</v>
      </c>
    </row>
    <row r="688" spans="1:23">
      <c r="A688" s="27">
        <v>44651</v>
      </c>
      <c r="B688" s="773" t="s">
        <v>140</v>
      </c>
      <c r="C688" s="773">
        <v>758</v>
      </c>
      <c r="D688" s="773">
        <v>1</v>
      </c>
      <c r="E688" s="773" t="s">
        <v>410</v>
      </c>
      <c r="S688" s="27">
        <v>44135</v>
      </c>
      <c r="T688" s="773" t="s">
        <v>132</v>
      </c>
      <c r="U688" s="773">
        <v>303</v>
      </c>
      <c r="V688" s="773">
        <v>2479</v>
      </c>
      <c r="W688" s="773" t="str">
        <f t="shared" si="17"/>
        <v>N</v>
      </c>
    </row>
    <row r="689" spans="1:23">
      <c r="A689" s="27">
        <v>44651</v>
      </c>
      <c r="B689" s="773" t="s">
        <v>140</v>
      </c>
      <c r="C689" s="773">
        <v>722</v>
      </c>
      <c r="D689" s="773">
        <v>1837</v>
      </c>
      <c r="E689" s="773" t="s">
        <v>390</v>
      </c>
      <c r="S689" s="27">
        <v>44500</v>
      </c>
      <c r="T689" s="773" t="s">
        <v>132</v>
      </c>
      <c r="U689" s="773">
        <v>149</v>
      </c>
      <c r="V689" s="773">
        <v>1</v>
      </c>
      <c r="W689" s="773" t="str">
        <f t="shared" si="17"/>
        <v>O</v>
      </c>
    </row>
    <row r="690" spans="1:23">
      <c r="A690" s="27">
        <v>44651</v>
      </c>
      <c r="B690" s="773" t="s">
        <v>140</v>
      </c>
      <c r="C690" s="773">
        <v>597</v>
      </c>
      <c r="D690" s="773">
        <v>1185</v>
      </c>
      <c r="E690" s="773" t="s">
        <v>390</v>
      </c>
      <c r="S690" s="27">
        <v>44135</v>
      </c>
      <c r="T690" s="773" t="s">
        <v>132</v>
      </c>
      <c r="U690" s="773">
        <v>663</v>
      </c>
      <c r="V690" s="773">
        <v>1142</v>
      </c>
      <c r="W690" s="773" t="str">
        <f t="shared" si="17"/>
        <v>N</v>
      </c>
    </row>
    <row r="691" spans="1:23">
      <c r="A691" s="27">
        <v>44286</v>
      </c>
      <c r="B691" s="773" t="s">
        <v>140</v>
      </c>
      <c r="C691" s="773">
        <v>587</v>
      </c>
      <c r="D691" s="773">
        <v>1</v>
      </c>
      <c r="E691" s="773" t="s">
        <v>410</v>
      </c>
      <c r="S691" s="27">
        <v>44500</v>
      </c>
      <c r="T691" s="773" t="s">
        <v>132</v>
      </c>
      <c r="U691" s="773">
        <v>312</v>
      </c>
      <c r="V691" s="773">
        <v>2305</v>
      </c>
      <c r="W691" s="773" t="str">
        <f t="shared" si="17"/>
        <v>N</v>
      </c>
    </row>
    <row r="692" spans="1:23">
      <c r="A692" s="27">
        <v>44286</v>
      </c>
      <c r="B692" s="773" t="s">
        <v>140</v>
      </c>
      <c r="C692" s="773">
        <v>346</v>
      </c>
      <c r="D692" s="773">
        <v>1</v>
      </c>
      <c r="E692" s="773" t="s">
        <v>410</v>
      </c>
      <c r="S692" s="27">
        <v>44500</v>
      </c>
      <c r="T692" s="773" t="s">
        <v>132</v>
      </c>
      <c r="U692" s="773">
        <v>169</v>
      </c>
      <c r="V692" s="773">
        <v>2621</v>
      </c>
      <c r="W692" s="773" t="str">
        <f t="shared" si="17"/>
        <v>N</v>
      </c>
    </row>
    <row r="693" spans="1:23">
      <c r="A693" s="27">
        <v>44651</v>
      </c>
      <c r="B693" s="773" t="s">
        <v>140</v>
      </c>
      <c r="C693" s="773">
        <v>379</v>
      </c>
      <c r="D693" s="773">
        <v>1</v>
      </c>
      <c r="E693" s="773" t="s">
        <v>410</v>
      </c>
      <c r="S693" s="27">
        <v>44500</v>
      </c>
      <c r="T693" s="773" t="s">
        <v>132</v>
      </c>
      <c r="U693" s="773">
        <v>222</v>
      </c>
      <c r="V693" s="773">
        <v>2</v>
      </c>
      <c r="W693" s="773" t="str">
        <f t="shared" si="17"/>
        <v>O</v>
      </c>
    </row>
    <row r="694" spans="1:23">
      <c r="A694" s="27">
        <v>44286</v>
      </c>
      <c r="B694" s="773" t="s">
        <v>140</v>
      </c>
      <c r="C694" s="773">
        <v>447</v>
      </c>
      <c r="D694" s="773">
        <v>1</v>
      </c>
      <c r="E694" s="773" t="s">
        <v>410</v>
      </c>
      <c r="S694" s="27">
        <v>44135</v>
      </c>
      <c r="T694" s="773" t="s">
        <v>132</v>
      </c>
      <c r="U694" s="773">
        <v>309</v>
      </c>
      <c r="V694" s="773">
        <v>3</v>
      </c>
      <c r="W694" s="773" t="str">
        <f t="shared" si="17"/>
        <v>O</v>
      </c>
    </row>
    <row r="695" spans="1:23">
      <c r="A695" s="27">
        <v>44286</v>
      </c>
      <c r="B695" s="773" t="s">
        <v>140</v>
      </c>
      <c r="C695" s="773">
        <v>628</v>
      </c>
      <c r="D695" s="773">
        <v>1519</v>
      </c>
      <c r="E695" s="773" t="s">
        <v>390</v>
      </c>
      <c r="S695" s="27">
        <v>44135</v>
      </c>
      <c r="T695" s="773" t="s">
        <v>132</v>
      </c>
      <c r="U695" s="773">
        <v>680</v>
      </c>
      <c r="V695" s="773">
        <v>2585</v>
      </c>
      <c r="W695" s="773" t="str">
        <f t="shared" si="17"/>
        <v>N</v>
      </c>
    </row>
    <row r="696" spans="1:23">
      <c r="A696" s="27">
        <v>44286</v>
      </c>
      <c r="B696" s="773" t="s">
        <v>140</v>
      </c>
      <c r="C696" s="773">
        <v>578</v>
      </c>
      <c r="D696" s="773">
        <v>2744</v>
      </c>
      <c r="E696" s="773" t="s">
        <v>390</v>
      </c>
      <c r="S696" s="27">
        <v>44135</v>
      </c>
      <c r="T696" s="773" t="s">
        <v>132</v>
      </c>
      <c r="U696" s="773">
        <v>697</v>
      </c>
      <c r="V696" s="773">
        <v>53</v>
      </c>
      <c r="W696" s="773" t="str">
        <f t="shared" si="17"/>
        <v>O</v>
      </c>
    </row>
    <row r="697" spans="1:23">
      <c r="A697" s="27">
        <v>44286</v>
      </c>
      <c r="B697" s="773" t="s">
        <v>140</v>
      </c>
      <c r="C697" s="773">
        <v>248</v>
      </c>
      <c r="D697" s="773">
        <v>440</v>
      </c>
      <c r="E697" s="773" t="s">
        <v>390</v>
      </c>
      <c r="S697" s="27">
        <v>44500</v>
      </c>
      <c r="T697" s="773" t="s">
        <v>132</v>
      </c>
      <c r="U697" s="773">
        <v>105</v>
      </c>
      <c r="V697" s="773">
        <v>2</v>
      </c>
      <c r="W697" s="773" t="str">
        <f t="shared" si="17"/>
        <v>O</v>
      </c>
    </row>
    <row r="698" spans="1:23">
      <c r="A698" s="27">
        <v>44286</v>
      </c>
      <c r="B698" s="773" t="s">
        <v>140</v>
      </c>
      <c r="C698" s="773">
        <v>198</v>
      </c>
      <c r="D698" s="773">
        <v>6</v>
      </c>
      <c r="E698" s="773" t="s">
        <v>410</v>
      </c>
      <c r="S698" s="27">
        <v>44500</v>
      </c>
      <c r="T698" s="773" t="s">
        <v>132</v>
      </c>
      <c r="U698" s="773">
        <v>696</v>
      </c>
      <c r="V698" s="773">
        <v>2178</v>
      </c>
      <c r="W698" s="773" t="str">
        <f t="shared" si="17"/>
        <v>N</v>
      </c>
    </row>
    <row r="699" spans="1:23">
      <c r="A699" s="27">
        <v>44286</v>
      </c>
      <c r="B699" s="773" t="s">
        <v>140</v>
      </c>
      <c r="C699" s="773">
        <v>608</v>
      </c>
      <c r="D699" s="773">
        <v>2714</v>
      </c>
      <c r="E699" s="773" t="s">
        <v>390</v>
      </c>
      <c r="S699" s="27">
        <v>44500</v>
      </c>
      <c r="T699" s="773" t="s">
        <v>132</v>
      </c>
      <c r="U699" s="773">
        <v>704</v>
      </c>
      <c r="V699" s="773">
        <v>2203</v>
      </c>
      <c r="W699" s="773" t="str">
        <f t="shared" si="17"/>
        <v>N</v>
      </c>
    </row>
    <row r="700" spans="1:23">
      <c r="A700" s="27">
        <v>44651</v>
      </c>
      <c r="B700" s="773" t="s">
        <v>140</v>
      </c>
      <c r="C700" s="773">
        <v>630</v>
      </c>
      <c r="D700" s="773">
        <v>1</v>
      </c>
      <c r="E700" s="773" t="s">
        <v>410</v>
      </c>
      <c r="S700" s="27">
        <v>44135</v>
      </c>
      <c r="T700" s="773" t="s">
        <v>132</v>
      </c>
      <c r="U700" s="773">
        <v>102</v>
      </c>
      <c r="V700" s="773">
        <v>1</v>
      </c>
      <c r="W700" s="773" t="str">
        <f t="shared" si="17"/>
        <v>O</v>
      </c>
    </row>
    <row r="701" spans="1:23">
      <c r="A701" s="27">
        <v>44286</v>
      </c>
      <c r="B701" s="773" t="s">
        <v>140</v>
      </c>
      <c r="C701" s="773">
        <v>338</v>
      </c>
      <c r="D701" s="773">
        <v>2885</v>
      </c>
      <c r="E701" s="773" t="s">
        <v>390</v>
      </c>
      <c r="S701" s="27">
        <v>44500</v>
      </c>
      <c r="T701" s="773" t="s">
        <v>132</v>
      </c>
      <c r="U701" s="773">
        <v>89</v>
      </c>
      <c r="V701" s="773">
        <v>1138</v>
      </c>
      <c r="W701" s="773" t="str">
        <f t="shared" si="17"/>
        <v>N</v>
      </c>
    </row>
    <row r="702" spans="1:23">
      <c r="A702" s="27">
        <v>44651</v>
      </c>
      <c r="B702" s="773" t="s">
        <v>140</v>
      </c>
      <c r="C702" s="773">
        <v>576</v>
      </c>
      <c r="D702" s="773">
        <v>246</v>
      </c>
      <c r="E702" s="773" t="s">
        <v>390</v>
      </c>
      <c r="S702" s="27">
        <v>44500</v>
      </c>
      <c r="T702" s="773" t="s">
        <v>132</v>
      </c>
      <c r="U702" s="773">
        <v>78</v>
      </c>
      <c r="V702" s="773">
        <v>1</v>
      </c>
      <c r="W702" s="773" t="str">
        <f t="shared" si="17"/>
        <v>O</v>
      </c>
    </row>
    <row r="703" spans="1:23">
      <c r="A703" s="27">
        <v>44651</v>
      </c>
      <c r="B703" s="773" t="s">
        <v>140</v>
      </c>
      <c r="C703" s="773">
        <v>370</v>
      </c>
      <c r="D703" s="773">
        <v>2</v>
      </c>
      <c r="E703" s="773" t="s">
        <v>410</v>
      </c>
      <c r="S703" s="27">
        <v>44500</v>
      </c>
      <c r="T703" s="773" t="s">
        <v>132</v>
      </c>
      <c r="U703" s="773">
        <v>48</v>
      </c>
      <c r="V703" s="773">
        <v>769</v>
      </c>
      <c r="W703" s="773" t="str">
        <f t="shared" si="17"/>
        <v>N</v>
      </c>
    </row>
    <row r="704" spans="1:23">
      <c r="A704" s="27">
        <v>44651</v>
      </c>
      <c r="B704" s="773" t="s">
        <v>140</v>
      </c>
      <c r="C704" s="773">
        <v>585</v>
      </c>
      <c r="D704" s="773">
        <v>5019</v>
      </c>
      <c r="E704" s="773" t="s">
        <v>390</v>
      </c>
      <c r="S704" s="27">
        <v>44135</v>
      </c>
      <c r="T704" s="773" t="s">
        <v>132</v>
      </c>
      <c r="U704" s="773">
        <v>256</v>
      </c>
      <c r="V704" s="773">
        <v>2647</v>
      </c>
      <c r="W704" s="773" t="str">
        <f t="shared" si="17"/>
        <v>N</v>
      </c>
    </row>
    <row r="705" spans="1:23">
      <c r="A705" s="27">
        <v>44651</v>
      </c>
      <c r="B705" s="773" t="s">
        <v>140</v>
      </c>
      <c r="C705" s="773">
        <v>626</v>
      </c>
      <c r="D705" s="773">
        <v>2797</v>
      </c>
      <c r="E705" s="773" t="s">
        <v>390</v>
      </c>
      <c r="S705" s="27">
        <v>44135</v>
      </c>
      <c r="T705" s="773" t="s">
        <v>132</v>
      </c>
      <c r="U705" s="773">
        <v>162</v>
      </c>
      <c r="V705" s="773">
        <v>2567</v>
      </c>
      <c r="W705" s="773" t="str">
        <f t="shared" si="17"/>
        <v>N</v>
      </c>
    </row>
    <row r="706" spans="1:23">
      <c r="A706" s="27">
        <v>44651</v>
      </c>
      <c r="B706" s="773" t="s">
        <v>140</v>
      </c>
      <c r="C706" s="773">
        <v>525</v>
      </c>
      <c r="D706" s="773">
        <v>1</v>
      </c>
      <c r="E706" s="773" t="s">
        <v>410</v>
      </c>
      <c r="S706" s="27">
        <v>44135</v>
      </c>
      <c r="T706" s="773" t="s">
        <v>132</v>
      </c>
      <c r="U706" s="773">
        <v>658</v>
      </c>
      <c r="V706" s="773">
        <v>3175</v>
      </c>
      <c r="W706" s="773" t="str">
        <f t="shared" si="17"/>
        <v>N</v>
      </c>
    </row>
    <row r="707" spans="1:23">
      <c r="A707" s="27">
        <v>44286</v>
      </c>
      <c r="B707" s="773" t="s">
        <v>140</v>
      </c>
      <c r="C707" s="773">
        <v>370</v>
      </c>
      <c r="D707" s="773">
        <v>1</v>
      </c>
      <c r="E707" s="773" t="s">
        <v>410</v>
      </c>
      <c r="S707" s="27">
        <v>44135</v>
      </c>
      <c r="T707" s="773" t="s">
        <v>132</v>
      </c>
      <c r="U707" s="773">
        <v>651</v>
      </c>
      <c r="V707" s="773">
        <v>73</v>
      </c>
      <c r="W707" s="773" t="str">
        <f t="shared" ref="W707:W770" si="18">+IF(V707&lt;100,"O","N")</f>
        <v>O</v>
      </c>
    </row>
    <row r="708" spans="1:23">
      <c r="A708" s="27">
        <v>44651</v>
      </c>
      <c r="B708" s="773" t="s">
        <v>140</v>
      </c>
      <c r="C708" s="773">
        <v>502</v>
      </c>
      <c r="D708" s="773">
        <v>500</v>
      </c>
      <c r="E708" s="773" t="s">
        <v>390</v>
      </c>
      <c r="S708" s="27">
        <v>44500</v>
      </c>
      <c r="T708" s="773" t="s">
        <v>132</v>
      </c>
      <c r="U708" s="773">
        <v>663</v>
      </c>
      <c r="V708" s="773">
        <v>1089</v>
      </c>
      <c r="W708" s="773" t="str">
        <f t="shared" si="18"/>
        <v>N</v>
      </c>
    </row>
    <row r="709" spans="1:23">
      <c r="A709" s="27">
        <v>44286</v>
      </c>
      <c r="B709" s="773" t="s">
        <v>140</v>
      </c>
      <c r="C709" s="773">
        <v>691</v>
      </c>
      <c r="D709" s="773">
        <v>240</v>
      </c>
      <c r="E709" s="773" t="s">
        <v>390</v>
      </c>
      <c r="S709" s="27">
        <v>44135</v>
      </c>
      <c r="T709" s="773" t="s">
        <v>132</v>
      </c>
      <c r="U709" s="773">
        <v>233</v>
      </c>
      <c r="V709" s="773">
        <v>14014</v>
      </c>
      <c r="W709" s="773" t="str">
        <f t="shared" si="18"/>
        <v>N</v>
      </c>
    </row>
    <row r="710" spans="1:23">
      <c r="A710" s="27">
        <v>44651</v>
      </c>
      <c r="B710" s="773" t="s">
        <v>140</v>
      </c>
      <c r="C710" s="773">
        <v>691</v>
      </c>
      <c r="D710" s="773">
        <v>216</v>
      </c>
      <c r="E710" s="773" t="s">
        <v>390</v>
      </c>
      <c r="S710" s="27">
        <v>44135</v>
      </c>
      <c r="T710" s="773" t="s">
        <v>132</v>
      </c>
      <c r="U710" s="773">
        <v>665</v>
      </c>
      <c r="V710" s="773">
        <v>2650</v>
      </c>
      <c r="W710" s="773" t="str">
        <f t="shared" si="18"/>
        <v>N</v>
      </c>
    </row>
    <row r="711" spans="1:23">
      <c r="A711" s="27">
        <v>44651</v>
      </c>
      <c r="B711" s="773" t="s">
        <v>140</v>
      </c>
      <c r="C711" s="773">
        <v>710</v>
      </c>
      <c r="D711" s="773">
        <v>2744</v>
      </c>
      <c r="E711" s="773" t="s">
        <v>390</v>
      </c>
      <c r="S711" s="27">
        <v>44135</v>
      </c>
      <c r="T711" s="773" t="s">
        <v>132</v>
      </c>
      <c r="U711" s="773">
        <v>79</v>
      </c>
      <c r="V711" s="773">
        <v>4</v>
      </c>
      <c r="W711" s="773" t="str">
        <f t="shared" si="18"/>
        <v>O</v>
      </c>
    </row>
    <row r="712" spans="1:23">
      <c r="A712" s="27">
        <v>44286</v>
      </c>
      <c r="B712" s="773" t="s">
        <v>140</v>
      </c>
      <c r="C712" s="773">
        <v>478</v>
      </c>
      <c r="D712" s="773">
        <v>2226</v>
      </c>
      <c r="E712" s="773" t="s">
        <v>390</v>
      </c>
      <c r="S712" s="27">
        <v>44135</v>
      </c>
      <c r="T712" s="773" t="s">
        <v>132</v>
      </c>
      <c r="U712" s="773">
        <v>308</v>
      </c>
      <c r="V712" s="773">
        <v>523</v>
      </c>
      <c r="W712" s="773" t="str">
        <f t="shared" si="18"/>
        <v>N</v>
      </c>
    </row>
    <row r="713" spans="1:23">
      <c r="A713" s="27">
        <v>44286</v>
      </c>
      <c r="B713" s="773" t="s">
        <v>140</v>
      </c>
      <c r="C713" s="773">
        <v>530</v>
      </c>
      <c r="D713" s="773">
        <v>2</v>
      </c>
      <c r="E713" s="773" t="s">
        <v>410</v>
      </c>
      <c r="S713" s="27">
        <v>44135</v>
      </c>
      <c r="T713" s="773" t="s">
        <v>132</v>
      </c>
      <c r="U713" s="773">
        <v>1</v>
      </c>
      <c r="V713" s="773">
        <v>1</v>
      </c>
      <c r="W713" s="773" t="str">
        <f t="shared" si="18"/>
        <v>O</v>
      </c>
    </row>
    <row r="714" spans="1:23">
      <c r="A714" s="27">
        <v>44651</v>
      </c>
      <c r="B714" s="773" t="s">
        <v>140</v>
      </c>
      <c r="C714" s="773">
        <v>760</v>
      </c>
      <c r="D714" s="773">
        <v>72</v>
      </c>
      <c r="E714" s="773" t="s">
        <v>410</v>
      </c>
      <c r="S714" s="27">
        <v>44500</v>
      </c>
      <c r="T714" s="773" t="s">
        <v>132</v>
      </c>
      <c r="U714" s="773">
        <v>658</v>
      </c>
      <c r="V714" s="773">
        <v>3039</v>
      </c>
      <c r="W714" s="773" t="str">
        <f t="shared" si="18"/>
        <v>N</v>
      </c>
    </row>
    <row r="715" spans="1:23">
      <c r="A715" s="27">
        <v>44651</v>
      </c>
      <c r="B715" s="773" t="s">
        <v>140</v>
      </c>
      <c r="C715" s="773">
        <v>387</v>
      </c>
      <c r="D715" s="773">
        <v>9</v>
      </c>
      <c r="E715" s="773" t="s">
        <v>410</v>
      </c>
      <c r="S715" s="27">
        <v>44135</v>
      </c>
      <c r="T715" s="773" t="s">
        <v>132</v>
      </c>
      <c r="U715" s="773">
        <v>48</v>
      </c>
      <c r="V715" s="773">
        <v>750</v>
      </c>
      <c r="W715" s="773" t="str">
        <f t="shared" si="18"/>
        <v>N</v>
      </c>
    </row>
    <row r="716" spans="1:23">
      <c r="A716" s="27">
        <v>44651</v>
      </c>
      <c r="B716" s="773" t="s">
        <v>140</v>
      </c>
      <c r="C716" s="773">
        <v>640</v>
      </c>
      <c r="D716" s="773">
        <v>3054</v>
      </c>
      <c r="E716" s="773" t="s">
        <v>390</v>
      </c>
      <c r="S716" s="27">
        <v>44135</v>
      </c>
      <c r="T716" s="773" t="s">
        <v>132</v>
      </c>
      <c r="U716" s="773">
        <v>664</v>
      </c>
      <c r="V716" s="773">
        <v>2157</v>
      </c>
      <c r="W716" s="773" t="str">
        <f t="shared" si="18"/>
        <v>N</v>
      </c>
    </row>
    <row r="717" spans="1:23">
      <c r="A717" s="27">
        <v>44286</v>
      </c>
      <c r="B717" s="773" t="s">
        <v>140</v>
      </c>
      <c r="C717" s="773">
        <v>674</v>
      </c>
      <c r="D717" s="773">
        <v>1605</v>
      </c>
      <c r="E717" s="773" t="s">
        <v>390</v>
      </c>
      <c r="S717" s="27">
        <v>44500</v>
      </c>
      <c r="T717" s="773" t="s">
        <v>132</v>
      </c>
      <c r="U717" s="773">
        <v>97</v>
      </c>
      <c r="V717" s="773">
        <v>2</v>
      </c>
      <c r="W717" s="773" t="str">
        <f t="shared" si="18"/>
        <v>O</v>
      </c>
    </row>
    <row r="718" spans="1:23">
      <c r="A718" s="27">
        <v>44651</v>
      </c>
      <c r="B718" s="773" t="s">
        <v>140</v>
      </c>
      <c r="C718" s="773">
        <v>476</v>
      </c>
      <c r="D718" s="773">
        <v>1</v>
      </c>
      <c r="E718" s="773" t="s">
        <v>410</v>
      </c>
      <c r="S718" s="27">
        <v>44135</v>
      </c>
      <c r="T718" s="773" t="s">
        <v>132</v>
      </c>
      <c r="U718" s="773">
        <v>203</v>
      </c>
      <c r="V718" s="773">
        <v>3183</v>
      </c>
      <c r="W718" s="773" t="str">
        <f t="shared" si="18"/>
        <v>N</v>
      </c>
    </row>
    <row r="719" spans="1:23">
      <c r="A719" s="27">
        <v>44651</v>
      </c>
      <c r="B719" s="773" t="s">
        <v>140</v>
      </c>
      <c r="C719" s="773">
        <v>493</v>
      </c>
      <c r="D719" s="773">
        <v>6</v>
      </c>
      <c r="E719" s="773" t="s">
        <v>410</v>
      </c>
      <c r="S719" s="27">
        <v>44500</v>
      </c>
      <c r="T719" s="773" t="s">
        <v>132</v>
      </c>
      <c r="U719" s="773">
        <v>290</v>
      </c>
      <c r="V719" s="773">
        <v>2363</v>
      </c>
      <c r="W719" s="773" t="str">
        <f t="shared" si="18"/>
        <v>N</v>
      </c>
    </row>
    <row r="720" spans="1:23">
      <c r="A720" s="27">
        <v>44286</v>
      </c>
      <c r="B720" s="773" t="s">
        <v>140</v>
      </c>
      <c r="C720" s="773">
        <v>739</v>
      </c>
      <c r="D720" s="773">
        <v>1</v>
      </c>
      <c r="E720" s="773" t="s">
        <v>410</v>
      </c>
      <c r="S720" s="27">
        <v>44500</v>
      </c>
      <c r="T720" s="773" t="s">
        <v>132</v>
      </c>
      <c r="U720" s="773">
        <v>652</v>
      </c>
      <c r="V720" s="773">
        <v>2740</v>
      </c>
      <c r="W720" s="773" t="str">
        <f t="shared" si="18"/>
        <v>N</v>
      </c>
    </row>
    <row r="721" spans="1:23">
      <c r="A721" s="27">
        <v>44651</v>
      </c>
      <c r="B721" s="773" t="s">
        <v>140</v>
      </c>
      <c r="C721" s="773">
        <v>639</v>
      </c>
      <c r="D721" s="773">
        <v>108</v>
      </c>
      <c r="E721" s="773" t="s">
        <v>390</v>
      </c>
      <c r="S721" s="27">
        <v>44500</v>
      </c>
      <c r="T721" s="773" t="s">
        <v>132</v>
      </c>
      <c r="U721" s="773">
        <v>256</v>
      </c>
      <c r="V721" s="773">
        <v>744</v>
      </c>
      <c r="W721" s="773" t="str">
        <f t="shared" si="18"/>
        <v>N</v>
      </c>
    </row>
    <row r="722" spans="1:23">
      <c r="A722" s="27">
        <v>44286</v>
      </c>
      <c r="B722" s="773" t="s">
        <v>140</v>
      </c>
      <c r="C722" s="773">
        <v>659</v>
      </c>
      <c r="D722" s="773">
        <v>666</v>
      </c>
      <c r="E722" s="773" t="s">
        <v>390</v>
      </c>
      <c r="S722" s="27">
        <v>44135</v>
      </c>
      <c r="T722" s="773" t="s">
        <v>132</v>
      </c>
      <c r="U722" s="773">
        <v>668</v>
      </c>
      <c r="V722" s="773">
        <v>3079</v>
      </c>
      <c r="W722" s="773" t="str">
        <f t="shared" si="18"/>
        <v>N</v>
      </c>
    </row>
    <row r="723" spans="1:23">
      <c r="A723" s="27">
        <v>44651</v>
      </c>
      <c r="B723" s="773" t="s">
        <v>140</v>
      </c>
      <c r="C723" s="773">
        <v>558</v>
      </c>
      <c r="D723" s="773">
        <v>1281</v>
      </c>
      <c r="E723" s="773" t="s">
        <v>390</v>
      </c>
      <c r="S723" s="27">
        <v>44500</v>
      </c>
      <c r="T723" s="773" t="s">
        <v>132</v>
      </c>
      <c r="U723" s="773">
        <v>82</v>
      </c>
      <c r="V723" s="773">
        <v>2195</v>
      </c>
      <c r="W723" s="773" t="str">
        <f t="shared" si="18"/>
        <v>N</v>
      </c>
    </row>
    <row r="724" spans="1:23">
      <c r="A724" s="27">
        <v>44651</v>
      </c>
      <c r="B724" s="773" t="s">
        <v>140</v>
      </c>
      <c r="C724" s="773">
        <v>548</v>
      </c>
      <c r="D724" s="773">
        <v>561</v>
      </c>
      <c r="E724" s="773" t="s">
        <v>390</v>
      </c>
      <c r="S724" s="27">
        <v>44500</v>
      </c>
      <c r="T724" s="773" t="s">
        <v>132</v>
      </c>
      <c r="U724" s="773">
        <v>654</v>
      </c>
      <c r="V724" s="773">
        <v>2373</v>
      </c>
      <c r="W724" s="773" t="str">
        <f t="shared" si="18"/>
        <v>N</v>
      </c>
    </row>
    <row r="725" spans="1:23">
      <c r="A725" s="27">
        <v>44286</v>
      </c>
      <c r="B725" s="773" t="s">
        <v>140</v>
      </c>
      <c r="C725" s="773">
        <v>548</v>
      </c>
      <c r="D725" s="773">
        <v>546</v>
      </c>
      <c r="E725" s="773" t="s">
        <v>390</v>
      </c>
      <c r="S725" s="27">
        <v>44500</v>
      </c>
      <c r="T725" s="773" t="s">
        <v>132</v>
      </c>
      <c r="U725" s="773">
        <v>44</v>
      </c>
      <c r="V725" s="773">
        <v>3018</v>
      </c>
      <c r="W725" s="773" t="str">
        <f t="shared" si="18"/>
        <v>N</v>
      </c>
    </row>
    <row r="726" spans="1:23">
      <c r="A726" s="27">
        <v>44651</v>
      </c>
      <c r="B726" s="773" t="s">
        <v>140</v>
      </c>
      <c r="C726" s="773">
        <v>530</v>
      </c>
      <c r="D726" s="773">
        <v>1</v>
      </c>
      <c r="E726" s="773" t="s">
        <v>410</v>
      </c>
      <c r="S726" s="27">
        <v>44500</v>
      </c>
      <c r="T726" s="773" t="s">
        <v>132</v>
      </c>
      <c r="U726" s="773">
        <v>216</v>
      </c>
      <c r="V726" s="773">
        <v>2082</v>
      </c>
      <c r="W726" s="773" t="str">
        <f t="shared" si="18"/>
        <v>N</v>
      </c>
    </row>
    <row r="727" spans="1:23">
      <c r="A727" s="27">
        <v>44286</v>
      </c>
      <c r="B727" s="773" t="s">
        <v>140</v>
      </c>
      <c r="C727" s="773">
        <v>585</v>
      </c>
      <c r="D727" s="773">
        <v>2487</v>
      </c>
      <c r="E727" s="773" t="s">
        <v>390</v>
      </c>
      <c r="S727" s="27">
        <v>44135</v>
      </c>
      <c r="T727" s="773" t="s">
        <v>132</v>
      </c>
      <c r="U727" s="773">
        <v>240</v>
      </c>
      <c r="V727" s="773">
        <v>2</v>
      </c>
      <c r="W727" s="773" t="str">
        <f t="shared" si="18"/>
        <v>O</v>
      </c>
    </row>
    <row r="728" spans="1:23">
      <c r="A728" s="27">
        <v>44286</v>
      </c>
      <c r="B728" s="773" t="s">
        <v>140</v>
      </c>
      <c r="C728" s="773">
        <v>453</v>
      </c>
      <c r="D728" s="773">
        <v>2504</v>
      </c>
      <c r="E728" s="773" t="s">
        <v>390</v>
      </c>
      <c r="S728" s="27">
        <v>44135</v>
      </c>
      <c r="T728" s="773" t="s">
        <v>132</v>
      </c>
      <c r="U728" s="773">
        <v>169</v>
      </c>
      <c r="V728" s="773">
        <v>2636</v>
      </c>
      <c r="W728" s="773" t="str">
        <f t="shared" si="18"/>
        <v>N</v>
      </c>
    </row>
    <row r="729" spans="1:23">
      <c r="A729" s="27">
        <v>44286</v>
      </c>
      <c r="B729" s="773" t="s">
        <v>140</v>
      </c>
      <c r="C729" s="773">
        <v>510</v>
      </c>
      <c r="D729" s="773">
        <v>933</v>
      </c>
      <c r="E729" s="773" t="s">
        <v>390</v>
      </c>
      <c r="S729" s="27">
        <v>44135</v>
      </c>
      <c r="T729" s="773" t="s">
        <v>132</v>
      </c>
      <c r="U729" s="773">
        <v>645</v>
      </c>
      <c r="V729" s="773">
        <v>2617</v>
      </c>
      <c r="W729" s="773" t="str">
        <f t="shared" si="18"/>
        <v>N</v>
      </c>
    </row>
    <row r="730" spans="1:23">
      <c r="A730" s="27">
        <v>44286</v>
      </c>
      <c r="B730" s="773" t="s">
        <v>140</v>
      </c>
      <c r="C730" s="773">
        <v>279</v>
      </c>
      <c r="D730" s="773">
        <v>1</v>
      </c>
      <c r="E730" s="773" t="s">
        <v>410</v>
      </c>
      <c r="S730" s="27">
        <v>44500</v>
      </c>
      <c r="T730" s="773" t="s">
        <v>132</v>
      </c>
      <c r="U730" s="773">
        <v>299</v>
      </c>
      <c r="V730" s="773">
        <v>1</v>
      </c>
      <c r="W730" s="773" t="str">
        <f t="shared" si="18"/>
        <v>O</v>
      </c>
    </row>
    <row r="731" spans="1:23">
      <c r="A731" s="27">
        <v>44286</v>
      </c>
      <c r="B731" s="773" t="s">
        <v>140</v>
      </c>
      <c r="C731" s="773">
        <v>582</v>
      </c>
      <c r="D731" s="773">
        <v>2647</v>
      </c>
      <c r="E731" s="773" t="s">
        <v>390</v>
      </c>
      <c r="S731" s="27">
        <v>44135</v>
      </c>
      <c r="T731" s="773" t="s">
        <v>132</v>
      </c>
      <c r="U731" s="773">
        <v>89</v>
      </c>
      <c r="V731" s="773">
        <v>1366</v>
      </c>
      <c r="W731" s="773" t="str">
        <f t="shared" si="18"/>
        <v>N</v>
      </c>
    </row>
    <row r="732" spans="1:23">
      <c r="A732" s="27">
        <v>44286</v>
      </c>
      <c r="B732" s="773" t="s">
        <v>140</v>
      </c>
      <c r="C732" s="773">
        <v>601</v>
      </c>
      <c r="D732" s="773">
        <v>4</v>
      </c>
      <c r="E732" s="773" t="s">
        <v>410</v>
      </c>
      <c r="S732" s="27">
        <v>44135</v>
      </c>
      <c r="T732" s="773" t="s">
        <v>132</v>
      </c>
      <c r="U732" s="773">
        <v>43</v>
      </c>
      <c r="V732" s="773">
        <v>3145</v>
      </c>
      <c r="W732" s="773" t="str">
        <f t="shared" si="18"/>
        <v>N</v>
      </c>
    </row>
    <row r="733" spans="1:23">
      <c r="A733" s="27">
        <v>44286</v>
      </c>
      <c r="B733" s="773" t="s">
        <v>140</v>
      </c>
      <c r="C733" s="773">
        <v>540</v>
      </c>
      <c r="D733" s="773">
        <v>1</v>
      </c>
      <c r="E733" s="773" t="s">
        <v>410</v>
      </c>
      <c r="S733" s="27">
        <v>44500</v>
      </c>
      <c r="T733" s="773" t="s">
        <v>132</v>
      </c>
      <c r="U733" s="773">
        <v>218</v>
      </c>
      <c r="V733" s="773">
        <v>989</v>
      </c>
      <c r="W733" s="773" t="str">
        <f t="shared" si="18"/>
        <v>N</v>
      </c>
    </row>
    <row r="734" spans="1:23">
      <c r="A734" s="27">
        <v>44286</v>
      </c>
      <c r="B734" s="773" t="s">
        <v>140</v>
      </c>
      <c r="C734" s="773">
        <v>597</v>
      </c>
      <c r="D734" s="773">
        <v>1152</v>
      </c>
      <c r="E734" s="773" t="s">
        <v>390</v>
      </c>
      <c r="S734" s="27">
        <v>44500</v>
      </c>
      <c r="T734" s="773" t="s">
        <v>132</v>
      </c>
      <c r="U734" s="773">
        <v>153</v>
      </c>
      <c r="V734" s="773">
        <v>2121</v>
      </c>
      <c r="W734" s="773" t="str">
        <f t="shared" si="18"/>
        <v>N</v>
      </c>
    </row>
    <row r="735" spans="1:23">
      <c r="A735" s="27">
        <v>44651</v>
      </c>
      <c r="B735" s="773" t="s">
        <v>140</v>
      </c>
      <c r="C735" s="773">
        <v>469</v>
      </c>
      <c r="D735" s="773">
        <v>7</v>
      </c>
      <c r="E735" s="773" t="s">
        <v>410</v>
      </c>
      <c r="S735" s="27">
        <v>44135</v>
      </c>
      <c r="T735" s="773" t="s">
        <v>132</v>
      </c>
      <c r="U735" s="773">
        <v>56</v>
      </c>
      <c r="V735" s="773">
        <v>51</v>
      </c>
      <c r="W735" s="773" t="str">
        <f t="shared" si="18"/>
        <v>O</v>
      </c>
    </row>
    <row r="736" spans="1:23">
      <c r="A736" s="27">
        <v>44286</v>
      </c>
      <c r="B736" s="773" t="s">
        <v>140</v>
      </c>
      <c r="C736" s="773">
        <v>640</v>
      </c>
      <c r="D736" s="773">
        <v>3313</v>
      </c>
      <c r="E736" s="773" t="s">
        <v>390</v>
      </c>
      <c r="S736" s="27">
        <v>44500</v>
      </c>
      <c r="T736" s="773" t="s">
        <v>132</v>
      </c>
      <c r="U736" s="773">
        <v>195</v>
      </c>
      <c r="V736" s="773">
        <v>1</v>
      </c>
      <c r="W736" s="773" t="str">
        <f t="shared" si="18"/>
        <v>O</v>
      </c>
    </row>
    <row r="737" spans="1:23">
      <c r="A737" s="27">
        <v>44651</v>
      </c>
      <c r="B737" s="773" t="s">
        <v>140</v>
      </c>
      <c r="C737" s="773">
        <v>383</v>
      </c>
      <c r="D737" s="773">
        <v>2</v>
      </c>
      <c r="E737" s="773" t="s">
        <v>410</v>
      </c>
      <c r="S737" s="27">
        <v>44500</v>
      </c>
      <c r="T737" s="773" t="s">
        <v>132</v>
      </c>
      <c r="U737" s="773">
        <v>636</v>
      </c>
      <c r="V737" s="773">
        <v>21</v>
      </c>
      <c r="W737" s="773" t="str">
        <f t="shared" si="18"/>
        <v>O</v>
      </c>
    </row>
    <row r="738" spans="1:23">
      <c r="A738" s="27">
        <v>44286</v>
      </c>
      <c r="B738" s="773" t="s">
        <v>140</v>
      </c>
      <c r="C738" s="773">
        <v>648</v>
      </c>
      <c r="D738" s="773">
        <v>1425</v>
      </c>
      <c r="E738" s="773" t="s">
        <v>390</v>
      </c>
      <c r="S738" s="27">
        <v>44135</v>
      </c>
      <c r="T738" s="773" t="s">
        <v>132</v>
      </c>
      <c r="U738" s="773">
        <v>82</v>
      </c>
      <c r="V738" s="773">
        <v>2322</v>
      </c>
      <c r="W738" s="773" t="str">
        <f t="shared" si="18"/>
        <v>N</v>
      </c>
    </row>
    <row r="739" spans="1:23">
      <c r="A739" s="27">
        <v>44651</v>
      </c>
      <c r="B739" s="773" t="s">
        <v>140</v>
      </c>
      <c r="C739" s="773">
        <v>650</v>
      </c>
      <c r="D739" s="773">
        <v>2319</v>
      </c>
      <c r="E739" s="773" t="s">
        <v>390</v>
      </c>
      <c r="S739" s="27">
        <v>44500</v>
      </c>
      <c r="T739" s="773" t="s">
        <v>132</v>
      </c>
      <c r="U739" s="773">
        <v>150</v>
      </c>
      <c r="V739" s="773">
        <v>24</v>
      </c>
      <c r="W739" s="773" t="str">
        <f t="shared" si="18"/>
        <v>O</v>
      </c>
    </row>
    <row r="740" spans="1:23">
      <c r="A740" s="27">
        <v>44651</v>
      </c>
      <c r="B740" s="773" t="s">
        <v>140</v>
      </c>
      <c r="C740" s="773">
        <v>601</v>
      </c>
      <c r="D740" s="773">
        <v>3</v>
      </c>
      <c r="E740" s="773" t="s">
        <v>410</v>
      </c>
      <c r="S740" s="27">
        <v>44500</v>
      </c>
      <c r="T740" s="773" t="s">
        <v>132</v>
      </c>
      <c r="U740" s="773">
        <v>279</v>
      </c>
      <c r="V740" s="773">
        <v>4097</v>
      </c>
      <c r="W740" s="773" t="str">
        <f t="shared" si="18"/>
        <v>N</v>
      </c>
    </row>
    <row r="741" spans="1:23">
      <c r="A741" s="27">
        <v>44286</v>
      </c>
      <c r="B741" s="773" t="s">
        <v>140</v>
      </c>
      <c r="C741" s="773">
        <v>719</v>
      </c>
      <c r="D741" s="773">
        <v>3</v>
      </c>
      <c r="E741" s="773" t="s">
        <v>410</v>
      </c>
      <c r="S741" s="27">
        <v>44135</v>
      </c>
      <c r="T741" s="773" t="s">
        <v>132</v>
      </c>
      <c r="U741" s="773">
        <v>698</v>
      </c>
      <c r="V741" s="773">
        <v>2410</v>
      </c>
      <c r="W741" s="773" t="str">
        <f t="shared" si="18"/>
        <v>N</v>
      </c>
    </row>
    <row r="742" spans="1:23">
      <c r="A742" s="27">
        <v>44651</v>
      </c>
      <c r="B742" s="773" t="s">
        <v>140</v>
      </c>
      <c r="C742" s="773">
        <v>0</v>
      </c>
      <c r="D742" s="773">
        <v>7</v>
      </c>
      <c r="E742" s="773" t="s">
        <v>410</v>
      </c>
      <c r="S742" s="27">
        <v>44135</v>
      </c>
      <c r="T742" s="773" t="s">
        <v>132</v>
      </c>
      <c r="U742" s="773">
        <v>63</v>
      </c>
      <c r="V742" s="773">
        <v>1</v>
      </c>
      <c r="W742" s="773" t="str">
        <f t="shared" si="18"/>
        <v>O</v>
      </c>
    </row>
    <row r="743" spans="1:23">
      <c r="A743" s="27">
        <v>44651</v>
      </c>
      <c r="B743" s="773" t="s">
        <v>140</v>
      </c>
      <c r="C743" s="773">
        <v>248</v>
      </c>
      <c r="D743" s="773">
        <v>476</v>
      </c>
      <c r="E743" s="773" t="s">
        <v>390</v>
      </c>
      <c r="S743" s="27">
        <v>44500</v>
      </c>
      <c r="T743" s="773" t="s">
        <v>132</v>
      </c>
      <c r="U743" s="773">
        <v>700</v>
      </c>
      <c r="V743" s="773">
        <v>1514</v>
      </c>
      <c r="W743" s="773" t="str">
        <f t="shared" si="18"/>
        <v>N</v>
      </c>
    </row>
    <row r="744" spans="1:23">
      <c r="A744" s="27">
        <v>44286</v>
      </c>
      <c r="B744" s="773" t="s">
        <v>140</v>
      </c>
      <c r="C744" s="773">
        <v>278</v>
      </c>
      <c r="D744" s="773">
        <v>1</v>
      </c>
      <c r="E744" s="773" t="s">
        <v>410</v>
      </c>
      <c r="S744" s="27">
        <v>44500</v>
      </c>
      <c r="T744" s="773" t="s">
        <v>132</v>
      </c>
      <c r="U744" s="773">
        <v>130</v>
      </c>
      <c r="V744" s="773">
        <v>1</v>
      </c>
      <c r="W744" s="773" t="str">
        <f t="shared" si="18"/>
        <v>O</v>
      </c>
    </row>
    <row r="745" spans="1:23">
      <c r="A745" s="27">
        <v>44286</v>
      </c>
      <c r="B745" s="773" t="s">
        <v>140</v>
      </c>
      <c r="C745" s="773">
        <v>379</v>
      </c>
      <c r="D745" s="773">
        <v>1</v>
      </c>
      <c r="E745" s="773" t="s">
        <v>410</v>
      </c>
      <c r="S745" s="27">
        <v>44500</v>
      </c>
      <c r="T745" s="773" t="s">
        <v>132</v>
      </c>
      <c r="U745" s="773">
        <v>668</v>
      </c>
      <c r="V745" s="773">
        <v>7</v>
      </c>
      <c r="W745" s="773" t="str">
        <f t="shared" si="18"/>
        <v>O</v>
      </c>
    </row>
    <row r="746" spans="1:23">
      <c r="A746" s="27">
        <v>44286</v>
      </c>
      <c r="B746" s="773" t="s">
        <v>140</v>
      </c>
      <c r="C746" s="773">
        <v>732</v>
      </c>
      <c r="D746" s="773">
        <v>4</v>
      </c>
      <c r="E746" s="773" t="s">
        <v>410</v>
      </c>
      <c r="S746" s="27">
        <v>44135</v>
      </c>
      <c r="T746" s="773" t="s">
        <v>132</v>
      </c>
      <c r="U746" s="773">
        <v>679</v>
      </c>
      <c r="V746" s="773">
        <v>2681</v>
      </c>
      <c r="W746" s="773" t="str">
        <f t="shared" si="18"/>
        <v>N</v>
      </c>
    </row>
    <row r="747" spans="1:23">
      <c r="A747" s="27">
        <v>44651</v>
      </c>
      <c r="B747" s="773" t="s">
        <v>140</v>
      </c>
      <c r="C747" s="773">
        <v>732</v>
      </c>
      <c r="D747" s="773">
        <v>3</v>
      </c>
      <c r="E747" s="773" t="s">
        <v>410</v>
      </c>
      <c r="S747" s="27">
        <v>44500</v>
      </c>
      <c r="T747" s="773" t="s">
        <v>132</v>
      </c>
      <c r="U747" s="773">
        <v>116</v>
      </c>
      <c r="V747" s="773">
        <v>4</v>
      </c>
      <c r="W747" s="773" t="str">
        <f t="shared" si="18"/>
        <v>O</v>
      </c>
    </row>
    <row r="748" spans="1:23">
      <c r="A748" s="27">
        <v>44286</v>
      </c>
      <c r="B748" s="773" t="s">
        <v>140</v>
      </c>
      <c r="C748" s="773">
        <v>626</v>
      </c>
      <c r="D748" s="773">
        <v>2707</v>
      </c>
      <c r="E748" s="773" t="s">
        <v>390</v>
      </c>
      <c r="S748" s="27">
        <v>44135</v>
      </c>
      <c r="T748" s="773" t="s">
        <v>132</v>
      </c>
      <c r="U748" s="773">
        <v>72</v>
      </c>
      <c r="V748" s="773">
        <v>3</v>
      </c>
      <c r="W748" s="773" t="str">
        <f t="shared" si="18"/>
        <v>O</v>
      </c>
    </row>
    <row r="749" spans="1:23">
      <c r="A749" s="27">
        <v>44286</v>
      </c>
      <c r="B749" s="773" t="s">
        <v>140</v>
      </c>
      <c r="C749" s="773">
        <v>524</v>
      </c>
      <c r="D749" s="773">
        <v>1194</v>
      </c>
      <c r="E749" s="773" t="s">
        <v>390</v>
      </c>
      <c r="S749" s="27">
        <v>44135</v>
      </c>
      <c r="T749" s="773" t="s">
        <v>132</v>
      </c>
      <c r="U749" s="773">
        <v>103</v>
      </c>
      <c r="V749" s="773">
        <v>3415</v>
      </c>
      <c r="W749" s="773" t="str">
        <f t="shared" si="18"/>
        <v>N</v>
      </c>
    </row>
    <row r="750" spans="1:23">
      <c r="A750" s="27">
        <v>44286</v>
      </c>
      <c r="B750" s="773" t="s">
        <v>140</v>
      </c>
      <c r="C750" s="773">
        <v>0</v>
      </c>
      <c r="D750" s="773">
        <v>8</v>
      </c>
      <c r="E750" s="773" t="s">
        <v>410</v>
      </c>
      <c r="S750" s="27">
        <v>44135</v>
      </c>
      <c r="T750" s="773" t="s">
        <v>132</v>
      </c>
      <c r="U750" s="773">
        <v>232</v>
      </c>
      <c r="V750" s="773">
        <v>121</v>
      </c>
      <c r="W750" s="773" t="str">
        <f t="shared" si="18"/>
        <v>N</v>
      </c>
    </row>
    <row r="751" spans="1:23">
      <c r="A751" s="27">
        <v>44651</v>
      </c>
      <c r="B751" s="773" t="s">
        <v>140</v>
      </c>
      <c r="C751" s="773">
        <v>449</v>
      </c>
      <c r="D751" s="773">
        <v>1855</v>
      </c>
      <c r="E751" s="773" t="s">
        <v>390</v>
      </c>
      <c r="S751" s="27">
        <v>44135</v>
      </c>
      <c r="T751" s="773" t="s">
        <v>132</v>
      </c>
      <c r="U751" s="773">
        <v>84</v>
      </c>
      <c r="V751" s="773">
        <v>2254</v>
      </c>
      <c r="W751" s="773" t="str">
        <f t="shared" si="18"/>
        <v>N</v>
      </c>
    </row>
    <row r="752" spans="1:23">
      <c r="A752" s="27">
        <v>44286</v>
      </c>
      <c r="B752" s="773" t="s">
        <v>140</v>
      </c>
      <c r="C752" s="773">
        <v>722</v>
      </c>
      <c r="D752" s="773">
        <v>12</v>
      </c>
      <c r="E752" s="773" t="s">
        <v>410</v>
      </c>
      <c r="S752" s="27">
        <v>44500</v>
      </c>
      <c r="T752" s="773" t="s">
        <v>132</v>
      </c>
      <c r="U752" s="773">
        <v>250</v>
      </c>
      <c r="V752" s="773">
        <v>2</v>
      </c>
      <c r="W752" s="773" t="str">
        <f t="shared" si="18"/>
        <v>O</v>
      </c>
    </row>
    <row r="753" spans="1:23">
      <c r="A753" s="27">
        <v>44286</v>
      </c>
      <c r="B753" s="773" t="s">
        <v>140</v>
      </c>
      <c r="C753" s="773">
        <v>213</v>
      </c>
      <c r="D753" s="773">
        <v>69</v>
      </c>
      <c r="E753" s="773" t="s">
        <v>410</v>
      </c>
      <c r="S753" s="27">
        <v>44500</v>
      </c>
      <c r="T753" s="773" t="s">
        <v>132</v>
      </c>
      <c r="U753" s="773">
        <v>684</v>
      </c>
      <c r="V753" s="773">
        <v>2659</v>
      </c>
      <c r="W753" s="773" t="str">
        <f t="shared" si="18"/>
        <v>N</v>
      </c>
    </row>
    <row r="754" spans="1:23">
      <c r="A754" s="27">
        <v>44286</v>
      </c>
      <c r="B754" s="773" t="s">
        <v>140</v>
      </c>
      <c r="C754" s="773">
        <v>558</v>
      </c>
      <c r="D754" s="773">
        <v>1340</v>
      </c>
      <c r="E754" s="773" t="s">
        <v>390</v>
      </c>
      <c r="S754" s="27">
        <v>44135</v>
      </c>
      <c r="T754" s="773" t="s">
        <v>132</v>
      </c>
      <c r="U754" s="773">
        <v>636</v>
      </c>
      <c r="V754" s="773">
        <v>16</v>
      </c>
      <c r="W754" s="773" t="str">
        <f t="shared" si="18"/>
        <v>O</v>
      </c>
    </row>
    <row r="755" spans="1:23">
      <c r="A755" s="27">
        <v>44286</v>
      </c>
      <c r="B755" s="773" t="s">
        <v>140</v>
      </c>
      <c r="C755" s="773">
        <v>710</v>
      </c>
      <c r="D755" s="773">
        <v>2850</v>
      </c>
      <c r="E755" s="773" t="s">
        <v>390</v>
      </c>
      <c r="S755" s="27">
        <v>44500</v>
      </c>
      <c r="T755" s="773" t="s">
        <v>132</v>
      </c>
      <c r="U755" s="773">
        <v>297</v>
      </c>
      <c r="V755" s="773">
        <v>131</v>
      </c>
      <c r="W755" s="773" t="str">
        <f t="shared" si="18"/>
        <v>N</v>
      </c>
    </row>
    <row r="756" spans="1:23">
      <c r="A756" s="27">
        <v>44651</v>
      </c>
      <c r="B756" s="773" t="s">
        <v>140</v>
      </c>
      <c r="C756" s="773">
        <v>279</v>
      </c>
      <c r="D756" s="773">
        <v>1</v>
      </c>
      <c r="E756" s="773" t="s">
        <v>410</v>
      </c>
      <c r="S756" s="27">
        <v>44135</v>
      </c>
      <c r="T756" s="773" t="s">
        <v>132</v>
      </c>
      <c r="U756" s="773">
        <v>94</v>
      </c>
      <c r="V756" s="773">
        <v>2339</v>
      </c>
      <c r="W756" s="773" t="str">
        <f t="shared" si="18"/>
        <v>N</v>
      </c>
    </row>
    <row r="757" spans="1:23">
      <c r="A757" s="27">
        <v>44651</v>
      </c>
      <c r="B757" s="773" t="s">
        <v>140</v>
      </c>
      <c r="C757" s="773">
        <v>659</v>
      </c>
      <c r="D757" s="773">
        <v>602</v>
      </c>
      <c r="E757" s="773" t="s">
        <v>390</v>
      </c>
      <c r="S757" s="27">
        <v>44500</v>
      </c>
      <c r="T757" s="773" t="s">
        <v>132</v>
      </c>
      <c r="U757" s="773">
        <v>315</v>
      </c>
      <c r="V757" s="773">
        <v>238</v>
      </c>
      <c r="W757" s="773" t="str">
        <f t="shared" si="18"/>
        <v>N</v>
      </c>
    </row>
    <row r="758" spans="1:23">
      <c r="A758" s="27">
        <v>44651</v>
      </c>
      <c r="B758" s="773" t="s">
        <v>140</v>
      </c>
      <c r="C758" s="773">
        <v>674</v>
      </c>
      <c r="D758" s="773">
        <v>1707</v>
      </c>
      <c r="E758" s="773" t="s">
        <v>390</v>
      </c>
      <c r="S758" s="27">
        <v>44500</v>
      </c>
      <c r="T758" s="773" t="s">
        <v>132</v>
      </c>
      <c r="U758" s="773">
        <v>318</v>
      </c>
      <c r="V758" s="773">
        <v>2033</v>
      </c>
      <c r="W758" s="773" t="str">
        <f t="shared" si="18"/>
        <v>N</v>
      </c>
    </row>
    <row r="759" spans="1:23">
      <c r="A759" s="27">
        <v>44286</v>
      </c>
      <c r="B759" s="773" t="s">
        <v>140</v>
      </c>
      <c r="C759" s="773">
        <v>387</v>
      </c>
      <c r="D759" s="773">
        <v>10</v>
      </c>
      <c r="E759" s="773" t="s">
        <v>410</v>
      </c>
      <c r="S759" s="27">
        <v>44135</v>
      </c>
      <c r="T759" s="773" t="s">
        <v>132</v>
      </c>
      <c r="U759" s="773">
        <v>35</v>
      </c>
      <c r="V759" s="773">
        <v>882</v>
      </c>
      <c r="W759" s="773" t="str">
        <f t="shared" si="18"/>
        <v>N</v>
      </c>
    </row>
    <row r="760" spans="1:23">
      <c r="A760" s="27">
        <v>44651</v>
      </c>
      <c r="B760" s="773" t="s">
        <v>140</v>
      </c>
      <c r="C760" s="773">
        <v>524</v>
      </c>
      <c r="D760" s="773">
        <v>1114</v>
      </c>
      <c r="E760" s="773" t="s">
        <v>390</v>
      </c>
      <c r="S760" s="27">
        <v>44135</v>
      </c>
      <c r="T760" s="773" t="s">
        <v>132</v>
      </c>
      <c r="U760" s="773">
        <v>164</v>
      </c>
      <c r="V760" s="773">
        <v>8</v>
      </c>
      <c r="W760" s="773" t="str">
        <f t="shared" si="18"/>
        <v>O</v>
      </c>
    </row>
    <row r="761" spans="1:23">
      <c r="A761" s="27">
        <v>44651</v>
      </c>
      <c r="B761" s="773" t="s">
        <v>140</v>
      </c>
      <c r="C761" s="773">
        <v>616</v>
      </c>
      <c r="D761" s="773">
        <v>1</v>
      </c>
      <c r="E761" s="773" t="s">
        <v>410</v>
      </c>
      <c r="S761" s="27">
        <v>44500</v>
      </c>
      <c r="T761" s="773" t="s">
        <v>132</v>
      </c>
      <c r="U761" s="773">
        <v>14</v>
      </c>
      <c r="V761" s="773">
        <v>1</v>
      </c>
      <c r="W761" s="773" t="str">
        <f t="shared" si="18"/>
        <v>O</v>
      </c>
    </row>
    <row r="762" spans="1:23">
      <c r="A762" s="27">
        <v>44681</v>
      </c>
      <c r="B762" s="773" t="s">
        <v>140</v>
      </c>
      <c r="C762" s="773">
        <v>548</v>
      </c>
      <c r="D762" s="773">
        <v>568</v>
      </c>
      <c r="E762" s="773" t="s">
        <v>390</v>
      </c>
      <c r="S762" s="27">
        <v>44500</v>
      </c>
      <c r="T762" s="773" t="s">
        <v>132</v>
      </c>
      <c r="U762" s="773">
        <v>669</v>
      </c>
      <c r="V762" s="773">
        <v>2631</v>
      </c>
      <c r="W762" s="773" t="str">
        <f t="shared" si="18"/>
        <v>N</v>
      </c>
    </row>
    <row r="763" spans="1:23">
      <c r="A763" s="27">
        <v>44681</v>
      </c>
      <c r="B763" s="773" t="s">
        <v>140</v>
      </c>
      <c r="C763" s="773">
        <v>493</v>
      </c>
      <c r="D763" s="773">
        <v>6</v>
      </c>
      <c r="E763" s="773" t="s">
        <v>410</v>
      </c>
      <c r="S763" s="27">
        <v>44500</v>
      </c>
      <c r="T763" s="773" t="s">
        <v>132</v>
      </c>
      <c r="U763" s="773">
        <v>148</v>
      </c>
      <c r="V763" s="773">
        <v>1</v>
      </c>
      <c r="W763" s="773" t="str">
        <f t="shared" si="18"/>
        <v>O</v>
      </c>
    </row>
    <row r="764" spans="1:23">
      <c r="A764" s="27">
        <v>44681</v>
      </c>
      <c r="B764" s="773" t="s">
        <v>140</v>
      </c>
      <c r="C764" s="773">
        <v>530</v>
      </c>
      <c r="D764" s="773">
        <v>1</v>
      </c>
      <c r="E764" s="773" t="s">
        <v>410</v>
      </c>
      <c r="S764" s="27">
        <v>44135</v>
      </c>
      <c r="T764" s="773" t="s">
        <v>132</v>
      </c>
      <c r="U764" s="773">
        <v>671</v>
      </c>
      <c r="V764" s="773">
        <v>2170</v>
      </c>
      <c r="W764" s="773" t="str">
        <f t="shared" si="18"/>
        <v>N</v>
      </c>
    </row>
    <row r="765" spans="1:23">
      <c r="A765" s="27">
        <v>44681</v>
      </c>
      <c r="B765" s="773" t="s">
        <v>140</v>
      </c>
      <c r="C765" s="773">
        <v>597</v>
      </c>
      <c r="D765" s="773">
        <v>1197</v>
      </c>
      <c r="E765" s="773" t="s">
        <v>390</v>
      </c>
      <c r="S765" s="27">
        <v>44135</v>
      </c>
      <c r="T765" s="773" t="s">
        <v>132</v>
      </c>
      <c r="U765" s="773">
        <v>11</v>
      </c>
      <c r="V765" s="773">
        <v>31</v>
      </c>
      <c r="W765" s="773" t="str">
        <f t="shared" si="18"/>
        <v>O</v>
      </c>
    </row>
    <row r="766" spans="1:23">
      <c r="A766" s="27">
        <v>44316</v>
      </c>
      <c r="B766" s="773" t="s">
        <v>140</v>
      </c>
      <c r="C766" s="773">
        <v>640</v>
      </c>
      <c r="D766" s="773">
        <v>3257</v>
      </c>
      <c r="E766" s="773" t="s">
        <v>390</v>
      </c>
      <c r="S766" s="27">
        <v>44500</v>
      </c>
      <c r="T766" s="773" t="s">
        <v>132</v>
      </c>
      <c r="U766" s="773">
        <v>103</v>
      </c>
      <c r="V766" s="773">
        <v>3438</v>
      </c>
      <c r="W766" s="773" t="str">
        <f t="shared" si="18"/>
        <v>N</v>
      </c>
    </row>
    <row r="767" spans="1:23">
      <c r="A767" s="27">
        <v>44316</v>
      </c>
      <c r="B767" s="773" t="s">
        <v>140</v>
      </c>
      <c r="C767" s="773">
        <v>587</v>
      </c>
      <c r="D767" s="773">
        <v>2</v>
      </c>
      <c r="E767" s="773" t="s">
        <v>410</v>
      </c>
      <c r="S767" s="27">
        <v>44135</v>
      </c>
      <c r="T767" s="773" t="s">
        <v>132</v>
      </c>
      <c r="U767" s="773">
        <v>218</v>
      </c>
      <c r="V767" s="773">
        <v>1041</v>
      </c>
      <c r="W767" s="773" t="str">
        <f t="shared" si="18"/>
        <v>N</v>
      </c>
    </row>
    <row r="768" spans="1:23">
      <c r="A768" s="27">
        <v>44681</v>
      </c>
      <c r="B768" s="773" t="s">
        <v>140</v>
      </c>
      <c r="C768" s="773">
        <v>719</v>
      </c>
      <c r="D768" s="773">
        <v>24</v>
      </c>
      <c r="E768" s="773" t="s">
        <v>410</v>
      </c>
      <c r="S768" s="27">
        <v>44500</v>
      </c>
      <c r="T768" s="773" t="s">
        <v>132</v>
      </c>
      <c r="U768" s="773">
        <v>113</v>
      </c>
      <c r="V768" s="773">
        <v>1</v>
      </c>
      <c r="W768" s="773" t="str">
        <f t="shared" si="18"/>
        <v>O</v>
      </c>
    </row>
    <row r="769" spans="1:23">
      <c r="A769" s="27">
        <v>44681</v>
      </c>
      <c r="B769" s="773" t="s">
        <v>140</v>
      </c>
      <c r="C769" s="773">
        <v>610</v>
      </c>
      <c r="D769" s="773">
        <v>3017</v>
      </c>
      <c r="E769" s="773" t="s">
        <v>390</v>
      </c>
      <c r="S769" s="27">
        <v>44500</v>
      </c>
      <c r="T769" s="773" t="s">
        <v>132</v>
      </c>
      <c r="U769" s="773">
        <v>155</v>
      </c>
      <c r="V769" s="773">
        <v>2409</v>
      </c>
      <c r="W769" s="773" t="str">
        <f t="shared" si="18"/>
        <v>N</v>
      </c>
    </row>
    <row r="770" spans="1:23">
      <c r="A770" s="27">
        <v>44316</v>
      </c>
      <c r="B770" s="773" t="s">
        <v>140</v>
      </c>
      <c r="C770" s="773">
        <v>597</v>
      </c>
      <c r="D770" s="773">
        <v>1152</v>
      </c>
      <c r="E770" s="773" t="s">
        <v>390</v>
      </c>
      <c r="S770" s="27">
        <v>44500</v>
      </c>
      <c r="T770" s="773" t="s">
        <v>132</v>
      </c>
      <c r="U770" s="773">
        <v>660</v>
      </c>
      <c r="V770" s="773">
        <v>4</v>
      </c>
      <c r="W770" s="773" t="str">
        <f t="shared" si="18"/>
        <v>O</v>
      </c>
    </row>
    <row r="771" spans="1:23">
      <c r="A771" s="27">
        <v>44681</v>
      </c>
      <c r="B771" s="773" t="s">
        <v>140</v>
      </c>
      <c r="C771" s="773">
        <v>594</v>
      </c>
      <c r="D771" s="773">
        <v>2659</v>
      </c>
      <c r="E771" s="773" t="s">
        <v>390</v>
      </c>
      <c r="S771" s="27">
        <v>44500</v>
      </c>
      <c r="T771" s="773" t="s">
        <v>132</v>
      </c>
      <c r="U771" s="773">
        <v>667</v>
      </c>
      <c r="V771" s="773">
        <v>1</v>
      </c>
      <c r="W771" s="773" t="str">
        <f t="shared" ref="W771:W834" si="19">+IF(V771&lt;100,"O","N")</f>
        <v>O</v>
      </c>
    </row>
    <row r="772" spans="1:23">
      <c r="A772" s="27">
        <v>44681</v>
      </c>
      <c r="B772" s="773" t="s">
        <v>140</v>
      </c>
      <c r="C772" s="773">
        <v>449</v>
      </c>
      <c r="D772" s="773">
        <v>1852</v>
      </c>
      <c r="E772" s="773" t="s">
        <v>390</v>
      </c>
      <c r="S772" s="27">
        <v>44135</v>
      </c>
      <c r="T772" s="773" t="s">
        <v>132</v>
      </c>
      <c r="U772" s="773">
        <v>667</v>
      </c>
      <c r="V772" s="773">
        <v>1</v>
      </c>
      <c r="W772" s="773" t="str">
        <f t="shared" si="19"/>
        <v>O</v>
      </c>
    </row>
    <row r="773" spans="1:23">
      <c r="A773" s="27">
        <v>44316</v>
      </c>
      <c r="B773" s="773" t="s">
        <v>140</v>
      </c>
      <c r="C773" s="773">
        <v>628</v>
      </c>
      <c r="D773" s="773">
        <v>1518</v>
      </c>
      <c r="E773" s="773" t="s">
        <v>390</v>
      </c>
      <c r="S773" s="27">
        <v>44135</v>
      </c>
      <c r="T773" s="773" t="s">
        <v>132</v>
      </c>
      <c r="U773" s="773">
        <v>173</v>
      </c>
      <c r="V773" s="773">
        <v>1</v>
      </c>
      <c r="W773" s="773" t="str">
        <f t="shared" si="19"/>
        <v>O</v>
      </c>
    </row>
    <row r="774" spans="1:23">
      <c r="A774" s="27">
        <v>44681</v>
      </c>
      <c r="B774" s="773" t="s">
        <v>140</v>
      </c>
      <c r="C774" s="773">
        <v>628</v>
      </c>
      <c r="D774" s="773">
        <v>1624</v>
      </c>
      <c r="E774" s="773" t="s">
        <v>390</v>
      </c>
      <c r="S774" s="27">
        <v>44500</v>
      </c>
      <c r="T774" s="773" t="s">
        <v>132</v>
      </c>
      <c r="U774" s="773">
        <v>319</v>
      </c>
      <c r="V774" s="773">
        <v>1900</v>
      </c>
      <c r="W774" s="773" t="str">
        <f t="shared" si="19"/>
        <v>N</v>
      </c>
    </row>
    <row r="775" spans="1:23">
      <c r="A775" s="27">
        <v>44316</v>
      </c>
      <c r="B775" s="773" t="s">
        <v>140</v>
      </c>
      <c r="C775" s="773">
        <v>722</v>
      </c>
      <c r="D775" s="773">
        <v>12</v>
      </c>
      <c r="E775" s="773" t="s">
        <v>410</v>
      </c>
      <c r="S775" s="27">
        <v>44500</v>
      </c>
      <c r="T775" s="773" t="s">
        <v>132</v>
      </c>
      <c r="U775" s="773">
        <v>308</v>
      </c>
      <c r="V775" s="773">
        <v>2147</v>
      </c>
      <c r="W775" s="773" t="str">
        <f t="shared" si="19"/>
        <v>N</v>
      </c>
    </row>
    <row r="776" spans="1:23">
      <c r="A776" s="27">
        <v>44681</v>
      </c>
      <c r="B776" s="773" t="s">
        <v>140</v>
      </c>
      <c r="C776" s="773">
        <v>387</v>
      </c>
      <c r="D776" s="773">
        <v>9</v>
      </c>
      <c r="E776" s="773" t="s">
        <v>410</v>
      </c>
      <c r="S776" s="27">
        <v>44135</v>
      </c>
      <c r="T776" s="773" t="s">
        <v>132</v>
      </c>
      <c r="U776" s="773">
        <v>342</v>
      </c>
      <c r="V776" s="773">
        <v>2846</v>
      </c>
      <c r="W776" s="773" t="str">
        <f t="shared" si="19"/>
        <v>N</v>
      </c>
    </row>
    <row r="777" spans="1:23">
      <c r="A777" s="27">
        <v>44681</v>
      </c>
      <c r="B777" s="773" t="s">
        <v>140</v>
      </c>
      <c r="C777" s="773">
        <v>691</v>
      </c>
      <c r="D777" s="773">
        <v>215</v>
      </c>
      <c r="E777" s="773" t="s">
        <v>390</v>
      </c>
      <c r="S777" s="27">
        <v>44500</v>
      </c>
      <c r="T777" s="773" t="s">
        <v>132</v>
      </c>
      <c r="U777" s="773">
        <v>694</v>
      </c>
      <c r="V777" s="773">
        <v>2</v>
      </c>
      <c r="W777" s="773" t="str">
        <f t="shared" si="19"/>
        <v>O</v>
      </c>
    </row>
    <row r="778" spans="1:23">
      <c r="A778" s="27">
        <v>44681</v>
      </c>
      <c r="B778" s="773" t="s">
        <v>140</v>
      </c>
      <c r="C778" s="773">
        <v>740</v>
      </c>
      <c r="D778" s="773">
        <v>595</v>
      </c>
      <c r="E778" s="773" t="s">
        <v>390</v>
      </c>
      <c r="S778" s="27">
        <v>44135</v>
      </c>
      <c r="T778" s="773" t="s">
        <v>132</v>
      </c>
      <c r="U778" s="773">
        <v>669</v>
      </c>
      <c r="V778" s="773">
        <v>2651</v>
      </c>
      <c r="W778" s="773" t="str">
        <f t="shared" si="19"/>
        <v>N</v>
      </c>
    </row>
    <row r="779" spans="1:23">
      <c r="A779" s="27">
        <v>44681</v>
      </c>
      <c r="B779" s="773" t="s">
        <v>140</v>
      </c>
      <c r="C779" s="773">
        <v>556</v>
      </c>
      <c r="D779" s="773">
        <v>2707</v>
      </c>
      <c r="E779" s="773" t="s">
        <v>390</v>
      </c>
      <c r="S779" s="27">
        <v>44500</v>
      </c>
      <c r="T779" s="773" t="s">
        <v>132</v>
      </c>
      <c r="U779" s="773">
        <v>252</v>
      </c>
      <c r="V779" s="773">
        <v>1274</v>
      </c>
      <c r="W779" s="773" t="str">
        <f t="shared" si="19"/>
        <v>N</v>
      </c>
    </row>
    <row r="780" spans="1:23">
      <c r="A780" s="27">
        <v>44681</v>
      </c>
      <c r="B780" s="773" t="s">
        <v>140</v>
      </c>
      <c r="C780" s="773">
        <v>383</v>
      </c>
      <c r="D780" s="773">
        <v>1</v>
      </c>
      <c r="E780" s="773" t="s">
        <v>410</v>
      </c>
      <c r="S780" s="27">
        <v>44135</v>
      </c>
      <c r="T780" s="773" t="s">
        <v>132</v>
      </c>
      <c r="U780" s="773">
        <v>195</v>
      </c>
      <c r="V780" s="773">
        <v>1</v>
      </c>
      <c r="W780" s="773" t="str">
        <f t="shared" si="19"/>
        <v>O</v>
      </c>
    </row>
    <row r="781" spans="1:23">
      <c r="A781" s="27">
        <v>44681</v>
      </c>
      <c r="B781" s="773" t="s">
        <v>140</v>
      </c>
      <c r="C781" s="773">
        <v>760</v>
      </c>
      <c r="D781" s="773">
        <v>72</v>
      </c>
      <c r="E781" s="773" t="s">
        <v>410</v>
      </c>
      <c r="S781" s="27">
        <v>44135</v>
      </c>
      <c r="T781" s="773" t="s">
        <v>132</v>
      </c>
      <c r="U781" s="773">
        <v>275</v>
      </c>
      <c r="V781" s="773">
        <v>1373</v>
      </c>
      <c r="W781" s="773" t="str">
        <f t="shared" si="19"/>
        <v>N</v>
      </c>
    </row>
    <row r="782" spans="1:23">
      <c r="A782" s="27">
        <v>44316</v>
      </c>
      <c r="B782" s="773" t="s">
        <v>140</v>
      </c>
      <c r="C782" s="773">
        <v>548</v>
      </c>
      <c r="D782" s="773">
        <v>553</v>
      </c>
      <c r="E782" s="773" t="s">
        <v>390</v>
      </c>
      <c r="S782" s="27">
        <v>44135</v>
      </c>
      <c r="T782" s="773" t="s">
        <v>132</v>
      </c>
      <c r="U782" s="773">
        <v>255</v>
      </c>
      <c r="V782" s="773">
        <v>2753</v>
      </c>
      <c r="W782" s="773" t="str">
        <f t="shared" si="19"/>
        <v>N</v>
      </c>
    </row>
    <row r="783" spans="1:23">
      <c r="A783" s="27">
        <v>44316</v>
      </c>
      <c r="B783" s="773" t="s">
        <v>140</v>
      </c>
      <c r="C783" s="773">
        <v>558</v>
      </c>
      <c r="D783" s="773">
        <v>1327</v>
      </c>
      <c r="E783" s="773" t="s">
        <v>390</v>
      </c>
      <c r="S783" s="27">
        <v>44500</v>
      </c>
      <c r="T783" s="773" t="s">
        <v>132</v>
      </c>
      <c r="U783" s="773">
        <v>247</v>
      </c>
      <c r="V783" s="773">
        <v>2340</v>
      </c>
      <c r="W783" s="773" t="str">
        <f t="shared" si="19"/>
        <v>N</v>
      </c>
    </row>
    <row r="784" spans="1:23">
      <c r="A784" s="27">
        <v>44681</v>
      </c>
      <c r="B784" s="773" t="s">
        <v>140</v>
      </c>
      <c r="C784" s="773">
        <v>639</v>
      </c>
      <c r="D784" s="773">
        <v>111</v>
      </c>
      <c r="E784" s="773" t="s">
        <v>390</v>
      </c>
      <c r="S784" s="27">
        <v>44500</v>
      </c>
      <c r="T784" s="773" t="s">
        <v>132</v>
      </c>
      <c r="U784" s="773">
        <v>83</v>
      </c>
      <c r="V784" s="773">
        <v>2159</v>
      </c>
      <c r="W784" s="773" t="str">
        <f t="shared" si="19"/>
        <v>N</v>
      </c>
    </row>
    <row r="785" spans="1:23">
      <c r="A785" s="27">
        <v>44681</v>
      </c>
      <c r="B785" s="773" t="s">
        <v>140</v>
      </c>
      <c r="C785" s="773">
        <v>742</v>
      </c>
      <c r="D785" s="773">
        <v>1</v>
      </c>
      <c r="E785" s="773" t="s">
        <v>410</v>
      </c>
      <c r="S785" s="27">
        <v>44500</v>
      </c>
      <c r="T785" s="773" t="s">
        <v>132</v>
      </c>
      <c r="U785" s="773">
        <v>664</v>
      </c>
      <c r="V785" s="773">
        <v>2200</v>
      </c>
      <c r="W785" s="773" t="str">
        <f t="shared" si="19"/>
        <v>N</v>
      </c>
    </row>
    <row r="786" spans="1:23">
      <c r="A786" s="27">
        <v>44681</v>
      </c>
      <c r="B786" s="773" t="s">
        <v>140</v>
      </c>
      <c r="C786" s="773">
        <v>346</v>
      </c>
      <c r="D786" s="773">
        <v>3</v>
      </c>
      <c r="E786" s="773" t="s">
        <v>410</v>
      </c>
      <c r="S786" s="27">
        <v>44135</v>
      </c>
      <c r="T786" s="773" t="s">
        <v>132</v>
      </c>
      <c r="U786" s="773">
        <v>213</v>
      </c>
      <c r="V786" s="773">
        <v>2935</v>
      </c>
      <c r="W786" s="773" t="str">
        <f t="shared" si="19"/>
        <v>N</v>
      </c>
    </row>
    <row r="787" spans="1:23">
      <c r="A787" s="27">
        <v>44681</v>
      </c>
      <c r="B787" s="773" t="s">
        <v>140</v>
      </c>
      <c r="C787" s="773">
        <v>659</v>
      </c>
      <c r="D787" s="773">
        <v>616</v>
      </c>
      <c r="E787" s="773" t="s">
        <v>390</v>
      </c>
      <c r="S787" s="27">
        <v>44500</v>
      </c>
      <c r="T787" s="773" t="s">
        <v>132</v>
      </c>
      <c r="U787" s="773">
        <v>246</v>
      </c>
      <c r="V787" s="773">
        <v>5</v>
      </c>
      <c r="W787" s="773" t="str">
        <f t="shared" si="19"/>
        <v>O</v>
      </c>
    </row>
    <row r="788" spans="1:23">
      <c r="A788" s="27">
        <v>44316</v>
      </c>
      <c r="B788" s="773" t="s">
        <v>140</v>
      </c>
      <c r="C788" s="773">
        <v>574</v>
      </c>
      <c r="D788" s="773">
        <v>1561</v>
      </c>
      <c r="E788" s="773" t="s">
        <v>390</v>
      </c>
      <c r="S788" s="27">
        <v>44500</v>
      </c>
      <c r="T788" s="773" t="s">
        <v>132</v>
      </c>
      <c r="U788" s="773">
        <v>159</v>
      </c>
      <c r="V788" s="773">
        <v>20</v>
      </c>
      <c r="W788" s="773" t="str">
        <f t="shared" si="19"/>
        <v>O</v>
      </c>
    </row>
    <row r="789" spans="1:23">
      <c r="A789" s="27">
        <v>44316</v>
      </c>
      <c r="B789" s="773" t="s">
        <v>140</v>
      </c>
      <c r="C789" s="773">
        <v>493</v>
      </c>
      <c r="D789" s="773">
        <v>9</v>
      </c>
      <c r="E789" s="773" t="s">
        <v>410</v>
      </c>
      <c r="S789" s="27">
        <v>44135</v>
      </c>
      <c r="T789" s="773" t="s">
        <v>132</v>
      </c>
      <c r="U789" s="773">
        <v>58</v>
      </c>
      <c r="V789" s="773">
        <v>3</v>
      </c>
      <c r="W789" s="773" t="str">
        <f t="shared" si="19"/>
        <v>O</v>
      </c>
    </row>
    <row r="790" spans="1:23">
      <c r="A790" s="27">
        <v>44681</v>
      </c>
      <c r="B790" s="773" t="s">
        <v>140</v>
      </c>
      <c r="C790" s="773">
        <v>712</v>
      </c>
      <c r="D790" s="773">
        <v>1</v>
      </c>
      <c r="E790" s="773" t="s">
        <v>410</v>
      </c>
      <c r="S790" s="27">
        <v>44500</v>
      </c>
      <c r="T790" s="773" t="s">
        <v>132</v>
      </c>
      <c r="U790" s="773">
        <v>266</v>
      </c>
      <c r="V790" s="773">
        <v>2289</v>
      </c>
      <c r="W790" s="773" t="str">
        <f t="shared" si="19"/>
        <v>N</v>
      </c>
    </row>
    <row r="791" spans="1:23">
      <c r="A791" s="27">
        <v>44316</v>
      </c>
      <c r="B791" s="773" t="s">
        <v>140</v>
      </c>
      <c r="C791" s="773">
        <v>524</v>
      </c>
      <c r="D791" s="773">
        <v>1191</v>
      </c>
      <c r="E791" s="773" t="s">
        <v>390</v>
      </c>
      <c r="S791" s="27">
        <v>44135</v>
      </c>
      <c r="T791" s="773" t="s">
        <v>132</v>
      </c>
      <c r="U791" s="773">
        <v>239</v>
      </c>
      <c r="V791" s="773">
        <v>3531</v>
      </c>
      <c r="W791" s="773" t="str">
        <f t="shared" si="19"/>
        <v>N</v>
      </c>
    </row>
    <row r="792" spans="1:23">
      <c r="A792" s="27">
        <v>44681</v>
      </c>
      <c r="B792" s="773" t="s">
        <v>140</v>
      </c>
      <c r="C792" s="773">
        <v>338</v>
      </c>
      <c r="D792" s="773">
        <v>2410</v>
      </c>
      <c r="E792" s="773" t="s">
        <v>390</v>
      </c>
      <c r="S792" s="27">
        <v>44500</v>
      </c>
      <c r="T792" s="773" t="s">
        <v>132</v>
      </c>
      <c r="U792" s="773">
        <v>680</v>
      </c>
      <c r="V792" s="773">
        <v>327</v>
      </c>
      <c r="W792" s="773" t="str">
        <f t="shared" si="19"/>
        <v>N</v>
      </c>
    </row>
    <row r="793" spans="1:23">
      <c r="A793" s="27">
        <v>44316</v>
      </c>
      <c r="B793" s="773" t="s">
        <v>140</v>
      </c>
      <c r="C793" s="773">
        <v>449</v>
      </c>
      <c r="D793" s="773">
        <v>1989</v>
      </c>
      <c r="E793" s="773" t="s">
        <v>390</v>
      </c>
      <c r="S793" s="27">
        <v>44135</v>
      </c>
      <c r="T793" s="773" t="s">
        <v>132</v>
      </c>
      <c r="U793" s="773">
        <v>674</v>
      </c>
      <c r="V793" s="773">
        <v>1903</v>
      </c>
      <c r="W793" s="773" t="str">
        <f t="shared" si="19"/>
        <v>N</v>
      </c>
    </row>
    <row r="794" spans="1:23">
      <c r="A794" s="27">
        <v>44681</v>
      </c>
      <c r="B794" s="773" t="s">
        <v>140</v>
      </c>
      <c r="C794" s="773">
        <v>469</v>
      </c>
      <c r="D794" s="773">
        <v>7</v>
      </c>
      <c r="E794" s="773" t="s">
        <v>410</v>
      </c>
      <c r="S794" s="27">
        <v>44135</v>
      </c>
      <c r="T794" s="773" t="s">
        <v>132</v>
      </c>
      <c r="U794" s="773">
        <v>247</v>
      </c>
      <c r="V794" s="773">
        <v>10</v>
      </c>
      <c r="W794" s="773" t="str">
        <f t="shared" si="19"/>
        <v>O</v>
      </c>
    </row>
    <row r="795" spans="1:23">
      <c r="A795" s="27">
        <v>44316</v>
      </c>
      <c r="B795" s="773" t="s">
        <v>140</v>
      </c>
      <c r="C795" s="773">
        <v>447</v>
      </c>
      <c r="D795" s="773">
        <v>1</v>
      </c>
      <c r="E795" s="773" t="s">
        <v>410</v>
      </c>
      <c r="S795" s="27">
        <v>44500</v>
      </c>
      <c r="T795" s="773" t="s">
        <v>132</v>
      </c>
      <c r="U795" s="773">
        <v>687</v>
      </c>
      <c r="V795" s="773">
        <v>2694</v>
      </c>
      <c r="W795" s="773" t="str">
        <f t="shared" si="19"/>
        <v>N</v>
      </c>
    </row>
    <row r="796" spans="1:23">
      <c r="A796" s="27">
        <v>44681</v>
      </c>
      <c r="B796" s="773" t="s">
        <v>140</v>
      </c>
      <c r="C796" s="773">
        <v>558</v>
      </c>
      <c r="D796" s="773">
        <v>1283</v>
      </c>
      <c r="E796" s="773" t="s">
        <v>390</v>
      </c>
      <c r="S796" s="27">
        <v>44500</v>
      </c>
      <c r="T796" s="773" t="s">
        <v>132</v>
      </c>
      <c r="U796" s="773">
        <v>91</v>
      </c>
      <c r="V796" s="773">
        <v>2</v>
      </c>
      <c r="W796" s="773" t="str">
        <f t="shared" si="19"/>
        <v>O</v>
      </c>
    </row>
    <row r="797" spans="1:23">
      <c r="A797" s="27">
        <v>44681</v>
      </c>
      <c r="B797" s="773" t="s">
        <v>140</v>
      </c>
      <c r="C797" s="773">
        <v>626</v>
      </c>
      <c r="D797" s="773">
        <v>2819</v>
      </c>
      <c r="E797" s="773" t="s">
        <v>390</v>
      </c>
      <c r="S797" s="27">
        <v>44500</v>
      </c>
      <c r="T797" s="773" t="s">
        <v>132</v>
      </c>
      <c r="U797" s="773">
        <v>322</v>
      </c>
      <c r="V797" s="773">
        <v>2107</v>
      </c>
      <c r="W797" s="773" t="str">
        <f t="shared" si="19"/>
        <v>N</v>
      </c>
    </row>
    <row r="798" spans="1:23">
      <c r="A798" s="27">
        <v>44316</v>
      </c>
      <c r="B798" s="773" t="s">
        <v>140</v>
      </c>
      <c r="C798" s="773">
        <v>346</v>
      </c>
      <c r="D798" s="773">
        <v>1</v>
      </c>
      <c r="E798" s="773" t="s">
        <v>410</v>
      </c>
      <c r="S798" s="27">
        <v>44135</v>
      </c>
      <c r="T798" s="773" t="s">
        <v>132</v>
      </c>
      <c r="U798" s="773">
        <v>77</v>
      </c>
      <c r="V798" s="773">
        <v>3436</v>
      </c>
      <c r="W798" s="773" t="str">
        <f t="shared" si="19"/>
        <v>N</v>
      </c>
    </row>
    <row r="799" spans="1:23">
      <c r="A799" s="27">
        <v>44681</v>
      </c>
      <c r="B799" s="773" t="s">
        <v>140</v>
      </c>
      <c r="C799" s="773">
        <v>758</v>
      </c>
      <c r="D799" s="773">
        <v>1</v>
      </c>
      <c r="E799" s="773" t="s">
        <v>410</v>
      </c>
      <c r="S799" s="27">
        <v>44135</v>
      </c>
      <c r="T799" s="773" t="s">
        <v>132</v>
      </c>
      <c r="U799" s="773">
        <v>311</v>
      </c>
      <c r="V799" s="773">
        <v>2427</v>
      </c>
      <c r="W799" s="773" t="str">
        <f t="shared" si="19"/>
        <v>N</v>
      </c>
    </row>
    <row r="800" spans="1:23">
      <c r="A800" s="27">
        <v>44316</v>
      </c>
      <c r="B800" s="773" t="s">
        <v>140</v>
      </c>
      <c r="C800" s="773">
        <v>359</v>
      </c>
      <c r="D800" s="773">
        <v>581</v>
      </c>
      <c r="E800" s="773" t="s">
        <v>390</v>
      </c>
      <c r="S800" s="27">
        <v>44135</v>
      </c>
      <c r="T800" s="773" t="s">
        <v>132</v>
      </c>
      <c r="U800" s="773">
        <v>101</v>
      </c>
      <c r="V800" s="773">
        <v>916</v>
      </c>
      <c r="W800" s="773" t="str">
        <f t="shared" si="19"/>
        <v>N</v>
      </c>
    </row>
    <row r="801" spans="1:23">
      <c r="A801" s="27">
        <v>44316</v>
      </c>
      <c r="B801" s="773" t="s">
        <v>140</v>
      </c>
      <c r="C801" s="773">
        <v>485</v>
      </c>
      <c r="D801" s="773">
        <v>1793</v>
      </c>
      <c r="E801" s="773" t="s">
        <v>390</v>
      </c>
      <c r="S801" s="27">
        <v>44500</v>
      </c>
      <c r="T801" s="773" t="s">
        <v>132</v>
      </c>
      <c r="U801" s="773">
        <v>43</v>
      </c>
      <c r="V801" s="773">
        <v>3126</v>
      </c>
      <c r="W801" s="773" t="str">
        <f t="shared" si="19"/>
        <v>N</v>
      </c>
    </row>
    <row r="802" spans="1:23">
      <c r="A802" s="27">
        <v>44681</v>
      </c>
      <c r="B802" s="773" t="s">
        <v>140</v>
      </c>
      <c r="C802" s="773">
        <v>379</v>
      </c>
      <c r="D802" s="773">
        <v>1</v>
      </c>
      <c r="E802" s="773" t="s">
        <v>410</v>
      </c>
      <c r="S802" s="27">
        <v>44500</v>
      </c>
      <c r="T802" s="773" t="s">
        <v>132</v>
      </c>
      <c r="U802" s="773">
        <v>53</v>
      </c>
      <c r="V802" s="773">
        <v>2</v>
      </c>
      <c r="W802" s="773" t="str">
        <f t="shared" si="19"/>
        <v>O</v>
      </c>
    </row>
    <row r="803" spans="1:23">
      <c r="A803" s="27">
        <v>44681</v>
      </c>
      <c r="B803" s="773" t="s">
        <v>140</v>
      </c>
      <c r="C803" s="773">
        <v>582</v>
      </c>
      <c r="D803" s="773">
        <v>2245</v>
      </c>
      <c r="E803" s="773" t="s">
        <v>390</v>
      </c>
      <c r="S803" s="27">
        <v>44135</v>
      </c>
      <c r="T803" s="773" t="s">
        <v>132</v>
      </c>
      <c r="U803" s="773">
        <v>46</v>
      </c>
      <c r="V803" s="773">
        <v>2779</v>
      </c>
      <c r="W803" s="773" t="str">
        <f t="shared" si="19"/>
        <v>N</v>
      </c>
    </row>
    <row r="804" spans="1:23">
      <c r="A804" s="27">
        <v>44681</v>
      </c>
      <c r="B804" s="773" t="s">
        <v>140</v>
      </c>
      <c r="C804" s="773">
        <v>576</v>
      </c>
      <c r="D804" s="773">
        <v>245</v>
      </c>
      <c r="E804" s="773" t="s">
        <v>390</v>
      </c>
      <c r="S804" s="27">
        <v>44135</v>
      </c>
      <c r="T804" s="773" t="s">
        <v>132</v>
      </c>
      <c r="U804" s="773">
        <v>650</v>
      </c>
      <c r="V804" s="773">
        <v>55</v>
      </c>
      <c r="W804" s="773" t="str">
        <f t="shared" si="19"/>
        <v>O</v>
      </c>
    </row>
    <row r="805" spans="1:23">
      <c r="A805" s="27">
        <v>44681</v>
      </c>
      <c r="B805" s="773" t="s">
        <v>140</v>
      </c>
      <c r="C805" s="773">
        <v>674</v>
      </c>
      <c r="D805" s="773">
        <v>1725</v>
      </c>
      <c r="E805" s="773" t="s">
        <v>390</v>
      </c>
      <c r="S805" s="27">
        <v>44135</v>
      </c>
      <c r="T805" s="773" t="s">
        <v>132</v>
      </c>
      <c r="U805" s="773">
        <v>0</v>
      </c>
      <c r="V805" s="773">
        <v>42</v>
      </c>
      <c r="W805" s="773" t="str">
        <f t="shared" si="19"/>
        <v>O</v>
      </c>
    </row>
    <row r="806" spans="1:23">
      <c r="A806" s="27">
        <v>44681</v>
      </c>
      <c r="B806" s="773" t="s">
        <v>140</v>
      </c>
      <c r="C806" s="773">
        <v>485</v>
      </c>
      <c r="D806" s="773">
        <v>1173</v>
      </c>
      <c r="E806" s="773" t="s">
        <v>390</v>
      </c>
      <c r="S806" s="27">
        <v>44500</v>
      </c>
      <c r="T806" s="773" t="s">
        <v>132</v>
      </c>
      <c r="U806" s="773">
        <v>236</v>
      </c>
      <c r="V806" s="773">
        <v>1</v>
      </c>
      <c r="W806" s="773" t="str">
        <f t="shared" si="19"/>
        <v>O</v>
      </c>
    </row>
    <row r="807" spans="1:23">
      <c r="A807" s="27">
        <v>44316</v>
      </c>
      <c r="B807" s="773" t="s">
        <v>140</v>
      </c>
      <c r="C807" s="773">
        <v>338</v>
      </c>
      <c r="D807" s="773">
        <v>2727</v>
      </c>
      <c r="E807" s="773" t="s">
        <v>390</v>
      </c>
      <c r="S807" s="27">
        <v>44135</v>
      </c>
      <c r="T807" s="773" t="s">
        <v>132</v>
      </c>
      <c r="U807" s="773">
        <v>290</v>
      </c>
      <c r="V807" s="773">
        <v>2547</v>
      </c>
      <c r="W807" s="773" t="str">
        <f t="shared" si="19"/>
        <v>N</v>
      </c>
    </row>
    <row r="808" spans="1:23">
      <c r="A808" s="27">
        <v>44681</v>
      </c>
      <c r="B808" s="773" t="s">
        <v>140</v>
      </c>
      <c r="C808" s="773">
        <v>722</v>
      </c>
      <c r="D808" s="773">
        <v>1832</v>
      </c>
      <c r="E808" s="773" t="s">
        <v>390</v>
      </c>
      <c r="S808" s="27">
        <v>44135</v>
      </c>
      <c r="T808" s="773" t="s">
        <v>132</v>
      </c>
      <c r="U808" s="773">
        <v>40</v>
      </c>
      <c r="V808" s="773">
        <v>3</v>
      </c>
      <c r="W808" s="773" t="str">
        <f t="shared" si="19"/>
        <v>O</v>
      </c>
    </row>
    <row r="809" spans="1:23">
      <c r="A809" s="27">
        <v>44681</v>
      </c>
      <c r="B809" s="773" t="s">
        <v>140</v>
      </c>
      <c r="C809" s="773">
        <v>630</v>
      </c>
      <c r="D809" s="773">
        <v>1</v>
      </c>
      <c r="E809" s="773" t="s">
        <v>410</v>
      </c>
      <c r="S809" s="27">
        <v>44500</v>
      </c>
      <c r="T809" s="773" t="s">
        <v>132</v>
      </c>
      <c r="U809" s="773">
        <v>323</v>
      </c>
      <c r="V809" s="773">
        <v>2928</v>
      </c>
      <c r="W809" s="773" t="str">
        <f t="shared" si="19"/>
        <v>N</v>
      </c>
    </row>
    <row r="810" spans="1:23">
      <c r="A810" s="27">
        <v>44681</v>
      </c>
      <c r="B810" s="773" t="s">
        <v>140</v>
      </c>
      <c r="C810" s="773">
        <v>710</v>
      </c>
      <c r="D810" s="773">
        <v>2755</v>
      </c>
      <c r="E810" s="773" t="s">
        <v>390</v>
      </c>
      <c r="S810" s="27">
        <v>44135</v>
      </c>
      <c r="T810" s="773" t="s">
        <v>132</v>
      </c>
      <c r="U810" s="773">
        <v>161</v>
      </c>
      <c r="V810" s="773">
        <v>7</v>
      </c>
      <c r="W810" s="773" t="str">
        <f t="shared" si="19"/>
        <v>O</v>
      </c>
    </row>
    <row r="811" spans="1:23">
      <c r="A811" s="27">
        <v>44681</v>
      </c>
      <c r="B811" s="773" t="s">
        <v>140</v>
      </c>
      <c r="C811" s="773">
        <v>678</v>
      </c>
      <c r="D811" s="773">
        <v>1</v>
      </c>
      <c r="E811" s="773" t="s">
        <v>410</v>
      </c>
      <c r="S811" s="27">
        <v>44135</v>
      </c>
      <c r="T811" s="773" t="s">
        <v>132</v>
      </c>
      <c r="U811" s="773">
        <v>59</v>
      </c>
      <c r="V811" s="773">
        <v>120</v>
      </c>
      <c r="W811" s="773" t="str">
        <f t="shared" si="19"/>
        <v>N</v>
      </c>
    </row>
    <row r="812" spans="1:23">
      <c r="A812" s="27">
        <v>44316</v>
      </c>
      <c r="B812" s="773" t="s">
        <v>140</v>
      </c>
      <c r="C812" s="773">
        <v>453</v>
      </c>
      <c r="D812" s="773">
        <v>2484</v>
      </c>
      <c r="E812" s="773" t="s">
        <v>390</v>
      </c>
      <c r="S812" s="27">
        <v>44500</v>
      </c>
      <c r="T812" s="773" t="s">
        <v>132</v>
      </c>
      <c r="U812" s="773">
        <v>58</v>
      </c>
      <c r="V812" s="773">
        <v>3</v>
      </c>
      <c r="W812" s="773" t="str">
        <f t="shared" si="19"/>
        <v>O</v>
      </c>
    </row>
    <row r="813" spans="1:23">
      <c r="A813" s="27">
        <v>44316</v>
      </c>
      <c r="B813" s="773" t="s">
        <v>140</v>
      </c>
      <c r="C813" s="773">
        <v>610</v>
      </c>
      <c r="D813" s="773">
        <v>3104</v>
      </c>
      <c r="E813" s="773" t="s">
        <v>390</v>
      </c>
      <c r="S813" s="27">
        <v>44500</v>
      </c>
      <c r="T813" s="773" t="s">
        <v>132</v>
      </c>
      <c r="U813" s="773">
        <v>255</v>
      </c>
      <c r="V813" s="773">
        <v>42</v>
      </c>
      <c r="W813" s="773" t="str">
        <f t="shared" si="19"/>
        <v>O</v>
      </c>
    </row>
    <row r="814" spans="1:23">
      <c r="A814" s="27">
        <v>44316</v>
      </c>
      <c r="B814" s="773" t="s">
        <v>140</v>
      </c>
      <c r="C814" s="773">
        <v>248</v>
      </c>
      <c r="D814" s="773">
        <v>443</v>
      </c>
      <c r="E814" s="773" t="s">
        <v>390</v>
      </c>
      <c r="S814" s="27">
        <v>44500</v>
      </c>
      <c r="T814" s="773" t="s">
        <v>132</v>
      </c>
      <c r="U814" s="773">
        <v>92</v>
      </c>
      <c r="V814" s="773">
        <v>2673</v>
      </c>
      <c r="W814" s="773" t="str">
        <f t="shared" si="19"/>
        <v>N</v>
      </c>
    </row>
    <row r="815" spans="1:23">
      <c r="A815" s="27">
        <v>44316</v>
      </c>
      <c r="B815" s="773" t="s">
        <v>140</v>
      </c>
      <c r="C815" s="773">
        <v>674</v>
      </c>
      <c r="D815" s="773">
        <v>1601</v>
      </c>
      <c r="E815" s="773" t="s">
        <v>390</v>
      </c>
      <c r="S815" s="27">
        <v>44500</v>
      </c>
      <c r="T815" s="773" t="s">
        <v>132</v>
      </c>
      <c r="U815" s="773">
        <v>39</v>
      </c>
      <c r="V815" s="773">
        <v>1</v>
      </c>
      <c r="W815" s="773" t="str">
        <f t="shared" si="19"/>
        <v>O</v>
      </c>
    </row>
    <row r="816" spans="1:23">
      <c r="A816" s="27">
        <v>44681</v>
      </c>
      <c r="B816" s="773" t="s">
        <v>140</v>
      </c>
      <c r="C816" s="773">
        <v>648</v>
      </c>
      <c r="D816" s="773">
        <v>1366</v>
      </c>
      <c r="E816" s="773" t="s">
        <v>390</v>
      </c>
      <c r="S816" s="27">
        <v>44500</v>
      </c>
      <c r="T816" s="773" t="s">
        <v>132</v>
      </c>
      <c r="U816" s="773">
        <v>269</v>
      </c>
      <c r="V816" s="773">
        <v>1</v>
      </c>
      <c r="W816" s="773" t="str">
        <f t="shared" si="19"/>
        <v>O</v>
      </c>
    </row>
    <row r="817" spans="1:23">
      <c r="A817" s="27">
        <v>44316</v>
      </c>
      <c r="B817" s="773" t="s">
        <v>140</v>
      </c>
      <c r="C817" s="773">
        <v>648</v>
      </c>
      <c r="D817" s="773">
        <v>1421</v>
      </c>
      <c r="E817" s="773" t="s">
        <v>390</v>
      </c>
      <c r="S817" s="27">
        <v>44500</v>
      </c>
      <c r="T817" s="773" t="s">
        <v>132</v>
      </c>
      <c r="U817" s="773">
        <v>275</v>
      </c>
      <c r="V817" s="773">
        <v>842</v>
      </c>
      <c r="W817" s="773" t="str">
        <f t="shared" si="19"/>
        <v>N</v>
      </c>
    </row>
    <row r="818" spans="1:23">
      <c r="A818" s="27">
        <v>44316</v>
      </c>
      <c r="B818" s="773" t="s">
        <v>140</v>
      </c>
      <c r="C818" s="773">
        <v>387</v>
      </c>
      <c r="D818" s="773">
        <v>10</v>
      </c>
      <c r="E818" s="773" t="s">
        <v>410</v>
      </c>
      <c r="S818" s="27">
        <v>44135</v>
      </c>
      <c r="T818" s="773" t="s">
        <v>132</v>
      </c>
      <c r="U818" s="773">
        <v>253</v>
      </c>
      <c r="V818" s="773">
        <v>4178</v>
      </c>
      <c r="W818" s="773" t="str">
        <f t="shared" si="19"/>
        <v>N</v>
      </c>
    </row>
    <row r="819" spans="1:23">
      <c r="A819" s="27">
        <v>44681</v>
      </c>
      <c r="B819" s="773" t="s">
        <v>140</v>
      </c>
      <c r="C819" s="773">
        <v>640</v>
      </c>
      <c r="D819" s="773">
        <v>3054</v>
      </c>
      <c r="E819" s="773" t="s">
        <v>390</v>
      </c>
      <c r="S819" s="27">
        <v>44500</v>
      </c>
      <c r="T819" s="773" t="s">
        <v>132</v>
      </c>
      <c r="U819" s="773">
        <v>528</v>
      </c>
      <c r="V819" s="773">
        <v>420</v>
      </c>
      <c r="W819" s="773" t="str">
        <f t="shared" si="19"/>
        <v>N</v>
      </c>
    </row>
    <row r="820" spans="1:23">
      <c r="A820" s="27">
        <v>44681</v>
      </c>
      <c r="B820" s="773" t="s">
        <v>140</v>
      </c>
      <c r="C820" s="773">
        <v>601</v>
      </c>
      <c r="D820" s="773">
        <v>3</v>
      </c>
      <c r="E820" s="773" t="s">
        <v>410</v>
      </c>
      <c r="S820" s="27">
        <v>44500</v>
      </c>
      <c r="T820" s="773" t="s">
        <v>132</v>
      </c>
      <c r="U820" s="773">
        <v>200</v>
      </c>
      <c r="V820" s="773">
        <v>3</v>
      </c>
      <c r="W820" s="773" t="str">
        <f t="shared" si="19"/>
        <v>O</v>
      </c>
    </row>
    <row r="821" spans="1:23">
      <c r="A821" s="27">
        <v>44316</v>
      </c>
      <c r="B821" s="773" t="s">
        <v>140</v>
      </c>
      <c r="C821" s="773">
        <v>530</v>
      </c>
      <c r="D821" s="773">
        <v>2</v>
      </c>
      <c r="E821" s="773" t="s">
        <v>410</v>
      </c>
      <c r="S821" s="27">
        <v>44135</v>
      </c>
      <c r="T821" s="773" t="s">
        <v>132</v>
      </c>
      <c r="U821" s="773">
        <v>694</v>
      </c>
      <c r="V821" s="773">
        <v>1</v>
      </c>
      <c r="W821" s="773" t="str">
        <f t="shared" si="19"/>
        <v>O</v>
      </c>
    </row>
    <row r="822" spans="1:23">
      <c r="A822" s="27">
        <v>44316</v>
      </c>
      <c r="B822" s="773" t="s">
        <v>140</v>
      </c>
      <c r="C822" s="773">
        <v>478</v>
      </c>
      <c r="D822" s="773">
        <v>2185</v>
      </c>
      <c r="E822" s="773" t="s">
        <v>390</v>
      </c>
      <c r="S822" s="27">
        <v>44135</v>
      </c>
      <c r="T822" s="773" t="s">
        <v>132</v>
      </c>
      <c r="U822" s="773">
        <v>215</v>
      </c>
      <c r="V822" s="773">
        <v>593</v>
      </c>
      <c r="W822" s="773" t="str">
        <f t="shared" si="19"/>
        <v>N</v>
      </c>
    </row>
    <row r="823" spans="1:23">
      <c r="A823" s="27">
        <v>44681</v>
      </c>
      <c r="B823" s="773" t="s">
        <v>140</v>
      </c>
      <c r="C823" s="773">
        <v>524</v>
      </c>
      <c r="D823" s="773">
        <v>1113</v>
      </c>
      <c r="E823" s="773" t="s">
        <v>390</v>
      </c>
      <c r="S823" s="27">
        <v>44135</v>
      </c>
      <c r="T823" s="773" t="s">
        <v>132</v>
      </c>
      <c r="U823" s="773">
        <v>183</v>
      </c>
      <c r="V823" s="773">
        <v>2450</v>
      </c>
      <c r="W823" s="773" t="str">
        <f t="shared" si="19"/>
        <v>N</v>
      </c>
    </row>
    <row r="824" spans="1:23">
      <c r="A824" s="27">
        <v>44316</v>
      </c>
      <c r="B824" s="773" t="s">
        <v>140</v>
      </c>
      <c r="C824" s="773">
        <v>582</v>
      </c>
      <c r="D824" s="773">
        <v>2448</v>
      </c>
      <c r="E824" s="773" t="s">
        <v>390</v>
      </c>
      <c r="S824" s="27">
        <v>44500</v>
      </c>
      <c r="T824" s="773" t="s">
        <v>132</v>
      </c>
      <c r="U824" s="773">
        <v>59</v>
      </c>
      <c r="V824" s="773">
        <v>69</v>
      </c>
      <c r="W824" s="773" t="str">
        <f t="shared" si="19"/>
        <v>O</v>
      </c>
    </row>
    <row r="825" spans="1:23">
      <c r="A825" s="27">
        <v>44316</v>
      </c>
      <c r="B825" s="773" t="s">
        <v>140</v>
      </c>
      <c r="C825" s="773">
        <v>585</v>
      </c>
      <c r="D825" s="773">
        <v>2420</v>
      </c>
      <c r="E825" s="773" t="s">
        <v>390</v>
      </c>
      <c r="S825" s="27">
        <v>44500</v>
      </c>
      <c r="T825" s="773" t="s">
        <v>132</v>
      </c>
      <c r="U825" s="773">
        <v>645</v>
      </c>
      <c r="V825" s="773">
        <v>2742</v>
      </c>
      <c r="W825" s="773" t="str">
        <f t="shared" si="19"/>
        <v>N</v>
      </c>
    </row>
    <row r="826" spans="1:23">
      <c r="A826" s="27">
        <v>44316</v>
      </c>
      <c r="B826" s="773" t="s">
        <v>140</v>
      </c>
      <c r="C826" s="773">
        <v>719</v>
      </c>
      <c r="D826" s="773">
        <v>3</v>
      </c>
      <c r="E826" s="773" t="s">
        <v>410</v>
      </c>
      <c r="S826" s="27">
        <v>44135</v>
      </c>
      <c r="T826" s="773" t="s">
        <v>132</v>
      </c>
      <c r="U826" s="773">
        <v>52</v>
      </c>
      <c r="V826" s="773">
        <v>2</v>
      </c>
      <c r="W826" s="773" t="str">
        <f t="shared" si="19"/>
        <v>O</v>
      </c>
    </row>
    <row r="827" spans="1:23">
      <c r="A827" s="27">
        <v>44316</v>
      </c>
      <c r="B827" s="773" t="s">
        <v>140</v>
      </c>
      <c r="C827" s="773">
        <v>608</v>
      </c>
      <c r="D827" s="773">
        <v>2721</v>
      </c>
      <c r="E827" s="773" t="s">
        <v>390</v>
      </c>
      <c r="S827" s="27">
        <v>44500</v>
      </c>
      <c r="T827" s="773" t="s">
        <v>132</v>
      </c>
      <c r="U827" s="773">
        <v>70</v>
      </c>
      <c r="V827" s="773">
        <v>242</v>
      </c>
      <c r="W827" s="773" t="str">
        <f t="shared" si="19"/>
        <v>N</v>
      </c>
    </row>
    <row r="828" spans="1:23">
      <c r="A828" s="27">
        <v>44681</v>
      </c>
      <c r="B828" s="773" t="s">
        <v>140</v>
      </c>
      <c r="C828" s="773">
        <v>502</v>
      </c>
      <c r="D828" s="773">
        <v>496</v>
      </c>
      <c r="E828" s="773" t="s">
        <v>390</v>
      </c>
      <c r="S828" s="27">
        <v>44135</v>
      </c>
      <c r="T828" s="773" t="s">
        <v>132</v>
      </c>
      <c r="U828" s="773">
        <v>41</v>
      </c>
      <c r="V828" s="773">
        <v>1</v>
      </c>
      <c r="W828" s="773" t="str">
        <f t="shared" si="19"/>
        <v>O</v>
      </c>
    </row>
    <row r="829" spans="1:23">
      <c r="A829" s="27">
        <v>44316</v>
      </c>
      <c r="B829" s="773" t="s">
        <v>140</v>
      </c>
      <c r="C829" s="773">
        <v>383</v>
      </c>
      <c r="D829" s="773">
        <v>3</v>
      </c>
      <c r="E829" s="773" t="s">
        <v>410</v>
      </c>
      <c r="S829" s="27">
        <v>44135</v>
      </c>
      <c r="T829" s="773" t="s">
        <v>132</v>
      </c>
      <c r="U829" s="773">
        <v>652</v>
      </c>
      <c r="V829" s="773">
        <v>2877</v>
      </c>
      <c r="W829" s="773" t="str">
        <f t="shared" si="19"/>
        <v>N</v>
      </c>
    </row>
    <row r="830" spans="1:23">
      <c r="A830" s="27">
        <v>44316</v>
      </c>
      <c r="B830" s="773" t="s">
        <v>140</v>
      </c>
      <c r="C830" s="773">
        <v>691</v>
      </c>
      <c r="D830" s="773">
        <v>239</v>
      </c>
      <c r="E830" s="773" t="s">
        <v>390</v>
      </c>
      <c r="S830" s="27">
        <v>44500</v>
      </c>
      <c r="T830" s="773" t="s">
        <v>132</v>
      </c>
      <c r="U830" s="773">
        <v>132</v>
      </c>
      <c r="V830" s="773">
        <v>2947</v>
      </c>
      <c r="W830" s="773" t="str">
        <f t="shared" si="19"/>
        <v>N</v>
      </c>
    </row>
    <row r="831" spans="1:23">
      <c r="A831" s="27">
        <v>44681</v>
      </c>
      <c r="B831" s="773" t="s">
        <v>140</v>
      </c>
      <c r="C831" s="773">
        <v>0</v>
      </c>
      <c r="D831" s="773">
        <v>7</v>
      </c>
      <c r="E831" s="773" t="s">
        <v>410</v>
      </c>
      <c r="S831" s="27">
        <v>44135</v>
      </c>
      <c r="T831" s="773" t="s">
        <v>132</v>
      </c>
      <c r="U831" s="773">
        <v>97</v>
      </c>
      <c r="V831" s="773">
        <v>2</v>
      </c>
      <c r="W831" s="773" t="str">
        <f t="shared" si="19"/>
        <v>O</v>
      </c>
    </row>
    <row r="832" spans="1:23">
      <c r="A832" s="27">
        <v>44316</v>
      </c>
      <c r="B832" s="773" t="s">
        <v>140</v>
      </c>
      <c r="C832" s="773">
        <v>710</v>
      </c>
      <c r="D832" s="773">
        <v>2830</v>
      </c>
      <c r="E832" s="773" t="s">
        <v>390</v>
      </c>
      <c r="S832" s="27">
        <v>44135</v>
      </c>
      <c r="T832" s="773" t="s">
        <v>132</v>
      </c>
      <c r="U832" s="773">
        <v>269</v>
      </c>
      <c r="V832" s="773">
        <v>1</v>
      </c>
      <c r="W832" s="773" t="str">
        <f t="shared" si="19"/>
        <v>O</v>
      </c>
    </row>
    <row r="833" spans="1:23">
      <c r="A833" s="27">
        <v>44316</v>
      </c>
      <c r="B833" s="773" t="s">
        <v>140</v>
      </c>
      <c r="C833" s="773">
        <v>732</v>
      </c>
      <c r="D833" s="773">
        <v>3</v>
      </c>
      <c r="E833" s="773" t="s">
        <v>410</v>
      </c>
      <c r="S833" s="27">
        <v>44135</v>
      </c>
      <c r="T833" s="773" t="s">
        <v>132</v>
      </c>
      <c r="U833" s="773">
        <v>216</v>
      </c>
      <c r="V833" s="773">
        <v>2200</v>
      </c>
      <c r="W833" s="773" t="str">
        <f t="shared" si="19"/>
        <v>N</v>
      </c>
    </row>
    <row r="834" spans="1:23">
      <c r="A834" s="27">
        <v>44681</v>
      </c>
      <c r="B834" s="773" t="s">
        <v>140</v>
      </c>
      <c r="C834" s="773">
        <v>732</v>
      </c>
      <c r="D834" s="773">
        <v>3</v>
      </c>
      <c r="E834" s="773" t="s">
        <v>410</v>
      </c>
      <c r="S834" s="27">
        <v>44500</v>
      </c>
      <c r="T834" s="773" t="s">
        <v>132</v>
      </c>
      <c r="U834" s="773">
        <v>35</v>
      </c>
      <c r="V834" s="773">
        <v>888</v>
      </c>
      <c r="W834" s="773" t="str">
        <f t="shared" si="19"/>
        <v>N</v>
      </c>
    </row>
    <row r="835" spans="1:23">
      <c r="A835" s="27">
        <v>44316</v>
      </c>
      <c r="B835" s="773" t="s">
        <v>140</v>
      </c>
      <c r="C835" s="773">
        <v>576</v>
      </c>
      <c r="D835" s="773">
        <v>245</v>
      </c>
      <c r="E835" s="773" t="s">
        <v>390</v>
      </c>
      <c r="S835" s="27">
        <v>44135</v>
      </c>
      <c r="T835" s="773" t="s">
        <v>132</v>
      </c>
      <c r="U835" s="773">
        <v>666</v>
      </c>
      <c r="V835" s="773">
        <v>1404</v>
      </c>
      <c r="W835" s="773" t="str">
        <f t="shared" ref="W835:W898" si="20">+IF(V835&lt;100,"O","N")</f>
        <v>N</v>
      </c>
    </row>
    <row r="836" spans="1:23">
      <c r="A836" s="27">
        <v>44316</v>
      </c>
      <c r="B836" s="773" t="s">
        <v>140</v>
      </c>
      <c r="C836" s="773">
        <v>712</v>
      </c>
      <c r="D836" s="773">
        <v>1</v>
      </c>
      <c r="E836" s="773" t="s">
        <v>410</v>
      </c>
      <c r="S836" s="27">
        <v>44500</v>
      </c>
      <c r="T836" s="773" t="s">
        <v>132</v>
      </c>
      <c r="U836" s="773">
        <v>251</v>
      </c>
      <c r="V836" s="773">
        <v>2513</v>
      </c>
      <c r="W836" s="773" t="str">
        <f t="shared" si="20"/>
        <v>N</v>
      </c>
    </row>
    <row r="837" spans="1:23">
      <c r="A837" s="27">
        <v>44681</v>
      </c>
      <c r="B837" s="773" t="s">
        <v>140</v>
      </c>
      <c r="C837" s="773">
        <v>650</v>
      </c>
      <c r="D837" s="773">
        <v>2308</v>
      </c>
      <c r="E837" s="773" t="s">
        <v>390</v>
      </c>
      <c r="S837" s="27">
        <v>44500</v>
      </c>
      <c r="T837" s="773" t="s">
        <v>132</v>
      </c>
      <c r="U837" s="773">
        <v>171</v>
      </c>
      <c r="V837" s="773">
        <v>186</v>
      </c>
      <c r="W837" s="773" t="str">
        <f t="shared" si="20"/>
        <v>N</v>
      </c>
    </row>
    <row r="838" spans="1:23">
      <c r="A838" s="27">
        <v>44316</v>
      </c>
      <c r="B838" s="773" t="s">
        <v>140</v>
      </c>
      <c r="C838" s="773">
        <v>601</v>
      </c>
      <c r="D838" s="773">
        <v>4</v>
      </c>
      <c r="E838" s="773" t="s">
        <v>410</v>
      </c>
      <c r="S838" s="27">
        <v>44500</v>
      </c>
      <c r="T838" s="773" t="s">
        <v>132</v>
      </c>
      <c r="U838" s="773">
        <v>60</v>
      </c>
      <c r="V838" s="773">
        <v>1</v>
      </c>
      <c r="W838" s="773" t="str">
        <f t="shared" si="20"/>
        <v>O</v>
      </c>
    </row>
    <row r="839" spans="1:23">
      <c r="A839" s="27">
        <v>44316</v>
      </c>
      <c r="B839" s="773" t="s">
        <v>140</v>
      </c>
      <c r="C839" s="773">
        <v>578</v>
      </c>
      <c r="D839" s="773">
        <v>2730</v>
      </c>
      <c r="E839" s="773" t="s">
        <v>390</v>
      </c>
      <c r="S839" s="27">
        <v>44135</v>
      </c>
      <c r="T839" s="773" t="s">
        <v>132</v>
      </c>
      <c r="U839" s="773">
        <v>53</v>
      </c>
      <c r="V839" s="773">
        <v>1</v>
      </c>
      <c r="W839" s="773" t="str">
        <f t="shared" si="20"/>
        <v>O</v>
      </c>
    </row>
    <row r="840" spans="1:23">
      <c r="A840" s="27">
        <v>44316</v>
      </c>
      <c r="B840" s="773" t="s">
        <v>140</v>
      </c>
      <c r="C840" s="773">
        <v>278</v>
      </c>
      <c r="D840" s="773">
        <v>1</v>
      </c>
      <c r="E840" s="773" t="s">
        <v>410</v>
      </c>
      <c r="S840" s="27">
        <v>44135</v>
      </c>
      <c r="T840" s="773" t="s">
        <v>132</v>
      </c>
      <c r="U840" s="773">
        <v>44</v>
      </c>
      <c r="V840" s="773">
        <v>3273</v>
      </c>
      <c r="W840" s="773" t="str">
        <f t="shared" si="20"/>
        <v>N</v>
      </c>
    </row>
    <row r="841" spans="1:23">
      <c r="A841" s="27">
        <v>44681</v>
      </c>
      <c r="B841" s="773" t="s">
        <v>140</v>
      </c>
      <c r="C841" s="773">
        <v>248</v>
      </c>
      <c r="D841" s="773">
        <v>485</v>
      </c>
      <c r="E841" s="773" t="s">
        <v>390</v>
      </c>
      <c r="S841" s="27">
        <v>44135</v>
      </c>
      <c r="T841" s="773" t="s">
        <v>132</v>
      </c>
      <c r="U841" s="773">
        <v>75</v>
      </c>
      <c r="V841" s="773">
        <v>1</v>
      </c>
      <c r="W841" s="773" t="str">
        <f t="shared" si="20"/>
        <v>O</v>
      </c>
    </row>
    <row r="842" spans="1:23">
      <c r="A842" s="27">
        <v>44681</v>
      </c>
      <c r="B842" s="773" t="s">
        <v>140</v>
      </c>
      <c r="C842" s="773">
        <v>510</v>
      </c>
      <c r="D842" s="773">
        <v>954</v>
      </c>
      <c r="E842" s="773" t="s">
        <v>390</v>
      </c>
      <c r="S842" s="27">
        <v>44500</v>
      </c>
      <c r="T842" s="773" t="s">
        <v>132</v>
      </c>
      <c r="U842" s="773">
        <v>621</v>
      </c>
      <c r="V842" s="773">
        <v>2277</v>
      </c>
      <c r="W842" s="773" t="str">
        <f t="shared" si="20"/>
        <v>N</v>
      </c>
    </row>
    <row r="843" spans="1:23">
      <c r="A843" s="27">
        <v>44316</v>
      </c>
      <c r="B843" s="773" t="s">
        <v>140</v>
      </c>
      <c r="C843" s="773">
        <v>727</v>
      </c>
      <c r="D843" s="773">
        <v>1229</v>
      </c>
      <c r="E843" s="773" t="s">
        <v>390</v>
      </c>
      <c r="S843" s="27">
        <v>44500</v>
      </c>
      <c r="T843" s="773" t="s">
        <v>132</v>
      </c>
      <c r="U843" s="773">
        <v>342</v>
      </c>
      <c r="V843" s="773">
        <v>2817</v>
      </c>
      <c r="W843" s="773" t="str">
        <f t="shared" si="20"/>
        <v>N</v>
      </c>
    </row>
    <row r="844" spans="1:23">
      <c r="A844" s="27">
        <v>44681</v>
      </c>
      <c r="B844" s="773" t="s">
        <v>140</v>
      </c>
      <c r="C844" s="773">
        <v>370</v>
      </c>
      <c r="D844" s="773">
        <v>2</v>
      </c>
      <c r="E844" s="773" t="s">
        <v>410</v>
      </c>
      <c r="S844" s="27">
        <v>44135</v>
      </c>
      <c r="T844" s="773" t="s">
        <v>132</v>
      </c>
      <c r="U844" s="773">
        <v>152</v>
      </c>
      <c r="V844" s="773">
        <v>1</v>
      </c>
      <c r="W844" s="773" t="str">
        <f t="shared" si="20"/>
        <v>O</v>
      </c>
    </row>
    <row r="845" spans="1:23">
      <c r="A845" s="27">
        <v>44681</v>
      </c>
      <c r="B845" s="773" t="s">
        <v>140</v>
      </c>
      <c r="C845" s="773">
        <v>279</v>
      </c>
      <c r="D845" s="773">
        <v>1</v>
      </c>
      <c r="E845" s="773" t="s">
        <v>410</v>
      </c>
      <c r="S845" s="27">
        <v>44500</v>
      </c>
      <c r="T845" s="773" t="s">
        <v>132</v>
      </c>
      <c r="U845" s="773">
        <v>203</v>
      </c>
      <c r="V845" s="773">
        <v>3223</v>
      </c>
      <c r="W845" s="773" t="str">
        <f t="shared" si="20"/>
        <v>N</v>
      </c>
    </row>
    <row r="846" spans="1:23">
      <c r="A846" s="27">
        <v>44316</v>
      </c>
      <c r="B846" s="773" t="s">
        <v>140</v>
      </c>
      <c r="C846" s="773">
        <v>279</v>
      </c>
      <c r="D846" s="773">
        <v>1</v>
      </c>
      <c r="E846" s="773" t="s">
        <v>410</v>
      </c>
      <c r="S846" s="27">
        <v>44500</v>
      </c>
      <c r="T846" s="773" t="s">
        <v>132</v>
      </c>
      <c r="U846" s="773">
        <v>76</v>
      </c>
      <c r="V846" s="773">
        <v>2952</v>
      </c>
      <c r="W846" s="773" t="str">
        <f t="shared" si="20"/>
        <v>N</v>
      </c>
    </row>
    <row r="847" spans="1:23">
      <c r="A847" s="27">
        <v>44681</v>
      </c>
      <c r="B847" s="773" t="s">
        <v>140</v>
      </c>
      <c r="C847" s="773">
        <v>616</v>
      </c>
      <c r="D847" s="773">
        <v>1</v>
      </c>
      <c r="E847" s="773" t="s">
        <v>410</v>
      </c>
      <c r="S847" s="27">
        <v>44135</v>
      </c>
      <c r="T847" s="773" t="s">
        <v>132</v>
      </c>
      <c r="U847" s="773">
        <v>100</v>
      </c>
      <c r="V847" s="773">
        <v>4</v>
      </c>
      <c r="W847" s="773" t="str">
        <f t="shared" si="20"/>
        <v>O</v>
      </c>
    </row>
    <row r="848" spans="1:23">
      <c r="A848" s="27">
        <v>44316</v>
      </c>
      <c r="B848" s="773" t="s">
        <v>140</v>
      </c>
      <c r="C848" s="773">
        <v>370</v>
      </c>
      <c r="D848" s="773">
        <v>2</v>
      </c>
      <c r="E848" s="773" t="s">
        <v>410</v>
      </c>
      <c r="S848" s="27">
        <v>44500</v>
      </c>
      <c r="T848" s="773" t="s">
        <v>132</v>
      </c>
      <c r="U848" s="773">
        <v>238</v>
      </c>
      <c r="V848" s="773">
        <v>5</v>
      </c>
      <c r="W848" s="773" t="str">
        <f t="shared" si="20"/>
        <v>O</v>
      </c>
    </row>
    <row r="849" spans="1:23">
      <c r="A849" s="27">
        <v>44316</v>
      </c>
      <c r="B849" s="773" t="s">
        <v>140</v>
      </c>
      <c r="C849" s="773">
        <v>198</v>
      </c>
      <c r="D849" s="773">
        <v>6</v>
      </c>
      <c r="E849" s="773" t="s">
        <v>410</v>
      </c>
      <c r="S849" s="27">
        <v>44135</v>
      </c>
      <c r="T849" s="773" t="s">
        <v>132</v>
      </c>
      <c r="U849" s="773">
        <v>660</v>
      </c>
      <c r="V849" s="773">
        <v>3</v>
      </c>
      <c r="W849" s="773" t="str">
        <f t="shared" si="20"/>
        <v>O</v>
      </c>
    </row>
    <row r="850" spans="1:23">
      <c r="A850" s="27">
        <v>44681</v>
      </c>
      <c r="B850" s="773" t="s">
        <v>140</v>
      </c>
      <c r="C850" s="773">
        <v>585</v>
      </c>
      <c r="D850" s="773">
        <v>5084</v>
      </c>
      <c r="E850" s="773" t="s">
        <v>390</v>
      </c>
      <c r="S850" s="27">
        <v>44500</v>
      </c>
      <c r="T850" s="773" t="s">
        <v>132</v>
      </c>
      <c r="U850" s="773">
        <v>13</v>
      </c>
      <c r="V850" s="773">
        <v>2970</v>
      </c>
      <c r="W850" s="773" t="str">
        <f t="shared" si="20"/>
        <v>N</v>
      </c>
    </row>
    <row r="851" spans="1:23">
      <c r="A851" s="27">
        <v>44681</v>
      </c>
      <c r="B851" s="773" t="s">
        <v>140</v>
      </c>
      <c r="C851" s="773">
        <v>453</v>
      </c>
      <c r="D851" s="773">
        <v>2299</v>
      </c>
      <c r="E851" s="773" t="s">
        <v>390</v>
      </c>
      <c r="S851" s="27">
        <v>44500</v>
      </c>
      <c r="T851" s="773" t="s">
        <v>132</v>
      </c>
      <c r="U851" s="773">
        <v>11</v>
      </c>
      <c r="V851" s="773">
        <v>27</v>
      </c>
      <c r="W851" s="773" t="str">
        <f t="shared" si="20"/>
        <v>O</v>
      </c>
    </row>
    <row r="852" spans="1:23">
      <c r="A852" s="27">
        <v>44316</v>
      </c>
      <c r="B852" s="773" t="s">
        <v>140</v>
      </c>
      <c r="C852" s="773">
        <v>705</v>
      </c>
      <c r="D852" s="773">
        <v>1</v>
      </c>
      <c r="E852" s="773" t="s">
        <v>410</v>
      </c>
      <c r="S852" s="27">
        <v>44135</v>
      </c>
      <c r="T852" s="773" t="s">
        <v>132</v>
      </c>
      <c r="U852" s="773">
        <v>13</v>
      </c>
      <c r="V852" s="773">
        <v>4900</v>
      </c>
      <c r="W852" s="773" t="str">
        <f t="shared" si="20"/>
        <v>N</v>
      </c>
    </row>
    <row r="853" spans="1:23">
      <c r="A853" s="27">
        <v>44316</v>
      </c>
      <c r="B853" s="773" t="s">
        <v>140</v>
      </c>
      <c r="C853" s="773">
        <v>521</v>
      </c>
      <c r="D853" s="773">
        <v>15</v>
      </c>
      <c r="E853" s="773" t="s">
        <v>410</v>
      </c>
      <c r="S853" s="27">
        <v>44135</v>
      </c>
      <c r="T853" s="773" t="s">
        <v>132</v>
      </c>
      <c r="U853" s="773">
        <v>42</v>
      </c>
      <c r="V853" s="773">
        <v>1</v>
      </c>
      <c r="W853" s="773" t="str">
        <f t="shared" si="20"/>
        <v>O</v>
      </c>
    </row>
    <row r="854" spans="1:23">
      <c r="A854" s="27">
        <v>44681</v>
      </c>
      <c r="B854" s="773" t="s">
        <v>140</v>
      </c>
      <c r="C854" s="773">
        <v>525</v>
      </c>
      <c r="D854" s="773">
        <v>10</v>
      </c>
      <c r="E854" s="773" t="s">
        <v>410</v>
      </c>
      <c r="S854" s="27">
        <v>44135</v>
      </c>
      <c r="T854" s="773" t="s">
        <v>132</v>
      </c>
      <c r="U854" s="773">
        <v>265</v>
      </c>
      <c r="V854" s="773">
        <v>1547</v>
      </c>
      <c r="W854" s="773" t="str">
        <f t="shared" si="20"/>
        <v>N</v>
      </c>
    </row>
    <row r="855" spans="1:23">
      <c r="A855" s="27">
        <v>44316</v>
      </c>
      <c r="B855" s="773" t="s">
        <v>140</v>
      </c>
      <c r="C855" s="773">
        <v>0</v>
      </c>
      <c r="D855" s="773">
        <v>8</v>
      </c>
      <c r="E855" s="773" t="s">
        <v>410</v>
      </c>
      <c r="S855" s="27">
        <v>44135</v>
      </c>
      <c r="T855" s="773" t="s">
        <v>132</v>
      </c>
      <c r="U855" s="773">
        <v>66</v>
      </c>
      <c r="V855" s="773">
        <v>99</v>
      </c>
      <c r="W855" s="773" t="str">
        <f t="shared" si="20"/>
        <v>O</v>
      </c>
    </row>
    <row r="856" spans="1:23">
      <c r="A856" s="27">
        <v>44316</v>
      </c>
      <c r="B856" s="773" t="s">
        <v>140</v>
      </c>
      <c r="C856" s="773">
        <v>639</v>
      </c>
      <c r="D856" s="773">
        <v>42</v>
      </c>
      <c r="E856" s="773" t="s">
        <v>410</v>
      </c>
      <c r="S856" s="27">
        <v>44135</v>
      </c>
      <c r="T856" s="773" t="s">
        <v>132</v>
      </c>
      <c r="U856" s="773">
        <v>292</v>
      </c>
      <c r="V856" s="773">
        <v>8</v>
      </c>
      <c r="W856" s="773" t="str">
        <f t="shared" si="20"/>
        <v>O</v>
      </c>
    </row>
    <row r="857" spans="1:23">
      <c r="A857" s="27">
        <v>44316</v>
      </c>
      <c r="B857" s="773" t="s">
        <v>140</v>
      </c>
      <c r="C857" s="773">
        <v>379</v>
      </c>
      <c r="D857" s="773">
        <v>1</v>
      </c>
      <c r="E857" s="773" t="s">
        <v>410</v>
      </c>
      <c r="S857" s="27">
        <v>44500</v>
      </c>
      <c r="T857" s="773" t="s">
        <v>132</v>
      </c>
      <c r="U857" s="773">
        <v>233</v>
      </c>
      <c r="V857" s="773">
        <v>8627</v>
      </c>
      <c r="W857" s="773" t="str">
        <f t="shared" si="20"/>
        <v>N</v>
      </c>
    </row>
    <row r="858" spans="1:23">
      <c r="A858" s="27">
        <v>44316</v>
      </c>
      <c r="B858" s="773" t="s">
        <v>140</v>
      </c>
      <c r="C858" s="773">
        <v>525</v>
      </c>
      <c r="D858" s="773">
        <v>3790</v>
      </c>
      <c r="E858" s="773" t="s">
        <v>390</v>
      </c>
      <c r="S858" s="27">
        <v>44500</v>
      </c>
      <c r="T858" s="773" t="s">
        <v>132</v>
      </c>
      <c r="U858" s="773">
        <v>321</v>
      </c>
      <c r="V858" s="773">
        <v>782</v>
      </c>
      <c r="W858" s="773" t="str">
        <f t="shared" si="20"/>
        <v>N</v>
      </c>
    </row>
    <row r="859" spans="1:23">
      <c r="A859" s="27">
        <v>44316</v>
      </c>
      <c r="B859" s="773" t="s">
        <v>140</v>
      </c>
      <c r="C859" s="773">
        <v>540</v>
      </c>
      <c r="D859" s="773">
        <v>1</v>
      </c>
      <c r="E859" s="773" t="s">
        <v>410</v>
      </c>
      <c r="S859" s="27">
        <v>44500</v>
      </c>
      <c r="T859" s="773" t="s">
        <v>132</v>
      </c>
      <c r="U859" s="773">
        <v>204</v>
      </c>
      <c r="V859" s="773">
        <v>23</v>
      </c>
      <c r="W859" s="773" t="str">
        <f t="shared" si="20"/>
        <v>O</v>
      </c>
    </row>
    <row r="860" spans="1:23">
      <c r="A860" s="27">
        <v>44316</v>
      </c>
      <c r="B860" s="773" t="s">
        <v>140</v>
      </c>
      <c r="C860" s="773">
        <v>659</v>
      </c>
      <c r="D860" s="773">
        <v>664</v>
      </c>
      <c r="E860" s="773" t="s">
        <v>390</v>
      </c>
      <c r="S860" s="27">
        <v>44500</v>
      </c>
      <c r="T860" s="773" t="s">
        <v>132</v>
      </c>
      <c r="U860" s="773">
        <v>68</v>
      </c>
      <c r="V860" s="773">
        <v>498</v>
      </c>
      <c r="W860" s="773" t="str">
        <f t="shared" si="20"/>
        <v>N</v>
      </c>
    </row>
    <row r="861" spans="1:23">
      <c r="A861" s="27">
        <v>44316</v>
      </c>
      <c r="B861" s="773" t="s">
        <v>140</v>
      </c>
      <c r="C861" s="773">
        <v>626</v>
      </c>
      <c r="D861" s="773">
        <v>2664</v>
      </c>
      <c r="E861" s="773" t="s">
        <v>390</v>
      </c>
      <c r="S861" s="27">
        <v>44500</v>
      </c>
      <c r="T861" s="773" t="s">
        <v>132</v>
      </c>
      <c r="U861" s="773">
        <v>0</v>
      </c>
      <c r="V861" s="773">
        <v>38</v>
      </c>
      <c r="W861" s="773" t="str">
        <f t="shared" si="20"/>
        <v>O</v>
      </c>
    </row>
    <row r="862" spans="1:23">
      <c r="A862" s="27">
        <v>44316</v>
      </c>
      <c r="B862" s="773" t="s">
        <v>140</v>
      </c>
      <c r="C862" s="773">
        <v>510</v>
      </c>
      <c r="D862" s="773">
        <v>940</v>
      </c>
      <c r="E862" s="773" t="s">
        <v>390</v>
      </c>
      <c r="S862" s="27">
        <v>44500</v>
      </c>
      <c r="T862" s="773" t="s">
        <v>132</v>
      </c>
      <c r="U862" s="773">
        <v>40</v>
      </c>
      <c r="V862" s="773">
        <v>2</v>
      </c>
      <c r="W862" s="773" t="str">
        <f t="shared" si="20"/>
        <v>O</v>
      </c>
    </row>
    <row r="863" spans="1:23">
      <c r="A863" s="27">
        <v>44316</v>
      </c>
      <c r="B863" s="773" t="s">
        <v>140</v>
      </c>
      <c r="C863" s="773">
        <v>678</v>
      </c>
      <c r="D863" s="773">
        <v>2353</v>
      </c>
      <c r="E863" s="773" t="s">
        <v>390</v>
      </c>
      <c r="S863" s="27">
        <v>44500</v>
      </c>
      <c r="T863" s="773" t="s">
        <v>132</v>
      </c>
      <c r="U863" s="773">
        <v>231</v>
      </c>
      <c r="V863" s="773">
        <v>4</v>
      </c>
      <c r="W863" s="773" t="str">
        <f t="shared" si="20"/>
        <v>O</v>
      </c>
    </row>
    <row r="864" spans="1:23">
      <c r="A864" s="27">
        <v>44316</v>
      </c>
      <c r="B864" s="773" t="s">
        <v>140</v>
      </c>
      <c r="C864" s="773">
        <v>213</v>
      </c>
      <c r="D864" s="773">
        <v>70</v>
      </c>
      <c r="E864" s="773" t="s">
        <v>410</v>
      </c>
      <c r="S864" s="27">
        <v>44135</v>
      </c>
      <c r="T864" s="773" t="s">
        <v>132</v>
      </c>
      <c r="U864" s="773">
        <v>176</v>
      </c>
      <c r="V864" s="773">
        <v>1</v>
      </c>
      <c r="W864" s="773" t="str">
        <f t="shared" si="20"/>
        <v>O</v>
      </c>
    </row>
    <row r="865" spans="1:23">
      <c r="A865" s="27">
        <v>44681</v>
      </c>
      <c r="B865" s="773" t="s">
        <v>140</v>
      </c>
      <c r="C865" s="773">
        <v>574</v>
      </c>
      <c r="D865" s="773">
        <v>1613</v>
      </c>
      <c r="E865" s="773" t="s">
        <v>390</v>
      </c>
      <c r="S865" s="27">
        <v>44135</v>
      </c>
      <c r="T865" s="773" t="s">
        <v>132</v>
      </c>
      <c r="U865" s="773">
        <v>181</v>
      </c>
      <c r="V865" s="773">
        <v>1</v>
      </c>
      <c r="W865" s="773" t="str">
        <f t="shared" si="20"/>
        <v>O</v>
      </c>
    </row>
    <row r="866" spans="1:23">
      <c r="A866" s="27">
        <v>44681</v>
      </c>
      <c r="B866" s="773" t="s">
        <v>140</v>
      </c>
      <c r="C866" s="773">
        <v>359</v>
      </c>
      <c r="D866" s="773">
        <v>651</v>
      </c>
      <c r="E866" s="773" t="s">
        <v>390</v>
      </c>
      <c r="S866" s="27">
        <v>44135</v>
      </c>
      <c r="T866" s="773" t="s">
        <v>132</v>
      </c>
      <c r="U866" s="773">
        <v>136</v>
      </c>
      <c r="V866" s="773">
        <v>78</v>
      </c>
      <c r="W866" s="773" t="str">
        <f t="shared" si="20"/>
        <v>O</v>
      </c>
    </row>
    <row r="867" spans="1:23">
      <c r="A867" s="27">
        <v>44681</v>
      </c>
      <c r="B867" s="773" t="s">
        <v>140</v>
      </c>
      <c r="C867" s="773">
        <v>478</v>
      </c>
      <c r="D867" s="773">
        <v>2226</v>
      </c>
      <c r="E867" s="773" t="s">
        <v>390</v>
      </c>
      <c r="S867" s="27">
        <v>44135</v>
      </c>
      <c r="T867" s="773" t="s">
        <v>132</v>
      </c>
      <c r="U867" s="773">
        <v>108</v>
      </c>
      <c r="V867" s="773">
        <v>1</v>
      </c>
      <c r="W867" s="773" t="str">
        <f t="shared" si="20"/>
        <v>O</v>
      </c>
    </row>
    <row r="868" spans="1:23">
      <c r="A868" s="27">
        <v>44347</v>
      </c>
      <c r="B868" s="773" t="s">
        <v>140</v>
      </c>
      <c r="C868" s="773">
        <v>582</v>
      </c>
      <c r="D868" s="773">
        <v>2250</v>
      </c>
      <c r="E868" s="773" t="s">
        <v>390</v>
      </c>
      <c r="S868" s="27">
        <v>44500</v>
      </c>
      <c r="T868" s="773" t="s">
        <v>132</v>
      </c>
      <c r="U868" s="773">
        <v>253</v>
      </c>
      <c r="V868" s="773">
        <v>15</v>
      </c>
      <c r="W868" s="773" t="str">
        <f t="shared" si="20"/>
        <v>O</v>
      </c>
    </row>
    <row r="869" spans="1:23">
      <c r="A869" s="27">
        <v>44712</v>
      </c>
      <c r="B869" s="773" t="s">
        <v>140</v>
      </c>
      <c r="C869" s="773">
        <v>478</v>
      </c>
      <c r="D869" s="773">
        <v>2226</v>
      </c>
      <c r="E869" s="773" t="s">
        <v>390</v>
      </c>
      <c r="S869" s="27">
        <v>44135</v>
      </c>
      <c r="T869" s="773" t="s">
        <v>132</v>
      </c>
      <c r="U869" s="773">
        <v>245</v>
      </c>
      <c r="V869" s="773">
        <v>2654</v>
      </c>
      <c r="W869" s="773" t="str">
        <f t="shared" si="20"/>
        <v>N</v>
      </c>
    </row>
    <row r="870" spans="1:23">
      <c r="A870" s="27">
        <v>44712</v>
      </c>
      <c r="B870" s="773" t="s">
        <v>140</v>
      </c>
      <c r="C870" s="773">
        <v>594</v>
      </c>
      <c r="D870" s="773">
        <v>2658</v>
      </c>
      <c r="E870" s="773" t="s">
        <v>390</v>
      </c>
      <c r="S870" s="27">
        <v>44135</v>
      </c>
      <c r="T870" s="773" t="s">
        <v>132</v>
      </c>
      <c r="U870" s="773">
        <v>76</v>
      </c>
      <c r="V870" s="773">
        <v>2841</v>
      </c>
      <c r="W870" s="773" t="str">
        <f t="shared" si="20"/>
        <v>N</v>
      </c>
    </row>
    <row r="871" spans="1:23">
      <c r="A871" s="27">
        <v>44347</v>
      </c>
      <c r="B871" s="773" t="s">
        <v>140</v>
      </c>
      <c r="C871" s="773">
        <v>558</v>
      </c>
      <c r="D871" s="773">
        <v>1287</v>
      </c>
      <c r="E871" s="773" t="s">
        <v>390</v>
      </c>
      <c r="S871" s="27">
        <v>44135</v>
      </c>
      <c r="T871" s="773" t="s">
        <v>132</v>
      </c>
      <c r="U871" s="773">
        <v>267</v>
      </c>
      <c r="V871" s="773">
        <v>1</v>
      </c>
      <c r="W871" s="773" t="str">
        <f t="shared" si="20"/>
        <v>O</v>
      </c>
    </row>
    <row r="872" spans="1:23">
      <c r="A872" s="27">
        <v>44712</v>
      </c>
      <c r="B872" s="773" t="s">
        <v>140</v>
      </c>
      <c r="C872" s="773">
        <v>574</v>
      </c>
      <c r="D872" s="773">
        <v>1627</v>
      </c>
      <c r="E872" s="773" t="s">
        <v>390</v>
      </c>
      <c r="S872" s="27">
        <v>44500</v>
      </c>
      <c r="T872" s="773" t="s">
        <v>132</v>
      </c>
      <c r="U872" s="773">
        <v>84</v>
      </c>
      <c r="V872" s="773">
        <v>2462</v>
      </c>
      <c r="W872" s="773" t="str">
        <f t="shared" si="20"/>
        <v>N</v>
      </c>
    </row>
    <row r="873" spans="1:23">
      <c r="A873" s="27">
        <v>44712</v>
      </c>
      <c r="B873" s="773" t="s">
        <v>140</v>
      </c>
      <c r="C873" s="773">
        <v>710</v>
      </c>
      <c r="D873" s="773">
        <v>2757</v>
      </c>
      <c r="E873" s="773" t="s">
        <v>390</v>
      </c>
      <c r="S873" s="27">
        <v>44135</v>
      </c>
      <c r="T873" s="773" t="s">
        <v>132</v>
      </c>
      <c r="U873" s="773">
        <v>249</v>
      </c>
      <c r="V873" s="773">
        <v>2595</v>
      </c>
      <c r="W873" s="773" t="str">
        <f t="shared" si="20"/>
        <v>N</v>
      </c>
    </row>
    <row r="874" spans="1:23">
      <c r="A874" s="27">
        <v>44347</v>
      </c>
      <c r="B874" s="773" t="s">
        <v>140</v>
      </c>
      <c r="C874" s="773">
        <v>648</v>
      </c>
      <c r="D874" s="773">
        <v>1394</v>
      </c>
      <c r="E874" s="773" t="s">
        <v>390</v>
      </c>
      <c r="S874" s="27">
        <v>44135</v>
      </c>
      <c r="T874" s="773" t="s">
        <v>132</v>
      </c>
      <c r="U874" s="773">
        <v>264</v>
      </c>
      <c r="V874" s="773">
        <v>948</v>
      </c>
      <c r="W874" s="773" t="str">
        <f t="shared" si="20"/>
        <v>N</v>
      </c>
    </row>
    <row r="875" spans="1:23">
      <c r="A875" s="27">
        <v>44347</v>
      </c>
      <c r="B875" s="773" t="s">
        <v>140</v>
      </c>
      <c r="C875" s="773">
        <v>387</v>
      </c>
      <c r="D875" s="773">
        <v>10</v>
      </c>
      <c r="E875" s="773" t="s">
        <v>410</v>
      </c>
      <c r="S875" s="27">
        <v>44500</v>
      </c>
      <c r="T875" s="773" t="s">
        <v>132</v>
      </c>
      <c r="U875" s="773">
        <v>73</v>
      </c>
      <c r="V875" s="773">
        <v>2</v>
      </c>
      <c r="W875" s="773" t="str">
        <f t="shared" si="20"/>
        <v>O</v>
      </c>
    </row>
    <row r="876" spans="1:23">
      <c r="A876" s="27">
        <v>44347</v>
      </c>
      <c r="B876" s="773" t="s">
        <v>140</v>
      </c>
      <c r="C876" s="773">
        <v>610</v>
      </c>
      <c r="D876" s="773">
        <v>2988</v>
      </c>
      <c r="E876" s="773" t="s">
        <v>390</v>
      </c>
      <c r="S876" s="27">
        <v>44135</v>
      </c>
      <c r="T876" s="773" t="s">
        <v>132</v>
      </c>
      <c r="U876" s="773">
        <v>662</v>
      </c>
      <c r="V876" s="773">
        <v>2939</v>
      </c>
      <c r="W876" s="773" t="str">
        <f t="shared" si="20"/>
        <v>N</v>
      </c>
    </row>
    <row r="877" spans="1:23">
      <c r="A877" s="27">
        <v>44347</v>
      </c>
      <c r="B877" s="773" t="s">
        <v>140</v>
      </c>
      <c r="C877" s="773">
        <v>524</v>
      </c>
      <c r="D877" s="773">
        <v>1158</v>
      </c>
      <c r="E877" s="773" t="s">
        <v>390</v>
      </c>
      <c r="S877" s="27">
        <v>44500</v>
      </c>
      <c r="T877" s="773" t="s">
        <v>132</v>
      </c>
      <c r="U877" s="773">
        <v>320</v>
      </c>
      <c r="V877" s="773">
        <v>1051</v>
      </c>
      <c r="W877" s="773" t="str">
        <f t="shared" si="20"/>
        <v>N</v>
      </c>
    </row>
    <row r="878" spans="1:23">
      <c r="A878" s="27">
        <v>44347</v>
      </c>
      <c r="B878" s="773" t="s">
        <v>140</v>
      </c>
      <c r="C878" s="773">
        <v>447</v>
      </c>
      <c r="D878" s="773">
        <v>1</v>
      </c>
      <c r="E878" s="773" t="s">
        <v>410</v>
      </c>
      <c r="S878" s="27">
        <v>44500</v>
      </c>
      <c r="T878" s="773" t="s">
        <v>132</v>
      </c>
      <c r="U878" s="773">
        <v>317</v>
      </c>
      <c r="V878" s="773">
        <v>292</v>
      </c>
      <c r="W878" s="773" t="str">
        <f t="shared" si="20"/>
        <v>N</v>
      </c>
    </row>
    <row r="879" spans="1:23">
      <c r="A879" s="27">
        <v>44712</v>
      </c>
      <c r="B879" s="773" t="s">
        <v>140</v>
      </c>
      <c r="C879" s="773">
        <v>576</v>
      </c>
      <c r="D879" s="773">
        <v>245</v>
      </c>
      <c r="E879" s="773" t="s">
        <v>390</v>
      </c>
      <c r="S879" s="27">
        <v>44500</v>
      </c>
      <c r="T879" s="773" t="s">
        <v>132</v>
      </c>
      <c r="U879" s="773">
        <v>296</v>
      </c>
      <c r="V879" s="773">
        <v>2360</v>
      </c>
      <c r="W879" s="773" t="str">
        <f t="shared" si="20"/>
        <v>N</v>
      </c>
    </row>
    <row r="880" spans="1:23">
      <c r="A880" s="27">
        <v>44712</v>
      </c>
      <c r="B880" s="773" t="s">
        <v>140</v>
      </c>
      <c r="C880" s="773">
        <v>742</v>
      </c>
      <c r="D880" s="773">
        <v>1</v>
      </c>
      <c r="E880" s="773" t="s">
        <v>410</v>
      </c>
      <c r="S880" s="27">
        <v>44135</v>
      </c>
      <c r="T880" s="773" t="s">
        <v>132</v>
      </c>
      <c r="U880" s="773">
        <v>87</v>
      </c>
      <c r="V880" s="773">
        <v>12</v>
      </c>
      <c r="W880" s="773" t="str">
        <f t="shared" si="20"/>
        <v>O</v>
      </c>
    </row>
    <row r="881" spans="1:23">
      <c r="A881" s="27">
        <v>44347</v>
      </c>
      <c r="B881" s="773" t="s">
        <v>140</v>
      </c>
      <c r="C881" s="773">
        <v>640</v>
      </c>
      <c r="D881" s="773">
        <v>3094</v>
      </c>
      <c r="E881" s="773" t="s">
        <v>390</v>
      </c>
      <c r="S881" s="27">
        <v>44135</v>
      </c>
      <c r="T881" s="773" t="s">
        <v>132</v>
      </c>
      <c r="U881" s="773">
        <v>81</v>
      </c>
      <c r="V881" s="773">
        <v>4</v>
      </c>
      <c r="W881" s="773" t="str">
        <f t="shared" si="20"/>
        <v>O</v>
      </c>
    </row>
    <row r="882" spans="1:23">
      <c r="A882" s="27">
        <v>44712</v>
      </c>
      <c r="B882" s="773" t="s">
        <v>140</v>
      </c>
      <c r="C882" s="773">
        <v>582</v>
      </c>
      <c r="D882" s="773">
        <v>2256</v>
      </c>
      <c r="E882" s="773" t="s">
        <v>390</v>
      </c>
      <c r="S882" s="27">
        <v>44135</v>
      </c>
      <c r="T882" s="773" t="s">
        <v>132</v>
      </c>
      <c r="U882" s="773">
        <v>93</v>
      </c>
      <c r="V882" s="773">
        <v>15394</v>
      </c>
      <c r="W882" s="773" t="str">
        <f t="shared" si="20"/>
        <v>N</v>
      </c>
    </row>
    <row r="883" spans="1:23">
      <c r="A883" s="27">
        <v>44347</v>
      </c>
      <c r="B883" s="773" t="s">
        <v>140</v>
      </c>
      <c r="C883" s="773">
        <v>521</v>
      </c>
      <c r="D883" s="773">
        <v>15</v>
      </c>
      <c r="E883" s="773" t="s">
        <v>410</v>
      </c>
      <c r="S883" s="27">
        <v>44500</v>
      </c>
      <c r="T883" s="773" t="s">
        <v>132</v>
      </c>
      <c r="U883" s="773">
        <v>622</v>
      </c>
      <c r="V883" s="773">
        <v>1</v>
      </c>
      <c r="W883" s="773" t="str">
        <f t="shared" si="20"/>
        <v>O</v>
      </c>
    </row>
    <row r="884" spans="1:23">
      <c r="A884" s="27">
        <v>44347</v>
      </c>
      <c r="B884" s="773" t="s">
        <v>140</v>
      </c>
      <c r="C884" s="773">
        <v>248</v>
      </c>
      <c r="D884" s="773">
        <v>460</v>
      </c>
      <c r="E884" s="773" t="s">
        <v>390</v>
      </c>
      <c r="S884" s="27">
        <v>44135</v>
      </c>
      <c r="T884" s="773" t="s">
        <v>132</v>
      </c>
      <c r="U884" s="773">
        <v>149</v>
      </c>
      <c r="V884" s="773">
        <v>3</v>
      </c>
      <c r="W884" s="773" t="str">
        <f t="shared" si="20"/>
        <v>O</v>
      </c>
    </row>
    <row r="885" spans="1:23">
      <c r="A885" s="27">
        <v>44712</v>
      </c>
      <c r="B885" s="773" t="s">
        <v>140</v>
      </c>
      <c r="C885" s="773">
        <v>502</v>
      </c>
      <c r="D885" s="773">
        <v>492</v>
      </c>
      <c r="E885" s="773" t="s">
        <v>390</v>
      </c>
      <c r="S885" s="27">
        <v>44135</v>
      </c>
      <c r="T885" s="773" t="s">
        <v>132</v>
      </c>
      <c r="U885" s="773">
        <v>678</v>
      </c>
      <c r="V885" s="773">
        <v>2729</v>
      </c>
      <c r="W885" s="773" t="str">
        <f t="shared" si="20"/>
        <v>N</v>
      </c>
    </row>
    <row r="886" spans="1:23">
      <c r="A886" s="27">
        <v>44347</v>
      </c>
      <c r="B886" s="773" t="s">
        <v>140</v>
      </c>
      <c r="C886" s="773">
        <v>476</v>
      </c>
      <c r="D886" s="773">
        <v>1</v>
      </c>
      <c r="E886" s="773" t="s">
        <v>410</v>
      </c>
      <c r="S886" s="27">
        <v>44135</v>
      </c>
      <c r="T886" s="773" t="s">
        <v>132</v>
      </c>
      <c r="U886" s="773">
        <v>212</v>
      </c>
      <c r="V886" s="773">
        <v>3374</v>
      </c>
      <c r="W886" s="773" t="str">
        <f t="shared" si="20"/>
        <v>N</v>
      </c>
    </row>
    <row r="887" spans="1:23">
      <c r="A887" s="27">
        <v>44712</v>
      </c>
      <c r="B887" s="773" t="s">
        <v>140</v>
      </c>
      <c r="C887" s="773">
        <v>760</v>
      </c>
      <c r="D887" s="773">
        <v>72</v>
      </c>
      <c r="E887" s="773" t="s">
        <v>410</v>
      </c>
      <c r="S887" s="27">
        <v>44500</v>
      </c>
      <c r="T887" s="773" t="s">
        <v>132</v>
      </c>
      <c r="U887" s="773">
        <v>674</v>
      </c>
      <c r="V887" s="773">
        <v>3829</v>
      </c>
      <c r="W887" s="773" t="str">
        <f t="shared" si="20"/>
        <v>N</v>
      </c>
    </row>
    <row r="888" spans="1:23">
      <c r="A888" s="27">
        <v>44712</v>
      </c>
      <c r="B888" s="773" t="s">
        <v>140</v>
      </c>
      <c r="C888" s="773">
        <v>732</v>
      </c>
      <c r="D888" s="773">
        <v>3</v>
      </c>
      <c r="E888" s="773" t="s">
        <v>410</v>
      </c>
      <c r="S888" s="27">
        <v>44135</v>
      </c>
      <c r="T888" s="773" t="s">
        <v>132</v>
      </c>
      <c r="U888" s="773">
        <v>257</v>
      </c>
      <c r="V888" s="773">
        <v>2721</v>
      </c>
      <c r="W888" s="773" t="str">
        <f t="shared" si="20"/>
        <v>N</v>
      </c>
    </row>
    <row r="889" spans="1:23">
      <c r="A889" s="27">
        <v>44712</v>
      </c>
      <c r="B889" s="773" t="s">
        <v>140</v>
      </c>
      <c r="C889" s="773">
        <v>279</v>
      </c>
      <c r="D889" s="773">
        <v>1</v>
      </c>
      <c r="E889" s="773" t="s">
        <v>410</v>
      </c>
      <c r="S889" s="27">
        <v>44500</v>
      </c>
      <c r="T889" s="773" t="s">
        <v>132</v>
      </c>
      <c r="U889" s="773">
        <v>653</v>
      </c>
      <c r="V889" s="773">
        <v>100</v>
      </c>
      <c r="W889" s="773" t="str">
        <f t="shared" si="20"/>
        <v>N</v>
      </c>
    </row>
    <row r="890" spans="1:23">
      <c r="A890" s="27">
        <v>44347</v>
      </c>
      <c r="B890" s="773" t="s">
        <v>140</v>
      </c>
      <c r="C890" s="773">
        <v>659</v>
      </c>
      <c r="D890" s="773">
        <v>674</v>
      </c>
      <c r="E890" s="773" t="s">
        <v>390</v>
      </c>
      <c r="S890" s="27">
        <v>44500</v>
      </c>
      <c r="T890" s="773" t="s">
        <v>132</v>
      </c>
      <c r="U890" s="773">
        <v>703</v>
      </c>
      <c r="V890" s="773">
        <v>2338</v>
      </c>
      <c r="W890" s="773" t="str">
        <f t="shared" si="20"/>
        <v>N</v>
      </c>
    </row>
    <row r="891" spans="1:23">
      <c r="A891" s="27">
        <v>44712</v>
      </c>
      <c r="B891" s="773" t="s">
        <v>140</v>
      </c>
      <c r="C891" s="773">
        <v>370</v>
      </c>
      <c r="D891" s="773">
        <v>2</v>
      </c>
      <c r="E891" s="773" t="s">
        <v>410</v>
      </c>
      <c r="S891" s="27">
        <v>44500</v>
      </c>
      <c r="T891" s="773" t="s">
        <v>132</v>
      </c>
      <c r="U891" s="773">
        <v>220</v>
      </c>
      <c r="V891" s="773">
        <v>173</v>
      </c>
      <c r="W891" s="773" t="str">
        <f t="shared" si="20"/>
        <v>N</v>
      </c>
    </row>
    <row r="892" spans="1:23">
      <c r="A892" s="27">
        <v>44712</v>
      </c>
      <c r="B892" s="773" t="s">
        <v>140</v>
      </c>
      <c r="C892" s="773">
        <v>597</v>
      </c>
      <c r="D892" s="773">
        <v>1200</v>
      </c>
      <c r="E892" s="773" t="s">
        <v>390</v>
      </c>
      <c r="S892" s="27">
        <v>44500</v>
      </c>
      <c r="T892" s="773" t="s">
        <v>132</v>
      </c>
      <c r="U892" s="773">
        <v>61</v>
      </c>
      <c r="V892" s="773">
        <v>1</v>
      </c>
      <c r="W892" s="773" t="str">
        <f t="shared" si="20"/>
        <v>O</v>
      </c>
    </row>
    <row r="893" spans="1:23">
      <c r="A893" s="27">
        <v>44347</v>
      </c>
      <c r="B893" s="773" t="s">
        <v>140</v>
      </c>
      <c r="C893" s="773">
        <v>601</v>
      </c>
      <c r="D893" s="773">
        <v>4</v>
      </c>
      <c r="E893" s="773" t="s">
        <v>410</v>
      </c>
      <c r="S893" s="27">
        <v>44135</v>
      </c>
      <c r="T893" s="773" t="s">
        <v>132</v>
      </c>
      <c r="U893" s="773">
        <v>120</v>
      </c>
      <c r="V893" s="773">
        <v>5</v>
      </c>
      <c r="W893" s="773" t="str">
        <f t="shared" si="20"/>
        <v>O</v>
      </c>
    </row>
    <row r="894" spans="1:23">
      <c r="A894" s="27">
        <v>44347</v>
      </c>
      <c r="B894" s="773" t="s">
        <v>140</v>
      </c>
      <c r="C894" s="773">
        <v>574</v>
      </c>
      <c r="D894" s="773">
        <v>1510</v>
      </c>
      <c r="E894" s="773" t="s">
        <v>390</v>
      </c>
      <c r="S894" s="27">
        <v>44135</v>
      </c>
      <c r="T894" s="773" t="s">
        <v>132</v>
      </c>
      <c r="U894" s="773">
        <v>188</v>
      </c>
      <c r="V894" s="773">
        <v>516</v>
      </c>
      <c r="W894" s="773" t="str">
        <f t="shared" si="20"/>
        <v>N</v>
      </c>
    </row>
    <row r="895" spans="1:23">
      <c r="A895" s="27">
        <v>44347</v>
      </c>
      <c r="B895" s="773" t="s">
        <v>140</v>
      </c>
      <c r="C895" s="773">
        <v>710</v>
      </c>
      <c r="D895" s="773">
        <v>2787</v>
      </c>
      <c r="E895" s="773" t="s">
        <v>390</v>
      </c>
      <c r="S895" s="27">
        <v>44500</v>
      </c>
      <c r="T895" s="773" t="s">
        <v>132</v>
      </c>
      <c r="U895" s="773">
        <v>249</v>
      </c>
      <c r="V895" s="773">
        <v>2723</v>
      </c>
      <c r="W895" s="773" t="str">
        <f t="shared" si="20"/>
        <v>N</v>
      </c>
    </row>
    <row r="896" spans="1:23">
      <c r="A896" s="27">
        <v>44712</v>
      </c>
      <c r="B896" s="773" t="s">
        <v>140</v>
      </c>
      <c r="C896" s="773">
        <v>585</v>
      </c>
      <c r="D896" s="773">
        <v>5102</v>
      </c>
      <c r="E896" s="773" t="s">
        <v>390</v>
      </c>
      <c r="S896" s="27">
        <v>44500</v>
      </c>
      <c r="T896" s="773" t="s">
        <v>132</v>
      </c>
      <c r="U896" s="773">
        <v>671</v>
      </c>
      <c r="V896" s="773">
        <v>2197</v>
      </c>
      <c r="W896" s="773" t="str">
        <f t="shared" si="20"/>
        <v>N</v>
      </c>
    </row>
    <row r="897" spans="1:23">
      <c r="A897" s="27">
        <v>44347</v>
      </c>
      <c r="B897" s="773" t="s">
        <v>140</v>
      </c>
      <c r="C897" s="773">
        <v>359</v>
      </c>
      <c r="D897" s="773">
        <v>581</v>
      </c>
      <c r="E897" s="773" t="s">
        <v>390</v>
      </c>
      <c r="S897" s="27">
        <v>44135</v>
      </c>
      <c r="T897" s="773" t="s">
        <v>132</v>
      </c>
      <c r="U897" s="773">
        <v>294</v>
      </c>
      <c r="V897" s="773">
        <v>2114</v>
      </c>
      <c r="W897" s="773" t="str">
        <f t="shared" si="20"/>
        <v>N</v>
      </c>
    </row>
    <row r="898" spans="1:23">
      <c r="A898" s="27">
        <v>44712</v>
      </c>
      <c r="B898" s="773" t="s">
        <v>140</v>
      </c>
      <c r="C898" s="773">
        <v>712</v>
      </c>
      <c r="D898" s="773">
        <v>1</v>
      </c>
      <c r="E898" s="773" t="s">
        <v>410</v>
      </c>
      <c r="S898" s="27">
        <v>44135</v>
      </c>
      <c r="T898" s="773" t="s">
        <v>132</v>
      </c>
      <c r="U898" s="773">
        <v>70</v>
      </c>
      <c r="V898" s="773">
        <v>227</v>
      </c>
      <c r="W898" s="773" t="str">
        <f t="shared" si="20"/>
        <v>N</v>
      </c>
    </row>
    <row r="899" spans="1:23">
      <c r="A899" s="27">
        <v>44712</v>
      </c>
      <c r="B899" s="773" t="s">
        <v>140</v>
      </c>
      <c r="C899" s="773">
        <v>648</v>
      </c>
      <c r="D899" s="773">
        <v>1363</v>
      </c>
      <c r="E899" s="773" t="s">
        <v>390</v>
      </c>
      <c r="S899" s="27">
        <v>44135</v>
      </c>
      <c r="T899" s="773" t="s">
        <v>132</v>
      </c>
      <c r="U899" s="773">
        <v>68</v>
      </c>
      <c r="V899" s="773">
        <v>3844</v>
      </c>
      <c r="W899" s="773" t="str">
        <f t="shared" ref="W899:W914" si="21">+IF(V899&lt;100,"O","N")</f>
        <v>N</v>
      </c>
    </row>
    <row r="900" spans="1:23">
      <c r="A900" s="27">
        <v>44347</v>
      </c>
      <c r="B900" s="773" t="s">
        <v>140</v>
      </c>
      <c r="C900" s="773">
        <v>691</v>
      </c>
      <c r="D900" s="773">
        <v>239</v>
      </c>
      <c r="E900" s="773" t="s">
        <v>390</v>
      </c>
      <c r="S900" s="27">
        <v>44135</v>
      </c>
      <c r="T900" s="773" t="s">
        <v>132</v>
      </c>
      <c r="U900" s="773">
        <v>304</v>
      </c>
      <c r="V900" s="773">
        <v>86</v>
      </c>
      <c r="W900" s="773" t="str">
        <f t="shared" si="21"/>
        <v>O</v>
      </c>
    </row>
    <row r="901" spans="1:23">
      <c r="A901" s="27">
        <v>44712</v>
      </c>
      <c r="B901" s="773" t="s">
        <v>140</v>
      </c>
      <c r="C901" s="773">
        <v>387</v>
      </c>
      <c r="D901" s="773">
        <v>9</v>
      </c>
      <c r="E901" s="773" t="s">
        <v>410</v>
      </c>
      <c r="S901" s="27">
        <v>44500</v>
      </c>
      <c r="T901" s="773" t="s">
        <v>132</v>
      </c>
      <c r="U901" s="773">
        <v>254</v>
      </c>
      <c r="V901" s="773">
        <v>8</v>
      </c>
      <c r="W901" s="773" t="str">
        <f t="shared" si="21"/>
        <v>O</v>
      </c>
    </row>
    <row r="902" spans="1:23">
      <c r="A902" s="27">
        <v>44712</v>
      </c>
      <c r="B902" s="773" t="s">
        <v>140</v>
      </c>
      <c r="C902" s="773">
        <v>0</v>
      </c>
      <c r="D902" s="773">
        <v>7</v>
      </c>
      <c r="E902" s="773" t="s">
        <v>410</v>
      </c>
      <c r="S902" s="27">
        <v>44500</v>
      </c>
      <c r="T902" s="773" t="s">
        <v>132</v>
      </c>
      <c r="U902" s="773">
        <v>267</v>
      </c>
      <c r="V902" s="773">
        <v>1</v>
      </c>
      <c r="W902" s="773" t="str">
        <f t="shared" si="21"/>
        <v>O</v>
      </c>
    </row>
    <row r="903" spans="1:23">
      <c r="A903" s="27">
        <v>44347</v>
      </c>
      <c r="B903" s="773" t="s">
        <v>140</v>
      </c>
      <c r="C903" s="773">
        <v>608</v>
      </c>
      <c r="D903" s="773">
        <v>2647</v>
      </c>
      <c r="E903" s="773" t="s">
        <v>390</v>
      </c>
      <c r="S903" s="27">
        <v>44500</v>
      </c>
      <c r="T903" s="773" t="s">
        <v>132</v>
      </c>
      <c r="U903" s="773">
        <v>102</v>
      </c>
      <c r="V903" s="773">
        <v>3</v>
      </c>
      <c r="W903" s="773" t="str">
        <f t="shared" si="21"/>
        <v>O</v>
      </c>
    </row>
    <row r="904" spans="1:23">
      <c r="A904" s="27">
        <v>44712</v>
      </c>
      <c r="B904" s="773" t="s">
        <v>140</v>
      </c>
      <c r="C904" s="773">
        <v>722</v>
      </c>
      <c r="D904" s="773">
        <v>1826</v>
      </c>
      <c r="E904" s="773" t="s">
        <v>390</v>
      </c>
      <c r="S904" s="27">
        <v>44500</v>
      </c>
      <c r="T904" s="773" t="s">
        <v>132</v>
      </c>
      <c r="U904" s="773">
        <v>87</v>
      </c>
      <c r="V904" s="773">
        <v>1</v>
      </c>
      <c r="W904" s="773" t="str">
        <f t="shared" si="21"/>
        <v>O</v>
      </c>
    </row>
    <row r="905" spans="1:23">
      <c r="A905" s="27">
        <v>44347</v>
      </c>
      <c r="B905" s="773" t="s">
        <v>140</v>
      </c>
      <c r="C905" s="773">
        <v>576</v>
      </c>
      <c r="D905" s="773">
        <v>248</v>
      </c>
      <c r="E905" s="773" t="s">
        <v>390</v>
      </c>
      <c r="S905" s="27">
        <v>44500</v>
      </c>
      <c r="T905" s="773" t="s">
        <v>132</v>
      </c>
      <c r="U905" s="773">
        <v>188</v>
      </c>
      <c r="V905" s="773">
        <v>550</v>
      </c>
      <c r="W905" s="773" t="str">
        <f t="shared" si="21"/>
        <v>N</v>
      </c>
    </row>
    <row r="906" spans="1:23">
      <c r="A906" s="27">
        <v>44347</v>
      </c>
      <c r="B906" s="773" t="s">
        <v>140</v>
      </c>
      <c r="C906" s="773">
        <v>525</v>
      </c>
      <c r="D906" s="773">
        <v>3781</v>
      </c>
      <c r="E906" s="773" t="s">
        <v>390</v>
      </c>
      <c r="S906" s="27">
        <v>44500</v>
      </c>
      <c r="T906" s="773" t="s">
        <v>132</v>
      </c>
      <c r="U906" s="773">
        <v>325</v>
      </c>
      <c r="V906" s="773">
        <v>2930</v>
      </c>
      <c r="W906" s="773" t="str">
        <f t="shared" si="21"/>
        <v>N</v>
      </c>
    </row>
    <row r="907" spans="1:23">
      <c r="A907" s="27">
        <v>44347</v>
      </c>
      <c r="B907" s="773" t="s">
        <v>140</v>
      </c>
      <c r="C907" s="773">
        <v>530</v>
      </c>
      <c r="D907" s="773">
        <v>1</v>
      </c>
      <c r="E907" s="773" t="s">
        <v>410</v>
      </c>
      <c r="S907" s="27">
        <v>44500</v>
      </c>
      <c r="T907" s="773" t="s">
        <v>132</v>
      </c>
      <c r="U907" s="773">
        <v>678</v>
      </c>
      <c r="V907" s="773">
        <v>2785</v>
      </c>
      <c r="W907" s="773" t="str">
        <f t="shared" si="21"/>
        <v>N</v>
      </c>
    </row>
    <row r="908" spans="1:23">
      <c r="A908" s="27">
        <v>44347</v>
      </c>
      <c r="B908" s="773" t="s">
        <v>140</v>
      </c>
      <c r="C908" s="773">
        <v>548</v>
      </c>
      <c r="D908" s="773">
        <v>554</v>
      </c>
      <c r="E908" s="773" t="s">
        <v>390</v>
      </c>
      <c r="S908" s="27">
        <v>44135</v>
      </c>
      <c r="T908" s="773" t="s">
        <v>132</v>
      </c>
      <c r="U908" s="773">
        <v>191</v>
      </c>
      <c r="V908" s="773">
        <v>2135</v>
      </c>
      <c r="W908" s="773" t="str">
        <f t="shared" si="21"/>
        <v>N</v>
      </c>
    </row>
    <row r="909" spans="1:23">
      <c r="A909" s="27">
        <v>44347</v>
      </c>
      <c r="B909" s="773" t="s">
        <v>140</v>
      </c>
      <c r="C909" s="773">
        <v>674</v>
      </c>
      <c r="D909" s="773">
        <v>1570</v>
      </c>
      <c r="E909" s="773" t="s">
        <v>390</v>
      </c>
      <c r="S909" s="27">
        <v>44500</v>
      </c>
      <c r="T909" s="773" t="s">
        <v>132</v>
      </c>
      <c r="U909" s="773">
        <v>326</v>
      </c>
      <c r="V909" s="773">
        <v>3063</v>
      </c>
      <c r="W909" s="773" t="str">
        <f t="shared" si="21"/>
        <v>N</v>
      </c>
    </row>
    <row r="910" spans="1:23">
      <c r="A910" s="27">
        <v>44712</v>
      </c>
      <c r="B910" s="773" t="s">
        <v>140</v>
      </c>
      <c r="C910" s="773">
        <v>628</v>
      </c>
      <c r="D910" s="773">
        <v>1626</v>
      </c>
      <c r="E910" s="773" t="s">
        <v>390</v>
      </c>
      <c r="S910" s="27">
        <v>44500</v>
      </c>
      <c r="T910" s="773" t="s">
        <v>132</v>
      </c>
      <c r="U910" s="773">
        <v>626</v>
      </c>
      <c r="V910" s="773">
        <v>5</v>
      </c>
      <c r="W910" s="773" t="str">
        <f t="shared" si="21"/>
        <v>O</v>
      </c>
    </row>
    <row r="911" spans="1:23">
      <c r="A911" s="27">
        <v>44712</v>
      </c>
      <c r="B911" s="773" t="s">
        <v>140</v>
      </c>
      <c r="C911" s="773">
        <v>510</v>
      </c>
      <c r="D911" s="773">
        <v>931</v>
      </c>
      <c r="E911" s="773" t="s">
        <v>390</v>
      </c>
      <c r="S911" s="27">
        <v>44500</v>
      </c>
      <c r="T911" s="773" t="s">
        <v>132</v>
      </c>
      <c r="U911" s="773">
        <v>181</v>
      </c>
      <c r="V911" s="773">
        <v>1</v>
      </c>
      <c r="W911" s="773" t="str">
        <f t="shared" si="21"/>
        <v>O</v>
      </c>
    </row>
    <row r="912" spans="1:23">
      <c r="A912" s="27">
        <v>44712</v>
      </c>
      <c r="B912" s="773" t="s">
        <v>140</v>
      </c>
      <c r="C912" s="773">
        <v>659</v>
      </c>
      <c r="D912" s="773">
        <v>632</v>
      </c>
      <c r="E912" s="773" t="s">
        <v>390</v>
      </c>
      <c r="S912" s="27">
        <v>44500</v>
      </c>
      <c r="T912" s="773" t="s">
        <v>132</v>
      </c>
      <c r="U912" s="773">
        <v>292</v>
      </c>
      <c r="V912" s="773">
        <v>7</v>
      </c>
      <c r="W912" s="773" t="str">
        <f t="shared" si="21"/>
        <v>O</v>
      </c>
    </row>
    <row r="913" spans="1:23">
      <c r="A913" s="27">
        <v>44347</v>
      </c>
      <c r="B913" s="773" t="s">
        <v>140</v>
      </c>
      <c r="C913" s="773">
        <v>370</v>
      </c>
      <c r="D913" s="773">
        <v>1</v>
      </c>
      <c r="E913" s="773" t="s">
        <v>410</v>
      </c>
      <c r="S913" s="27">
        <v>44135</v>
      </c>
      <c r="T913" s="773" t="s">
        <v>132</v>
      </c>
      <c r="U913" s="773">
        <v>254</v>
      </c>
      <c r="V913" s="773">
        <v>9</v>
      </c>
      <c r="W913" s="773" t="str">
        <f t="shared" si="21"/>
        <v>O</v>
      </c>
    </row>
    <row r="914" spans="1:23">
      <c r="A914" s="27">
        <v>44347</v>
      </c>
      <c r="B914" s="773" t="s">
        <v>140</v>
      </c>
      <c r="C914" s="773">
        <v>639</v>
      </c>
      <c r="D914" s="773">
        <v>59</v>
      </c>
      <c r="E914" s="773" t="s">
        <v>410</v>
      </c>
      <c r="S914" s="27">
        <v>44135</v>
      </c>
      <c r="T914" s="773" t="s">
        <v>132</v>
      </c>
      <c r="U914" s="773">
        <v>222</v>
      </c>
      <c r="V914" s="773">
        <v>3</v>
      </c>
      <c r="W914" s="773" t="str">
        <f t="shared" si="21"/>
        <v>O</v>
      </c>
    </row>
    <row r="915" spans="1:23">
      <c r="A915" s="27">
        <v>44712</v>
      </c>
      <c r="B915" s="773" t="s">
        <v>140</v>
      </c>
      <c r="C915" s="773">
        <v>383</v>
      </c>
      <c r="D915" s="773">
        <v>1</v>
      </c>
      <c r="E915" s="773" t="s">
        <v>410</v>
      </c>
      <c r="S915" s="27">
        <v>44165</v>
      </c>
      <c r="T915" s="773" t="s">
        <v>132</v>
      </c>
      <c r="U915" s="773">
        <v>688</v>
      </c>
      <c r="V915" s="773">
        <v>2365</v>
      </c>
      <c r="W915" s="773" t="s">
        <v>390</v>
      </c>
    </row>
    <row r="916" spans="1:23">
      <c r="A916" s="27">
        <v>44347</v>
      </c>
      <c r="B916" s="773" t="s">
        <v>140</v>
      </c>
      <c r="C916" s="773">
        <v>597</v>
      </c>
      <c r="D916" s="773">
        <v>1130</v>
      </c>
      <c r="E916" s="773" t="s">
        <v>390</v>
      </c>
      <c r="S916" s="27">
        <v>44530</v>
      </c>
      <c r="T916" s="773" t="s">
        <v>132</v>
      </c>
      <c r="U916" s="773">
        <v>94</v>
      </c>
      <c r="V916" s="773">
        <v>148</v>
      </c>
      <c r="W916" s="773" t="s">
        <v>390</v>
      </c>
    </row>
    <row r="917" spans="1:23">
      <c r="A917" s="27">
        <v>44347</v>
      </c>
      <c r="B917" s="773" t="s">
        <v>140</v>
      </c>
      <c r="C917" s="773">
        <v>449</v>
      </c>
      <c r="D917" s="773">
        <v>1903</v>
      </c>
      <c r="E917" s="773" t="s">
        <v>390</v>
      </c>
      <c r="S917" s="27">
        <v>44530</v>
      </c>
      <c r="T917" s="773" t="s">
        <v>132</v>
      </c>
      <c r="U917" s="773">
        <v>265</v>
      </c>
      <c r="V917" s="773">
        <v>1419</v>
      </c>
      <c r="W917" s="773" t="s">
        <v>390</v>
      </c>
    </row>
    <row r="918" spans="1:23">
      <c r="A918" s="27">
        <v>44712</v>
      </c>
      <c r="B918" s="773" t="s">
        <v>140</v>
      </c>
      <c r="C918" s="773">
        <v>691</v>
      </c>
      <c r="D918" s="773">
        <v>214</v>
      </c>
      <c r="E918" s="773" t="s">
        <v>390</v>
      </c>
      <c r="S918" s="27">
        <v>44165</v>
      </c>
      <c r="T918" s="773" t="s">
        <v>132</v>
      </c>
      <c r="U918" s="773">
        <v>294</v>
      </c>
      <c r="V918" s="773">
        <v>10</v>
      </c>
      <c r="W918" s="773" t="s">
        <v>410</v>
      </c>
    </row>
    <row r="919" spans="1:23">
      <c r="A919" s="27">
        <v>44712</v>
      </c>
      <c r="B919" s="773" t="s">
        <v>140</v>
      </c>
      <c r="C919" s="773">
        <v>674</v>
      </c>
      <c r="D919" s="773">
        <v>1706</v>
      </c>
      <c r="E919" s="773" t="s">
        <v>390</v>
      </c>
      <c r="S919" s="27">
        <v>44165</v>
      </c>
      <c r="T919" s="773" t="s">
        <v>132</v>
      </c>
      <c r="U919" s="773">
        <v>699</v>
      </c>
      <c r="V919" s="773">
        <v>2094</v>
      </c>
      <c r="W919" s="773" t="s">
        <v>390</v>
      </c>
    </row>
    <row r="920" spans="1:23">
      <c r="A920" s="27">
        <v>44347</v>
      </c>
      <c r="B920" s="773" t="s">
        <v>140</v>
      </c>
      <c r="C920" s="773">
        <v>338</v>
      </c>
      <c r="D920" s="773">
        <v>2463</v>
      </c>
      <c r="E920" s="773" t="s">
        <v>390</v>
      </c>
      <c r="S920" s="27">
        <v>44530</v>
      </c>
      <c r="T920" s="773" t="s">
        <v>132</v>
      </c>
      <c r="U920" s="773">
        <v>120</v>
      </c>
      <c r="V920" s="773">
        <v>2</v>
      </c>
      <c r="W920" s="773" t="s">
        <v>410</v>
      </c>
    </row>
    <row r="921" spans="1:23">
      <c r="A921" s="27">
        <v>44712</v>
      </c>
      <c r="B921" s="773" t="s">
        <v>140</v>
      </c>
      <c r="C921" s="773">
        <v>610</v>
      </c>
      <c r="D921" s="773">
        <v>3019</v>
      </c>
      <c r="E921" s="773" t="s">
        <v>390</v>
      </c>
      <c r="S921" s="27">
        <v>44165</v>
      </c>
      <c r="T921" s="773" t="s">
        <v>132</v>
      </c>
      <c r="U921" s="773">
        <v>94</v>
      </c>
      <c r="V921" s="773">
        <v>2250</v>
      </c>
      <c r="W921" s="773" t="s">
        <v>390</v>
      </c>
    </row>
    <row r="922" spans="1:23">
      <c r="A922" s="27">
        <v>44712</v>
      </c>
      <c r="B922" s="773" t="s">
        <v>140</v>
      </c>
      <c r="C922" s="773">
        <v>453</v>
      </c>
      <c r="D922" s="773">
        <v>2307</v>
      </c>
      <c r="E922" s="773" t="s">
        <v>390</v>
      </c>
      <c r="S922" s="27">
        <v>44165</v>
      </c>
      <c r="T922" s="773" t="s">
        <v>132</v>
      </c>
      <c r="U922" s="773">
        <v>173</v>
      </c>
      <c r="V922" s="773">
        <v>1</v>
      </c>
      <c r="W922" s="773" t="s">
        <v>410</v>
      </c>
    </row>
    <row r="923" spans="1:23">
      <c r="A923" s="27">
        <v>44712</v>
      </c>
      <c r="B923" s="773" t="s">
        <v>140</v>
      </c>
      <c r="C923" s="773">
        <v>524</v>
      </c>
      <c r="D923" s="773">
        <v>1114</v>
      </c>
      <c r="E923" s="773" t="s">
        <v>390</v>
      </c>
      <c r="S923" s="27">
        <v>44165</v>
      </c>
      <c r="T923" s="773" t="s">
        <v>132</v>
      </c>
      <c r="U923" s="773">
        <v>158</v>
      </c>
      <c r="V923" s="773">
        <v>45</v>
      </c>
      <c r="W923" s="773" t="s">
        <v>410</v>
      </c>
    </row>
    <row r="924" spans="1:23">
      <c r="A924" s="27">
        <v>44347</v>
      </c>
      <c r="B924" s="773" t="s">
        <v>140</v>
      </c>
      <c r="C924" s="773">
        <v>722</v>
      </c>
      <c r="D924" s="773">
        <v>1795</v>
      </c>
      <c r="E924" s="773" t="s">
        <v>390</v>
      </c>
      <c r="S924" s="27">
        <v>44530</v>
      </c>
      <c r="T924" s="773" t="s">
        <v>132</v>
      </c>
      <c r="U924" s="773">
        <v>237</v>
      </c>
      <c r="V924" s="773">
        <v>24</v>
      </c>
      <c r="W924" s="773" t="s">
        <v>410</v>
      </c>
    </row>
    <row r="925" spans="1:23">
      <c r="A925" s="27">
        <v>44712</v>
      </c>
      <c r="B925" s="773" t="s">
        <v>140</v>
      </c>
      <c r="C925" s="773">
        <v>650</v>
      </c>
      <c r="D925" s="773">
        <v>2312</v>
      </c>
      <c r="E925" s="773" t="s">
        <v>390</v>
      </c>
      <c r="S925" s="27">
        <v>44165</v>
      </c>
      <c r="T925" s="773" t="s">
        <v>132</v>
      </c>
      <c r="U925" s="773">
        <v>124</v>
      </c>
      <c r="V925" s="773">
        <v>8</v>
      </c>
      <c r="W925" s="773" t="s">
        <v>410</v>
      </c>
    </row>
    <row r="926" spans="1:23">
      <c r="A926" s="27">
        <v>44712</v>
      </c>
      <c r="B926" s="773" t="s">
        <v>140</v>
      </c>
      <c r="C926" s="773">
        <v>639</v>
      </c>
      <c r="D926" s="773">
        <v>110</v>
      </c>
      <c r="E926" s="773" t="s">
        <v>390</v>
      </c>
      <c r="S926" s="27">
        <v>44530</v>
      </c>
      <c r="T926" s="773" t="s">
        <v>132</v>
      </c>
      <c r="U926" s="773">
        <v>698</v>
      </c>
      <c r="V926" s="773">
        <v>2678</v>
      </c>
      <c r="W926" s="773" t="s">
        <v>390</v>
      </c>
    </row>
    <row r="927" spans="1:23">
      <c r="A927" s="27">
        <v>44347</v>
      </c>
      <c r="B927" s="773" t="s">
        <v>140</v>
      </c>
      <c r="C927" s="773">
        <v>705</v>
      </c>
      <c r="D927" s="773">
        <v>1</v>
      </c>
      <c r="E927" s="773" t="s">
        <v>410</v>
      </c>
      <c r="S927" s="27">
        <v>44165</v>
      </c>
      <c r="T927" s="773" t="s">
        <v>132</v>
      </c>
      <c r="U927" s="773">
        <v>299</v>
      </c>
      <c r="V927" s="773">
        <v>1</v>
      </c>
      <c r="W927" s="773" t="s">
        <v>410</v>
      </c>
    </row>
    <row r="928" spans="1:23">
      <c r="A928" s="27">
        <v>44347</v>
      </c>
      <c r="B928" s="773" t="s">
        <v>140</v>
      </c>
      <c r="C928" s="773">
        <v>198</v>
      </c>
      <c r="D928" s="773">
        <v>6</v>
      </c>
      <c r="E928" s="773" t="s">
        <v>410</v>
      </c>
      <c r="S928" s="27">
        <v>44165</v>
      </c>
      <c r="T928" s="773" t="s">
        <v>132</v>
      </c>
      <c r="U928" s="773">
        <v>626</v>
      </c>
      <c r="V928" s="773">
        <v>5</v>
      </c>
      <c r="W928" s="773" t="s">
        <v>410</v>
      </c>
    </row>
    <row r="929" spans="1:23">
      <c r="A929" s="27">
        <v>44347</v>
      </c>
      <c r="B929" s="773" t="s">
        <v>140</v>
      </c>
      <c r="C929" s="773">
        <v>585</v>
      </c>
      <c r="D929" s="773">
        <v>2319</v>
      </c>
      <c r="E929" s="773" t="s">
        <v>390</v>
      </c>
      <c r="S929" s="27">
        <v>44530</v>
      </c>
      <c r="T929" s="773" t="s">
        <v>132</v>
      </c>
      <c r="U929" s="773">
        <v>999</v>
      </c>
      <c r="V929" s="773">
        <v>1</v>
      </c>
      <c r="W929" s="773" t="s">
        <v>410</v>
      </c>
    </row>
    <row r="930" spans="1:23">
      <c r="A930" s="27">
        <v>44712</v>
      </c>
      <c r="B930" s="773" t="s">
        <v>140</v>
      </c>
      <c r="C930" s="773">
        <v>548</v>
      </c>
      <c r="D930" s="773">
        <v>578</v>
      </c>
      <c r="E930" s="773" t="s">
        <v>390</v>
      </c>
      <c r="S930" s="27">
        <v>44165</v>
      </c>
      <c r="T930" s="773" t="s">
        <v>132</v>
      </c>
      <c r="U930" s="773">
        <v>91</v>
      </c>
      <c r="V930" s="773">
        <v>2</v>
      </c>
      <c r="W930" s="773" t="s">
        <v>410</v>
      </c>
    </row>
    <row r="931" spans="1:23">
      <c r="A931" s="27">
        <v>44347</v>
      </c>
      <c r="B931" s="773" t="s">
        <v>140</v>
      </c>
      <c r="C931" s="773">
        <v>626</v>
      </c>
      <c r="D931" s="773">
        <v>2541</v>
      </c>
      <c r="E931" s="773" t="s">
        <v>390</v>
      </c>
      <c r="S931" s="27">
        <v>44530</v>
      </c>
      <c r="T931" s="773" t="s">
        <v>132</v>
      </c>
      <c r="U931" s="773">
        <v>696</v>
      </c>
      <c r="V931" s="773">
        <v>2137</v>
      </c>
      <c r="W931" s="773" t="s">
        <v>390</v>
      </c>
    </row>
    <row r="932" spans="1:23">
      <c r="A932" s="27">
        <v>44712</v>
      </c>
      <c r="B932" s="773" t="s">
        <v>140</v>
      </c>
      <c r="C932" s="773">
        <v>601</v>
      </c>
      <c r="D932" s="773">
        <v>3</v>
      </c>
      <c r="E932" s="773" t="s">
        <v>410</v>
      </c>
      <c r="S932" s="27">
        <v>44530</v>
      </c>
      <c r="T932" s="773" t="s">
        <v>132</v>
      </c>
      <c r="U932" s="773">
        <v>651</v>
      </c>
      <c r="V932" s="773">
        <v>193</v>
      </c>
      <c r="W932" s="773" t="s">
        <v>390</v>
      </c>
    </row>
    <row r="933" spans="1:23">
      <c r="A933" s="27">
        <v>44712</v>
      </c>
      <c r="B933" s="773" t="s">
        <v>140</v>
      </c>
      <c r="C933" s="773">
        <v>359</v>
      </c>
      <c r="D933" s="773">
        <v>680</v>
      </c>
      <c r="E933" s="773" t="s">
        <v>390</v>
      </c>
      <c r="S933" s="27">
        <v>44530</v>
      </c>
      <c r="T933" s="773" t="s">
        <v>132</v>
      </c>
      <c r="U933" s="773">
        <v>239</v>
      </c>
      <c r="V933" s="773">
        <v>3234</v>
      </c>
      <c r="W933" s="773" t="s">
        <v>390</v>
      </c>
    </row>
    <row r="934" spans="1:23">
      <c r="A934" s="27">
        <v>44347</v>
      </c>
      <c r="B934" s="773" t="s">
        <v>140</v>
      </c>
      <c r="C934" s="773">
        <v>712</v>
      </c>
      <c r="D934" s="773">
        <v>1</v>
      </c>
      <c r="E934" s="773" t="s">
        <v>410</v>
      </c>
      <c r="S934" s="27">
        <v>44165</v>
      </c>
      <c r="T934" s="773" t="s">
        <v>132</v>
      </c>
      <c r="U934" s="773">
        <v>79</v>
      </c>
      <c r="V934" s="773">
        <v>4</v>
      </c>
      <c r="W934" s="773" t="s">
        <v>410</v>
      </c>
    </row>
    <row r="935" spans="1:23">
      <c r="A935" s="27">
        <v>44712</v>
      </c>
      <c r="B935" s="773" t="s">
        <v>140</v>
      </c>
      <c r="C935" s="773">
        <v>740</v>
      </c>
      <c r="D935" s="773">
        <v>595</v>
      </c>
      <c r="E935" s="773" t="s">
        <v>390</v>
      </c>
      <c r="S935" s="27">
        <v>44165</v>
      </c>
      <c r="T935" s="773" t="s">
        <v>132</v>
      </c>
      <c r="U935" s="773">
        <v>265</v>
      </c>
      <c r="V935" s="773">
        <v>1560</v>
      </c>
      <c r="W935" s="773" t="s">
        <v>390</v>
      </c>
    </row>
    <row r="936" spans="1:23">
      <c r="A936" s="27">
        <v>44347</v>
      </c>
      <c r="B936" s="773" t="s">
        <v>140</v>
      </c>
      <c r="C936" s="773">
        <v>346</v>
      </c>
      <c r="D936" s="773">
        <v>2</v>
      </c>
      <c r="E936" s="773" t="s">
        <v>410</v>
      </c>
      <c r="S936" s="27">
        <v>44165</v>
      </c>
      <c r="T936" s="773" t="s">
        <v>132</v>
      </c>
      <c r="U936" s="773">
        <v>64</v>
      </c>
      <c r="V936" s="773">
        <v>5</v>
      </c>
      <c r="W936" s="773" t="s">
        <v>410</v>
      </c>
    </row>
    <row r="937" spans="1:23">
      <c r="A937" s="27">
        <v>44712</v>
      </c>
      <c r="B937" s="773" t="s">
        <v>140</v>
      </c>
      <c r="C937" s="773">
        <v>556</v>
      </c>
      <c r="D937" s="773">
        <v>2725</v>
      </c>
      <c r="E937" s="773" t="s">
        <v>390</v>
      </c>
      <c r="S937" s="27">
        <v>44165</v>
      </c>
      <c r="T937" s="773" t="s">
        <v>132</v>
      </c>
      <c r="U937" s="773">
        <v>113</v>
      </c>
      <c r="V937" s="773">
        <v>2</v>
      </c>
      <c r="W937" s="773" t="s">
        <v>410</v>
      </c>
    </row>
    <row r="938" spans="1:23">
      <c r="A938" s="27">
        <v>44347</v>
      </c>
      <c r="B938" s="773" t="s">
        <v>140</v>
      </c>
      <c r="C938" s="773">
        <v>453</v>
      </c>
      <c r="D938" s="773">
        <v>2395</v>
      </c>
      <c r="E938" s="773" t="s">
        <v>390</v>
      </c>
      <c r="S938" s="27">
        <v>44530</v>
      </c>
      <c r="T938" s="773" t="s">
        <v>132</v>
      </c>
      <c r="U938" s="773">
        <v>148</v>
      </c>
      <c r="V938" s="773">
        <v>1</v>
      </c>
      <c r="W938" s="773" t="s">
        <v>410</v>
      </c>
    </row>
    <row r="939" spans="1:23">
      <c r="A939" s="27">
        <v>44712</v>
      </c>
      <c r="B939" s="773" t="s">
        <v>140</v>
      </c>
      <c r="C939" s="773">
        <v>626</v>
      </c>
      <c r="D939" s="773">
        <v>2837</v>
      </c>
      <c r="E939" s="773" t="s">
        <v>390</v>
      </c>
      <c r="S939" s="27">
        <v>44165</v>
      </c>
      <c r="T939" s="773" t="s">
        <v>132</v>
      </c>
      <c r="U939" s="773">
        <v>0</v>
      </c>
      <c r="V939" s="773">
        <v>42</v>
      </c>
      <c r="W939" s="773" t="s">
        <v>410</v>
      </c>
    </row>
    <row r="940" spans="1:23">
      <c r="A940" s="27">
        <v>44347</v>
      </c>
      <c r="B940" s="773" t="s">
        <v>140</v>
      </c>
      <c r="C940" s="773">
        <v>0</v>
      </c>
      <c r="D940" s="773">
        <v>8</v>
      </c>
      <c r="E940" s="773" t="s">
        <v>410</v>
      </c>
      <c r="S940" s="27">
        <v>44165</v>
      </c>
      <c r="T940" s="773" t="s">
        <v>132</v>
      </c>
      <c r="U940" s="773">
        <v>182</v>
      </c>
      <c r="V940" s="773">
        <v>983</v>
      </c>
      <c r="W940" s="773" t="s">
        <v>390</v>
      </c>
    </row>
    <row r="941" spans="1:23">
      <c r="A941" s="27">
        <v>44712</v>
      </c>
      <c r="B941" s="773" t="s">
        <v>140</v>
      </c>
      <c r="C941" s="773">
        <v>493</v>
      </c>
      <c r="D941" s="773">
        <v>6</v>
      </c>
      <c r="E941" s="773" t="s">
        <v>410</v>
      </c>
      <c r="S941" s="27">
        <v>44530</v>
      </c>
      <c r="T941" s="773" t="s">
        <v>132</v>
      </c>
      <c r="U941" s="773">
        <v>243</v>
      </c>
      <c r="V941" s="773">
        <v>634</v>
      </c>
      <c r="W941" s="773" t="s">
        <v>390</v>
      </c>
    </row>
    <row r="942" spans="1:23">
      <c r="A942" s="27">
        <v>44347</v>
      </c>
      <c r="B942" s="773" t="s">
        <v>140</v>
      </c>
      <c r="C942" s="773">
        <v>760</v>
      </c>
      <c r="D942" s="773">
        <v>68</v>
      </c>
      <c r="E942" s="773" t="s">
        <v>410</v>
      </c>
      <c r="S942" s="27">
        <v>44165</v>
      </c>
      <c r="T942" s="773" t="s">
        <v>132</v>
      </c>
      <c r="U942" s="773">
        <v>252</v>
      </c>
      <c r="V942" s="773">
        <v>1275</v>
      </c>
      <c r="W942" s="773" t="s">
        <v>390</v>
      </c>
    </row>
    <row r="943" spans="1:23">
      <c r="A943" s="27">
        <v>44347</v>
      </c>
      <c r="B943" s="773" t="s">
        <v>140</v>
      </c>
      <c r="C943" s="773">
        <v>578</v>
      </c>
      <c r="D943" s="773">
        <v>2601</v>
      </c>
      <c r="E943" s="773" t="s">
        <v>390</v>
      </c>
      <c r="S943" s="27">
        <v>44530</v>
      </c>
      <c r="T943" s="773" t="s">
        <v>132</v>
      </c>
      <c r="U943" s="773">
        <v>303</v>
      </c>
      <c r="V943" s="773">
        <v>2524</v>
      </c>
      <c r="W943" s="773" t="s">
        <v>390</v>
      </c>
    </row>
    <row r="944" spans="1:23">
      <c r="A944" s="27">
        <v>44712</v>
      </c>
      <c r="B944" s="773" t="s">
        <v>140</v>
      </c>
      <c r="C944" s="773">
        <v>608</v>
      </c>
      <c r="D944" s="773">
        <v>1</v>
      </c>
      <c r="E944" s="773" t="s">
        <v>410</v>
      </c>
      <c r="S944" s="27">
        <v>44165</v>
      </c>
      <c r="T944" s="773" t="s">
        <v>132</v>
      </c>
      <c r="U944" s="773">
        <v>77</v>
      </c>
      <c r="V944" s="773">
        <v>3401</v>
      </c>
      <c r="W944" s="773" t="s">
        <v>390</v>
      </c>
    </row>
    <row r="945" spans="1:23">
      <c r="A945" s="27">
        <v>44712</v>
      </c>
      <c r="B945" s="773" t="s">
        <v>140</v>
      </c>
      <c r="C945" s="773">
        <v>525</v>
      </c>
      <c r="D945" s="773">
        <v>27</v>
      </c>
      <c r="E945" s="773" t="s">
        <v>410</v>
      </c>
      <c r="S945" s="27">
        <v>44530</v>
      </c>
      <c r="T945" s="773" t="s">
        <v>132</v>
      </c>
      <c r="U945" s="773">
        <v>110</v>
      </c>
      <c r="V945" s="773">
        <v>1</v>
      </c>
      <c r="W945" s="773" t="s">
        <v>410</v>
      </c>
    </row>
    <row r="946" spans="1:23">
      <c r="A946" s="27">
        <v>44347</v>
      </c>
      <c r="B946" s="773" t="s">
        <v>140</v>
      </c>
      <c r="C946" s="773">
        <v>678</v>
      </c>
      <c r="D946" s="773">
        <v>2324</v>
      </c>
      <c r="E946" s="773" t="s">
        <v>390</v>
      </c>
      <c r="S946" s="27">
        <v>44165</v>
      </c>
      <c r="T946" s="773" t="s">
        <v>132</v>
      </c>
      <c r="U946" s="773">
        <v>291</v>
      </c>
      <c r="V946" s="773">
        <v>2176</v>
      </c>
      <c r="W946" s="773" t="s">
        <v>390</v>
      </c>
    </row>
    <row r="947" spans="1:23">
      <c r="A947" s="27">
        <v>44347</v>
      </c>
      <c r="B947" s="773" t="s">
        <v>140</v>
      </c>
      <c r="C947" s="773">
        <v>478</v>
      </c>
      <c r="D947" s="773">
        <v>2023</v>
      </c>
      <c r="E947" s="773" t="s">
        <v>390</v>
      </c>
      <c r="S947" s="27">
        <v>44165</v>
      </c>
      <c r="T947" s="773" t="s">
        <v>132</v>
      </c>
      <c r="U947" s="773">
        <v>70</v>
      </c>
      <c r="V947" s="773">
        <v>224</v>
      </c>
      <c r="W947" s="773" t="s">
        <v>390</v>
      </c>
    </row>
    <row r="948" spans="1:23">
      <c r="A948" s="27">
        <v>44712</v>
      </c>
      <c r="B948" s="773" t="s">
        <v>140</v>
      </c>
      <c r="C948" s="773">
        <v>485</v>
      </c>
      <c r="D948" s="773">
        <v>1167</v>
      </c>
      <c r="E948" s="773" t="s">
        <v>390</v>
      </c>
      <c r="S948" s="27">
        <v>44530</v>
      </c>
      <c r="T948" s="773" t="s">
        <v>132</v>
      </c>
      <c r="U948" s="773">
        <v>687</v>
      </c>
      <c r="V948" s="773">
        <v>2779</v>
      </c>
      <c r="W948" s="773" t="s">
        <v>390</v>
      </c>
    </row>
    <row r="949" spans="1:23">
      <c r="A949" s="27">
        <v>44712</v>
      </c>
      <c r="B949" s="773" t="s">
        <v>140</v>
      </c>
      <c r="C949" s="773">
        <v>379</v>
      </c>
      <c r="D949" s="773">
        <v>1</v>
      </c>
      <c r="E949" s="773" t="s">
        <v>410</v>
      </c>
      <c r="S949" s="27">
        <v>44530</v>
      </c>
      <c r="T949" s="773" t="s">
        <v>132</v>
      </c>
      <c r="U949" s="773">
        <v>181</v>
      </c>
      <c r="V949" s="773">
        <v>1</v>
      </c>
      <c r="W949" s="773" t="s">
        <v>410</v>
      </c>
    </row>
    <row r="950" spans="1:23">
      <c r="A950" s="27">
        <v>44712</v>
      </c>
      <c r="B950" s="773" t="s">
        <v>140</v>
      </c>
      <c r="C950" s="773">
        <v>530</v>
      </c>
      <c r="D950" s="773">
        <v>1</v>
      </c>
      <c r="E950" s="773" t="s">
        <v>410</v>
      </c>
      <c r="S950" s="27">
        <v>44165</v>
      </c>
      <c r="T950" s="773" t="s">
        <v>132</v>
      </c>
      <c r="U950" s="773">
        <v>342</v>
      </c>
      <c r="V950" s="773">
        <v>2854</v>
      </c>
      <c r="W950" s="773" t="s">
        <v>390</v>
      </c>
    </row>
    <row r="951" spans="1:23">
      <c r="A951" s="27">
        <v>44712</v>
      </c>
      <c r="B951" s="773" t="s">
        <v>140</v>
      </c>
      <c r="C951" s="773">
        <v>338</v>
      </c>
      <c r="D951" s="773">
        <v>2434</v>
      </c>
      <c r="E951" s="773" t="s">
        <v>390</v>
      </c>
      <c r="S951" s="27">
        <v>44530</v>
      </c>
      <c r="T951" s="773" t="s">
        <v>132</v>
      </c>
      <c r="U951" s="773">
        <v>52</v>
      </c>
      <c r="V951" s="773">
        <v>2</v>
      </c>
      <c r="W951" s="773" t="s">
        <v>410</v>
      </c>
    </row>
    <row r="952" spans="1:23">
      <c r="A952" s="27">
        <v>44347</v>
      </c>
      <c r="B952" s="773" t="s">
        <v>140</v>
      </c>
      <c r="C952" s="773">
        <v>485</v>
      </c>
      <c r="D952" s="773">
        <v>1246</v>
      </c>
      <c r="E952" s="773" t="s">
        <v>390</v>
      </c>
      <c r="S952" s="27">
        <v>44530</v>
      </c>
      <c r="T952" s="773" t="s">
        <v>132</v>
      </c>
      <c r="U952" s="773">
        <v>63</v>
      </c>
      <c r="V952" s="773">
        <v>2</v>
      </c>
      <c r="W952" s="773" t="s">
        <v>410</v>
      </c>
    </row>
    <row r="953" spans="1:23">
      <c r="A953" s="27">
        <v>44712</v>
      </c>
      <c r="B953" s="773" t="s">
        <v>140</v>
      </c>
      <c r="C953" s="773">
        <v>719</v>
      </c>
      <c r="D953" s="773">
        <v>24</v>
      </c>
      <c r="E953" s="773" t="s">
        <v>410</v>
      </c>
      <c r="S953" s="27">
        <v>44165</v>
      </c>
      <c r="T953" s="773" t="s">
        <v>132</v>
      </c>
      <c r="U953" s="773">
        <v>136</v>
      </c>
      <c r="V953" s="773">
        <v>77</v>
      </c>
      <c r="W953" s="773" t="s">
        <v>410</v>
      </c>
    </row>
    <row r="954" spans="1:23">
      <c r="A954" s="27">
        <v>44712</v>
      </c>
      <c r="B954" s="773" t="s">
        <v>140</v>
      </c>
      <c r="C954" s="773">
        <v>449</v>
      </c>
      <c r="D954" s="773">
        <v>1842</v>
      </c>
      <c r="E954" s="773" t="s">
        <v>390</v>
      </c>
      <c r="S954" s="27">
        <v>44530</v>
      </c>
      <c r="T954" s="773" t="s">
        <v>132</v>
      </c>
      <c r="U954" s="773">
        <v>79</v>
      </c>
      <c r="V954" s="773">
        <v>14</v>
      </c>
      <c r="W954" s="773" t="s">
        <v>410</v>
      </c>
    </row>
    <row r="955" spans="1:23">
      <c r="A955" s="27">
        <v>44712</v>
      </c>
      <c r="B955" s="773" t="s">
        <v>140</v>
      </c>
      <c r="C955" s="773">
        <v>640</v>
      </c>
      <c r="D955" s="773">
        <v>3049</v>
      </c>
      <c r="E955" s="773" t="s">
        <v>390</v>
      </c>
      <c r="S955" s="27">
        <v>44530</v>
      </c>
      <c r="T955" s="773" t="s">
        <v>132</v>
      </c>
      <c r="U955" s="773">
        <v>681</v>
      </c>
      <c r="V955" s="773">
        <v>854</v>
      </c>
      <c r="W955" s="773" t="s">
        <v>390</v>
      </c>
    </row>
    <row r="956" spans="1:23">
      <c r="A956" s="27">
        <v>44347</v>
      </c>
      <c r="B956" s="773" t="s">
        <v>140</v>
      </c>
      <c r="C956" s="773">
        <v>732</v>
      </c>
      <c r="D956" s="773">
        <v>9</v>
      </c>
      <c r="E956" s="773" t="s">
        <v>410</v>
      </c>
      <c r="S956" s="27">
        <v>44165</v>
      </c>
      <c r="T956" s="773" t="s">
        <v>132</v>
      </c>
      <c r="U956" s="773">
        <v>266</v>
      </c>
      <c r="V956" s="773">
        <v>2227</v>
      </c>
      <c r="W956" s="773" t="s">
        <v>390</v>
      </c>
    </row>
    <row r="957" spans="1:23">
      <c r="A957" s="27">
        <v>44712</v>
      </c>
      <c r="B957" s="773" t="s">
        <v>140</v>
      </c>
      <c r="C957" s="773">
        <v>248</v>
      </c>
      <c r="D957" s="773">
        <v>485</v>
      </c>
      <c r="E957" s="773" t="s">
        <v>390</v>
      </c>
      <c r="S957" s="27">
        <v>44530</v>
      </c>
      <c r="T957" s="773" t="s">
        <v>132</v>
      </c>
      <c r="U957" s="773">
        <v>254</v>
      </c>
      <c r="V957" s="773">
        <v>8</v>
      </c>
      <c r="W957" s="773" t="s">
        <v>410</v>
      </c>
    </row>
    <row r="958" spans="1:23">
      <c r="A958" s="27">
        <v>44712</v>
      </c>
      <c r="B958" s="773" t="s">
        <v>140</v>
      </c>
      <c r="C958" s="773">
        <v>558</v>
      </c>
      <c r="D958" s="773">
        <v>1282</v>
      </c>
      <c r="E958" s="773" t="s">
        <v>390</v>
      </c>
      <c r="S958" s="27">
        <v>44530</v>
      </c>
      <c r="T958" s="773" t="s">
        <v>132</v>
      </c>
      <c r="U958" s="773">
        <v>111</v>
      </c>
      <c r="V958" s="773">
        <v>2</v>
      </c>
      <c r="W958" s="773" t="s">
        <v>410</v>
      </c>
    </row>
    <row r="959" spans="1:23">
      <c r="A959" s="27">
        <v>44712</v>
      </c>
      <c r="B959" s="773" t="s">
        <v>140</v>
      </c>
      <c r="C959" s="773">
        <v>469</v>
      </c>
      <c r="D959" s="773">
        <v>8</v>
      </c>
      <c r="E959" s="773" t="s">
        <v>410</v>
      </c>
      <c r="S959" s="27">
        <v>44530</v>
      </c>
      <c r="T959" s="773" t="s">
        <v>132</v>
      </c>
      <c r="U959" s="773">
        <v>275</v>
      </c>
      <c r="V959" s="773">
        <v>718</v>
      </c>
      <c r="W959" s="773" t="s">
        <v>390</v>
      </c>
    </row>
    <row r="960" spans="1:23">
      <c r="A960" s="27">
        <v>44712</v>
      </c>
      <c r="B960" s="773" t="s">
        <v>140</v>
      </c>
      <c r="C960" s="773">
        <v>630</v>
      </c>
      <c r="D960" s="773">
        <v>1</v>
      </c>
      <c r="E960" s="773" t="s">
        <v>410</v>
      </c>
      <c r="S960" s="27">
        <v>44530</v>
      </c>
      <c r="T960" s="773" t="s">
        <v>132</v>
      </c>
      <c r="U960" s="773">
        <v>113</v>
      </c>
      <c r="V960" s="773">
        <v>2</v>
      </c>
      <c r="W960" s="773" t="s">
        <v>410</v>
      </c>
    </row>
    <row r="961" spans="1:23">
      <c r="A961" s="27">
        <v>44347</v>
      </c>
      <c r="B961" s="773" t="s">
        <v>140</v>
      </c>
      <c r="C961" s="773">
        <v>383</v>
      </c>
      <c r="D961" s="773">
        <v>3</v>
      </c>
      <c r="E961" s="773" t="s">
        <v>410</v>
      </c>
      <c r="S961" s="27">
        <v>44530</v>
      </c>
      <c r="T961" s="773" t="s">
        <v>132</v>
      </c>
      <c r="U961" s="773">
        <v>305</v>
      </c>
      <c r="V961" s="773">
        <v>3699</v>
      </c>
      <c r="W961" s="773" t="s">
        <v>390</v>
      </c>
    </row>
    <row r="962" spans="1:23">
      <c r="A962" s="27">
        <v>44347</v>
      </c>
      <c r="B962" s="773" t="s">
        <v>140</v>
      </c>
      <c r="C962" s="773">
        <v>540</v>
      </c>
      <c r="D962" s="773">
        <v>1</v>
      </c>
      <c r="E962" s="773" t="s">
        <v>410</v>
      </c>
      <c r="S962" s="27">
        <v>44530</v>
      </c>
      <c r="T962" s="773" t="s">
        <v>132</v>
      </c>
      <c r="U962" s="773">
        <v>367</v>
      </c>
      <c r="V962" s="773">
        <v>14</v>
      </c>
      <c r="W962" s="773" t="s">
        <v>410</v>
      </c>
    </row>
    <row r="963" spans="1:23">
      <c r="A963" s="27">
        <v>44712</v>
      </c>
      <c r="B963" s="773" t="s">
        <v>140</v>
      </c>
      <c r="C963" s="773">
        <v>758</v>
      </c>
      <c r="D963" s="773">
        <v>1</v>
      </c>
      <c r="E963" s="773" t="s">
        <v>410</v>
      </c>
      <c r="S963" s="27">
        <v>44165</v>
      </c>
      <c r="T963" s="773" t="s">
        <v>132</v>
      </c>
      <c r="U963" s="773">
        <v>250</v>
      </c>
      <c r="V963" s="773">
        <v>1</v>
      </c>
      <c r="W963" s="773" t="s">
        <v>410</v>
      </c>
    </row>
    <row r="964" spans="1:23">
      <c r="A964" s="27">
        <v>44712</v>
      </c>
      <c r="B964" s="773" t="s">
        <v>140</v>
      </c>
      <c r="C964" s="773">
        <v>678</v>
      </c>
      <c r="D964" s="773">
        <v>1</v>
      </c>
      <c r="E964" s="773" t="s">
        <v>410</v>
      </c>
      <c r="S964" s="27">
        <v>44530</v>
      </c>
      <c r="T964" s="773" t="s">
        <v>132</v>
      </c>
      <c r="U964" s="773">
        <v>299</v>
      </c>
      <c r="V964" s="773">
        <v>1</v>
      </c>
      <c r="W964" s="773" t="s">
        <v>410</v>
      </c>
    </row>
    <row r="965" spans="1:23">
      <c r="A965" s="27">
        <v>44347</v>
      </c>
      <c r="B965" s="773" t="s">
        <v>140</v>
      </c>
      <c r="C965" s="773">
        <v>213</v>
      </c>
      <c r="D965" s="773">
        <v>2</v>
      </c>
      <c r="E965" s="773" t="s">
        <v>410</v>
      </c>
      <c r="S965" s="27">
        <v>44530</v>
      </c>
      <c r="T965" s="773" t="s">
        <v>132</v>
      </c>
      <c r="U965" s="773">
        <v>264</v>
      </c>
      <c r="V965" s="773">
        <v>783</v>
      </c>
      <c r="W965" s="773" t="s">
        <v>390</v>
      </c>
    </row>
    <row r="966" spans="1:23">
      <c r="A966" s="27">
        <v>44712</v>
      </c>
      <c r="B966" s="773" t="s">
        <v>140</v>
      </c>
      <c r="C966" s="773">
        <v>346</v>
      </c>
      <c r="D966" s="773">
        <v>3</v>
      </c>
      <c r="E966" s="773" t="s">
        <v>410</v>
      </c>
      <c r="S966" s="27">
        <v>44530</v>
      </c>
      <c r="T966" s="773" t="s">
        <v>132</v>
      </c>
      <c r="U966" s="773">
        <v>269</v>
      </c>
      <c r="V966" s="773">
        <v>1</v>
      </c>
      <c r="W966" s="773" t="s">
        <v>410</v>
      </c>
    </row>
    <row r="967" spans="1:23">
      <c r="A967" s="27">
        <v>44347</v>
      </c>
      <c r="B967" s="773" t="s">
        <v>140</v>
      </c>
      <c r="C967" s="773">
        <v>587</v>
      </c>
      <c r="D967" s="773">
        <v>3</v>
      </c>
      <c r="E967" s="773" t="s">
        <v>410</v>
      </c>
      <c r="S967" s="27">
        <v>44165</v>
      </c>
      <c r="T967" s="773" t="s">
        <v>132</v>
      </c>
      <c r="U967" s="773">
        <v>66</v>
      </c>
      <c r="V967" s="773">
        <v>100</v>
      </c>
      <c r="W967" s="773" t="s">
        <v>390</v>
      </c>
    </row>
    <row r="968" spans="1:23">
      <c r="A968" s="27">
        <v>44347</v>
      </c>
      <c r="B968" s="773" t="s">
        <v>140</v>
      </c>
      <c r="C968" s="773">
        <v>379</v>
      </c>
      <c r="D968" s="773">
        <v>1</v>
      </c>
      <c r="E968" s="773" t="s">
        <v>410</v>
      </c>
      <c r="S968" s="27">
        <v>44530</v>
      </c>
      <c r="T968" s="773" t="s">
        <v>132</v>
      </c>
      <c r="U968" s="773">
        <v>43</v>
      </c>
      <c r="V968" s="773">
        <v>3384</v>
      </c>
      <c r="W968" s="773" t="s">
        <v>390</v>
      </c>
    </row>
    <row r="969" spans="1:23">
      <c r="A969" s="27">
        <v>44347</v>
      </c>
      <c r="B969" s="773" t="s">
        <v>140</v>
      </c>
      <c r="C969" s="773">
        <v>279</v>
      </c>
      <c r="D969" s="773">
        <v>1</v>
      </c>
      <c r="E969" s="773" t="s">
        <v>410</v>
      </c>
      <c r="S969" s="27">
        <v>44530</v>
      </c>
      <c r="T969" s="773" t="s">
        <v>132</v>
      </c>
      <c r="U969" s="773">
        <v>0</v>
      </c>
      <c r="V969" s="773">
        <v>40</v>
      </c>
      <c r="W969" s="773" t="s">
        <v>410</v>
      </c>
    </row>
    <row r="970" spans="1:23">
      <c r="A970" s="27">
        <v>44347</v>
      </c>
      <c r="B970" s="773" t="s">
        <v>140</v>
      </c>
      <c r="C970" s="773">
        <v>628</v>
      </c>
      <c r="D970" s="773">
        <v>1516</v>
      </c>
      <c r="E970" s="773" t="s">
        <v>390</v>
      </c>
      <c r="S970" s="27">
        <v>44165</v>
      </c>
      <c r="T970" s="773" t="s">
        <v>132</v>
      </c>
      <c r="U970" s="773">
        <v>687</v>
      </c>
      <c r="V970" s="773">
        <v>495</v>
      </c>
      <c r="W970" s="773" t="s">
        <v>390</v>
      </c>
    </row>
    <row r="971" spans="1:23">
      <c r="A971" s="27">
        <v>44712</v>
      </c>
      <c r="B971" s="773" t="s">
        <v>140</v>
      </c>
      <c r="C971" s="773">
        <v>616</v>
      </c>
      <c r="D971" s="773">
        <v>1</v>
      </c>
      <c r="E971" s="773" t="s">
        <v>410</v>
      </c>
      <c r="S971" s="27">
        <v>44165</v>
      </c>
      <c r="T971" s="773" t="s">
        <v>132</v>
      </c>
      <c r="U971" s="773">
        <v>69</v>
      </c>
      <c r="V971" s="773">
        <v>1</v>
      </c>
      <c r="W971" s="773" t="s">
        <v>410</v>
      </c>
    </row>
    <row r="972" spans="1:23">
      <c r="A972" s="27">
        <v>44347</v>
      </c>
      <c r="B972" s="773" t="s">
        <v>140</v>
      </c>
      <c r="C972" s="773">
        <v>510</v>
      </c>
      <c r="D972" s="773">
        <v>935</v>
      </c>
      <c r="E972" s="773" t="s">
        <v>390</v>
      </c>
      <c r="S972" s="27">
        <v>44530</v>
      </c>
      <c r="T972" s="773" t="s">
        <v>132</v>
      </c>
      <c r="U972" s="773">
        <v>212</v>
      </c>
      <c r="V972" s="773">
        <v>3342</v>
      </c>
      <c r="W972" s="773" t="s">
        <v>390</v>
      </c>
    </row>
    <row r="973" spans="1:23">
      <c r="A973" s="27">
        <v>44347</v>
      </c>
      <c r="B973" s="773" t="s">
        <v>140</v>
      </c>
      <c r="C973" s="773">
        <v>493</v>
      </c>
      <c r="D973" s="773">
        <v>9</v>
      </c>
      <c r="E973" s="773" t="s">
        <v>410</v>
      </c>
      <c r="S973" s="27">
        <v>44530</v>
      </c>
      <c r="T973" s="773" t="s">
        <v>132</v>
      </c>
      <c r="U973" s="773">
        <v>684</v>
      </c>
      <c r="V973" s="773">
        <v>2627</v>
      </c>
      <c r="W973" s="773" t="s">
        <v>390</v>
      </c>
    </row>
    <row r="974" spans="1:23">
      <c r="A974" s="27">
        <v>44347</v>
      </c>
      <c r="B974" s="773" t="s">
        <v>140</v>
      </c>
      <c r="C974" s="773">
        <v>719</v>
      </c>
      <c r="D974" s="773">
        <v>12</v>
      </c>
      <c r="E974" s="773" t="s">
        <v>410</v>
      </c>
      <c r="S974" s="27">
        <v>44165</v>
      </c>
      <c r="T974" s="773" t="s">
        <v>132</v>
      </c>
      <c r="U974" s="773">
        <v>271</v>
      </c>
      <c r="V974" s="773">
        <v>2345</v>
      </c>
      <c r="W974" s="773" t="s">
        <v>390</v>
      </c>
    </row>
    <row r="975" spans="1:23">
      <c r="A975" s="27">
        <v>44347</v>
      </c>
      <c r="B975" s="773" t="s">
        <v>140</v>
      </c>
      <c r="C975" s="773">
        <v>502</v>
      </c>
      <c r="D975" s="773">
        <v>4</v>
      </c>
      <c r="E975" s="773" t="s">
        <v>410</v>
      </c>
      <c r="S975" s="27">
        <v>44530</v>
      </c>
      <c r="T975" s="773" t="s">
        <v>132</v>
      </c>
      <c r="U975" s="773">
        <v>213</v>
      </c>
      <c r="V975" s="773">
        <v>2811</v>
      </c>
      <c r="W975" s="773" t="s">
        <v>390</v>
      </c>
    </row>
    <row r="976" spans="1:23">
      <c r="A976" s="27">
        <v>44742</v>
      </c>
      <c r="B976" s="773" t="s">
        <v>140</v>
      </c>
      <c r="C976" s="773">
        <v>370</v>
      </c>
      <c r="D976" s="773">
        <v>2</v>
      </c>
      <c r="E976" s="773" t="s">
        <v>410</v>
      </c>
      <c r="S976" s="27">
        <v>44165</v>
      </c>
      <c r="T976" s="773" t="s">
        <v>132</v>
      </c>
      <c r="U976" s="773">
        <v>241</v>
      </c>
      <c r="V976" s="773">
        <v>17</v>
      </c>
      <c r="W976" s="773" t="s">
        <v>410</v>
      </c>
    </row>
    <row r="977" spans="1:23">
      <c r="A977" s="27">
        <v>44742</v>
      </c>
      <c r="B977" s="773" t="s">
        <v>140</v>
      </c>
      <c r="C977" s="773">
        <v>648</v>
      </c>
      <c r="D977" s="773">
        <v>1375</v>
      </c>
      <c r="E977" s="773" t="s">
        <v>390</v>
      </c>
      <c r="S977" s="27">
        <v>44165</v>
      </c>
      <c r="T977" s="773" t="s">
        <v>132</v>
      </c>
      <c r="U977" s="773">
        <v>145</v>
      </c>
      <c r="V977" s="773">
        <v>1</v>
      </c>
      <c r="W977" s="773" t="s">
        <v>410</v>
      </c>
    </row>
    <row r="978" spans="1:23">
      <c r="A978" s="27">
        <v>44742</v>
      </c>
      <c r="B978" s="773" t="s">
        <v>140</v>
      </c>
      <c r="C978" s="773">
        <v>502</v>
      </c>
      <c r="D978" s="773">
        <v>490</v>
      </c>
      <c r="E978" s="773" t="s">
        <v>390</v>
      </c>
      <c r="S978" s="27">
        <v>44165</v>
      </c>
      <c r="T978" s="773" t="s">
        <v>132</v>
      </c>
      <c r="U978" s="773">
        <v>641</v>
      </c>
      <c r="V978" s="773">
        <v>2882</v>
      </c>
      <c r="W978" s="773" t="s">
        <v>390</v>
      </c>
    </row>
    <row r="979" spans="1:23">
      <c r="A979" s="27">
        <v>44377</v>
      </c>
      <c r="B979" s="773" t="s">
        <v>140</v>
      </c>
      <c r="C979" s="773">
        <v>521</v>
      </c>
      <c r="D979" s="773">
        <v>15</v>
      </c>
      <c r="E979" s="773" t="s">
        <v>410</v>
      </c>
      <c r="S979" s="27">
        <v>44165</v>
      </c>
      <c r="T979" s="773" t="s">
        <v>132</v>
      </c>
      <c r="U979" s="773">
        <v>700</v>
      </c>
      <c r="V979" s="773">
        <v>1</v>
      </c>
      <c r="W979" s="773" t="s">
        <v>410</v>
      </c>
    </row>
    <row r="980" spans="1:23">
      <c r="A980" s="27">
        <v>44377</v>
      </c>
      <c r="B980" s="773" t="s">
        <v>140</v>
      </c>
      <c r="C980" s="773">
        <v>469</v>
      </c>
      <c r="D980" s="773">
        <v>7</v>
      </c>
      <c r="E980" s="773" t="s">
        <v>410</v>
      </c>
      <c r="S980" s="27">
        <v>44530</v>
      </c>
      <c r="T980" s="773" t="s">
        <v>132</v>
      </c>
      <c r="U980" s="773">
        <v>701</v>
      </c>
      <c r="V980" s="773">
        <v>2062</v>
      </c>
      <c r="W980" s="773" t="s">
        <v>390</v>
      </c>
    </row>
    <row r="981" spans="1:23">
      <c r="A981" s="27">
        <v>44742</v>
      </c>
      <c r="B981" s="773" t="s">
        <v>140</v>
      </c>
      <c r="C981" s="773">
        <v>691</v>
      </c>
      <c r="D981" s="773">
        <v>214</v>
      </c>
      <c r="E981" s="773" t="s">
        <v>390</v>
      </c>
      <c r="S981" s="27">
        <v>44165</v>
      </c>
      <c r="T981" s="773" t="s">
        <v>132</v>
      </c>
      <c r="U981" s="773">
        <v>52</v>
      </c>
      <c r="V981" s="773">
        <v>2</v>
      </c>
      <c r="W981" s="773" t="s">
        <v>410</v>
      </c>
    </row>
    <row r="982" spans="1:23">
      <c r="A982" s="27">
        <v>44377</v>
      </c>
      <c r="B982" s="773" t="s">
        <v>140</v>
      </c>
      <c r="C982" s="773">
        <v>478</v>
      </c>
      <c r="D982" s="773">
        <v>2027</v>
      </c>
      <c r="E982" s="773" t="s">
        <v>390</v>
      </c>
      <c r="S982" s="27">
        <v>44530</v>
      </c>
      <c r="T982" s="773" t="s">
        <v>132</v>
      </c>
      <c r="U982" s="773">
        <v>245</v>
      </c>
      <c r="V982" s="773">
        <v>4650</v>
      </c>
      <c r="W982" s="773" t="s">
        <v>390</v>
      </c>
    </row>
    <row r="983" spans="1:23">
      <c r="A983" s="27">
        <v>44377</v>
      </c>
      <c r="B983" s="773" t="s">
        <v>140</v>
      </c>
      <c r="C983" s="773">
        <v>387</v>
      </c>
      <c r="D983" s="773">
        <v>10</v>
      </c>
      <c r="E983" s="773" t="s">
        <v>410</v>
      </c>
      <c r="S983" s="27">
        <v>44165</v>
      </c>
      <c r="T983" s="773" t="s">
        <v>132</v>
      </c>
      <c r="U983" s="773">
        <v>43</v>
      </c>
      <c r="V983" s="773">
        <v>3084</v>
      </c>
      <c r="W983" s="773" t="s">
        <v>390</v>
      </c>
    </row>
    <row r="984" spans="1:23">
      <c r="A984" s="27">
        <v>44742</v>
      </c>
      <c r="B984" s="773" t="s">
        <v>140</v>
      </c>
      <c r="C984" s="773">
        <v>530</v>
      </c>
      <c r="D984" s="773">
        <v>1</v>
      </c>
      <c r="E984" s="773" t="s">
        <v>410</v>
      </c>
      <c r="S984" s="27">
        <v>44530</v>
      </c>
      <c r="T984" s="773" t="s">
        <v>132</v>
      </c>
      <c r="U984" s="773">
        <v>291</v>
      </c>
      <c r="V984" s="773">
        <v>2011</v>
      </c>
      <c r="W984" s="773" t="s">
        <v>390</v>
      </c>
    </row>
    <row r="985" spans="1:23">
      <c r="A985" s="27">
        <v>44377</v>
      </c>
      <c r="B985" s="773" t="s">
        <v>140</v>
      </c>
      <c r="C985" s="773">
        <v>608</v>
      </c>
      <c r="D985" s="773">
        <v>2663</v>
      </c>
      <c r="E985" s="773" t="s">
        <v>390</v>
      </c>
      <c r="S985" s="27">
        <v>44530</v>
      </c>
      <c r="T985" s="773" t="s">
        <v>132</v>
      </c>
      <c r="U985" s="773">
        <v>654</v>
      </c>
      <c r="V985" s="773">
        <v>2370</v>
      </c>
      <c r="W985" s="773" t="s">
        <v>390</v>
      </c>
    </row>
    <row r="986" spans="1:23">
      <c r="A986" s="27">
        <v>44742</v>
      </c>
      <c r="B986" s="773" t="s">
        <v>140</v>
      </c>
      <c r="C986" s="773">
        <v>616</v>
      </c>
      <c r="D986" s="773">
        <v>1</v>
      </c>
      <c r="E986" s="773" t="s">
        <v>410</v>
      </c>
      <c r="S986" s="27">
        <v>44530</v>
      </c>
      <c r="T986" s="773" t="s">
        <v>132</v>
      </c>
      <c r="U986" s="773">
        <v>304</v>
      </c>
      <c r="V986" s="773">
        <v>116</v>
      </c>
      <c r="W986" s="773" t="s">
        <v>390</v>
      </c>
    </row>
    <row r="987" spans="1:23">
      <c r="A987" s="27">
        <v>44377</v>
      </c>
      <c r="B987" s="773" t="s">
        <v>140</v>
      </c>
      <c r="C987" s="773">
        <v>449</v>
      </c>
      <c r="D987" s="773">
        <v>1895</v>
      </c>
      <c r="E987" s="773" t="s">
        <v>390</v>
      </c>
      <c r="S987" s="27">
        <v>44530</v>
      </c>
      <c r="T987" s="773" t="s">
        <v>132</v>
      </c>
      <c r="U987" s="773">
        <v>103</v>
      </c>
      <c r="V987" s="773">
        <v>3289</v>
      </c>
      <c r="W987" s="773" t="s">
        <v>390</v>
      </c>
    </row>
    <row r="988" spans="1:23">
      <c r="A988" s="27">
        <v>44377</v>
      </c>
      <c r="B988" s="773" t="s">
        <v>140</v>
      </c>
      <c r="C988" s="773">
        <v>0</v>
      </c>
      <c r="D988" s="773">
        <v>8</v>
      </c>
      <c r="E988" s="773" t="s">
        <v>410</v>
      </c>
      <c r="S988" s="27">
        <v>44165</v>
      </c>
      <c r="T988" s="773" t="s">
        <v>132</v>
      </c>
      <c r="U988" s="773">
        <v>663</v>
      </c>
      <c r="V988" s="773">
        <v>1134</v>
      </c>
      <c r="W988" s="773" t="s">
        <v>390</v>
      </c>
    </row>
    <row r="989" spans="1:23">
      <c r="A989" s="27">
        <v>44377</v>
      </c>
      <c r="B989" s="773" t="s">
        <v>140</v>
      </c>
      <c r="C989" s="773">
        <v>597</v>
      </c>
      <c r="D989" s="773">
        <v>1133</v>
      </c>
      <c r="E989" s="773" t="s">
        <v>390</v>
      </c>
      <c r="S989" s="27">
        <v>44530</v>
      </c>
      <c r="T989" s="773" t="s">
        <v>132</v>
      </c>
      <c r="U989" s="773">
        <v>56</v>
      </c>
      <c r="V989" s="773">
        <v>44</v>
      </c>
      <c r="W989" s="773" t="s">
        <v>410</v>
      </c>
    </row>
    <row r="990" spans="1:23">
      <c r="A990" s="27">
        <v>44377</v>
      </c>
      <c r="B990" s="773" t="s">
        <v>140</v>
      </c>
      <c r="C990" s="773">
        <v>678</v>
      </c>
      <c r="D990" s="773">
        <v>2317</v>
      </c>
      <c r="E990" s="773" t="s">
        <v>390</v>
      </c>
      <c r="S990" s="27">
        <v>44165</v>
      </c>
      <c r="T990" s="773" t="s">
        <v>132</v>
      </c>
      <c r="U990" s="773">
        <v>84</v>
      </c>
      <c r="V990" s="773">
        <v>2250</v>
      </c>
      <c r="W990" s="773" t="s">
        <v>390</v>
      </c>
    </row>
    <row r="991" spans="1:23">
      <c r="A991" s="27">
        <v>44377</v>
      </c>
      <c r="B991" s="773" t="s">
        <v>140</v>
      </c>
      <c r="C991" s="773">
        <v>628</v>
      </c>
      <c r="D991" s="773">
        <v>1533</v>
      </c>
      <c r="E991" s="773" t="s">
        <v>390</v>
      </c>
      <c r="S991" s="27">
        <v>44165</v>
      </c>
      <c r="T991" s="773" t="s">
        <v>132</v>
      </c>
      <c r="U991" s="773">
        <v>40</v>
      </c>
      <c r="V991" s="773">
        <v>3</v>
      </c>
      <c r="W991" s="773" t="s">
        <v>410</v>
      </c>
    </row>
    <row r="992" spans="1:23">
      <c r="A992" s="27">
        <v>44377</v>
      </c>
      <c r="B992" s="773" t="s">
        <v>140</v>
      </c>
      <c r="C992" s="773">
        <v>582</v>
      </c>
      <c r="D992" s="773">
        <v>2256</v>
      </c>
      <c r="E992" s="773" t="s">
        <v>390</v>
      </c>
      <c r="S992" s="27">
        <v>44530</v>
      </c>
      <c r="T992" s="773" t="s">
        <v>132</v>
      </c>
      <c r="U992" s="773">
        <v>91</v>
      </c>
      <c r="V992" s="773">
        <v>2</v>
      </c>
      <c r="W992" s="773" t="s">
        <v>410</v>
      </c>
    </row>
    <row r="993" spans="1:23">
      <c r="A993" s="27">
        <v>44377</v>
      </c>
      <c r="B993" s="773" t="s">
        <v>140</v>
      </c>
      <c r="C993" s="773">
        <v>578</v>
      </c>
      <c r="D993" s="773">
        <v>2632</v>
      </c>
      <c r="E993" s="773" t="s">
        <v>390</v>
      </c>
      <c r="S993" s="27">
        <v>44165</v>
      </c>
      <c r="T993" s="773" t="s">
        <v>132</v>
      </c>
      <c r="U993" s="773">
        <v>645</v>
      </c>
      <c r="V993" s="773">
        <v>2584</v>
      </c>
      <c r="W993" s="773" t="s">
        <v>390</v>
      </c>
    </row>
    <row r="994" spans="1:23">
      <c r="A994" s="27">
        <v>44742</v>
      </c>
      <c r="B994" s="773" t="s">
        <v>140</v>
      </c>
      <c r="C994" s="773">
        <v>626</v>
      </c>
      <c r="D994" s="773">
        <v>3112</v>
      </c>
      <c r="E994" s="773" t="s">
        <v>390</v>
      </c>
      <c r="S994" s="27">
        <v>44530</v>
      </c>
      <c r="T994" s="773" t="s">
        <v>132</v>
      </c>
      <c r="U994" s="773">
        <v>202</v>
      </c>
      <c r="V994" s="773">
        <v>1</v>
      </c>
      <c r="W994" s="773" t="s">
        <v>410</v>
      </c>
    </row>
    <row r="995" spans="1:23">
      <c r="A995" s="27">
        <v>44377</v>
      </c>
      <c r="B995" s="773" t="s">
        <v>140</v>
      </c>
      <c r="C995" s="773">
        <v>279</v>
      </c>
      <c r="D995" s="773">
        <v>1</v>
      </c>
      <c r="E995" s="773" t="s">
        <v>410</v>
      </c>
      <c r="S995" s="27">
        <v>44165</v>
      </c>
      <c r="T995" s="773" t="s">
        <v>132</v>
      </c>
      <c r="U995" s="773">
        <v>668</v>
      </c>
      <c r="V995" s="773">
        <v>3015</v>
      </c>
      <c r="W995" s="773" t="s">
        <v>390</v>
      </c>
    </row>
    <row r="996" spans="1:23">
      <c r="A996" s="27">
        <v>44742</v>
      </c>
      <c r="B996" s="773" t="s">
        <v>140</v>
      </c>
      <c r="C996" s="773">
        <v>558</v>
      </c>
      <c r="D996" s="773">
        <v>1278</v>
      </c>
      <c r="E996" s="773" t="s">
        <v>390</v>
      </c>
      <c r="S996" s="27">
        <v>44165</v>
      </c>
      <c r="T996" s="773" t="s">
        <v>132</v>
      </c>
      <c r="U996" s="773">
        <v>200</v>
      </c>
      <c r="V996" s="773">
        <v>2</v>
      </c>
      <c r="W996" s="773" t="s">
        <v>410</v>
      </c>
    </row>
    <row r="997" spans="1:23">
      <c r="A997" s="27">
        <v>44742</v>
      </c>
      <c r="B997" s="773" t="s">
        <v>140</v>
      </c>
      <c r="C997" s="773">
        <v>346</v>
      </c>
      <c r="D997" s="773">
        <v>3</v>
      </c>
      <c r="E997" s="773" t="s">
        <v>410</v>
      </c>
      <c r="S997" s="27">
        <v>44165</v>
      </c>
      <c r="T997" s="773" t="s">
        <v>132</v>
      </c>
      <c r="U997" s="773">
        <v>654</v>
      </c>
      <c r="V997" s="773">
        <v>2724</v>
      </c>
      <c r="W997" s="773" t="s">
        <v>390</v>
      </c>
    </row>
    <row r="998" spans="1:23">
      <c r="A998" s="27">
        <v>44377</v>
      </c>
      <c r="B998" s="773" t="s">
        <v>140</v>
      </c>
      <c r="C998" s="773">
        <v>610</v>
      </c>
      <c r="D998" s="773">
        <v>2985</v>
      </c>
      <c r="E998" s="773" t="s">
        <v>390</v>
      </c>
      <c r="S998" s="27">
        <v>44530</v>
      </c>
      <c r="T998" s="773" t="s">
        <v>132</v>
      </c>
      <c r="U998" s="773">
        <v>678</v>
      </c>
      <c r="V998" s="773">
        <v>2777</v>
      </c>
      <c r="W998" s="773" t="s">
        <v>390</v>
      </c>
    </row>
    <row r="999" spans="1:23">
      <c r="A999" s="27">
        <v>44377</v>
      </c>
      <c r="B999" s="773" t="s">
        <v>140</v>
      </c>
      <c r="C999" s="773">
        <v>476</v>
      </c>
      <c r="D999" s="773">
        <v>1</v>
      </c>
      <c r="E999" s="773" t="s">
        <v>410</v>
      </c>
      <c r="S999" s="27">
        <v>44165</v>
      </c>
      <c r="T999" s="773" t="s">
        <v>132</v>
      </c>
      <c r="U999" s="773">
        <v>87</v>
      </c>
      <c r="V999" s="773">
        <v>12</v>
      </c>
      <c r="W999" s="773" t="s">
        <v>410</v>
      </c>
    </row>
    <row r="1000" spans="1:23">
      <c r="A1000" s="27">
        <v>44377</v>
      </c>
      <c r="B1000" s="773" t="s">
        <v>140</v>
      </c>
      <c r="C1000" s="773">
        <v>719</v>
      </c>
      <c r="D1000" s="773">
        <v>12</v>
      </c>
      <c r="E1000" s="773" t="s">
        <v>410</v>
      </c>
      <c r="S1000" s="27">
        <v>44165</v>
      </c>
      <c r="T1000" s="773" t="s">
        <v>132</v>
      </c>
      <c r="U1000" s="773">
        <v>44</v>
      </c>
      <c r="V1000" s="773">
        <v>3232</v>
      </c>
      <c r="W1000" s="773" t="s">
        <v>390</v>
      </c>
    </row>
    <row r="1001" spans="1:23">
      <c r="A1001" s="27">
        <v>44742</v>
      </c>
      <c r="B1001" s="773" t="s">
        <v>140</v>
      </c>
      <c r="C1001" s="773">
        <v>510</v>
      </c>
      <c r="D1001" s="773">
        <v>902</v>
      </c>
      <c r="E1001" s="773" t="s">
        <v>390</v>
      </c>
      <c r="S1001" s="27">
        <v>44165</v>
      </c>
      <c r="T1001" s="773" t="s">
        <v>132</v>
      </c>
      <c r="U1001" s="773">
        <v>367</v>
      </c>
      <c r="V1001" s="773">
        <v>7</v>
      </c>
      <c r="W1001" s="773" t="s">
        <v>410</v>
      </c>
    </row>
    <row r="1002" spans="1:23">
      <c r="A1002" s="27">
        <v>44742</v>
      </c>
      <c r="B1002" s="773" t="s">
        <v>140</v>
      </c>
      <c r="C1002" s="773">
        <v>524</v>
      </c>
      <c r="D1002" s="773">
        <v>1114</v>
      </c>
      <c r="E1002" s="773" t="s">
        <v>390</v>
      </c>
      <c r="S1002" s="27">
        <v>44530</v>
      </c>
      <c r="T1002" s="773" t="s">
        <v>132</v>
      </c>
      <c r="U1002" s="773">
        <v>295</v>
      </c>
      <c r="V1002" s="773">
        <v>6</v>
      </c>
      <c r="W1002" s="773" t="s">
        <v>410</v>
      </c>
    </row>
    <row r="1003" spans="1:23">
      <c r="A1003" s="27">
        <v>44377</v>
      </c>
      <c r="B1003" s="773" t="s">
        <v>140</v>
      </c>
      <c r="C1003" s="773">
        <v>524</v>
      </c>
      <c r="D1003" s="773">
        <v>1169</v>
      </c>
      <c r="E1003" s="773" t="s">
        <v>390</v>
      </c>
      <c r="S1003" s="27">
        <v>44165</v>
      </c>
      <c r="T1003" s="773" t="s">
        <v>132</v>
      </c>
      <c r="U1003" s="773">
        <v>120</v>
      </c>
      <c r="V1003" s="773">
        <v>5</v>
      </c>
      <c r="W1003" s="773" t="s">
        <v>410</v>
      </c>
    </row>
    <row r="1004" spans="1:23">
      <c r="A1004" s="27">
        <v>44742</v>
      </c>
      <c r="B1004" s="773" t="s">
        <v>140</v>
      </c>
      <c r="C1004" s="773">
        <v>758</v>
      </c>
      <c r="D1004" s="773">
        <v>1</v>
      </c>
      <c r="E1004" s="773" t="s">
        <v>410</v>
      </c>
      <c r="S1004" s="27">
        <v>44530</v>
      </c>
      <c r="T1004" s="773" t="s">
        <v>132</v>
      </c>
      <c r="U1004" s="773">
        <v>691</v>
      </c>
      <c r="V1004" s="773">
        <v>2408</v>
      </c>
      <c r="W1004" s="773" t="s">
        <v>390</v>
      </c>
    </row>
    <row r="1005" spans="1:23">
      <c r="A1005" s="27">
        <v>44377</v>
      </c>
      <c r="B1005" s="773" t="s">
        <v>140</v>
      </c>
      <c r="C1005" s="773">
        <v>383</v>
      </c>
      <c r="D1005" s="773">
        <v>3</v>
      </c>
      <c r="E1005" s="773" t="s">
        <v>410</v>
      </c>
      <c r="S1005" s="27">
        <v>44165</v>
      </c>
      <c r="T1005" s="773" t="s">
        <v>132</v>
      </c>
      <c r="U1005" s="773">
        <v>202</v>
      </c>
      <c r="V1005" s="773">
        <v>1</v>
      </c>
      <c r="W1005" s="773" t="s">
        <v>410</v>
      </c>
    </row>
    <row r="1006" spans="1:23">
      <c r="A1006" s="27">
        <v>44377</v>
      </c>
      <c r="B1006" s="773" t="s">
        <v>140</v>
      </c>
      <c r="C1006" s="773">
        <v>639</v>
      </c>
      <c r="D1006" s="773">
        <v>67</v>
      </c>
      <c r="E1006" s="773" t="s">
        <v>410</v>
      </c>
      <c r="S1006" s="27">
        <v>44530</v>
      </c>
      <c r="T1006" s="773" t="s">
        <v>132</v>
      </c>
      <c r="U1006" s="773">
        <v>250</v>
      </c>
      <c r="V1006" s="773">
        <v>2</v>
      </c>
      <c r="W1006" s="773" t="s">
        <v>410</v>
      </c>
    </row>
    <row r="1007" spans="1:23">
      <c r="A1007" s="27">
        <v>44742</v>
      </c>
      <c r="B1007" s="773" t="s">
        <v>140</v>
      </c>
      <c r="C1007" s="773">
        <v>608</v>
      </c>
      <c r="D1007" s="773">
        <v>1</v>
      </c>
      <c r="E1007" s="773" t="s">
        <v>410</v>
      </c>
      <c r="S1007" s="27">
        <v>44165</v>
      </c>
      <c r="T1007" s="773" t="s">
        <v>132</v>
      </c>
      <c r="U1007" s="773">
        <v>667</v>
      </c>
      <c r="V1007" s="773">
        <v>1</v>
      </c>
      <c r="W1007" s="773" t="s">
        <v>410</v>
      </c>
    </row>
    <row r="1008" spans="1:23">
      <c r="A1008" s="27">
        <v>44742</v>
      </c>
      <c r="B1008" s="773" t="s">
        <v>140</v>
      </c>
      <c r="C1008" s="773">
        <v>610</v>
      </c>
      <c r="D1008" s="773">
        <v>3003</v>
      </c>
      <c r="E1008" s="773" t="s">
        <v>390</v>
      </c>
      <c r="S1008" s="27">
        <v>44530</v>
      </c>
      <c r="T1008" s="773" t="s">
        <v>132</v>
      </c>
      <c r="U1008" s="773">
        <v>279</v>
      </c>
      <c r="V1008" s="773">
        <v>4026</v>
      </c>
      <c r="W1008" s="773" t="s">
        <v>390</v>
      </c>
    </row>
    <row r="1009" spans="1:23">
      <c r="A1009" s="27">
        <v>44377</v>
      </c>
      <c r="B1009" s="773" t="s">
        <v>140</v>
      </c>
      <c r="C1009" s="773">
        <v>510</v>
      </c>
      <c r="D1009" s="773">
        <v>939</v>
      </c>
      <c r="E1009" s="773" t="s">
        <v>390</v>
      </c>
      <c r="S1009" s="27">
        <v>44530</v>
      </c>
      <c r="T1009" s="773" t="s">
        <v>132</v>
      </c>
      <c r="U1009" s="773">
        <v>317</v>
      </c>
      <c r="V1009" s="773">
        <v>351</v>
      </c>
      <c r="W1009" s="773" t="s">
        <v>390</v>
      </c>
    </row>
    <row r="1010" spans="1:23">
      <c r="A1010" s="27">
        <v>44742</v>
      </c>
      <c r="B1010" s="773" t="s">
        <v>140</v>
      </c>
      <c r="C1010" s="773">
        <v>740</v>
      </c>
      <c r="D1010" s="773">
        <v>590</v>
      </c>
      <c r="E1010" s="773" t="s">
        <v>390</v>
      </c>
      <c r="S1010" s="27">
        <v>44165</v>
      </c>
      <c r="T1010" s="773" t="s">
        <v>132</v>
      </c>
      <c r="U1010" s="773">
        <v>194</v>
      </c>
      <c r="V1010" s="773">
        <v>3363</v>
      </c>
      <c r="W1010" s="773" t="s">
        <v>390</v>
      </c>
    </row>
    <row r="1011" spans="1:23">
      <c r="A1011" s="27">
        <v>44742</v>
      </c>
      <c r="B1011" s="773" t="s">
        <v>140</v>
      </c>
      <c r="C1011" s="773">
        <v>485</v>
      </c>
      <c r="D1011" s="773">
        <v>1252</v>
      </c>
      <c r="E1011" s="773" t="s">
        <v>390</v>
      </c>
      <c r="S1011" s="27">
        <v>44165</v>
      </c>
      <c r="T1011" s="773" t="s">
        <v>132</v>
      </c>
      <c r="U1011" s="773">
        <v>176</v>
      </c>
      <c r="V1011" s="773">
        <v>1</v>
      </c>
      <c r="W1011" s="773" t="s">
        <v>410</v>
      </c>
    </row>
    <row r="1012" spans="1:23">
      <c r="A1012" s="27">
        <v>44742</v>
      </c>
      <c r="B1012" s="773" t="s">
        <v>140</v>
      </c>
      <c r="C1012" s="773">
        <v>659</v>
      </c>
      <c r="D1012" s="773">
        <v>648</v>
      </c>
      <c r="E1012" s="773" t="s">
        <v>390</v>
      </c>
      <c r="S1012" s="27">
        <v>44530</v>
      </c>
      <c r="T1012" s="773" t="s">
        <v>132</v>
      </c>
      <c r="U1012" s="773">
        <v>139</v>
      </c>
      <c r="V1012" s="773">
        <v>2994</v>
      </c>
      <c r="W1012" s="773" t="s">
        <v>390</v>
      </c>
    </row>
    <row r="1013" spans="1:23">
      <c r="A1013" s="27">
        <v>44742</v>
      </c>
      <c r="B1013" s="773" t="s">
        <v>140</v>
      </c>
      <c r="C1013" s="773">
        <v>478</v>
      </c>
      <c r="D1013" s="773">
        <v>2220</v>
      </c>
      <c r="E1013" s="773" t="s">
        <v>390</v>
      </c>
      <c r="S1013" s="27">
        <v>44165</v>
      </c>
      <c r="T1013" s="773" t="s">
        <v>132</v>
      </c>
      <c r="U1013" s="773">
        <v>215</v>
      </c>
      <c r="V1013" s="773">
        <v>592</v>
      </c>
      <c r="W1013" s="773" t="s">
        <v>390</v>
      </c>
    </row>
    <row r="1014" spans="1:23">
      <c r="A1014" s="27">
        <v>44377</v>
      </c>
      <c r="B1014" s="773" t="s">
        <v>140</v>
      </c>
      <c r="C1014" s="773">
        <v>674</v>
      </c>
      <c r="D1014" s="773">
        <v>1577</v>
      </c>
      <c r="E1014" s="773" t="s">
        <v>390</v>
      </c>
      <c r="S1014" s="27">
        <v>44165</v>
      </c>
      <c r="T1014" s="773" t="s">
        <v>132</v>
      </c>
      <c r="U1014" s="773">
        <v>97</v>
      </c>
      <c r="V1014" s="773">
        <v>2</v>
      </c>
      <c r="W1014" s="773" t="s">
        <v>410</v>
      </c>
    </row>
    <row r="1015" spans="1:23">
      <c r="A1015" s="27">
        <v>44742</v>
      </c>
      <c r="B1015" s="773" t="s">
        <v>140</v>
      </c>
      <c r="C1015" s="773">
        <v>678</v>
      </c>
      <c r="D1015" s="773">
        <v>1</v>
      </c>
      <c r="E1015" s="773" t="s">
        <v>410</v>
      </c>
      <c r="S1015" s="27">
        <v>44165</v>
      </c>
      <c r="T1015" s="773" t="s">
        <v>132</v>
      </c>
      <c r="U1015" s="773">
        <v>653</v>
      </c>
      <c r="V1015" s="773">
        <v>2285</v>
      </c>
      <c r="W1015" s="773" t="s">
        <v>390</v>
      </c>
    </row>
    <row r="1016" spans="1:23">
      <c r="A1016" s="27">
        <v>44742</v>
      </c>
      <c r="B1016" s="773" t="s">
        <v>140</v>
      </c>
      <c r="C1016" s="773">
        <v>359</v>
      </c>
      <c r="D1016" s="773">
        <v>708</v>
      </c>
      <c r="E1016" s="773" t="s">
        <v>390</v>
      </c>
      <c r="S1016" s="27">
        <v>44165</v>
      </c>
      <c r="T1016" s="773" t="s">
        <v>132</v>
      </c>
      <c r="U1016" s="773">
        <v>114</v>
      </c>
      <c r="V1016" s="773">
        <v>1</v>
      </c>
      <c r="W1016" s="773" t="s">
        <v>410</v>
      </c>
    </row>
    <row r="1017" spans="1:23">
      <c r="A1017" s="27">
        <v>44742</v>
      </c>
      <c r="B1017" s="773" t="s">
        <v>140</v>
      </c>
      <c r="C1017" s="773">
        <v>576</v>
      </c>
      <c r="D1017" s="773">
        <v>244</v>
      </c>
      <c r="E1017" s="773" t="s">
        <v>390</v>
      </c>
      <c r="S1017" s="27">
        <v>44530</v>
      </c>
      <c r="T1017" s="773" t="s">
        <v>132</v>
      </c>
      <c r="U1017" s="773">
        <v>296</v>
      </c>
      <c r="V1017" s="773">
        <v>2342</v>
      </c>
      <c r="W1017" s="773" t="s">
        <v>390</v>
      </c>
    </row>
    <row r="1018" spans="1:23">
      <c r="A1018" s="27">
        <v>44742</v>
      </c>
      <c r="B1018" s="773" t="s">
        <v>140</v>
      </c>
      <c r="C1018" s="773">
        <v>383</v>
      </c>
      <c r="D1018" s="773">
        <v>1</v>
      </c>
      <c r="E1018" s="773" t="s">
        <v>410</v>
      </c>
      <c r="S1018" s="27">
        <v>44530</v>
      </c>
      <c r="T1018" s="773" t="s">
        <v>132</v>
      </c>
      <c r="U1018" s="773">
        <v>528</v>
      </c>
      <c r="V1018" s="773">
        <v>360</v>
      </c>
      <c r="W1018" s="773" t="s">
        <v>390</v>
      </c>
    </row>
    <row r="1019" spans="1:23">
      <c r="A1019" s="27">
        <v>44377</v>
      </c>
      <c r="B1019" s="773" t="s">
        <v>140</v>
      </c>
      <c r="C1019" s="773">
        <v>601</v>
      </c>
      <c r="D1019" s="773">
        <v>4</v>
      </c>
      <c r="E1019" s="773" t="s">
        <v>410</v>
      </c>
      <c r="S1019" s="27">
        <v>44165</v>
      </c>
      <c r="T1019" s="773" t="s">
        <v>132</v>
      </c>
      <c r="U1019" s="773">
        <v>696</v>
      </c>
      <c r="V1019" s="773">
        <v>21</v>
      </c>
      <c r="W1019" s="773" t="s">
        <v>410</v>
      </c>
    </row>
    <row r="1020" spans="1:23">
      <c r="A1020" s="27">
        <v>44377</v>
      </c>
      <c r="B1020" s="773" t="s">
        <v>140</v>
      </c>
      <c r="C1020" s="773">
        <v>485</v>
      </c>
      <c r="D1020" s="773">
        <v>1264</v>
      </c>
      <c r="E1020" s="773" t="s">
        <v>390</v>
      </c>
      <c r="S1020" s="27">
        <v>44165</v>
      </c>
      <c r="T1020" s="773" t="s">
        <v>132</v>
      </c>
      <c r="U1020" s="773">
        <v>303</v>
      </c>
      <c r="V1020" s="773">
        <v>2469</v>
      </c>
      <c r="W1020" s="773" t="s">
        <v>390</v>
      </c>
    </row>
    <row r="1021" spans="1:23">
      <c r="A1021" s="27">
        <v>44377</v>
      </c>
      <c r="B1021" s="773" t="s">
        <v>140</v>
      </c>
      <c r="C1021" s="773">
        <v>574</v>
      </c>
      <c r="D1021" s="773">
        <v>1497</v>
      </c>
      <c r="E1021" s="773" t="s">
        <v>390</v>
      </c>
      <c r="S1021" s="27">
        <v>44165</v>
      </c>
      <c r="T1021" s="773" t="s">
        <v>132</v>
      </c>
      <c r="U1021" s="773">
        <v>161</v>
      </c>
      <c r="V1021" s="773">
        <v>7</v>
      </c>
      <c r="W1021" s="773" t="s">
        <v>410</v>
      </c>
    </row>
    <row r="1022" spans="1:23">
      <c r="A1022" s="27">
        <v>44742</v>
      </c>
      <c r="B1022" s="773" t="s">
        <v>140</v>
      </c>
      <c r="C1022" s="773">
        <v>449</v>
      </c>
      <c r="D1022" s="773">
        <v>1837</v>
      </c>
      <c r="E1022" s="773" t="s">
        <v>390</v>
      </c>
      <c r="S1022" s="27">
        <v>44530</v>
      </c>
      <c r="T1022" s="773" t="s">
        <v>132</v>
      </c>
      <c r="U1022" s="773">
        <v>40</v>
      </c>
      <c r="V1022" s="773">
        <v>2</v>
      </c>
      <c r="W1022" s="773" t="s">
        <v>410</v>
      </c>
    </row>
    <row r="1023" spans="1:23">
      <c r="A1023" s="27">
        <v>44377</v>
      </c>
      <c r="B1023" s="773" t="s">
        <v>140</v>
      </c>
      <c r="C1023" s="773">
        <v>691</v>
      </c>
      <c r="D1023" s="773">
        <v>236</v>
      </c>
      <c r="E1023" s="773" t="s">
        <v>390</v>
      </c>
      <c r="S1023" s="27">
        <v>44530</v>
      </c>
      <c r="T1023" s="773" t="s">
        <v>132</v>
      </c>
      <c r="U1023" s="773">
        <v>69</v>
      </c>
      <c r="V1023" s="773">
        <v>1</v>
      </c>
      <c r="W1023" s="773" t="s">
        <v>410</v>
      </c>
    </row>
    <row r="1024" spans="1:23">
      <c r="A1024" s="27">
        <v>44377</v>
      </c>
      <c r="B1024" s="773" t="s">
        <v>140</v>
      </c>
      <c r="C1024" s="773">
        <v>640</v>
      </c>
      <c r="D1024" s="773">
        <v>3090</v>
      </c>
      <c r="E1024" s="773" t="s">
        <v>390</v>
      </c>
      <c r="S1024" s="27">
        <v>44530</v>
      </c>
      <c r="T1024" s="773" t="s">
        <v>132</v>
      </c>
      <c r="U1024" s="773">
        <v>666</v>
      </c>
      <c r="V1024" s="773">
        <v>1464</v>
      </c>
      <c r="W1024" s="773" t="s">
        <v>390</v>
      </c>
    </row>
    <row r="1025" spans="1:23">
      <c r="A1025" s="27">
        <v>44742</v>
      </c>
      <c r="B1025" s="773" t="s">
        <v>140</v>
      </c>
      <c r="C1025" s="773">
        <v>279</v>
      </c>
      <c r="D1025" s="773">
        <v>1</v>
      </c>
      <c r="E1025" s="773" t="s">
        <v>410</v>
      </c>
      <c r="S1025" s="27">
        <v>44530</v>
      </c>
      <c r="T1025" s="773" t="s">
        <v>132</v>
      </c>
      <c r="U1025" s="773">
        <v>92</v>
      </c>
      <c r="V1025" s="773">
        <v>2593</v>
      </c>
      <c r="W1025" s="773" t="s">
        <v>390</v>
      </c>
    </row>
    <row r="1026" spans="1:23">
      <c r="A1026" s="27">
        <v>44742</v>
      </c>
      <c r="B1026" s="773" t="s">
        <v>140</v>
      </c>
      <c r="C1026" s="773">
        <v>597</v>
      </c>
      <c r="D1026" s="773">
        <v>1195</v>
      </c>
      <c r="E1026" s="773" t="s">
        <v>390</v>
      </c>
      <c r="S1026" s="27">
        <v>44530</v>
      </c>
      <c r="T1026" s="773" t="s">
        <v>132</v>
      </c>
      <c r="U1026" s="773">
        <v>230</v>
      </c>
      <c r="V1026" s="773">
        <v>1</v>
      </c>
      <c r="W1026" s="773" t="s">
        <v>410</v>
      </c>
    </row>
    <row r="1027" spans="1:23">
      <c r="A1027" s="27">
        <v>44742</v>
      </c>
      <c r="B1027" s="773" t="s">
        <v>140</v>
      </c>
      <c r="C1027" s="773">
        <v>556</v>
      </c>
      <c r="D1027" s="773">
        <v>2729</v>
      </c>
      <c r="E1027" s="773" t="s">
        <v>390</v>
      </c>
      <c r="S1027" s="27">
        <v>44165</v>
      </c>
      <c r="T1027" s="773" t="s">
        <v>132</v>
      </c>
      <c r="U1027" s="773">
        <v>660</v>
      </c>
      <c r="V1027" s="773">
        <v>3</v>
      </c>
      <c r="W1027" s="773" t="s">
        <v>410</v>
      </c>
    </row>
    <row r="1028" spans="1:23">
      <c r="A1028" s="27">
        <v>44742</v>
      </c>
      <c r="B1028" s="773" t="s">
        <v>140</v>
      </c>
      <c r="C1028" s="773">
        <v>712</v>
      </c>
      <c r="D1028" s="773">
        <v>2</v>
      </c>
      <c r="E1028" s="773" t="s">
        <v>410</v>
      </c>
      <c r="S1028" s="27">
        <v>44165</v>
      </c>
      <c r="T1028" s="773" t="s">
        <v>132</v>
      </c>
      <c r="U1028" s="773">
        <v>212</v>
      </c>
      <c r="V1028" s="773">
        <v>3282</v>
      </c>
      <c r="W1028" s="773" t="s">
        <v>390</v>
      </c>
    </row>
    <row r="1029" spans="1:23">
      <c r="A1029" s="27">
        <v>44742</v>
      </c>
      <c r="B1029" s="773" t="s">
        <v>140</v>
      </c>
      <c r="C1029" s="773">
        <v>387</v>
      </c>
      <c r="D1029" s="773">
        <v>9</v>
      </c>
      <c r="E1029" s="773" t="s">
        <v>410</v>
      </c>
      <c r="S1029" s="27">
        <v>44165</v>
      </c>
      <c r="T1029" s="773" t="s">
        <v>132</v>
      </c>
      <c r="U1029" s="773">
        <v>665</v>
      </c>
      <c r="V1029" s="773">
        <v>2664</v>
      </c>
      <c r="W1029" s="773" t="s">
        <v>390</v>
      </c>
    </row>
    <row r="1030" spans="1:23">
      <c r="A1030" s="27">
        <v>44377</v>
      </c>
      <c r="B1030" s="773" t="s">
        <v>140</v>
      </c>
      <c r="C1030" s="773">
        <v>453</v>
      </c>
      <c r="D1030" s="773">
        <v>2389</v>
      </c>
      <c r="E1030" s="773" t="s">
        <v>390</v>
      </c>
      <c r="S1030" s="27">
        <v>44165</v>
      </c>
      <c r="T1030" s="773" t="s">
        <v>132</v>
      </c>
      <c r="U1030" s="773">
        <v>293</v>
      </c>
      <c r="V1030" s="773">
        <v>546</v>
      </c>
      <c r="W1030" s="773" t="s">
        <v>390</v>
      </c>
    </row>
    <row r="1031" spans="1:23">
      <c r="A1031" s="27">
        <v>44377</v>
      </c>
      <c r="B1031" s="773" t="s">
        <v>140</v>
      </c>
      <c r="C1031" s="773">
        <v>739</v>
      </c>
      <c r="D1031" s="773">
        <v>1</v>
      </c>
      <c r="E1031" s="773" t="s">
        <v>410</v>
      </c>
      <c r="S1031" s="27">
        <v>44530</v>
      </c>
      <c r="T1031" s="773" t="s">
        <v>132</v>
      </c>
      <c r="U1031" s="773">
        <v>293</v>
      </c>
      <c r="V1031" s="773">
        <v>507</v>
      </c>
      <c r="W1031" s="773" t="s">
        <v>390</v>
      </c>
    </row>
    <row r="1032" spans="1:23">
      <c r="A1032" s="27">
        <v>44377</v>
      </c>
      <c r="B1032" s="773" t="s">
        <v>140</v>
      </c>
      <c r="C1032" s="773">
        <v>359</v>
      </c>
      <c r="D1032" s="773">
        <v>584</v>
      </c>
      <c r="E1032" s="773" t="s">
        <v>390</v>
      </c>
      <c r="S1032" s="27">
        <v>44530</v>
      </c>
      <c r="T1032" s="773" t="s">
        <v>132</v>
      </c>
      <c r="U1032" s="773">
        <v>238</v>
      </c>
      <c r="V1032" s="773">
        <v>5</v>
      </c>
      <c r="W1032" s="773" t="s">
        <v>410</v>
      </c>
    </row>
    <row r="1033" spans="1:23">
      <c r="A1033" s="27">
        <v>44742</v>
      </c>
      <c r="B1033" s="773" t="s">
        <v>140</v>
      </c>
      <c r="C1033" s="773">
        <v>639</v>
      </c>
      <c r="D1033" s="773">
        <v>102</v>
      </c>
      <c r="E1033" s="773" t="s">
        <v>390</v>
      </c>
      <c r="S1033" s="27">
        <v>44530</v>
      </c>
      <c r="T1033" s="773" t="s">
        <v>132</v>
      </c>
      <c r="U1033" s="773">
        <v>676</v>
      </c>
      <c r="V1033" s="773">
        <v>1</v>
      </c>
      <c r="W1033" s="773" t="s">
        <v>410</v>
      </c>
    </row>
    <row r="1034" spans="1:23">
      <c r="A1034" s="27">
        <v>44742</v>
      </c>
      <c r="B1034" s="773" t="s">
        <v>140</v>
      </c>
      <c r="C1034" s="773">
        <v>722</v>
      </c>
      <c r="D1034" s="773">
        <v>1899</v>
      </c>
      <c r="E1034" s="773" t="s">
        <v>390</v>
      </c>
      <c r="S1034" s="27">
        <v>44165</v>
      </c>
      <c r="T1034" s="773" t="s">
        <v>132</v>
      </c>
      <c r="U1034" s="773">
        <v>698</v>
      </c>
      <c r="V1034" s="773">
        <v>2428</v>
      </c>
      <c r="W1034" s="773" t="s">
        <v>390</v>
      </c>
    </row>
    <row r="1035" spans="1:23">
      <c r="A1035" s="27">
        <v>44742</v>
      </c>
      <c r="B1035" s="773" t="s">
        <v>140</v>
      </c>
      <c r="C1035" s="773">
        <v>732</v>
      </c>
      <c r="D1035" s="773">
        <v>3</v>
      </c>
      <c r="E1035" s="773" t="s">
        <v>410</v>
      </c>
      <c r="S1035" s="27">
        <v>44165</v>
      </c>
      <c r="T1035" s="773" t="s">
        <v>132</v>
      </c>
      <c r="U1035" s="773">
        <v>684</v>
      </c>
      <c r="V1035" s="773">
        <v>2669</v>
      </c>
      <c r="W1035" s="773" t="s">
        <v>390</v>
      </c>
    </row>
    <row r="1036" spans="1:23">
      <c r="A1036" s="27">
        <v>44377</v>
      </c>
      <c r="B1036" s="773" t="s">
        <v>140</v>
      </c>
      <c r="C1036" s="773">
        <v>370</v>
      </c>
      <c r="D1036" s="773">
        <v>1</v>
      </c>
      <c r="E1036" s="773" t="s">
        <v>410</v>
      </c>
      <c r="S1036" s="27">
        <v>44165</v>
      </c>
      <c r="T1036" s="773" t="s">
        <v>132</v>
      </c>
      <c r="U1036" s="773">
        <v>193</v>
      </c>
      <c r="V1036" s="773">
        <v>2275</v>
      </c>
      <c r="W1036" s="773" t="s">
        <v>390</v>
      </c>
    </row>
    <row r="1037" spans="1:23">
      <c r="A1037" s="27">
        <v>44742</v>
      </c>
      <c r="B1037" s="773" t="s">
        <v>140</v>
      </c>
      <c r="C1037" s="773">
        <v>601</v>
      </c>
      <c r="D1037" s="773">
        <v>3</v>
      </c>
      <c r="E1037" s="773" t="s">
        <v>410</v>
      </c>
      <c r="S1037" s="27">
        <v>44165</v>
      </c>
      <c r="T1037" s="773" t="s">
        <v>132</v>
      </c>
      <c r="U1037" s="773">
        <v>276</v>
      </c>
      <c r="V1037" s="773">
        <v>1</v>
      </c>
      <c r="W1037" s="773" t="s">
        <v>410</v>
      </c>
    </row>
    <row r="1038" spans="1:23">
      <c r="A1038" s="27">
        <v>44377</v>
      </c>
      <c r="B1038" s="773" t="s">
        <v>140</v>
      </c>
      <c r="C1038" s="773">
        <v>587</v>
      </c>
      <c r="D1038" s="773">
        <v>2</v>
      </c>
      <c r="E1038" s="773" t="s">
        <v>410</v>
      </c>
      <c r="S1038" s="27">
        <v>44530</v>
      </c>
      <c r="T1038" s="773" t="s">
        <v>132</v>
      </c>
      <c r="U1038" s="773">
        <v>66</v>
      </c>
      <c r="V1038" s="773">
        <v>6</v>
      </c>
      <c r="W1038" s="773" t="s">
        <v>410</v>
      </c>
    </row>
    <row r="1039" spans="1:23">
      <c r="A1039" s="27">
        <v>44742</v>
      </c>
      <c r="B1039" s="773" t="s">
        <v>140</v>
      </c>
      <c r="C1039" s="773">
        <v>338</v>
      </c>
      <c r="D1039" s="773">
        <v>2427</v>
      </c>
      <c r="E1039" s="773" t="s">
        <v>390</v>
      </c>
      <c r="S1039" s="27">
        <v>44165</v>
      </c>
      <c r="T1039" s="773" t="s">
        <v>132</v>
      </c>
      <c r="U1039" s="773">
        <v>243</v>
      </c>
      <c r="V1039" s="773">
        <v>629</v>
      </c>
      <c r="W1039" s="773" t="s">
        <v>390</v>
      </c>
    </row>
    <row r="1040" spans="1:23">
      <c r="A1040" s="27">
        <v>44377</v>
      </c>
      <c r="B1040" s="773" t="s">
        <v>140</v>
      </c>
      <c r="C1040" s="773">
        <v>626</v>
      </c>
      <c r="D1040" s="773">
        <v>2533</v>
      </c>
      <c r="E1040" s="773" t="s">
        <v>390</v>
      </c>
      <c r="S1040" s="27">
        <v>44165</v>
      </c>
      <c r="T1040" s="773" t="s">
        <v>132</v>
      </c>
      <c r="U1040" s="773">
        <v>237</v>
      </c>
      <c r="V1040" s="773">
        <v>34</v>
      </c>
      <c r="W1040" s="773" t="s">
        <v>410</v>
      </c>
    </row>
    <row r="1041" spans="1:23">
      <c r="A1041" s="27">
        <v>44742</v>
      </c>
      <c r="B1041" s="773" t="s">
        <v>140</v>
      </c>
      <c r="C1041" s="773">
        <v>493</v>
      </c>
      <c r="D1041" s="773">
        <v>5</v>
      </c>
      <c r="E1041" s="773" t="s">
        <v>410</v>
      </c>
      <c r="S1041" s="27">
        <v>44165</v>
      </c>
      <c r="T1041" s="773" t="s">
        <v>132</v>
      </c>
      <c r="U1041" s="773">
        <v>664</v>
      </c>
      <c r="V1041" s="773">
        <v>2132</v>
      </c>
      <c r="W1041" s="773" t="s">
        <v>390</v>
      </c>
    </row>
    <row r="1042" spans="1:23">
      <c r="A1042" s="27">
        <v>44742</v>
      </c>
      <c r="B1042" s="773" t="s">
        <v>140</v>
      </c>
      <c r="C1042" s="773">
        <v>0</v>
      </c>
      <c r="D1042" s="773">
        <v>7</v>
      </c>
      <c r="E1042" s="773" t="s">
        <v>410</v>
      </c>
      <c r="S1042" s="27">
        <v>44165</v>
      </c>
      <c r="T1042" s="773" t="s">
        <v>132</v>
      </c>
      <c r="U1042" s="773">
        <v>681</v>
      </c>
      <c r="V1042" s="773">
        <v>823</v>
      </c>
      <c r="W1042" s="773" t="s">
        <v>390</v>
      </c>
    </row>
    <row r="1043" spans="1:23">
      <c r="A1043" s="27">
        <v>44377</v>
      </c>
      <c r="B1043" s="773" t="s">
        <v>140</v>
      </c>
      <c r="C1043" s="773">
        <v>758</v>
      </c>
      <c r="D1043" s="773">
        <v>1</v>
      </c>
      <c r="E1043" s="773" t="s">
        <v>410</v>
      </c>
      <c r="S1043" s="27">
        <v>44165</v>
      </c>
      <c r="T1043" s="773" t="s">
        <v>132</v>
      </c>
      <c r="U1043" s="773">
        <v>83</v>
      </c>
      <c r="V1043" s="773">
        <v>2172</v>
      </c>
      <c r="W1043" s="773" t="s">
        <v>390</v>
      </c>
    </row>
    <row r="1044" spans="1:23">
      <c r="A1044" s="27">
        <v>44742</v>
      </c>
      <c r="B1044" s="773" t="s">
        <v>140</v>
      </c>
      <c r="C1044" s="773">
        <v>574</v>
      </c>
      <c r="D1044" s="773">
        <v>2496</v>
      </c>
      <c r="E1044" s="773" t="s">
        <v>390</v>
      </c>
      <c r="S1044" s="27">
        <v>44530</v>
      </c>
      <c r="T1044" s="773" t="s">
        <v>132</v>
      </c>
      <c r="U1044" s="773">
        <v>155</v>
      </c>
      <c r="V1044" s="773">
        <v>2344</v>
      </c>
      <c r="W1044" s="773" t="s">
        <v>390</v>
      </c>
    </row>
    <row r="1045" spans="1:23">
      <c r="A1045" s="27">
        <v>44377</v>
      </c>
      <c r="B1045" s="773" t="s">
        <v>140</v>
      </c>
      <c r="C1045" s="773">
        <v>198</v>
      </c>
      <c r="D1045" s="773">
        <v>6</v>
      </c>
      <c r="E1045" s="773" t="s">
        <v>410</v>
      </c>
      <c r="S1045" s="27">
        <v>44165</v>
      </c>
      <c r="T1045" s="773" t="s">
        <v>132</v>
      </c>
      <c r="U1045" s="773">
        <v>523</v>
      </c>
      <c r="V1045" s="773">
        <v>8</v>
      </c>
      <c r="W1045" s="773" t="s">
        <v>410</v>
      </c>
    </row>
    <row r="1046" spans="1:23">
      <c r="A1046" s="27">
        <v>44377</v>
      </c>
      <c r="B1046" s="773" t="s">
        <v>140</v>
      </c>
      <c r="C1046" s="773">
        <v>760</v>
      </c>
      <c r="D1046" s="773">
        <v>70</v>
      </c>
      <c r="E1046" s="773" t="s">
        <v>410</v>
      </c>
      <c r="S1046" s="27">
        <v>44165</v>
      </c>
      <c r="T1046" s="773" t="s">
        <v>132</v>
      </c>
      <c r="U1046" s="773">
        <v>108</v>
      </c>
      <c r="V1046" s="773">
        <v>1</v>
      </c>
      <c r="W1046" s="773" t="s">
        <v>410</v>
      </c>
    </row>
    <row r="1047" spans="1:23">
      <c r="A1047" s="27">
        <v>44742</v>
      </c>
      <c r="B1047" s="773" t="s">
        <v>140</v>
      </c>
      <c r="C1047" s="773">
        <v>760</v>
      </c>
      <c r="D1047" s="773">
        <v>96</v>
      </c>
      <c r="E1047" s="773" t="s">
        <v>410</v>
      </c>
      <c r="S1047" s="27">
        <v>44165</v>
      </c>
      <c r="T1047" s="773" t="s">
        <v>132</v>
      </c>
      <c r="U1047" s="773">
        <v>73</v>
      </c>
      <c r="V1047" s="773">
        <v>2</v>
      </c>
      <c r="W1047" s="773" t="s">
        <v>410</v>
      </c>
    </row>
    <row r="1048" spans="1:23">
      <c r="A1048" s="27">
        <v>44742</v>
      </c>
      <c r="B1048" s="773" t="s">
        <v>140</v>
      </c>
      <c r="C1048" s="773">
        <v>525</v>
      </c>
      <c r="D1048" s="773">
        <v>1761</v>
      </c>
      <c r="E1048" s="773" t="s">
        <v>390</v>
      </c>
      <c r="S1048" s="27">
        <v>44165</v>
      </c>
      <c r="T1048" s="773" t="s">
        <v>132</v>
      </c>
      <c r="U1048" s="773">
        <v>153</v>
      </c>
      <c r="V1048" s="773">
        <v>2252</v>
      </c>
      <c r="W1048" s="773" t="s">
        <v>390</v>
      </c>
    </row>
    <row r="1049" spans="1:23">
      <c r="A1049" s="27">
        <v>44377</v>
      </c>
      <c r="B1049" s="773" t="s">
        <v>140</v>
      </c>
      <c r="C1049" s="773">
        <v>659</v>
      </c>
      <c r="D1049" s="773">
        <v>686</v>
      </c>
      <c r="E1049" s="773" t="s">
        <v>390</v>
      </c>
      <c r="S1049" s="27">
        <v>44530</v>
      </c>
      <c r="T1049" s="773" t="s">
        <v>132</v>
      </c>
      <c r="U1049" s="773">
        <v>68</v>
      </c>
      <c r="V1049" s="773">
        <v>565</v>
      </c>
      <c r="W1049" s="773" t="s">
        <v>390</v>
      </c>
    </row>
    <row r="1050" spans="1:23">
      <c r="A1050" s="27">
        <v>44742</v>
      </c>
      <c r="B1050" s="773" t="s">
        <v>140</v>
      </c>
      <c r="C1050" s="773">
        <v>582</v>
      </c>
      <c r="D1050" s="773">
        <v>2252</v>
      </c>
      <c r="E1050" s="773" t="s">
        <v>390</v>
      </c>
      <c r="S1050" s="27">
        <v>44530</v>
      </c>
      <c r="T1050" s="773" t="s">
        <v>132</v>
      </c>
      <c r="U1050" s="773">
        <v>77</v>
      </c>
      <c r="V1050" s="773">
        <v>3282</v>
      </c>
      <c r="W1050" s="773" t="s">
        <v>390</v>
      </c>
    </row>
    <row r="1051" spans="1:23">
      <c r="A1051" s="27">
        <v>44377</v>
      </c>
      <c r="B1051" s="773" t="s">
        <v>140</v>
      </c>
      <c r="C1051" s="773">
        <v>338</v>
      </c>
      <c r="D1051" s="773">
        <v>2459</v>
      </c>
      <c r="E1051" s="773" t="s">
        <v>390</v>
      </c>
      <c r="S1051" s="27">
        <v>44165</v>
      </c>
      <c r="T1051" s="773" t="s">
        <v>132</v>
      </c>
      <c r="U1051" s="773">
        <v>636</v>
      </c>
      <c r="V1051" s="773">
        <v>16</v>
      </c>
      <c r="W1051" s="773" t="s">
        <v>410</v>
      </c>
    </row>
    <row r="1052" spans="1:23">
      <c r="A1052" s="27">
        <v>44377</v>
      </c>
      <c r="B1052" s="773" t="s">
        <v>140</v>
      </c>
      <c r="C1052" s="773">
        <v>525</v>
      </c>
      <c r="D1052" s="773">
        <v>3693</v>
      </c>
      <c r="E1052" s="773" t="s">
        <v>390</v>
      </c>
      <c r="S1052" s="27">
        <v>44530</v>
      </c>
      <c r="T1052" s="773" t="s">
        <v>132</v>
      </c>
      <c r="U1052" s="773">
        <v>321</v>
      </c>
      <c r="V1052" s="773">
        <v>988</v>
      </c>
      <c r="W1052" s="773" t="s">
        <v>390</v>
      </c>
    </row>
    <row r="1053" spans="1:23">
      <c r="A1053" s="27">
        <v>44377</v>
      </c>
      <c r="B1053" s="773" t="s">
        <v>140</v>
      </c>
      <c r="C1053" s="773">
        <v>502</v>
      </c>
      <c r="D1053" s="773">
        <v>4</v>
      </c>
      <c r="E1053" s="773" t="s">
        <v>410</v>
      </c>
      <c r="S1053" s="27">
        <v>44530</v>
      </c>
      <c r="T1053" s="773" t="s">
        <v>132</v>
      </c>
      <c r="U1053" s="773">
        <v>64</v>
      </c>
      <c r="V1053" s="773">
        <v>4</v>
      </c>
      <c r="W1053" s="773" t="s">
        <v>410</v>
      </c>
    </row>
    <row r="1054" spans="1:23">
      <c r="A1054" s="27">
        <v>44377</v>
      </c>
      <c r="B1054" s="773" t="s">
        <v>140</v>
      </c>
      <c r="C1054" s="773">
        <v>346</v>
      </c>
      <c r="D1054" s="773">
        <v>3</v>
      </c>
      <c r="E1054" s="773" t="s">
        <v>410</v>
      </c>
      <c r="S1054" s="27">
        <v>44165</v>
      </c>
      <c r="T1054" s="773" t="s">
        <v>132</v>
      </c>
      <c r="U1054" s="773">
        <v>98</v>
      </c>
      <c r="V1054" s="773">
        <v>117</v>
      </c>
      <c r="W1054" s="773" t="s">
        <v>390</v>
      </c>
    </row>
    <row r="1055" spans="1:23">
      <c r="A1055" s="27">
        <v>44377</v>
      </c>
      <c r="B1055" s="773" t="s">
        <v>140</v>
      </c>
      <c r="C1055" s="773">
        <v>712</v>
      </c>
      <c r="D1055" s="773">
        <v>1</v>
      </c>
      <c r="E1055" s="773" t="s">
        <v>410</v>
      </c>
      <c r="S1055" s="27">
        <v>44530</v>
      </c>
      <c r="T1055" s="773" t="s">
        <v>132</v>
      </c>
      <c r="U1055" s="773">
        <v>645</v>
      </c>
      <c r="V1055" s="773">
        <v>2746</v>
      </c>
      <c r="W1055" s="773" t="s">
        <v>390</v>
      </c>
    </row>
    <row r="1056" spans="1:23">
      <c r="A1056" s="27">
        <v>44742</v>
      </c>
      <c r="B1056" s="773" t="s">
        <v>140</v>
      </c>
      <c r="C1056" s="773">
        <v>742</v>
      </c>
      <c r="D1056" s="773">
        <v>1</v>
      </c>
      <c r="E1056" s="773" t="s">
        <v>410</v>
      </c>
      <c r="S1056" s="27">
        <v>44530</v>
      </c>
      <c r="T1056" s="773" t="s">
        <v>132</v>
      </c>
      <c r="U1056" s="773">
        <v>670</v>
      </c>
      <c r="V1056" s="773">
        <v>3853</v>
      </c>
      <c r="W1056" s="773" t="s">
        <v>390</v>
      </c>
    </row>
    <row r="1057" spans="1:23">
      <c r="A1057" s="27">
        <v>44377</v>
      </c>
      <c r="B1057" s="773" t="s">
        <v>140</v>
      </c>
      <c r="C1057" s="773">
        <v>710</v>
      </c>
      <c r="D1057" s="773">
        <v>2772</v>
      </c>
      <c r="E1057" s="773" t="s">
        <v>390</v>
      </c>
      <c r="S1057" s="27">
        <v>44530</v>
      </c>
      <c r="T1057" s="773" t="s">
        <v>132</v>
      </c>
      <c r="U1057" s="773">
        <v>158</v>
      </c>
      <c r="V1057" s="773">
        <v>90</v>
      </c>
      <c r="W1057" s="773" t="s">
        <v>410</v>
      </c>
    </row>
    <row r="1058" spans="1:23">
      <c r="A1058" s="27">
        <v>44742</v>
      </c>
      <c r="B1058" s="773" t="s">
        <v>140</v>
      </c>
      <c r="C1058" s="773">
        <v>594</v>
      </c>
      <c r="D1058" s="773">
        <v>2657</v>
      </c>
      <c r="E1058" s="773" t="s">
        <v>390</v>
      </c>
      <c r="S1058" s="27">
        <v>44165</v>
      </c>
      <c r="T1058" s="773" t="s">
        <v>132</v>
      </c>
      <c r="U1058" s="773">
        <v>123</v>
      </c>
      <c r="V1058" s="773">
        <v>1</v>
      </c>
      <c r="W1058" s="773" t="s">
        <v>410</v>
      </c>
    </row>
    <row r="1059" spans="1:23">
      <c r="A1059" s="27">
        <v>44377</v>
      </c>
      <c r="B1059" s="773" t="s">
        <v>140</v>
      </c>
      <c r="C1059" s="773">
        <v>447</v>
      </c>
      <c r="D1059" s="773">
        <v>1</v>
      </c>
      <c r="E1059" s="773" t="s">
        <v>410</v>
      </c>
      <c r="S1059" s="27">
        <v>44530</v>
      </c>
      <c r="T1059" s="773" t="s">
        <v>132</v>
      </c>
      <c r="U1059" s="773">
        <v>98</v>
      </c>
      <c r="V1059" s="773">
        <v>82</v>
      </c>
      <c r="W1059" s="773" t="s">
        <v>410</v>
      </c>
    </row>
    <row r="1060" spans="1:23">
      <c r="A1060" s="27">
        <v>44377</v>
      </c>
      <c r="B1060" s="773" t="s">
        <v>140</v>
      </c>
      <c r="C1060" s="773">
        <v>705</v>
      </c>
      <c r="D1060" s="773">
        <v>1</v>
      </c>
      <c r="E1060" s="773" t="s">
        <v>410</v>
      </c>
      <c r="S1060" s="27">
        <v>44530</v>
      </c>
      <c r="T1060" s="773" t="s">
        <v>132</v>
      </c>
      <c r="U1060" s="773">
        <v>328</v>
      </c>
      <c r="V1060" s="773">
        <v>24</v>
      </c>
      <c r="W1060" s="773" t="s">
        <v>410</v>
      </c>
    </row>
    <row r="1061" spans="1:23">
      <c r="A1061" s="27">
        <v>44742</v>
      </c>
      <c r="B1061" s="773" t="s">
        <v>140</v>
      </c>
      <c r="C1061" s="773">
        <v>555</v>
      </c>
      <c r="D1061" s="773">
        <v>1644</v>
      </c>
      <c r="E1061" s="773" t="s">
        <v>390</v>
      </c>
      <c r="S1061" s="27">
        <v>44530</v>
      </c>
      <c r="T1061" s="773" t="s">
        <v>132</v>
      </c>
      <c r="U1061" s="773">
        <v>700</v>
      </c>
      <c r="V1061" s="773">
        <v>1567</v>
      </c>
      <c r="W1061" s="773" t="s">
        <v>390</v>
      </c>
    </row>
    <row r="1062" spans="1:23">
      <c r="A1062" s="27">
        <v>44377</v>
      </c>
      <c r="B1062" s="773" t="s">
        <v>140</v>
      </c>
      <c r="C1062" s="773">
        <v>493</v>
      </c>
      <c r="D1062" s="773">
        <v>8</v>
      </c>
      <c r="E1062" s="773" t="s">
        <v>410</v>
      </c>
      <c r="S1062" s="27">
        <v>44165</v>
      </c>
      <c r="T1062" s="773" t="s">
        <v>132</v>
      </c>
      <c r="U1062" s="773">
        <v>141</v>
      </c>
      <c r="V1062" s="773">
        <v>2331</v>
      </c>
      <c r="W1062" s="773" t="s">
        <v>390</v>
      </c>
    </row>
    <row r="1063" spans="1:23">
      <c r="A1063" s="27">
        <v>44377</v>
      </c>
      <c r="B1063" s="773" t="s">
        <v>140</v>
      </c>
      <c r="C1063" s="773">
        <v>722</v>
      </c>
      <c r="D1063" s="773">
        <v>1820</v>
      </c>
      <c r="E1063" s="773" t="s">
        <v>390</v>
      </c>
      <c r="S1063" s="27">
        <v>44530</v>
      </c>
      <c r="T1063" s="773" t="s">
        <v>132</v>
      </c>
      <c r="U1063" s="773">
        <v>130</v>
      </c>
      <c r="V1063" s="773">
        <v>1</v>
      </c>
      <c r="W1063" s="773" t="s">
        <v>410</v>
      </c>
    </row>
    <row r="1064" spans="1:23">
      <c r="A1064" s="27">
        <v>44742</v>
      </c>
      <c r="B1064" s="773" t="s">
        <v>140</v>
      </c>
      <c r="C1064" s="773">
        <v>640</v>
      </c>
      <c r="D1064" s="773">
        <v>3024</v>
      </c>
      <c r="E1064" s="773" t="s">
        <v>390</v>
      </c>
      <c r="S1064" s="27">
        <v>44530</v>
      </c>
      <c r="T1064" s="773" t="s">
        <v>132</v>
      </c>
      <c r="U1064" s="773">
        <v>58</v>
      </c>
      <c r="V1064" s="773">
        <v>3</v>
      </c>
      <c r="W1064" s="773" t="s">
        <v>410</v>
      </c>
    </row>
    <row r="1065" spans="1:23">
      <c r="A1065" s="27">
        <v>44377</v>
      </c>
      <c r="B1065" s="773" t="s">
        <v>140</v>
      </c>
      <c r="C1065" s="773">
        <v>540</v>
      </c>
      <c r="D1065" s="773">
        <v>1</v>
      </c>
      <c r="E1065" s="773" t="s">
        <v>410</v>
      </c>
      <c r="S1065" s="27">
        <v>44530</v>
      </c>
      <c r="T1065" s="773" t="s">
        <v>132</v>
      </c>
      <c r="U1065" s="773">
        <v>140</v>
      </c>
      <c r="V1065" s="773">
        <v>258</v>
      </c>
      <c r="W1065" s="773" t="s">
        <v>390</v>
      </c>
    </row>
    <row r="1066" spans="1:23">
      <c r="A1066" s="27">
        <v>44377</v>
      </c>
      <c r="B1066" s="773" t="s">
        <v>140</v>
      </c>
      <c r="C1066" s="773">
        <v>585</v>
      </c>
      <c r="D1066" s="773">
        <v>2318</v>
      </c>
      <c r="E1066" s="773" t="s">
        <v>390</v>
      </c>
      <c r="S1066" s="27">
        <v>44165</v>
      </c>
      <c r="T1066" s="773" t="s">
        <v>132</v>
      </c>
      <c r="U1066" s="773">
        <v>674</v>
      </c>
      <c r="V1066" s="773">
        <v>1809</v>
      </c>
      <c r="W1066" s="773" t="s">
        <v>390</v>
      </c>
    </row>
    <row r="1067" spans="1:23">
      <c r="A1067" s="27">
        <v>44377</v>
      </c>
      <c r="B1067" s="773" t="s">
        <v>140</v>
      </c>
      <c r="C1067" s="773">
        <v>530</v>
      </c>
      <c r="D1067" s="773">
        <v>1</v>
      </c>
      <c r="E1067" s="773" t="s">
        <v>410</v>
      </c>
      <c r="S1067" s="27">
        <v>44165</v>
      </c>
      <c r="T1067" s="773" t="s">
        <v>132</v>
      </c>
      <c r="U1067" s="773">
        <v>171</v>
      </c>
      <c r="V1067" s="773">
        <v>123</v>
      </c>
      <c r="W1067" s="773" t="s">
        <v>390</v>
      </c>
    </row>
    <row r="1068" spans="1:23">
      <c r="A1068" s="27">
        <v>44742</v>
      </c>
      <c r="B1068" s="773" t="s">
        <v>140</v>
      </c>
      <c r="C1068" s="773">
        <v>379</v>
      </c>
      <c r="D1068" s="773">
        <v>1</v>
      </c>
      <c r="E1068" s="773" t="s">
        <v>410</v>
      </c>
      <c r="S1068" s="27">
        <v>44530</v>
      </c>
      <c r="T1068" s="773" t="s">
        <v>132</v>
      </c>
      <c r="U1068" s="773">
        <v>271</v>
      </c>
      <c r="V1068" s="773">
        <v>2711</v>
      </c>
      <c r="W1068" s="773" t="s">
        <v>390</v>
      </c>
    </row>
    <row r="1069" spans="1:23">
      <c r="A1069" s="27">
        <v>44742</v>
      </c>
      <c r="B1069" s="773" t="s">
        <v>140</v>
      </c>
      <c r="C1069" s="773">
        <v>650</v>
      </c>
      <c r="D1069" s="773">
        <v>2323</v>
      </c>
      <c r="E1069" s="773" t="s">
        <v>390</v>
      </c>
      <c r="S1069" s="27">
        <v>44530</v>
      </c>
      <c r="T1069" s="773" t="s">
        <v>132</v>
      </c>
      <c r="U1069" s="773">
        <v>44</v>
      </c>
      <c r="V1069" s="773">
        <v>2864</v>
      </c>
      <c r="W1069" s="773" t="s">
        <v>390</v>
      </c>
    </row>
    <row r="1070" spans="1:23">
      <c r="A1070" s="27">
        <v>44377</v>
      </c>
      <c r="B1070" s="773" t="s">
        <v>140</v>
      </c>
      <c r="C1070" s="773">
        <v>732</v>
      </c>
      <c r="D1070" s="773">
        <v>9</v>
      </c>
      <c r="E1070" s="773" t="s">
        <v>410</v>
      </c>
      <c r="S1070" s="27">
        <v>44530</v>
      </c>
      <c r="T1070" s="773" t="s">
        <v>132</v>
      </c>
      <c r="U1070" s="773">
        <v>636</v>
      </c>
      <c r="V1070" s="773">
        <v>20</v>
      </c>
      <c r="W1070" s="773" t="s">
        <v>410</v>
      </c>
    </row>
    <row r="1071" spans="1:23">
      <c r="A1071" s="27">
        <v>44377</v>
      </c>
      <c r="B1071" s="773" t="s">
        <v>140</v>
      </c>
      <c r="C1071" s="773">
        <v>576</v>
      </c>
      <c r="D1071" s="773">
        <v>250</v>
      </c>
      <c r="E1071" s="773" t="s">
        <v>390</v>
      </c>
      <c r="S1071" s="27">
        <v>44530</v>
      </c>
      <c r="T1071" s="773" t="s">
        <v>132</v>
      </c>
      <c r="U1071" s="773">
        <v>194</v>
      </c>
      <c r="V1071" s="773">
        <v>3338</v>
      </c>
      <c r="W1071" s="773" t="s">
        <v>390</v>
      </c>
    </row>
    <row r="1072" spans="1:23">
      <c r="A1072" s="27">
        <v>44377</v>
      </c>
      <c r="B1072" s="773" t="s">
        <v>140</v>
      </c>
      <c r="C1072" s="773">
        <v>379</v>
      </c>
      <c r="D1072" s="773">
        <v>1</v>
      </c>
      <c r="E1072" s="773" t="s">
        <v>410</v>
      </c>
      <c r="S1072" s="27">
        <v>44530</v>
      </c>
      <c r="T1072" s="773" t="s">
        <v>132</v>
      </c>
      <c r="U1072" s="773">
        <v>252</v>
      </c>
      <c r="V1072" s="773">
        <v>1272</v>
      </c>
      <c r="W1072" s="773" t="s">
        <v>390</v>
      </c>
    </row>
    <row r="1073" spans="1:23">
      <c r="A1073" s="27">
        <v>44377</v>
      </c>
      <c r="B1073" s="773" t="s">
        <v>140</v>
      </c>
      <c r="C1073" s="773">
        <v>548</v>
      </c>
      <c r="D1073" s="773">
        <v>548</v>
      </c>
      <c r="E1073" s="773" t="s">
        <v>390</v>
      </c>
      <c r="S1073" s="27">
        <v>44165</v>
      </c>
      <c r="T1073" s="773" t="s">
        <v>132</v>
      </c>
      <c r="U1073" s="773">
        <v>218</v>
      </c>
      <c r="V1073" s="773">
        <v>1009</v>
      </c>
      <c r="W1073" s="773" t="s">
        <v>390</v>
      </c>
    </row>
    <row r="1074" spans="1:23">
      <c r="A1074" s="27">
        <v>44377</v>
      </c>
      <c r="B1074" s="773" t="s">
        <v>140</v>
      </c>
      <c r="C1074" s="773">
        <v>648</v>
      </c>
      <c r="D1074" s="773">
        <v>1388</v>
      </c>
      <c r="E1074" s="773" t="s">
        <v>390</v>
      </c>
      <c r="S1074" s="27">
        <v>44165</v>
      </c>
      <c r="T1074" s="773" t="s">
        <v>132</v>
      </c>
      <c r="U1074" s="773">
        <v>999</v>
      </c>
      <c r="V1074" s="773">
        <v>1</v>
      </c>
      <c r="W1074" s="773" t="s">
        <v>410</v>
      </c>
    </row>
    <row r="1075" spans="1:23">
      <c r="A1075" s="27">
        <v>44742</v>
      </c>
      <c r="B1075" s="773" t="s">
        <v>140</v>
      </c>
      <c r="C1075" s="773">
        <v>469</v>
      </c>
      <c r="D1075" s="773">
        <v>7</v>
      </c>
      <c r="E1075" s="773" t="s">
        <v>410</v>
      </c>
      <c r="S1075" s="27">
        <v>44530</v>
      </c>
      <c r="T1075" s="773" t="s">
        <v>132</v>
      </c>
      <c r="U1075" s="773">
        <v>124</v>
      </c>
      <c r="V1075" s="773">
        <v>11</v>
      </c>
      <c r="W1075" s="773" t="s">
        <v>410</v>
      </c>
    </row>
    <row r="1076" spans="1:23">
      <c r="A1076" s="27">
        <v>44742</v>
      </c>
      <c r="B1076" s="773" t="s">
        <v>140</v>
      </c>
      <c r="C1076" s="773">
        <v>248</v>
      </c>
      <c r="D1076" s="773">
        <v>493</v>
      </c>
      <c r="E1076" s="773" t="s">
        <v>390</v>
      </c>
      <c r="S1076" s="27">
        <v>44530</v>
      </c>
      <c r="T1076" s="773" t="s">
        <v>132</v>
      </c>
      <c r="U1076" s="773">
        <v>680</v>
      </c>
      <c r="V1076" s="773">
        <v>325</v>
      </c>
      <c r="W1076" s="773" t="s">
        <v>390</v>
      </c>
    </row>
    <row r="1077" spans="1:23">
      <c r="A1077" s="27">
        <v>44742</v>
      </c>
      <c r="B1077" s="773" t="s">
        <v>140</v>
      </c>
      <c r="C1077" s="773">
        <v>585</v>
      </c>
      <c r="D1077" s="773">
        <v>5106</v>
      </c>
      <c r="E1077" s="773" t="s">
        <v>390</v>
      </c>
      <c r="S1077" s="27">
        <v>44165</v>
      </c>
      <c r="T1077" s="773" t="s">
        <v>132</v>
      </c>
      <c r="U1077" s="773">
        <v>240</v>
      </c>
      <c r="V1077" s="773">
        <v>3</v>
      </c>
      <c r="W1077" s="773" t="s">
        <v>410</v>
      </c>
    </row>
    <row r="1078" spans="1:23">
      <c r="A1078" s="27">
        <v>44742</v>
      </c>
      <c r="B1078" s="773" t="s">
        <v>140</v>
      </c>
      <c r="C1078" s="773">
        <v>548</v>
      </c>
      <c r="D1078" s="773">
        <v>575</v>
      </c>
      <c r="E1078" s="773" t="s">
        <v>390</v>
      </c>
      <c r="S1078" s="27">
        <v>44165</v>
      </c>
      <c r="T1078" s="773" t="s">
        <v>132</v>
      </c>
      <c r="U1078" s="773">
        <v>68</v>
      </c>
      <c r="V1078" s="773">
        <v>188</v>
      </c>
      <c r="W1078" s="773" t="s">
        <v>390</v>
      </c>
    </row>
    <row r="1079" spans="1:23">
      <c r="A1079" s="27">
        <v>44742</v>
      </c>
      <c r="B1079" s="773" t="s">
        <v>140</v>
      </c>
      <c r="C1079" s="773">
        <v>628</v>
      </c>
      <c r="D1079" s="773">
        <v>1619</v>
      </c>
      <c r="E1079" s="773" t="s">
        <v>390</v>
      </c>
      <c r="S1079" s="27">
        <v>44165</v>
      </c>
      <c r="T1079" s="773" t="s">
        <v>132</v>
      </c>
      <c r="U1079" s="773">
        <v>102</v>
      </c>
      <c r="V1079" s="773">
        <v>1</v>
      </c>
      <c r="W1079" s="773" t="s">
        <v>410</v>
      </c>
    </row>
    <row r="1080" spans="1:23">
      <c r="A1080" s="27">
        <v>44377</v>
      </c>
      <c r="B1080" s="773" t="s">
        <v>140</v>
      </c>
      <c r="C1080" s="773">
        <v>558</v>
      </c>
      <c r="D1080" s="773">
        <v>1281</v>
      </c>
      <c r="E1080" s="773" t="s">
        <v>390</v>
      </c>
      <c r="S1080" s="27">
        <v>44165</v>
      </c>
      <c r="T1080" s="773" t="s">
        <v>132</v>
      </c>
      <c r="U1080" s="773">
        <v>253</v>
      </c>
      <c r="V1080" s="773">
        <v>4062</v>
      </c>
      <c r="W1080" s="773" t="s">
        <v>390</v>
      </c>
    </row>
    <row r="1081" spans="1:23">
      <c r="A1081" s="27">
        <v>44742</v>
      </c>
      <c r="B1081" s="773" t="s">
        <v>140</v>
      </c>
      <c r="C1081" s="773">
        <v>630</v>
      </c>
      <c r="D1081" s="773">
        <v>1</v>
      </c>
      <c r="E1081" s="773" t="s">
        <v>410</v>
      </c>
      <c r="S1081" s="27">
        <v>44165</v>
      </c>
      <c r="T1081" s="773" t="s">
        <v>132</v>
      </c>
      <c r="U1081" s="773">
        <v>680</v>
      </c>
      <c r="V1081" s="773">
        <v>2570</v>
      </c>
      <c r="W1081" s="773" t="s">
        <v>390</v>
      </c>
    </row>
    <row r="1082" spans="1:23">
      <c r="A1082" s="27">
        <v>44377</v>
      </c>
      <c r="B1082" s="773" t="s">
        <v>140</v>
      </c>
      <c r="C1082" s="773">
        <v>248</v>
      </c>
      <c r="D1082" s="773">
        <v>468</v>
      </c>
      <c r="E1082" s="773" t="s">
        <v>390</v>
      </c>
      <c r="S1082" s="27">
        <v>44165</v>
      </c>
      <c r="T1082" s="773" t="s">
        <v>132</v>
      </c>
      <c r="U1082" s="773">
        <v>305</v>
      </c>
      <c r="V1082" s="773">
        <v>3937</v>
      </c>
      <c r="W1082" s="773" t="s">
        <v>390</v>
      </c>
    </row>
    <row r="1083" spans="1:23">
      <c r="A1083" s="27">
        <v>44742</v>
      </c>
      <c r="B1083" s="773" t="s">
        <v>140</v>
      </c>
      <c r="C1083" s="773">
        <v>453</v>
      </c>
      <c r="D1083" s="773">
        <v>2305</v>
      </c>
      <c r="E1083" s="773" t="s">
        <v>390</v>
      </c>
      <c r="S1083" s="27">
        <v>44530</v>
      </c>
      <c r="T1083" s="773" t="s">
        <v>132</v>
      </c>
      <c r="U1083" s="773">
        <v>246</v>
      </c>
      <c r="V1083" s="773">
        <v>5</v>
      </c>
      <c r="W1083" s="773" t="s">
        <v>410</v>
      </c>
    </row>
    <row r="1084" spans="1:23">
      <c r="A1084" s="27">
        <v>44408</v>
      </c>
      <c r="B1084" s="773" t="s">
        <v>140</v>
      </c>
      <c r="C1084" s="773">
        <v>587</v>
      </c>
      <c r="D1084" s="773">
        <v>1</v>
      </c>
      <c r="E1084" s="773" t="s">
        <v>410</v>
      </c>
      <c r="S1084" s="27">
        <v>44530</v>
      </c>
      <c r="T1084" s="773" t="s">
        <v>132</v>
      </c>
      <c r="U1084" s="773">
        <v>162</v>
      </c>
      <c r="V1084" s="773">
        <v>2395</v>
      </c>
      <c r="W1084" s="773" t="s">
        <v>390</v>
      </c>
    </row>
    <row r="1085" spans="1:23">
      <c r="A1085" s="27">
        <v>44408</v>
      </c>
      <c r="B1085" s="773" t="s">
        <v>140</v>
      </c>
      <c r="C1085" s="773">
        <v>478</v>
      </c>
      <c r="D1085" s="773">
        <v>2020</v>
      </c>
      <c r="E1085" s="773" t="s">
        <v>390</v>
      </c>
      <c r="S1085" s="27">
        <v>44530</v>
      </c>
      <c r="T1085" s="773" t="s">
        <v>132</v>
      </c>
      <c r="U1085" s="773">
        <v>218</v>
      </c>
      <c r="V1085" s="773">
        <v>944</v>
      </c>
      <c r="W1085" s="773" t="s">
        <v>390</v>
      </c>
    </row>
    <row r="1086" spans="1:23">
      <c r="A1086" s="27">
        <v>44408</v>
      </c>
      <c r="B1086" s="773" t="s">
        <v>140</v>
      </c>
      <c r="C1086" s="773">
        <v>383</v>
      </c>
      <c r="D1086" s="773">
        <v>4</v>
      </c>
      <c r="E1086" s="773" t="s">
        <v>410</v>
      </c>
      <c r="S1086" s="27">
        <v>44165</v>
      </c>
      <c r="T1086" s="773" t="s">
        <v>132</v>
      </c>
      <c r="U1086" s="773">
        <v>111</v>
      </c>
      <c r="V1086" s="773">
        <v>1</v>
      </c>
      <c r="W1086" s="773" t="s">
        <v>410</v>
      </c>
    </row>
    <row r="1087" spans="1:23">
      <c r="A1087" s="27">
        <v>44773</v>
      </c>
      <c r="B1087" s="773" t="s">
        <v>140</v>
      </c>
      <c r="C1087" s="773">
        <v>502</v>
      </c>
      <c r="D1087" s="773">
        <v>474</v>
      </c>
      <c r="E1087" s="773" t="s">
        <v>390</v>
      </c>
      <c r="S1087" s="27">
        <v>44165</v>
      </c>
      <c r="T1087" s="773" t="s">
        <v>132</v>
      </c>
      <c r="U1087" s="773">
        <v>691</v>
      </c>
      <c r="V1087" s="773">
        <v>2555</v>
      </c>
      <c r="W1087" s="773" t="s">
        <v>390</v>
      </c>
    </row>
    <row r="1088" spans="1:23">
      <c r="A1088" s="27">
        <v>44408</v>
      </c>
      <c r="B1088" s="773" t="s">
        <v>140</v>
      </c>
      <c r="C1088" s="773">
        <v>705</v>
      </c>
      <c r="D1088" s="773">
        <v>1</v>
      </c>
      <c r="E1088" s="773" t="s">
        <v>410</v>
      </c>
      <c r="S1088" s="27">
        <v>44165</v>
      </c>
      <c r="T1088" s="773" t="s">
        <v>132</v>
      </c>
      <c r="U1088" s="773">
        <v>232</v>
      </c>
      <c r="V1088" s="773">
        <v>121</v>
      </c>
      <c r="W1088" s="773" t="s">
        <v>390</v>
      </c>
    </row>
    <row r="1089" spans="1:23">
      <c r="A1089" s="27">
        <v>44773</v>
      </c>
      <c r="B1089" s="773" t="s">
        <v>140</v>
      </c>
      <c r="C1089" s="773">
        <v>548</v>
      </c>
      <c r="D1089" s="773">
        <v>582</v>
      </c>
      <c r="E1089" s="773" t="s">
        <v>390</v>
      </c>
      <c r="S1089" s="27">
        <v>44165</v>
      </c>
      <c r="T1089" s="773" t="s">
        <v>132</v>
      </c>
      <c r="U1089" s="773">
        <v>311</v>
      </c>
      <c r="V1089" s="773">
        <v>2360</v>
      </c>
      <c r="W1089" s="773" t="s">
        <v>390</v>
      </c>
    </row>
    <row r="1090" spans="1:23">
      <c r="A1090" s="27">
        <v>44773</v>
      </c>
      <c r="B1090" s="773" t="s">
        <v>140</v>
      </c>
      <c r="C1090" s="773">
        <v>338</v>
      </c>
      <c r="D1090" s="773">
        <v>2429</v>
      </c>
      <c r="E1090" s="773" t="s">
        <v>390</v>
      </c>
      <c r="S1090" s="27">
        <v>44530</v>
      </c>
      <c r="T1090" s="773" t="s">
        <v>132</v>
      </c>
      <c r="U1090" s="773">
        <v>240</v>
      </c>
      <c r="V1090" s="773">
        <v>7</v>
      </c>
      <c r="W1090" s="773" t="s">
        <v>410</v>
      </c>
    </row>
    <row r="1091" spans="1:23">
      <c r="A1091" s="27">
        <v>44408</v>
      </c>
      <c r="B1091" s="773" t="s">
        <v>140</v>
      </c>
      <c r="C1091" s="773">
        <v>585</v>
      </c>
      <c r="D1091" s="773">
        <v>2317</v>
      </c>
      <c r="E1091" s="773" t="s">
        <v>390</v>
      </c>
      <c r="S1091" s="27">
        <v>44530</v>
      </c>
      <c r="T1091" s="773" t="s">
        <v>132</v>
      </c>
      <c r="U1091" s="773">
        <v>215</v>
      </c>
      <c r="V1091" s="773">
        <v>707</v>
      </c>
      <c r="W1091" s="773" t="s">
        <v>390</v>
      </c>
    </row>
    <row r="1092" spans="1:23">
      <c r="A1092" s="27">
        <v>44773</v>
      </c>
      <c r="B1092" s="773" t="s">
        <v>140</v>
      </c>
      <c r="C1092" s="773">
        <v>597</v>
      </c>
      <c r="D1092" s="773">
        <v>1207</v>
      </c>
      <c r="E1092" s="773" t="s">
        <v>390</v>
      </c>
      <c r="S1092" s="27">
        <v>44165</v>
      </c>
      <c r="T1092" s="773" t="s">
        <v>132</v>
      </c>
      <c r="U1092" s="773">
        <v>671</v>
      </c>
      <c r="V1092" s="773">
        <v>2121</v>
      </c>
      <c r="W1092" s="773" t="s">
        <v>390</v>
      </c>
    </row>
    <row r="1093" spans="1:23">
      <c r="A1093" s="27">
        <v>44408</v>
      </c>
      <c r="B1093" s="773" t="s">
        <v>140</v>
      </c>
      <c r="C1093" s="773">
        <v>198</v>
      </c>
      <c r="D1093" s="773">
        <v>6</v>
      </c>
      <c r="E1093" s="773" t="s">
        <v>410</v>
      </c>
      <c r="S1093" s="27">
        <v>44530</v>
      </c>
      <c r="T1093" s="773" t="s">
        <v>132</v>
      </c>
      <c r="U1093" s="773">
        <v>663</v>
      </c>
      <c r="V1093" s="773">
        <v>1075</v>
      </c>
      <c r="W1093" s="773" t="s">
        <v>390</v>
      </c>
    </row>
    <row r="1094" spans="1:23">
      <c r="A1094" s="27">
        <v>44408</v>
      </c>
      <c r="B1094" s="773" t="s">
        <v>140</v>
      </c>
      <c r="C1094" s="773">
        <v>279</v>
      </c>
      <c r="D1094" s="773">
        <v>1</v>
      </c>
      <c r="E1094" s="773" t="s">
        <v>410</v>
      </c>
      <c r="S1094" s="27">
        <v>44530</v>
      </c>
      <c r="T1094" s="773" t="s">
        <v>132</v>
      </c>
      <c r="U1094" s="773">
        <v>292</v>
      </c>
      <c r="V1094" s="773">
        <v>7</v>
      </c>
      <c r="W1094" s="773" t="s">
        <v>410</v>
      </c>
    </row>
    <row r="1095" spans="1:23">
      <c r="A1095" s="27">
        <v>44773</v>
      </c>
      <c r="B1095" s="773" t="s">
        <v>140</v>
      </c>
      <c r="C1095" s="773">
        <v>628</v>
      </c>
      <c r="D1095" s="773">
        <v>1622</v>
      </c>
      <c r="E1095" s="773" t="s">
        <v>390</v>
      </c>
      <c r="S1095" s="27">
        <v>44530</v>
      </c>
      <c r="T1095" s="773" t="s">
        <v>132</v>
      </c>
      <c r="U1095" s="773">
        <v>664</v>
      </c>
      <c r="V1095" s="773">
        <v>2142</v>
      </c>
      <c r="W1095" s="773" t="s">
        <v>390</v>
      </c>
    </row>
    <row r="1096" spans="1:23">
      <c r="A1096" s="27">
        <v>44408</v>
      </c>
      <c r="B1096" s="773" t="s">
        <v>140</v>
      </c>
      <c r="C1096" s="773">
        <v>524</v>
      </c>
      <c r="D1096" s="773">
        <v>1161</v>
      </c>
      <c r="E1096" s="773" t="s">
        <v>390</v>
      </c>
      <c r="S1096" s="27">
        <v>44165</v>
      </c>
      <c r="T1096" s="773" t="s">
        <v>132</v>
      </c>
      <c r="U1096" s="773">
        <v>27</v>
      </c>
      <c r="V1096" s="773">
        <v>1</v>
      </c>
      <c r="W1096" s="773" t="s">
        <v>410</v>
      </c>
    </row>
    <row r="1097" spans="1:23">
      <c r="A1097" s="27">
        <v>44408</v>
      </c>
      <c r="B1097" s="773" t="s">
        <v>140</v>
      </c>
      <c r="C1097" s="773">
        <v>338</v>
      </c>
      <c r="D1097" s="773">
        <v>2439</v>
      </c>
      <c r="E1097" s="773" t="s">
        <v>390</v>
      </c>
      <c r="S1097" s="27">
        <v>44530</v>
      </c>
      <c r="T1097" s="773" t="s">
        <v>132</v>
      </c>
      <c r="U1097" s="773">
        <v>257</v>
      </c>
      <c r="V1097" s="773">
        <v>2601</v>
      </c>
      <c r="W1097" s="773" t="s">
        <v>390</v>
      </c>
    </row>
    <row r="1098" spans="1:23">
      <c r="A1098" s="27">
        <v>44773</v>
      </c>
      <c r="B1098" s="773" t="s">
        <v>140</v>
      </c>
      <c r="C1098" s="773">
        <v>639</v>
      </c>
      <c r="D1098" s="773">
        <v>110</v>
      </c>
      <c r="E1098" s="773" t="s">
        <v>390</v>
      </c>
      <c r="S1098" s="27">
        <v>44530</v>
      </c>
      <c r="T1098" s="773" t="s">
        <v>132</v>
      </c>
      <c r="U1098" s="773">
        <v>324</v>
      </c>
      <c r="V1098" s="773">
        <v>526</v>
      </c>
      <c r="W1098" s="773" t="s">
        <v>390</v>
      </c>
    </row>
    <row r="1099" spans="1:23">
      <c r="A1099" s="27">
        <v>44408</v>
      </c>
      <c r="B1099" s="773" t="s">
        <v>140</v>
      </c>
      <c r="C1099" s="773">
        <v>525</v>
      </c>
      <c r="D1099" s="773">
        <v>3570</v>
      </c>
      <c r="E1099" s="773" t="s">
        <v>390</v>
      </c>
      <c r="S1099" s="27">
        <v>44530</v>
      </c>
      <c r="T1099" s="773" t="s">
        <v>132</v>
      </c>
      <c r="U1099" s="773">
        <v>141</v>
      </c>
      <c r="V1099" s="773">
        <v>10</v>
      </c>
      <c r="W1099" s="773" t="s">
        <v>410</v>
      </c>
    </row>
    <row r="1100" spans="1:23">
      <c r="A1100" s="27">
        <v>44773</v>
      </c>
      <c r="B1100" s="773" t="s">
        <v>140</v>
      </c>
      <c r="C1100" s="773">
        <v>485</v>
      </c>
      <c r="D1100" s="773">
        <v>1249</v>
      </c>
      <c r="E1100" s="773" t="s">
        <v>390</v>
      </c>
      <c r="S1100" s="27">
        <v>44165</v>
      </c>
      <c r="T1100" s="773" t="s">
        <v>132</v>
      </c>
      <c r="U1100" s="773">
        <v>159</v>
      </c>
      <c r="V1100" s="773">
        <v>2984</v>
      </c>
      <c r="W1100" s="773" t="s">
        <v>390</v>
      </c>
    </row>
    <row r="1101" spans="1:23">
      <c r="A1101" s="27">
        <v>44408</v>
      </c>
      <c r="B1101" s="773" t="s">
        <v>140</v>
      </c>
      <c r="C1101" s="773">
        <v>659</v>
      </c>
      <c r="D1101" s="773">
        <v>696</v>
      </c>
      <c r="E1101" s="773" t="s">
        <v>390</v>
      </c>
      <c r="S1101" s="27">
        <v>44530</v>
      </c>
      <c r="T1101" s="773" t="s">
        <v>132</v>
      </c>
      <c r="U1101" s="773">
        <v>668</v>
      </c>
      <c r="V1101" s="773">
        <v>7</v>
      </c>
      <c r="W1101" s="773" t="s">
        <v>410</v>
      </c>
    </row>
    <row r="1102" spans="1:23">
      <c r="A1102" s="27">
        <v>44408</v>
      </c>
      <c r="B1102" s="773" t="s">
        <v>140</v>
      </c>
      <c r="C1102" s="773">
        <v>530</v>
      </c>
      <c r="D1102" s="773">
        <v>1</v>
      </c>
      <c r="E1102" s="773" t="s">
        <v>410</v>
      </c>
      <c r="S1102" s="27">
        <v>44165</v>
      </c>
      <c r="T1102" s="773" t="s">
        <v>132</v>
      </c>
      <c r="U1102" s="773">
        <v>662</v>
      </c>
      <c r="V1102" s="773">
        <v>2926</v>
      </c>
      <c r="W1102" s="773" t="s">
        <v>390</v>
      </c>
    </row>
    <row r="1103" spans="1:23">
      <c r="A1103" s="27">
        <v>44408</v>
      </c>
      <c r="B1103" s="773" t="s">
        <v>140</v>
      </c>
      <c r="C1103" s="773">
        <v>608</v>
      </c>
      <c r="D1103" s="773">
        <v>2665</v>
      </c>
      <c r="E1103" s="773" t="s">
        <v>390</v>
      </c>
      <c r="S1103" s="27">
        <v>44530</v>
      </c>
      <c r="T1103" s="773" t="s">
        <v>132</v>
      </c>
      <c r="U1103" s="773">
        <v>133</v>
      </c>
      <c r="V1103" s="773">
        <v>1</v>
      </c>
      <c r="W1103" s="773" t="s">
        <v>410</v>
      </c>
    </row>
    <row r="1104" spans="1:23">
      <c r="A1104" s="27">
        <v>44408</v>
      </c>
      <c r="B1104" s="773" t="s">
        <v>140</v>
      </c>
      <c r="C1104" s="773">
        <v>582</v>
      </c>
      <c r="D1104" s="773">
        <v>2235</v>
      </c>
      <c r="E1104" s="773" t="s">
        <v>390</v>
      </c>
      <c r="S1104" s="27">
        <v>44530</v>
      </c>
      <c r="T1104" s="773" t="s">
        <v>132</v>
      </c>
      <c r="U1104" s="773">
        <v>688</v>
      </c>
      <c r="V1104" s="773">
        <v>2836</v>
      </c>
      <c r="W1104" s="773" t="s">
        <v>390</v>
      </c>
    </row>
    <row r="1105" spans="1:23">
      <c r="A1105" s="27">
        <v>44408</v>
      </c>
      <c r="B1105" s="773" t="s">
        <v>140</v>
      </c>
      <c r="C1105" s="773">
        <v>630</v>
      </c>
      <c r="D1105" s="773">
        <v>1</v>
      </c>
      <c r="E1105" s="773" t="s">
        <v>410</v>
      </c>
      <c r="S1105" s="27">
        <v>44165</v>
      </c>
      <c r="T1105" s="773" t="s">
        <v>132</v>
      </c>
      <c r="U1105" s="773">
        <v>247</v>
      </c>
      <c r="V1105" s="773">
        <v>12</v>
      </c>
      <c r="W1105" s="773" t="s">
        <v>410</v>
      </c>
    </row>
    <row r="1106" spans="1:23">
      <c r="A1106" s="27">
        <v>44773</v>
      </c>
      <c r="B1106" s="773" t="s">
        <v>140</v>
      </c>
      <c r="C1106" s="773">
        <v>610</v>
      </c>
      <c r="D1106" s="773">
        <v>2991</v>
      </c>
      <c r="E1106" s="773" t="s">
        <v>390</v>
      </c>
      <c r="S1106" s="27">
        <v>44530</v>
      </c>
      <c r="T1106" s="773" t="s">
        <v>132</v>
      </c>
      <c r="U1106" s="773">
        <v>622</v>
      </c>
      <c r="V1106" s="773">
        <v>1</v>
      </c>
      <c r="W1106" s="773" t="s">
        <v>410</v>
      </c>
    </row>
    <row r="1107" spans="1:23">
      <c r="A1107" s="27">
        <v>44408</v>
      </c>
      <c r="B1107" s="773" t="s">
        <v>140</v>
      </c>
      <c r="C1107" s="773">
        <v>558</v>
      </c>
      <c r="D1107" s="773">
        <v>1277</v>
      </c>
      <c r="E1107" s="773" t="s">
        <v>390</v>
      </c>
      <c r="S1107" s="27">
        <v>44530</v>
      </c>
      <c r="T1107" s="773" t="s">
        <v>132</v>
      </c>
      <c r="U1107" s="773">
        <v>266</v>
      </c>
      <c r="V1107" s="773">
        <v>2223</v>
      </c>
      <c r="W1107" s="773" t="s">
        <v>390</v>
      </c>
    </row>
    <row r="1108" spans="1:23">
      <c r="A1108" s="27">
        <v>44408</v>
      </c>
      <c r="B1108" s="773" t="s">
        <v>140</v>
      </c>
      <c r="C1108" s="773">
        <v>610</v>
      </c>
      <c r="D1108" s="773">
        <v>2970</v>
      </c>
      <c r="E1108" s="773" t="s">
        <v>390</v>
      </c>
      <c r="S1108" s="27">
        <v>44530</v>
      </c>
      <c r="T1108" s="773" t="s">
        <v>132</v>
      </c>
      <c r="U1108" s="773">
        <v>652</v>
      </c>
      <c r="V1108" s="773">
        <v>2768</v>
      </c>
      <c r="W1108" s="773" t="s">
        <v>390</v>
      </c>
    </row>
    <row r="1109" spans="1:23">
      <c r="A1109" s="27">
        <v>44773</v>
      </c>
      <c r="B1109" s="773" t="s">
        <v>140</v>
      </c>
      <c r="C1109" s="773">
        <v>279</v>
      </c>
      <c r="D1109" s="773">
        <v>1</v>
      </c>
      <c r="E1109" s="773" t="s">
        <v>410</v>
      </c>
      <c r="S1109" s="27">
        <v>44165</v>
      </c>
      <c r="T1109" s="773" t="s">
        <v>132</v>
      </c>
      <c r="U1109" s="773">
        <v>181</v>
      </c>
      <c r="V1109" s="773">
        <v>1</v>
      </c>
      <c r="W1109" s="773" t="s">
        <v>410</v>
      </c>
    </row>
    <row r="1110" spans="1:23">
      <c r="A1110" s="27">
        <v>44773</v>
      </c>
      <c r="B1110" s="773" t="s">
        <v>140</v>
      </c>
      <c r="C1110" s="773">
        <v>248</v>
      </c>
      <c r="D1110" s="773">
        <v>496</v>
      </c>
      <c r="E1110" s="773" t="s">
        <v>390</v>
      </c>
      <c r="S1110" s="27">
        <v>44530</v>
      </c>
      <c r="T1110" s="773" t="s">
        <v>132</v>
      </c>
      <c r="U1110" s="773">
        <v>290</v>
      </c>
      <c r="V1110" s="773">
        <v>2129</v>
      </c>
      <c r="W1110" s="773" t="s">
        <v>390</v>
      </c>
    </row>
    <row r="1111" spans="1:23">
      <c r="A1111" s="27">
        <v>44773</v>
      </c>
      <c r="B1111" s="773" t="s">
        <v>140</v>
      </c>
      <c r="C1111" s="773">
        <v>712</v>
      </c>
      <c r="D1111" s="773">
        <v>3</v>
      </c>
      <c r="E1111" s="773" t="s">
        <v>410</v>
      </c>
      <c r="S1111" s="27">
        <v>44530</v>
      </c>
      <c r="T1111" s="773" t="s">
        <v>132</v>
      </c>
      <c r="U1111" s="773">
        <v>325</v>
      </c>
      <c r="V1111" s="773">
        <v>2920</v>
      </c>
      <c r="W1111" s="773" t="s">
        <v>390</v>
      </c>
    </row>
    <row r="1112" spans="1:23">
      <c r="A1112" s="27">
        <v>44408</v>
      </c>
      <c r="B1112" s="773" t="s">
        <v>140</v>
      </c>
      <c r="C1112" s="773">
        <v>521</v>
      </c>
      <c r="D1112" s="773">
        <v>14</v>
      </c>
      <c r="E1112" s="773" t="s">
        <v>410</v>
      </c>
      <c r="S1112" s="27">
        <v>44165</v>
      </c>
      <c r="T1112" s="773" t="s">
        <v>132</v>
      </c>
      <c r="U1112" s="773">
        <v>39</v>
      </c>
      <c r="V1112" s="773">
        <v>1</v>
      </c>
      <c r="W1112" s="773" t="s">
        <v>410</v>
      </c>
    </row>
    <row r="1113" spans="1:23">
      <c r="A1113" s="27">
        <v>44773</v>
      </c>
      <c r="B1113" s="773" t="s">
        <v>140</v>
      </c>
      <c r="C1113" s="773">
        <v>740</v>
      </c>
      <c r="D1113" s="773">
        <v>588</v>
      </c>
      <c r="E1113" s="773" t="s">
        <v>390</v>
      </c>
      <c r="S1113" s="27">
        <v>44165</v>
      </c>
      <c r="T1113" s="773" t="s">
        <v>132</v>
      </c>
      <c r="U1113" s="773">
        <v>652</v>
      </c>
      <c r="V1113" s="773">
        <v>2763</v>
      </c>
      <c r="W1113" s="773" t="s">
        <v>390</v>
      </c>
    </row>
    <row r="1114" spans="1:23">
      <c r="A1114" s="27">
        <v>44408</v>
      </c>
      <c r="B1114" s="773" t="s">
        <v>140</v>
      </c>
      <c r="C1114" s="773">
        <v>476</v>
      </c>
      <c r="D1114" s="773">
        <v>1</v>
      </c>
      <c r="E1114" s="773" t="s">
        <v>410</v>
      </c>
      <c r="S1114" s="27">
        <v>44530</v>
      </c>
      <c r="T1114" s="773" t="s">
        <v>132</v>
      </c>
      <c r="U1114" s="773">
        <v>232</v>
      </c>
      <c r="V1114" s="773">
        <v>114</v>
      </c>
      <c r="W1114" s="773" t="s">
        <v>390</v>
      </c>
    </row>
    <row r="1115" spans="1:23">
      <c r="A1115" s="27">
        <v>44408</v>
      </c>
      <c r="B1115" s="773" t="s">
        <v>140</v>
      </c>
      <c r="C1115" s="773">
        <v>648</v>
      </c>
      <c r="D1115" s="773">
        <v>1390</v>
      </c>
      <c r="E1115" s="773" t="s">
        <v>390</v>
      </c>
      <c r="S1115" s="27">
        <v>44165</v>
      </c>
      <c r="T1115" s="773" t="s">
        <v>132</v>
      </c>
      <c r="U1115" s="773">
        <v>195</v>
      </c>
      <c r="V1115" s="773">
        <v>1</v>
      </c>
      <c r="W1115" s="773" t="s">
        <v>410</v>
      </c>
    </row>
    <row r="1116" spans="1:23">
      <c r="A1116" s="27">
        <v>44773</v>
      </c>
      <c r="B1116" s="773" t="s">
        <v>140</v>
      </c>
      <c r="C1116" s="773">
        <v>678</v>
      </c>
      <c r="D1116" s="773">
        <v>1</v>
      </c>
      <c r="E1116" s="773" t="s">
        <v>410</v>
      </c>
      <c r="S1116" s="27">
        <v>44530</v>
      </c>
      <c r="T1116" s="773" t="s">
        <v>132</v>
      </c>
      <c r="U1116" s="773">
        <v>308</v>
      </c>
      <c r="V1116" s="773">
        <v>1808</v>
      </c>
      <c r="W1116" s="773" t="s">
        <v>390</v>
      </c>
    </row>
    <row r="1117" spans="1:23">
      <c r="A1117" s="27">
        <v>44408</v>
      </c>
      <c r="B1117" s="773" t="s">
        <v>140</v>
      </c>
      <c r="C1117" s="773">
        <v>359</v>
      </c>
      <c r="D1117" s="773">
        <v>586</v>
      </c>
      <c r="E1117" s="773" t="s">
        <v>390</v>
      </c>
      <c r="S1117" s="27">
        <v>44530</v>
      </c>
      <c r="T1117" s="773" t="s">
        <v>132</v>
      </c>
      <c r="U1117" s="773">
        <v>182</v>
      </c>
      <c r="V1117" s="773">
        <v>890</v>
      </c>
      <c r="W1117" s="773" t="s">
        <v>390</v>
      </c>
    </row>
    <row r="1118" spans="1:23">
      <c r="A1118" s="27">
        <v>44773</v>
      </c>
      <c r="B1118" s="773" t="s">
        <v>140</v>
      </c>
      <c r="C1118" s="773">
        <v>732</v>
      </c>
      <c r="D1118" s="773">
        <v>3</v>
      </c>
      <c r="E1118" s="773" t="s">
        <v>410</v>
      </c>
      <c r="S1118" s="27">
        <v>44530</v>
      </c>
      <c r="T1118" s="773" t="s">
        <v>132</v>
      </c>
      <c r="U1118" s="773">
        <v>84</v>
      </c>
      <c r="V1118" s="773">
        <v>2489</v>
      </c>
      <c r="W1118" s="773" t="s">
        <v>390</v>
      </c>
    </row>
    <row r="1119" spans="1:23">
      <c r="A1119" s="27">
        <v>44773</v>
      </c>
      <c r="B1119" s="773" t="s">
        <v>140</v>
      </c>
      <c r="C1119" s="773">
        <v>555</v>
      </c>
      <c r="D1119" s="773">
        <v>1636</v>
      </c>
      <c r="E1119" s="773" t="s">
        <v>390</v>
      </c>
      <c r="S1119" s="27">
        <v>44530</v>
      </c>
      <c r="T1119" s="773" t="s">
        <v>132</v>
      </c>
      <c r="U1119" s="773">
        <v>249</v>
      </c>
      <c r="V1119" s="773">
        <v>2735</v>
      </c>
      <c r="W1119" s="773" t="s">
        <v>390</v>
      </c>
    </row>
    <row r="1120" spans="1:23">
      <c r="A1120" s="27">
        <v>44773</v>
      </c>
      <c r="B1120" s="773" t="s">
        <v>140</v>
      </c>
      <c r="C1120" s="773">
        <v>650</v>
      </c>
      <c r="D1120" s="773">
        <v>2333</v>
      </c>
      <c r="E1120" s="773" t="s">
        <v>390</v>
      </c>
      <c r="S1120" s="27">
        <v>44530</v>
      </c>
      <c r="T1120" s="773" t="s">
        <v>132</v>
      </c>
      <c r="U1120" s="773">
        <v>114</v>
      </c>
      <c r="V1120" s="773">
        <v>1</v>
      </c>
      <c r="W1120" s="773" t="s">
        <v>410</v>
      </c>
    </row>
    <row r="1121" spans="1:23">
      <c r="A1121" s="27">
        <v>44773</v>
      </c>
      <c r="B1121" s="773" t="s">
        <v>140</v>
      </c>
      <c r="C1121" s="773">
        <v>691</v>
      </c>
      <c r="D1121" s="773">
        <v>214</v>
      </c>
      <c r="E1121" s="773" t="s">
        <v>390</v>
      </c>
      <c r="S1121" s="27">
        <v>44165</v>
      </c>
      <c r="T1121" s="773" t="s">
        <v>132</v>
      </c>
      <c r="U1121" s="773">
        <v>621</v>
      </c>
      <c r="V1121" s="773">
        <v>2310</v>
      </c>
      <c r="W1121" s="773" t="s">
        <v>390</v>
      </c>
    </row>
    <row r="1122" spans="1:23">
      <c r="A1122" s="27">
        <v>44773</v>
      </c>
      <c r="B1122" s="773" t="s">
        <v>140</v>
      </c>
      <c r="C1122" s="773">
        <v>379</v>
      </c>
      <c r="D1122" s="773">
        <v>1</v>
      </c>
      <c r="E1122" s="773" t="s">
        <v>410</v>
      </c>
      <c r="S1122" s="27">
        <v>44530</v>
      </c>
      <c r="T1122" s="773" t="s">
        <v>132</v>
      </c>
      <c r="U1122" s="773">
        <v>251</v>
      </c>
      <c r="V1122" s="773">
        <v>2500</v>
      </c>
      <c r="W1122" s="773" t="s">
        <v>390</v>
      </c>
    </row>
    <row r="1123" spans="1:23">
      <c r="A1123" s="27">
        <v>44408</v>
      </c>
      <c r="B1123" s="773" t="s">
        <v>140</v>
      </c>
      <c r="C1123" s="773">
        <v>639</v>
      </c>
      <c r="D1123" s="773">
        <v>79</v>
      </c>
      <c r="E1123" s="773" t="s">
        <v>410</v>
      </c>
      <c r="S1123" s="27">
        <v>44530</v>
      </c>
      <c r="T1123" s="773" t="s">
        <v>132</v>
      </c>
      <c r="U1123" s="773">
        <v>686</v>
      </c>
      <c r="V1123" s="773">
        <v>2416</v>
      </c>
      <c r="W1123" s="773" t="s">
        <v>390</v>
      </c>
    </row>
    <row r="1124" spans="1:23">
      <c r="A1124" s="27">
        <v>44408</v>
      </c>
      <c r="B1124" s="773" t="s">
        <v>140</v>
      </c>
      <c r="C1124" s="773">
        <v>732</v>
      </c>
      <c r="D1124" s="773">
        <v>5</v>
      </c>
      <c r="E1124" s="773" t="s">
        <v>410</v>
      </c>
      <c r="S1124" s="27">
        <v>44530</v>
      </c>
      <c r="T1124" s="773" t="s">
        <v>132</v>
      </c>
      <c r="U1124" s="773">
        <v>523</v>
      </c>
      <c r="V1124" s="773">
        <v>14</v>
      </c>
      <c r="W1124" s="773" t="s">
        <v>410</v>
      </c>
    </row>
    <row r="1125" spans="1:23">
      <c r="A1125" s="27">
        <v>44773</v>
      </c>
      <c r="B1125" s="773" t="s">
        <v>140</v>
      </c>
      <c r="C1125" s="773">
        <v>530</v>
      </c>
      <c r="D1125" s="773">
        <v>1</v>
      </c>
      <c r="E1125" s="773" t="s">
        <v>410</v>
      </c>
      <c r="S1125" s="27">
        <v>44165</v>
      </c>
      <c r="T1125" s="773" t="s">
        <v>132</v>
      </c>
      <c r="U1125" s="773">
        <v>290</v>
      </c>
      <c r="V1125" s="773">
        <v>2478</v>
      </c>
      <c r="W1125" s="773" t="s">
        <v>390</v>
      </c>
    </row>
    <row r="1126" spans="1:23">
      <c r="A1126" s="27">
        <v>44408</v>
      </c>
      <c r="B1126" s="773" t="s">
        <v>140</v>
      </c>
      <c r="C1126" s="773">
        <v>453</v>
      </c>
      <c r="D1126" s="773">
        <v>2374</v>
      </c>
      <c r="E1126" s="773" t="s">
        <v>390</v>
      </c>
      <c r="S1126" s="27">
        <v>44165</v>
      </c>
      <c r="T1126" s="773" t="s">
        <v>132</v>
      </c>
      <c r="U1126" s="773">
        <v>76</v>
      </c>
      <c r="V1126" s="773">
        <v>2779</v>
      </c>
      <c r="W1126" s="773" t="s">
        <v>390</v>
      </c>
    </row>
    <row r="1127" spans="1:23">
      <c r="A1127" s="27">
        <v>44408</v>
      </c>
      <c r="B1127" s="773" t="s">
        <v>140</v>
      </c>
      <c r="C1127" s="773">
        <v>0</v>
      </c>
      <c r="D1127" s="773">
        <v>8</v>
      </c>
      <c r="E1127" s="773" t="s">
        <v>410</v>
      </c>
      <c r="S1127" s="27">
        <v>44530</v>
      </c>
      <c r="T1127" s="773" t="s">
        <v>132</v>
      </c>
      <c r="U1127" s="773">
        <v>312</v>
      </c>
      <c r="V1127" s="773">
        <v>2284</v>
      </c>
      <c r="W1127" s="773" t="s">
        <v>390</v>
      </c>
    </row>
    <row r="1128" spans="1:23">
      <c r="A1128" s="27">
        <v>44408</v>
      </c>
      <c r="B1128" s="773" t="s">
        <v>140</v>
      </c>
      <c r="C1128" s="773">
        <v>740</v>
      </c>
      <c r="D1128" s="773">
        <v>44</v>
      </c>
      <c r="E1128" s="773" t="s">
        <v>410</v>
      </c>
      <c r="S1128" s="27">
        <v>44165</v>
      </c>
      <c r="T1128" s="773" t="s">
        <v>132</v>
      </c>
      <c r="U1128" s="773">
        <v>650</v>
      </c>
      <c r="V1128" s="773">
        <v>56</v>
      </c>
      <c r="W1128" s="773" t="s">
        <v>410</v>
      </c>
    </row>
    <row r="1129" spans="1:23">
      <c r="A1129" s="27">
        <v>44773</v>
      </c>
      <c r="B1129" s="773" t="s">
        <v>140</v>
      </c>
      <c r="C1129" s="773">
        <v>493</v>
      </c>
      <c r="D1129" s="773">
        <v>5</v>
      </c>
      <c r="E1129" s="773" t="s">
        <v>410</v>
      </c>
      <c r="S1129" s="27">
        <v>44530</v>
      </c>
      <c r="T1129" s="773" t="s">
        <v>132</v>
      </c>
      <c r="U1129" s="773">
        <v>658</v>
      </c>
      <c r="V1129" s="773">
        <v>3042</v>
      </c>
      <c r="W1129" s="773" t="s">
        <v>390</v>
      </c>
    </row>
    <row r="1130" spans="1:23">
      <c r="A1130" s="27">
        <v>44773</v>
      </c>
      <c r="B1130" s="773" t="s">
        <v>140</v>
      </c>
      <c r="C1130" s="773">
        <v>585</v>
      </c>
      <c r="D1130" s="773">
        <v>5101</v>
      </c>
      <c r="E1130" s="773" t="s">
        <v>390</v>
      </c>
      <c r="S1130" s="27">
        <v>44530</v>
      </c>
      <c r="T1130" s="773" t="s">
        <v>132</v>
      </c>
      <c r="U1130" s="773">
        <v>176</v>
      </c>
      <c r="V1130" s="773">
        <v>1</v>
      </c>
      <c r="W1130" s="773" t="s">
        <v>410</v>
      </c>
    </row>
    <row r="1131" spans="1:23">
      <c r="A1131" s="27">
        <v>44773</v>
      </c>
      <c r="B1131" s="773" t="s">
        <v>140</v>
      </c>
      <c r="C1131" s="773">
        <v>594</v>
      </c>
      <c r="D1131" s="773">
        <v>2662</v>
      </c>
      <c r="E1131" s="773" t="s">
        <v>390</v>
      </c>
      <c r="S1131" s="27">
        <v>44530</v>
      </c>
      <c r="T1131" s="773" t="s">
        <v>132</v>
      </c>
      <c r="U1131" s="773">
        <v>195</v>
      </c>
      <c r="V1131" s="773">
        <v>1</v>
      </c>
      <c r="W1131" s="773" t="s">
        <v>410</v>
      </c>
    </row>
    <row r="1132" spans="1:23">
      <c r="A1132" s="27">
        <v>44408</v>
      </c>
      <c r="B1132" s="773" t="s">
        <v>140</v>
      </c>
      <c r="C1132" s="773">
        <v>678</v>
      </c>
      <c r="D1132" s="773">
        <v>2332</v>
      </c>
      <c r="E1132" s="773" t="s">
        <v>390</v>
      </c>
      <c r="S1132" s="27">
        <v>44530</v>
      </c>
      <c r="T1132" s="773" t="s">
        <v>132</v>
      </c>
      <c r="U1132" s="773">
        <v>153</v>
      </c>
      <c r="V1132" s="773">
        <v>2069</v>
      </c>
      <c r="W1132" s="773" t="s">
        <v>390</v>
      </c>
    </row>
    <row r="1133" spans="1:23">
      <c r="A1133" s="27">
        <v>44773</v>
      </c>
      <c r="B1133" s="773" t="s">
        <v>140</v>
      </c>
      <c r="C1133" s="773">
        <v>0</v>
      </c>
      <c r="D1133" s="773">
        <v>7</v>
      </c>
      <c r="E1133" s="773" t="s">
        <v>410</v>
      </c>
      <c r="S1133" s="27">
        <v>44165</v>
      </c>
      <c r="T1133" s="773" t="s">
        <v>132</v>
      </c>
      <c r="U1133" s="773">
        <v>262</v>
      </c>
      <c r="V1133" s="773">
        <v>82</v>
      </c>
      <c r="W1133" s="773" t="s">
        <v>410</v>
      </c>
    </row>
    <row r="1134" spans="1:23">
      <c r="A1134" s="27">
        <v>44773</v>
      </c>
      <c r="B1134" s="773" t="s">
        <v>140</v>
      </c>
      <c r="C1134" s="773">
        <v>556</v>
      </c>
      <c r="D1134" s="773">
        <v>2735</v>
      </c>
      <c r="E1134" s="773" t="s">
        <v>390</v>
      </c>
      <c r="S1134" s="27">
        <v>44530</v>
      </c>
      <c r="T1134" s="773" t="s">
        <v>132</v>
      </c>
      <c r="U1134" s="773">
        <v>669</v>
      </c>
      <c r="V1134" s="773">
        <v>2580</v>
      </c>
      <c r="W1134" s="773" t="s">
        <v>390</v>
      </c>
    </row>
    <row r="1135" spans="1:23">
      <c r="A1135" s="27">
        <v>44773</v>
      </c>
      <c r="B1135" s="773" t="s">
        <v>140</v>
      </c>
      <c r="C1135" s="773">
        <v>742</v>
      </c>
      <c r="D1135" s="773">
        <v>1</v>
      </c>
      <c r="E1135" s="773" t="s">
        <v>410</v>
      </c>
      <c r="S1135" s="27">
        <v>44530</v>
      </c>
      <c r="T1135" s="773" t="s">
        <v>132</v>
      </c>
      <c r="U1135" s="773">
        <v>311</v>
      </c>
      <c r="V1135" s="773">
        <v>2353</v>
      </c>
      <c r="W1135" s="773" t="s">
        <v>390</v>
      </c>
    </row>
    <row r="1136" spans="1:23">
      <c r="A1136" s="27">
        <v>44408</v>
      </c>
      <c r="B1136" s="773" t="s">
        <v>140</v>
      </c>
      <c r="C1136" s="773">
        <v>574</v>
      </c>
      <c r="D1136" s="773">
        <v>1508</v>
      </c>
      <c r="E1136" s="773" t="s">
        <v>390</v>
      </c>
      <c r="S1136" s="27">
        <v>44165</v>
      </c>
      <c r="T1136" s="773" t="s">
        <v>132</v>
      </c>
      <c r="U1136" s="773">
        <v>58</v>
      </c>
      <c r="V1136" s="773">
        <v>3</v>
      </c>
      <c r="W1136" s="773" t="s">
        <v>410</v>
      </c>
    </row>
    <row r="1137" spans="1:23">
      <c r="A1137" s="27">
        <v>44773</v>
      </c>
      <c r="B1137" s="773" t="s">
        <v>140</v>
      </c>
      <c r="C1137" s="773">
        <v>370</v>
      </c>
      <c r="D1137" s="773">
        <v>2</v>
      </c>
      <c r="E1137" s="773" t="s">
        <v>410</v>
      </c>
      <c r="S1137" s="27">
        <v>44530</v>
      </c>
      <c r="T1137" s="773" t="s">
        <v>132</v>
      </c>
      <c r="U1137" s="773">
        <v>101</v>
      </c>
      <c r="V1137" s="773">
        <v>837</v>
      </c>
      <c r="W1137" s="773" t="s">
        <v>390</v>
      </c>
    </row>
    <row r="1138" spans="1:23">
      <c r="A1138" s="27">
        <v>44408</v>
      </c>
      <c r="B1138" s="773" t="s">
        <v>140</v>
      </c>
      <c r="C1138" s="773">
        <v>712</v>
      </c>
      <c r="D1138" s="773">
        <v>1</v>
      </c>
      <c r="E1138" s="773" t="s">
        <v>410</v>
      </c>
      <c r="S1138" s="27">
        <v>44165</v>
      </c>
      <c r="T1138" s="773" t="s">
        <v>132</v>
      </c>
      <c r="U1138" s="773">
        <v>672</v>
      </c>
      <c r="V1138" s="773">
        <v>2094</v>
      </c>
      <c r="W1138" s="773" t="s">
        <v>390</v>
      </c>
    </row>
    <row r="1139" spans="1:23">
      <c r="A1139" s="27">
        <v>44773</v>
      </c>
      <c r="B1139" s="773" t="s">
        <v>140</v>
      </c>
      <c r="C1139" s="773">
        <v>383</v>
      </c>
      <c r="D1139" s="773">
        <v>1</v>
      </c>
      <c r="E1139" s="773" t="s">
        <v>410</v>
      </c>
      <c r="S1139" s="27">
        <v>44165</v>
      </c>
      <c r="T1139" s="773" t="s">
        <v>132</v>
      </c>
      <c r="U1139" s="773">
        <v>249</v>
      </c>
      <c r="V1139" s="773">
        <v>2549</v>
      </c>
      <c r="W1139" s="773" t="s">
        <v>390</v>
      </c>
    </row>
    <row r="1140" spans="1:23">
      <c r="A1140" s="27">
        <v>44773</v>
      </c>
      <c r="B1140" s="773" t="s">
        <v>140</v>
      </c>
      <c r="C1140" s="773">
        <v>722</v>
      </c>
      <c r="D1140" s="773">
        <v>1894</v>
      </c>
      <c r="E1140" s="773" t="s">
        <v>390</v>
      </c>
      <c r="S1140" s="27">
        <v>44165</v>
      </c>
      <c r="T1140" s="773" t="s">
        <v>132</v>
      </c>
      <c r="U1140" s="773">
        <v>46</v>
      </c>
      <c r="V1140" s="773">
        <v>2744</v>
      </c>
      <c r="W1140" s="773" t="s">
        <v>390</v>
      </c>
    </row>
    <row r="1141" spans="1:23">
      <c r="A1141" s="27">
        <v>44773</v>
      </c>
      <c r="B1141" s="773" t="s">
        <v>140</v>
      </c>
      <c r="C1141" s="773">
        <v>346</v>
      </c>
      <c r="D1141" s="773">
        <v>3</v>
      </c>
      <c r="E1141" s="773" t="s">
        <v>410</v>
      </c>
      <c r="S1141" s="27">
        <v>44530</v>
      </c>
      <c r="T1141" s="773" t="s">
        <v>132</v>
      </c>
      <c r="U1141" s="773">
        <v>653</v>
      </c>
      <c r="V1141" s="773">
        <v>93</v>
      </c>
      <c r="W1141" s="773" t="s">
        <v>410</v>
      </c>
    </row>
    <row r="1142" spans="1:23">
      <c r="A1142" s="27">
        <v>44773</v>
      </c>
      <c r="B1142" s="773" t="s">
        <v>140</v>
      </c>
      <c r="C1142" s="773">
        <v>760</v>
      </c>
      <c r="D1142" s="773">
        <v>96</v>
      </c>
      <c r="E1142" s="773" t="s">
        <v>410</v>
      </c>
      <c r="S1142" s="27">
        <v>44530</v>
      </c>
      <c r="T1142" s="773" t="s">
        <v>132</v>
      </c>
      <c r="U1142" s="773">
        <v>136</v>
      </c>
      <c r="V1142" s="773">
        <v>90</v>
      </c>
      <c r="W1142" s="773" t="s">
        <v>410</v>
      </c>
    </row>
    <row r="1143" spans="1:23">
      <c r="A1143" s="27">
        <v>44773</v>
      </c>
      <c r="B1143" s="773" t="s">
        <v>140</v>
      </c>
      <c r="C1143" s="773">
        <v>359</v>
      </c>
      <c r="D1143" s="773">
        <v>721</v>
      </c>
      <c r="E1143" s="773" t="s">
        <v>390</v>
      </c>
      <c r="S1143" s="27">
        <v>44530</v>
      </c>
      <c r="T1143" s="773" t="s">
        <v>132</v>
      </c>
      <c r="U1143" s="773">
        <v>294</v>
      </c>
      <c r="V1143" s="773">
        <v>64</v>
      </c>
      <c r="W1143" s="773" t="s">
        <v>410</v>
      </c>
    </row>
    <row r="1144" spans="1:23">
      <c r="A1144" s="27">
        <v>44773</v>
      </c>
      <c r="B1144" s="773" t="s">
        <v>140</v>
      </c>
      <c r="C1144" s="773">
        <v>626</v>
      </c>
      <c r="D1144" s="773">
        <v>3123</v>
      </c>
      <c r="E1144" s="773" t="s">
        <v>390</v>
      </c>
      <c r="S1144" s="27">
        <v>44530</v>
      </c>
      <c r="T1144" s="773" t="s">
        <v>132</v>
      </c>
      <c r="U1144" s="773">
        <v>78</v>
      </c>
      <c r="V1144" s="773">
        <v>1</v>
      </c>
      <c r="W1144" s="773" t="s">
        <v>410</v>
      </c>
    </row>
    <row r="1145" spans="1:23">
      <c r="A1145" s="27">
        <v>44773</v>
      </c>
      <c r="B1145" s="773" t="s">
        <v>140</v>
      </c>
      <c r="C1145" s="773">
        <v>510</v>
      </c>
      <c r="D1145" s="773">
        <v>888</v>
      </c>
      <c r="E1145" s="773" t="s">
        <v>390</v>
      </c>
      <c r="S1145" s="27">
        <v>44530</v>
      </c>
      <c r="T1145" s="773" t="s">
        <v>132</v>
      </c>
      <c r="U1145" s="773">
        <v>323</v>
      </c>
      <c r="V1145" s="773">
        <v>2954</v>
      </c>
      <c r="W1145" s="773" t="s">
        <v>390</v>
      </c>
    </row>
    <row r="1146" spans="1:23">
      <c r="A1146" s="27">
        <v>44773</v>
      </c>
      <c r="B1146" s="773" t="s">
        <v>140</v>
      </c>
      <c r="C1146" s="773">
        <v>582</v>
      </c>
      <c r="D1146" s="773">
        <v>2259</v>
      </c>
      <c r="E1146" s="773" t="s">
        <v>390</v>
      </c>
      <c r="S1146" s="27">
        <v>44165</v>
      </c>
      <c r="T1146" s="773" t="s">
        <v>132</v>
      </c>
      <c r="U1146" s="773">
        <v>132</v>
      </c>
      <c r="V1146" s="773">
        <v>2837</v>
      </c>
      <c r="W1146" s="773" t="s">
        <v>390</v>
      </c>
    </row>
    <row r="1147" spans="1:23">
      <c r="A1147" s="27">
        <v>44773</v>
      </c>
      <c r="B1147" s="773" t="s">
        <v>140</v>
      </c>
      <c r="C1147" s="773">
        <v>601</v>
      </c>
      <c r="D1147" s="773">
        <v>3</v>
      </c>
      <c r="E1147" s="773" t="s">
        <v>410</v>
      </c>
      <c r="S1147" s="27">
        <v>44530</v>
      </c>
      <c r="T1147" s="773" t="s">
        <v>132</v>
      </c>
      <c r="U1147" s="773">
        <v>97</v>
      </c>
      <c r="V1147" s="773">
        <v>2</v>
      </c>
      <c r="W1147" s="773" t="s">
        <v>410</v>
      </c>
    </row>
    <row r="1148" spans="1:23">
      <c r="A1148" s="27">
        <v>44773</v>
      </c>
      <c r="B1148" s="773" t="s">
        <v>140</v>
      </c>
      <c r="C1148" s="773">
        <v>758</v>
      </c>
      <c r="D1148" s="773">
        <v>1</v>
      </c>
      <c r="E1148" s="773" t="s">
        <v>410</v>
      </c>
      <c r="S1148" s="27">
        <v>44530</v>
      </c>
      <c r="T1148" s="773" t="s">
        <v>132</v>
      </c>
      <c r="U1148" s="773">
        <v>704</v>
      </c>
      <c r="V1148" s="773">
        <v>2215</v>
      </c>
      <c r="W1148" s="773" t="s">
        <v>390</v>
      </c>
    </row>
    <row r="1149" spans="1:23">
      <c r="A1149" s="27">
        <v>44408</v>
      </c>
      <c r="B1149" s="773" t="s">
        <v>140</v>
      </c>
      <c r="C1149" s="773">
        <v>758</v>
      </c>
      <c r="D1149" s="773">
        <v>1</v>
      </c>
      <c r="E1149" s="773" t="s">
        <v>410</v>
      </c>
      <c r="S1149" s="27">
        <v>44165</v>
      </c>
      <c r="T1149" s="773" t="s">
        <v>132</v>
      </c>
      <c r="U1149" s="773">
        <v>190</v>
      </c>
      <c r="V1149" s="773">
        <v>6</v>
      </c>
      <c r="W1149" s="773" t="s">
        <v>410</v>
      </c>
    </row>
    <row r="1150" spans="1:23">
      <c r="A1150" s="27">
        <v>44773</v>
      </c>
      <c r="B1150" s="773" t="s">
        <v>140</v>
      </c>
      <c r="C1150" s="773">
        <v>616</v>
      </c>
      <c r="D1150" s="773">
        <v>1</v>
      </c>
      <c r="E1150" s="773" t="s">
        <v>410</v>
      </c>
      <c r="S1150" s="27">
        <v>44165</v>
      </c>
      <c r="T1150" s="773" t="s">
        <v>132</v>
      </c>
      <c r="U1150" s="773">
        <v>233</v>
      </c>
      <c r="V1150" s="773">
        <v>13726</v>
      </c>
      <c r="W1150" s="773" t="s">
        <v>390</v>
      </c>
    </row>
    <row r="1151" spans="1:23">
      <c r="A1151" s="27">
        <v>44773</v>
      </c>
      <c r="B1151" s="773" t="s">
        <v>140</v>
      </c>
      <c r="C1151" s="773">
        <v>630</v>
      </c>
      <c r="D1151" s="773">
        <v>1</v>
      </c>
      <c r="E1151" s="773" t="s">
        <v>410</v>
      </c>
      <c r="S1151" s="27">
        <v>44165</v>
      </c>
      <c r="T1151" s="773" t="s">
        <v>132</v>
      </c>
      <c r="U1151" s="773">
        <v>694</v>
      </c>
      <c r="V1151" s="773">
        <v>1</v>
      </c>
      <c r="W1151" s="773" t="s">
        <v>410</v>
      </c>
    </row>
    <row r="1152" spans="1:23">
      <c r="A1152" s="27">
        <v>44408</v>
      </c>
      <c r="B1152" s="773" t="s">
        <v>140</v>
      </c>
      <c r="C1152" s="773">
        <v>760</v>
      </c>
      <c r="D1152" s="773">
        <v>71</v>
      </c>
      <c r="E1152" s="773" t="s">
        <v>410</v>
      </c>
      <c r="S1152" s="27">
        <v>44530</v>
      </c>
      <c r="T1152" s="773" t="s">
        <v>132</v>
      </c>
      <c r="U1152" s="773">
        <v>297</v>
      </c>
      <c r="V1152" s="773">
        <v>142</v>
      </c>
      <c r="W1152" s="773" t="s">
        <v>390</v>
      </c>
    </row>
    <row r="1153" spans="1:23">
      <c r="A1153" s="27">
        <v>44773</v>
      </c>
      <c r="B1153" s="773" t="s">
        <v>140</v>
      </c>
      <c r="C1153" s="773">
        <v>659</v>
      </c>
      <c r="D1153" s="773">
        <v>671</v>
      </c>
      <c r="E1153" s="773" t="s">
        <v>390</v>
      </c>
      <c r="S1153" s="27">
        <v>44165</v>
      </c>
      <c r="T1153" s="773" t="s">
        <v>132</v>
      </c>
      <c r="U1153" s="773">
        <v>101</v>
      </c>
      <c r="V1153" s="773">
        <v>897</v>
      </c>
      <c r="W1153" s="773" t="s">
        <v>390</v>
      </c>
    </row>
    <row r="1154" spans="1:23">
      <c r="A1154" s="27">
        <v>44408</v>
      </c>
      <c r="B1154" s="773" t="s">
        <v>140</v>
      </c>
      <c r="C1154" s="773">
        <v>640</v>
      </c>
      <c r="D1154" s="773">
        <v>3081</v>
      </c>
      <c r="E1154" s="773" t="s">
        <v>390</v>
      </c>
      <c r="S1154" s="27">
        <v>44165</v>
      </c>
      <c r="T1154" s="773" t="s">
        <v>132</v>
      </c>
      <c r="U1154" s="773">
        <v>75</v>
      </c>
      <c r="V1154" s="773">
        <v>1</v>
      </c>
      <c r="W1154" s="773" t="s">
        <v>410</v>
      </c>
    </row>
    <row r="1155" spans="1:23">
      <c r="A1155" s="27">
        <v>44408</v>
      </c>
      <c r="B1155" s="773" t="s">
        <v>140</v>
      </c>
      <c r="C1155" s="773">
        <v>510</v>
      </c>
      <c r="D1155" s="773">
        <v>942</v>
      </c>
      <c r="E1155" s="773" t="s">
        <v>390</v>
      </c>
      <c r="S1155" s="27">
        <v>44530</v>
      </c>
      <c r="T1155" s="773" t="s">
        <v>132</v>
      </c>
      <c r="U1155" s="773">
        <v>306</v>
      </c>
      <c r="V1155" s="773">
        <v>2276</v>
      </c>
      <c r="W1155" s="773" t="s">
        <v>390</v>
      </c>
    </row>
    <row r="1156" spans="1:23">
      <c r="A1156" s="27">
        <v>44408</v>
      </c>
      <c r="B1156" s="773" t="s">
        <v>140</v>
      </c>
      <c r="C1156" s="773">
        <v>493</v>
      </c>
      <c r="D1156" s="773">
        <v>7</v>
      </c>
      <c r="E1156" s="773" t="s">
        <v>410</v>
      </c>
      <c r="S1156" s="27">
        <v>44530</v>
      </c>
      <c r="T1156" s="773" t="s">
        <v>132</v>
      </c>
      <c r="U1156" s="773">
        <v>267</v>
      </c>
      <c r="V1156" s="773">
        <v>1</v>
      </c>
      <c r="W1156" s="773" t="s">
        <v>410</v>
      </c>
    </row>
    <row r="1157" spans="1:23">
      <c r="A1157" s="27">
        <v>44408</v>
      </c>
      <c r="B1157" s="773" t="s">
        <v>140</v>
      </c>
      <c r="C1157" s="773">
        <v>719</v>
      </c>
      <c r="D1157" s="773">
        <v>10</v>
      </c>
      <c r="E1157" s="773" t="s">
        <v>410</v>
      </c>
      <c r="S1157" s="27">
        <v>44165</v>
      </c>
      <c r="T1157" s="773" t="s">
        <v>132</v>
      </c>
      <c r="U1157" s="773">
        <v>42</v>
      </c>
      <c r="V1157" s="773">
        <v>1</v>
      </c>
      <c r="W1157" s="773" t="s">
        <v>410</v>
      </c>
    </row>
    <row r="1158" spans="1:23">
      <c r="A1158" s="27">
        <v>44773</v>
      </c>
      <c r="B1158" s="773" t="s">
        <v>140</v>
      </c>
      <c r="C1158" s="773">
        <v>453</v>
      </c>
      <c r="D1158" s="773">
        <v>2286</v>
      </c>
      <c r="E1158" s="773" t="s">
        <v>390</v>
      </c>
      <c r="S1158" s="27">
        <v>44530</v>
      </c>
      <c r="T1158" s="773" t="s">
        <v>132</v>
      </c>
      <c r="U1158" s="773">
        <v>318</v>
      </c>
      <c r="V1158" s="773">
        <v>2017</v>
      </c>
      <c r="W1158" s="773" t="s">
        <v>390</v>
      </c>
    </row>
    <row r="1159" spans="1:23">
      <c r="A1159" s="27">
        <v>44773</v>
      </c>
      <c r="B1159" s="773" t="s">
        <v>140</v>
      </c>
      <c r="C1159" s="773">
        <v>640</v>
      </c>
      <c r="D1159" s="773">
        <v>3020</v>
      </c>
      <c r="E1159" s="773" t="s">
        <v>390</v>
      </c>
      <c r="S1159" s="27">
        <v>44530</v>
      </c>
      <c r="T1159" s="773" t="s">
        <v>132</v>
      </c>
      <c r="U1159" s="773">
        <v>102</v>
      </c>
      <c r="V1159" s="773">
        <v>3</v>
      </c>
      <c r="W1159" s="773" t="s">
        <v>410</v>
      </c>
    </row>
    <row r="1160" spans="1:23">
      <c r="A1160" s="27">
        <v>44408</v>
      </c>
      <c r="B1160" s="773" t="s">
        <v>140</v>
      </c>
      <c r="C1160" s="773">
        <v>548</v>
      </c>
      <c r="D1160" s="773">
        <v>550</v>
      </c>
      <c r="E1160" s="773" t="s">
        <v>390</v>
      </c>
      <c r="S1160" s="27">
        <v>44530</v>
      </c>
      <c r="T1160" s="773" t="s">
        <v>132</v>
      </c>
      <c r="U1160" s="773">
        <v>216</v>
      </c>
      <c r="V1160" s="773">
        <v>2046</v>
      </c>
      <c r="W1160" s="773" t="s">
        <v>390</v>
      </c>
    </row>
    <row r="1161" spans="1:23">
      <c r="A1161" s="27">
        <v>44408</v>
      </c>
      <c r="B1161" s="773" t="s">
        <v>140</v>
      </c>
      <c r="C1161" s="773">
        <v>626</v>
      </c>
      <c r="D1161" s="773">
        <v>2503</v>
      </c>
      <c r="E1161" s="773" t="s">
        <v>390</v>
      </c>
      <c r="S1161" s="27">
        <v>44165</v>
      </c>
      <c r="T1161" s="773" t="s">
        <v>132</v>
      </c>
      <c r="U1161" s="773">
        <v>204</v>
      </c>
      <c r="V1161" s="773">
        <v>19</v>
      </c>
      <c r="W1161" s="773" t="s">
        <v>410</v>
      </c>
    </row>
    <row r="1162" spans="1:23">
      <c r="A1162" s="27">
        <v>44408</v>
      </c>
      <c r="B1162" s="773" t="s">
        <v>140</v>
      </c>
      <c r="C1162" s="773">
        <v>691</v>
      </c>
      <c r="D1162" s="773">
        <v>234</v>
      </c>
      <c r="E1162" s="773" t="s">
        <v>390</v>
      </c>
      <c r="S1162" s="27">
        <v>44530</v>
      </c>
      <c r="T1162" s="773" t="s">
        <v>132</v>
      </c>
      <c r="U1162" s="773">
        <v>169</v>
      </c>
      <c r="V1162" s="773">
        <v>2521</v>
      </c>
      <c r="W1162" s="773" t="s">
        <v>390</v>
      </c>
    </row>
    <row r="1163" spans="1:23">
      <c r="A1163" s="27">
        <v>44773</v>
      </c>
      <c r="B1163" s="773" t="s">
        <v>140</v>
      </c>
      <c r="C1163" s="773">
        <v>525</v>
      </c>
      <c r="D1163" s="773">
        <v>1780</v>
      </c>
      <c r="E1163" s="773" t="s">
        <v>390</v>
      </c>
      <c r="S1163" s="27">
        <v>44530</v>
      </c>
      <c r="T1163" s="773" t="s">
        <v>132</v>
      </c>
      <c r="U1163" s="773">
        <v>231</v>
      </c>
      <c r="V1163" s="773">
        <v>4</v>
      </c>
      <c r="W1163" s="773" t="s">
        <v>410</v>
      </c>
    </row>
    <row r="1164" spans="1:23">
      <c r="A1164" s="27">
        <v>44408</v>
      </c>
      <c r="B1164" s="773" t="s">
        <v>140</v>
      </c>
      <c r="C1164" s="773">
        <v>578</v>
      </c>
      <c r="D1164" s="773">
        <v>2652</v>
      </c>
      <c r="E1164" s="773" t="s">
        <v>390</v>
      </c>
      <c r="S1164" s="27">
        <v>44165</v>
      </c>
      <c r="T1164" s="773" t="s">
        <v>132</v>
      </c>
      <c r="U1164" s="773">
        <v>678</v>
      </c>
      <c r="V1164" s="773">
        <v>2689</v>
      </c>
      <c r="W1164" s="773" t="s">
        <v>390</v>
      </c>
    </row>
    <row r="1165" spans="1:23">
      <c r="A1165" s="27">
        <v>44408</v>
      </c>
      <c r="B1165" s="773" t="s">
        <v>140</v>
      </c>
      <c r="C1165" s="773">
        <v>449</v>
      </c>
      <c r="D1165" s="773">
        <v>1884</v>
      </c>
      <c r="E1165" s="773" t="s">
        <v>390</v>
      </c>
      <c r="S1165" s="27">
        <v>44530</v>
      </c>
      <c r="T1165" s="773" t="s">
        <v>132</v>
      </c>
      <c r="U1165" s="773">
        <v>59</v>
      </c>
      <c r="V1165" s="773">
        <v>68</v>
      </c>
      <c r="W1165" s="773" t="s">
        <v>410</v>
      </c>
    </row>
    <row r="1166" spans="1:23">
      <c r="A1166" s="27">
        <v>44408</v>
      </c>
      <c r="B1166" s="773" t="s">
        <v>140</v>
      </c>
      <c r="C1166" s="773">
        <v>674</v>
      </c>
      <c r="D1166" s="773">
        <v>1594</v>
      </c>
      <c r="E1166" s="773" t="s">
        <v>390</v>
      </c>
      <c r="S1166" s="27">
        <v>44530</v>
      </c>
      <c r="T1166" s="773" t="s">
        <v>132</v>
      </c>
      <c r="U1166" s="773">
        <v>72</v>
      </c>
      <c r="V1166" s="773">
        <v>3</v>
      </c>
      <c r="W1166" s="773" t="s">
        <v>410</v>
      </c>
    </row>
    <row r="1167" spans="1:23">
      <c r="A1167" s="27">
        <v>44408</v>
      </c>
      <c r="B1167" s="773" t="s">
        <v>140</v>
      </c>
      <c r="C1167" s="773">
        <v>628</v>
      </c>
      <c r="D1167" s="773">
        <v>1557</v>
      </c>
      <c r="E1167" s="773" t="s">
        <v>390</v>
      </c>
      <c r="S1167" s="27">
        <v>44165</v>
      </c>
      <c r="T1167" s="773" t="s">
        <v>132</v>
      </c>
      <c r="U1167" s="773">
        <v>651</v>
      </c>
      <c r="V1167" s="773">
        <v>72</v>
      </c>
      <c r="W1167" s="773" t="s">
        <v>410</v>
      </c>
    </row>
    <row r="1168" spans="1:23">
      <c r="A1168" s="27">
        <v>44408</v>
      </c>
      <c r="B1168" s="773" t="s">
        <v>140</v>
      </c>
      <c r="C1168" s="773">
        <v>346</v>
      </c>
      <c r="D1168" s="773">
        <v>3</v>
      </c>
      <c r="E1168" s="773" t="s">
        <v>410</v>
      </c>
      <c r="S1168" s="27">
        <v>44165</v>
      </c>
      <c r="T1168" s="773" t="s">
        <v>132</v>
      </c>
      <c r="U1168" s="773">
        <v>63</v>
      </c>
      <c r="V1168" s="773">
        <v>1</v>
      </c>
      <c r="W1168" s="773" t="s">
        <v>410</v>
      </c>
    </row>
    <row r="1169" spans="1:23">
      <c r="A1169" s="27">
        <v>44773</v>
      </c>
      <c r="B1169" s="773" t="s">
        <v>140</v>
      </c>
      <c r="C1169" s="773">
        <v>574</v>
      </c>
      <c r="D1169" s="773">
        <v>2501</v>
      </c>
      <c r="E1169" s="773" t="s">
        <v>390</v>
      </c>
      <c r="S1169" s="27">
        <v>44530</v>
      </c>
      <c r="T1169" s="773" t="s">
        <v>132</v>
      </c>
      <c r="U1169" s="773">
        <v>247</v>
      </c>
      <c r="V1169" s="773">
        <v>2301</v>
      </c>
      <c r="W1169" s="773" t="s">
        <v>390</v>
      </c>
    </row>
    <row r="1170" spans="1:23">
      <c r="A1170" s="27">
        <v>44408</v>
      </c>
      <c r="B1170" s="773" t="s">
        <v>140</v>
      </c>
      <c r="C1170" s="773">
        <v>485</v>
      </c>
      <c r="D1170" s="773">
        <v>1256</v>
      </c>
      <c r="E1170" s="773" t="s">
        <v>390</v>
      </c>
      <c r="S1170" s="27">
        <v>44165</v>
      </c>
      <c r="T1170" s="773" t="s">
        <v>132</v>
      </c>
      <c r="U1170" s="773">
        <v>528</v>
      </c>
      <c r="V1170" s="773">
        <v>46</v>
      </c>
      <c r="W1170" s="773" t="s">
        <v>410</v>
      </c>
    </row>
    <row r="1171" spans="1:23">
      <c r="A1171" s="27">
        <v>44408</v>
      </c>
      <c r="B1171" s="773" t="s">
        <v>140</v>
      </c>
      <c r="C1171" s="773">
        <v>469</v>
      </c>
      <c r="D1171" s="773">
        <v>7</v>
      </c>
      <c r="E1171" s="773" t="s">
        <v>410</v>
      </c>
      <c r="S1171" s="27">
        <v>44165</v>
      </c>
      <c r="T1171" s="773" t="s">
        <v>132</v>
      </c>
      <c r="U1171" s="773">
        <v>315</v>
      </c>
      <c r="V1171" s="773">
        <v>15</v>
      </c>
      <c r="W1171" s="773" t="s">
        <v>410</v>
      </c>
    </row>
    <row r="1172" spans="1:23">
      <c r="A1172" s="27">
        <v>44408</v>
      </c>
      <c r="B1172" s="773" t="s">
        <v>140</v>
      </c>
      <c r="C1172" s="773">
        <v>576</v>
      </c>
      <c r="D1172" s="773">
        <v>251</v>
      </c>
      <c r="E1172" s="773" t="s">
        <v>390</v>
      </c>
      <c r="S1172" s="27">
        <v>44165</v>
      </c>
      <c r="T1172" s="773" t="s">
        <v>132</v>
      </c>
      <c r="U1172" s="773">
        <v>203</v>
      </c>
      <c r="V1172" s="773">
        <v>3141</v>
      </c>
      <c r="W1172" s="773" t="s">
        <v>390</v>
      </c>
    </row>
    <row r="1173" spans="1:23">
      <c r="A1173" s="27">
        <v>44408</v>
      </c>
      <c r="B1173" s="773" t="s">
        <v>140</v>
      </c>
      <c r="C1173" s="773">
        <v>540</v>
      </c>
      <c r="D1173" s="773">
        <v>1</v>
      </c>
      <c r="E1173" s="773" t="s">
        <v>410</v>
      </c>
      <c r="S1173" s="27">
        <v>44165</v>
      </c>
      <c r="T1173" s="773" t="s">
        <v>132</v>
      </c>
      <c r="U1173" s="773">
        <v>669</v>
      </c>
      <c r="V1173" s="773">
        <v>2556</v>
      </c>
      <c r="W1173" s="773" t="s">
        <v>390</v>
      </c>
    </row>
    <row r="1174" spans="1:23">
      <c r="A1174" s="27">
        <v>44773</v>
      </c>
      <c r="B1174" s="773" t="s">
        <v>140</v>
      </c>
      <c r="C1174" s="773">
        <v>449</v>
      </c>
      <c r="D1174" s="773">
        <v>1839</v>
      </c>
      <c r="E1174" s="773" t="s">
        <v>390</v>
      </c>
      <c r="S1174" s="27">
        <v>44165</v>
      </c>
      <c r="T1174" s="773" t="s">
        <v>132</v>
      </c>
      <c r="U1174" s="773">
        <v>308</v>
      </c>
      <c r="V1174" s="773">
        <v>565</v>
      </c>
      <c r="W1174" s="773" t="s">
        <v>390</v>
      </c>
    </row>
    <row r="1175" spans="1:23">
      <c r="A1175" s="27">
        <v>44408</v>
      </c>
      <c r="B1175" s="773" t="s">
        <v>140</v>
      </c>
      <c r="C1175" s="773">
        <v>387</v>
      </c>
      <c r="D1175" s="773">
        <v>8</v>
      </c>
      <c r="E1175" s="773" t="s">
        <v>410</v>
      </c>
      <c r="S1175" s="27">
        <v>44530</v>
      </c>
      <c r="T1175" s="773" t="s">
        <v>132</v>
      </c>
      <c r="U1175" s="773">
        <v>171</v>
      </c>
      <c r="V1175" s="773">
        <v>191</v>
      </c>
      <c r="W1175" s="773" t="s">
        <v>390</v>
      </c>
    </row>
    <row r="1176" spans="1:23">
      <c r="A1176" s="27">
        <v>44408</v>
      </c>
      <c r="B1176" s="773" t="s">
        <v>140</v>
      </c>
      <c r="C1176" s="773">
        <v>739</v>
      </c>
      <c r="D1176" s="773">
        <v>2</v>
      </c>
      <c r="E1176" s="773" t="s">
        <v>410</v>
      </c>
      <c r="S1176" s="27">
        <v>44530</v>
      </c>
      <c r="T1176" s="773" t="s">
        <v>132</v>
      </c>
      <c r="U1176" s="773">
        <v>173</v>
      </c>
      <c r="V1176" s="773">
        <v>2</v>
      </c>
      <c r="W1176" s="773" t="s">
        <v>410</v>
      </c>
    </row>
    <row r="1177" spans="1:23">
      <c r="A1177" s="27">
        <v>44408</v>
      </c>
      <c r="B1177" s="773" t="s">
        <v>140</v>
      </c>
      <c r="C1177" s="773">
        <v>379</v>
      </c>
      <c r="D1177" s="773">
        <v>1</v>
      </c>
      <c r="E1177" s="773" t="s">
        <v>410</v>
      </c>
      <c r="S1177" s="27">
        <v>44530</v>
      </c>
      <c r="T1177" s="773" t="s">
        <v>132</v>
      </c>
      <c r="U1177" s="773">
        <v>48</v>
      </c>
      <c r="V1177" s="773">
        <v>758</v>
      </c>
      <c r="W1177" s="773" t="s">
        <v>390</v>
      </c>
    </row>
    <row r="1178" spans="1:23">
      <c r="A1178" s="27">
        <v>44773</v>
      </c>
      <c r="B1178" s="773" t="s">
        <v>140</v>
      </c>
      <c r="C1178" s="773">
        <v>478</v>
      </c>
      <c r="D1178" s="773">
        <v>2219</v>
      </c>
      <c r="E1178" s="773" t="s">
        <v>390</v>
      </c>
      <c r="S1178" s="27">
        <v>44530</v>
      </c>
      <c r="T1178" s="773" t="s">
        <v>132</v>
      </c>
      <c r="U1178" s="773">
        <v>665</v>
      </c>
      <c r="V1178" s="773">
        <v>2740</v>
      </c>
      <c r="W1178" s="773" t="s">
        <v>390</v>
      </c>
    </row>
    <row r="1179" spans="1:23">
      <c r="A1179" s="27">
        <v>44773</v>
      </c>
      <c r="B1179" s="773" t="s">
        <v>140</v>
      </c>
      <c r="C1179" s="773">
        <v>524</v>
      </c>
      <c r="D1179" s="773">
        <v>1106</v>
      </c>
      <c r="E1179" s="773" t="s">
        <v>390</v>
      </c>
      <c r="S1179" s="27">
        <v>44530</v>
      </c>
      <c r="T1179" s="773" t="s">
        <v>132</v>
      </c>
      <c r="U1179" s="773">
        <v>193</v>
      </c>
      <c r="V1179" s="773">
        <v>433</v>
      </c>
      <c r="W1179" s="773" t="s">
        <v>390</v>
      </c>
    </row>
    <row r="1180" spans="1:23">
      <c r="A1180" s="27">
        <v>44408</v>
      </c>
      <c r="B1180" s="773" t="s">
        <v>140</v>
      </c>
      <c r="C1180" s="773">
        <v>597</v>
      </c>
      <c r="D1180" s="773">
        <v>1133</v>
      </c>
      <c r="E1180" s="773" t="s">
        <v>390</v>
      </c>
      <c r="S1180" s="27">
        <v>44530</v>
      </c>
      <c r="T1180" s="773" t="s">
        <v>132</v>
      </c>
      <c r="U1180" s="773">
        <v>149</v>
      </c>
      <c r="V1180" s="773">
        <v>1</v>
      </c>
      <c r="W1180" s="773" t="s">
        <v>410</v>
      </c>
    </row>
    <row r="1181" spans="1:23">
      <c r="A1181" s="27">
        <v>44773</v>
      </c>
      <c r="B1181" s="773" t="s">
        <v>140</v>
      </c>
      <c r="C1181" s="773">
        <v>469</v>
      </c>
      <c r="D1181" s="773">
        <v>9</v>
      </c>
      <c r="E1181" s="773" t="s">
        <v>410</v>
      </c>
      <c r="S1181" s="27">
        <v>44530</v>
      </c>
      <c r="T1181" s="773" t="s">
        <v>132</v>
      </c>
      <c r="U1181" s="773">
        <v>641</v>
      </c>
      <c r="V1181" s="773">
        <v>2532</v>
      </c>
      <c r="W1181" s="773" t="s">
        <v>390</v>
      </c>
    </row>
    <row r="1182" spans="1:23">
      <c r="A1182" s="27">
        <v>44408</v>
      </c>
      <c r="B1182" s="773" t="s">
        <v>140</v>
      </c>
      <c r="C1182" s="773">
        <v>370</v>
      </c>
      <c r="D1182" s="773">
        <v>1</v>
      </c>
      <c r="E1182" s="773" t="s">
        <v>410</v>
      </c>
      <c r="S1182" s="27">
        <v>44165</v>
      </c>
      <c r="T1182" s="773" t="s">
        <v>132</v>
      </c>
      <c r="U1182" s="773">
        <v>78</v>
      </c>
      <c r="V1182" s="773">
        <v>2</v>
      </c>
      <c r="W1182" s="773" t="s">
        <v>410</v>
      </c>
    </row>
    <row r="1183" spans="1:23">
      <c r="A1183" s="27">
        <v>44773</v>
      </c>
      <c r="B1183" s="773" t="s">
        <v>140</v>
      </c>
      <c r="C1183" s="773">
        <v>558</v>
      </c>
      <c r="D1183" s="773">
        <v>1282</v>
      </c>
      <c r="E1183" s="773" t="s">
        <v>390</v>
      </c>
      <c r="S1183" s="27">
        <v>44530</v>
      </c>
      <c r="T1183" s="773" t="s">
        <v>132</v>
      </c>
      <c r="U1183" s="773">
        <v>262</v>
      </c>
      <c r="V1183" s="773">
        <v>78</v>
      </c>
      <c r="W1183" s="773" t="s">
        <v>410</v>
      </c>
    </row>
    <row r="1184" spans="1:23">
      <c r="A1184" s="27">
        <v>44408</v>
      </c>
      <c r="B1184" s="773" t="s">
        <v>140</v>
      </c>
      <c r="C1184" s="773">
        <v>502</v>
      </c>
      <c r="D1184" s="773">
        <v>2</v>
      </c>
      <c r="E1184" s="773" t="s">
        <v>410</v>
      </c>
      <c r="S1184" s="27">
        <v>44530</v>
      </c>
      <c r="T1184" s="773" t="s">
        <v>132</v>
      </c>
      <c r="U1184" s="773">
        <v>319</v>
      </c>
      <c r="V1184" s="773">
        <v>1918</v>
      </c>
      <c r="W1184" s="773" t="s">
        <v>390</v>
      </c>
    </row>
    <row r="1185" spans="1:23">
      <c r="A1185" s="27">
        <v>44773</v>
      </c>
      <c r="B1185" s="773" t="s">
        <v>140</v>
      </c>
      <c r="C1185" s="773">
        <v>576</v>
      </c>
      <c r="D1185" s="773">
        <v>244</v>
      </c>
      <c r="E1185" s="773" t="s">
        <v>390</v>
      </c>
      <c r="S1185" s="27">
        <v>44530</v>
      </c>
      <c r="T1185" s="773" t="s">
        <v>132</v>
      </c>
      <c r="U1185" s="773">
        <v>164</v>
      </c>
      <c r="V1185" s="773">
        <v>10</v>
      </c>
      <c r="W1185" s="773" t="s">
        <v>410</v>
      </c>
    </row>
    <row r="1186" spans="1:23">
      <c r="A1186" s="27">
        <v>44408</v>
      </c>
      <c r="B1186" s="773" t="s">
        <v>140</v>
      </c>
      <c r="C1186" s="773">
        <v>248</v>
      </c>
      <c r="D1186" s="773">
        <v>459</v>
      </c>
      <c r="E1186" s="773" t="s">
        <v>390</v>
      </c>
      <c r="S1186" s="27">
        <v>44165</v>
      </c>
      <c r="T1186" s="773" t="s">
        <v>132</v>
      </c>
      <c r="U1186" s="773">
        <v>296</v>
      </c>
      <c r="V1186" s="773">
        <v>2336</v>
      </c>
      <c r="W1186" s="773" t="s">
        <v>390</v>
      </c>
    </row>
    <row r="1187" spans="1:23">
      <c r="A1187" s="27">
        <v>44773</v>
      </c>
      <c r="B1187" s="773" t="s">
        <v>140</v>
      </c>
      <c r="C1187" s="773">
        <v>387</v>
      </c>
      <c r="D1187" s="773">
        <v>9</v>
      </c>
      <c r="E1187" s="773" t="s">
        <v>410</v>
      </c>
      <c r="S1187" s="27">
        <v>44165</v>
      </c>
      <c r="T1187" s="773" t="s">
        <v>132</v>
      </c>
      <c r="U1187" s="773">
        <v>238</v>
      </c>
      <c r="V1187" s="773">
        <v>3</v>
      </c>
      <c r="W1187" s="773" t="s">
        <v>410</v>
      </c>
    </row>
    <row r="1188" spans="1:23">
      <c r="A1188" s="27">
        <v>44408</v>
      </c>
      <c r="B1188" s="773" t="s">
        <v>140</v>
      </c>
      <c r="C1188" s="773">
        <v>722</v>
      </c>
      <c r="D1188" s="773">
        <v>1812</v>
      </c>
      <c r="E1188" s="773" t="s">
        <v>390</v>
      </c>
      <c r="S1188" s="27">
        <v>44165</v>
      </c>
      <c r="T1188" s="773" t="s">
        <v>132</v>
      </c>
      <c r="U1188" s="773">
        <v>162</v>
      </c>
      <c r="V1188" s="773">
        <v>2510</v>
      </c>
      <c r="W1188" s="773" t="s">
        <v>390</v>
      </c>
    </row>
    <row r="1189" spans="1:23">
      <c r="A1189" s="27">
        <v>44408</v>
      </c>
      <c r="B1189" s="773" t="s">
        <v>140</v>
      </c>
      <c r="C1189" s="773">
        <v>710</v>
      </c>
      <c r="D1189" s="773">
        <v>2756</v>
      </c>
      <c r="E1189" s="773" t="s">
        <v>390</v>
      </c>
      <c r="S1189" s="27">
        <v>44165</v>
      </c>
      <c r="T1189" s="773" t="s">
        <v>132</v>
      </c>
      <c r="U1189" s="773">
        <v>239</v>
      </c>
      <c r="V1189" s="773">
        <v>3485</v>
      </c>
      <c r="W1189" s="773" t="s">
        <v>390</v>
      </c>
    </row>
    <row r="1190" spans="1:23">
      <c r="A1190" s="27">
        <v>44773</v>
      </c>
      <c r="B1190" s="773" t="s">
        <v>140</v>
      </c>
      <c r="C1190" s="773">
        <v>648</v>
      </c>
      <c r="D1190" s="773">
        <v>1362</v>
      </c>
      <c r="E1190" s="773" t="s">
        <v>390</v>
      </c>
      <c r="S1190" s="27">
        <v>44530</v>
      </c>
      <c r="T1190" s="773" t="s">
        <v>132</v>
      </c>
      <c r="U1190" s="773">
        <v>100</v>
      </c>
      <c r="V1190" s="773">
        <v>3</v>
      </c>
      <c r="W1190" s="773" t="s">
        <v>410</v>
      </c>
    </row>
    <row r="1191" spans="1:23">
      <c r="A1191" s="27">
        <v>44408</v>
      </c>
      <c r="B1191" s="773" t="s">
        <v>140</v>
      </c>
      <c r="C1191" s="773">
        <v>601</v>
      </c>
      <c r="D1191" s="773">
        <v>4</v>
      </c>
      <c r="E1191" s="773" t="s">
        <v>410</v>
      </c>
      <c r="S1191" s="27">
        <v>44530</v>
      </c>
      <c r="T1191" s="773" t="s">
        <v>132</v>
      </c>
      <c r="U1191" s="773">
        <v>241</v>
      </c>
      <c r="V1191" s="773">
        <v>26</v>
      </c>
      <c r="W1191" s="773" t="s">
        <v>410</v>
      </c>
    </row>
    <row r="1192" spans="1:23">
      <c r="A1192" s="27">
        <v>44804</v>
      </c>
      <c r="B1192" s="773" t="s">
        <v>140</v>
      </c>
      <c r="C1192" s="773">
        <v>760</v>
      </c>
      <c r="D1192" s="773">
        <v>96</v>
      </c>
      <c r="E1192" s="773" t="s">
        <v>410</v>
      </c>
      <c r="S1192" s="27">
        <v>44530</v>
      </c>
      <c r="T1192" s="773" t="s">
        <v>132</v>
      </c>
      <c r="U1192" s="773">
        <v>35</v>
      </c>
      <c r="V1192" s="773">
        <v>888</v>
      </c>
      <c r="W1192" s="773" t="s">
        <v>390</v>
      </c>
    </row>
    <row r="1193" spans="1:23">
      <c r="A1193" s="27">
        <v>44804</v>
      </c>
      <c r="B1193" s="773" t="s">
        <v>140</v>
      </c>
      <c r="C1193" s="773">
        <v>648</v>
      </c>
      <c r="D1193" s="773">
        <v>1363</v>
      </c>
      <c r="E1193" s="773" t="s">
        <v>390</v>
      </c>
      <c r="S1193" s="27">
        <v>44530</v>
      </c>
      <c r="T1193" s="773" t="s">
        <v>132</v>
      </c>
      <c r="U1193" s="773">
        <v>83</v>
      </c>
      <c r="V1193" s="773">
        <v>1985</v>
      </c>
      <c r="W1193" s="773" t="s">
        <v>390</v>
      </c>
    </row>
    <row r="1194" spans="1:23">
      <c r="A1194" s="27">
        <v>44439</v>
      </c>
      <c r="B1194" s="773" t="s">
        <v>140</v>
      </c>
      <c r="C1194" s="773">
        <v>279</v>
      </c>
      <c r="D1194" s="773">
        <v>1</v>
      </c>
      <c r="E1194" s="773" t="s">
        <v>410</v>
      </c>
      <c r="S1194" s="27">
        <v>44530</v>
      </c>
      <c r="T1194" s="773" t="s">
        <v>132</v>
      </c>
      <c r="U1194" s="773">
        <v>60</v>
      </c>
      <c r="V1194" s="773">
        <v>1</v>
      </c>
      <c r="W1194" s="773" t="s">
        <v>410</v>
      </c>
    </row>
    <row r="1195" spans="1:23">
      <c r="A1195" s="27">
        <v>44804</v>
      </c>
      <c r="B1195" s="773" t="s">
        <v>140</v>
      </c>
      <c r="C1195" s="773">
        <v>742</v>
      </c>
      <c r="D1195" s="773">
        <v>1</v>
      </c>
      <c r="E1195" s="773" t="s">
        <v>410</v>
      </c>
      <c r="S1195" s="27">
        <v>44165</v>
      </c>
      <c r="T1195" s="773" t="s">
        <v>132</v>
      </c>
      <c r="U1195" s="773">
        <v>312</v>
      </c>
      <c r="V1195" s="773">
        <v>2313</v>
      </c>
      <c r="W1195" s="773" t="s">
        <v>390</v>
      </c>
    </row>
    <row r="1196" spans="1:23">
      <c r="A1196" s="27">
        <v>44804</v>
      </c>
      <c r="B1196" s="773" t="s">
        <v>140</v>
      </c>
      <c r="C1196" s="773">
        <v>493</v>
      </c>
      <c r="D1196" s="773">
        <v>5</v>
      </c>
      <c r="E1196" s="773" t="s">
        <v>410</v>
      </c>
      <c r="S1196" s="27">
        <v>44530</v>
      </c>
      <c r="T1196" s="773" t="s">
        <v>132</v>
      </c>
      <c r="U1196" s="773">
        <v>660</v>
      </c>
      <c r="V1196" s="773">
        <v>4</v>
      </c>
      <c r="W1196" s="773" t="s">
        <v>410</v>
      </c>
    </row>
    <row r="1197" spans="1:23">
      <c r="A1197" s="27">
        <v>44439</v>
      </c>
      <c r="B1197" s="773" t="s">
        <v>140</v>
      </c>
      <c r="C1197" s="773">
        <v>710</v>
      </c>
      <c r="D1197" s="773">
        <v>2745</v>
      </c>
      <c r="E1197" s="773" t="s">
        <v>390</v>
      </c>
      <c r="S1197" s="27">
        <v>44530</v>
      </c>
      <c r="T1197" s="773" t="s">
        <v>132</v>
      </c>
      <c r="U1197" s="773">
        <v>621</v>
      </c>
      <c r="V1197" s="773">
        <v>2206</v>
      </c>
      <c r="W1197" s="773" t="s">
        <v>390</v>
      </c>
    </row>
    <row r="1198" spans="1:23">
      <c r="A1198" s="27">
        <v>44804</v>
      </c>
      <c r="B1198" s="773" t="s">
        <v>140</v>
      </c>
      <c r="C1198" s="773">
        <v>597</v>
      </c>
      <c r="D1198" s="773">
        <v>1201</v>
      </c>
      <c r="E1198" s="773" t="s">
        <v>390</v>
      </c>
      <c r="S1198" s="27">
        <v>44530</v>
      </c>
      <c r="T1198" s="773" t="s">
        <v>132</v>
      </c>
      <c r="U1198" s="773">
        <v>253</v>
      </c>
      <c r="V1198" s="773">
        <v>16</v>
      </c>
      <c r="W1198" s="773" t="s">
        <v>410</v>
      </c>
    </row>
    <row r="1199" spans="1:23">
      <c r="A1199" s="27">
        <v>44439</v>
      </c>
      <c r="B1199" s="773" t="s">
        <v>140</v>
      </c>
      <c r="C1199" s="773">
        <v>758</v>
      </c>
      <c r="D1199" s="773">
        <v>1</v>
      </c>
      <c r="E1199" s="773" t="s">
        <v>410</v>
      </c>
      <c r="S1199" s="27">
        <v>44165</v>
      </c>
      <c r="T1199" s="773" t="s">
        <v>132</v>
      </c>
      <c r="U1199" s="773">
        <v>697</v>
      </c>
      <c r="V1199" s="773">
        <v>83</v>
      </c>
      <c r="W1199" s="773" t="s">
        <v>410</v>
      </c>
    </row>
    <row r="1200" spans="1:23">
      <c r="A1200" s="27">
        <v>44804</v>
      </c>
      <c r="B1200" s="773" t="s">
        <v>140</v>
      </c>
      <c r="C1200" s="773">
        <v>387</v>
      </c>
      <c r="D1200" s="773">
        <v>9</v>
      </c>
      <c r="E1200" s="773" t="s">
        <v>410</v>
      </c>
      <c r="S1200" s="27">
        <v>44530</v>
      </c>
      <c r="T1200" s="773" t="s">
        <v>132</v>
      </c>
      <c r="U1200" s="773">
        <v>326</v>
      </c>
      <c r="V1200" s="773">
        <v>3048</v>
      </c>
      <c r="W1200" s="773" t="s">
        <v>390</v>
      </c>
    </row>
    <row r="1201" spans="1:23">
      <c r="A1201" s="27">
        <v>44804</v>
      </c>
      <c r="B1201" s="773" t="s">
        <v>140</v>
      </c>
      <c r="C1201" s="773">
        <v>338</v>
      </c>
      <c r="D1201" s="773">
        <v>2431</v>
      </c>
      <c r="E1201" s="773" t="s">
        <v>390</v>
      </c>
      <c r="S1201" s="27">
        <v>44530</v>
      </c>
      <c r="T1201" s="773" t="s">
        <v>132</v>
      </c>
      <c r="U1201" s="773">
        <v>342</v>
      </c>
      <c r="V1201" s="773">
        <v>2787</v>
      </c>
      <c r="W1201" s="773" t="s">
        <v>390</v>
      </c>
    </row>
    <row r="1202" spans="1:23">
      <c r="A1202" s="27">
        <v>44439</v>
      </c>
      <c r="B1202" s="773" t="s">
        <v>140</v>
      </c>
      <c r="C1202" s="773">
        <v>705</v>
      </c>
      <c r="D1202" s="773">
        <v>1</v>
      </c>
      <c r="E1202" s="773" t="s">
        <v>410</v>
      </c>
      <c r="S1202" s="27">
        <v>44165</v>
      </c>
      <c r="T1202" s="773" t="s">
        <v>132</v>
      </c>
      <c r="U1202" s="773">
        <v>267</v>
      </c>
      <c r="V1202" s="773">
        <v>1</v>
      </c>
      <c r="W1202" s="773" t="s">
        <v>410</v>
      </c>
    </row>
    <row r="1203" spans="1:23">
      <c r="A1203" s="27">
        <v>44439</v>
      </c>
      <c r="B1203" s="773" t="s">
        <v>140</v>
      </c>
      <c r="C1203" s="773">
        <v>478</v>
      </c>
      <c r="D1203" s="773">
        <v>1998</v>
      </c>
      <c r="E1203" s="773" t="s">
        <v>390</v>
      </c>
      <c r="S1203" s="27">
        <v>44530</v>
      </c>
      <c r="T1203" s="773" t="s">
        <v>132</v>
      </c>
      <c r="U1203" s="773">
        <v>53</v>
      </c>
      <c r="V1203" s="773">
        <v>2</v>
      </c>
      <c r="W1203" s="773" t="s">
        <v>410</v>
      </c>
    </row>
    <row r="1204" spans="1:23">
      <c r="A1204" s="27">
        <v>44439</v>
      </c>
      <c r="B1204" s="773" t="s">
        <v>140</v>
      </c>
      <c r="C1204" s="773">
        <v>370</v>
      </c>
      <c r="D1204" s="773">
        <v>1</v>
      </c>
      <c r="E1204" s="773" t="s">
        <v>410</v>
      </c>
      <c r="S1204" s="27">
        <v>44530</v>
      </c>
      <c r="T1204" s="773" t="s">
        <v>132</v>
      </c>
      <c r="U1204" s="773">
        <v>145</v>
      </c>
      <c r="V1204" s="773">
        <v>2</v>
      </c>
      <c r="W1204" s="773" t="s">
        <v>410</v>
      </c>
    </row>
    <row r="1205" spans="1:23">
      <c r="A1205" s="27">
        <v>44439</v>
      </c>
      <c r="B1205" s="773" t="s">
        <v>140</v>
      </c>
      <c r="C1205" s="773">
        <v>558</v>
      </c>
      <c r="D1205" s="773">
        <v>1264</v>
      </c>
      <c r="E1205" s="773" t="s">
        <v>390</v>
      </c>
      <c r="S1205" s="27">
        <v>44530</v>
      </c>
      <c r="T1205" s="773" t="s">
        <v>132</v>
      </c>
      <c r="U1205" s="773">
        <v>204</v>
      </c>
      <c r="V1205" s="773">
        <v>22</v>
      </c>
      <c r="W1205" s="773" t="s">
        <v>410</v>
      </c>
    </row>
    <row r="1206" spans="1:23">
      <c r="A1206" s="27">
        <v>44804</v>
      </c>
      <c r="B1206" s="773" t="s">
        <v>140</v>
      </c>
      <c r="C1206" s="773">
        <v>485</v>
      </c>
      <c r="D1206" s="773">
        <v>1261</v>
      </c>
      <c r="E1206" s="773" t="s">
        <v>390</v>
      </c>
      <c r="S1206" s="27">
        <v>44165</v>
      </c>
      <c r="T1206" s="773" t="s">
        <v>132</v>
      </c>
      <c r="U1206" s="773">
        <v>140</v>
      </c>
      <c r="V1206" s="773">
        <v>194</v>
      </c>
      <c r="W1206" s="773" t="s">
        <v>390</v>
      </c>
    </row>
    <row r="1207" spans="1:23">
      <c r="A1207" s="27">
        <v>44804</v>
      </c>
      <c r="B1207" s="773" t="s">
        <v>140</v>
      </c>
      <c r="C1207" s="773">
        <v>524</v>
      </c>
      <c r="D1207" s="773">
        <v>1106</v>
      </c>
      <c r="E1207" s="773" t="s">
        <v>390</v>
      </c>
      <c r="S1207" s="27">
        <v>44165</v>
      </c>
      <c r="T1207" s="773" t="s">
        <v>132</v>
      </c>
      <c r="U1207" s="773">
        <v>100</v>
      </c>
      <c r="V1207" s="773">
        <v>4</v>
      </c>
      <c r="W1207" s="773" t="s">
        <v>410</v>
      </c>
    </row>
    <row r="1208" spans="1:23">
      <c r="A1208" s="27">
        <v>44439</v>
      </c>
      <c r="B1208" s="773" t="s">
        <v>140</v>
      </c>
      <c r="C1208" s="773">
        <v>608</v>
      </c>
      <c r="D1208" s="773">
        <v>2660</v>
      </c>
      <c r="E1208" s="773" t="s">
        <v>390</v>
      </c>
      <c r="S1208" s="27">
        <v>44165</v>
      </c>
      <c r="T1208" s="773" t="s">
        <v>132</v>
      </c>
      <c r="U1208" s="773">
        <v>222</v>
      </c>
      <c r="V1208" s="773">
        <v>3</v>
      </c>
      <c r="W1208" s="773" t="s">
        <v>410</v>
      </c>
    </row>
    <row r="1209" spans="1:23">
      <c r="A1209" s="27">
        <v>44439</v>
      </c>
      <c r="B1209" s="773" t="s">
        <v>140</v>
      </c>
      <c r="C1209" s="773">
        <v>502</v>
      </c>
      <c r="D1209" s="773">
        <v>1</v>
      </c>
      <c r="E1209" s="773" t="s">
        <v>410</v>
      </c>
      <c r="S1209" s="27">
        <v>44165</v>
      </c>
      <c r="T1209" s="773" t="s">
        <v>132</v>
      </c>
      <c r="U1209" s="773">
        <v>92</v>
      </c>
      <c r="V1209" s="773">
        <v>2460</v>
      </c>
      <c r="W1209" s="773" t="s">
        <v>390</v>
      </c>
    </row>
    <row r="1210" spans="1:23">
      <c r="A1210" s="27">
        <v>44804</v>
      </c>
      <c r="B1210" s="773" t="s">
        <v>140</v>
      </c>
      <c r="C1210" s="773">
        <v>502</v>
      </c>
      <c r="D1210" s="773">
        <v>455</v>
      </c>
      <c r="E1210" s="773" t="s">
        <v>390</v>
      </c>
      <c r="S1210" s="27">
        <v>44165</v>
      </c>
      <c r="T1210" s="773" t="s">
        <v>132</v>
      </c>
      <c r="U1210" s="773">
        <v>59</v>
      </c>
      <c r="V1210" s="773">
        <v>113</v>
      </c>
      <c r="W1210" s="773" t="s">
        <v>390</v>
      </c>
    </row>
    <row r="1211" spans="1:23">
      <c r="A1211" s="27">
        <v>44804</v>
      </c>
      <c r="B1211" s="773" t="s">
        <v>140</v>
      </c>
      <c r="C1211" s="773">
        <v>732</v>
      </c>
      <c r="D1211" s="773">
        <v>3</v>
      </c>
      <c r="E1211" s="773" t="s">
        <v>410</v>
      </c>
      <c r="S1211" s="27">
        <v>44165</v>
      </c>
      <c r="T1211" s="773" t="s">
        <v>132</v>
      </c>
      <c r="U1211" s="773">
        <v>191</v>
      </c>
      <c r="V1211" s="773">
        <v>2069</v>
      </c>
      <c r="W1211" s="773" t="s">
        <v>390</v>
      </c>
    </row>
    <row r="1212" spans="1:23">
      <c r="A1212" s="27">
        <v>44804</v>
      </c>
      <c r="B1212" s="773" t="s">
        <v>140</v>
      </c>
      <c r="C1212" s="773">
        <v>616</v>
      </c>
      <c r="D1212" s="773">
        <v>1</v>
      </c>
      <c r="E1212" s="773" t="s">
        <v>410</v>
      </c>
      <c r="S1212" s="27">
        <v>44530</v>
      </c>
      <c r="T1212" s="773" t="s">
        <v>132</v>
      </c>
      <c r="U1212" s="773">
        <v>671</v>
      </c>
      <c r="V1212" s="773">
        <v>2203</v>
      </c>
      <c r="W1212" s="773" t="s">
        <v>390</v>
      </c>
    </row>
    <row r="1213" spans="1:23">
      <c r="A1213" s="27">
        <v>44439</v>
      </c>
      <c r="B1213" s="773" t="s">
        <v>140</v>
      </c>
      <c r="C1213" s="773">
        <v>510</v>
      </c>
      <c r="D1213" s="773">
        <v>953</v>
      </c>
      <c r="E1213" s="773" t="s">
        <v>390</v>
      </c>
      <c r="S1213" s="27">
        <v>44530</v>
      </c>
      <c r="T1213" s="773" t="s">
        <v>132</v>
      </c>
      <c r="U1213" s="773">
        <v>61</v>
      </c>
      <c r="V1213" s="773">
        <v>1</v>
      </c>
      <c r="W1213" s="773" t="s">
        <v>410</v>
      </c>
    </row>
    <row r="1214" spans="1:23">
      <c r="A1214" s="27">
        <v>44439</v>
      </c>
      <c r="B1214" s="773" t="s">
        <v>140</v>
      </c>
      <c r="C1214" s="773">
        <v>610</v>
      </c>
      <c r="D1214" s="773">
        <v>2943</v>
      </c>
      <c r="E1214" s="773" t="s">
        <v>390</v>
      </c>
      <c r="S1214" s="27">
        <v>44165</v>
      </c>
      <c r="T1214" s="773" t="s">
        <v>132</v>
      </c>
      <c r="U1214" s="773">
        <v>82</v>
      </c>
      <c r="V1214" s="773">
        <v>2287</v>
      </c>
      <c r="W1214" s="773" t="s">
        <v>390</v>
      </c>
    </row>
    <row r="1215" spans="1:23">
      <c r="A1215" s="27">
        <v>44804</v>
      </c>
      <c r="B1215" s="773" t="s">
        <v>140</v>
      </c>
      <c r="C1215" s="773">
        <v>640</v>
      </c>
      <c r="D1215" s="773">
        <v>3019</v>
      </c>
      <c r="E1215" s="773" t="s">
        <v>390</v>
      </c>
      <c r="S1215" s="27">
        <v>44165</v>
      </c>
      <c r="T1215" s="773" t="s">
        <v>132</v>
      </c>
      <c r="U1215" s="773">
        <v>269</v>
      </c>
      <c r="V1215" s="773">
        <v>1</v>
      </c>
      <c r="W1215" s="773" t="s">
        <v>410</v>
      </c>
    </row>
    <row r="1216" spans="1:23">
      <c r="A1216" s="27">
        <v>44439</v>
      </c>
      <c r="B1216" s="773" t="s">
        <v>140</v>
      </c>
      <c r="C1216" s="773">
        <v>626</v>
      </c>
      <c r="D1216" s="773">
        <v>2485</v>
      </c>
      <c r="E1216" s="773" t="s">
        <v>390</v>
      </c>
      <c r="S1216" s="27">
        <v>44165</v>
      </c>
      <c r="T1216" s="773" t="s">
        <v>132</v>
      </c>
      <c r="U1216" s="773">
        <v>257</v>
      </c>
      <c r="V1216" s="773">
        <v>2615</v>
      </c>
      <c r="W1216" s="773" t="s">
        <v>390</v>
      </c>
    </row>
    <row r="1217" spans="1:23">
      <c r="A1217" s="27">
        <v>44804</v>
      </c>
      <c r="B1217" s="773" t="s">
        <v>140</v>
      </c>
      <c r="C1217" s="773">
        <v>556</v>
      </c>
      <c r="D1217" s="773">
        <v>2711</v>
      </c>
      <c r="E1217" s="773" t="s">
        <v>390</v>
      </c>
      <c r="S1217" s="27">
        <v>44165</v>
      </c>
      <c r="T1217" s="773" t="s">
        <v>132</v>
      </c>
      <c r="U1217" s="773">
        <v>1</v>
      </c>
      <c r="V1217" s="773">
        <v>1</v>
      </c>
      <c r="W1217" s="773" t="s">
        <v>410</v>
      </c>
    </row>
    <row r="1218" spans="1:23">
      <c r="A1218" s="27">
        <v>44804</v>
      </c>
      <c r="B1218" s="773" t="s">
        <v>140</v>
      </c>
      <c r="C1218" s="773">
        <v>628</v>
      </c>
      <c r="D1218" s="773">
        <v>1625</v>
      </c>
      <c r="E1218" s="773" t="s">
        <v>390</v>
      </c>
      <c r="S1218" s="27">
        <v>44530</v>
      </c>
      <c r="T1218" s="773" t="s">
        <v>132</v>
      </c>
      <c r="U1218" s="773">
        <v>183</v>
      </c>
      <c r="V1218" s="773">
        <v>2178</v>
      </c>
      <c r="W1218" s="773" t="s">
        <v>390</v>
      </c>
    </row>
    <row r="1219" spans="1:23">
      <c r="A1219" s="27">
        <v>44439</v>
      </c>
      <c r="B1219" s="773" t="s">
        <v>140</v>
      </c>
      <c r="C1219" s="773">
        <v>540</v>
      </c>
      <c r="D1219" s="773">
        <v>1</v>
      </c>
      <c r="E1219" s="773" t="s">
        <v>410</v>
      </c>
      <c r="S1219" s="27">
        <v>44165</v>
      </c>
      <c r="T1219" s="773" t="s">
        <v>132</v>
      </c>
      <c r="U1219" s="773">
        <v>139</v>
      </c>
      <c r="V1219" s="773">
        <v>2801</v>
      </c>
      <c r="W1219" s="773" t="s">
        <v>390</v>
      </c>
    </row>
    <row r="1220" spans="1:23">
      <c r="A1220" s="27">
        <v>44439</v>
      </c>
      <c r="B1220" s="773" t="s">
        <v>140</v>
      </c>
      <c r="C1220" s="773">
        <v>449</v>
      </c>
      <c r="D1220" s="773">
        <v>1878</v>
      </c>
      <c r="E1220" s="773" t="s">
        <v>390</v>
      </c>
      <c r="S1220" s="27">
        <v>44165</v>
      </c>
      <c r="T1220" s="773" t="s">
        <v>132</v>
      </c>
      <c r="U1220" s="773">
        <v>56</v>
      </c>
      <c r="V1220" s="773">
        <v>51</v>
      </c>
      <c r="W1220" s="773" t="s">
        <v>410</v>
      </c>
    </row>
    <row r="1221" spans="1:23">
      <c r="A1221" s="27">
        <v>44439</v>
      </c>
      <c r="B1221" s="773" t="s">
        <v>140</v>
      </c>
      <c r="C1221" s="773">
        <v>587</v>
      </c>
      <c r="D1221" s="773">
        <v>1</v>
      </c>
      <c r="E1221" s="773" t="s">
        <v>410</v>
      </c>
      <c r="S1221" s="27">
        <v>44165</v>
      </c>
      <c r="T1221" s="773" t="s">
        <v>132</v>
      </c>
      <c r="U1221" s="773">
        <v>41</v>
      </c>
      <c r="V1221" s="773">
        <v>1</v>
      </c>
      <c r="W1221" s="773" t="s">
        <v>410</v>
      </c>
    </row>
    <row r="1222" spans="1:23">
      <c r="A1222" s="27">
        <v>44804</v>
      </c>
      <c r="B1222" s="773" t="s">
        <v>140</v>
      </c>
      <c r="C1222" s="773">
        <v>279</v>
      </c>
      <c r="D1222" s="773">
        <v>1</v>
      </c>
      <c r="E1222" s="773" t="s">
        <v>410</v>
      </c>
      <c r="S1222" s="27">
        <v>44530</v>
      </c>
      <c r="T1222" s="773" t="s">
        <v>132</v>
      </c>
      <c r="U1222" s="773">
        <v>14</v>
      </c>
      <c r="V1222" s="773">
        <v>1</v>
      </c>
      <c r="W1222" s="773" t="s">
        <v>410</v>
      </c>
    </row>
    <row r="1223" spans="1:23">
      <c r="A1223" s="27">
        <v>44439</v>
      </c>
      <c r="B1223" s="773" t="s">
        <v>140</v>
      </c>
      <c r="C1223" s="773">
        <v>585</v>
      </c>
      <c r="D1223" s="773">
        <v>2279</v>
      </c>
      <c r="E1223" s="773" t="s">
        <v>390</v>
      </c>
      <c r="S1223" s="27">
        <v>44165</v>
      </c>
      <c r="T1223" s="773" t="s">
        <v>132</v>
      </c>
      <c r="U1223" s="773">
        <v>11</v>
      </c>
      <c r="V1223" s="773">
        <v>31</v>
      </c>
      <c r="W1223" s="773" t="s">
        <v>410</v>
      </c>
    </row>
    <row r="1224" spans="1:23">
      <c r="A1224" s="27">
        <v>44804</v>
      </c>
      <c r="B1224" s="773" t="s">
        <v>140</v>
      </c>
      <c r="C1224" s="773">
        <v>576</v>
      </c>
      <c r="D1224" s="773">
        <v>245</v>
      </c>
      <c r="E1224" s="773" t="s">
        <v>390</v>
      </c>
      <c r="S1224" s="27">
        <v>44165</v>
      </c>
      <c r="T1224" s="773" t="s">
        <v>132</v>
      </c>
      <c r="U1224" s="773">
        <v>679</v>
      </c>
      <c r="V1224" s="773">
        <v>2598</v>
      </c>
      <c r="W1224" s="773" t="s">
        <v>390</v>
      </c>
    </row>
    <row r="1225" spans="1:23">
      <c r="A1225" s="27">
        <v>44439</v>
      </c>
      <c r="B1225" s="773" t="s">
        <v>140</v>
      </c>
      <c r="C1225" s="773">
        <v>712</v>
      </c>
      <c r="D1225" s="773">
        <v>1</v>
      </c>
      <c r="E1225" s="773" t="s">
        <v>410</v>
      </c>
      <c r="S1225" s="27">
        <v>44530</v>
      </c>
      <c r="T1225" s="773" t="s">
        <v>132</v>
      </c>
      <c r="U1225" s="773">
        <v>672</v>
      </c>
      <c r="V1225" s="773">
        <v>2364</v>
      </c>
      <c r="W1225" s="773" t="s">
        <v>390</v>
      </c>
    </row>
    <row r="1226" spans="1:23">
      <c r="A1226" s="27">
        <v>44439</v>
      </c>
      <c r="B1226" s="773" t="s">
        <v>140</v>
      </c>
      <c r="C1226" s="773">
        <v>548</v>
      </c>
      <c r="D1226" s="773">
        <v>544</v>
      </c>
      <c r="E1226" s="773" t="s">
        <v>390</v>
      </c>
      <c r="S1226" s="27">
        <v>44530</v>
      </c>
      <c r="T1226" s="773" t="s">
        <v>132</v>
      </c>
      <c r="U1226" s="773">
        <v>159</v>
      </c>
      <c r="V1226" s="773">
        <v>20</v>
      </c>
      <c r="W1226" s="773" t="s">
        <v>410</v>
      </c>
    </row>
    <row r="1227" spans="1:23">
      <c r="A1227" s="27">
        <v>44439</v>
      </c>
      <c r="B1227" s="773" t="s">
        <v>140</v>
      </c>
      <c r="C1227" s="773">
        <v>760</v>
      </c>
      <c r="D1227" s="773">
        <v>71</v>
      </c>
      <c r="E1227" s="773" t="s">
        <v>410</v>
      </c>
      <c r="S1227" s="27">
        <v>44165</v>
      </c>
      <c r="T1227" s="773" t="s">
        <v>132</v>
      </c>
      <c r="U1227" s="773">
        <v>275</v>
      </c>
      <c r="V1227" s="773">
        <v>1337</v>
      </c>
      <c r="W1227" s="773" t="s">
        <v>390</v>
      </c>
    </row>
    <row r="1228" spans="1:23">
      <c r="A1228" s="27">
        <v>44804</v>
      </c>
      <c r="B1228" s="773" t="s">
        <v>140</v>
      </c>
      <c r="C1228" s="773">
        <v>510</v>
      </c>
      <c r="D1228" s="773">
        <v>877</v>
      </c>
      <c r="E1228" s="773" t="s">
        <v>390</v>
      </c>
      <c r="S1228" s="27">
        <v>44165</v>
      </c>
      <c r="T1228" s="773" t="s">
        <v>132</v>
      </c>
      <c r="U1228" s="773">
        <v>686</v>
      </c>
      <c r="V1228" s="773">
        <v>2422</v>
      </c>
      <c r="W1228" s="773" t="s">
        <v>390</v>
      </c>
    </row>
    <row r="1229" spans="1:23">
      <c r="A1229" s="27">
        <v>44439</v>
      </c>
      <c r="B1229" s="773" t="s">
        <v>140</v>
      </c>
      <c r="C1229" s="773">
        <v>578</v>
      </c>
      <c r="D1229" s="773">
        <v>2654</v>
      </c>
      <c r="E1229" s="773" t="s">
        <v>390</v>
      </c>
      <c r="S1229" s="27">
        <v>44530</v>
      </c>
      <c r="T1229" s="773" t="s">
        <v>132</v>
      </c>
      <c r="U1229" s="773">
        <v>200</v>
      </c>
      <c r="V1229" s="773">
        <v>3</v>
      </c>
      <c r="W1229" s="773" t="s">
        <v>410</v>
      </c>
    </row>
    <row r="1230" spans="1:23">
      <c r="A1230" s="27">
        <v>44804</v>
      </c>
      <c r="B1230" s="773" t="s">
        <v>140</v>
      </c>
      <c r="C1230" s="773">
        <v>722</v>
      </c>
      <c r="D1230" s="773">
        <v>1901</v>
      </c>
      <c r="E1230" s="773" t="s">
        <v>390</v>
      </c>
      <c r="S1230" s="27">
        <v>44165</v>
      </c>
      <c r="T1230" s="773" t="s">
        <v>132</v>
      </c>
      <c r="U1230" s="773">
        <v>309</v>
      </c>
      <c r="V1230" s="773">
        <v>3</v>
      </c>
      <c r="W1230" s="773" t="s">
        <v>410</v>
      </c>
    </row>
    <row r="1231" spans="1:23">
      <c r="A1231" s="27">
        <v>44439</v>
      </c>
      <c r="B1231" s="773" t="s">
        <v>140</v>
      </c>
      <c r="C1231" s="773">
        <v>597</v>
      </c>
      <c r="D1231" s="773">
        <v>1139</v>
      </c>
      <c r="E1231" s="773" t="s">
        <v>390</v>
      </c>
      <c r="S1231" s="27">
        <v>44165</v>
      </c>
      <c r="T1231" s="773" t="s">
        <v>132</v>
      </c>
      <c r="U1231" s="773">
        <v>93</v>
      </c>
      <c r="V1231" s="773">
        <v>14949</v>
      </c>
      <c r="W1231" s="773" t="s">
        <v>390</v>
      </c>
    </row>
    <row r="1232" spans="1:23">
      <c r="A1232" s="27">
        <v>44804</v>
      </c>
      <c r="B1232" s="773" t="s">
        <v>140</v>
      </c>
      <c r="C1232" s="773">
        <v>659</v>
      </c>
      <c r="D1232" s="773">
        <v>695</v>
      </c>
      <c r="E1232" s="773" t="s">
        <v>390</v>
      </c>
      <c r="S1232" s="27">
        <v>44530</v>
      </c>
      <c r="T1232" s="773" t="s">
        <v>132</v>
      </c>
      <c r="U1232" s="773">
        <v>203</v>
      </c>
      <c r="V1232" s="773">
        <v>3208</v>
      </c>
      <c r="W1232" s="773" t="s">
        <v>390</v>
      </c>
    </row>
    <row r="1233" spans="1:23">
      <c r="A1233" s="27">
        <v>44804</v>
      </c>
      <c r="B1233" s="773" t="s">
        <v>140</v>
      </c>
      <c r="C1233" s="773">
        <v>582</v>
      </c>
      <c r="D1233" s="773">
        <v>2263</v>
      </c>
      <c r="E1233" s="773" t="s">
        <v>390</v>
      </c>
      <c r="S1233" s="27">
        <v>44530</v>
      </c>
      <c r="T1233" s="773" t="s">
        <v>132</v>
      </c>
      <c r="U1233" s="773">
        <v>89</v>
      </c>
      <c r="V1233" s="773">
        <v>1146</v>
      </c>
      <c r="W1233" s="773" t="s">
        <v>390</v>
      </c>
    </row>
    <row r="1234" spans="1:23">
      <c r="A1234" s="27">
        <v>44804</v>
      </c>
      <c r="B1234" s="773" t="s">
        <v>140</v>
      </c>
      <c r="C1234" s="773">
        <v>626</v>
      </c>
      <c r="D1234" s="773">
        <v>3128</v>
      </c>
      <c r="E1234" s="773" t="s">
        <v>390</v>
      </c>
      <c r="S1234" s="27">
        <v>44530</v>
      </c>
      <c r="T1234" s="773" t="s">
        <v>132</v>
      </c>
      <c r="U1234" s="773">
        <v>322</v>
      </c>
      <c r="V1234" s="773">
        <v>2063</v>
      </c>
      <c r="W1234" s="773" t="s">
        <v>390</v>
      </c>
    </row>
    <row r="1235" spans="1:23">
      <c r="A1235" s="27">
        <v>44439</v>
      </c>
      <c r="B1235" s="773" t="s">
        <v>140</v>
      </c>
      <c r="C1235" s="773">
        <v>524</v>
      </c>
      <c r="D1235" s="773">
        <v>1135</v>
      </c>
      <c r="E1235" s="773" t="s">
        <v>390</v>
      </c>
      <c r="S1235" s="27">
        <v>44530</v>
      </c>
      <c r="T1235" s="773" t="s">
        <v>132</v>
      </c>
      <c r="U1235" s="773">
        <v>93</v>
      </c>
      <c r="V1235" s="773">
        <v>8187</v>
      </c>
      <c r="W1235" s="773" t="s">
        <v>390</v>
      </c>
    </row>
    <row r="1236" spans="1:23">
      <c r="A1236" s="27">
        <v>44804</v>
      </c>
      <c r="B1236" s="773" t="s">
        <v>140</v>
      </c>
      <c r="C1236" s="773">
        <v>469</v>
      </c>
      <c r="D1236" s="773">
        <v>18</v>
      </c>
      <c r="E1236" s="773" t="s">
        <v>410</v>
      </c>
      <c r="S1236" s="27">
        <v>44530</v>
      </c>
      <c r="T1236" s="773" t="s">
        <v>132</v>
      </c>
      <c r="U1236" s="773">
        <v>699</v>
      </c>
      <c r="V1236" s="773">
        <v>2194</v>
      </c>
      <c r="W1236" s="773" t="s">
        <v>390</v>
      </c>
    </row>
    <row r="1237" spans="1:23">
      <c r="A1237" s="27">
        <v>44804</v>
      </c>
      <c r="B1237" s="773" t="s">
        <v>140</v>
      </c>
      <c r="C1237" s="773">
        <v>383</v>
      </c>
      <c r="D1237" s="773">
        <v>1</v>
      </c>
      <c r="E1237" s="773" t="s">
        <v>410</v>
      </c>
      <c r="S1237" s="27">
        <v>44165</v>
      </c>
      <c r="T1237" s="773" t="s">
        <v>132</v>
      </c>
      <c r="U1237" s="773">
        <v>295</v>
      </c>
      <c r="V1237" s="773">
        <v>3</v>
      </c>
      <c r="W1237" s="773" t="s">
        <v>410</v>
      </c>
    </row>
    <row r="1238" spans="1:23">
      <c r="A1238" s="27">
        <v>44804</v>
      </c>
      <c r="B1238" s="773" t="s">
        <v>140</v>
      </c>
      <c r="C1238" s="773">
        <v>678</v>
      </c>
      <c r="D1238" s="773">
        <v>1</v>
      </c>
      <c r="E1238" s="773" t="s">
        <v>410</v>
      </c>
      <c r="S1238" s="27">
        <v>44530</v>
      </c>
      <c r="T1238" s="773" t="s">
        <v>132</v>
      </c>
      <c r="U1238" s="773">
        <v>76</v>
      </c>
      <c r="V1238" s="773">
        <v>2952</v>
      </c>
      <c r="W1238" s="773" t="s">
        <v>390</v>
      </c>
    </row>
    <row r="1239" spans="1:23">
      <c r="A1239" s="27">
        <v>44439</v>
      </c>
      <c r="B1239" s="773" t="s">
        <v>140</v>
      </c>
      <c r="C1239" s="773">
        <v>387</v>
      </c>
      <c r="D1239" s="773">
        <v>8</v>
      </c>
      <c r="E1239" s="773" t="s">
        <v>410</v>
      </c>
      <c r="S1239" s="27">
        <v>44530</v>
      </c>
      <c r="T1239" s="773" t="s">
        <v>132</v>
      </c>
      <c r="U1239" s="773">
        <v>222</v>
      </c>
      <c r="V1239" s="773">
        <v>2</v>
      </c>
      <c r="W1239" s="773" t="s">
        <v>410</v>
      </c>
    </row>
    <row r="1240" spans="1:23">
      <c r="A1240" s="27">
        <v>44439</v>
      </c>
      <c r="B1240" s="773" t="s">
        <v>140</v>
      </c>
      <c r="C1240" s="773">
        <v>722</v>
      </c>
      <c r="D1240" s="773">
        <v>1809</v>
      </c>
      <c r="E1240" s="773" t="s">
        <v>390</v>
      </c>
      <c r="S1240" s="27">
        <v>44165</v>
      </c>
      <c r="T1240" s="773" t="s">
        <v>132</v>
      </c>
      <c r="U1240" s="773">
        <v>231</v>
      </c>
      <c r="V1240" s="773">
        <v>5</v>
      </c>
      <c r="W1240" s="773" t="s">
        <v>410</v>
      </c>
    </row>
    <row r="1241" spans="1:23">
      <c r="A1241" s="27">
        <v>44439</v>
      </c>
      <c r="B1241" s="773" t="s">
        <v>140</v>
      </c>
      <c r="C1241" s="773">
        <v>640</v>
      </c>
      <c r="D1241" s="773">
        <v>3057</v>
      </c>
      <c r="E1241" s="773" t="s">
        <v>390</v>
      </c>
      <c r="S1241" s="27">
        <v>44530</v>
      </c>
      <c r="T1241" s="773" t="s">
        <v>132</v>
      </c>
      <c r="U1241" s="773">
        <v>132</v>
      </c>
      <c r="V1241" s="773">
        <v>2923</v>
      </c>
      <c r="W1241" s="773" t="s">
        <v>390</v>
      </c>
    </row>
    <row r="1242" spans="1:23">
      <c r="A1242" s="27">
        <v>44439</v>
      </c>
      <c r="B1242" s="773" t="s">
        <v>140</v>
      </c>
      <c r="C1242" s="773">
        <v>678</v>
      </c>
      <c r="D1242" s="773">
        <v>2298</v>
      </c>
      <c r="E1242" s="773" t="s">
        <v>390</v>
      </c>
      <c r="S1242" s="27">
        <v>44530</v>
      </c>
      <c r="T1242" s="773" t="s">
        <v>132</v>
      </c>
      <c r="U1242" s="773">
        <v>73</v>
      </c>
      <c r="V1242" s="773">
        <v>2</v>
      </c>
      <c r="W1242" s="773" t="s">
        <v>410</v>
      </c>
    </row>
    <row r="1243" spans="1:23">
      <c r="A1243" s="27">
        <v>44439</v>
      </c>
      <c r="B1243" s="773" t="s">
        <v>140</v>
      </c>
      <c r="C1243" s="773">
        <v>0</v>
      </c>
      <c r="D1243" s="773">
        <v>8</v>
      </c>
      <c r="E1243" s="773" t="s">
        <v>410</v>
      </c>
      <c r="S1243" s="27">
        <v>44165</v>
      </c>
      <c r="T1243" s="773" t="s">
        <v>132</v>
      </c>
      <c r="U1243" s="773">
        <v>292</v>
      </c>
      <c r="V1243" s="773">
        <v>8</v>
      </c>
      <c r="W1243" s="773" t="s">
        <v>410</v>
      </c>
    </row>
    <row r="1244" spans="1:23">
      <c r="A1244" s="27">
        <v>44804</v>
      </c>
      <c r="B1244" s="773" t="s">
        <v>140</v>
      </c>
      <c r="C1244" s="773">
        <v>601</v>
      </c>
      <c r="D1244" s="773">
        <v>3</v>
      </c>
      <c r="E1244" s="773" t="s">
        <v>410</v>
      </c>
      <c r="S1244" s="27">
        <v>44530</v>
      </c>
      <c r="T1244" s="773" t="s">
        <v>132</v>
      </c>
      <c r="U1244" s="773">
        <v>256</v>
      </c>
      <c r="V1244" s="773">
        <v>715</v>
      </c>
      <c r="W1244" s="773" t="s">
        <v>390</v>
      </c>
    </row>
    <row r="1245" spans="1:23">
      <c r="A1245" s="27">
        <v>44804</v>
      </c>
      <c r="B1245" s="773" t="s">
        <v>140</v>
      </c>
      <c r="C1245" s="773">
        <v>248</v>
      </c>
      <c r="D1245" s="773">
        <v>493</v>
      </c>
      <c r="E1245" s="773" t="s">
        <v>390</v>
      </c>
      <c r="S1245" s="27">
        <v>44165</v>
      </c>
      <c r="T1245" s="773" t="s">
        <v>132</v>
      </c>
      <c r="U1245" s="773">
        <v>116</v>
      </c>
      <c r="V1245" s="773">
        <v>3</v>
      </c>
      <c r="W1245" s="773" t="s">
        <v>410</v>
      </c>
    </row>
    <row r="1246" spans="1:23">
      <c r="A1246" s="27">
        <v>44804</v>
      </c>
      <c r="B1246" s="773" t="s">
        <v>140</v>
      </c>
      <c r="C1246" s="773">
        <v>650</v>
      </c>
      <c r="D1246" s="773">
        <v>2352</v>
      </c>
      <c r="E1246" s="773" t="s">
        <v>390</v>
      </c>
      <c r="S1246" s="27">
        <v>44530</v>
      </c>
      <c r="T1246" s="773" t="s">
        <v>132</v>
      </c>
      <c r="U1246" s="773">
        <v>679</v>
      </c>
      <c r="V1246" s="773">
        <v>3</v>
      </c>
      <c r="W1246" s="773" t="s">
        <v>410</v>
      </c>
    </row>
    <row r="1247" spans="1:23">
      <c r="A1247" s="27">
        <v>44804</v>
      </c>
      <c r="B1247" s="773" t="s">
        <v>140</v>
      </c>
      <c r="C1247" s="773">
        <v>478</v>
      </c>
      <c r="D1247" s="773">
        <v>2210</v>
      </c>
      <c r="E1247" s="773" t="s">
        <v>390</v>
      </c>
      <c r="S1247" s="27">
        <v>44165</v>
      </c>
      <c r="T1247" s="773" t="s">
        <v>132</v>
      </c>
      <c r="U1247" s="773">
        <v>272</v>
      </c>
      <c r="V1247" s="773">
        <v>1</v>
      </c>
      <c r="W1247" s="773" t="s">
        <v>410</v>
      </c>
    </row>
    <row r="1248" spans="1:23">
      <c r="A1248" s="27">
        <v>44439</v>
      </c>
      <c r="B1248" s="773" t="s">
        <v>140</v>
      </c>
      <c r="C1248" s="773">
        <v>659</v>
      </c>
      <c r="D1248" s="773">
        <v>658</v>
      </c>
      <c r="E1248" s="773" t="s">
        <v>390</v>
      </c>
      <c r="S1248" s="27">
        <v>44530</v>
      </c>
      <c r="T1248" s="773" t="s">
        <v>132</v>
      </c>
      <c r="U1248" s="773">
        <v>276</v>
      </c>
      <c r="V1248" s="773">
        <v>1</v>
      </c>
      <c r="W1248" s="773" t="s">
        <v>410</v>
      </c>
    </row>
    <row r="1249" spans="1:23">
      <c r="A1249" s="27">
        <v>44804</v>
      </c>
      <c r="B1249" s="773" t="s">
        <v>140</v>
      </c>
      <c r="C1249" s="773">
        <v>0</v>
      </c>
      <c r="D1249" s="773">
        <v>7</v>
      </c>
      <c r="E1249" s="773" t="s">
        <v>410</v>
      </c>
      <c r="S1249" s="27">
        <v>44530</v>
      </c>
      <c r="T1249" s="773" t="s">
        <v>132</v>
      </c>
      <c r="U1249" s="773">
        <v>81</v>
      </c>
      <c r="V1249" s="773">
        <v>3</v>
      </c>
      <c r="W1249" s="773" t="s">
        <v>410</v>
      </c>
    </row>
    <row r="1250" spans="1:23">
      <c r="A1250" s="27">
        <v>44804</v>
      </c>
      <c r="B1250" s="773" t="s">
        <v>140</v>
      </c>
      <c r="C1250" s="773">
        <v>548</v>
      </c>
      <c r="D1250" s="773">
        <v>578</v>
      </c>
      <c r="E1250" s="773" t="s">
        <v>390</v>
      </c>
      <c r="S1250" s="27">
        <v>44165</v>
      </c>
      <c r="T1250" s="773" t="s">
        <v>132</v>
      </c>
      <c r="U1250" s="773">
        <v>279</v>
      </c>
      <c r="V1250" s="773">
        <v>2466</v>
      </c>
      <c r="W1250" s="773" t="s">
        <v>390</v>
      </c>
    </row>
    <row r="1251" spans="1:23">
      <c r="A1251" s="27">
        <v>44804</v>
      </c>
      <c r="B1251" s="773" t="s">
        <v>140</v>
      </c>
      <c r="C1251" s="773">
        <v>639</v>
      </c>
      <c r="D1251" s="773">
        <v>113</v>
      </c>
      <c r="E1251" s="773" t="s">
        <v>390</v>
      </c>
      <c r="S1251" s="27">
        <v>44165</v>
      </c>
      <c r="T1251" s="773" t="s">
        <v>132</v>
      </c>
      <c r="U1251" s="773">
        <v>13</v>
      </c>
      <c r="V1251" s="773">
        <v>4747</v>
      </c>
      <c r="W1251" s="773" t="s">
        <v>390</v>
      </c>
    </row>
    <row r="1252" spans="1:23">
      <c r="A1252" s="27">
        <v>44439</v>
      </c>
      <c r="B1252" s="773" t="s">
        <v>140</v>
      </c>
      <c r="C1252" s="773">
        <v>740</v>
      </c>
      <c r="D1252" s="773">
        <v>36</v>
      </c>
      <c r="E1252" s="773" t="s">
        <v>410</v>
      </c>
      <c r="S1252" s="27">
        <v>44165</v>
      </c>
      <c r="T1252" s="773" t="s">
        <v>132</v>
      </c>
      <c r="U1252" s="773">
        <v>188</v>
      </c>
      <c r="V1252" s="773">
        <v>507</v>
      </c>
      <c r="W1252" s="773" t="s">
        <v>390</v>
      </c>
    </row>
    <row r="1253" spans="1:23">
      <c r="A1253" s="27">
        <v>44804</v>
      </c>
      <c r="B1253" s="773" t="s">
        <v>140</v>
      </c>
      <c r="C1253" s="773">
        <v>525</v>
      </c>
      <c r="D1253" s="773">
        <v>1819</v>
      </c>
      <c r="E1253" s="773" t="s">
        <v>390</v>
      </c>
      <c r="S1253" s="27">
        <v>44165</v>
      </c>
      <c r="T1253" s="773" t="s">
        <v>132</v>
      </c>
      <c r="U1253" s="773">
        <v>251</v>
      </c>
      <c r="V1253" s="773">
        <v>2503</v>
      </c>
      <c r="W1253" s="773" t="s">
        <v>390</v>
      </c>
    </row>
    <row r="1254" spans="1:23">
      <c r="A1254" s="27">
        <v>44439</v>
      </c>
      <c r="B1254" s="773" t="s">
        <v>140</v>
      </c>
      <c r="C1254" s="773">
        <v>739</v>
      </c>
      <c r="D1254" s="773">
        <v>2</v>
      </c>
      <c r="E1254" s="773" t="s">
        <v>410</v>
      </c>
      <c r="S1254" s="27">
        <v>44165</v>
      </c>
      <c r="T1254" s="773" t="s">
        <v>132</v>
      </c>
      <c r="U1254" s="773">
        <v>169</v>
      </c>
      <c r="V1254" s="773">
        <v>2589</v>
      </c>
      <c r="W1254" s="773" t="s">
        <v>390</v>
      </c>
    </row>
    <row r="1255" spans="1:23">
      <c r="A1255" s="27">
        <v>44804</v>
      </c>
      <c r="B1255" s="773" t="s">
        <v>140</v>
      </c>
      <c r="C1255" s="773">
        <v>530</v>
      </c>
      <c r="D1255" s="773">
        <v>1</v>
      </c>
      <c r="E1255" s="773" t="s">
        <v>410</v>
      </c>
      <c r="S1255" s="27">
        <v>44165</v>
      </c>
      <c r="T1255" s="773" t="s">
        <v>132</v>
      </c>
      <c r="U1255" s="773">
        <v>670</v>
      </c>
      <c r="V1255" s="773">
        <v>3521</v>
      </c>
      <c r="W1255" s="773" t="s">
        <v>390</v>
      </c>
    </row>
    <row r="1256" spans="1:23">
      <c r="A1256" s="27">
        <v>44439</v>
      </c>
      <c r="B1256" s="773" t="s">
        <v>140</v>
      </c>
      <c r="C1256" s="773">
        <v>639</v>
      </c>
      <c r="D1256" s="773">
        <v>82</v>
      </c>
      <c r="E1256" s="773" t="s">
        <v>410</v>
      </c>
      <c r="S1256" s="27">
        <v>44530</v>
      </c>
      <c r="T1256" s="773" t="s">
        <v>132</v>
      </c>
      <c r="U1256" s="773">
        <v>662</v>
      </c>
      <c r="V1256" s="773">
        <v>857</v>
      </c>
      <c r="W1256" s="773" t="s">
        <v>390</v>
      </c>
    </row>
    <row r="1257" spans="1:23">
      <c r="A1257" s="27">
        <v>44439</v>
      </c>
      <c r="B1257" s="773" t="s">
        <v>140</v>
      </c>
      <c r="C1257" s="773">
        <v>582</v>
      </c>
      <c r="D1257" s="773">
        <v>2254</v>
      </c>
      <c r="E1257" s="773" t="s">
        <v>390</v>
      </c>
      <c r="S1257" s="27">
        <v>44530</v>
      </c>
      <c r="T1257" s="773" t="s">
        <v>132</v>
      </c>
      <c r="U1257" s="773">
        <v>320</v>
      </c>
      <c r="V1257" s="773">
        <v>1064</v>
      </c>
      <c r="W1257" s="773" t="s">
        <v>390</v>
      </c>
    </row>
    <row r="1258" spans="1:23">
      <c r="A1258" s="27">
        <v>44804</v>
      </c>
      <c r="B1258" s="773" t="s">
        <v>140</v>
      </c>
      <c r="C1258" s="773">
        <v>379</v>
      </c>
      <c r="D1258" s="773">
        <v>1</v>
      </c>
      <c r="E1258" s="773" t="s">
        <v>410</v>
      </c>
      <c r="S1258" s="27">
        <v>44165</v>
      </c>
      <c r="T1258" s="773" t="s">
        <v>132</v>
      </c>
      <c r="U1258" s="773">
        <v>658</v>
      </c>
      <c r="V1258" s="773">
        <v>3094</v>
      </c>
      <c r="W1258" s="773" t="s">
        <v>390</v>
      </c>
    </row>
    <row r="1259" spans="1:23">
      <c r="A1259" s="27">
        <v>44439</v>
      </c>
      <c r="B1259" s="773" t="s">
        <v>140</v>
      </c>
      <c r="C1259" s="773">
        <v>628</v>
      </c>
      <c r="D1259" s="773">
        <v>1577</v>
      </c>
      <c r="E1259" s="773" t="s">
        <v>390</v>
      </c>
      <c r="S1259" s="27">
        <v>44530</v>
      </c>
      <c r="T1259" s="773" t="s">
        <v>132</v>
      </c>
      <c r="U1259" s="773">
        <v>220</v>
      </c>
      <c r="V1259" s="773">
        <v>171</v>
      </c>
      <c r="W1259" s="773" t="s">
        <v>390</v>
      </c>
    </row>
    <row r="1260" spans="1:23">
      <c r="A1260" s="27">
        <v>44439</v>
      </c>
      <c r="B1260" s="773" t="s">
        <v>140</v>
      </c>
      <c r="C1260" s="773">
        <v>691</v>
      </c>
      <c r="D1260" s="773">
        <v>235</v>
      </c>
      <c r="E1260" s="773" t="s">
        <v>390</v>
      </c>
      <c r="S1260" s="27">
        <v>44165</v>
      </c>
      <c r="T1260" s="773" t="s">
        <v>132</v>
      </c>
      <c r="U1260" s="773">
        <v>216</v>
      </c>
      <c r="V1260" s="773">
        <v>2174</v>
      </c>
      <c r="W1260" s="773" t="s">
        <v>390</v>
      </c>
    </row>
    <row r="1261" spans="1:23">
      <c r="A1261" s="27">
        <v>44804</v>
      </c>
      <c r="B1261" s="773" t="s">
        <v>140</v>
      </c>
      <c r="C1261" s="773">
        <v>359</v>
      </c>
      <c r="D1261" s="773">
        <v>739</v>
      </c>
      <c r="E1261" s="773" t="s">
        <v>390</v>
      </c>
      <c r="S1261" s="27">
        <v>44530</v>
      </c>
      <c r="T1261" s="773" t="s">
        <v>132</v>
      </c>
      <c r="U1261" s="773">
        <v>82</v>
      </c>
      <c r="V1261" s="773">
        <v>2119</v>
      </c>
      <c r="W1261" s="773" t="s">
        <v>390</v>
      </c>
    </row>
    <row r="1262" spans="1:23">
      <c r="A1262" s="27">
        <v>44439</v>
      </c>
      <c r="B1262" s="773" t="s">
        <v>140</v>
      </c>
      <c r="C1262" s="773">
        <v>379</v>
      </c>
      <c r="D1262" s="773">
        <v>1</v>
      </c>
      <c r="E1262" s="773" t="s">
        <v>410</v>
      </c>
      <c r="S1262" s="27">
        <v>44165</v>
      </c>
      <c r="T1262" s="773" t="s">
        <v>132</v>
      </c>
      <c r="U1262" s="773">
        <v>53</v>
      </c>
      <c r="V1262" s="773">
        <v>1</v>
      </c>
      <c r="W1262" s="773" t="s">
        <v>410</v>
      </c>
    </row>
    <row r="1263" spans="1:23">
      <c r="A1263" s="27">
        <v>44439</v>
      </c>
      <c r="B1263" s="773" t="s">
        <v>140</v>
      </c>
      <c r="C1263" s="773">
        <v>648</v>
      </c>
      <c r="D1263" s="773">
        <v>1388</v>
      </c>
      <c r="E1263" s="773" t="s">
        <v>390</v>
      </c>
      <c r="S1263" s="27">
        <v>44165</v>
      </c>
      <c r="T1263" s="773" t="s">
        <v>132</v>
      </c>
      <c r="U1263" s="773">
        <v>150</v>
      </c>
      <c r="V1263" s="773">
        <v>753</v>
      </c>
      <c r="W1263" s="773" t="s">
        <v>390</v>
      </c>
    </row>
    <row r="1264" spans="1:23">
      <c r="A1264" s="27">
        <v>44439</v>
      </c>
      <c r="B1264" s="773" t="s">
        <v>140</v>
      </c>
      <c r="C1264" s="773">
        <v>346</v>
      </c>
      <c r="D1264" s="773">
        <v>2</v>
      </c>
      <c r="E1264" s="773" t="s">
        <v>410</v>
      </c>
      <c r="S1264" s="27">
        <v>44165</v>
      </c>
      <c r="T1264" s="773" t="s">
        <v>132</v>
      </c>
      <c r="U1264" s="773">
        <v>256</v>
      </c>
      <c r="V1264" s="773">
        <v>2567</v>
      </c>
      <c r="W1264" s="773" t="s">
        <v>390</v>
      </c>
    </row>
    <row r="1265" spans="1:23">
      <c r="A1265" s="27">
        <v>44439</v>
      </c>
      <c r="B1265" s="773" t="s">
        <v>140</v>
      </c>
      <c r="C1265" s="773">
        <v>383</v>
      </c>
      <c r="D1265" s="773">
        <v>4</v>
      </c>
      <c r="E1265" s="773" t="s">
        <v>410</v>
      </c>
      <c r="S1265" s="27">
        <v>44530</v>
      </c>
      <c r="T1265" s="773" t="s">
        <v>132</v>
      </c>
      <c r="U1265" s="773">
        <v>309</v>
      </c>
      <c r="V1265" s="773">
        <v>22</v>
      </c>
      <c r="W1265" s="773" t="s">
        <v>410</v>
      </c>
    </row>
    <row r="1266" spans="1:23">
      <c r="A1266" s="27">
        <v>44439</v>
      </c>
      <c r="B1266" s="773" t="s">
        <v>140</v>
      </c>
      <c r="C1266" s="773">
        <v>674</v>
      </c>
      <c r="D1266" s="773">
        <v>1572</v>
      </c>
      <c r="E1266" s="773" t="s">
        <v>390</v>
      </c>
      <c r="S1266" s="27">
        <v>44530</v>
      </c>
      <c r="T1266" s="773" t="s">
        <v>132</v>
      </c>
      <c r="U1266" s="773">
        <v>650</v>
      </c>
      <c r="V1266" s="773">
        <v>77</v>
      </c>
      <c r="W1266" s="773" t="s">
        <v>410</v>
      </c>
    </row>
    <row r="1267" spans="1:23">
      <c r="A1267" s="27">
        <v>44804</v>
      </c>
      <c r="B1267" s="773" t="s">
        <v>140</v>
      </c>
      <c r="C1267" s="773">
        <v>574</v>
      </c>
      <c r="D1267" s="773">
        <v>2510</v>
      </c>
      <c r="E1267" s="773" t="s">
        <v>390</v>
      </c>
      <c r="S1267" s="27">
        <v>44530</v>
      </c>
      <c r="T1267" s="773" t="s">
        <v>132</v>
      </c>
      <c r="U1267" s="773">
        <v>150</v>
      </c>
      <c r="V1267" s="773">
        <v>530</v>
      </c>
      <c r="W1267" s="773" t="s">
        <v>390</v>
      </c>
    </row>
    <row r="1268" spans="1:23">
      <c r="A1268" s="27">
        <v>44439</v>
      </c>
      <c r="B1268" s="773" t="s">
        <v>140</v>
      </c>
      <c r="C1268" s="773">
        <v>248</v>
      </c>
      <c r="D1268" s="773">
        <v>441</v>
      </c>
      <c r="E1268" s="773" t="s">
        <v>390</v>
      </c>
      <c r="S1268" s="27">
        <v>44530</v>
      </c>
      <c r="T1268" s="773" t="s">
        <v>132</v>
      </c>
      <c r="U1268" s="773">
        <v>191</v>
      </c>
      <c r="V1268" s="773">
        <v>1328</v>
      </c>
      <c r="W1268" s="773" t="s">
        <v>390</v>
      </c>
    </row>
    <row r="1269" spans="1:23">
      <c r="A1269" s="27">
        <v>44439</v>
      </c>
      <c r="B1269" s="773" t="s">
        <v>140</v>
      </c>
      <c r="C1269" s="773">
        <v>719</v>
      </c>
      <c r="D1269" s="773">
        <v>24</v>
      </c>
      <c r="E1269" s="773" t="s">
        <v>410</v>
      </c>
      <c r="S1269" s="27">
        <v>44165</v>
      </c>
      <c r="T1269" s="773" t="s">
        <v>132</v>
      </c>
      <c r="U1269" s="773">
        <v>666</v>
      </c>
      <c r="V1269" s="773">
        <v>1386</v>
      </c>
      <c r="W1269" s="773" t="s">
        <v>390</v>
      </c>
    </row>
    <row r="1270" spans="1:23">
      <c r="A1270" s="27">
        <v>44439</v>
      </c>
      <c r="B1270" s="773" t="s">
        <v>140</v>
      </c>
      <c r="C1270" s="773">
        <v>525</v>
      </c>
      <c r="D1270" s="773">
        <v>3553</v>
      </c>
      <c r="E1270" s="773" t="s">
        <v>390</v>
      </c>
      <c r="S1270" s="27">
        <v>44165</v>
      </c>
      <c r="T1270" s="773" t="s">
        <v>132</v>
      </c>
      <c r="U1270" s="773">
        <v>81</v>
      </c>
      <c r="V1270" s="773">
        <v>3</v>
      </c>
      <c r="W1270" s="773" t="s">
        <v>410</v>
      </c>
    </row>
    <row r="1271" spans="1:23">
      <c r="A1271" s="27">
        <v>44439</v>
      </c>
      <c r="B1271" s="773" t="s">
        <v>140</v>
      </c>
      <c r="C1271" s="773">
        <v>630</v>
      </c>
      <c r="D1271" s="773">
        <v>1</v>
      </c>
      <c r="E1271" s="773" t="s">
        <v>410</v>
      </c>
      <c r="S1271" s="27">
        <v>44530</v>
      </c>
      <c r="T1271" s="773" t="s">
        <v>132</v>
      </c>
      <c r="U1271" s="773">
        <v>41</v>
      </c>
      <c r="V1271" s="773">
        <v>1</v>
      </c>
      <c r="W1271" s="773" t="s">
        <v>410</v>
      </c>
    </row>
    <row r="1272" spans="1:23">
      <c r="A1272" s="27">
        <v>44804</v>
      </c>
      <c r="B1272" s="773" t="s">
        <v>140</v>
      </c>
      <c r="C1272" s="773">
        <v>610</v>
      </c>
      <c r="D1272" s="773">
        <v>2985</v>
      </c>
      <c r="E1272" s="773" t="s">
        <v>390</v>
      </c>
      <c r="S1272" s="27">
        <v>44530</v>
      </c>
      <c r="T1272" s="773" t="s">
        <v>132</v>
      </c>
      <c r="U1272" s="773">
        <v>116</v>
      </c>
      <c r="V1272" s="773">
        <v>4</v>
      </c>
      <c r="W1272" s="773" t="s">
        <v>410</v>
      </c>
    </row>
    <row r="1273" spans="1:23">
      <c r="A1273" s="27">
        <v>44804</v>
      </c>
      <c r="B1273" s="773" t="s">
        <v>140</v>
      </c>
      <c r="C1273" s="773">
        <v>555</v>
      </c>
      <c r="D1273" s="773">
        <v>1635</v>
      </c>
      <c r="E1273" s="773" t="s">
        <v>390</v>
      </c>
      <c r="S1273" s="27">
        <v>44165</v>
      </c>
      <c r="T1273" s="773" t="s">
        <v>132</v>
      </c>
      <c r="U1273" s="773">
        <v>148</v>
      </c>
      <c r="V1273" s="773">
        <v>1</v>
      </c>
      <c r="W1273" s="773" t="s">
        <v>410</v>
      </c>
    </row>
    <row r="1274" spans="1:23">
      <c r="A1274" s="27">
        <v>44804</v>
      </c>
      <c r="B1274" s="773" t="s">
        <v>140</v>
      </c>
      <c r="C1274" s="773">
        <v>449</v>
      </c>
      <c r="D1274" s="773">
        <v>1845</v>
      </c>
      <c r="E1274" s="773" t="s">
        <v>390</v>
      </c>
      <c r="S1274" s="27">
        <v>44530</v>
      </c>
      <c r="T1274" s="773" t="s">
        <v>132</v>
      </c>
      <c r="U1274" s="773">
        <v>667</v>
      </c>
      <c r="V1274" s="773">
        <v>1</v>
      </c>
      <c r="W1274" s="773" t="s">
        <v>410</v>
      </c>
    </row>
    <row r="1275" spans="1:23">
      <c r="A1275" s="27">
        <v>44804</v>
      </c>
      <c r="B1275" s="773" t="s">
        <v>140</v>
      </c>
      <c r="C1275" s="773">
        <v>630</v>
      </c>
      <c r="D1275" s="773">
        <v>1</v>
      </c>
      <c r="E1275" s="773" t="s">
        <v>410</v>
      </c>
      <c r="S1275" s="27">
        <v>44165</v>
      </c>
      <c r="T1275" s="773" t="s">
        <v>132</v>
      </c>
      <c r="U1275" s="773">
        <v>255</v>
      </c>
      <c r="V1275" s="773">
        <v>2707</v>
      </c>
      <c r="W1275" s="773" t="s">
        <v>390</v>
      </c>
    </row>
    <row r="1276" spans="1:23">
      <c r="A1276" s="27">
        <v>44439</v>
      </c>
      <c r="B1276" s="773" t="s">
        <v>140</v>
      </c>
      <c r="C1276" s="773">
        <v>576</v>
      </c>
      <c r="D1276" s="773">
        <v>252</v>
      </c>
      <c r="E1276" s="773" t="s">
        <v>390</v>
      </c>
      <c r="S1276" s="27">
        <v>44530</v>
      </c>
      <c r="T1276" s="773" t="s">
        <v>132</v>
      </c>
      <c r="U1276" s="773">
        <v>315</v>
      </c>
      <c r="V1276" s="773">
        <v>269</v>
      </c>
      <c r="W1276" s="773" t="s">
        <v>390</v>
      </c>
    </row>
    <row r="1277" spans="1:23">
      <c r="A1277" s="27">
        <v>44439</v>
      </c>
      <c r="B1277" s="773" t="s">
        <v>140</v>
      </c>
      <c r="C1277" s="773">
        <v>530</v>
      </c>
      <c r="D1277" s="773">
        <v>1</v>
      </c>
      <c r="E1277" s="773" t="s">
        <v>410</v>
      </c>
      <c r="S1277" s="27">
        <v>44165</v>
      </c>
      <c r="T1277" s="773" t="s">
        <v>132</v>
      </c>
      <c r="U1277" s="773">
        <v>264</v>
      </c>
      <c r="V1277" s="773">
        <v>946</v>
      </c>
      <c r="W1277" s="773" t="s">
        <v>390</v>
      </c>
    </row>
    <row r="1278" spans="1:23">
      <c r="A1278" s="27">
        <v>44804</v>
      </c>
      <c r="B1278" s="773" t="s">
        <v>140</v>
      </c>
      <c r="C1278" s="773">
        <v>370</v>
      </c>
      <c r="D1278" s="773">
        <v>2</v>
      </c>
      <c r="E1278" s="773" t="s">
        <v>410</v>
      </c>
      <c r="S1278" s="27">
        <v>44165</v>
      </c>
      <c r="T1278" s="773" t="s">
        <v>132</v>
      </c>
      <c r="U1278" s="773">
        <v>164</v>
      </c>
      <c r="V1278" s="773">
        <v>8</v>
      </c>
      <c r="W1278" s="773" t="s">
        <v>410</v>
      </c>
    </row>
    <row r="1279" spans="1:23">
      <c r="A1279" s="27">
        <v>44804</v>
      </c>
      <c r="B1279" s="773" t="s">
        <v>140</v>
      </c>
      <c r="C1279" s="773">
        <v>585</v>
      </c>
      <c r="D1279" s="773">
        <v>5131</v>
      </c>
      <c r="E1279" s="773" t="s">
        <v>390</v>
      </c>
      <c r="S1279" s="27">
        <v>44530</v>
      </c>
      <c r="T1279" s="773" t="s">
        <v>132</v>
      </c>
      <c r="U1279" s="773">
        <v>233</v>
      </c>
      <c r="V1279" s="773">
        <v>8402</v>
      </c>
      <c r="W1279" s="773" t="s">
        <v>390</v>
      </c>
    </row>
    <row r="1280" spans="1:23">
      <c r="A1280" s="27">
        <v>44804</v>
      </c>
      <c r="B1280" s="773" t="s">
        <v>140</v>
      </c>
      <c r="C1280" s="773">
        <v>558</v>
      </c>
      <c r="D1280" s="773">
        <v>1283</v>
      </c>
      <c r="E1280" s="773" t="s">
        <v>390</v>
      </c>
      <c r="S1280" s="27">
        <v>44530</v>
      </c>
      <c r="T1280" s="773" t="s">
        <v>132</v>
      </c>
      <c r="U1280" s="773">
        <v>626</v>
      </c>
      <c r="V1280" s="773">
        <v>6</v>
      </c>
      <c r="W1280" s="773" t="s">
        <v>410</v>
      </c>
    </row>
    <row r="1281" spans="1:23">
      <c r="A1281" s="27">
        <v>44439</v>
      </c>
      <c r="B1281" s="773" t="s">
        <v>140</v>
      </c>
      <c r="C1281" s="773">
        <v>476</v>
      </c>
      <c r="D1281" s="773">
        <v>1</v>
      </c>
      <c r="E1281" s="773" t="s">
        <v>410</v>
      </c>
      <c r="S1281" s="27">
        <v>44530</v>
      </c>
      <c r="T1281" s="773" t="s">
        <v>132</v>
      </c>
      <c r="U1281" s="773">
        <v>161</v>
      </c>
      <c r="V1281" s="773">
        <v>5</v>
      </c>
      <c r="W1281" s="773" t="s">
        <v>410</v>
      </c>
    </row>
    <row r="1282" spans="1:23">
      <c r="A1282" s="27">
        <v>44439</v>
      </c>
      <c r="B1282" s="773" t="s">
        <v>140</v>
      </c>
      <c r="C1282" s="773">
        <v>493</v>
      </c>
      <c r="D1282" s="773">
        <v>7</v>
      </c>
      <c r="E1282" s="773" t="s">
        <v>410</v>
      </c>
      <c r="S1282" s="27">
        <v>44530</v>
      </c>
      <c r="T1282" s="773" t="s">
        <v>132</v>
      </c>
      <c r="U1282" s="773">
        <v>46</v>
      </c>
      <c r="V1282" s="773">
        <v>2784</v>
      </c>
      <c r="W1282" s="773" t="s">
        <v>390</v>
      </c>
    </row>
    <row r="1283" spans="1:23">
      <c r="A1283" s="27">
        <v>44804</v>
      </c>
      <c r="B1283" s="773" t="s">
        <v>140</v>
      </c>
      <c r="C1283" s="773">
        <v>691</v>
      </c>
      <c r="D1283" s="773">
        <v>213</v>
      </c>
      <c r="E1283" s="773" t="s">
        <v>390</v>
      </c>
      <c r="S1283" s="27">
        <v>44530</v>
      </c>
      <c r="T1283" s="773" t="s">
        <v>132</v>
      </c>
      <c r="U1283" s="773">
        <v>11</v>
      </c>
      <c r="V1283" s="773">
        <v>27</v>
      </c>
      <c r="W1283" s="773" t="s">
        <v>410</v>
      </c>
    </row>
    <row r="1284" spans="1:23">
      <c r="A1284" s="27">
        <v>44804</v>
      </c>
      <c r="B1284" s="773" t="s">
        <v>140</v>
      </c>
      <c r="C1284" s="773">
        <v>740</v>
      </c>
      <c r="D1284" s="773">
        <v>374</v>
      </c>
      <c r="E1284" s="773" t="s">
        <v>390</v>
      </c>
      <c r="S1284" s="27">
        <v>44165</v>
      </c>
      <c r="T1284" s="773" t="s">
        <v>132</v>
      </c>
      <c r="U1284" s="773">
        <v>155</v>
      </c>
      <c r="V1284" s="773">
        <v>2495</v>
      </c>
      <c r="W1284" s="773" t="s">
        <v>390</v>
      </c>
    </row>
    <row r="1285" spans="1:23">
      <c r="A1285" s="27">
        <v>44439</v>
      </c>
      <c r="B1285" s="773" t="s">
        <v>140</v>
      </c>
      <c r="C1285" s="773">
        <v>601</v>
      </c>
      <c r="D1285" s="773">
        <v>3</v>
      </c>
      <c r="E1285" s="773" t="s">
        <v>410</v>
      </c>
      <c r="S1285" s="27">
        <v>44530</v>
      </c>
      <c r="T1285" s="773" t="s">
        <v>132</v>
      </c>
      <c r="U1285" s="773">
        <v>13</v>
      </c>
      <c r="V1285" s="773">
        <v>2849</v>
      </c>
      <c r="W1285" s="773" t="s">
        <v>390</v>
      </c>
    </row>
    <row r="1286" spans="1:23">
      <c r="A1286" s="27">
        <v>44804</v>
      </c>
      <c r="B1286" s="773" t="s">
        <v>140</v>
      </c>
      <c r="C1286" s="773">
        <v>758</v>
      </c>
      <c r="D1286" s="773">
        <v>1</v>
      </c>
      <c r="E1286" s="773" t="s">
        <v>410</v>
      </c>
      <c r="S1286" s="27">
        <v>44165</v>
      </c>
      <c r="T1286" s="773" t="s">
        <v>132</v>
      </c>
      <c r="U1286" s="773">
        <v>213</v>
      </c>
      <c r="V1286" s="773">
        <v>2850</v>
      </c>
      <c r="W1286" s="773" t="s">
        <v>390</v>
      </c>
    </row>
    <row r="1287" spans="1:23">
      <c r="A1287" s="27">
        <v>44439</v>
      </c>
      <c r="B1287" s="773" t="s">
        <v>140</v>
      </c>
      <c r="C1287" s="773">
        <v>485</v>
      </c>
      <c r="D1287" s="773">
        <v>1256</v>
      </c>
      <c r="E1287" s="773" t="s">
        <v>390</v>
      </c>
      <c r="S1287" s="27">
        <v>44165</v>
      </c>
      <c r="T1287" s="773" t="s">
        <v>132</v>
      </c>
      <c r="U1287" s="773">
        <v>35</v>
      </c>
      <c r="V1287" s="773">
        <v>884</v>
      </c>
      <c r="W1287" s="773" t="s">
        <v>390</v>
      </c>
    </row>
    <row r="1288" spans="1:23">
      <c r="A1288" s="27">
        <v>44439</v>
      </c>
      <c r="B1288" s="773" t="s">
        <v>140</v>
      </c>
      <c r="C1288" s="773">
        <v>732</v>
      </c>
      <c r="D1288" s="773">
        <v>5</v>
      </c>
      <c r="E1288" s="773" t="s">
        <v>410</v>
      </c>
      <c r="S1288" s="27">
        <v>44530</v>
      </c>
      <c r="T1288" s="773" t="s">
        <v>132</v>
      </c>
      <c r="U1288" s="773">
        <v>697</v>
      </c>
      <c r="V1288" s="773">
        <v>745</v>
      </c>
      <c r="W1288" s="773" t="s">
        <v>390</v>
      </c>
    </row>
    <row r="1289" spans="1:23">
      <c r="A1289" s="27">
        <v>44804</v>
      </c>
      <c r="B1289" s="773" t="s">
        <v>140</v>
      </c>
      <c r="C1289" s="773">
        <v>346</v>
      </c>
      <c r="D1289" s="773">
        <v>3</v>
      </c>
      <c r="E1289" s="773" t="s">
        <v>410</v>
      </c>
      <c r="S1289" s="27">
        <v>44165</v>
      </c>
      <c r="T1289" s="773" t="s">
        <v>132</v>
      </c>
      <c r="U1289" s="773">
        <v>304</v>
      </c>
      <c r="V1289" s="773">
        <v>87</v>
      </c>
      <c r="W1289" s="773" t="s">
        <v>410</v>
      </c>
    </row>
    <row r="1290" spans="1:23">
      <c r="A1290" s="27">
        <v>44439</v>
      </c>
      <c r="B1290" s="773" t="s">
        <v>140</v>
      </c>
      <c r="C1290" s="773">
        <v>338</v>
      </c>
      <c r="D1290" s="773">
        <v>2402</v>
      </c>
      <c r="E1290" s="773" t="s">
        <v>390</v>
      </c>
      <c r="S1290" s="27">
        <v>44165</v>
      </c>
      <c r="T1290" s="773" t="s">
        <v>132</v>
      </c>
      <c r="U1290" s="773">
        <v>152</v>
      </c>
      <c r="V1290" s="773">
        <v>1</v>
      </c>
      <c r="W1290" s="773" t="s">
        <v>410</v>
      </c>
    </row>
    <row r="1291" spans="1:23">
      <c r="A1291" s="27">
        <v>44439</v>
      </c>
      <c r="B1291" s="773" t="s">
        <v>140</v>
      </c>
      <c r="C1291" s="773">
        <v>574</v>
      </c>
      <c r="D1291" s="773">
        <v>1511</v>
      </c>
      <c r="E1291" s="773" t="s">
        <v>390</v>
      </c>
      <c r="S1291" s="27">
        <v>44530</v>
      </c>
      <c r="T1291" s="773" t="s">
        <v>132</v>
      </c>
      <c r="U1291" s="773">
        <v>87</v>
      </c>
      <c r="V1291" s="773">
        <v>2</v>
      </c>
      <c r="W1291" s="773" t="s">
        <v>410</v>
      </c>
    </row>
    <row r="1292" spans="1:23">
      <c r="A1292" s="27">
        <v>44804</v>
      </c>
      <c r="B1292" s="773" t="s">
        <v>140</v>
      </c>
      <c r="C1292" s="773">
        <v>453</v>
      </c>
      <c r="D1292" s="773">
        <v>2280</v>
      </c>
      <c r="E1292" s="773" t="s">
        <v>390</v>
      </c>
      <c r="S1292" s="27">
        <v>44165</v>
      </c>
      <c r="T1292" s="773" t="s">
        <v>132</v>
      </c>
      <c r="U1292" s="773">
        <v>245</v>
      </c>
      <c r="V1292" s="773">
        <v>2675</v>
      </c>
      <c r="W1292" s="773" t="s">
        <v>390</v>
      </c>
    </row>
    <row r="1293" spans="1:23">
      <c r="A1293" s="27">
        <v>44439</v>
      </c>
      <c r="B1293" s="773" t="s">
        <v>140</v>
      </c>
      <c r="C1293" s="773">
        <v>359</v>
      </c>
      <c r="D1293" s="773">
        <v>585</v>
      </c>
      <c r="E1293" s="773" t="s">
        <v>390</v>
      </c>
      <c r="S1293" s="27">
        <v>44165</v>
      </c>
      <c r="T1293" s="773" t="s">
        <v>132</v>
      </c>
      <c r="U1293" s="773">
        <v>103</v>
      </c>
      <c r="V1293" s="773">
        <v>3391</v>
      </c>
      <c r="W1293" s="773" t="s">
        <v>390</v>
      </c>
    </row>
    <row r="1294" spans="1:23">
      <c r="A1294" s="27">
        <v>44439</v>
      </c>
      <c r="B1294" s="773" t="s">
        <v>140</v>
      </c>
      <c r="C1294" s="773">
        <v>453</v>
      </c>
      <c r="D1294" s="773">
        <v>2359</v>
      </c>
      <c r="E1294" s="773" t="s">
        <v>390</v>
      </c>
      <c r="S1294" s="27">
        <v>44530</v>
      </c>
      <c r="T1294" s="773" t="s">
        <v>132</v>
      </c>
      <c r="U1294" s="773">
        <v>70</v>
      </c>
      <c r="V1294" s="773">
        <v>242</v>
      </c>
      <c r="W1294" s="773" t="s">
        <v>390</v>
      </c>
    </row>
    <row r="1295" spans="1:23">
      <c r="A1295" s="27">
        <v>44804</v>
      </c>
      <c r="B1295" s="773" t="s">
        <v>140</v>
      </c>
      <c r="C1295" s="773">
        <v>594</v>
      </c>
      <c r="D1295" s="773">
        <v>2680</v>
      </c>
      <c r="E1295" s="773" t="s">
        <v>390</v>
      </c>
      <c r="S1295" s="27">
        <v>44530</v>
      </c>
      <c r="T1295" s="773" t="s">
        <v>132</v>
      </c>
      <c r="U1295" s="773">
        <v>694</v>
      </c>
      <c r="V1295" s="773">
        <v>2</v>
      </c>
      <c r="W1295" s="773" t="s">
        <v>410</v>
      </c>
    </row>
    <row r="1296" spans="1:23">
      <c r="A1296" s="27">
        <v>44439</v>
      </c>
      <c r="B1296" s="773" t="s">
        <v>140</v>
      </c>
      <c r="C1296" s="773">
        <v>198</v>
      </c>
      <c r="D1296" s="773">
        <v>5</v>
      </c>
      <c r="E1296" s="773" t="s">
        <v>410</v>
      </c>
      <c r="S1296" s="27">
        <v>44530</v>
      </c>
      <c r="T1296" s="773" t="s">
        <v>132</v>
      </c>
      <c r="U1296" s="773">
        <v>105</v>
      </c>
      <c r="V1296" s="773">
        <v>2</v>
      </c>
      <c r="W1296" s="773" t="s">
        <v>410</v>
      </c>
    </row>
    <row r="1297" spans="1:23">
      <c r="A1297" s="27">
        <v>44439</v>
      </c>
      <c r="B1297" s="773" t="s">
        <v>140</v>
      </c>
      <c r="C1297" s="773">
        <v>469</v>
      </c>
      <c r="D1297" s="773">
        <v>7</v>
      </c>
      <c r="E1297" s="773" t="s">
        <v>410</v>
      </c>
      <c r="S1297" s="27">
        <v>44165</v>
      </c>
      <c r="T1297" s="773" t="s">
        <v>132</v>
      </c>
      <c r="U1297" s="773">
        <v>183</v>
      </c>
      <c r="V1297" s="773">
        <v>2416</v>
      </c>
      <c r="W1297" s="773" t="s">
        <v>390</v>
      </c>
    </row>
    <row r="1298" spans="1:23">
      <c r="A1298" s="27">
        <v>44804</v>
      </c>
      <c r="B1298" s="773" t="s">
        <v>140</v>
      </c>
      <c r="C1298" s="773">
        <v>712</v>
      </c>
      <c r="D1298" s="773">
        <v>2</v>
      </c>
      <c r="E1298" s="773" t="s">
        <v>410</v>
      </c>
      <c r="S1298" s="27">
        <v>44165</v>
      </c>
      <c r="T1298" s="773" t="s">
        <v>132</v>
      </c>
      <c r="U1298" s="773">
        <v>89</v>
      </c>
      <c r="V1298" s="773">
        <v>1241</v>
      </c>
      <c r="W1298" s="773" t="s">
        <v>390</v>
      </c>
    </row>
    <row r="1299" spans="1:23">
      <c r="A1299" s="27">
        <v>44469</v>
      </c>
      <c r="B1299" s="773" t="s">
        <v>140</v>
      </c>
      <c r="C1299" s="773">
        <v>510</v>
      </c>
      <c r="D1299" s="773">
        <v>923</v>
      </c>
      <c r="E1299" s="773" t="s">
        <v>390</v>
      </c>
      <c r="S1299" s="27">
        <v>44530</v>
      </c>
      <c r="T1299" s="773" t="s">
        <v>132</v>
      </c>
      <c r="U1299" s="773">
        <v>152</v>
      </c>
      <c r="V1299" s="773">
        <v>1</v>
      </c>
      <c r="W1299" s="773" t="s">
        <v>410</v>
      </c>
    </row>
    <row r="1300" spans="1:23">
      <c r="A1300" s="27">
        <v>44469</v>
      </c>
      <c r="B1300" s="773" t="s">
        <v>140</v>
      </c>
      <c r="C1300" s="773">
        <v>501</v>
      </c>
      <c r="D1300" s="773">
        <v>1</v>
      </c>
      <c r="E1300" s="773" t="s">
        <v>410</v>
      </c>
      <c r="S1300" s="27">
        <v>44530</v>
      </c>
      <c r="T1300" s="773" t="s">
        <v>132</v>
      </c>
      <c r="U1300" s="773">
        <v>188</v>
      </c>
      <c r="V1300" s="773">
        <v>583</v>
      </c>
      <c r="W1300" s="773" t="s">
        <v>390</v>
      </c>
    </row>
    <row r="1301" spans="1:23">
      <c r="A1301" s="27">
        <v>44469</v>
      </c>
      <c r="B1301" s="773" t="s">
        <v>140</v>
      </c>
      <c r="C1301" s="773">
        <v>691</v>
      </c>
      <c r="D1301" s="773">
        <v>229</v>
      </c>
      <c r="E1301" s="773" t="s">
        <v>390</v>
      </c>
      <c r="S1301" s="27">
        <v>44530</v>
      </c>
      <c r="T1301" s="773" t="s">
        <v>132</v>
      </c>
      <c r="U1301" s="773">
        <v>39</v>
      </c>
      <c r="V1301" s="773">
        <v>1</v>
      </c>
      <c r="W1301" s="773" t="s">
        <v>410</v>
      </c>
    </row>
    <row r="1302" spans="1:23">
      <c r="A1302" s="27">
        <v>44834</v>
      </c>
      <c r="B1302" s="773" t="s">
        <v>140</v>
      </c>
      <c r="C1302" s="773">
        <v>248</v>
      </c>
      <c r="D1302" s="773">
        <v>489</v>
      </c>
      <c r="E1302" s="773" t="s">
        <v>390</v>
      </c>
      <c r="S1302" s="27">
        <v>44530</v>
      </c>
      <c r="T1302" s="773" t="s">
        <v>132</v>
      </c>
      <c r="U1302" s="773">
        <v>674</v>
      </c>
      <c r="V1302" s="773">
        <v>3799</v>
      </c>
      <c r="W1302" s="773" t="s">
        <v>390</v>
      </c>
    </row>
    <row r="1303" spans="1:23">
      <c r="A1303" s="27">
        <v>44469</v>
      </c>
      <c r="B1303" s="773" t="s">
        <v>140</v>
      </c>
      <c r="C1303" s="773">
        <v>449</v>
      </c>
      <c r="D1303" s="773">
        <v>1863</v>
      </c>
      <c r="E1303" s="773" t="s">
        <v>390</v>
      </c>
      <c r="S1303" s="27">
        <v>44165</v>
      </c>
      <c r="T1303" s="773" t="s">
        <v>132</v>
      </c>
      <c r="U1303" s="773">
        <v>254</v>
      </c>
      <c r="V1303" s="773">
        <v>9</v>
      </c>
      <c r="W1303" s="773" t="s">
        <v>410</v>
      </c>
    </row>
    <row r="1304" spans="1:23">
      <c r="A1304" s="27">
        <v>44469</v>
      </c>
      <c r="B1304" s="773" t="s">
        <v>140</v>
      </c>
      <c r="C1304" s="773">
        <v>640</v>
      </c>
      <c r="D1304" s="773">
        <v>3046</v>
      </c>
      <c r="E1304" s="773" t="s">
        <v>390</v>
      </c>
      <c r="S1304" s="27">
        <v>44530</v>
      </c>
      <c r="T1304" s="773" t="s">
        <v>132</v>
      </c>
      <c r="U1304" s="773">
        <v>236</v>
      </c>
      <c r="V1304" s="773">
        <v>1</v>
      </c>
      <c r="W1304" s="773" t="s">
        <v>410</v>
      </c>
    </row>
    <row r="1305" spans="1:23">
      <c r="A1305" s="27">
        <v>44469</v>
      </c>
      <c r="B1305" s="773" t="s">
        <v>140</v>
      </c>
      <c r="C1305" s="773">
        <v>485</v>
      </c>
      <c r="D1305" s="773">
        <v>1291</v>
      </c>
      <c r="E1305" s="773" t="s">
        <v>390</v>
      </c>
      <c r="S1305" s="27">
        <v>44530</v>
      </c>
      <c r="T1305" s="773" t="s">
        <v>132</v>
      </c>
      <c r="U1305" s="773">
        <v>255</v>
      </c>
      <c r="V1305" s="773">
        <v>52</v>
      </c>
      <c r="W1305" s="773" t="s">
        <v>410</v>
      </c>
    </row>
    <row r="1306" spans="1:23">
      <c r="A1306" s="27">
        <v>44469</v>
      </c>
      <c r="B1306" s="773" t="s">
        <v>140</v>
      </c>
      <c r="C1306" s="773">
        <v>574</v>
      </c>
      <c r="D1306" s="773">
        <v>1523</v>
      </c>
      <c r="E1306" s="773" t="s">
        <v>390</v>
      </c>
      <c r="S1306" s="27">
        <v>44165</v>
      </c>
      <c r="T1306" s="773" t="s">
        <v>132</v>
      </c>
      <c r="U1306" s="773">
        <v>48</v>
      </c>
      <c r="V1306" s="773">
        <v>734</v>
      </c>
      <c r="W1306" s="773" t="s">
        <v>390</v>
      </c>
    </row>
    <row r="1307" spans="1:23">
      <c r="A1307" s="27">
        <v>44834</v>
      </c>
      <c r="B1307" s="773" t="s">
        <v>140</v>
      </c>
      <c r="C1307" s="773">
        <v>610</v>
      </c>
      <c r="D1307" s="773">
        <v>2978</v>
      </c>
      <c r="E1307" s="773" t="s">
        <v>390</v>
      </c>
      <c r="S1307" s="27">
        <v>44165</v>
      </c>
      <c r="T1307" s="773" t="s">
        <v>132</v>
      </c>
      <c r="U1307" s="773">
        <v>149</v>
      </c>
      <c r="V1307" s="773">
        <v>3</v>
      </c>
      <c r="W1307" s="773" t="s">
        <v>410</v>
      </c>
    </row>
    <row r="1308" spans="1:23">
      <c r="A1308" s="27">
        <v>44469</v>
      </c>
      <c r="B1308" s="773" t="s">
        <v>140</v>
      </c>
      <c r="C1308" s="773">
        <v>525</v>
      </c>
      <c r="D1308" s="773">
        <v>3413</v>
      </c>
      <c r="E1308" s="773" t="s">
        <v>390</v>
      </c>
      <c r="S1308" s="27">
        <v>44165</v>
      </c>
      <c r="T1308" s="773" t="s">
        <v>132</v>
      </c>
      <c r="U1308" s="773">
        <v>72</v>
      </c>
      <c r="V1308" s="773">
        <v>3</v>
      </c>
      <c r="W1308" s="773" t="s">
        <v>410</v>
      </c>
    </row>
    <row r="1309" spans="1:23">
      <c r="A1309" s="27">
        <v>44834</v>
      </c>
      <c r="B1309" s="773" t="s">
        <v>140</v>
      </c>
      <c r="C1309" s="773">
        <v>758</v>
      </c>
      <c r="D1309" s="773">
        <v>1</v>
      </c>
      <c r="E1309" s="773" t="s">
        <v>410</v>
      </c>
      <c r="S1309" s="27">
        <v>44530</v>
      </c>
      <c r="T1309" s="773" t="s">
        <v>132</v>
      </c>
      <c r="U1309" s="773">
        <v>703</v>
      </c>
      <c r="V1309" s="773">
        <v>2346</v>
      </c>
      <c r="W1309" s="773" t="s">
        <v>390</v>
      </c>
    </row>
    <row r="1310" spans="1:23">
      <c r="A1310" s="27">
        <v>44469</v>
      </c>
      <c r="B1310" s="773" t="s">
        <v>140</v>
      </c>
      <c r="C1310" s="773">
        <v>648</v>
      </c>
      <c r="D1310" s="773">
        <v>1348</v>
      </c>
      <c r="E1310" s="773" t="s">
        <v>390</v>
      </c>
      <c r="S1310" s="27">
        <v>44561</v>
      </c>
      <c r="T1310" s="773" t="s">
        <v>132</v>
      </c>
      <c r="U1310" s="773">
        <v>111</v>
      </c>
      <c r="V1310" s="773">
        <v>2</v>
      </c>
      <c r="W1310" s="773" t="s">
        <v>410</v>
      </c>
    </row>
    <row r="1311" spans="1:23">
      <c r="A1311" s="27">
        <v>44834</v>
      </c>
      <c r="B1311" s="773" t="s">
        <v>140</v>
      </c>
      <c r="C1311" s="773">
        <v>650</v>
      </c>
      <c r="D1311" s="773">
        <v>2381</v>
      </c>
      <c r="E1311" s="773" t="s">
        <v>390</v>
      </c>
      <c r="S1311" s="27">
        <v>44561</v>
      </c>
      <c r="T1311" s="773" t="s">
        <v>132</v>
      </c>
      <c r="U1311" s="773">
        <v>212</v>
      </c>
      <c r="V1311" s="773">
        <v>3326</v>
      </c>
      <c r="W1311" s="773" t="s">
        <v>390</v>
      </c>
    </row>
    <row r="1312" spans="1:23">
      <c r="A1312" s="27">
        <v>44469</v>
      </c>
      <c r="B1312" s="773" t="s">
        <v>140</v>
      </c>
      <c r="C1312" s="773">
        <v>760</v>
      </c>
      <c r="D1312" s="773">
        <v>70</v>
      </c>
      <c r="E1312" s="773" t="s">
        <v>410</v>
      </c>
      <c r="S1312" s="27">
        <v>44561</v>
      </c>
      <c r="T1312" s="773" t="s">
        <v>132</v>
      </c>
      <c r="U1312" s="773">
        <v>257</v>
      </c>
      <c r="V1312" s="773">
        <v>2641</v>
      </c>
      <c r="W1312" s="773" t="s">
        <v>390</v>
      </c>
    </row>
    <row r="1313" spans="1:23">
      <c r="A1313" s="27">
        <v>44469</v>
      </c>
      <c r="B1313" s="773" t="s">
        <v>140</v>
      </c>
      <c r="C1313" s="773">
        <v>732</v>
      </c>
      <c r="D1313" s="773">
        <v>6</v>
      </c>
      <c r="E1313" s="773" t="s">
        <v>410</v>
      </c>
      <c r="S1313" s="27">
        <v>44196</v>
      </c>
      <c r="T1313" s="773" t="s">
        <v>132</v>
      </c>
      <c r="U1313" s="773">
        <v>671</v>
      </c>
      <c r="V1313" s="773">
        <v>2142</v>
      </c>
      <c r="W1313" s="773" t="s">
        <v>390</v>
      </c>
    </row>
    <row r="1314" spans="1:23">
      <c r="A1314" s="27">
        <v>44469</v>
      </c>
      <c r="B1314" s="773" t="s">
        <v>140</v>
      </c>
      <c r="C1314" s="773">
        <v>712</v>
      </c>
      <c r="D1314" s="773">
        <v>1</v>
      </c>
      <c r="E1314" s="773" t="s">
        <v>410</v>
      </c>
      <c r="S1314" s="27">
        <v>44196</v>
      </c>
      <c r="T1314" s="773" t="s">
        <v>132</v>
      </c>
      <c r="U1314" s="773">
        <v>78</v>
      </c>
      <c r="V1314" s="773">
        <v>2</v>
      </c>
      <c r="W1314" s="773" t="s">
        <v>410</v>
      </c>
    </row>
    <row r="1315" spans="1:23">
      <c r="A1315" s="27">
        <v>44834</v>
      </c>
      <c r="B1315" s="773" t="s">
        <v>140</v>
      </c>
      <c r="C1315" s="773">
        <v>387</v>
      </c>
      <c r="D1315" s="773">
        <v>9</v>
      </c>
      <c r="E1315" s="773" t="s">
        <v>410</v>
      </c>
      <c r="S1315" s="27">
        <v>44196</v>
      </c>
      <c r="T1315" s="773" t="s">
        <v>132</v>
      </c>
      <c r="U1315" s="773">
        <v>663</v>
      </c>
      <c r="V1315" s="773">
        <v>1134</v>
      </c>
      <c r="W1315" s="773" t="s">
        <v>390</v>
      </c>
    </row>
    <row r="1316" spans="1:23">
      <c r="A1316" s="27">
        <v>44469</v>
      </c>
      <c r="B1316" s="773" t="s">
        <v>140</v>
      </c>
      <c r="C1316" s="773">
        <v>740</v>
      </c>
      <c r="D1316" s="773">
        <v>413</v>
      </c>
      <c r="E1316" s="773" t="s">
        <v>390</v>
      </c>
      <c r="S1316" s="27">
        <v>44561</v>
      </c>
      <c r="T1316" s="773" t="s">
        <v>132</v>
      </c>
      <c r="U1316" s="773">
        <v>645</v>
      </c>
      <c r="V1316" s="773">
        <v>2756</v>
      </c>
      <c r="W1316" s="773" t="s">
        <v>390</v>
      </c>
    </row>
    <row r="1317" spans="1:23">
      <c r="A1317" s="27">
        <v>44834</v>
      </c>
      <c r="B1317" s="773" t="s">
        <v>140</v>
      </c>
      <c r="C1317" s="773">
        <v>628</v>
      </c>
      <c r="D1317" s="773">
        <v>1643</v>
      </c>
      <c r="E1317" s="773" t="s">
        <v>390</v>
      </c>
      <c r="S1317" s="27">
        <v>44196</v>
      </c>
      <c r="T1317" s="773" t="s">
        <v>132</v>
      </c>
      <c r="U1317" s="773">
        <v>295</v>
      </c>
      <c r="V1317" s="773">
        <v>3</v>
      </c>
      <c r="W1317" s="773" t="s">
        <v>410</v>
      </c>
    </row>
    <row r="1318" spans="1:23">
      <c r="A1318" s="27">
        <v>44469</v>
      </c>
      <c r="B1318" s="773" t="s">
        <v>140</v>
      </c>
      <c r="C1318" s="773">
        <v>576</v>
      </c>
      <c r="D1318" s="773">
        <v>252</v>
      </c>
      <c r="E1318" s="773" t="s">
        <v>390</v>
      </c>
      <c r="S1318" s="27">
        <v>44196</v>
      </c>
      <c r="T1318" s="773" t="s">
        <v>132</v>
      </c>
      <c r="U1318" s="773">
        <v>148</v>
      </c>
      <c r="V1318" s="773">
        <v>1</v>
      </c>
      <c r="W1318" s="773" t="s">
        <v>410</v>
      </c>
    </row>
    <row r="1319" spans="1:23">
      <c r="A1319" s="27">
        <v>44834</v>
      </c>
      <c r="B1319" s="773" t="s">
        <v>140</v>
      </c>
      <c r="C1319" s="773">
        <v>383</v>
      </c>
      <c r="D1319" s="773">
        <v>1</v>
      </c>
      <c r="E1319" s="773" t="s">
        <v>410</v>
      </c>
      <c r="S1319" s="27">
        <v>44196</v>
      </c>
      <c r="T1319" s="773" t="s">
        <v>132</v>
      </c>
      <c r="U1319" s="773">
        <v>276</v>
      </c>
      <c r="V1319" s="773">
        <v>1</v>
      </c>
      <c r="W1319" s="773" t="s">
        <v>410</v>
      </c>
    </row>
    <row r="1320" spans="1:23">
      <c r="A1320" s="27">
        <v>44834</v>
      </c>
      <c r="B1320" s="773" t="s">
        <v>140</v>
      </c>
      <c r="C1320" s="773">
        <v>493</v>
      </c>
      <c r="D1320" s="773">
        <v>5</v>
      </c>
      <c r="E1320" s="773" t="s">
        <v>410</v>
      </c>
      <c r="S1320" s="27">
        <v>44196</v>
      </c>
      <c r="T1320" s="773" t="s">
        <v>132</v>
      </c>
      <c r="U1320" s="773">
        <v>687</v>
      </c>
      <c r="V1320" s="773">
        <v>515</v>
      </c>
      <c r="W1320" s="773" t="s">
        <v>390</v>
      </c>
    </row>
    <row r="1321" spans="1:23">
      <c r="A1321" s="27">
        <v>44469</v>
      </c>
      <c r="B1321" s="773" t="s">
        <v>140</v>
      </c>
      <c r="C1321" s="773">
        <v>558</v>
      </c>
      <c r="D1321" s="773">
        <v>1251</v>
      </c>
      <c r="E1321" s="773" t="s">
        <v>390</v>
      </c>
      <c r="S1321" s="27">
        <v>44561</v>
      </c>
      <c r="T1321" s="773" t="s">
        <v>132</v>
      </c>
      <c r="U1321" s="773">
        <v>308</v>
      </c>
      <c r="V1321" s="773">
        <v>1826</v>
      </c>
      <c r="W1321" s="773" t="s">
        <v>390</v>
      </c>
    </row>
    <row r="1322" spans="1:23">
      <c r="A1322" s="27">
        <v>44469</v>
      </c>
      <c r="B1322" s="773" t="s">
        <v>140</v>
      </c>
      <c r="C1322" s="773">
        <v>674</v>
      </c>
      <c r="D1322" s="773">
        <v>1579</v>
      </c>
      <c r="E1322" s="773" t="s">
        <v>390</v>
      </c>
      <c r="S1322" s="27">
        <v>44196</v>
      </c>
      <c r="T1322" s="773" t="s">
        <v>132</v>
      </c>
      <c r="U1322" s="773">
        <v>202</v>
      </c>
      <c r="V1322" s="773">
        <v>1</v>
      </c>
      <c r="W1322" s="773" t="s">
        <v>410</v>
      </c>
    </row>
    <row r="1323" spans="1:23">
      <c r="A1323" s="27">
        <v>44469</v>
      </c>
      <c r="B1323" s="773" t="s">
        <v>140</v>
      </c>
      <c r="C1323" s="773">
        <v>739</v>
      </c>
      <c r="D1323" s="773">
        <v>2</v>
      </c>
      <c r="E1323" s="773" t="s">
        <v>410</v>
      </c>
      <c r="S1323" s="27">
        <v>44561</v>
      </c>
      <c r="T1323" s="773" t="s">
        <v>132</v>
      </c>
      <c r="U1323" s="773">
        <v>256</v>
      </c>
      <c r="V1323" s="773">
        <v>707</v>
      </c>
      <c r="W1323" s="773" t="s">
        <v>390</v>
      </c>
    </row>
    <row r="1324" spans="1:23">
      <c r="A1324" s="27">
        <v>44834</v>
      </c>
      <c r="B1324" s="773" t="s">
        <v>140</v>
      </c>
      <c r="C1324" s="773">
        <v>478</v>
      </c>
      <c r="D1324" s="773">
        <v>2210</v>
      </c>
      <c r="E1324" s="773" t="s">
        <v>390</v>
      </c>
      <c r="S1324" s="27">
        <v>44561</v>
      </c>
      <c r="T1324" s="773" t="s">
        <v>132</v>
      </c>
      <c r="U1324" s="773">
        <v>315</v>
      </c>
      <c r="V1324" s="773">
        <v>310</v>
      </c>
      <c r="W1324" s="773" t="s">
        <v>390</v>
      </c>
    </row>
    <row r="1325" spans="1:23">
      <c r="A1325" s="27">
        <v>44469</v>
      </c>
      <c r="B1325" s="773" t="s">
        <v>140</v>
      </c>
      <c r="C1325" s="773">
        <v>453</v>
      </c>
      <c r="D1325" s="773">
        <v>2322</v>
      </c>
      <c r="E1325" s="773" t="s">
        <v>390</v>
      </c>
      <c r="S1325" s="27">
        <v>44561</v>
      </c>
      <c r="T1325" s="773" t="s">
        <v>132</v>
      </c>
      <c r="U1325" s="773">
        <v>239</v>
      </c>
      <c r="V1325" s="773">
        <v>3199</v>
      </c>
      <c r="W1325" s="773" t="s">
        <v>390</v>
      </c>
    </row>
    <row r="1326" spans="1:23">
      <c r="A1326" s="27">
        <v>44834</v>
      </c>
      <c r="B1326" s="773" t="s">
        <v>140</v>
      </c>
      <c r="C1326" s="773">
        <v>722</v>
      </c>
      <c r="D1326" s="773">
        <v>1913</v>
      </c>
      <c r="E1326" s="773" t="s">
        <v>390</v>
      </c>
      <c r="S1326" s="27">
        <v>44561</v>
      </c>
      <c r="T1326" s="773" t="s">
        <v>132</v>
      </c>
      <c r="U1326" s="773">
        <v>47</v>
      </c>
      <c r="V1326" s="773">
        <v>1</v>
      </c>
      <c r="W1326" s="773" t="s">
        <v>410</v>
      </c>
    </row>
    <row r="1327" spans="1:23">
      <c r="A1327" s="27">
        <v>44469</v>
      </c>
      <c r="B1327" s="773" t="s">
        <v>140</v>
      </c>
      <c r="C1327" s="773">
        <v>659</v>
      </c>
      <c r="D1327" s="773">
        <v>678</v>
      </c>
      <c r="E1327" s="773" t="s">
        <v>390</v>
      </c>
      <c r="S1327" s="27">
        <v>44561</v>
      </c>
      <c r="T1327" s="773" t="s">
        <v>132</v>
      </c>
      <c r="U1327" s="773">
        <v>699</v>
      </c>
      <c r="V1327" s="773">
        <v>2169</v>
      </c>
      <c r="W1327" s="773" t="s">
        <v>390</v>
      </c>
    </row>
    <row r="1328" spans="1:23">
      <c r="A1328" s="27">
        <v>44469</v>
      </c>
      <c r="B1328" s="773" t="s">
        <v>140</v>
      </c>
      <c r="C1328" s="773">
        <v>626</v>
      </c>
      <c r="D1328" s="773">
        <v>2472</v>
      </c>
      <c r="E1328" s="773" t="s">
        <v>390</v>
      </c>
      <c r="S1328" s="27">
        <v>44561</v>
      </c>
      <c r="T1328" s="773" t="s">
        <v>132</v>
      </c>
      <c r="U1328" s="773">
        <v>215</v>
      </c>
      <c r="V1328" s="773">
        <v>689</v>
      </c>
      <c r="W1328" s="773" t="s">
        <v>390</v>
      </c>
    </row>
    <row r="1329" spans="1:23">
      <c r="A1329" s="27">
        <v>44469</v>
      </c>
      <c r="B1329" s="773" t="s">
        <v>140</v>
      </c>
      <c r="C1329" s="773">
        <v>198</v>
      </c>
      <c r="D1329" s="773">
        <v>4</v>
      </c>
      <c r="E1329" s="773" t="s">
        <v>410</v>
      </c>
      <c r="S1329" s="27">
        <v>44196</v>
      </c>
      <c r="T1329" s="773" t="s">
        <v>132</v>
      </c>
      <c r="U1329" s="773">
        <v>58</v>
      </c>
      <c r="V1329" s="773">
        <v>3</v>
      </c>
      <c r="W1329" s="773" t="s">
        <v>410</v>
      </c>
    </row>
    <row r="1330" spans="1:23">
      <c r="A1330" s="27">
        <v>44469</v>
      </c>
      <c r="B1330" s="773" t="s">
        <v>140</v>
      </c>
      <c r="C1330" s="773">
        <v>710</v>
      </c>
      <c r="D1330" s="773">
        <v>2737</v>
      </c>
      <c r="E1330" s="773" t="s">
        <v>390</v>
      </c>
      <c r="S1330" s="27">
        <v>44561</v>
      </c>
      <c r="T1330" s="773" t="s">
        <v>132</v>
      </c>
      <c r="U1330" s="773">
        <v>132</v>
      </c>
      <c r="V1330" s="773">
        <v>2923</v>
      </c>
      <c r="W1330" s="773" t="s">
        <v>390</v>
      </c>
    </row>
    <row r="1331" spans="1:23">
      <c r="A1331" s="27">
        <v>44834</v>
      </c>
      <c r="B1331" s="773" t="s">
        <v>140</v>
      </c>
      <c r="C1331" s="773">
        <v>659</v>
      </c>
      <c r="D1331" s="773">
        <v>701</v>
      </c>
      <c r="E1331" s="773" t="s">
        <v>390</v>
      </c>
      <c r="S1331" s="27">
        <v>44561</v>
      </c>
      <c r="T1331" s="773" t="s">
        <v>132</v>
      </c>
      <c r="U1331" s="773">
        <v>312</v>
      </c>
      <c r="V1331" s="773">
        <v>2284</v>
      </c>
      <c r="W1331" s="773" t="s">
        <v>390</v>
      </c>
    </row>
    <row r="1332" spans="1:23">
      <c r="A1332" s="27">
        <v>44834</v>
      </c>
      <c r="B1332" s="773" t="s">
        <v>140</v>
      </c>
      <c r="C1332" s="773">
        <v>379</v>
      </c>
      <c r="D1332" s="773">
        <v>1</v>
      </c>
      <c r="E1332" s="773" t="s">
        <v>410</v>
      </c>
      <c r="S1332" s="27">
        <v>44196</v>
      </c>
      <c r="T1332" s="773" t="s">
        <v>132</v>
      </c>
      <c r="U1332" s="773">
        <v>145</v>
      </c>
      <c r="V1332" s="773">
        <v>1</v>
      </c>
      <c r="W1332" s="773" t="s">
        <v>410</v>
      </c>
    </row>
    <row r="1333" spans="1:23">
      <c r="A1333" s="27">
        <v>44834</v>
      </c>
      <c r="B1333" s="773" t="s">
        <v>140</v>
      </c>
      <c r="C1333" s="773">
        <v>548</v>
      </c>
      <c r="D1333" s="773">
        <v>578</v>
      </c>
      <c r="E1333" s="773" t="s">
        <v>390</v>
      </c>
      <c r="S1333" s="27">
        <v>44561</v>
      </c>
      <c r="T1333" s="773" t="s">
        <v>132</v>
      </c>
      <c r="U1333" s="773">
        <v>153</v>
      </c>
      <c r="V1333" s="773">
        <v>2049</v>
      </c>
      <c r="W1333" s="773" t="s">
        <v>390</v>
      </c>
    </row>
    <row r="1334" spans="1:23">
      <c r="A1334" s="27">
        <v>44834</v>
      </c>
      <c r="B1334" s="773" t="s">
        <v>140</v>
      </c>
      <c r="C1334" s="773">
        <v>574</v>
      </c>
      <c r="D1334" s="773">
        <v>2518</v>
      </c>
      <c r="E1334" s="773" t="s">
        <v>390</v>
      </c>
      <c r="S1334" s="27">
        <v>44561</v>
      </c>
      <c r="T1334" s="773" t="s">
        <v>132</v>
      </c>
      <c r="U1334" s="773">
        <v>621</v>
      </c>
      <c r="V1334" s="773">
        <v>2264</v>
      </c>
      <c r="W1334" s="773" t="s">
        <v>390</v>
      </c>
    </row>
    <row r="1335" spans="1:23">
      <c r="A1335" s="27">
        <v>44834</v>
      </c>
      <c r="B1335" s="773" t="s">
        <v>140</v>
      </c>
      <c r="C1335" s="773">
        <v>558</v>
      </c>
      <c r="D1335" s="773">
        <v>1282</v>
      </c>
      <c r="E1335" s="773" t="s">
        <v>390</v>
      </c>
      <c r="S1335" s="27">
        <v>44196</v>
      </c>
      <c r="T1335" s="773" t="s">
        <v>132</v>
      </c>
      <c r="U1335" s="773">
        <v>11</v>
      </c>
      <c r="V1335" s="773">
        <v>31</v>
      </c>
      <c r="W1335" s="773" t="s">
        <v>410</v>
      </c>
    </row>
    <row r="1336" spans="1:23">
      <c r="A1336" s="27">
        <v>44469</v>
      </c>
      <c r="B1336" s="773" t="s">
        <v>140</v>
      </c>
      <c r="C1336" s="773">
        <v>346</v>
      </c>
      <c r="D1336" s="773">
        <v>3</v>
      </c>
      <c r="E1336" s="773" t="s">
        <v>410</v>
      </c>
      <c r="S1336" s="27">
        <v>44196</v>
      </c>
      <c r="T1336" s="773" t="s">
        <v>132</v>
      </c>
      <c r="U1336" s="773">
        <v>39</v>
      </c>
      <c r="V1336" s="773">
        <v>1</v>
      </c>
      <c r="W1336" s="773" t="s">
        <v>410</v>
      </c>
    </row>
    <row r="1337" spans="1:23">
      <c r="A1337" s="27">
        <v>44469</v>
      </c>
      <c r="B1337" s="773" t="s">
        <v>140</v>
      </c>
      <c r="C1337" s="773">
        <v>370</v>
      </c>
      <c r="D1337" s="773">
        <v>1</v>
      </c>
      <c r="E1337" s="773" t="s">
        <v>410</v>
      </c>
      <c r="S1337" s="27">
        <v>44196</v>
      </c>
      <c r="T1337" s="773" t="s">
        <v>132</v>
      </c>
      <c r="U1337" s="773">
        <v>35</v>
      </c>
      <c r="V1337" s="773">
        <v>886</v>
      </c>
      <c r="W1337" s="773" t="s">
        <v>390</v>
      </c>
    </row>
    <row r="1338" spans="1:23">
      <c r="A1338" s="27">
        <v>44834</v>
      </c>
      <c r="B1338" s="773" t="s">
        <v>140</v>
      </c>
      <c r="C1338" s="773">
        <v>556</v>
      </c>
      <c r="D1338" s="773">
        <v>2680</v>
      </c>
      <c r="E1338" s="773" t="s">
        <v>390</v>
      </c>
      <c r="S1338" s="27">
        <v>44196</v>
      </c>
      <c r="T1338" s="773" t="s">
        <v>132</v>
      </c>
      <c r="U1338" s="773">
        <v>665</v>
      </c>
      <c r="V1338" s="773">
        <v>2524</v>
      </c>
      <c r="W1338" s="773" t="s">
        <v>390</v>
      </c>
    </row>
    <row r="1339" spans="1:23">
      <c r="A1339" s="27">
        <v>44834</v>
      </c>
      <c r="B1339" s="773" t="s">
        <v>140</v>
      </c>
      <c r="C1339" s="773">
        <v>510</v>
      </c>
      <c r="D1339" s="773">
        <v>875</v>
      </c>
      <c r="E1339" s="773" t="s">
        <v>390</v>
      </c>
      <c r="S1339" s="27">
        <v>44561</v>
      </c>
      <c r="T1339" s="773" t="s">
        <v>132</v>
      </c>
      <c r="U1339" s="773">
        <v>276</v>
      </c>
      <c r="V1339" s="773">
        <v>1</v>
      </c>
      <c r="W1339" s="773" t="s">
        <v>410</v>
      </c>
    </row>
    <row r="1340" spans="1:23">
      <c r="A1340" s="27">
        <v>44834</v>
      </c>
      <c r="B1340" s="773" t="s">
        <v>140</v>
      </c>
      <c r="C1340" s="773">
        <v>0</v>
      </c>
      <c r="D1340" s="773">
        <v>7</v>
      </c>
      <c r="E1340" s="773" t="s">
        <v>410</v>
      </c>
      <c r="S1340" s="27">
        <v>44561</v>
      </c>
      <c r="T1340" s="773" t="s">
        <v>132</v>
      </c>
      <c r="U1340" s="773">
        <v>161</v>
      </c>
      <c r="V1340" s="773">
        <v>4</v>
      </c>
      <c r="W1340" s="773" t="s">
        <v>410</v>
      </c>
    </row>
    <row r="1341" spans="1:23">
      <c r="A1341" s="27">
        <v>44834</v>
      </c>
      <c r="B1341" s="773" t="s">
        <v>140</v>
      </c>
      <c r="C1341" s="773">
        <v>732</v>
      </c>
      <c r="D1341" s="773">
        <v>3</v>
      </c>
      <c r="E1341" s="773" t="s">
        <v>410</v>
      </c>
      <c r="S1341" s="27">
        <v>44196</v>
      </c>
      <c r="T1341" s="773" t="s">
        <v>132</v>
      </c>
      <c r="U1341" s="773">
        <v>342</v>
      </c>
      <c r="V1341" s="773">
        <v>2828</v>
      </c>
      <c r="W1341" s="773" t="s">
        <v>390</v>
      </c>
    </row>
    <row r="1342" spans="1:23">
      <c r="A1342" s="27">
        <v>44834</v>
      </c>
      <c r="B1342" s="773" t="s">
        <v>140</v>
      </c>
      <c r="C1342" s="773">
        <v>458</v>
      </c>
      <c r="D1342" s="773">
        <v>1</v>
      </c>
      <c r="E1342" s="773" t="s">
        <v>410</v>
      </c>
      <c r="S1342" s="27">
        <v>44561</v>
      </c>
      <c r="T1342" s="773" t="s">
        <v>132</v>
      </c>
      <c r="U1342" s="773">
        <v>264</v>
      </c>
      <c r="V1342" s="773">
        <v>766</v>
      </c>
      <c r="W1342" s="773" t="s">
        <v>390</v>
      </c>
    </row>
    <row r="1343" spans="1:23">
      <c r="A1343" s="27">
        <v>44834</v>
      </c>
      <c r="B1343" s="773" t="s">
        <v>140</v>
      </c>
      <c r="C1343" s="773">
        <v>742</v>
      </c>
      <c r="D1343" s="773">
        <v>1</v>
      </c>
      <c r="E1343" s="773" t="s">
        <v>410</v>
      </c>
      <c r="S1343" s="27">
        <v>44561</v>
      </c>
      <c r="T1343" s="773" t="s">
        <v>132</v>
      </c>
      <c r="U1343" s="773">
        <v>218</v>
      </c>
      <c r="V1343" s="773">
        <v>915</v>
      </c>
      <c r="W1343" s="773" t="s">
        <v>390</v>
      </c>
    </row>
    <row r="1344" spans="1:23">
      <c r="A1344" s="27">
        <v>44834</v>
      </c>
      <c r="B1344" s="773" t="s">
        <v>140</v>
      </c>
      <c r="C1344" s="773">
        <v>576</v>
      </c>
      <c r="D1344" s="773">
        <v>248</v>
      </c>
      <c r="E1344" s="773" t="s">
        <v>390</v>
      </c>
      <c r="S1344" s="27">
        <v>44561</v>
      </c>
      <c r="T1344" s="773" t="s">
        <v>132</v>
      </c>
      <c r="U1344" s="773">
        <v>367</v>
      </c>
      <c r="V1344" s="773">
        <v>14</v>
      </c>
      <c r="W1344" s="773" t="s">
        <v>410</v>
      </c>
    </row>
    <row r="1345" spans="1:23">
      <c r="A1345" s="27">
        <v>44834</v>
      </c>
      <c r="B1345" s="773" t="s">
        <v>140</v>
      </c>
      <c r="C1345" s="773">
        <v>555</v>
      </c>
      <c r="D1345" s="773">
        <v>1633</v>
      </c>
      <c r="E1345" s="773" t="s">
        <v>390</v>
      </c>
      <c r="S1345" s="27">
        <v>44196</v>
      </c>
      <c r="T1345" s="773" t="s">
        <v>132</v>
      </c>
      <c r="U1345" s="773">
        <v>621</v>
      </c>
      <c r="V1345" s="773">
        <v>2383</v>
      </c>
      <c r="W1345" s="773" t="s">
        <v>390</v>
      </c>
    </row>
    <row r="1346" spans="1:23">
      <c r="A1346" s="27">
        <v>44834</v>
      </c>
      <c r="B1346" s="773" t="s">
        <v>140</v>
      </c>
      <c r="C1346" s="773">
        <v>691</v>
      </c>
      <c r="D1346" s="773">
        <v>212</v>
      </c>
      <c r="E1346" s="773" t="s">
        <v>390</v>
      </c>
      <c r="S1346" s="27">
        <v>44196</v>
      </c>
      <c r="T1346" s="773" t="s">
        <v>132</v>
      </c>
      <c r="U1346" s="773">
        <v>255</v>
      </c>
      <c r="V1346" s="773">
        <v>2676</v>
      </c>
      <c r="W1346" s="773" t="s">
        <v>390</v>
      </c>
    </row>
    <row r="1347" spans="1:23">
      <c r="A1347" s="27">
        <v>44469</v>
      </c>
      <c r="B1347" s="773" t="s">
        <v>140</v>
      </c>
      <c r="C1347" s="773">
        <v>279</v>
      </c>
      <c r="D1347" s="773">
        <v>1</v>
      </c>
      <c r="E1347" s="773" t="s">
        <v>410</v>
      </c>
      <c r="S1347" s="27">
        <v>44196</v>
      </c>
      <c r="T1347" s="773" t="s">
        <v>132</v>
      </c>
      <c r="U1347" s="773">
        <v>681</v>
      </c>
      <c r="V1347" s="773">
        <v>823</v>
      </c>
      <c r="W1347" s="773" t="s">
        <v>390</v>
      </c>
    </row>
    <row r="1348" spans="1:23">
      <c r="A1348" s="27">
        <v>44469</v>
      </c>
      <c r="B1348" s="773" t="s">
        <v>140</v>
      </c>
      <c r="C1348" s="773">
        <v>379</v>
      </c>
      <c r="D1348" s="773">
        <v>1</v>
      </c>
      <c r="E1348" s="773" t="s">
        <v>410</v>
      </c>
      <c r="S1348" s="27">
        <v>44196</v>
      </c>
      <c r="T1348" s="773" t="s">
        <v>132</v>
      </c>
      <c r="U1348" s="773">
        <v>1</v>
      </c>
      <c r="V1348" s="773">
        <v>1</v>
      </c>
      <c r="W1348" s="773" t="s">
        <v>410</v>
      </c>
    </row>
    <row r="1349" spans="1:23">
      <c r="A1349" s="27">
        <v>44834</v>
      </c>
      <c r="B1349" s="773" t="s">
        <v>140</v>
      </c>
      <c r="C1349" s="773">
        <v>359</v>
      </c>
      <c r="D1349" s="773">
        <v>743</v>
      </c>
      <c r="E1349" s="773" t="s">
        <v>390</v>
      </c>
      <c r="S1349" s="27">
        <v>44561</v>
      </c>
      <c r="T1349" s="773" t="s">
        <v>132</v>
      </c>
      <c r="U1349" s="773">
        <v>58</v>
      </c>
      <c r="V1349" s="773">
        <v>3</v>
      </c>
      <c r="W1349" s="773" t="s">
        <v>410</v>
      </c>
    </row>
    <row r="1350" spans="1:23">
      <c r="A1350" s="27">
        <v>44834</v>
      </c>
      <c r="B1350" s="773" t="s">
        <v>140</v>
      </c>
      <c r="C1350" s="773">
        <v>582</v>
      </c>
      <c r="D1350" s="773">
        <v>2273</v>
      </c>
      <c r="E1350" s="773" t="s">
        <v>390</v>
      </c>
      <c r="S1350" s="27">
        <v>44196</v>
      </c>
      <c r="T1350" s="773" t="s">
        <v>132</v>
      </c>
      <c r="U1350" s="773">
        <v>666</v>
      </c>
      <c r="V1350" s="773">
        <v>1385</v>
      </c>
      <c r="W1350" s="773" t="s">
        <v>390</v>
      </c>
    </row>
    <row r="1351" spans="1:23">
      <c r="A1351" s="27">
        <v>44834</v>
      </c>
      <c r="B1351" s="773" t="s">
        <v>140</v>
      </c>
      <c r="C1351" s="773">
        <v>740</v>
      </c>
      <c r="D1351" s="773">
        <v>373</v>
      </c>
      <c r="E1351" s="773" t="s">
        <v>390</v>
      </c>
      <c r="S1351" s="27">
        <v>44561</v>
      </c>
      <c r="T1351" s="773" t="s">
        <v>132</v>
      </c>
      <c r="U1351" s="773">
        <v>653</v>
      </c>
      <c r="V1351" s="773">
        <v>87</v>
      </c>
      <c r="W1351" s="773" t="s">
        <v>410</v>
      </c>
    </row>
    <row r="1352" spans="1:23">
      <c r="A1352" s="27">
        <v>44469</v>
      </c>
      <c r="B1352" s="773" t="s">
        <v>140</v>
      </c>
      <c r="C1352" s="773">
        <v>628</v>
      </c>
      <c r="D1352" s="773">
        <v>1589</v>
      </c>
      <c r="E1352" s="773" t="s">
        <v>390</v>
      </c>
      <c r="S1352" s="27">
        <v>44196</v>
      </c>
      <c r="T1352" s="773" t="s">
        <v>132</v>
      </c>
      <c r="U1352" s="773">
        <v>292</v>
      </c>
      <c r="V1352" s="773">
        <v>8</v>
      </c>
      <c r="W1352" s="773" t="s">
        <v>410</v>
      </c>
    </row>
    <row r="1353" spans="1:23">
      <c r="A1353" s="27">
        <v>44834</v>
      </c>
      <c r="B1353" s="773" t="s">
        <v>140</v>
      </c>
      <c r="C1353" s="773">
        <v>530</v>
      </c>
      <c r="D1353" s="773">
        <v>1</v>
      </c>
      <c r="E1353" s="773" t="s">
        <v>410</v>
      </c>
      <c r="S1353" s="27">
        <v>44561</v>
      </c>
      <c r="T1353" s="773" t="s">
        <v>132</v>
      </c>
      <c r="U1353" s="773">
        <v>652</v>
      </c>
      <c r="V1353" s="773">
        <v>2750</v>
      </c>
      <c r="W1353" s="773" t="s">
        <v>390</v>
      </c>
    </row>
    <row r="1354" spans="1:23">
      <c r="A1354" s="27">
        <v>44469</v>
      </c>
      <c r="B1354" s="773" t="s">
        <v>140</v>
      </c>
      <c r="C1354" s="773">
        <v>0</v>
      </c>
      <c r="D1354" s="773">
        <v>8</v>
      </c>
      <c r="E1354" s="773" t="s">
        <v>410</v>
      </c>
      <c r="S1354" s="27">
        <v>44561</v>
      </c>
      <c r="T1354" s="773" t="s">
        <v>132</v>
      </c>
      <c r="U1354" s="773">
        <v>318</v>
      </c>
      <c r="V1354" s="773">
        <v>1973</v>
      </c>
      <c r="W1354" s="773" t="s">
        <v>390</v>
      </c>
    </row>
    <row r="1355" spans="1:23">
      <c r="A1355" s="27">
        <v>44834</v>
      </c>
      <c r="B1355" s="773" t="s">
        <v>140</v>
      </c>
      <c r="C1355" s="773">
        <v>616</v>
      </c>
      <c r="D1355" s="773">
        <v>1</v>
      </c>
      <c r="E1355" s="773" t="s">
        <v>410</v>
      </c>
      <c r="S1355" s="27">
        <v>44196</v>
      </c>
      <c r="T1355" s="773" t="s">
        <v>132</v>
      </c>
      <c r="U1355" s="773">
        <v>66</v>
      </c>
      <c r="V1355" s="773">
        <v>99</v>
      </c>
      <c r="W1355" s="773" t="s">
        <v>410</v>
      </c>
    </row>
    <row r="1356" spans="1:23">
      <c r="A1356" s="27">
        <v>44834</v>
      </c>
      <c r="B1356" s="773" t="s">
        <v>140</v>
      </c>
      <c r="C1356" s="773">
        <v>485</v>
      </c>
      <c r="D1356" s="773">
        <v>1298</v>
      </c>
      <c r="E1356" s="773" t="s">
        <v>390</v>
      </c>
      <c r="S1356" s="27">
        <v>44561</v>
      </c>
      <c r="T1356" s="773" t="s">
        <v>132</v>
      </c>
      <c r="U1356" s="773">
        <v>72</v>
      </c>
      <c r="V1356" s="773">
        <v>3</v>
      </c>
      <c r="W1356" s="773" t="s">
        <v>410</v>
      </c>
    </row>
    <row r="1357" spans="1:23">
      <c r="A1357" s="27">
        <v>44469</v>
      </c>
      <c r="B1357" s="773" t="s">
        <v>140</v>
      </c>
      <c r="C1357" s="773">
        <v>493</v>
      </c>
      <c r="D1357" s="773">
        <v>7</v>
      </c>
      <c r="E1357" s="773" t="s">
        <v>410</v>
      </c>
      <c r="S1357" s="27">
        <v>44561</v>
      </c>
      <c r="T1357" s="773" t="s">
        <v>132</v>
      </c>
      <c r="U1357" s="773">
        <v>626</v>
      </c>
      <c r="V1357" s="773">
        <v>5</v>
      </c>
      <c r="W1357" s="773" t="s">
        <v>410</v>
      </c>
    </row>
    <row r="1358" spans="1:23">
      <c r="A1358" s="27">
        <v>44834</v>
      </c>
      <c r="B1358" s="773" t="s">
        <v>140</v>
      </c>
      <c r="C1358" s="773">
        <v>760</v>
      </c>
      <c r="D1358" s="773">
        <v>96</v>
      </c>
      <c r="E1358" s="773" t="s">
        <v>410</v>
      </c>
      <c r="S1358" s="27">
        <v>44196</v>
      </c>
      <c r="T1358" s="773" t="s">
        <v>132</v>
      </c>
      <c r="U1358" s="773">
        <v>42</v>
      </c>
      <c r="V1358" s="773">
        <v>1</v>
      </c>
      <c r="W1358" s="773" t="s">
        <v>410</v>
      </c>
    </row>
    <row r="1359" spans="1:23">
      <c r="A1359" s="27">
        <v>44834</v>
      </c>
      <c r="B1359" s="773" t="s">
        <v>140</v>
      </c>
      <c r="C1359" s="773">
        <v>469</v>
      </c>
      <c r="D1359" s="773">
        <v>18</v>
      </c>
      <c r="E1359" s="773" t="s">
        <v>410</v>
      </c>
      <c r="S1359" s="27">
        <v>44561</v>
      </c>
      <c r="T1359" s="773" t="s">
        <v>132</v>
      </c>
      <c r="U1359" s="773">
        <v>139</v>
      </c>
      <c r="V1359" s="773">
        <v>3012</v>
      </c>
      <c r="W1359" s="773" t="s">
        <v>390</v>
      </c>
    </row>
    <row r="1360" spans="1:23">
      <c r="A1360" s="27">
        <v>44469</v>
      </c>
      <c r="B1360" s="773" t="s">
        <v>140</v>
      </c>
      <c r="C1360" s="773">
        <v>587</v>
      </c>
      <c r="D1360" s="773">
        <v>1</v>
      </c>
      <c r="E1360" s="773" t="s">
        <v>410</v>
      </c>
      <c r="S1360" s="27">
        <v>44561</v>
      </c>
      <c r="T1360" s="773" t="s">
        <v>132</v>
      </c>
      <c r="U1360" s="773">
        <v>254</v>
      </c>
      <c r="V1360" s="773">
        <v>7</v>
      </c>
      <c r="W1360" s="773" t="s">
        <v>410</v>
      </c>
    </row>
    <row r="1361" spans="1:23">
      <c r="A1361" s="27">
        <v>44469</v>
      </c>
      <c r="B1361" s="773" t="s">
        <v>140</v>
      </c>
      <c r="C1361" s="773">
        <v>585</v>
      </c>
      <c r="D1361" s="773">
        <v>2221</v>
      </c>
      <c r="E1361" s="773" t="s">
        <v>390</v>
      </c>
      <c r="S1361" s="27">
        <v>44196</v>
      </c>
      <c r="T1361" s="773" t="s">
        <v>132</v>
      </c>
      <c r="U1361" s="773">
        <v>93</v>
      </c>
      <c r="V1361" s="773">
        <v>14679</v>
      </c>
      <c r="W1361" s="773" t="s">
        <v>390</v>
      </c>
    </row>
    <row r="1362" spans="1:23">
      <c r="A1362" s="27">
        <v>44469</v>
      </c>
      <c r="B1362" s="773" t="s">
        <v>140</v>
      </c>
      <c r="C1362" s="773">
        <v>719</v>
      </c>
      <c r="D1362" s="773">
        <v>24</v>
      </c>
      <c r="E1362" s="773" t="s">
        <v>410</v>
      </c>
      <c r="S1362" s="27">
        <v>44561</v>
      </c>
      <c r="T1362" s="773" t="s">
        <v>132</v>
      </c>
      <c r="U1362" s="773">
        <v>678</v>
      </c>
      <c r="V1362" s="773">
        <v>2776</v>
      </c>
      <c r="W1362" s="773" t="s">
        <v>390</v>
      </c>
    </row>
    <row r="1363" spans="1:23">
      <c r="A1363" s="27">
        <v>44469</v>
      </c>
      <c r="B1363" s="773" t="s">
        <v>140</v>
      </c>
      <c r="C1363" s="773">
        <v>530</v>
      </c>
      <c r="D1363" s="773">
        <v>1</v>
      </c>
      <c r="E1363" s="773" t="s">
        <v>410</v>
      </c>
      <c r="S1363" s="27">
        <v>44561</v>
      </c>
      <c r="T1363" s="773" t="s">
        <v>132</v>
      </c>
      <c r="U1363" s="773">
        <v>636</v>
      </c>
      <c r="V1363" s="773">
        <v>20</v>
      </c>
      <c r="W1363" s="773" t="s">
        <v>410</v>
      </c>
    </row>
    <row r="1364" spans="1:23">
      <c r="A1364" s="27">
        <v>44834</v>
      </c>
      <c r="B1364" s="773" t="s">
        <v>140</v>
      </c>
      <c r="C1364" s="773">
        <v>525</v>
      </c>
      <c r="D1364" s="773">
        <v>1855</v>
      </c>
      <c r="E1364" s="773" t="s">
        <v>390</v>
      </c>
      <c r="S1364" s="27">
        <v>44196</v>
      </c>
      <c r="T1364" s="773" t="s">
        <v>132</v>
      </c>
      <c r="U1364" s="773">
        <v>231</v>
      </c>
      <c r="V1364" s="773">
        <v>5</v>
      </c>
      <c r="W1364" s="773" t="s">
        <v>410</v>
      </c>
    </row>
    <row r="1365" spans="1:23">
      <c r="A1365" s="27">
        <v>44834</v>
      </c>
      <c r="B1365" s="773" t="s">
        <v>140</v>
      </c>
      <c r="C1365" s="773">
        <v>338</v>
      </c>
      <c r="D1365" s="773">
        <v>2434</v>
      </c>
      <c r="E1365" s="773" t="s">
        <v>390</v>
      </c>
      <c r="S1365" s="27">
        <v>44561</v>
      </c>
      <c r="T1365" s="773" t="s">
        <v>132</v>
      </c>
      <c r="U1365" s="773">
        <v>322</v>
      </c>
      <c r="V1365" s="773">
        <v>2049</v>
      </c>
      <c r="W1365" s="773" t="s">
        <v>390</v>
      </c>
    </row>
    <row r="1366" spans="1:23">
      <c r="A1366" s="27">
        <v>44834</v>
      </c>
      <c r="B1366" s="773" t="s">
        <v>140</v>
      </c>
      <c r="C1366" s="773">
        <v>346</v>
      </c>
      <c r="D1366" s="773">
        <v>3</v>
      </c>
      <c r="E1366" s="773" t="s">
        <v>410</v>
      </c>
      <c r="S1366" s="27">
        <v>44196</v>
      </c>
      <c r="T1366" s="773" t="s">
        <v>132</v>
      </c>
      <c r="U1366" s="773">
        <v>636</v>
      </c>
      <c r="V1366" s="773">
        <v>15</v>
      </c>
      <c r="W1366" s="773" t="s">
        <v>410</v>
      </c>
    </row>
    <row r="1367" spans="1:23">
      <c r="A1367" s="27">
        <v>44469</v>
      </c>
      <c r="B1367" s="773" t="s">
        <v>140</v>
      </c>
      <c r="C1367" s="773">
        <v>608</v>
      </c>
      <c r="D1367" s="773">
        <v>2651</v>
      </c>
      <c r="E1367" s="773" t="s">
        <v>390</v>
      </c>
      <c r="S1367" s="27">
        <v>44196</v>
      </c>
      <c r="T1367" s="773" t="s">
        <v>132</v>
      </c>
      <c r="U1367" s="773">
        <v>650</v>
      </c>
      <c r="V1367" s="773">
        <v>110</v>
      </c>
      <c r="W1367" s="773" t="s">
        <v>390</v>
      </c>
    </row>
    <row r="1368" spans="1:23">
      <c r="A1368" s="27">
        <v>44469</v>
      </c>
      <c r="B1368" s="773" t="s">
        <v>140</v>
      </c>
      <c r="C1368" s="773">
        <v>248</v>
      </c>
      <c r="D1368" s="773">
        <v>442</v>
      </c>
      <c r="E1368" s="773" t="s">
        <v>390</v>
      </c>
      <c r="S1368" s="27">
        <v>44561</v>
      </c>
      <c r="T1368" s="773" t="s">
        <v>132</v>
      </c>
      <c r="U1368" s="773">
        <v>148</v>
      </c>
      <c r="V1368" s="773">
        <v>1</v>
      </c>
      <c r="W1368" s="773" t="s">
        <v>410</v>
      </c>
    </row>
    <row r="1369" spans="1:23">
      <c r="A1369" s="27">
        <v>44834</v>
      </c>
      <c r="B1369" s="773" t="s">
        <v>140</v>
      </c>
      <c r="C1369" s="773">
        <v>640</v>
      </c>
      <c r="D1369" s="773">
        <v>3019</v>
      </c>
      <c r="E1369" s="773" t="s">
        <v>390</v>
      </c>
      <c r="S1369" s="27">
        <v>44561</v>
      </c>
      <c r="T1369" s="773" t="s">
        <v>132</v>
      </c>
      <c r="U1369" s="773">
        <v>686</v>
      </c>
      <c r="V1369" s="773">
        <v>2408</v>
      </c>
      <c r="W1369" s="773" t="s">
        <v>390</v>
      </c>
    </row>
    <row r="1370" spans="1:23">
      <c r="A1370" s="27">
        <v>44469</v>
      </c>
      <c r="B1370" s="773" t="s">
        <v>140</v>
      </c>
      <c r="C1370" s="773">
        <v>476</v>
      </c>
      <c r="D1370" s="773">
        <v>1</v>
      </c>
      <c r="E1370" s="773" t="s">
        <v>410</v>
      </c>
      <c r="S1370" s="27">
        <v>44196</v>
      </c>
      <c r="T1370" s="773" t="s">
        <v>132</v>
      </c>
      <c r="U1370" s="773">
        <v>116</v>
      </c>
      <c r="V1370" s="773">
        <v>3</v>
      </c>
      <c r="W1370" s="773" t="s">
        <v>410</v>
      </c>
    </row>
    <row r="1371" spans="1:23">
      <c r="A1371" s="27">
        <v>44469</v>
      </c>
      <c r="B1371" s="773" t="s">
        <v>140</v>
      </c>
      <c r="C1371" s="773">
        <v>630</v>
      </c>
      <c r="D1371" s="773">
        <v>1</v>
      </c>
      <c r="E1371" s="773" t="s">
        <v>410</v>
      </c>
      <c r="S1371" s="27">
        <v>44196</v>
      </c>
      <c r="T1371" s="773" t="s">
        <v>132</v>
      </c>
      <c r="U1371" s="773">
        <v>290</v>
      </c>
      <c r="V1371" s="773">
        <v>2431</v>
      </c>
      <c r="W1371" s="773" t="s">
        <v>390</v>
      </c>
    </row>
    <row r="1372" spans="1:23">
      <c r="A1372" s="27">
        <v>44834</v>
      </c>
      <c r="B1372" s="773" t="s">
        <v>140</v>
      </c>
      <c r="C1372" s="773">
        <v>370</v>
      </c>
      <c r="D1372" s="773">
        <v>2</v>
      </c>
      <c r="E1372" s="773" t="s">
        <v>410</v>
      </c>
      <c r="S1372" s="27">
        <v>44561</v>
      </c>
      <c r="T1372" s="773" t="s">
        <v>132</v>
      </c>
      <c r="U1372" s="773">
        <v>43</v>
      </c>
      <c r="V1372" s="773">
        <v>1128</v>
      </c>
      <c r="W1372" s="773" t="s">
        <v>390</v>
      </c>
    </row>
    <row r="1373" spans="1:23">
      <c r="A1373" s="27">
        <v>44834</v>
      </c>
      <c r="B1373" s="773" t="s">
        <v>140</v>
      </c>
      <c r="C1373" s="773">
        <v>630</v>
      </c>
      <c r="D1373" s="773">
        <v>1</v>
      </c>
      <c r="E1373" s="773" t="s">
        <v>410</v>
      </c>
      <c r="S1373" s="27">
        <v>44196</v>
      </c>
      <c r="T1373" s="773" t="s">
        <v>132</v>
      </c>
      <c r="U1373" s="773">
        <v>52</v>
      </c>
      <c r="V1373" s="773">
        <v>2</v>
      </c>
      <c r="W1373" s="773" t="s">
        <v>410</v>
      </c>
    </row>
    <row r="1374" spans="1:23">
      <c r="A1374" s="27">
        <v>44834</v>
      </c>
      <c r="B1374" s="773" t="s">
        <v>140</v>
      </c>
      <c r="C1374" s="773">
        <v>453</v>
      </c>
      <c r="D1374" s="773">
        <v>2270</v>
      </c>
      <c r="E1374" s="773" t="s">
        <v>390</v>
      </c>
      <c r="S1374" s="27">
        <v>44196</v>
      </c>
      <c r="T1374" s="773" t="s">
        <v>132</v>
      </c>
      <c r="U1374" s="773">
        <v>216</v>
      </c>
      <c r="V1374" s="773">
        <v>2158</v>
      </c>
      <c r="W1374" s="773" t="s">
        <v>390</v>
      </c>
    </row>
    <row r="1375" spans="1:23">
      <c r="A1375" s="27">
        <v>44834</v>
      </c>
      <c r="B1375" s="773" t="s">
        <v>140</v>
      </c>
      <c r="C1375" s="773">
        <v>648</v>
      </c>
      <c r="D1375" s="773">
        <v>1372</v>
      </c>
      <c r="E1375" s="773" t="s">
        <v>390</v>
      </c>
      <c r="S1375" s="27">
        <v>44561</v>
      </c>
      <c r="T1375" s="773" t="s">
        <v>132</v>
      </c>
      <c r="U1375" s="773">
        <v>666</v>
      </c>
      <c r="V1375" s="773">
        <v>1442</v>
      </c>
      <c r="W1375" s="773" t="s">
        <v>390</v>
      </c>
    </row>
    <row r="1376" spans="1:23">
      <c r="A1376" s="27">
        <v>44469</v>
      </c>
      <c r="B1376" s="773" t="s">
        <v>140</v>
      </c>
      <c r="C1376" s="773">
        <v>383</v>
      </c>
      <c r="D1376" s="773">
        <v>4</v>
      </c>
      <c r="E1376" s="773" t="s">
        <v>410</v>
      </c>
      <c r="S1376" s="27">
        <v>44196</v>
      </c>
      <c r="T1376" s="773" t="s">
        <v>132</v>
      </c>
      <c r="U1376" s="773">
        <v>141</v>
      </c>
      <c r="V1376" s="773">
        <v>2309</v>
      </c>
      <c r="W1376" s="773" t="s">
        <v>390</v>
      </c>
    </row>
    <row r="1377" spans="1:23">
      <c r="A1377" s="27">
        <v>44469</v>
      </c>
      <c r="B1377" s="773" t="s">
        <v>140</v>
      </c>
      <c r="C1377" s="773">
        <v>502</v>
      </c>
      <c r="D1377" s="773">
        <v>5</v>
      </c>
      <c r="E1377" s="773" t="s">
        <v>410</v>
      </c>
      <c r="S1377" s="27">
        <v>44561</v>
      </c>
      <c r="T1377" s="773" t="s">
        <v>132</v>
      </c>
      <c r="U1377" s="773">
        <v>216</v>
      </c>
      <c r="V1377" s="773">
        <v>2049</v>
      </c>
      <c r="W1377" s="773" t="s">
        <v>390</v>
      </c>
    </row>
    <row r="1378" spans="1:23">
      <c r="A1378" s="27">
        <v>44469</v>
      </c>
      <c r="B1378" s="773" t="s">
        <v>140</v>
      </c>
      <c r="C1378" s="773">
        <v>601</v>
      </c>
      <c r="D1378" s="773">
        <v>3</v>
      </c>
      <c r="E1378" s="773" t="s">
        <v>410</v>
      </c>
      <c r="S1378" s="27">
        <v>44196</v>
      </c>
      <c r="T1378" s="773" t="s">
        <v>132</v>
      </c>
      <c r="U1378" s="773">
        <v>308</v>
      </c>
      <c r="V1378" s="773">
        <v>568</v>
      </c>
      <c r="W1378" s="773" t="s">
        <v>390</v>
      </c>
    </row>
    <row r="1379" spans="1:23">
      <c r="A1379" s="27">
        <v>44469</v>
      </c>
      <c r="B1379" s="773" t="s">
        <v>140</v>
      </c>
      <c r="C1379" s="773">
        <v>610</v>
      </c>
      <c r="D1379" s="773">
        <v>2938</v>
      </c>
      <c r="E1379" s="773" t="s">
        <v>390</v>
      </c>
      <c r="S1379" s="27">
        <v>44561</v>
      </c>
      <c r="T1379" s="773" t="s">
        <v>132</v>
      </c>
      <c r="U1379" s="773">
        <v>703</v>
      </c>
      <c r="V1379" s="773">
        <v>2354</v>
      </c>
      <c r="W1379" s="773" t="s">
        <v>390</v>
      </c>
    </row>
    <row r="1380" spans="1:23">
      <c r="A1380" s="27">
        <v>44469</v>
      </c>
      <c r="B1380" s="773" t="s">
        <v>140</v>
      </c>
      <c r="C1380" s="773">
        <v>678</v>
      </c>
      <c r="D1380" s="773">
        <v>2302</v>
      </c>
      <c r="E1380" s="773" t="s">
        <v>390</v>
      </c>
      <c r="S1380" s="27">
        <v>44561</v>
      </c>
      <c r="T1380" s="773" t="s">
        <v>132</v>
      </c>
      <c r="U1380" s="773">
        <v>650</v>
      </c>
      <c r="V1380" s="773">
        <v>74</v>
      </c>
      <c r="W1380" s="773" t="s">
        <v>410</v>
      </c>
    </row>
    <row r="1381" spans="1:23">
      <c r="A1381" s="27">
        <v>44469</v>
      </c>
      <c r="B1381" s="773" t="s">
        <v>140</v>
      </c>
      <c r="C1381" s="773">
        <v>540</v>
      </c>
      <c r="D1381" s="773">
        <v>1</v>
      </c>
      <c r="E1381" s="773" t="s">
        <v>410</v>
      </c>
      <c r="S1381" s="27">
        <v>44196</v>
      </c>
      <c r="T1381" s="773" t="s">
        <v>132</v>
      </c>
      <c r="U1381" s="773">
        <v>72</v>
      </c>
      <c r="V1381" s="773">
        <v>3</v>
      </c>
      <c r="W1381" s="773" t="s">
        <v>410</v>
      </c>
    </row>
    <row r="1382" spans="1:23">
      <c r="A1382" s="27">
        <v>44469</v>
      </c>
      <c r="B1382" s="773" t="s">
        <v>140</v>
      </c>
      <c r="C1382" s="773">
        <v>387</v>
      </c>
      <c r="D1382" s="773">
        <v>9</v>
      </c>
      <c r="E1382" s="773" t="s">
        <v>410</v>
      </c>
      <c r="S1382" s="27">
        <v>44561</v>
      </c>
      <c r="T1382" s="773" t="s">
        <v>132</v>
      </c>
      <c r="U1382" s="773">
        <v>56</v>
      </c>
      <c r="V1382" s="773">
        <v>43</v>
      </c>
      <c r="W1382" s="773" t="s">
        <v>410</v>
      </c>
    </row>
    <row r="1383" spans="1:23">
      <c r="A1383" s="27">
        <v>44469</v>
      </c>
      <c r="B1383" s="773" t="s">
        <v>140</v>
      </c>
      <c r="C1383" s="773">
        <v>338</v>
      </c>
      <c r="D1383" s="773">
        <v>2394</v>
      </c>
      <c r="E1383" s="773" t="s">
        <v>390</v>
      </c>
      <c r="S1383" s="27">
        <v>44561</v>
      </c>
      <c r="T1383" s="773" t="s">
        <v>132</v>
      </c>
      <c r="U1383" s="773">
        <v>663</v>
      </c>
      <c r="V1383" s="773">
        <v>1052</v>
      </c>
      <c r="W1383" s="773" t="s">
        <v>390</v>
      </c>
    </row>
    <row r="1384" spans="1:23">
      <c r="A1384" s="27">
        <v>44469</v>
      </c>
      <c r="B1384" s="773" t="s">
        <v>140</v>
      </c>
      <c r="C1384" s="773">
        <v>469</v>
      </c>
      <c r="D1384" s="773">
        <v>7</v>
      </c>
      <c r="E1384" s="773" t="s">
        <v>410</v>
      </c>
      <c r="S1384" s="27">
        <v>44561</v>
      </c>
      <c r="T1384" s="773" t="s">
        <v>132</v>
      </c>
      <c r="U1384" s="773">
        <v>237</v>
      </c>
      <c r="V1384" s="773">
        <v>24</v>
      </c>
      <c r="W1384" s="773" t="s">
        <v>410</v>
      </c>
    </row>
    <row r="1385" spans="1:23">
      <c r="A1385" s="27">
        <v>44834</v>
      </c>
      <c r="B1385" s="773" t="s">
        <v>140</v>
      </c>
      <c r="C1385" s="773">
        <v>597</v>
      </c>
      <c r="D1385" s="773">
        <v>1201</v>
      </c>
      <c r="E1385" s="773" t="s">
        <v>390</v>
      </c>
      <c r="S1385" s="27">
        <v>44196</v>
      </c>
      <c r="T1385" s="773" t="s">
        <v>132</v>
      </c>
      <c r="U1385" s="773">
        <v>191</v>
      </c>
      <c r="V1385" s="773">
        <v>2055</v>
      </c>
      <c r="W1385" s="773" t="s">
        <v>390</v>
      </c>
    </row>
    <row r="1386" spans="1:23">
      <c r="A1386" s="27">
        <v>44834</v>
      </c>
      <c r="B1386" s="773" t="s">
        <v>140</v>
      </c>
      <c r="C1386" s="773">
        <v>712</v>
      </c>
      <c r="D1386" s="773">
        <v>2</v>
      </c>
      <c r="E1386" s="773" t="s">
        <v>410</v>
      </c>
      <c r="S1386" s="27">
        <v>44196</v>
      </c>
      <c r="T1386" s="773" t="s">
        <v>132</v>
      </c>
      <c r="U1386" s="773">
        <v>169</v>
      </c>
      <c r="V1386" s="773">
        <v>2593</v>
      </c>
      <c r="W1386" s="773" t="s">
        <v>390</v>
      </c>
    </row>
    <row r="1387" spans="1:23">
      <c r="A1387" s="27">
        <v>44834</v>
      </c>
      <c r="B1387" s="773" t="s">
        <v>140</v>
      </c>
      <c r="C1387" s="773">
        <v>279</v>
      </c>
      <c r="D1387" s="773">
        <v>1</v>
      </c>
      <c r="E1387" s="773" t="s">
        <v>410</v>
      </c>
      <c r="S1387" s="27">
        <v>44196</v>
      </c>
      <c r="T1387" s="773" t="s">
        <v>132</v>
      </c>
      <c r="U1387" s="773">
        <v>237</v>
      </c>
      <c r="V1387" s="773">
        <v>34</v>
      </c>
      <c r="W1387" s="773" t="s">
        <v>410</v>
      </c>
    </row>
    <row r="1388" spans="1:23">
      <c r="A1388" s="27">
        <v>44469</v>
      </c>
      <c r="B1388" s="773" t="s">
        <v>140</v>
      </c>
      <c r="C1388" s="773">
        <v>548</v>
      </c>
      <c r="D1388" s="773">
        <v>538</v>
      </c>
      <c r="E1388" s="773" t="s">
        <v>390</v>
      </c>
      <c r="S1388" s="27">
        <v>44561</v>
      </c>
      <c r="T1388" s="773" t="s">
        <v>132</v>
      </c>
      <c r="U1388" s="773">
        <v>680</v>
      </c>
      <c r="V1388" s="773">
        <v>3090</v>
      </c>
      <c r="W1388" s="773" t="s">
        <v>390</v>
      </c>
    </row>
    <row r="1389" spans="1:23">
      <c r="A1389" s="27">
        <v>44469</v>
      </c>
      <c r="B1389" s="773" t="s">
        <v>140</v>
      </c>
      <c r="C1389" s="773">
        <v>758</v>
      </c>
      <c r="D1389" s="773">
        <v>1</v>
      </c>
      <c r="E1389" s="773" t="s">
        <v>410</v>
      </c>
      <c r="S1389" s="27">
        <v>44561</v>
      </c>
      <c r="T1389" s="773" t="s">
        <v>132</v>
      </c>
      <c r="U1389" s="773">
        <v>152</v>
      </c>
      <c r="V1389" s="773">
        <v>1</v>
      </c>
      <c r="W1389" s="773" t="s">
        <v>410</v>
      </c>
    </row>
    <row r="1390" spans="1:23">
      <c r="A1390" s="27">
        <v>44834</v>
      </c>
      <c r="B1390" s="773" t="s">
        <v>140</v>
      </c>
      <c r="C1390" s="773">
        <v>601</v>
      </c>
      <c r="D1390" s="773">
        <v>3</v>
      </c>
      <c r="E1390" s="773" t="s">
        <v>410</v>
      </c>
      <c r="S1390" s="27">
        <v>44196</v>
      </c>
      <c r="T1390" s="773" t="s">
        <v>132</v>
      </c>
      <c r="U1390" s="773">
        <v>213</v>
      </c>
      <c r="V1390" s="773">
        <v>2837</v>
      </c>
      <c r="W1390" s="773" t="s">
        <v>390</v>
      </c>
    </row>
    <row r="1391" spans="1:23">
      <c r="A1391" s="27">
        <v>44834</v>
      </c>
      <c r="B1391" s="773" t="s">
        <v>140</v>
      </c>
      <c r="C1391" s="773">
        <v>639</v>
      </c>
      <c r="D1391" s="773">
        <v>114</v>
      </c>
      <c r="E1391" s="773" t="s">
        <v>390</v>
      </c>
      <c r="S1391" s="27">
        <v>44561</v>
      </c>
      <c r="T1391" s="773" t="s">
        <v>132</v>
      </c>
      <c r="U1391" s="773">
        <v>145</v>
      </c>
      <c r="V1391" s="773">
        <v>2</v>
      </c>
      <c r="W1391" s="773" t="s">
        <v>410</v>
      </c>
    </row>
    <row r="1392" spans="1:23">
      <c r="A1392" s="27">
        <v>44469</v>
      </c>
      <c r="B1392" s="773" t="s">
        <v>140</v>
      </c>
      <c r="C1392" s="773">
        <v>639</v>
      </c>
      <c r="D1392" s="773">
        <v>95</v>
      </c>
      <c r="E1392" s="773" t="s">
        <v>410</v>
      </c>
      <c r="S1392" s="27">
        <v>44561</v>
      </c>
      <c r="T1392" s="773" t="s">
        <v>132</v>
      </c>
      <c r="U1392" s="773">
        <v>311</v>
      </c>
      <c r="V1392" s="773">
        <v>2343</v>
      </c>
      <c r="W1392" s="773" t="s">
        <v>390</v>
      </c>
    </row>
    <row r="1393" spans="1:23">
      <c r="A1393" s="27">
        <v>44469</v>
      </c>
      <c r="B1393" s="773" t="s">
        <v>140</v>
      </c>
      <c r="C1393" s="773">
        <v>597</v>
      </c>
      <c r="D1393" s="773">
        <v>1157</v>
      </c>
      <c r="E1393" s="773" t="s">
        <v>390</v>
      </c>
      <c r="S1393" s="27">
        <v>44561</v>
      </c>
      <c r="T1393" s="773" t="s">
        <v>132</v>
      </c>
      <c r="U1393" s="773">
        <v>317</v>
      </c>
      <c r="V1393" s="773">
        <v>2617</v>
      </c>
      <c r="W1393" s="773" t="s">
        <v>390</v>
      </c>
    </row>
    <row r="1394" spans="1:23">
      <c r="A1394" s="27">
        <v>44469</v>
      </c>
      <c r="B1394" s="773" t="s">
        <v>140</v>
      </c>
      <c r="C1394" s="773">
        <v>478</v>
      </c>
      <c r="D1394" s="773">
        <v>1983</v>
      </c>
      <c r="E1394" s="773" t="s">
        <v>390</v>
      </c>
      <c r="S1394" s="27">
        <v>44561</v>
      </c>
      <c r="T1394" s="773" t="s">
        <v>132</v>
      </c>
      <c r="U1394" s="773">
        <v>292</v>
      </c>
      <c r="V1394" s="773">
        <v>7</v>
      </c>
      <c r="W1394" s="773" t="s">
        <v>410</v>
      </c>
    </row>
    <row r="1395" spans="1:23">
      <c r="A1395" s="27">
        <v>44834</v>
      </c>
      <c r="B1395" s="773" t="s">
        <v>140</v>
      </c>
      <c r="C1395" s="773">
        <v>626</v>
      </c>
      <c r="D1395" s="773">
        <v>3142</v>
      </c>
      <c r="E1395" s="773" t="s">
        <v>390</v>
      </c>
      <c r="S1395" s="27">
        <v>44196</v>
      </c>
      <c r="T1395" s="773" t="s">
        <v>132</v>
      </c>
      <c r="U1395" s="773">
        <v>311</v>
      </c>
      <c r="V1395" s="773">
        <v>2321</v>
      </c>
      <c r="W1395" s="773" t="s">
        <v>390</v>
      </c>
    </row>
    <row r="1396" spans="1:23">
      <c r="A1396" s="27">
        <v>44469</v>
      </c>
      <c r="B1396" s="773" t="s">
        <v>140</v>
      </c>
      <c r="C1396" s="773">
        <v>524</v>
      </c>
      <c r="D1396" s="773">
        <v>1133</v>
      </c>
      <c r="E1396" s="773" t="s">
        <v>390</v>
      </c>
      <c r="S1396" s="27">
        <v>44196</v>
      </c>
      <c r="T1396" s="773" t="s">
        <v>132</v>
      </c>
      <c r="U1396" s="773">
        <v>69</v>
      </c>
      <c r="V1396" s="773">
        <v>1</v>
      </c>
      <c r="W1396" s="773" t="s">
        <v>410</v>
      </c>
    </row>
    <row r="1397" spans="1:23">
      <c r="A1397" s="27">
        <v>44834</v>
      </c>
      <c r="B1397" s="773" t="s">
        <v>140</v>
      </c>
      <c r="C1397" s="773">
        <v>594</v>
      </c>
      <c r="D1397" s="773">
        <v>2679</v>
      </c>
      <c r="E1397" s="773" t="s">
        <v>390</v>
      </c>
      <c r="S1397" s="27">
        <v>44196</v>
      </c>
      <c r="T1397" s="773" t="s">
        <v>132</v>
      </c>
      <c r="U1397" s="773">
        <v>59</v>
      </c>
      <c r="V1397" s="773">
        <v>111</v>
      </c>
      <c r="W1397" s="773" t="s">
        <v>390</v>
      </c>
    </row>
    <row r="1398" spans="1:23">
      <c r="A1398" s="27">
        <v>44469</v>
      </c>
      <c r="B1398" s="773" t="s">
        <v>140</v>
      </c>
      <c r="C1398" s="773">
        <v>359</v>
      </c>
      <c r="D1398" s="773">
        <v>569</v>
      </c>
      <c r="E1398" s="773" t="s">
        <v>390</v>
      </c>
      <c r="S1398" s="27">
        <v>44196</v>
      </c>
      <c r="T1398" s="773" t="s">
        <v>132</v>
      </c>
      <c r="U1398" s="773">
        <v>124</v>
      </c>
      <c r="V1398" s="773">
        <v>9</v>
      </c>
      <c r="W1398" s="773" t="s">
        <v>410</v>
      </c>
    </row>
    <row r="1399" spans="1:23">
      <c r="A1399" s="27">
        <v>44834</v>
      </c>
      <c r="B1399" s="773" t="s">
        <v>140</v>
      </c>
      <c r="C1399" s="773">
        <v>678</v>
      </c>
      <c r="D1399" s="773">
        <v>1</v>
      </c>
      <c r="E1399" s="773" t="s">
        <v>410</v>
      </c>
      <c r="S1399" s="27">
        <v>44196</v>
      </c>
      <c r="T1399" s="773" t="s">
        <v>132</v>
      </c>
      <c r="U1399" s="773">
        <v>103</v>
      </c>
      <c r="V1399" s="773">
        <v>3310</v>
      </c>
      <c r="W1399" s="773" t="s">
        <v>390</v>
      </c>
    </row>
    <row r="1400" spans="1:23">
      <c r="A1400" s="27">
        <v>44834</v>
      </c>
      <c r="B1400" s="773" t="s">
        <v>140</v>
      </c>
      <c r="C1400" s="773">
        <v>502</v>
      </c>
      <c r="D1400" s="773">
        <v>455</v>
      </c>
      <c r="E1400" s="773" t="s">
        <v>390</v>
      </c>
      <c r="S1400" s="27">
        <v>44561</v>
      </c>
      <c r="T1400" s="773" t="s">
        <v>132</v>
      </c>
      <c r="U1400" s="773">
        <v>100</v>
      </c>
      <c r="V1400" s="773">
        <v>3</v>
      </c>
      <c r="W1400" s="773" t="s">
        <v>410</v>
      </c>
    </row>
    <row r="1401" spans="1:23">
      <c r="A1401" s="27">
        <v>44469</v>
      </c>
      <c r="B1401" s="773" t="s">
        <v>140</v>
      </c>
      <c r="C1401" s="773">
        <v>578</v>
      </c>
      <c r="D1401" s="773">
        <v>2660</v>
      </c>
      <c r="E1401" s="773" t="s">
        <v>390</v>
      </c>
      <c r="S1401" s="27">
        <v>44196</v>
      </c>
      <c r="T1401" s="773" t="s">
        <v>132</v>
      </c>
      <c r="U1401" s="773">
        <v>161</v>
      </c>
      <c r="V1401" s="773">
        <v>7</v>
      </c>
      <c r="W1401" s="773" t="s">
        <v>410</v>
      </c>
    </row>
    <row r="1402" spans="1:23">
      <c r="A1402" s="27">
        <v>44469</v>
      </c>
      <c r="B1402" s="773" t="s">
        <v>140</v>
      </c>
      <c r="C1402" s="773">
        <v>722</v>
      </c>
      <c r="D1402" s="773">
        <v>1896</v>
      </c>
      <c r="E1402" s="773" t="s">
        <v>390</v>
      </c>
      <c r="S1402" s="27">
        <v>44561</v>
      </c>
      <c r="T1402" s="773" t="s">
        <v>132</v>
      </c>
      <c r="U1402" s="773">
        <v>162</v>
      </c>
      <c r="V1402" s="773">
        <v>2436</v>
      </c>
      <c r="W1402" s="773" t="s">
        <v>390</v>
      </c>
    </row>
    <row r="1403" spans="1:23">
      <c r="A1403" s="27">
        <v>44469</v>
      </c>
      <c r="B1403" s="773" t="s">
        <v>140</v>
      </c>
      <c r="C1403" s="773">
        <v>582</v>
      </c>
      <c r="D1403" s="773">
        <v>2262</v>
      </c>
      <c r="E1403" s="773" t="s">
        <v>390</v>
      </c>
      <c r="S1403" s="27">
        <v>44196</v>
      </c>
      <c r="T1403" s="773" t="s">
        <v>132</v>
      </c>
      <c r="U1403" s="773">
        <v>679</v>
      </c>
      <c r="V1403" s="773">
        <v>2551</v>
      </c>
      <c r="W1403" s="773" t="s">
        <v>390</v>
      </c>
    </row>
    <row r="1404" spans="1:23">
      <c r="A1404" s="27">
        <v>44469</v>
      </c>
      <c r="B1404" s="773" t="s">
        <v>140</v>
      </c>
      <c r="C1404" s="773">
        <v>705</v>
      </c>
      <c r="D1404" s="773">
        <v>1</v>
      </c>
      <c r="E1404" s="773" t="s">
        <v>410</v>
      </c>
      <c r="S1404" s="27">
        <v>44196</v>
      </c>
      <c r="T1404" s="773" t="s">
        <v>132</v>
      </c>
      <c r="U1404" s="773">
        <v>48</v>
      </c>
      <c r="V1404" s="773">
        <v>728</v>
      </c>
      <c r="W1404" s="773" t="s">
        <v>390</v>
      </c>
    </row>
    <row r="1405" spans="1:23">
      <c r="A1405" s="27">
        <v>44834</v>
      </c>
      <c r="B1405" s="773" t="s">
        <v>140</v>
      </c>
      <c r="C1405" s="773">
        <v>449</v>
      </c>
      <c r="D1405" s="773">
        <v>1841</v>
      </c>
      <c r="E1405" s="773" t="s">
        <v>390</v>
      </c>
      <c r="S1405" s="27">
        <v>44196</v>
      </c>
      <c r="T1405" s="773" t="s">
        <v>132</v>
      </c>
      <c r="U1405" s="773">
        <v>691</v>
      </c>
      <c r="V1405" s="773">
        <v>2455</v>
      </c>
      <c r="W1405" s="773" t="s">
        <v>390</v>
      </c>
    </row>
    <row r="1406" spans="1:23">
      <c r="A1406" s="27">
        <v>44834</v>
      </c>
      <c r="B1406" s="773" t="s">
        <v>140</v>
      </c>
      <c r="C1406" s="773">
        <v>585</v>
      </c>
      <c r="D1406" s="773">
        <v>5160</v>
      </c>
      <c r="E1406" s="773" t="s">
        <v>390</v>
      </c>
      <c r="S1406" s="27">
        <v>44561</v>
      </c>
      <c r="T1406" s="773" t="s">
        <v>132</v>
      </c>
      <c r="U1406" s="773">
        <v>141</v>
      </c>
      <c r="V1406" s="773">
        <v>10</v>
      </c>
      <c r="W1406" s="773" t="s">
        <v>410</v>
      </c>
    </row>
    <row r="1407" spans="1:23">
      <c r="A1407" s="27">
        <v>44834</v>
      </c>
      <c r="B1407" s="773" t="s">
        <v>140</v>
      </c>
      <c r="C1407" s="773">
        <v>524</v>
      </c>
      <c r="D1407" s="773">
        <v>1111</v>
      </c>
      <c r="E1407" s="773" t="s">
        <v>390</v>
      </c>
      <c r="S1407" s="27">
        <v>44196</v>
      </c>
      <c r="T1407" s="773" t="s">
        <v>132</v>
      </c>
      <c r="U1407" s="773">
        <v>220</v>
      </c>
      <c r="V1407" s="773">
        <v>9</v>
      </c>
      <c r="W1407" s="773" t="s">
        <v>410</v>
      </c>
    </row>
    <row r="1408" spans="1:23">
      <c r="A1408" s="27">
        <v>44865</v>
      </c>
      <c r="B1408" s="773" t="s">
        <v>140</v>
      </c>
      <c r="C1408" s="773">
        <v>346</v>
      </c>
      <c r="D1408" s="773">
        <v>3</v>
      </c>
      <c r="E1408" s="773" t="s">
        <v>410</v>
      </c>
      <c r="S1408" s="27">
        <v>44561</v>
      </c>
      <c r="T1408" s="773" t="s">
        <v>132</v>
      </c>
      <c r="U1408" s="773">
        <v>664</v>
      </c>
      <c r="V1408" s="773">
        <v>2038</v>
      </c>
      <c r="W1408" s="773" t="s">
        <v>390</v>
      </c>
    </row>
    <row r="1409" spans="1:23">
      <c r="A1409" s="27">
        <v>44865</v>
      </c>
      <c r="B1409" s="773" t="s">
        <v>140</v>
      </c>
      <c r="C1409" s="773">
        <v>630</v>
      </c>
      <c r="D1409" s="773">
        <v>1</v>
      </c>
      <c r="E1409" s="773" t="s">
        <v>410</v>
      </c>
      <c r="S1409" s="27">
        <v>44561</v>
      </c>
      <c r="T1409" s="773" t="s">
        <v>132</v>
      </c>
      <c r="U1409" s="773">
        <v>195</v>
      </c>
      <c r="V1409" s="773">
        <v>1</v>
      </c>
      <c r="W1409" s="773" t="s">
        <v>410</v>
      </c>
    </row>
    <row r="1410" spans="1:23">
      <c r="A1410" s="27">
        <v>44865</v>
      </c>
      <c r="B1410" s="773" t="s">
        <v>140</v>
      </c>
      <c r="C1410" s="773">
        <v>248</v>
      </c>
      <c r="D1410" s="773">
        <v>505</v>
      </c>
      <c r="E1410" s="773" t="s">
        <v>390</v>
      </c>
      <c r="S1410" s="27">
        <v>44561</v>
      </c>
      <c r="T1410" s="773" t="s">
        <v>132</v>
      </c>
      <c r="U1410" s="773">
        <v>133</v>
      </c>
      <c r="V1410" s="773">
        <v>1</v>
      </c>
      <c r="W1410" s="773" t="s">
        <v>410</v>
      </c>
    </row>
    <row r="1411" spans="1:23">
      <c r="A1411" s="27">
        <v>44500</v>
      </c>
      <c r="B1411" s="773" t="s">
        <v>140</v>
      </c>
      <c r="C1411" s="773">
        <v>678</v>
      </c>
      <c r="D1411" s="773">
        <v>2305</v>
      </c>
      <c r="E1411" s="773" t="s">
        <v>390</v>
      </c>
      <c r="S1411" s="27">
        <v>44196</v>
      </c>
      <c r="T1411" s="773" t="s">
        <v>132</v>
      </c>
      <c r="U1411" s="773">
        <v>149</v>
      </c>
      <c r="V1411" s="773">
        <v>3</v>
      </c>
      <c r="W1411" s="773" t="s">
        <v>410</v>
      </c>
    </row>
    <row r="1412" spans="1:23">
      <c r="A1412" s="27">
        <v>44500</v>
      </c>
      <c r="B1412" s="773" t="s">
        <v>140</v>
      </c>
      <c r="C1412" s="773">
        <v>739</v>
      </c>
      <c r="D1412" s="773">
        <v>1</v>
      </c>
      <c r="E1412" s="773" t="s">
        <v>410</v>
      </c>
      <c r="S1412" s="27">
        <v>44196</v>
      </c>
      <c r="T1412" s="773" t="s">
        <v>132</v>
      </c>
      <c r="U1412" s="773">
        <v>164</v>
      </c>
      <c r="V1412" s="773">
        <v>8</v>
      </c>
      <c r="W1412" s="773" t="s">
        <v>410</v>
      </c>
    </row>
    <row r="1413" spans="1:23">
      <c r="A1413" s="27">
        <v>44500</v>
      </c>
      <c r="B1413" s="773" t="s">
        <v>140</v>
      </c>
      <c r="C1413" s="773">
        <v>630</v>
      </c>
      <c r="D1413" s="773">
        <v>1</v>
      </c>
      <c r="E1413" s="773" t="s">
        <v>410</v>
      </c>
      <c r="S1413" s="27">
        <v>44196</v>
      </c>
      <c r="T1413" s="773" t="s">
        <v>132</v>
      </c>
      <c r="U1413" s="773">
        <v>700</v>
      </c>
      <c r="V1413" s="773">
        <v>1170</v>
      </c>
      <c r="W1413" s="773" t="s">
        <v>390</v>
      </c>
    </row>
    <row r="1414" spans="1:23">
      <c r="A1414" s="27">
        <v>44865</v>
      </c>
      <c r="B1414" s="773" t="s">
        <v>140</v>
      </c>
      <c r="C1414" s="773">
        <v>510</v>
      </c>
      <c r="D1414" s="773">
        <v>897</v>
      </c>
      <c r="E1414" s="773" t="s">
        <v>390</v>
      </c>
      <c r="S1414" s="27">
        <v>44561</v>
      </c>
      <c r="T1414" s="773" t="s">
        <v>132</v>
      </c>
      <c r="U1414" s="773">
        <v>262</v>
      </c>
      <c r="V1414" s="773">
        <v>78</v>
      </c>
      <c r="W1414" s="773" t="s">
        <v>410</v>
      </c>
    </row>
    <row r="1415" spans="1:23">
      <c r="A1415" s="27">
        <v>44865</v>
      </c>
      <c r="B1415" s="773" t="s">
        <v>140</v>
      </c>
      <c r="C1415" s="773">
        <v>558</v>
      </c>
      <c r="D1415" s="773">
        <v>1252</v>
      </c>
      <c r="E1415" s="773" t="s">
        <v>390</v>
      </c>
      <c r="S1415" s="27">
        <v>44561</v>
      </c>
      <c r="T1415" s="773" t="s">
        <v>132</v>
      </c>
      <c r="U1415" s="773">
        <v>204</v>
      </c>
      <c r="V1415" s="773">
        <v>21</v>
      </c>
      <c r="W1415" s="773" t="s">
        <v>410</v>
      </c>
    </row>
    <row r="1416" spans="1:23">
      <c r="A1416" s="27">
        <v>44500</v>
      </c>
      <c r="B1416" s="773" t="s">
        <v>140</v>
      </c>
      <c r="C1416" s="773">
        <v>0</v>
      </c>
      <c r="D1416" s="773">
        <v>8</v>
      </c>
      <c r="E1416" s="773" t="s">
        <v>410</v>
      </c>
      <c r="S1416" s="27">
        <v>44561</v>
      </c>
      <c r="T1416" s="773" t="s">
        <v>132</v>
      </c>
      <c r="U1416" s="773">
        <v>660</v>
      </c>
      <c r="V1416" s="773">
        <v>4</v>
      </c>
      <c r="W1416" s="773" t="s">
        <v>410</v>
      </c>
    </row>
    <row r="1417" spans="1:23">
      <c r="A1417" s="27">
        <v>44500</v>
      </c>
      <c r="B1417" s="773" t="s">
        <v>140</v>
      </c>
      <c r="C1417" s="773">
        <v>582</v>
      </c>
      <c r="D1417" s="773">
        <v>2248</v>
      </c>
      <c r="E1417" s="773" t="s">
        <v>390</v>
      </c>
      <c r="S1417" s="27">
        <v>44196</v>
      </c>
      <c r="T1417" s="773" t="s">
        <v>132</v>
      </c>
      <c r="U1417" s="773">
        <v>111</v>
      </c>
      <c r="V1417" s="773">
        <v>1</v>
      </c>
      <c r="W1417" s="773" t="s">
        <v>410</v>
      </c>
    </row>
    <row r="1418" spans="1:23">
      <c r="A1418" s="27">
        <v>44865</v>
      </c>
      <c r="B1418" s="773" t="s">
        <v>140</v>
      </c>
      <c r="C1418" s="773">
        <v>525</v>
      </c>
      <c r="D1418" s="773">
        <v>1931</v>
      </c>
      <c r="E1418" s="773" t="s">
        <v>390</v>
      </c>
      <c r="S1418" s="27">
        <v>44561</v>
      </c>
      <c r="T1418" s="773" t="s">
        <v>132</v>
      </c>
      <c r="U1418" s="773">
        <v>13</v>
      </c>
      <c r="V1418" s="773">
        <v>2832</v>
      </c>
      <c r="W1418" s="773" t="s">
        <v>390</v>
      </c>
    </row>
    <row r="1419" spans="1:23">
      <c r="A1419" s="27">
        <v>44865</v>
      </c>
      <c r="B1419" s="773" t="s">
        <v>140</v>
      </c>
      <c r="C1419" s="773">
        <v>640</v>
      </c>
      <c r="D1419" s="773">
        <v>3009</v>
      </c>
      <c r="E1419" s="773" t="s">
        <v>390</v>
      </c>
      <c r="S1419" s="27">
        <v>44561</v>
      </c>
      <c r="T1419" s="773" t="s">
        <v>132</v>
      </c>
      <c r="U1419" s="773">
        <v>267</v>
      </c>
      <c r="V1419" s="773">
        <v>1</v>
      </c>
      <c r="W1419" s="773" t="s">
        <v>410</v>
      </c>
    </row>
    <row r="1420" spans="1:23">
      <c r="A1420" s="27">
        <v>44500</v>
      </c>
      <c r="B1420" s="773" t="s">
        <v>140</v>
      </c>
      <c r="C1420" s="773">
        <v>648</v>
      </c>
      <c r="D1420" s="773">
        <v>1352</v>
      </c>
      <c r="E1420" s="773" t="s">
        <v>390</v>
      </c>
      <c r="S1420" s="27">
        <v>44561</v>
      </c>
      <c r="T1420" s="773" t="s">
        <v>132</v>
      </c>
      <c r="U1420" s="773">
        <v>275</v>
      </c>
      <c r="V1420" s="773">
        <v>694</v>
      </c>
      <c r="W1420" s="773" t="s">
        <v>390</v>
      </c>
    </row>
    <row r="1421" spans="1:23">
      <c r="A1421" s="27">
        <v>44500</v>
      </c>
      <c r="B1421" s="773" t="s">
        <v>140</v>
      </c>
      <c r="C1421" s="773">
        <v>338</v>
      </c>
      <c r="D1421" s="773">
        <v>2392</v>
      </c>
      <c r="E1421" s="773" t="s">
        <v>390</v>
      </c>
      <c r="S1421" s="27">
        <v>44196</v>
      </c>
      <c r="T1421" s="773" t="s">
        <v>132</v>
      </c>
      <c r="U1421" s="773">
        <v>645</v>
      </c>
      <c r="V1421" s="773">
        <v>2348</v>
      </c>
      <c r="W1421" s="773" t="s">
        <v>390</v>
      </c>
    </row>
    <row r="1422" spans="1:23">
      <c r="A1422" s="27">
        <v>44865</v>
      </c>
      <c r="B1422" s="773" t="s">
        <v>140</v>
      </c>
      <c r="C1422" s="773">
        <v>712</v>
      </c>
      <c r="D1422" s="773">
        <v>2</v>
      </c>
      <c r="E1422" s="773" t="s">
        <v>410</v>
      </c>
      <c r="S1422" s="27">
        <v>44561</v>
      </c>
      <c r="T1422" s="773" t="s">
        <v>132</v>
      </c>
      <c r="U1422" s="773">
        <v>671</v>
      </c>
      <c r="V1422" s="773">
        <v>2217</v>
      </c>
      <c r="W1422" s="773" t="s">
        <v>390</v>
      </c>
    </row>
    <row r="1423" spans="1:23">
      <c r="A1423" s="27">
        <v>44500</v>
      </c>
      <c r="B1423" s="773" t="s">
        <v>140</v>
      </c>
      <c r="C1423" s="773">
        <v>248</v>
      </c>
      <c r="D1423" s="773">
        <v>454</v>
      </c>
      <c r="E1423" s="773" t="s">
        <v>390</v>
      </c>
      <c r="S1423" s="27">
        <v>44196</v>
      </c>
      <c r="T1423" s="773" t="s">
        <v>132</v>
      </c>
      <c r="U1423" s="773">
        <v>53</v>
      </c>
      <c r="V1423" s="773">
        <v>1</v>
      </c>
      <c r="W1423" s="773" t="s">
        <v>410</v>
      </c>
    </row>
    <row r="1424" spans="1:23">
      <c r="A1424" s="27">
        <v>44865</v>
      </c>
      <c r="B1424" s="773" t="s">
        <v>140</v>
      </c>
      <c r="C1424" s="773">
        <v>758</v>
      </c>
      <c r="D1424" s="773">
        <v>1</v>
      </c>
      <c r="E1424" s="773" t="s">
        <v>410</v>
      </c>
      <c r="S1424" s="27">
        <v>44561</v>
      </c>
      <c r="T1424" s="773" t="s">
        <v>132</v>
      </c>
      <c r="U1424" s="773">
        <v>688</v>
      </c>
      <c r="V1424" s="773">
        <v>2845</v>
      </c>
      <c r="W1424" s="773" t="s">
        <v>390</v>
      </c>
    </row>
    <row r="1425" spans="1:23">
      <c r="A1425" s="27">
        <v>44865</v>
      </c>
      <c r="B1425" s="773" t="s">
        <v>140</v>
      </c>
      <c r="C1425" s="773">
        <v>650</v>
      </c>
      <c r="D1425" s="773">
        <v>2388</v>
      </c>
      <c r="E1425" s="773" t="s">
        <v>390</v>
      </c>
      <c r="S1425" s="27">
        <v>44196</v>
      </c>
      <c r="T1425" s="773" t="s">
        <v>132</v>
      </c>
      <c r="U1425" s="773">
        <v>136</v>
      </c>
      <c r="V1425" s="773">
        <v>76</v>
      </c>
      <c r="W1425" s="773" t="s">
        <v>410</v>
      </c>
    </row>
    <row r="1426" spans="1:23">
      <c r="A1426" s="27">
        <v>44865</v>
      </c>
      <c r="B1426" s="773" t="s">
        <v>140</v>
      </c>
      <c r="C1426" s="773">
        <v>485</v>
      </c>
      <c r="D1426" s="773">
        <v>1291</v>
      </c>
      <c r="E1426" s="773" t="s">
        <v>390</v>
      </c>
      <c r="S1426" s="27">
        <v>44196</v>
      </c>
      <c r="T1426" s="773" t="s">
        <v>132</v>
      </c>
      <c r="U1426" s="773">
        <v>267</v>
      </c>
      <c r="V1426" s="773">
        <v>1</v>
      </c>
      <c r="W1426" s="773" t="s">
        <v>410</v>
      </c>
    </row>
    <row r="1427" spans="1:23">
      <c r="A1427" s="27">
        <v>44500</v>
      </c>
      <c r="B1427" s="773" t="s">
        <v>140</v>
      </c>
      <c r="C1427" s="773">
        <v>722</v>
      </c>
      <c r="D1427" s="773">
        <v>1863</v>
      </c>
      <c r="E1427" s="773" t="s">
        <v>390</v>
      </c>
      <c r="S1427" s="27">
        <v>44561</v>
      </c>
      <c r="T1427" s="773" t="s">
        <v>132</v>
      </c>
      <c r="U1427" s="773">
        <v>691</v>
      </c>
      <c r="V1427" s="773">
        <v>2396</v>
      </c>
      <c r="W1427" s="773" t="s">
        <v>390</v>
      </c>
    </row>
    <row r="1428" spans="1:23">
      <c r="A1428" s="27">
        <v>44865</v>
      </c>
      <c r="B1428" s="773" t="s">
        <v>140</v>
      </c>
      <c r="C1428" s="773">
        <v>555</v>
      </c>
      <c r="D1428" s="773">
        <v>1642</v>
      </c>
      <c r="E1428" s="773" t="s">
        <v>390</v>
      </c>
      <c r="S1428" s="27">
        <v>44561</v>
      </c>
      <c r="T1428" s="773" t="s">
        <v>132</v>
      </c>
      <c r="U1428" s="773">
        <v>105</v>
      </c>
      <c r="V1428" s="773">
        <v>2</v>
      </c>
      <c r="W1428" s="773" t="s">
        <v>410</v>
      </c>
    </row>
    <row r="1429" spans="1:23">
      <c r="A1429" s="27">
        <v>44865</v>
      </c>
      <c r="B1429" s="773" t="s">
        <v>140</v>
      </c>
      <c r="C1429" s="773">
        <v>502</v>
      </c>
      <c r="D1429" s="773">
        <v>461</v>
      </c>
      <c r="E1429" s="773" t="s">
        <v>390</v>
      </c>
      <c r="S1429" s="27">
        <v>44196</v>
      </c>
      <c r="T1429" s="773" t="s">
        <v>132</v>
      </c>
      <c r="U1429" s="773">
        <v>153</v>
      </c>
      <c r="V1429" s="773">
        <v>2222</v>
      </c>
      <c r="W1429" s="773" t="s">
        <v>390</v>
      </c>
    </row>
    <row r="1430" spans="1:23">
      <c r="A1430" s="27">
        <v>44865</v>
      </c>
      <c r="B1430" s="773" t="s">
        <v>140</v>
      </c>
      <c r="C1430" s="773">
        <v>576</v>
      </c>
      <c r="D1430" s="773">
        <v>248</v>
      </c>
      <c r="E1430" s="773" t="s">
        <v>390</v>
      </c>
      <c r="S1430" s="27">
        <v>44561</v>
      </c>
      <c r="T1430" s="773" t="s">
        <v>132</v>
      </c>
      <c r="U1430" s="773">
        <v>233</v>
      </c>
      <c r="V1430" s="773">
        <v>8321</v>
      </c>
      <c r="W1430" s="773" t="s">
        <v>390</v>
      </c>
    </row>
    <row r="1431" spans="1:23">
      <c r="A1431" s="27">
        <v>44500</v>
      </c>
      <c r="B1431" s="773" t="s">
        <v>140</v>
      </c>
      <c r="C1431" s="773">
        <v>610</v>
      </c>
      <c r="D1431" s="773">
        <v>2953</v>
      </c>
      <c r="E1431" s="773" t="s">
        <v>390</v>
      </c>
      <c r="S1431" s="27">
        <v>44561</v>
      </c>
      <c r="T1431" s="773" t="s">
        <v>132</v>
      </c>
      <c r="U1431" s="773">
        <v>103</v>
      </c>
      <c r="V1431" s="773">
        <v>3253</v>
      </c>
      <c r="W1431" s="773" t="s">
        <v>390</v>
      </c>
    </row>
    <row r="1432" spans="1:23">
      <c r="A1432" s="27">
        <v>44865</v>
      </c>
      <c r="B1432" s="773" t="s">
        <v>140</v>
      </c>
      <c r="C1432" s="773">
        <v>659</v>
      </c>
      <c r="D1432" s="773">
        <v>715</v>
      </c>
      <c r="E1432" s="773" t="s">
        <v>390</v>
      </c>
      <c r="S1432" s="27">
        <v>44561</v>
      </c>
      <c r="T1432" s="773" t="s">
        <v>132</v>
      </c>
      <c r="U1432" s="773">
        <v>63</v>
      </c>
      <c r="V1432" s="773">
        <v>2</v>
      </c>
      <c r="W1432" s="773" t="s">
        <v>410</v>
      </c>
    </row>
    <row r="1433" spans="1:23">
      <c r="A1433" s="27">
        <v>44500</v>
      </c>
      <c r="B1433" s="773" t="s">
        <v>140</v>
      </c>
      <c r="C1433" s="773">
        <v>387</v>
      </c>
      <c r="D1433" s="773">
        <v>9</v>
      </c>
      <c r="E1433" s="773" t="s">
        <v>410</v>
      </c>
      <c r="S1433" s="27">
        <v>44561</v>
      </c>
      <c r="T1433" s="773" t="s">
        <v>132</v>
      </c>
      <c r="U1433" s="773">
        <v>323</v>
      </c>
      <c r="V1433" s="773">
        <v>2932</v>
      </c>
      <c r="W1433" s="773" t="s">
        <v>390</v>
      </c>
    </row>
    <row r="1434" spans="1:23">
      <c r="A1434" s="27">
        <v>44500</v>
      </c>
      <c r="B1434" s="773" t="s">
        <v>140</v>
      </c>
      <c r="C1434" s="773">
        <v>370</v>
      </c>
      <c r="D1434" s="773">
        <v>1</v>
      </c>
      <c r="E1434" s="773" t="s">
        <v>410</v>
      </c>
      <c r="S1434" s="27">
        <v>44561</v>
      </c>
      <c r="T1434" s="773" t="s">
        <v>132</v>
      </c>
      <c r="U1434" s="773">
        <v>309</v>
      </c>
      <c r="V1434" s="773">
        <v>21</v>
      </c>
      <c r="W1434" s="773" t="s">
        <v>410</v>
      </c>
    </row>
    <row r="1435" spans="1:23">
      <c r="A1435" s="27">
        <v>44500</v>
      </c>
      <c r="B1435" s="773" t="s">
        <v>140</v>
      </c>
      <c r="C1435" s="773">
        <v>476</v>
      </c>
      <c r="D1435" s="773">
        <v>1</v>
      </c>
      <c r="E1435" s="773" t="s">
        <v>410</v>
      </c>
      <c r="S1435" s="27">
        <v>44196</v>
      </c>
      <c r="T1435" s="773" t="s">
        <v>132</v>
      </c>
      <c r="U1435" s="773">
        <v>190</v>
      </c>
      <c r="V1435" s="773">
        <v>6</v>
      </c>
      <c r="W1435" s="773" t="s">
        <v>410</v>
      </c>
    </row>
    <row r="1436" spans="1:23">
      <c r="A1436" s="27">
        <v>44500</v>
      </c>
      <c r="B1436" s="773" t="s">
        <v>140</v>
      </c>
      <c r="C1436" s="773">
        <v>691</v>
      </c>
      <c r="D1436" s="773">
        <v>227</v>
      </c>
      <c r="E1436" s="773" t="s">
        <v>390</v>
      </c>
      <c r="S1436" s="27">
        <v>44196</v>
      </c>
      <c r="T1436" s="773" t="s">
        <v>132</v>
      </c>
      <c r="U1436" s="773">
        <v>44</v>
      </c>
      <c r="V1436" s="773">
        <v>3214</v>
      </c>
      <c r="W1436" s="773" t="s">
        <v>390</v>
      </c>
    </row>
    <row r="1437" spans="1:23">
      <c r="A1437" s="27">
        <v>44865</v>
      </c>
      <c r="B1437" s="773" t="s">
        <v>140</v>
      </c>
      <c r="C1437" s="773">
        <v>387</v>
      </c>
      <c r="D1437" s="773">
        <v>9</v>
      </c>
      <c r="E1437" s="773" t="s">
        <v>410</v>
      </c>
      <c r="S1437" s="27">
        <v>44196</v>
      </c>
      <c r="T1437" s="773" t="s">
        <v>132</v>
      </c>
      <c r="U1437" s="773">
        <v>309</v>
      </c>
      <c r="V1437" s="773">
        <v>4</v>
      </c>
      <c r="W1437" s="773" t="s">
        <v>410</v>
      </c>
    </row>
    <row r="1438" spans="1:23">
      <c r="A1438" s="27">
        <v>44500</v>
      </c>
      <c r="B1438" s="773" t="s">
        <v>140</v>
      </c>
      <c r="C1438" s="773">
        <v>576</v>
      </c>
      <c r="D1438" s="773">
        <v>249</v>
      </c>
      <c r="E1438" s="773" t="s">
        <v>390</v>
      </c>
      <c r="S1438" s="27">
        <v>44561</v>
      </c>
      <c r="T1438" s="773" t="s">
        <v>132</v>
      </c>
      <c r="U1438" s="773">
        <v>93</v>
      </c>
      <c r="V1438" s="773">
        <v>8120</v>
      </c>
      <c r="W1438" s="773" t="s">
        <v>390</v>
      </c>
    </row>
    <row r="1439" spans="1:23">
      <c r="A1439" s="27">
        <v>44865</v>
      </c>
      <c r="B1439" s="773" t="s">
        <v>140</v>
      </c>
      <c r="C1439" s="773">
        <v>616</v>
      </c>
      <c r="D1439" s="773">
        <v>1</v>
      </c>
      <c r="E1439" s="773" t="s">
        <v>410</v>
      </c>
      <c r="S1439" s="27">
        <v>44561</v>
      </c>
      <c r="T1439" s="773" t="s">
        <v>132</v>
      </c>
      <c r="U1439" s="773">
        <v>41</v>
      </c>
      <c r="V1439" s="773">
        <v>1</v>
      </c>
      <c r="W1439" s="773" t="s">
        <v>410</v>
      </c>
    </row>
    <row r="1440" spans="1:23">
      <c r="A1440" s="27">
        <v>44865</v>
      </c>
      <c r="B1440" s="773" t="s">
        <v>140</v>
      </c>
      <c r="C1440" s="773">
        <v>338</v>
      </c>
      <c r="D1440" s="773">
        <v>2448</v>
      </c>
      <c r="E1440" s="773" t="s">
        <v>390</v>
      </c>
      <c r="S1440" s="27">
        <v>44196</v>
      </c>
      <c r="T1440" s="773" t="s">
        <v>132</v>
      </c>
      <c r="U1440" s="773">
        <v>272</v>
      </c>
      <c r="V1440" s="773">
        <v>1</v>
      </c>
      <c r="W1440" s="773" t="s">
        <v>410</v>
      </c>
    </row>
    <row r="1441" spans="1:23">
      <c r="A1441" s="27">
        <v>44500</v>
      </c>
      <c r="B1441" s="773" t="s">
        <v>140</v>
      </c>
      <c r="C1441" s="773">
        <v>578</v>
      </c>
      <c r="D1441" s="773">
        <v>2663</v>
      </c>
      <c r="E1441" s="773" t="s">
        <v>390</v>
      </c>
      <c r="S1441" s="27">
        <v>44196</v>
      </c>
      <c r="T1441" s="773" t="s">
        <v>132</v>
      </c>
      <c r="U1441" s="773">
        <v>162</v>
      </c>
      <c r="V1441" s="773">
        <v>2412</v>
      </c>
      <c r="W1441" s="773" t="s">
        <v>390</v>
      </c>
    </row>
    <row r="1442" spans="1:23">
      <c r="A1442" s="27">
        <v>44865</v>
      </c>
      <c r="B1442" s="773" t="s">
        <v>140</v>
      </c>
      <c r="C1442" s="773">
        <v>722</v>
      </c>
      <c r="D1442" s="773">
        <v>1906</v>
      </c>
      <c r="E1442" s="773" t="s">
        <v>390</v>
      </c>
      <c r="S1442" s="27">
        <v>44561</v>
      </c>
      <c r="T1442" s="773" t="s">
        <v>132</v>
      </c>
      <c r="U1442" s="773">
        <v>136</v>
      </c>
      <c r="V1442" s="773">
        <v>92</v>
      </c>
      <c r="W1442" s="773" t="s">
        <v>410</v>
      </c>
    </row>
    <row r="1443" spans="1:23">
      <c r="A1443" s="27">
        <v>44500</v>
      </c>
      <c r="B1443" s="773" t="s">
        <v>140</v>
      </c>
      <c r="C1443" s="773">
        <v>359</v>
      </c>
      <c r="D1443" s="773">
        <v>593</v>
      </c>
      <c r="E1443" s="773" t="s">
        <v>390</v>
      </c>
      <c r="S1443" s="27">
        <v>44196</v>
      </c>
      <c r="T1443" s="773" t="s">
        <v>132</v>
      </c>
      <c r="U1443" s="773">
        <v>697</v>
      </c>
      <c r="V1443" s="773">
        <v>156</v>
      </c>
      <c r="W1443" s="773" t="s">
        <v>390</v>
      </c>
    </row>
    <row r="1444" spans="1:23">
      <c r="A1444" s="27">
        <v>44500</v>
      </c>
      <c r="B1444" s="773" t="s">
        <v>140</v>
      </c>
      <c r="C1444" s="773">
        <v>502</v>
      </c>
      <c r="D1444" s="773">
        <v>11</v>
      </c>
      <c r="E1444" s="773" t="s">
        <v>410</v>
      </c>
      <c r="S1444" s="27">
        <v>44561</v>
      </c>
      <c r="T1444" s="773" t="s">
        <v>132</v>
      </c>
      <c r="U1444" s="773">
        <v>83</v>
      </c>
      <c r="V1444" s="773">
        <v>1946</v>
      </c>
      <c r="W1444" s="773" t="s">
        <v>390</v>
      </c>
    </row>
    <row r="1445" spans="1:23">
      <c r="A1445" s="27">
        <v>44500</v>
      </c>
      <c r="B1445" s="773" t="s">
        <v>140</v>
      </c>
      <c r="C1445" s="773">
        <v>601</v>
      </c>
      <c r="D1445" s="773">
        <v>3</v>
      </c>
      <c r="E1445" s="773" t="s">
        <v>410</v>
      </c>
      <c r="S1445" s="27">
        <v>44196</v>
      </c>
      <c r="T1445" s="773" t="s">
        <v>132</v>
      </c>
      <c r="U1445" s="773">
        <v>652</v>
      </c>
      <c r="V1445" s="773">
        <v>2685</v>
      </c>
      <c r="W1445" s="773" t="s">
        <v>390</v>
      </c>
    </row>
    <row r="1446" spans="1:23">
      <c r="A1446" s="27">
        <v>44500</v>
      </c>
      <c r="B1446" s="773" t="s">
        <v>140</v>
      </c>
      <c r="C1446" s="773">
        <v>574</v>
      </c>
      <c r="D1446" s="773">
        <v>1533</v>
      </c>
      <c r="E1446" s="773" t="s">
        <v>390</v>
      </c>
      <c r="S1446" s="27">
        <v>44196</v>
      </c>
      <c r="T1446" s="773" t="s">
        <v>132</v>
      </c>
      <c r="U1446" s="773">
        <v>698</v>
      </c>
      <c r="V1446" s="773">
        <v>2394</v>
      </c>
      <c r="W1446" s="773" t="s">
        <v>390</v>
      </c>
    </row>
    <row r="1447" spans="1:23">
      <c r="A1447" s="27">
        <v>44865</v>
      </c>
      <c r="B1447" s="773" t="s">
        <v>140</v>
      </c>
      <c r="C1447" s="773">
        <v>0</v>
      </c>
      <c r="D1447" s="773">
        <v>7</v>
      </c>
      <c r="E1447" s="773" t="s">
        <v>410</v>
      </c>
      <c r="S1447" s="27">
        <v>44561</v>
      </c>
      <c r="T1447" s="773" t="s">
        <v>132</v>
      </c>
      <c r="U1447" s="773">
        <v>701</v>
      </c>
      <c r="V1447" s="773">
        <v>2056</v>
      </c>
      <c r="W1447" s="773" t="s">
        <v>390</v>
      </c>
    </row>
    <row r="1448" spans="1:23">
      <c r="A1448" s="27">
        <v>44865</v>
      </c>
      <c r="B1448" s="773" t="s">
        <v>140</v>
      </c>
      <c r="C1448" s="773">
        <v>585</v>
      </c>
      <c r="D1448" s="773">
        <v>5197</v>
      </c>
      <c r="E1448" s="773" t="s">
        <v>390</v>
      </c>
      <c r="S1448" s="27">
        <v>44561</v>
      </c>
      <c r="T1448" s="773" t="s">
        <v>132</v>
      </c>
      <c r="U1448" s="773">
        <v>243</v>
      </c>
      <c r="V1448" s="773">
        <v>625</v>
      </c>
      <c r="W1448" s="773" t="s">
        <v>390</v>
      </c>
    </row>
    <row r="1449" spans="1:23">
      <c r="A1449" s="27">
        <v>44500</v>
      </c>
      <c r="B1449" s="773" t="s">
        <v>140</v>
      </c>
      <c r="C1449" s="773">
        <v>585</v>
      </c>
      <c r="D1449" s="773">
        <v>2235</v>
      </c>
      <c r="E1449" s="773" t="s">
        <v>390</v>
      </c>
      <c r="S1449" s="27">
        <v>44196</v>
      </c>
      <c r="T1449" s="773" t="s">
        <v>132</v>
      </c>
      <c r="U1449" s="773">
        <v>247</v>
      </c>
      <c r="V1449" s="773">
        <v>13</v>
      </c>
      <c r="W1449" s="773" t="s">
        <v>410</v>
      </c>
    </row>
    <row r="1450" spans="1:23">
      <c r="A1450" s="27">
        <v>44865</v>
      </c>
      <c r="B1450" s="773" t="s">
        <v>140</v>
      </c>
      <c r="C1450" s="773">
        <v>524</v>
      </c>
      <c r="D1450" s="773">
        <v>1112</v>
      </c>
      <c r="E1450" s="773" t="s">
        <v>390</v>
      </c>
      <c r="S1450" s="27">
        <v>44561</v>
      </c>
      <c r="T1450" s="773" t="s">
        <v>132</v>
      </c>
      <c r="U1450" s="773">
        <v>140</v>
      </c>
      <c r="V1450" s="773">
        <v>281</v>
      </c>
      <c r="W1450" s="773" t="s">
        <v>390</v>
      </c>
    </row>
    <row r="1451" spans="1:23">
      <c r="A1451" s="27">
        <v>44865</v>
      </c>
      <c r="B1451" s="773" t="s">
        <v>140</v>
      </c>
      <c r="C1451" s="773">
        <v>279</v>
      </c>
      <c r="D1451" s="773">
        <v>1</v>
      </c>
      <c r="E1451" s="773" t="s">
        <v>410</v>
      </c>
      <c r="S1451" s="27">
        <v>44561</v>
      </c>
      <c r="T1451" s="773" t="s">
        <v>132</v>
      </c>
      <c r="U1451" s="773">
        <v>155</v>
      </c>
      <c r="V1451" s="773">
        <v>2339</v>
      </c>
      <c r="W1451" s="773" t="s">
        <v>390</v>
      </c>
    </row>
    <row r="1452" spans="1:23">
      <c r="A1452" s="27">
        <v>44500</v>
      </c>
      <c r="B1452" s="773" t="s">
        <v>140</v>
      </c>
      <c r="C1452" s="773">
        <v>530</v>
      </c>
      <c r="D1452" s="773">
        <v>1</v>
      </c>
      <c r="E1452" s="773" t="s">
        <v>410</v>
      </c>
      <c r="S1452" s="27">
        <v>44196</v>
      </c>
      <c r="T1452" s="773" t="s">
        <v>132</v>
      </c>
      <c r="U1452" s="773">
        <v>293</v>
      </c>
      <c r="V1452" s="773">
        <v>538</v>
      </c>
      <c r="W1452" s="773" t="s">
        <v>390</v>
      </c>
    </row>
    <row r="1453" spans="1:23">
      <c r="A1453" s="27">
        <v>44500</v>
      </c>
      <c r="B1453" s="773" t="s">
        <v>140</v>
      </c>
      <c r="C1453" s="773">
        <v>485</v>
      </c>
      <c r="D1453" s="773">
        <v>1315</v>
      </c>
      <c r="E1453" s="773" t="s">
        <v>390</v>
      </c>
      <c r="S1453" s="27">
        <v>44561</v>
      </c>
      <c r="T1453" s="773" t="s">
        <v>132</v>
      </c>
      <c r="U1453" s="773">
        <v>73</v>
      </c>
      <c r="V1453" s="773">
        <v>2</v>
      </c>
      <c r="W1453" s="773" t="s">
        <v>410</v>
      </c>
    </row>
    <row r="1454" spans="1:23">
      <c r="A1454" s="27">
        <v>44865</v>
      </c>
      <c r="B1454" s="773" t="s">
        <v>140</v>
      </c>
      <c r="C1454" s="773">
        <v>548</v>
      </c>
      <c r="D1454" s="773">
        <v>598</v>
      </c>
      <c r="E1454" s="773" t="s">
        <v>390</v>
      </c>
      <c r="S1454" s="27">
        <v>44196</v>
      </c>
      <c r="T1454" s="773" t="s">
        <v>132</v>
      </c>
      <c r="U1454" s="773">
        <v>664</v>
      </c>
      <c r="V1454" s="773">
        <v>2129</v>
      </c>
      <c r="W1454" s="773" t="s">
        <v>390</v>
      </c>
    </row>
    <row r="1455" spans="1:23">
      <c r="A1455" s="27">
        <v>44500</v>
      </c>
      <c r="B1455" s="773" t="s">
        <v>140</v>
      </c>
      <c r="C1455" s="773">
        <v>453</v>
      </c>
      <c r="D1455" s="773">
        <v>2322</v>
      </c>
      <c r="E1455" s="773" t="s">
        <v>390</v>
      </c>
      <c r="S1455" s="27">
        <v>44561</v>
      </c>
      <c r="T1455" s="773" t="s">
        <v>132</v>
      </c>
      <c r="U1455" s="773">
        <v>342</v>
      </c>
      <c r="V1455" s="773">
        <v>2753</v>
      </c>
      <c r="W1455" s="773" t="s">
        <v>390</v>
      </c>
    </row>
    <row r="1456" spans="1:23">
      <c r="A1456" s="27">
        <v>44500</v>
      </c>
      <c r="B1456" s="773" t="s">
        <v>140</v>
      </c>
      <c r="C1456" s="773">
        <v>449</v>
      </c>
      <c r="D1456" s="773">
        <v>1866</v>
      </c>
      <c r="E1456" s="773" t="s">
        <v>390</v>
      </c>
      <c r="S1456" s="27">
        <v>44561</v>
      </c>
      <c r="T1456" s="773" t="s">
        <v>132</v>
      </c>
      <c r="U1456" s="773">
        <v>290</v>
      </c>
      <c r="V1456" s="773">
        <v>2085</v>
      </c>
      <c r="W1456" s="773" t="s">
        <v>390</v>
      </c>
    </row>
    <row r="1457" spans="1:23">
      <c r="A1457" s="27">
        <v>44500</v>
      </c>
      <c r="B1457" s="773" t="s">
        <v>140</v>
      </c>
      <c r="C1457" s="773">
        <v>469</v>
      </c>
      <c r="D1457" s="773">
        <v>7</v>
      </c>
      <c r="E1457" s="773" t="s">
        <v>410</v>
      </c>
      <c r="S1457" s="27">
        <v>44196</v>
      </c>
      <c r="T1457" s="773" t="s">
        <v>132</v>
      </c>
      <c r="U1457" s="773">
        <v>233</v>
      </c>
      <c r="V1457" s="773">
        <v>12245</v>
      </c>
      <c r="W1457" s="773" t="s">
        <v>390</v>
      </c>
    </row>
    <row r="1458" spans="1:23">
      <c r="A1458" s="27">
        <v>44865</v>
      </c>
      <c r="B1458" s="773" t="s">
        <v>140</v>
      </c>
      <c r="C1458" s="773">
        <v>601</v>
      </c>
      <c r="D1458" s="773">
        <v>3</v>
      </c>
      <c r="E1458" s="773" t="s">
        <v>410</v>
      </c>
      <c r="S1458" s="27">
        <v>44561</v>
      </c>
      <c r="T1458" s="773" t="s">
        <v>132</v>
      </c>
      <c r="U1458" s="773">
        <v>11</v>
      </c>
      <c r="V1458" s="773">
        <v>27</v>
      </c>
      <c r="W1458" s="773" t="s">
        <v>410</v>
      </c>
    </row>
    <row r="1459" spans="1:23">
      <c r="A1459" s="27">
        <v>44865</v>
      </c>
      <c r="B1459" s="773" t="s">
        <v>140</v>
      </c>
      <c r="C1459" s="773">
        <v>597</v>
      </c>
      <c r="D1459" s="773">
        <v>1231</v>
      </c>
      <c r="E1459" s="773" t="s">
        <v>390</v>
      </c>
      <c r="S1459" s="27">
        <v>44196</v>
      </c>
      <c r="T1459" s="773" t="s">
        <v>132</v>
      </c>
      <c r="U1459" s="773">
        <v>215</v>
      </c>
      <c r="V1459" s="773">
        <v>633</v>
      </c>
      <c r="W1459" s="773" t="s">
        <v>390</v>
      </c>
    </row>
    <row r="1460" spans="1:23">
      <c r="A1460" s="27">
        <v>44500</v>
      </c>
      <c r="B1460" s="773" t="s">
        <v>140</v>
      </c>
      <c r="C1460" s="773">
        <v>510</v>
      </c>
      <c r="D1460" s="773">
        <v>904</v>
      </c>
      <c r="E1460" s="773" t="s">
        <v>390</v>
      </c>
      <c r="S1460" s="27">
        <v>44561</v>
      </c>
      <c r="T1460" s="773" t="s">
        <v>132</v>
      </c>
      <c r="U1460" s="773">
        <v>14</v>
      </c>
      <c r="V1460" s="773">
        <v>1</v>
      </c>
      <c r="W1460" s="773" t="s">
        <v>410</v>
      </c>
    </row>
    <row r="1461" spans="1:23">
      <c r="A1461" s="27">
        <v>44500</v>
      </c>
      <c r="B1461" s="773" t="s">
        <v>140</v>
      </c>
      <c r="C1461" s="773">
        <v>346</v>
      </c>
      <c r="D1461" s="773">
        <v>3</v>
      </c>
      <c r="E1461" s="773" t="s">
        <v>410</v>
      </c>
      <c r="S1461" s="27">
        <v>44196</v>
      </c>
      <c r="T1461" s="773" t="s">
        <v>132</v>
      </c>
      <c r="U1461" s="773">
        <v>523</v>
      </c>
      <c r="V1461" s="773">
        <v>8</v>
      </c>
      <c r="W1461" s="773" t="s">
        <v>410</v>
      </c>
    </row>
    <row r="1462" spans="1:23">
      <c r="A1462" s="27">
        <v>44500</v>
      </c>
      <c r="B1462" s="773" t="s">
        <v>140</v>
      </c>
      <c r="C1462" s="773">
        <v>540</v>
      </c>
      <c r="D1462" s="773">
        <v>1</v>
      </c>
      <c r="E1462" s="773" t="s">
        <v>410</v>
      </c>
      <c r="S1462" s="27">
        <v>44196</v>
      </c>
      <c r="T1462" s="773" t="s">
        <v>132</v>
      </c>
      <c r="U1462" s="773">
        <v>218</v>
      </c>
      <c r="V1462" s="773">
        <v>1006</v>
      </c>
      <c r="W1462" s="773" t="s">
        <v>390</v>
      </c>
    </row>
    <row r="1463" spans="1:23">
      <c r="A1463" s="27">
        <v>44865</v>
      </c>
      <c r="B1463" s="773" t="s">
        <v>140</v>
      </c>
      <c r="C1463" s="773">
        <v>359</v>
      </c>
      <c r="D1463" s="773">
        <v>750</v>
      </c>
      <c r="E1463" s="773" t="s">
        <v>390</v>
      </c>
      <c r="S1463" s="27">
        <v>44561</v>
      </c>
      <c r="T1463" s="773" t="s">
        <v>132</v>
      </c>
      <c r="U1463" s="773">
        <v>116</v>
      </c>
      <c r="V1463" s="773">
        <v>4</v>
      </c>
      <c r="W1463" s="773" t="s">
        <v>410</v>
      </c>
    </row>
    <row r="1464" spans="1:23">
      <c r="A1464" s="27">
        <v>44500</v>
      </c>
      <c r="B1464" s="773" t="s">
        <v>140</v>
      </c>
      <c r="C1464" s="773">
        <v>608</v>
      </c>
      <c r="D1464" s="773">
        <v>2675</v>
      </c>
      <c r="E1464" s="773" t="s">
        <v>390</v>
      </c>
      <c r="S1464" s="27">
        <v>44196</v>
      </c>
      <c r="T1464" s="773" t="s">
        <v>132</v>
      </c>
      <c r="U1464" s="773">
        <v>120</v>
      </c>
      <c r="V1464" s="773">
        <v>5</v>
      </c>
      <c r="W1464" s="773" t="s">
        <v>410</v>
      </c>
    </row>
    <row r="1465" spans="1:23">
      <c r="A1465" s="27">
        <v>44500</v>
      </c>
      <c r="B1465" s="773" t="s">
        <v>140</v>
      </c>
      <c r="C1465" s="773">
        <v>524</v>
      </c>
      <c r="D1465" s="773">
        <v>1135</v>
      </c>
      <c r="E1465" s="773" t="s">
        <v>390</v>
      </c>
      <c r="S1465" s="27">
        <v>44561</v>
      </c>
      <c r="T1465" s="773" t="s">
        <v>132</v>
      </c>
      <c r="U1465" s="773">
        <v>203</v>
      </c>
      <c r="V1465" s="773">
        <v>3196</v>
      </c>
      <c r="W1465" s="773" t="s">
        <v>390</v>
      </c>
    </row>
    <row r="1466" spans="1:23">
      <c r="A1466" s="27">
        <v>44865</v>
      </c>
      <c r="B1466" s="773" t="s">
        <v>140</v>
      </c>
      <c r="C1466" s="773">
        <v>594</v>
      </c>
      <c r="D1466" s="773">
        <v>2689</v>
      </c>
      <c r="E1466" s="773" t="s">
        <v>390</v>
      </c>
      <c r="S1466" s="27">
        <v>44196</v>
      </c>
      <c r="T1466" s="773" t="s">
        <v>132</v>
      </c>
      <c r="U1466" s="773">
        <v>76</v>
      </c>
      <c r="V1466" s="773">
        <v>2607</v>
      </c>
      <c r="W1466" s="773" t="s">
        <v>390</v>
      </c>
    </row>
    <row r="1467" spans="1:23">
      <c r="A1467" s="27">
        <v>44500</v>
      </c>
      <c r="B1467" s="773" t="s">
        <v>140</v>
      </c>
      <c r="C1467" s="773">
        <v>379</v>
      </c>
      <c r="D1467" s="773">
        <v>1</v>
      </c>
      <c r="E1467" s="773" t="s">
        <v>410</v>
      </c>
      <c r="S1467" s="27">
        <v>44561</v>
      </c>
      <c r="T1467" s="773" t="s">
        <v>132</v>
      </c>
      <c r="U1467" s="773">
        <v>60</v>
      </c>
      <c r="V1467" s="773">
        <v>1</v>
      </c>
      <c r="W1467" s="773" t="s">
        <v>410</v>
      </c>
    </row>
    <row r="1468" spans="1:23">
      <c r="A1468" s="27">
        <v>44500</v>
      </c>
      <c r="B1468" s="773" t="s">
        <v>140</v>
      </c>
      <c r="C1468" s="773">
        <v>640</v>
      </c>
      <c r="D1468" s="773">
        <v>3055</v>
      </c>
      <c r="E1468" s="773" t="s">
        <v>390</v>
      </c>
      <c r="S1468" s="27">
        <v>44561</v>
      </c>
      <c r="T1468" s="773" t="s">
        <v>132</v>
      </c>
      <c r="U1468" s="773">
        <v>130</v>
      </c>
      <c r="V1468" s="773">
        <v>1</v>
      </c>
      <c r="W1468" s="773" t="s">
        <v>410</v>
      </c>
    </row>
    <row r="1469" spans="1:23">
      <c r="A1469" s="27">
        <v>44500</v>
      </c>
      <c r="B1469" s="773" t="s">
        <v>140</v>
      </c>
      <c r="C1469" s="773">
        <v>732</v>
      </c>
      <c r="D1469" s="773">
        <v>4</v>
      </c>
      <c r="E1469" s="773" t="s">
        <v>410</v>
      </c>
      <c r="S1469" s="27">
        <v>44561</v>
      </c>
      <c r="T1469" s="773" t="s">
        <v>132</v>
      </c>
      <c r="U1469" s="773">
        <v>674</v>
      </c>
      <c r="V1469" s="773">
        <v>3766</v>
      </c>
      <c r="W1469" s="773" t="s">
        <v>390</v>
      </c>
    </row>
    <row r="1470" spans="1:23">
      <c r="A1470" s="27">
        <v>44500</v>
      </c>
      <c r="B1470" s="773" t="s">
        <v>140</v>
      </c>
      <c r="C1470" s="773">
        <v>659</v>
      </c>
      <c r="D1470" s="773">
        <v>691</v>
      </c>
      <c r="E1470" s="773" t="s">
        <v>390</v>
      </c>
      <c r="S1470" s="27">
        <v>44196</v>
      </c>
      <c r="T1470" s="773" t="s">
        <v>132</v>
      </c>
      <c r="U1470" s="773">
        <v>182</v>
      </c>
      <c r="V1470" s="773">
        <v>960</v>
      </c>
      <c r="W1470" s="773" t="s">
        <v>390</v>
      </c>
    </row>
    <row r="1471" spans="1:23">
      <c r="A1471" s="27">
        <v>44865</v>
      </c>
      <c r="B1471" s="773" t="s">
        <v>140</v>
      </c>
      <c r="C1471" s="773">
        <v>691</v>
      </c>
      <c r="D1471" s="773">
        <v>204</v>
      </c>
      <c r="E1471" s="773" t="s">
        <v>390</v>
      </c>
      <c r="S1471" s="27">
        <v>44196</v>
      </c>
      <c r="T1471" s="773" t="s">
        <v>132</v>
      </c>
      <c r="U1471" s="773">
        <v>114</v>
      </c>
      <c r="V1471" s="773">
        <v>1</v>
      </c>
      <c r="W1471" s="773" t="s">
        <v>410</v>
      </c>
    </row>
    <row r="1472" spans="1:23">
      <c r="A1472" s="27">
        <v>44500</v>
      </c>
      <c r="B1472" s="773" t="s">
        <v>140</v>
      </c>
      <c r="C1472" s="773">
        <v>674</v>
      </c>
      <c r="D1472" s="773">
        <v>1592</v>
      </c>
      <c r="E1472" s="773" t="s">
        <v>390</v>
      </c>
      <c r="S1472" s="27">
        <v>44561</v>
      </c>
      <c r="T1472" s="773" t="s">
        <v>132</v>
      </c>
      <c r="U1472" s="773">
        <v>113</v>
      </c>
      <c r="V1472" s="773">
        <v>1</v>
      </c>
      <c r="W1472" s="773" t="s">
        <v>410</v>
      </c>
    </row>
    <row r="1473" spans="1:23">
      <c r="A1473" s="27">
        <v>44865</v>
      </c>
      <c r="B1473" s="773" t="s">
        <v>140</v>
      </c>
      <c r="C1473" s="773">
        <v>628</v>
      </c>
      <c r="D1473" s="773">
        <v>1690</v>
      </c>
      <c r="E1473" s="773" t="s">
        <v>390</v>
      </c>
      <c r="S1473" s="27">
        <v>44196</v>
      </c>
      <c r="T1473" s="773" t="s">
        <v>132</v>
      </c>
      <c r="U1473" s="773">
        <v>40</v>
      </c>
      <c r="V1473" s="773">
        <v>3</v>
      </c>
      <c r="W1473" s="773" t="s">
        <v>410</v>
      </c>
    </row>
    <row r="1474" spans="1:23">
      <c r="A1474" s="27">
        <v>44865</v>
      </c>
      <c r="B1474" s="773" t="s">
        <v>140</v>
      </c>
      <c r="C1474" s="773">
        <v>379</v>
      </c>
      <c r="D1474" s="773">
        <v>1</v>
      </c>
      <c r="E1474" s="773" t="s">
        <v>410</v>
      </c>
      <c r="S1474" s="27">
        <v>44196</v>
      </c>
      <c r="T1474" s="773" t="s">
        <v>132</v>
      </c>
      <c r="U1474" s="773">
        <v>94</v>
      </c>
      <c r="V1474" s="773">
        <v>2216</v>
      </c>
      <c r="W1474" s="773" t="s">
        <v>390</v>
      </c>
    </row>
    <row r="1475" spans="1:23">
      <c r="A1475" s="27">
        <v>44865</v>
      </c>
      <c r="B1475" s="773" t="s">
        <v>140</v>
      </c>
      <c r="C1475" s="773">
        <v>493</v>
      </c>
      <c r="D1475" s="773">
        <v>5</v>
      </c>
      <c r="E1475" s="773" t="s">
        <v>410</v>
      </c>
      <c r="S1475" s="27">
        <v>44561</v>
      </c>
      <c r="T1475" s="773" t="s">
        <v>132</v>
      </c>
      <c r="U1475" s="773">
        <v>304</v>
      </c>
      <c r="V1475" s="773">
        <v>114</v>
      </c>
      <c r="W1475" s="773" t="s">
        <v>390</v>
      </c>
    </row>
    <row r="1476" spans="1:23">
      <c r="A1476" s="27">
        <v>44865</v>
      </c>
      <c r="B1476" s="773" t="s">
        <v>140</v>
      </c>
      <c r="C1476" s="773">
        <v>678</v>
      </c>
      <c r="D1476" s="773">
        <v>1</v>
      </c>
      <c r="E1476" s="773" t="s">
        <v>410</v>
      </c>
      <c r="S1476" s="27">
        <v>44561</v>
      </c>
      <c r="T1476" s="773" t="s">
        <v>132</v>
      </c>
      <c r="U1476" s="773">
        <v>77</v>
      </c>
      <c r="V1476" s="773">
        <v>3315</v>
      </c>
      <c r="W1476" s="773" t="s">
        <v>390</v>
      </c>
    </row>
    <row r="1477" spans="1:23">
      <c r="A1477" s="27">
        <v>44865</v>
      </c>
      <c r="B1477" s="773" t="s">
        <v>140</v>
      </c>
      <c r="C1477" s="773">
        <v>664</v>
      </c>
      <c r="D1477" s="773">
        <v>1</v>
      </c>
      <c r="E1477" s="773" t="s">
        <v>410</v>
      </c>
      <c r="S1477" s="27">
        <v>44561</v>
      </c>
      <c r="T1477" s="773" t="s">
        <v>132</v>
      </c>
      <c r="U1477" s="773">
        <v>296</v>
      </c>
      <c r="V1477" s="773">
        <v>2340</v>
      </c>
      <c r="W1477" s="773" t="s">
        <v>390</v>
      </c>
    </row>
    <row r="1478" spans="1:23">
      <c r="A1478" s="27">
        <v>44500</v>
      </c>
      <c r="B1478" s="773" t="s">
        <v>140</v>
      </c>
      <c r="C1478" s="773">
        <v>558</v>
      </c>
      <c r="D1478" s="773">
        <v>1253</v>
      </c>
      <c r="E1478" s="773" t="s">
        <v>390</v>
      </c>
      <c r="S1478" s="27">
        <v>44196</v>
      </c>
      <c r="T1478" s="773" t="s">
        <v>132</v>
      </c>
      <c r="U1478" s="773">
        <v>275</v>
      </c>
      <c r="V1478" s="773">
        <v>1332</v>
      </c>
      <c r="W1478" s="773" t="s">
        <v>390</v>
      </c>
    </row>
    <row r="1479" spans="1:23">
      <c r="A1479" s="27">
        <v>44500</v>
      </c>
      <c r="B1479" s="773" t="s">
        <v>140</v>
      </c>
      <c r="C1479" s="773">
        <v>712</v>
      </c>
      <c r="D1479" s="773">
        <v>1</v>
      </c>
      <c r="E1479" s="773" t="s">
        <v>410</v>
      </c>
      <c r="S1479" s="27">
        <v>44561</v>
      </c>
      <c r="T1479" s="773" t="s">
        <v>132</v>
      </c>
      <c r="U1479" s="773">
        <v>319</v>
      </c>
      <c r="V1479" s="773">
        <v>1910</v>
      </c>
      <c r="W1479" s="773" t="s">
        <v>390</v>
      </c>
    </row>
    <row r="1480" spans="1:23">
      <c r="A1480" s="27">
        <v>44865</v>
      </c>
      <c r="B1480" s="773" t="s">
        <v>140</v>
      </c>
      <c r="C1480" s="773">
        <v>469</v>
      </c>
      <c r="D1480" s="773">
        <v>18</v>
      </c>
      <c r="E1480" s="773" t="s">
        <v>410</v>
      </c>
      <c r="S1480" s="27">
        <v>44196</v>
      </c>
      <c r="T1480" s="773" t="s">
        <v>132</v>
      </c>
      <c r="U1480" s="773">
        <v>296</v>
      </c>
      <c r="V1480" s="773">
        <v>2300</v>
      </c>
      <c r="W1480" s="773" t="s">
        <v>390</v>
      </c>
    </row>
    <row r="1481" spans="1:23">
      <c r="A1481" s="27">
        <v>44865</v>
      </c>
      <c r="B1481" s="773" t="s">
        <v>140</v>
      </c>
      <c r="C1481" s="773">
        <v>760</v>
      </c>
      <c r="D1481" s="773">
        <v>96</v>
      </c>
      <c r="E1481" s="773" t="s">
        <v>410</v>
      </c>
      <c r="S1481" s="27">
        <v>44196</v>
      </c>
      <c r="T1481" s="773" t="s">
        <v>132</v>
      </c>
      <c r="U1481" s="773">
        <v>61</v>
      </c>
      <c r="V1481" s="773">
        <v>1</v>
      </c>
      <c r="W1481" s="773" t="s">
        <v>410</v>
      </c>
    </row>
    <row r="1482" spans="1:23">
      <c r="A1482" s="27">
        <v>44500</v>
      </c>
      <c r="B1482" s="773" t="s">
        <v>140</v>
      </c>
      <c r="C1482" s="773">
        <v>383</v>
      </c>
      <c r="D1482" s="773">
        <v>4</v>
      </c>
      <c r="E1482" s="773" t="s">
        <v>410</v>
      </c>
      <c r="S1482" s="27">
        <v>44196</v>
      </c>
      <c r="T1482" s="773" t="s">
        <v>132</v>
      </c>
      <c r="U1482" s="773">
        <v>27</v>
      </c>
      <c r="V1482" s="773">
        <v>1</v>
      </c>
      <c r="W1482" s="773" t="s">
        <v>410</v>
      </c>
    </row>
    <row r="1483" spans="1:23">
      <c r="A1483" s="27">
        <v>44500</v>
      </c>
      <c r="B1483" s="773" t="s">
        <v>140</v>
      </c>
      <c r="C1483" s="773">
        <v>478</v>
      </c>
      <c r="D1483" s="773">
        <v>1984</v>
      </c>
      <c r="E1483" s="773" t="s">
        <v>390</v>
      </c>
      <c r="S1483" s="27">
        <v>44196</v>
      </c>
      <c r="T1483" s="773" t="s">
        <v>132</v>
      </c>
      <c r="U1483" s="773">
        <v>678</v>
      </c>
      <c r="V1483" s="773">
        <v>2531</v>
      </c>
      <c r="W1483" s="773" t="s">
        <v>390</v>
      </c>
    </row>
    <row r="1484" spans="1:23">
      <c r="A1484" s="27">
        <v>44865</v>
      </c>
      <c r="B1484" s="773" t="s">
        <v>140</v>
      </c>
      <c r="C1484" s="773">
        <v>449</v>
      </c>
      <c r="D1484" s="773">
        <v>1835</v>
      </c>
      <c r="E1484" s="773" t="s">
        <v>390</v>
      </c>
      <c r="S1484" s="27">
        <v>44561</v>
      </c>
      <c r="T1484" s="773" t="s">
        <v>132</v>
      </c>
      <c r="U1484" s="773">
        <v>59</v>
      </c>
      <c r="V1484" s="773">
        <v>64</v>
      </c>
      <c r="W1484" s="773" t="s">
        <v>410</v>
      </c>
    </row>
    <row r="1485" spans="1:23">
      <c r="A1485" s="27">
        <v>44500</v>
      </c>
      <c r="B1485" s="773" t="s">
        <v>140</v>
      </c>
      <c r="C1485" s="773">
        <v>198</v>
      </c>
      <c r="D1485" s="773">
        <v>4</v>
      </c>
      <c r="E1485" s="773" t="s">
        <v>410</v>
      </c>
      <c r="S1485" s="27">
        <v>44196</v>
      </c>
      <c r="T1485" s="773" t="s">
        <v>132</v>
      </c>
      <c r="U1485" s="773">
        <v>140</v>
      </c>
      <c r="V1485" s="773">
        <v>220</v>
      </c>
      <c r="W1485" s="773" t="s">
        <v>390</v>
      </c>
    </row>
    <row r="1486" spans="1:23">
      <c r="A1486" s="27">
        <v>44865</v>
      </c>
      <c r="B1486" s="773" t="s">
        <v>140</v>
      </c>
      <c r="C1486" s="773">
        <v>740</v>
      </c>
      <c r="D1486" s="773">
        <v>371</v>
      </c>
      <c r="E1486" s="773" t="s">
        <v>390</v>
      </c>
      <c r="S1486" s="27">
        <v>44561</v>
      </c>
      <c r="T1486" s="773" t="s">
        <v>132</v>
      </c>
      <c r="U1486" s="773">
        <v>299</v>
      </c>
      <c r="V1486" s="773">
        <v>1</v>
      </c>
      <c r="W1486" s="773" t="s">
        <v>410</v>
      </c>
    </row>
    <row r="1487" spans="1:23">
      <c r="A1487" s="27">
        <v>44865</v>
      </c>
      <c r="B1487" s="773" t="s">
        <v>140</v>
      </c>
      <c r="C1487" s="773">
        <v>453</v>
      </c>
      <c r="D1487" s="773">
        <v>2305</v>
      </c>
      <c r="E1487" s="773" t="s">
        <v>390</v>
      </c>
      <c r="S1487" s="27">
        <v>44561</v>
      </c>
      <c r="T1487" s="773" t="s">
        <v>132</v>
      </c>
      <c r="U1487" s="773">
        <v>78</v>
      </c>
      <c r="V1487" s="773">
        <v>1</v>
      </c>
      <c r="W1487" s="773" t="s">
        <v>410</v>
      </c>
    </row>
    <row r="1488" spans="1:23">
      <c r="A1488" s="27">
        <v>44865</v>
      </c>
      <c r="B1488" s="773" t="s">
        <v>140</v>
      </c>
      <c r="C1488" s="773">
        <v>610</v>
      </c>
      <c r="D1488" s="773">
        <v>2960</v>
      </c>
      <c r="E1488" s="773" t="s">
        <v>390</v>
      </c>
      <c r="S1488" s="27">
        <v>44196</v>
      </c>
      <c r="T1488" s="773" t="s">
        <v>132</v>
      </c>
      <c r="U1488" s="773">
        <v>13</v>
      </c>
      <c r="V1488" s="773">
        <v>4343</v>
      </c>
      <c r="W1488" s="773" t="s">
        <v>390</v>
      </c>
    </row>
    <row r="1489" spans="1:23">
      <c r="A1489" s="27">
        <v>44865</v>
      </c>
      <c r="B1489" s="773" t="s">
        <v>140</v>
      </c>
      <c r="C1489" s="773">
        <v>626</v>
      </c>
      <c r="D1489" s="773">
        <v>3153</v>
      </c>
      <c r="E1489" s="773" t="s">
        <v>390</v>
      </c>
      <c r="S1489" s="27">
        <v>44196</v>
      </c>
      <c r="T1489" s="773" t="s">
        <v>132</v>
      </c>
      <c r="U1489" s="773">
        <v>245</v>
      </c>
      <c r="V1489" s="773">
        <v>2413</v>
      </c>
      <c r="W1489" s="773" t="s">
        <v>390</v>
      </c>
    </row>
    <row r="1490" spans="1:23">
      <c r="A1490" s="27">
        <v>44865</v>
      </c>
      <c r="B1490" s="773" t="s">
        <v>140</v>
      </c>
      <c r="C1490" s="773">
        <v>530</v>
      </c>
      <c r="D1490" s="773">
        <v>1</v>
      </c>
      <c r="E1490" s="773" t="s">
        <v>410</v>
      </c>
      <c r="S1490" s="27">
        <v>44561</v>
      </c>
      <c r="T1490" s="773" t="s">
        <v>132</v>
      </c>
      <c r="U1490" s="773">
        <v>164</v>
      </c>
      <c r="V1490" s="773">
        <v>10</v>
      </c>
      <c r="W1490" s="773" t="s">
        <v>410</v>
      </c>
    </row>
    <row r="1491" spans="1:23">
      <c r="A1491" s="27">
        <v>44500</v>
      </c>
      <c r="B1491" s="773" t="s">
        <v>140</v>
      </c>
      <c r="C1491" s="773">
        <v>597</v>
      </c>
      <c r="D1491" s="773">
        <v>1169</v>
      </c>
      <c r="E1491" s="773" t="s">
        <v>390</v>
      </c>
      <c r="S1491" s="27">
        <v>44561</v>
      </c>
      <c r="T1491" s="773" t="s">
        <v>132</v>
      </c>
      <c r="U1491" s="773">
        <v>687</v>
      </c>
      <c r="V1491" s="773">
        <v>2800</v>
      </c>
      <c r="W1491" s="773" t="s">
        <v>390</v>
      </c>
    </row>
    <row r="1492" spans="1:23">
      <c r="A1492" s="27">
        <v>44500</v>
      </c>
      <c r="B1492" s="773" t="s">
        <v>140</v>
      </c>
      <c r="C1492" s="773">
        <v>493</v>
      </c>
      <c r="D1492" s="773">
        <v>7</v>
      </c>
      <c r="E1492" s="773" t="s">
        <v>410</v>
      </c>
      <c r="S1492" s="27">
        <v>44196</v>
      </c>
      <c r="T1492" s="773" t="s">
        <v>132</v>
      </c>
      <c r="U1492" s="773">
        <v>193</v>
      </c>
      <c r="V1492" s="773">
        <v>2273</v>
      </c>
      <c r="W1492" s="773" t="s">
        <v>390</v>
      </c>
    </row>
    <row r="1493" spans="1:23">
      <c r="A1493" s="27">
        <v>44865</v>
      </c>
      <c r="B1493" s="773" t="s">
        <v>140</v>
      </c>
      <c r="C1493" s="773">
        <v>732</v>
      </c>
      <c r="D1493" s="773">
        <v>3</v>
      </c>
      <c r="E1493" s="773" t="s">
        <v>410</v>
      </c>
      <c r="S1493" s="27">
        <v>44196</v>
      </c>
      <c r="T1493" s="773" t="s">
        <v>132</v>
      </c>
      <c r="U1493" s="773">
        <v>222</v>
      </c>
      <c r="V1493" s="773">
        <v>3</v>
      </c>
      <c r="W1493" s="773" t="s">
        <v>410</v>
      </c>
    </row>
    <row r="1494" spans="1:23">
      <c r="A1494" s="27">
        <v>44500</v>
      </c>
      <c r="B1494" s="773" t="s">
        <v>140</v>
      </c>
      <c r="C1494" s="773">
        <v>760</v>
      </c>
      <c r="D1494" s="773">
        <v>73</v>
      </c>
      <c r="E1494" s="773" t="s">
        <v>410</v>
      </c>
      <c r="S1494" s="27">
        <v>44561</v>
      </c>
      <c r="T1494" s="773" t="s">
        <v>132</v>
      </c>
      <c r="U1494" s="773">
        <v>183</v>
      </c>
      <c r="V1494" s="773">
        <v>2181</v>
      </c>
      <c r="W1494" s="773" t="s">
        <v>390</v>
      </c>
    </row>
    <row r="1495" spans="1:23">
      <c r="A1495" s="27">
        <v>44500</v>
      </c>
      <c r="B1495" s="773" t="s">
        <v>140</v>
      </c>
      <c r="C1495" s="773">
        <v>705</v>
      </c>
      <c r="D1495" s="773">
        <v>1</v>
      </c>
      <c r="E1495" s="773" t="s">
        <v>410</v>
      </c>
      <c r="S1495" s="27">
        <v>44561</v>
      </c>
      <c r="T1495" s="773" t="s">
        <v>132</v>
      </c>
      <c r="U1495" s="773">
        <v>87</v>
      </c>
      <c r="V1495" s="773">
        <v>3</v>
      </c>
      <c r="W1495" s="773" t="s">
        <v>410</v>
      </c>
    </row>
    <row r="1496" spans="1:23">
      <c r="A1496" s="27">
        <v>44865</v>
      </c>
      <c r="B1496" s="773" t="s">
        <v>140</v>
      </c>
      <c r="C1496" s="773">
        <v>648</v>
      </c>
      <c r="D1496" s="773">
        <v>1401</v>
      </c>
      <c r="E1496" s="773" t="s">
        <v>390</v>
      </c>
      <c r="S1496" s="27">
        <v>44196</v>
      </c>
      <c r="T1496" s="773" t="s">
        <v>132</v>
      </c>
      <c r="U1496" s="773">
        <v>674</v>
      </c>
      <c r="V1496" s="773">
        <v>1757</v>
      </c>
      <c r="W1496" s="773" t="s">
        <v>390</v>
      </c>
    </row>
    <row r="1497" spans="1:23">
      <c r="A1497" s="27">
        <v>44865</v>
      </c>
      <c r="B1497" s="773" t="s">
        <v>140</v>
      </c>
      <c r="C1497" s="773">
        <v>478</v>
      </c>
      <c r="D1497" s="773">
        <v>2219</v>
      </c>
      <c r="E1497" s="773" t="s">
        <v>390</v>
      </c>
      <c r="S1497" s="27">
        <v>44196</v>
      </c>
      <c r="T1497" s="773" t="s">
        <v>132</v>
      </c>
      <c r="U1497" s="773">
        <v>250</v>
      </c>
      <c r="V1497" s="773">
        <v>1</v>
      </c>
      <c r="W1497" s="773" t="s">
        <v>410</v>
      </c>
    </row>
    <row r="1498" spans="1:23">
      <c r="A1498" s="27">
        <v>44865</v>
      </c>
      <c r="B1498" s="773" t="s">
        <v>140</v>
      </c>
      <c r="C1498" s="773">
        <v>556</v>
      </c>
      <c r="D1498" s="773">
        <v>2659</v>
      </c>
      <c r="E1498" s="773" t="s">
        <v>390</v>
      </c>
      <c r="S1498" s="27">
        <v>44196</v>
      </c>
      <c r="T1498" s="773" t="s">
        <v>132</v>
      </c>
      <c r="U1498" s="773">
        <v>279</v>
      </c>
      <c r="V1498" s="773">
        <v>2279</v>
      </c>
      <c r="W1498" s="773" t="s">
        <v>390</v>
      </c>
    </row>
    <row r="1499" spans="1:23">
      <c r="A1499" s="27">
        <v>44865</v>
      </c>
      <c r="B1499" s="773" t="s">
        <v>140</v>
      </c>
      <c r="C1499" s="773">
        <v>639</v>
      </c>
      <c r="D1499" s="773">
        <v>119</v>
      </c>
      <c r="E1499" s="773" t="s">
        <v>390</v>
      </c>
      <c r="S1499" s="27">
        <v>44196</v>
      </c>
      <c r="T1499" s="773" t="s">
        <v>132</v>
      </c>
      <c r="U1499" s="773">
        <v>252</v>
      </c>
      <c r="V1499" s="773">
        <v>1263</v>
      </c>
      <c r="W1499" s="773" t="s">
        <v>390</v>
      </c>
    </row>
    <row r="1500" spans="1:23">
      <c r="A1500" s="27">
        <v>44500</v>
      </c>
      <c r="B1500" s="773" t="s">
        <v>140</v>
      </c>
      <c r="C1500" s="773">
        <v>758</v>
      </c>
      <c r="D1500" s="773">
        <v>1</v>
      </c>
      <c r="E1500" s="773" t="s">
        <v>410</v>
      </c>
      <c r="S1500" s="27">
        <v>44196</v>
      </c>
      <c r="T1500" s="773" t="s">
        <v>132</v>
      </c>
      <c r="U1500" s="773">
        <v>667</v>
      </c>
      <c r="V1500" s="773">
        <v>1</v>
      </c>
      <c r="W1500" s="773" t="s">
        <v>410</v>
      </c>
    </row>
    <row r="1501" spans="1:23">
      <c r="A1501" s="27">
        <v>44865</v>
      </c>
      <c r="B1501" s="773" t="s">
        <v>140</v>
      </c>
      <c r="C1501" s="773">
        <v>742</v>
      </c>
      <c r="D1501" s="773">
        <v>1</v>
      </c>
      <c r="E1501" s="773" t="s">
        <v>410</v>
      </c>
      <c r="S1501" s="27">
        <v>44196</v>
      </c>
      <c r="T1501" s="773" t="s">
        <v>132</v>
      </c>
      <c r="U1501" s="773">
        <v>83</v>
      </c>
      <c r="V1501" s="773">
        <v>2200</v>
      </c>
      <c r="W1501" s="773" t="s">
        <v>390</v>
      </c>
    </row>
    <row r="1502" spans="1:23">
      <c r="A1502" s="27">
        <v>44865</v>
      </c>
      <c r="B1502" s="773" t="s">
        <v>140</v>
      </c>
      <c r="C1502" s="773">
        <v>370</v>
      </c>
      <c r="D1502" s="773">
        <v>2</v>
      </c>
      <c r="E1502" s="773" t="s">
        <v>410</v>
      </c>
      <c r="S1502" s="27">
        <v>44196</v>
      </c>
      <c r="T1502" s="773" t="s">
        <v>132</v>
      </c>
      <c r="U1502" s="773">
        <v>0</v>
      </c>
      <c r="V1502" s="773">
        <v>40</v>
      </c>
      <c r="W1502" s="773" t="s">
        <v>410</v>
      </c>
    </row>
    <row r="1503" spans="1:23">
      <c r="A1503" s="27">
        <v>44865</v>
      </c>
      <c r="B1503" s="773" t="s">
        <v>140</v>
      </c>
      <c r="C1503" s="773">
        <v>458</v>
      </c>
      <c r="D1503" s="773">
        <v>1</v>
      </c>
      <c r="E1503" s="773" t="s">
        <v>410</v>
      </c>
      <c r="S1503" s="27">
        <v>44196</v>
      </c>
      <c r="T1503" s="773" t="s">
        <v>132</v>
      </c>
      <c r="U1503" s="773">
        <v>257</v>
      </c>
      <c r="V1503" s="773">
        <v>2564</v>
      </c>
      <c r="W1503" s="773" t="s">
        <v>390</v>
      </c>
    </row>
    <row r="1504" spans="1:23">
      <c r="A1504" s="27">
        <v>44500</v>
      </c>
      <c r="B1504" s="773" t="s">
        <v>140</v>
      </c>
      <c r="C1504" s="773">
        <v>279</v>
      </c>
      <c r="D1504" s="773">
        <v>1</v>
      </c>
      <c r="E1504" s="773" t="s">
        <v>410</v>
      </c>
      <c r="S1504" s="27">
        <v>44196</v>
      </c>
      <c r="T1504" s="773" t="s">
        <v>132</v>
      </c>
      <c r="U1504" s="773">
        <v>256</v>
      </c>
      <c r="V1504" s="773">
        <v>2513</v>
      </c>
      <c r="W1504" s="773" t="s">
        <v>390</v>
      </c>
    </row>
    <row r="1505" spans="1:23">
      <c r="A1505" s="27">
        <v>44500</v>
      </c>
      <c r="B1505" s="773" t="s">
        <v>140</v>
      </c>
      <c r="C1505" s="773">
        <v>710</v>
      </c>
      <c r="D1505" s="773">
        <v>2736</v>
      </c>
      <c r="E1505" s="773" t="s">
        <v>390</v>
      </c>
      <c r="S1505" s="27">
        <v>44196</v>
      </c>
      <c r="T1505" s="773" t="s">
        <v>132</v>
      </c>
      <c r="U1505" s="773">
        <v>269</v>
      </c>
      <c r="V1505" s="773">
        <v>1</v>
      </c>
      <c r="W1505" s="773" t="s">
        <v>410</v>
      </c>
    </row>
    <row r="1506" spans="1:23">
      <c r="A1506" s="27">
        <v>44500</v>
      </c>
      <c r="B1506" s="773" t="s">
        <v>140</v>
      </c>
      <c r="C1506" s="773">
        <v>740</v>
      </c>
      <c r="D1506" s="773">
        <v>408</v>
      </c>
      <c r="E1506" s="773" t="s">
        <v>390</v>
      </c>
      <c r="S1506" s="27">
        <v>44196</v>
      </c>
      <c r="T1506" s="773" t="s">
        <v>132</v>
      </c>
      <c r="U1506" s="773">
        <v>108</v>
      </c>
      <c r="V1506" s="773">
        <v>1</v>
      </c>
      <c r="W1506" s="773" t="s">
        <v>410</v>
      </c>
    </row>
    <row r="1507" spans="1:23">
      <c r="A1507" s="27">
        <v>44500</v>
      </c>
      <c r="B1507" s="773" t="s">
        <v>140</v>
      </c>
      <c r="C1507" s="773">
        <v>525</v>
      </c>
      <c r="D1507" s="773">
        <v>3419</v>
      </c>
      <c r="E1507" s="773" t="s">
        <v>390</v>
      </c>
      <c r="S1507" s="27">
        <v>44196</v>
      </c>
      <c r="T1507" s="773" t="s">
        <v>132</v>
      </c>
      <c r="U1507" s="773">
        <v>265</v>
      </c>
      <c r="V1507" s="773">
        <v>1578</v>
      </c>
      <c r="W1507" s="773" t="s">
        <v>390</v>
      </c>
    </row>
    <row r="1508" spans="1:23">
      <c r="A1508" s="27">
        <v>44500</v>
      </c>
      <c r="B1508" s="773" t="s">
        <v>140</v>
      </c>
      <c r="C1508" s="773">
        <v>719</v>
      </c>
      <c r="D1508" s="773">
        <v>24</v>
      </c>
      <c r="E1508" s="773" t="s">
        <v>410</v>
      </c>
      <c r="S1508" s="27">
        <v>44196</v>
      </c>
      <c r="T1508" s="773" t="s">
        <v>132</v>
      </c>
      <c r="U1508" s="773">
        <v>241</v>
      </c>
      <c r="V1508" s="773">
        <v>19</v>
      </c>
      <c r="W1508" s="773" t="s">
        <v>410</v>
      </c>
    </row>
    <row r="1509" spans="1:23">
      <c r="A1509" s="27">
        <v>44500</v>
      </c>
      <c r="B1509" s="773" t="s">
        <v>140</v>
      </c>
      <c r="C1509" s="773">
        <v>626</v>
      </c>
      <c r="D1509" s="773">
        <v>2478</v>
      </c>
      <c r="E1509" s="773" t="s">
        <v>390</v>
      </c>
      <c r="S1509" s="27">
        <v>44561</v>
      </c>
      <c r="T1509" s="773" t="s">
        <v>132</v>
      </c>
      <c r="U1509" s="773">
        <v>40</v>
      </c>
      <c r="V1509" s="773">
        <v>2</v>
      </c>
      <c r="W1509" s="773" t="s">
        <v>410</v>
      </c>
    </row>
    <row r="1510" spans="1:23">
      <c r="A1510" s="27">
        <v>44865</v>
      </c>
      <c r="B1510" s="773" t="s">
        <v>140</v>
      </c>
      <c r="C1510" s="773">
        <v>582</v>
      </c>
      <c r="D1510" s="773">
        <v>2275</v>
      </c>
      <c r="E1510" s="773" t="s">
        <v>390</v>
      </c>
      <c r="S1510" s="27">
        <v>44561</v>
      </c>
      <c r="T1510" s="773" t="s">
        <v>132</v>
      </c>
      <c r="U1510" s="773">
        <v>52</v>
      </c>
      <c r="V1510" s="773">
        <v>2</v>
      </c>
      <c r="W1510" s="773" t="s">
        <v>410</v>
      </c>
    </row>
    <row r="1511" spans="1:23">
      <c r="A1511" s="27">
        <v>44500</v>
      </c>
      <c r="B1511" s="773" t="s">
        <v>140</v>
      </c>
      <c r="C1511" s="773">
        <v>639</v>
      </c>
      <c r="D1511" s="773">
        <v>85</v>
      </c>
      <c r="E1511" s="773" t="s">
        <v>410</v>
      </c>
      <c r="S1511" s="27">
        <v>44196</v>
      </c>
      <c r="T1511" s="773" t="s">
        <v>132</v>
      </c>
      <c r="U1511" s="773">
        <v>68</v>
      </c>
      <c r="V1511" s="773">
        <v>215</v>
      </c>
      <c r="W1511" s="773" t="s">
        <v>390</v>
      </c>
    </row>
    <row r="1512" spans="1:23">
      <c r="A1512" s="27">
        <v>44500</v>
      </c>
      <c r="B1512" s="773" t="s">
        <v>140</v>
      </c>
      <c r="C1512" s="773">
        <v>628</v>
      </c>
      <c r="D1512" s="773">
        <v>1592</v>
      </c>
      <c r="E1512" s="773" t="s">
        <v>390</v>
      </c>
      <c r="S1512" s="27">
        <v>44196</v>
      </c>
      <c r="T1512" s="773" t="s">
        <v>132</v>
      </c>
      <c r="U1512" s="773">
        <v>82</v>
      </c>
      <c r="V1512" s="773">
        <v>2273</v>
      </c>
      <c r="W1512" s="773" t="s">
        <v>390</v>
      </c>
    </row>
    <row r="1513" spans="1:23">
      <c r="A1513" s="27">
        <v>44865</v>
      </c>
      <c r="B1513" s="773" t="s">
        <v>140</v>
      </c>
      <c r="C1513" s="773">
        <v>574</v>
      </c>
      <c r="D1513" s="773">
        <v>2523</v>
      </c>
      <c r="E1513" s="773" t="s">
        <v>390</v>
      </c>
      <c r="S1513" s="27">
        <v>44561</v>
      </c>
      <c r="T1513" s="773" t="s">
        <v>132</v>
      </c>
      <c r="U1513" s="773">
        <v>293</v>
      </c>
      <c r="V1513" s="773">
        <v>499</v>
      </c>
      <c r="W1513" s="773" t="s">
        <v>390</v>
      </c>
    </row>
    <row r="1514" spans="1:23">
      <c r="A1514" s="27">
        <v>44865</v>
      </c>
      <c r="B1514" s="773" t="s">
        <v>140</v>
      </c>
      <c r="C1514" s="773">
        <v>383</v>
      </c>
      <c r="D1514" s="773">
        <v>1</v>
      </c>
      <c r="E1514" s="773" t="s">
        <v>410</v>
      </c>
      <c r="S1514" s="27">
        <v>44196</v>
      </c>
      <c r="T1514" s="773" t="s">
        <v>132</v>
      </c>
      <c r="U1514" s="773">
        <v>660</v>
      </c>
      <c r="V1514" s="773">
        <v>3</v>
      </c>
      <c r="W1514" s="773" t="s">
        <v>410</v>
      </c>
    </row>
    <row r="1515" spans="1:23">
      <c r="A1515" s="27">
        <v>44500</v>
      </c>
      <c r="B1515" s="773" t="s">
        <v>140</v>
      </c>
      <c r="C1515" s="773">
        <v>548</v>
      </c>
      <c r="D1515" s="773">
        <v>543</v>
      </c>
      <c r="E1515" s="773" t="s">
        <v>390</v>
      </c>
      <c r="S1515" s="27">
        <v>44561</v>
      </c>
      <c r="T1515" s="773" t="s">
        <v>132</v>
      </c>
      <c r="U1515" s="773">
        <v>220</v>
      </c>
      <c r="V1515" s="773">
        <v>177</v>
      </c>
      <c r="W1515" s="773" t="s">
        <v>390</v>
      </c>
    </row>
    <row r="1516" spans="1:23">
      <c r="A1516" s="27">
        <v>44530</v>
      </c>
      <c r="B1516" s="773" t="s">
        <v>140</v>
      </c>
      <c r="C1516" s="773">
        <v>502</v>
      </c>
      <c r="D1516" s="773">
        <v>12</v>
      </c>
      <c r="E1516" s="773" t="s">
        <v>410</v>
      </c>
      <c r="S1516" s="27">
        <v>44196</v>
      </c>
      <c r="T1516" s="773" t="s">
        <v>132</v>
      </c>
      <c r="U1516" s="773">
        <v>680</v>
      </c>
      <c r="V1516" s="773">
        <v>2441</v>
      </c>
      <c r="W1516" s="773" t="s">
        <v>390</v>
      </c>
    </row>
    <row r="1517" spans="1:23">
      <c r="A1517" s="27">
        <v>44530</v>
      </c>
      <c r="B1517" s="773" t="s">
        <v>140</v>
      </c>
      <c r="C1517" s="773">
        <v>485</v>
      </c>
      <c r="D1517" s="773">
        <v>1312</v>
      </c>
      <c r="E1517" s="773" t="s">
        <v>390</v>
      </c>
      <c r="S1517" s="27">
        <v>44561</v>
      </c>
      <c r="T1517" s="773" t="s">
        <v>132</v>
      </c>
      <c r="U1517" s="773">
        <v>247</v>
      </c>
      <c r="V1517" s="773">
        <v>2290</v>
      </c>
      <c r="W1517" s="773" t="s">
        <v>390</v>
      </c>
    </row>
    <row r="1518" spans="1:23">
      <c r="A1518" s="27">
        <v>44530</v>
      </c>
      <c r="B1518" s="773" t="s">
        <v>140</v>
      </c>
      <c r="C1518" s="773">
        <v>510</v>
      </c>
      <c r="D1518" s="773">
        <v>908</v>
      </c>
      <c r="E1518" s="773" t="s">
        <v>390</v>
      </c>
      <c r="S1518" s="27">
        <v>44561</v>
      </c>
      <c r="T1518" s="773" t="s">
        <v>132</v>
      </c>
      <c r="U1518" s="773">
        <v>169</v>
      </c>
      <c r="V1518" s="773">
        <v>2548</v>
      </c>
      <c r="W1518" s="773" t="s">
        <v>390</v>
      </c>
    </row>
    <row r="1519" spans="1:23">
      <c r="A1519" s="27">
        <v>44895</v>
      </c>
      <c r="B1519" s="773" t="s">
        <v>140</v>
      </c>
      <c r="C1519" s="773">
        <v>510</v>
      </c>
      <c r="D1519" s="773">
        <v>904</v>
      </c>
      <c r="E1519" s="773" t="s">
        <v>390</v>
      </c>
      <c r="S1519" s="27">
        <v>44196</v>
      </c>
      <c r="T1519" s="773" t="s">
        <v>132</v>
      </c>
      <c r="U1519" s="773">
        <v>81</v>
      </c>
      <c r="V1519" s="773">
        <v>3</v>
      </c>
      <c r="W1519" s="773" t="s">
        <v>410</v>
      </c>
    </row>
    <row r="1520" spans="1:23">
      <c r="A1520" s="27">
        <v>44530</v>
      </c>
      <c r="B1520" s="773" t="s">
        <v>140</v>
      </c>
      <c r="C1520" s="773">
        <v>525</v>
      </c>
      <c r="D1520" s="773">
        <v>3359</v>
      </c>
      <c r="E1520" s="773" t="s">
        <v>390</v>
      </c>
      <c r="S1520" s="27">
        <v>44561</v>
      </c>
      <c r="T1520" s="773" t="s">
        <v>132</v>
      </c>
      <c r="U1520" s="773">
        <v>245</v>
      </c>
      <c r="V1520" s="773">
        <v>4627</v>
      </c>
      <c r="W1520" s="773" t="s">
        <v>390</v>
      </c>
    </row>
    <row r="1521" spans="1:23">
      <c r="A1521" s="27">
        <v>44895</v>
      </c>
      <c r="B1521" s="773" t="s">
        <v>140</v>
      </c>
      <c r="C1521" s="773">
        <v>601</v>
      </c>
      <c r="D1521" s="773">
        <v>3</v>
      </c>
      <c r="E1521" s="773" t="s">
        <v>410</v>
      </c>
      <c r="S1521" s="27">
        <v>44561</v>
      </c>
      <c r="T1521" s="773" t="s">
        <v>132</v>
      </c>
      <c r="U1521" s="773">
        <v>266</v>
      </c>
      <c r="V1521" s="773">
        <v>2210</v>
      </c>
      <c r="W1521" s="773" t="s">
        <v>390</v>
      </c>
    </row>
    <row r="1522" spans="1:23">
      <c r="A1522" s="27">
        <v>44530</v>
      </c>
      <c r="B1522" s="773" t="s">
        <v>140</v>
      </c>
      <c r="C1522" s="773">
        <v>585</v>
      </c>
      <c r="D1522" s="773">
        <v>2229</v>
      </c>
      <c r="E1522" s="773" t="s">
        <v>390</v>
      </c>
      <c r="S1522" s="27">
        <v>44561</v>
      </c>
      <c r="T1522" s="773" t="s">
        <v>132</v>
      </c>
      <c r="U1522" s="773">
        <v>662</v>
      </c>
      <c r="V1522" s="773">
        <v>867</v>
      </c>
      <c r="W1522" s="773" t="s">
        <v>390</v>
      </c>
    </row>
    <row r="1523" spans="1:23">
      <c r="A1523" s="27">
        <v>44530</v>
      </c>
      <c r="B1523" s="773" t="s">
        <v>140</v>
      </c>
      <c r="C1523" s="773">
        <v>597</v>
      </c>
      <c r="D1523" s="773">
        <v>1184</v>
      </c>
      <c r="E1523" s="773" t="s">
        <v>390</v>
      </c>
      <c r="S1523" s="27">
        <v>44561</v>
      </c>
      <c r="T1523" s="773" t="s">
        <v>132</v>
      </c>
      <c r="U1523" s="773">
        <v>320</v>
      </c>
      <c r="V1523" s="773">
        <v>1091</v>
      </c>
      <c r="W1523" s="773" t="s">
        <v>390</v>
      </c>
    </row>
    <row r="1524" spans="1:23">
      <c r="A1524" s="27">
        <v>44895</v>
      </c>
      <c r="B1524" s="773" t="s">
        <v>140</v>
      </c>
      <c r="C1524" s="773">
        <v>449</v>
      </c>
      <c r="D1524" s="773">
        <v>1820</v>
      </c>
      <c r="E1524" s="773" t="s">
        <v>390</v>
      </c>
      <c r="S1524" s="27">
        <v>44561</v>
      </c>
      <c r="T1524" s="773" t="s">
        <v>132</v>
      </c>
      <c r="U1524" s="773">
        <v>124</v>
      </c>
      <c r="V1524" s="773">
        <v>11</v>
      </c>
      <c r="W1524" s="773" t="s">
        <v>410</v>
      </c>
    </row>
    <row r="1525" spans="1:23">
      <c r="A1525" s="27">
        <v>44895</v>
      </c>
      <c r="B1525" s="773" t="s">
        <v>140</v>
      </c>
      <c r="C1525" s="773">
        <v>626</v>
      </c>
      <c r="D1525" s="773">
        <v>3158</v>
      </c>
      <c r="E1525" s="773" t="s">
        <v>390</v>
      </c>
      <c r="S1525" s="27">
        <v>44196</v>
      </c>
      <c r="T1525" s="773" t="s">
        <v>132</v>
      </c>
      <c r="U1525" s="773">
        <v>75</v>
      </c>
      <c r="V1525" s="773">
        <v>1</v>
      </c>
      <c r="W1525" s="773" t="s">
        <v>410</v>
      </c>
    </row>
    <row r="1526" spans="1:23">
      <c r="A1526" s="27">
        <v>44530</v>
      </c>
      <c r="B1526" s="773" t="s">
        <v>140</v>
      </c>
      <c r="C1526" s="773">
        <v>719</v>
      </c>
      <c r="D1526" s="773">
        <v>24</v>
      </c>
      <c r="E1526" s="773" t="s">
        <v>410</v>
      </c>
      <c r="S1526" s="27">
        <v>44196</v>
      </c>
      <c r="T1526" s="773" t="s">
        <v>132</v>
      </c>
      <c r="U1526" s="773">
        <v>240</v>
      </c>
      <c r="V1526" s="773">
        <v>3</v>
      </c>
      <c r="W1526" s="773" t="s">
        <v>410</v>
      </c>
    </row>
    <row r="1527" spans="1:23">
      <c r="A1527" s="27">
        <v>44895</v>
      </c>
      <c r="B1527" s="773" t="s">
        <v>140</v>
      </c>
      <c r="C1527" s="773">
        <v>453</v>
      </c>
      <c r="D1527" s="773">
        <v>2310</v>
      </c>
      <c r="E1527" s="773" t="s">
        <v>390</v>
      </c>
      <c r="S1527" s="27">
        <v>44196</v>
      </c>
      <c r="T1527" s="773" t="s">
        <v>132</v>
      </c>
      <c r="U1527" s="773">
        <v>92</v>
      </c>
      <c r="V1527" s="773">
        <v>2472</v>
      </c>
      <c r="W1527" s="773" t="s">
        <v>390</v>
      </c>
    </row>
    <row r="1528" spans="1:23">
      <c r="A1528" s="27">
        <v>44530</v>
      </c>
      <c r="B1528" s="773" t="s">
        <v>140</v>
      </c>
      <c r="C1528" s="773">
        <v>628</v>
      </c>
      <c r="D1528" s="773">
        <v>1603</v>
      </c>
      <c r="E1528" s="773" t="s">
        <v>390</v>
      </c>
      <c r="S1528" s="27">
        <v>44561</v>
      </c>
      <c r="T1528" s="773" t="s">
        <v>132</v>
      </c>
      <c r="U1528" s="773">
        <v>213</v>
      </c>
      <c r="V1528" s="773">
        <v>9</v>
      </c>
      <c r="W1528" s="773" t="s">
        <v>410</v>
      </c>
    </row>
    <row r="1529" spans="1:23">
      <c r="A1529" s="27">
        <v>44895</v>
      </c>
      <c r="B1529" s="773" t="s">
        <v>140</v>
      </c>
      <c r="C1529" s="773">
        <v>0</v>
      </c>
      <c r="D1529" s="773">
        <v>7</v>
      </c>
      <c r="E1529" s="773" t="s">
        <v>410</v>
      </c>
      <c r="S1529" s="27">
        <v>44561</v>
      </c>
      <c r="T1529" s="773" t="s">
        <v>132</v>
      </c>
      <c r="U1529" s="773">
        <v>668</v>
      </c>
      <c r="V1529" s="773">
        <v>7</v>
      </c>
      <c r="W1529" s="773" t="s">
        <v>410</v>
      </c>
    </row>
    <row r="1530" spans="1:23">
      <c r="A1530" s="27">
        <v>44530</v>
      </c>
      <c r="B1530" s="773" t="s">
        <v>140</v>
      </c>
      <c r="C1530" s="773">
        <v>640</v>
      </c>
      <c r="D1530" s="773">
        <v>3063</v>
      </c>
      <c r="E1530" s="773" t="s">
        <v>390</v>
      </c>
      <c r="S1530" s="27">
        <v>44196</v>
      </c>
      <c r="T1530" s="773" t="s">
        <v>132</v>
      </c>
      <c r="U1530" s="773">
        <v>56</v>
      </c>
      <c r="V1530" s="773">
        <v>51</v>
      </c>
      <c r="W1530" s="773" t="s">
        <v>410</v>
      </c>
    </row>
    <row r="1531" spans="1:23">
      <c r="A1531" s="27">
        <v>44530</v>
      </c>
      <c r="B1531" s="773" t="s">
        <v>140</v>
      </c>
      <c r="C1531" s="773">
        <v>739</v>
      </c>
      <c r="D1531" s="773">
        <v>1</v>
      </c>
      <c r="E1531" s="773" t="s">
        <v>410</v>
      </c>
      <c r="S1531" s="27">
        <v>44196</v>
      </c>
      <c r="T1531" s="773" t="s">
        <v>132</v>
      </c>
      <c r="U1531" s="773">
        <v>84</v>
      </c>
      <c r="V1531" s="773">
        <v>2271</v>
      </c>
      <c r="W1531" s="773" t="s">
        <v>390</v>
      </c>
    </row>
    <row r="1532" spans="1:23">
      <c r="A1532" s="27">
        <v>44530</v>
      </c>
      <c r="B1532" s="773" t="s">
        <v>140</v>
      </c>
      <c r="C1532" s="773">
        <v>379</v>
      </c>
      <c r="D1532" s="773">
        <v>1</v>
      </c>
      <c r="E1532" s="773" t="s">
        <v>410</v>
      </c>
      <c r="S1532" s="27">
        <v>44561</v>
      </c>
      <c r="T1532" s="773" t="s">
        <v>132</v>
      </c>
      <c r="U1532" s="773">
        <v>658</v>
      </c>
      <c r="V1532" s="773">
        <v>3021</v>
      </c>
      <c r="W1532" s="773" t="s">
        <v>390</v>
      </c>
    </row>
    <row r="1533" spans="1:23">
      <c r="A1533" s="27">
        <v>44530</v>
      </c>
      <c r="B1533" s="773" t="s">
        <v>140</v>
      </c>
      <c r="C1533" s="773">
        <v>248</v>
      </c>
      <c r="D1533" s="773">
        <v>452</v>
      </c>
      <c r="E1533" s="773" t="s">
        <v>390</v>
      </c>
      <c r="S1533" s="27">
        <v>44196</v>
      </c>
      <c r="T1533" s="773" t="s">
        <v>132</v>
      </c>
      <c r="U1533" s="773">
        <v>89</v>
      </c>
      <c r="V1533" s="773">
        <v>1233</v>
      </c>
      <c r="W1533" s="773" t="s">
        <v>390</v>
      </c>
    </row>
    <row r="1534" spans="1:23">
      <c r="A1534" s="27">
        <v>44895</v>
      </c>
      <c r="B1534" s="773" t="s">
        <v>140</v>
      </c>
      <c r="C1534" s="773">
        <v>493</v>
      </c>
      <c r="D1534" s="773">
        <v>5</v>
      </c>
      <c r="E1534" s="773" t="s">
        <v>410</v>
      </c>
      <c r="S1534" s="27">
        <v>44561</v>
      </c>
      <c r="T1534" s="773" t="s">
        <v>132</v>
      </c>
      <c r="U1534" s="773">
        <v>641</v>
      </c>
      <c r="V1534" s="773">
        <v>2495</v>
      </c>
      <c r="W1534" s="773" t="s">
        <v>390</v>
      </c>
    </row>
    <row r="1535" spans="1:23">
      <c r="A1535" s="27">
        <v>44530</v>
      </c>
      <c r="B1535" s="773" t="s">
        <v>140</v>
      </c>
      <c r="C1535" s="773">
        <v>576</v>
      </c>
      <c r="D1535" s="773">
        <v>248</v>
      </c>
      <c r="E1535" s="773" t="s">
        <v>390</v>
      </c>
      <c r="S1535" s="27">
        <v>44561</v>
      </c>
      <c r="T1535" s="773" t="s">
        <v>132</v>
      </c>
      <c r="U1535" s="773">
        <v>279</v>
      </c>
      <c r="V1535" s="773">
        <v>4010</v>
      </c>
      <c r="W1535" s="773" t="s">
        <v>390</v>
      </c>
    </row>
    <row r="1536" spans="1:23">
      <c r="A1536" s="27">
        <v>44530</v>
      </c>
      <c r="B1536" s="773" t="s">
        <v>140</v>
      </c>
      <c r="C1536" s="773">
        <v>608</v>
      </c>
      <c r="D1536" s="773">
        <v>2667</v>
      </c>
      <c r="E1536" s="773" t="s">
        <v>390</v>
      </c>
      <c r="S1536" s="27">
        <v>44561</v>
      </c>
      <c r="T1536" s="773" t="s">
        <v>132</v>
      </c>
      <c r="U1536" s="773">
        <v>102</v>
      </c>
      <c r="V1536" s="773">
        <v>3</v>
      </c>
      <c r="W1536" s="773" t="s">
        <v>410</v>
      </c>
    </row>
    <row r="1537" spans="1:23">
      <c r="A1537" s="27">
        <v>44530</v>
      </c>
      <c r="B1537" s="773" t="s">
        <v>140</v>
      </c>
      <c r="C1537" s="773">
        <v>659</v>
      </c>
      <c r="D1537" s="773">
        <v>700</v>
      </c>
      <c r="E1537" s="773" t="s">
        <v>390</v>
      </c>
      <c r="S1537" s="27">
        <v>44561</v>
      </c>
      <c r="T1537" s="773" t="s">
        <v>132</v>
      </c>
      <c r="U1537" s="773">
        <v>191</v>
      </c>
      <c r="V1537" s="773">
        <v>1319</v>
      </c>
      <c r="W1537" s="773" t="s">
        <v>390</v>
      </c>
    </row>
    <row r="1538" spans="1:23">
      <c r="A1538" s="27">
        <v>44895</v>
      </c>
      <c r="B1538" s="773" t="s">
        <v>140</v>
      </c>
      <c r="C1538" s="773">
        <v>525</v>
      </c>
      <c r="D1538" s="773">
        <v>1961</v>
      </c>
      <c r="E1538" s="773" t="s">
        <v>390</v>
      </c>
      <c r="S1538" s="27">
        <v>44561</v>
      </c>
      <c r="T1538" s="773" t="s">
        <v>132</v>
      </c>
      <c r="U1538" s="773">
        <v>665</v>
      </c>
      <c r="V1538" s="773">
        <v>2732</v>
      </c>
      <c r="W1538" s="773" t="s">
        <v>390</v>
      </c>
    </row>
    <row r="1539" spans="1:23">
      <c r="A1539" s="27">
        <v>44895</v>
      </c>
      <c r="B1539" s="773" t="s">
        <v>140</v>
      </c>
      <c r="C1539" s="773">
        <v>630</v>
      </c>
      <c r="D1539" s="773">
        <v>1</v>
      </c>
      <c r="E1539" s="773" t="s">
        <v>410</v>
      </c>
      <c r="S1539" s="27">
        <v>44196</v>
      </c>
      <c r="T1539" s="773" t="s">
        <v>132</v>
      </c>
      <c r="U1539" s="773">
        <v>653</v>
      </c>
      <c r="V1539" s="773">
        <v>2260</v>
      </c>
      <c r="W1539" s="773" t="s">
        <v>390</v>
      </c>
    </row>
    <row r="1540" spans="1:23">
      <c r="A1540" s="27">
        <v>44530</v>
      </c>
      <c r="B1540" s="773" t="s">
        <v>140</v>
      </c>
      <c r="C1540" s="773">
        <v>530</v>
      </c>
      <c r="D1540" s="773">
        <v>1</v>
      </c>
      <c r="E1540" s="773" t="s">
        <v>410</v>
      </c>
      <c r="S1540" s="27">
        <v>44196</v>
      </c>
      <c r="T1540" s="773" t="s">
        <v>132</v>
      </c>
      <c r="U1540" s="773">
        <v>64</v>
      </c>
      <c r="V1540" s="773">
        <v>4</v>
      </c>
      <c r="W1540" s="773" t="s">
        <v>410</v>
      </c>
    </row>
    <row r="1541" spans="1:23">
      <c r="A1541" s="27">
        <v>44530</v>
      </c>
      <c r="B1541" s="773" t="s">
        <v>140</v>
      </c>
      <c r="C1541" s="773">
        <v>478</v>
      </c>
      <c r="D1541" s="773">
        <v>1991</v>
      </c>
      <c r="E1541" s="773" t="s">
        <v>390</v>
      </c>
      <c r="S1541" s="27">
        <v>44561</v>
      </c>
      <c r="T1541" s="773" t="s">
        <v>132</v>
      </c>
      <c r="U1541" s="773">
        <v>222</v>
      </c>
      <c r="V1541" s="773">
        <v>2</v>
      </c>
      <c r="W1541" s="773" t="s">
        <v>410</v>
      </c>
    </row>
    <row r="1542" spans="1:23">
      <c r="A1542" s="27">
        <v>44530</v>
      </c>
      <c r="B1542" s="773" t="s">
        <v>140</v>
      </c>
      <c r="C1542" s="773">
        <v>0</v>
      </c>
      <c r="D1542" s="773">
        <v>7</v>
      </c>
      <c r="E1542" s="773" t="s">
        <v>410</v>
      </c>
      <c r="S1542" s="27">
        <v>44561</v>
      </c>
      <c r="T1542" s="773" t="s">
        <v>132</v>
      </c>
      <c r="U1542" s="773">
        <v>528</v>
      </c>
      <c r="V1542" s="773">
        <v>350</v>
      </c>
      <c r="W1542" s="773" t="s">
        <v>390</v>
      </c>
    </row>
    <row r="1543" spans="1:23">
      <c r="A1543" s="27">
        <v>44895</v>
      </c>
      <c r="B1543" s="773" t="s">
        <v>140</v>
      </c>
      <c r="C1543" s="773">
        <v>678</v>
      </c>
      <c r="D1543" s="773">
        <v>1</v>
      </c>
      <c r="E1543" s="773" t="s">
        <v>410</v>
      </c>
      <c r="S1543" s="27">
        <v>44561</v>
      </c>
      <c r="T1543" s="773" t="s">
        <v>132</v>
      </c>
      <c r="U1543" s="773">
        <v>255</v>
      </c>
      <c r="V1543" s="773">
        <v>70</v>
      </c>
      <c r="W1543" s="773" t="s">
        <v>410</v>
      </c>
    </row>
    <row r="1544" spans="1:23">
      <c r="A1544" s="27">
        <v>44530</v>
      </c>
      <c r="B1544" s="773" t="s">
        <v>140</v>
      </c>
      <c r="C1544" s="773">
        <v>493</v>
      </c>
      <c r="D1544" s="773">
        <v>7</v>
      </c>
      <c r="E1544" s="773" t="s">
        <v>410</v>
      </c>
      <c r="S1544" s="27">
        <v>44561</v>
      </c>
      <c r="T1544" s="773" t="s">
        <v>132</v>
      </c>
      <c r="U1544" s="773">
        <v>704</v>
      </c>
      <c r="V1544" s="773">
        <v>2242</v>
      </c>
      <c r="W1544" s="773" t="s">
        <v>390</v>
      </c>
    </row>
    <row r="1545" spans="1:23">
      <c r="A1545" s="27">
        <v>44530</v>
      </c>
      <c r="B1545" s="773" t="s">
        <v>140</v>
      </c>
      <c r="C1545" s="773">
        <v>540</v>
      </c>
      <c r="D1545" s="773">
        <v>1</v>
      </c>
      <c r="E1545" s="773" t="s">
        <v>410</v>
      </c>
      <c r="S1545" s="27">
        <v>44196</v>
      </c>
      <c r="T1545" s="773" t="s">
        <v>132</v>
      </c>
      <c r="U1545" s="773">
        <v>264</v>
      </c>
      <c r="V1545" s="773">
        <v>933</v>
      </c>
      <c r="W1545" s="773" t="s">
        <v>390</v>
      </c>
    </row>
    <row r="1546" spans="1:23">
      <c r="A1546" s="27">
        <v>44530</v>
      </c>
      <c r="B1546" s="773" t="s">
        <v>140</v>
      </c>
      <c r="C1546" s="773">
        <v>453</v>
      </c>
      <c r="D1546" s="773">
        <v>2313</v>
      </c>
      <c r="E1546" s="773" t="s">
        <v>390</v>
      </c>
      <c r="S1546" s="27">
        <v>44196</v>
      </c>
      <c r="T1546" s="773" t="s">
        <v>132</v>
      </c>
      <c r="U1546" s="773">
        <v>152</v>
      </c>
      <c r="V1546" s="773">
        <v>1</v>
      </c>
      <c r="W1546" s="773" t="s">
        <v>410</v>
      </c>
    </row>
    <row r="1547" spans="1:23">
      <c r="A1547" s="27">
        <v>44530</v>
      </c>
      <c r="B1547" s="773" t="s">
        <v>140</v>
      </c>
      <c r="C1547" s="773">
        <v>476</v>
      </c>
      <c r="D1547" s="773">
        <v>1</v>
      </c>
      <c r="E1547" s="773" t="s">
        <v>410</v>
      </c>
      <c r="S1547" s="27">
        <v>44196</v>
      </c>
      <c r="T1547" s="773" t="s">
        <v>132</v>
      </c>
      <c r="U1547" s="773">
        <v>670</v>
      </c>
      <c r="V1547" s="773">
        <v>3255</v>
      </c>
      <c r="W1547" s="773" t="s">
        <v>390</v>
      </c>
    </row>
    <row r="1548" spans="1:23">
      <c r="A1548" s="27">
        <v>44530</v>
      </c>
      <c r="B1548" s="773" t="s">
        <v>140</v>
      </c>
      <c r="C1548" s="773">
        <v>346</v>
      </c>
      <c r="D1548" s="773">
        <v>3</v>
      </c>
      <c r="E1548" s="773" t="s">
        <v>410</v>
      </c>
      <c r="S1548" s="27">
        <v>44196</v>
      </c>
      <c r="T1548" s="773" t="s">
        <v>132</v>
      </c>
      <c r="U1548" s="773">
        <v>239</v>
      </c>
      <c r="V1548" s="773">
        <v>3469</v>
      </c>
      <c r="W1548" s="773" t="s">
        <v>390</v>
      </c>
    </row>
    <row r="1549" spans="1:23">
      <c r="A1549" s="27">
        <v>44530</v>
      </c>
      <c r="B1549" s="773" t="s">
        <v>140</v>
      </c>
      <c r="C1549" s="773">
        <v>626</v>
      </c>
      <c r="D1549" s="773">
        <v>2471</v>
      </c>
      <c r="E1549" s="773" t="s">
        <v>390</v>
      </c>
      <c r="S1549" s="27">
        <v>44196</v>
      </c>
      <c r="T1549" s="773" t="s">
        <v>132</v>
      </c>
      <c r="U1549" s="773">
        <v>262</v>
      </c>
      <c r="V1549" s="773">
        <v>82</v>
      </c>
      <c r="W1549" s="773" t="s">
        <v>410</v>
      </c>
    </row>
    <row r="1550" spans="1:23">
      <c r="A1550" s="27">
        <v>44895</v>
      </c>
      <c r="B1550" s="773" t="s">
        <v>140</v>
      </c>
      <c r="C1550" s="773">
        <v>582</v>
      </c>
      <c r="D1550" s="773">
        <v>2257</v>
      </c>
      <c r="E1550" s="773" t="s">
        <v>390</v>
      </c>
      <c r="S1550" s="27">
        <v>44196</v>
      </c>
      <c r="T1550" s="773" t="s">
        <v>132</v>
      </c>
      <c r="U1550" s="773">
        <v>73</v>
      </c>
      <c r="V1550" s="773">
        <v>2</v>
      </c>
      <c r="W1550" s="773" t="s">
        <v>410</v>
      </c>
    </row>
    <row r="1551" spans="1:23">
      <c r="A1551" s="27">
        <v>44895</v>
      </c>
      <c r="B1551" s="773" t="s">
        <v>140</v>
      </c>
      <c r="C1551" s="773">
        <v>279</v>
      </c>
      <c r="D1551" s="773">
        <v>1</v>
      </c>
      <c r="E1551" s="773" t="s">
        <v>410</v>
      </c>
      <c r="S1551" s="27">
        <v>44561</v>
      </c>
      <c r="T1551" s="773" t="s">
        <v>132</v>
      </c>
      <c r="U1551" s="773">
        <v>696</v>
      </c>
      <c r="V1551" s="773">
        <v>2082</v>
      </c>
      <c r="W1551" s="773" t="s">
        <v>390</v>
      </c>
    </row>
    <row r="1552" spans="1:23">
      <c r="A1552" s="27">
        <v>44530</v>
      </c>
      <c r="B1552" s="773" t="s">
        <v>140</v>
      </c>
      <c r="C1552" s="773">
        <v>740</v>
      </c>
      <c r="D1552" s="773">
        <v>526</v>
      </c>
      <c r="E1552" s="773" t="s">
        <v>390</v>
      </c>
      <c r="S1552" s="27">
        <v>44561</v>
      </c>
      <c r="T1552" s="773" t="s">
        <v>132</v>
      </c>
      <c r="U1552" s="773">
        <v>173</v>
      </c>
      <c r="V1552" s="773">
        <v>2</v>
      </c>
      <c r="W1552" s="773" t="s">
        <v>410</v>
      </c>
    </row>
    <row r="1553" spans="1:23">
      <c r="A1553" s="27">
        <v>44895</v>
      </c>
      <c r="B1553" s="773" t="s">
        <v>140</v>
      </c>
      <c r="C1553" s="773">
        <v>346</v>
      </c>
      <c r="D1553" s="773">
        <v>3</v>
      </c>
      <c r="E1553" s="773" t="s">
        <v>410</v>
      </c>
      <c r="S1553" s="27">
        <v>44561</v>
      </c>
      <c r="T1553" s="773" t="s">
        <v>132</v>
      </c>
      <c r="U1553" s="773">
        <v>202</v>
      </c>
      <c r="V1553" s="773">
        <v>1</v>
      </c>
      <c r="W1553" s="773" t="s">
        <v>410</v>
      </c>
    </row>
    <row r="1554" spans="1:23">
      <c r="A1554" s="27">
        <v>44530</v>
      </c>
      <c r="B1554" s="773" t="s">
        <v>140</v>
      </c>
      <c r="C1554" s="773">
        <v>449</v>
      </c>
      <c r="D1554" s="773">
        <v>1872</v>
      </c>
      <c r="E1554" s="773" t="s">
        <v>390</v>
      </c>
      <c r="S1554" s="27">
        <v>44196</v>
      </c>
      <c r="T1554" s="773" t="s">
        <v>132</v>
      </c>
      <c r="U1554" s="773">
        <v>204</v>
      </c>
      <c r="V1554" s="773">
        <v>19</v>
      </c>
      <c r="W1554" s="773" t="s">
        <v>410</v>
      </c>
    </row>
    <row r="1555" spans="1:23">
      <c r="A1555" s="27">
        <v>44895</v>
      </c>
      <c r="B1555" s="773" t="s">
        <v>140</v>
      </c>
      <c r="C1555" s="773">
        <v>585</v>
      </c>
      <c r="D1555" s="773">
        <v>5177</v>
      </c>
      <c r="E1555" s="773" t="s">
        <v>390</v>
      </c>
      <c r="S1555" s="27">
        <v>44196</v>
      </c>
      <c r="T1555" s="773" t="s">
        <v>132</v>
      </c>
      <c r="U1555" s="773">
        <v>696</v>
      </c>
      <c r="V1555" s="773">
        <v>33</v>
      </c>
      <c r="W1555" s="773" t="s">
        <v>410</v>
      </c>
    </row>
    <row r="1556" spans="1:23">
      <c r="A1556" s="27">
        <v>44530</v>
      </c>
      <c r="B1556" s="773" t="s">
        <v>140</v>
      </c>
      <c r="C1556" s="773">
        <v>630</v>
      </c>
      <c r="D1556" s="773">
        <v>1</v>
      </c>
      <c r="E1556" s="773" t="s">
        <v>410</v>
      </c>
      <c r="S1556" s="27">
        <v>44196</v>
      </c>
      <c r="T1556" s="773" t="s">
        <v>132</v>
      </c>
      <c r="U1556" s="773">
        <v>528</v>
      </c>
      <c r="V1556" s="773">
        <v>288</v>
      </c>
      <c r="W1556" s="773" t="s">
        <v>390</v>
      </c>
    </row>
    <row r="1557" spans="1:23">
      <c r="A1557" s="27">
        <v>44530</v>
      </c>
      <c r="B1557" s="773" t="s">
        <v>140</v>
      </c>
      <c r="C1557" s="773">
        <v>648</v>
      </c>
      <c r="D1557" s="773">
        <v>1344</v>
      </c>
      <c r="E1557" s="773" t="s">
        <v>390</v>
      </c>
      <c r="S1557" s="27">
        <v>44561</v>
      </c>
      <c r="T1557" s="773" t="s">
        <v>132</v>
      </c>
      <c r="U1557" s="773">
        <v>68</v>
      </c>
      <c r="V1557" s="773">
        <v>571</v>
      </c>
      <c r="W1557" s="773" t="s">
        <v>390</v>
      </c>
    </row>
    <row r="1558" spans="1:23">
      <c r="A1558" s="27">
        <v>44895</v>
      </c>
      <c r="B1558" s="773" t="s">
        <v>140</v>
      </c>
      <c r="C1558" s="773">
        <v>248</v>
      </c>
      <c r="D1558" s="773">
        <v>508</v>
      </c>
      <c r="E1558" s="773" t="s">
        <v>390</v>
      </c>
      <c r="S1558" s="27">
        <v>44196</v>
      </c>
      <c r="T1558" s="773" t="s">
        <v>132</v>
      </c>
      <c r="U1558" s="773">
        <v>183</v>
      </c>
      <c r="V1558" s="773">
        <v>2340</v>
      </c>
      <c r="W1558" s="773" t="s">
        <v>390</v>
      </c>
    </row>
    <row r="1559" spans="1:23">
      <c r="A1559" s="27">
        <v>44895</v>
      </c>
      <c r="B1559" s="773" t="s">
        <v>140</v>
      </c>
      <c r="C1559" s="773">
        <v>359</v>
      </c>
      <c r="D1559" s="773">
        <v>756</v>
      </c>
      <c r="E1559" s="773" t="s">
        <v>390</v>
      </c>
      <c r="S1559" s="27">
        <v>44561</v>
      </c>
      <c r="T1559" s="773" t="s">
        <v>132</v>
      </c>
      <c r="U1559" s="773">
        <v>246</v>
      </c>
      <c r="V1559" s="773">
        <v>5</v>
      </c>
      <c r="W1559" s="773" t="s">
        <v>410</v>
      </c>
    </row>
    <row r="1560" spans="1:23">
      <c r="A1560" s="27">
        <v>44895</v>
      </c>
      <c r="B1560" s="773" t="s">
        <v>140</v>
      </c>
      <c r="C1560" s="773">
        <v>639</v>
      </c>
      <c r="D1560" s="773">
        <v>125</v>
      </c>
      <c r="E1560" s="773" t="s">
        <v>390</v>
      </c>
      <c r="S1560" s="27">
        <v>44561</v>
      </c>
      <c r="T1560" s="773" t="s">
        <v>132</v>
      </c>
      <c r="U1560" s="773">
        <v>81</v>
      </c>
      <c r="V1560" s="773">
        <v>3</v>
      </c>
      <c r="W1560" s="773" t="s">
        <v>410</v>
      </c>
    </row>
    <row r="1561" spans="1:23">
      <c r="A1561" s="27">
        <v>44895</v>
      </c>
      <c r="B1561" s="773" t="s">
        <v>140</v>
      </c>
      <c r="C1561" s="773">
        <v>708</v>
      </c>
      <c r="D1561" s="773">
        <v>2926</v>
      </c>
      <c r="E1561" s="773" t="s">
        <v>390</v>
      </c>
      <c r="S1561" s="27">
        <v>44196</v>
      </c>
      <c r="T1561" s="773" t="s">
        <v>132</v>
      </c>
      <c r="U1561" s="773">
        <v>312</v>
      </c>
      <c r="V1561" s="773">
        <v>2263</v>
      </c>
      <c r="W1561" s="773" t="s">
        <v>390</v>
      </c>
    </row>
    <row r="1562" spans="1:23">
      <c r="A1562" s="27">
        <v>44895</v>
      </c>
      <c r="B1562" s="773" t="s">
        <v>140</v>
      </c>
      <c r="C1562" s="773">
        <v>691</v>
      </c>
      <c r="D1562" s="773">
        <v>167</v>
      </c>
      <c r="E1562" s="773" t="s">
        <v>390</v>
      </c>
      <c r="S1562" s="27">
        <v>44561</v>
      </c>
      <c r="T1562" s="773" t="s">
        <v>132</v>
      </c>
      <c r="U1562" s="773">
        <v>999</v>
      </c>
      <c r="V1562" s="773">
        <v>1</v>
      </c>
      <c r="W1562" s="773" t="s">
        <v>410</v>
      </c>
    </row>
    <row r="1563" spans="1:23">
      <c r="A1563" s="27">
        <v>44895</v>
      </c>
      <c r="B1563" s="773" t="s">
        <v>140</v>
      </c>
      <c r="C1563" s="773">
        <v>530</v>
      </c>
      <c r="D1563" s="773">
        <v>1</v>
      </c>
      <c r="E1563" s="773" t="s">
        <v>410</v>
      </c>
      <c r="S1563" s="27">
        <v>44561</v>
      </c>
      <c r="T1563" s="773" t="s">
        <v>132</v>
      </c>
      <c r="U1563" s="773">
        <v>66</v>
      </c>
      <c r="V1563" s="773">
        <v>6</v>
      </c>
      <c r="W1563" s="773" t="s">
        <v>410</v>
      </c>
    </row>
    <row r="1564" spans="1:23">
      <c r="A1564" s="27">
        <v>44530</v>
      </c>
      <c r="B1564" s="773" t="s">
        <v>140</v>
      </c>
      <c r="C1564" s="773">
        <v>691</v>
      </c>
      <c r="D1564" s="773">
        <v>227</v>
      </c>
      <c r="E1564" s="773" t="s">
        <v>390</v>
      </c>
      <c r="S1564" s="27">
        <v>44561</v>
      </c>
      <c r="T1564" s="773" t="s">
        <v>132</v>
      </c>
      <c r="U1564" s="773">
        <v>39</v>
      </c>
      <c r="V1564" s="773">
        <v>1</v>
      </c>
      <c r="W1564" s="773" t="s">
        <v>410</v>
      </c>
    </row>
    <row r="1565" spans="1:23">
      <c r="A1565" s="27">
        <v>44530</v>
      </c>
      <c r="B1565" s="773" t="s">
        <v>140</v>
      </c>
      <c r="C1565" s="773">
        <v>582</v>
      </c>
      <c r="D1565" s="773">
        <v>2253</v>
      </c>
      <c r="E1565" s="773" t="s">
        <v>390</v>
      </c>
      <c r="S1565" s="27">
        <v>44561</v>
      </c>
      <c r="T1565" s="773" t="s">
        <v>132</v>
      </c>
      <c r="U1565" s="773">
        <v>271</v>
      </c>
      <c r="V1565" s="773">
        <v>2741</v>
      </c>
      <c r="W1565" s="773" t="s">
        <v>390</v>
      </c>
    </row>
    <row r="1566" spans="1:23">
      <c r="A1566" s="27">
        <v>44530</v>
      </c>
      <c r="B1566" s="773" t="s">
        <v>140</v>
      </c>
      <c r="C1566" s="773">
        <v>712</v>
      </c>
      <c r="D1566" s="773">
        <v>1</v>
      </c>
      <c r="E1566" s="773" t="s">
        <v>410</v>
      </c>
      <c r="S1566" s="27">
        <v>44196</v>
      </c>
      <c r="T1566" s="773" t="s">
        <v>132</v>
      </c>
      <c r="U1566" s="773">
        <v>200</v>
      </c>
      <c r="V1566" s="773">
        <v>2</v>
      </c>
      <c r="W1566" s="773" t="s">
        <v>410</v>
      </c>
    </row>
    <row r="1567" spans="1:23">
      <c r="A1567" s="27">
        <v>44895</v>
      </c>
      <c r="B1567" s="773" t="s">
        <v>140</v>
      </c>
      <c r="C1567" s="773">
        <v>722</v>
      </c>
      <c r="D1567" s="773">
        <v>1897</v>
      </c>
      <c r="E1567" s="773" t="s">
        <v>390</v>
      </c>
      <c r="S1567" s="27">
        <v>44196</v>
      </c>
      <c r="T1567" s="773" t="s">
        <v>132</v>
      </c>
      <c r="U1567" s="773">
        <v>254</v>
      </c>
      <c r="V1567" s="773">
        <v>9</v>
      </c>
      <c r="W1567" s="773" t="s">
        <v>410</v>
      </c>
    </row>
    <row r="1568" spans="1:23">
      <c r="A1568" s="27">
        <v>44895</v>
      </c>
      <c r="B1568" s="773" t="s">
        <v>140</v>
      </c>
      <c r="C1568" s="773">
        <v>524</v>
      </c>
      <c r="D1568" s="773">
        <v>1103</v>
      </c>
      <c r="E1568" s="773" t="s">
        <v>390</v>
      </c>
      <c r="S1568" s="27">
        <v>44561</v>
      </c>
      <c r="T1568" s="773" t="s">
        <v>132</v>
      </c>
      <c r="U1568" s="773">
        <v>110</v>
      </c>
      <c r="V1568" s="773">
        <v>1</v>
      </c>
      <c r="W1568" s="773" t="s">
        <v>410</v>
      </c>
    </row>
    <row r="1569" spans="1:23">
      <c r="A1569" s="27">
        <v>44895</v>
      </c>
      <c r="B1569" s="773" t="s">
        <v>140</v>
      </c>
      <c r="C1569" s="773">
        <v>576</v>
      </c>
      <c r="D1569" s="773">
        <v>249</v>
      </c>
      <c r="E1569" s="773" t="s">
        <v>390</v>
      </c>
      <c r="S1569" s="27">
        <v>44561</v>
      </c>
      <c r="T1569" s="773" t="s">
        <v>132</v>
      </c>
      <c r="U1569" s="773">
        <v>241</v>
      </c>
      <c r="V1569" s="773">
        <v>31</v>
      </c>
      <c r="W1569" s="773" t="s">
        <v>410</v>
      </c>
    </row>
    <row r="1570" spans="1:23">
      <c r="A1570" s="27">
        <v>44895</v>
      </c>
      <c r="B1570" s="773" t="s">
        <v>140</v>
      </c>
      <c r="C1570" s="773">
        <v>574</v>
      </c>
      <c r="D1570" s="773">
        <v>2483</v>
      </c>
      <c r="E1570" s="773" t="s">
        <v>390</v>
      </c>
      <c r="S1570" s="27">
        <v>44196</v>
      </c>
      <c r="T1570" s="773" t="s">
        <v>132</v>
      </c>
      <c r="U1570" s="773">
        <v>212</v>
      </c>
      <c r="V1570" s="773">
        <v>3238</v>
      </c>
      <c r="W1570" s="773" t="s">
        <v>390</v>
      </c>
    </row>
    <row r="1571" spans="1:23">
      <c r="A1571" s="27">
        <v>44895</v>
      </c>
      <c r="B1571" s="773" t="s">
        <v>140</v>
      </c>
      <c r="C1571" s="773">
        <v>502</v>
      </c>
      <c r="D1571" s="773">
        <v>462</v>
      </c>
      <c r="E1571" s="773" t="s">
        <v>390</v>
      </c>
      <c r="S1571" s="27">
        <v>44196</v>
      </c>
      <c r="T1571" s="773" t="s">
        <v>132</v>
      </c>
      <c r="U1571" s="773">
        <v>249</v>
      </c>
      <c r="V1571" s="773">
        <v>2506</v>
      </c>
      <c r="W1571" s="773" t="s">
        <v>390</v>
      </c>
    </row>
    <row r="1572" spans="1:23">
      <c r="A1572" s="27">
        <v>44530</v>
      </c>
      <c r="B1572" s="773" t="s">
        <v>140</v>
      </c>
      <c r="C1572" s="773">
        <v>338</v>
      </c>
      <c r="D1572" s="773">
        <v>2392</v>
      </c>
      <c r="E1572" s="773" t="s">
        <v>390</v>
      </c>
      <c r="S1572" s="27">
        <v>44196</v>
      </c>
      <c r="T1572" s="773" t="s">
        <v>132</v>
      </c>
      <c r="U1572" s="773">
        <v>63</v>
      </c>
      <c r="V1572" s="773">
        <v>1</v>
      </c>
      <c r="W1572" s="773" t="s">
        <v>410</v>
      </c>
    </row>
    <row r="1573" spans="1:23">
      <c r="A1573" s="27">
        <v>44530</v>
      </c>
      <c r="B1573" s="773" t="s">
        <v>140</v>
      </c>
      <c r="C1573" s="773">
        <v>548</v>
      </c>
      <c r="D1573" s="773">
        <v>549</v>
      </c>
      <c r="E1573" s="773" t="s">
        <v>390</v>
      </c>
      <c r="S1573" s="27">
        <v>44196</v>
      </c>
      <c r="T1573" s="773" t="s">
        <v>132</v>
      </c>
      <c r="U1573" s="773">
        <v>101</v>
      </c>
      <c r="V1573" s="773">
        <v>819</v>
      </c>
      <c r="W1573" s="773" t="s">
        <v>390</v>
      </c>
    </row>
    <row r="1574" spans="1:23">
      <c r="A1574" s="27">
        <v>44530</v>
      </c>
      <c r="B1574" s="773" t="s">
        <v>140</v>
      </c>
      <c r="C1574" s="773">
        <v>370</v>
      </c>
      <c r="D1574" s="773">
        <v>1</v>
      </c>
      <c r="E1574" s="773" t="s">
        <v>410</v>
      </c>
      <c r="S1574" s="27">
        <v>44561</v>
      </c>
      <c r="T1574" s="773" t="s">
        <v>132</v>
      </c>
      <c r="U1574" s="773">
        <v>697</v>
      </c>
      <c r="V1574" s="773">
        <v>748</v>
      </c>
      <c r="W1574" s="773" t="s">
        <v>390</v>
      </c>
    </row>
    <row r="1575" spans="1:23">
      <c r="A1575" s="27">
        <v>44530</v>
      </c>
      <c r="B1575" s="773" t="s">
        <v>140</v>
      </c>
      <c r="C1575" s="773">
        <v>279</v>
      </c>
      <c r="D1575" s="773">
        <v>1</v>
      </c>
      <c r="E1575" s="773" t="s">
        <v>410</v>
      </c>
      <c r="S1575" s="27">
        <v>44196</v>
      </c>
      <c r="T1575" s="773" t="s">
        <v>132</v>
      </c>
      <c r="U1575" s="773">
        <v>662</v>
      </c>
      <c r="V1575" s="773">
        <v>2833</v>
      </c>
      <c r="W1575" s="773" t="s">
        <v>390</v>
      </c>
    </row>
    <row r="1576" spans="1:23">
      <c r="A1576" s="27">
        <v>44895</v>
      </c>
      <c r="B1576" s="773" t="s">
        <v>140</v>
      </c>
      <c r="C1576" s="773">
        <v>760</v>
      </c>
      <c r="D1576" s="773">
        <v>96</v>
      </c>
      <c r="E1576" s="773" t="s">
        <v>410</v>
      </c>
      <c r="S1576" s="27">
        <v>44561</v>
      </c>
      <c r="T1576" s="773" t="s">
        <v>132</v>
      </c>
      <c r="U1576" s="773">
        <v>193</v>
      </c>
      <c r="V1576" s="773">
        <v>433</v>
      </c>
      <c r="W1576" s="773" t="s">
        <v>390</v>
      </c>
    </row>
    <row r="1577" spans="1:23">
      <c r="A1577" s="27">
        <v>44530</v>
      </c>
      <c r="B1577" s="773" t="s">
        <v>140</v>
      </c>
      <c r="C1577" s="773">
        <v>578</v>
      </c>
      <c r="D1577" s="773">
        <v>2672</v>
      </c>
      <c r="E1577" s="773" t="s">
        <v>390</v>
      </c>
      <c r="S1577" s="27">
        <v>44561</v>
      </c>
      <c r="T1577" s="773" t="s">
        <v>132</v>
      </c>
      <c r="U1577" s="773">
        <v>76</v>
      </c>
      <c r="V1577" s="773">
        <v>2951</v>
      </c>
      <c r="W1577" s="773" t="s">
        <v>390</v>
      </c>
    </row>
    <row r="1578" spans="1:23">
      <c r="A1578" s="27">
        <v>44895</v>
      </c>
      <c r="B1578" s="773" t="s">
        <v>140</v>
      </c>
      <c r="C1578" s="773">
        <v>469</v>
      </c>
      <c r="D1578" s="773">
        <v>16</v>
      </c>
      <c r="E1578" s="773" t="s">
        <v>410</v>
      </c>
      <c r="S1578" s="27">
        <v>44561</v>
      </c>
      <c r="T1578" s="773" t="s">
        <v>132</v>
      </c>
      <c r="U1578" s="773">
        <v>523</v>
      </c>
      <c r="V1578" s="773">
        <v>13</v>
      </c>
      <c r="W1578" s="773" t="s">
        <v>410</v>
      </c>
    </row>
    <row r="1579" spans="1:23">
      <c r="A1579" s="27">
        <v>44895</v>
      </c>
      <c r="B1579" s="773" t="s">
        <v>140</v>
      </c>
      <c r="C1579" s="773">
        <v>379</v>
      </c>
      <c r="D1579" s="773">
        <v>1</v>
      </c>
      <c r="E1579" s="773" t="s">
        <v>410</v>
      </c>
      <c r="S1579" s="27">
        <v>44561</v>
      </c>
      <c r="T1579" s="773" t="s">
        <v>132</v>
      </c>
      <c r="U1579" s="773">
        <v>253</v>
      </c>
      <c r="V1579" s="773">
        <v>16</v>
      </c>
      <c r="W1579" s="773" t="s">
        <v>410</v>
      </c>
    </row>
    <row r="1580" spans="1:23">
      <c r="A1580" s="27">
        <v>44530</v>
      </c>
      <c r="B1580" s="773" t="s">
        <v>140</v>
      </c>
      <c r="C1580" s="773">
        <v>359</v>
      </c>
      <c r="D1580" s="773">
        <v>612</v>
      </c>
      <c r="E1580" s="773" t="s">
        <v>390</v>
      </c>
      <c r="S1580" s="27">
        <v>44561</v>
      </c>
      <c r="T1580" s="773" t="s">
        <v>132</v>
      </c>
      <c r="U1580" s="773">
        <v>326</v>
      </c>
      <c r="V1580" s="773">
        <v>3014</v>
      </c>
      <c r="W1580" s="773" t="s">
        <v>390</v>
      </c>
    </row>
    <row r="1581" spans="1:23">
      <c r="A1581" s="27">
        <v>44895</v>
      </c>
      <c r="B1581" s="773" t="s">
        <v>140</v>
      </c>
      <c r="C1581" s="773">
        <v>478</v>
      </c>
      <c r="D1581" s="773">
        <v>2228</v>
      </c>
      <c r="E1581" s="773" t="s">
        <v>390</v>
      </c>
      <c r="S1581" s="27">
        <v>44561</v>
      </c>
      <c r="T1581" s="773" t="s">
        <v>132</v>
      </c>
      <c r="U1581" s="773">
        <v>297</v>
      </c>
      <c r="V1581" s="773">
        <v>145</v>
      </c>
      <c r="W1581" s="773" t="s">
        <v>390</v>
      </c>
    </row>
    <row r="1582" spans="1:23">
      <c r="A1582" s="27">
        <v>44895</v>
      </c>
      <c r="B1582" s="773" t="s">
        <v>140</v>
      </c>
      <c r="C1582" s="773">
        <v>740</v>
      </c>
      <c r="D1582" s="773">
        <v>368</v>
      </c>
      <c r="E1582" s="773" t="s">
        <v>390</v>
      </c>
      <c r="S1582" s="27">
        <v>44561</v>
      </c>
      <c r="T1582" s="773" t="s">
        <v>132</v>
      </c>
      <c r="U1582" s="773">
        <v>48</v>
      </c>
      <c r="V1582" s="773">
        <v>746</v>
      </c>
      <c r="W1582" s="773" t="s">
        <v>390</v>
      </c>
    </row>
    <row r="1583" spans="1:23">
      <c r="A1583" s="27">
        <v>44895</v>
      </c>
      <c r="B1583" s="773" t="s">
        <v>140</v>
      </c>
      <c r="C1583" s="773">
        <v>650</v>
      </c>
      <c r="D1583" s="773">
        <v>2394</v>
      </c>
      <c r="E1583" s="773" t="s">
        <v>390</v>
      </c>
      <c r="S1583" s="27">
        <v>44561</v>
      </c>
      <c r="T1583" s="773" t="s">
        <v>132</v>
      </c>
      <c r="U1583" s="773">
        <v>70</v>
      </c>
      <c r="V1583" s="773">
        <v>239</v>
      </c>
      <c r="W1583" s="773" t="s">
        <v>390</v>
      </c>
    </row>
    <row r="1584" spans="1:23">
      <c r="A1584" s="27">
        <v>44530</v>
      </c>
      <c r="B1584" s="773" t="s">
        <v>140</v>
      </c>
      <c r="C1584" s="773">
        <v>574</v>
      </c>
      <c r="D1584" s="773">
        <v>1544</v>
      </c>
      <c r="E1584" s="773" t="s">
        <v>390</v>
      </c>
      <c r="S1584" s="27">
        <v>44196</v>
      </c>
      <c r="T1584" s="773" t="s">
        <v>132</v>
      </c>
      <c r="U1584" s="773">
        <v>672</v>
      </c>
      <c r="V1584" s="773">
        <v>2077</v>
      </c>
      <c r="W1584" s="773" t="s">
        <v>390</v>
      </c>
    </row>
    <row r="1585" spans="1:23">
      <c r="A1585" s="27">
        <v>44895</v>
      </c>
      <c r="B1585" s="773" t="s">
        <v>140</v>
      </c>
      <c r="C1585" s="773">
        <v>485</v>
      </c>
      <c r="D1585" s="773">
        <v>1292</v>
      </c>
      <c r="E1585" s="773" t="s">
        <v>390</v>
      </c>
      <c r="S1585" s="27">
        <v>44196</v>
      </c>
      <c r="T1585" s="773" t="s">
        <v>132</v>
      </c>
      <c r="U1585" s="773">
        <v>98</v>
      </c>
      <c r="V1585" s="773">
        <v>117</v>
      </c>
      <c r="W1585" s="773" t="s">
        <v>390</v>
      </c>
    </row>
    <row r="1586" spans="1:23">
      <c r="A1586" s="27">
        <v>44895</v>
      </c>
      <c r="B1586" s="773" t="s">
        <v>140</v>
      </c>
      <c r="C1586" s="773">
        <v>648</v>
      </c>
      <c r="D1586" s="773">
        <v>1430</v>
      </c>
      <c r="E1586" s="773" t="s">
        <v>390</v>
      </c>
      <c r="S1586" s="27">
        <v>44561</v>
      </c>
      <c r="T1586" s="773" t="s">
        <v>132</v>
      </c>
      <c r="U1586" s="773">
        <v>94</v>
      </c>
      <c r="V1586" s="773">
        <v>144</v>
      </c>
      <c r="W1586" s="773" t="s">
        <v>390</v>
      </c>
    </row>
    <row r="1587" spans="1:23">
      <c r="A1587" s="27">
        <v>44895</v>
      </c>
      <c r="B1587" s="773" t="s">
        <v>140</v>
      </c>
      <c r="C1587" s="773">
        <v>338</v>
      </c>
      <c r="D1587" s="773">
        <v>2436</v>
      </c>
      <c r="E1587" s="773" t="s">
        <v>390</v>
      </c>
      <c r="S1587" s="27">
        <v>44196</v>
      </c>
      <c r="T1587" s="773" t="s">
        <v>132</v>
      </c>
      <c r="U1587" s="773">
        <v>132</v>
      </c>
      <c r="V1587" s="773">
        <v>2703</v>
      </c>
      <c r="W1587" s="773" t="s">
        <v>390</v>
      </c>
    </row>
    <row r="1588" spans="1:23">
      <c r="A1588" s="27">
        <v>44530</v>
      </c>
      <c r="B1588" s="773" t="s">
        <v>140</v>
      </c>
      <c r="C1588" s="773">
        <v>678</v>
      </c>
      <c r="D1588" s="773">
        <v>2305</v>
      </c>
      <c r="E1588" s="773" t="s">
        <v>390</v>
      </c>
      <c r="S1588" s="27">
        <v>44196</v>
      </c>
      <c r="T1588" s="773" t="s">
        <v>132</v>
      </c>
      <c r="U1588" s="773">
        <v>271</v>
      </c>
      <c r="V1588" s="773">
        <v>2250</v>
      </c>
      <c r="W1588" s="773" t="s">
        <v>390</v>
      </c>
    </row>
    <row r="1589" spans="1:23">
      <c r="A1589" s="27">
        <v>44895</v>
      </c>
      <c r="B1589" s="773" t="s">
        <v>140</v>
      </c>
      <c r="C1589" s="773">
        <v>758</v>
      </c>
      <c r="D1589" s="773">
        <v>1</v>
      </c>
      <c r="E1589" s="773" t="s">
        <v>410</v>
      </c>
      <c r="S1589" s="27">
        <v>44561</v>
      </c>
      <c r="T1589" s="773" t="s">
        <v>132</v>
      </c>
      <c r="U1589" s="773">
        <v>679</v>
      </c>
      <c r="V1589" s="773">
        <v>3</v>
      </c>
      <c r="W1589" s="773" t="s">
        <v>410</v>
      </c>
    </row>
    <row r="1590" spans="1:23">
      <c r="A1590" s="27">
        <v>44895</v>
      </c>
      <c r="B1590" s="773" t="s">
        <v>140</v>
      </c>
      <c r="C1590" s="773">
        <v>555</v>
      </c>
      <c r="D1590" s="773">
        <v>1646</v>
      </c>
      <c r="E1590" s="773" t="s">
        <v>390</v>
      </c>
      <c r="S1590" s="27">
        <v>44196</v>
      </c>
      <c r="T1590" s="773" t="s">
        <v>132</v>
      </c>
      <c r="U1590" s="773">
        <v>658</v>
      </c>
      <c r="V1590" s="773">
        <v>2994</v>
      </c>
      <c r="W1590" s="773" t="s">
        <v>390</v>
      </c>
    </row>
    <row r="1591" spans="1:23">
      <c r="A1591" s="27">
        <v>44530</v>
      </c>
      <c r="B1591" s="773" t="s">
        <v>140</v>
      </c>
      <c r="C1591" s="773">
        <v>610</v>
      </c>
      <c r="D1591" s="773">
        <v>2985</v>
      </c>
      <c r="E1591" s="773" t="s">
        <v>390</v>
      </c>
      <c r="S1591" s="27">
        <v>44196</v>
      </c>
      <c r="T1591" s="773" t="s">
        <v>132</v>
      </c>
      <c r="U1591" s="773">
        <v>694</v>
      </c>
      <c r="V1591" s="773">
        <v>1</v>
      </c>
      <c r="W1591" s="773" t="s">
        <v>410</v>
      </c>
    </row>
    <row r="1592" spans="1:23">
      <c r="A1592" s="27">
        <v>44895</v>
      </c>
      <c r="B1592" s="773" t="s">
        <v>140</v>
      </c>
      <c r="C1592" s="773">
        <v>597</v>
      </c>
      <c r="D1592" s="773">
        <v>1236</v>
      </c>
      <c r="E1592" s="773" t="s">
        <v>390</v>
      </c>
      <c r="S1592" s="27">
        <v>44561</v>
      </c>
      <c r="T1592" s="773" t="s">
        <v>132</v>
      </c>
      <c r="U1592" s="773">
        <v>79</v>
      </c>
      <c r="V1592" s="773">
        <v>13</v>
      </c>
      <c r="W1592" s="773" t="s">
        <v>410</v>
      </c>
    </row>
    <row r="1593" spans="1:23">
      <c r="A1593" s="27">
        <v>44530</v>
      </c>
      <c r="B1593" s="773" t="s">
        <v>140</v>
      </c>
      <c r="C1593" s="773">
        <v>524</v>
      </c>
      <c r="D1593" s="773">
        <v>1125</v>
      </c>
      <c r="E1593" s="773" t="s">
        <v>390</v>
      </c>
      <c r="S1593" s="27">
        <v>44196</v>
      </c>
      <c r="T1593" s="773" t="s">
        <v>132</v>
      </c>
      <c r="U1593" s="773">
        <v>155</v>
      </c>
      <c r="V1593" s="773">
        <v>2471</v>
      </c>
      <c r="W1593" s="773" t="s">
        <v>390</v>
      </c>
    </row>
    <row r="1594" spans="1:23">
      <c r="A1594" s="27">
        <v>44895</v>
      </c>
      <c r="B1594" s="773" t="s">
        <v>140</v>
      </c>
      <c r="C1594" s="773">
        <v>616</v>
      </c>
      <c r="D1594" s="773">
        <v>1</v>
      </c>
      <c r="E1594" s="773" t="s">
        <v>410</v>
      </c>
      <c r="S1594" s="27">
        <v>44561</v>
      </c>
      <c r="T1594" s="773" t="s">
        <v>132</v>
      </c>
      <c r="U1594" s="773">
        <v>667</v>
      </c>
      <c r="V1594" s="773">
        <v>2</v>
      </c>
      <c r="W1594" s="773" t="s">
        <v>410</v>
      </c>
    </row>
    <row r="1595" spans="1:23">
      <c r="A1595" s="27">
        <v>44895</v>
      </c>
      <c r="B1595" s="773" t="s">
        <v>140</v>
      </c>
      <c r="C1595" s="773">
        <v>548</v>
      </c>
      <c r="D1595" s="773">
        <v>615</v>
      </c>
      <c r="E1595" s="773" t="s">
        <v>390</v>
      </c>
      <c r="S1595" s="27">
        <v>44196</v>
      </c>
      <c r="T1595" s="773" t="s">
        <v>132</v>
      </c>
      <c r="U1595" s="773">
        <v>97</v>
      </c>
      <c r="V1595" s="773">
        <v>2</v>
      </c>
      <c r="W1595" s="773" t="s">
        <v>410</v>
      </c>
    </row>
    <row r="1596" spans="1:23">
      <c r="A1596" s="27">
        <v>44895</v>
      </c>
      <c r="B1596" s="773" t="s">
        <v>140</v>
      </c>
      <c r="C1596" s="773">
        <v>732</v>
      </c>
      <c r="D1596" s="773">
        <v>3</v>
      </c>
      <c r="E1596" s="773" t="s">
        <v>410</v>
      </c>
      <c r="S1596" s="27">
        <v>44561</v>
      </c>
      <c r="T1596" s="773" t="s">
        <v>132</v>
      </c>
      <c r="U1596" s="773">
        <v>46</v>
      </c>
      <c r="V1596" s="773">
        <v>2778</v>
      </c>
      <c r="W1596" s="773" t="s">
        <v>390</v>
      </c>
    </row>
    <row r="1597" spans="1:23">
      <c r="A1597" s="27">
        <v>44530</v>
      </c>
      <c r="B1597" s="773" t="s">
        <v>140</v>
      </c>
      <c r="C1597" s="773">
        <v>558</v>
      </c>
      <c r="D1597" s="773">
        <v>1256</v>
      </c>
      <c r="E1597" s="773" t="s">
        <v>390</v>
      </c>
      <c r="S1597" s="27">
        <v>44196</v>
      </c>
      <c r="T1597" s="773" t="s">
        <v>132</v>
      </c>
      <c r="U1597" s="773">
        <v>688</v>
      </c>
      <c r="V1597" s="773">
        <v>2366</v>
      </c>
      <c r="W1597" s="773" t="s">
        <v>390</v>
      </c>
    </row>
    <row r="1598" spans="1:23">
      <c r="A1598" s="27">
        <v>44530</v>
      </c>
      <c r="B1598" s="773" t="s">
        <v>140</v>
      </c>
      <c r="C1598" s="773">
        <v>198</v>
      </c>
      <c r="D1598" s="773">
        <v>4</v>
      </c>
      <c r="E1598" s="773" t="s">
        <v>410</v>
      </c>
      <c r="S1598" s="27">
        <v>44196</v>
      </c>
      <c r="T1598" s="773" t="s">
        <v>132</v>
      </c>
      <c r="U1598" s="773">
        <v>171</v>
      </c>
      <c r="V1598" s="773">
        <v>127</v>
      </c>
      <c r="W1598" s="773" t="s">
        <v>390</v>
      </c>
    </row>
    <row r="1599" spans="1:23">
      <c r="A1599" s="27">
        <v>44530</v>
      </c>
      <c r="B1599" s="773" t="s">
        <v>140</v>
      </c>
      <c r="C1599" s="773">
        <v>639</v>
      </c>
      <c r="D1599" s="773">
        <v>77</v>
      </c>
      <c r="E1599" s="773" t="s">
        <v>410</v>
      </c>
      <c r="S1599" s="27">
        <v>44561</v>
      </c>
      <c r="T1599" s="773" t="s">
        <v>132</v>
      </c>
      <c r="U1599" s="773">
        <v>251</v>
      </c>
      <c r="V1599" s="773">
        <v>2511</v>
      </c>
      <c r="W1599" s="773" t="s">
        <v>390</v>
      </c>
    </row>
    <row r="1600" spans="1:23">
      <c r="A1600" s="27">
        <v>44895</v>
      </c>
      <c r="B1600" s="773" t="s">
        <v>140</v>
      </c>
      <c r="C1600" s="773">
        <v>370</v>
      </c>
      <c r="D1600" s="773">
        <v>2</v>
      </c>
      <c r="E1600" s="773" t="s">
        <v>410</v>
      </c>
      <c r="S1600" s="27">
        <v>44196</v>
      </c>
      <c r="T1600" s="773" t="s">
        <v>132</v>
      </c>
      <c r="U1600" s="773">
        <v>41</v>
      </c>
      <c r="V1600" s="773">
        <v>1</v>
      </c>
      <c r="W1600" s="773" t="s">
        <v>410</v>
      </c>
    </row>
    <row r="1601" spans="1:23">
      <c r="A1601" s="27">
        <v>44895</v>
      </c>
      <c r="B1601" s="773" t="s">
        <v>140</v>
      </c>
      <c r="C1601" s="773">
        <v>628</v>
      </c>
      <c r="D1601" s="773">
        <v>1695</v>
      </c>
      <c r="E1601" s="773" t="s">
        <v>390</v>
      </c>
      <c r="S1601" s="27">
        <v>44561</v>
      </c>
      <c r="T1601" s="773" t="s">
        <v>132</v>
      </c>
      <c r="U1601" s="773">
        <v>681</v>
      </c>
      <c r="V1601" s="773">
        <v>846</v>
      </c>
      <c r="W1601" s="773" t="s">
        <v>390</v>
      </c>
    </row>
    <row r="1602" spans="1:23">
      <c r="A1602" s="27">
        <v>44530</v>
      </c>
      <c r="B1602" s="773" t="s">
        <v>140</v>
      </c>
      <c r="C1602" s="773">
        <v>732</v>
      </c>
      <c r="D1602" s="773">
        <v>4</v>
      </c>
      <c r="E1602" s="773" t="s">
        <v>410</v>
      </c>
      <c r="S1602" s="27">
        <v>44561</v>
      </c>
      <c r="T1602" s="773" t="s">
        <v>132</v>
      </c>
      <c r="U1602" s="773">
        <v>35</v>
      </c>
      <c r="V1602" s="773">
        <v>889</v>
      </c>
      <c r="W1602" s="773" t="s">
        <v>390</v>
      </c>
    </row>
    <row r="1603" spans="1:23">
      <c r="A1603" s="27">
        <v>44895</v>
      </c>
      <c r="B1603" s="773" t="s">
        <v>140</v>
      </c>
      <c r="C1603" s="773">
        <v>387</v>
      </c>
      <c r="D1603" s="773">
        <v>9</v>
      </c>
      <c r="E1603" s="773" t="s">
        <v>410</v>
      </c>
      <c r="S1603" s="27">
        <v>44196</v>
      </c>
      <c r="T1603" s="773" t="s">
        <v>132</v>
      </c>
      <c r="U1603" s="773">
        <v>91</v>
      </c>
      <c r="V1603" s="773">
        <v>2</v>
      </c>
      <c r="W1603" s="773" t="s">
        <v>410</v>
      </c>
    </row>
    <row r="1604" spans="1:23">
      <c r="A1604" s="27">
        <v>44895</v>
      </c>
      <c r="B1604" s="773" t="s">
        <v>140</v>
      </c>
      <c r="C1604" s="773">
        <v>640</v>
      </c>
      <c r="D1604" s="773">
        <v>2997</v>
      </c>
      <c r="E1604" s="773" t="s">
        <v>390</v>
      </c>
      <c r="S1604" s="27">
        <v>44561</v>
      </c>
      <c r="T1604" s="773" t="s">
        <v>132</v>
      </c>
      <c r="U1604" s="773">
        <v>69</v>
      </c>
      <c r="V1604" s="773">
        <v>1</v>
      </c>
      <c r="W1604" s="773" t="s">
        <v>410</v>
      </c>
    </row>
    <row r="1605" spans="1:23">
      <c r="A1605" s="27">
        <v>44895</v>
      </c>
      <c r="B1605" s="773" t="s">
        <v>140</v>
      </c>
      <c r="C1605" s="773">
        <v>556</v>
      </c>
      <c r="D1605" s="773">
        <v>2636</v>
      </c>
      <c r="E1605" s="773" t="s">
        <v>390</v>
      </c>
      <c r="S1605" s="27">
        <v>44561</v>
      </c>
      <c r="T1605" s="773" t="s">
        <v>132</v>
      </c>
      <c r="U1605" s="773">
        <v>82</v>
      </c>
      <c r="V1605" s="773">
        <v>2043</v>
      </c>
      <c r="W1605" s="773" t="s">
        <v>390</v>
      </c>
    </row>
    <row r="1606" spans="1:23">
      <c r="A1606" s="27">
        <v>44530</v>
      </c>
      <c r="B1606" s="773" t="s">
        <v>140</v>
      </c>
      <c r="C1606" s="773">
        <v>760</v>
      </c>
      <c r="D1606" s="773">
        <v>73</v>
      </c>
      <c r="E1606" s="773" t="s">
        <v>410</v>
      </c>
      <c r="S1606" s="27">
        <v>44196</v>
      </c>
      <c r="T1606" s="773" t="s">
        <v>132</v>
      </c>
      <c r="U1606" s="773">
        <v>113</v>
      </c>
      <c r="V1606" s="773">
        <v>2</v>
      </c>
      <c r="W1606" s="773" t="s">
        <v>410</v>
      </c>
    </row>
    <row r="1607" spans="1:23">
      <c r="A1607" s="27">
        <v>44895</v>
      </c>
      <c r="B1607" s="773" t="s">
        <v>140</v>
      </c>
      <c r="C1607" s="773">
        <v>712</v>
      </c>
      <c r="D1607" s="773">
        <v>2</v>
      </c>
      <c r="E1607" s="773" t="s">
        <v>410</v>
      </c>
      <c r="S1607" s="27">
        <v>44561</v>
      </c>
      <c r="T1607" s="773" t="s">
        <v>132</v>
      </c>
      <c r="U1607" s="773">
        <v>698</v>
      </c>
      <c r="V1607" s="773">
        <v>2646</v>
      </c>
      <c r="W1607" s="773" t="s">
        <v>390</v>
      </c>
    </row>
    <row r="1608" spans="1:23">
      <c r="A1608" s="27">
        <v>44530</v>
      </c>
      <c r="B1608" s="773" t="s">
        <v>140</v>
      </c>
      <c r="C1608" s="773">
        <v>674</v>
      </c>
      <c r="D1608" s="773">
        <v>1604</v>
      </c>
      <c r="E1608" s="773" t="s">
        <v>390</v>
      </c>
      <c r="S1608" s="27">
        <v>44196</v>
      </c>
      <c r="T1608" s="773" t="s">
        <v>132</v>
      </c>
      <c r="U1608" s="773">
        <v>626</v>
      </c>
      <c r="V1608" s="773">
        <v>4</v>
      </c>
      <c r="W1608" s="773" t="s">
        <v>410</v>
      </c>
    </row>
    <row r="1609" spans="1:23">
      <c r="A1609" s="27">
        <v>44895</v>
      </c>
      <c r="B1609" s="773" t="s">
        <v>140</v>
      </c>
      <c r="C1609" s="773">
        <v>594</v>
      </c>
      <c r="D1609" s="773">
        <v>2668</v>
      </c>
      <c r="E1609" s="773" t="s">
        <v>390</v>
      </c>
      <c r="S1609" s="27">
        <v>44196</v>
      </c>
      <c r="T1609" s="773" t="s">
        <v>132</v>
      </c>
      <c r="U1609" s="773">
        <v>232</v>
      </c>
      <c r="V1609" s="773">
        <v>122</v>
      </c>
      <c r="W1609" s="773" t="s">
        <v>390</v>
      </c>
    </row>
    <row r="1610" spans="1:23">
      <c r="A1610" s="27">
        <v>44530</v>
      </c>
      <c r="B1610" s="773" t="s">
        <v>140</v>
      </c>
      <c r="C1610" s="773">
        <v>722</v>
      </c>
      <c r="D1610" s="773">
        <v>1859</v>
      </c>
      <c r="E1610" s="773" t="s">
        <v>390</v>
      </c>
      <c r="S1610" s="27">
        <v>44196</v>
      </c>
      <c r="T1610" s="773" t="s">
        <v>132</v>
      </c>
      <c r="U1610" s="773">
        <v>195</v>
      </c>
      <c r="V1610" s="773">
        <v>1</v>
      </c>
      <c r="W1610" s="773" t="s">
        <v>410</v>
      </c>
    </row>
    <row r="1611" spans="1:23">
      <c r="A1611" s="27">
        <v>44530</v>
      </c>
      <c r="B1611" s="773" t="s">
        <v>140</v>
      </c>
      <c r="C1611" s="773">
        <v>710</v>
      </c>
      <c r="D1611" s="773">
        <v>2740</v>
      </c>
      <c r="E1611" s="773" t="s">
        <v>390</v>
      </c>
      <c r="S1611" s="27">
        <v>44561</v>
      </c>
      <c r="T1611" s="773" t="s">
        <v>132</v>
      </c>
      <c r="U1611" s="773">
        <v>324</v>
      </c>
      <c r="V1611" s="773">
        <v>558</v>
      </c>
      <c r="W1611" s="773" t="s">
        <v>390</v>
      </c>
    </row>
    <row r="1612" spans="1:23">
      <c r="A1612" s="27">
        <v>44895</v>
      </c>
      <c r="B1612" s="773" t="s">
        <v>140</v>
      </c>
      <c r="C1612" s="773">
        <v>742</v>
      </c>
      <c r="D1612" s="773">
        <v>1</v>
      </c>
      <c r="E1612" s="773" t="s">
        <v>410</v>
      </c>
      <c r="S1612" s="27">
        <v>44561</v>
      </c>
      <c r="T1612" s="773" t="s">
        <v>132</v>
      </c>
      <c r="U1612" s="773">
        <v>295</v>
      </c>
      <c r="V1612" s="773">
        <v>6</v>
      </c>
      <c r="W1612" s="773" t="s">
        <v>410</v>
      </c>
    </row>
    <row r="1613" spans="1:23">
      <c r="A1613" s="27">
        <v>44530</v>
      </c>
      <c r="B1613" s="773" t="s">
        <v>140</v>
      </c>
      <c r="C1613" s="773">
        <v>383</v>
      </c>
      <c r="D1613" s="773">
        <v>3</v>
      </c>
      <c r="E1613" s="773" t="s">
        <v>410</v>
      </c>
      <c r="S1613" s="27">
        <v>44561</v>
      </c>
      <c r="T1613" s="773" t="s">
        <v>132</v>
      </c>
      <c r="U1613" s="773">
        <v>53</v>
      </c>
      <c r="V1613" s="773">
        <v>2</v>
      </c>
      <c r="W1613" s="773" t="s">
        <v>410</v>
      </c>
    </row>
    <row r="1614" spans="1:23">
      <c r="A1614" s="27">
        <v>44530</v>
      </c>
      <c r="B1614" s="773" t="s">
        <v>140</v>
      </c>
      <c r="C1614" s="773">
        <v>469</v>
      </c>
      <c r="D1614" s="773">
        <v>7</v>
      </c>
      <c r="E1614" s="773" t="s">
        <v>410</v>
      </c>
      <c r="S1614" s="27">
        <v>44561</v>
      </c>
      <c r="T1614" s="773" t="s">
        <v>132</v>
      </c>
      <c r="U1614" s="773">
        <v>89</v>
      </c>
      <c r="V1614" s="773">
        <v>1123</v>
      </c>
      <c r="W1614" s="773" t="s">
        <v>390</v>
      </c>
    </row>
    <row r="1615" spans="1:23">
      <c r="A1615" s="27">
        <v>44530</v>
      </c>
      <c r="B1615" s="773" t="s">
        <v>140</v>
      </c>
      <c r="C1615" s="773">
        <v>758</v>
      </c>
      <c r="D1615" s="773">
        <v>1</v>
      </c>
      <c r="E1615" s="773" t="s">
        <v>410</v>
      </c>
      <c r="S1615" s="27">
        <v>44561</v>
      </c>
      <c r="T1615" s="773" t="s">
        <v>132</v>
      </c>
      <c r="U1615" s="773">
        <v>252</v>
      </c>
      <c r="V1615" s="773">
        <v>1264</v>
      </c>
      <c r="W1615" s="773" t="s">
        <v>390</v>
      </c>
    </row>
    <row r="1616" spans="1:23">
      <c r="A1616" s="27">
        <v>44530</v>
      </c>
      <c r="B1616" s="773" t="s">
        <v>140</v>
      </c>
      <c r="C1616" s="773">
        <v>601</v>
      </c>
      <c r="D1616" s="773">
        <v>3</v>
      </c>
      <c r="E1616" s="773" t="s">
        <v>410</v>
      </c>
      <c r="S1616" s="27">
        <v>44561</v>
      </c>
      <c r="T1616" s="773" t="s">
        <v>132</v>
      </c>
      <c r="U1616" s="773">
        <v>230</v>
      </c>
      <c r="V1616" s="773">
        <v>1</v>
      </c>
      <c r="W1616" s="773" t="s">
        <v>410</v>
      </c>
    </row>
    <row r="1617" spans="1:23">
      <c r="A1617" s="27">
        <v>44895</v>
      </c>
      <c r="B1617" s="773" t="s">
        <v>140</v>
      </c>
      <c r="C1617" s="773">
        <v>458</v>
      </c>
      <c r="D1617" s="773">
        <v>1</v>
      </c>
      <c r="E1617" s="773" t="s">
        <v>410</v>
      </c>
      <c r="S1617" s="27">
        <v>44561</v>
      </c>
      <c r="T1617" s="773" t="s">
        <v>132</v>
      </c>
      <c r="U1617" s="773">
        <v>291</v>
      </c>
      <c r="V1617" s="773">
        <v>2002</v>
      </c>
      <c r="W1617" s="773" t="s">
        <v>390</v>
      </c>
    </row>
    <row r="1618" spans="1:23">
      <c r="A1618" s="27">
        <v>44895</v>
      </c>
      <c r="B1618" s="773" t="s">
        <v>140</v>
      </c>
      <c r="C1618" s="773">
        <v>558</v>
      </c>
      <c r="D1618" s="773">
        <v>1223</v>
      </c>
      <c r="E1618" s="773" t="s">
        <v>390</v>
      </c>
      <c r="S1618" s="27">
        <v>44196</v>
      </c>
      <c r="T1618" s="773" t="s">
        <v>132</v>
      </c>
      <c r="U1618" s="773">
        <v>77</v>
      </c>
      <c r="V1618" s="773">
        <v>3353</v>
      </c>
      <c r="W1618" s="773" t="s">
        <v>390</v>
      </c>
    </row>
    <row r="1619" spans="1:23">
      <c r="A1619" s="27">
        <v>44530</v>
      </c>
      <c r="B1619" s="773" t="s">
        <v>140</v>
      </c>
      <c r="C1619" s="773">
        <v>387</v>
      </c>
      <c r="D1619" s="773">
        <v>9</v>
      </c>
      <c r="E1619" s="773" t="s">
        <v>410</v>
      </c>
      <c r="S1619" s="27">
        <v>44196</v>
      </c>
      <c r="T1619" s="773" t="s">
        <v>132</v>
      </c>
      <c r="U1619" s="773">
        <v>367</v>
      </c>
      <c r="V1619" s="773">
        <v>7</v>
      </c>
      <c r="W1619" s="773" t="s">
        <v>410</v>
      </c>
    </row>
    <row r="1620" spans="1:23">
      <c r="A1620" s="27">
        <v>44895</v>
      </c>
      <c r="B1620" s="773" t="s">
        <v>140</v>
      </c>
      <c r="C1620" s="773">
        <v>610</v>
      </c>
      <c r="D1620" s="773">
        <v>4</v>
      </c>
      <c r="E1620" s="773" t="s">
        <v>410</v>
      </c>
      <c r="S1620" s="27">
        <v>44561</v>
      </c>
      <c r="T1620" s="773" t="s">
        <v>132</v>
      </c>
      <c r="U1620" s="773">
        <v>101</v>
      </c>
      <c r="V1620" s="773">
        <v>833</v>
      </c>
      <c r="W1620" s="773" t="s">
        <v>390</v>
      </c>
    </row>
    <row r="1621" spans="1:23">
      <c r="A1621" s="27">
        <v>44895</v>
      </c>
      <c r="B1621" s="773" t="s">
        <v>140</v>
      </c>
      <c r="C1621" s="773">
        <v>659</v>
      </c>
      <c r="D1621" s="773">
        <v>732</v>
      </c>
      <c r="E1621" s="773" t="s">
        <v>390</v>
      </c>
      <c r="S1621" s="27">
        <v>44561</v>
      </c>
      <c r="T1621" s="773" t="s">
        <v>132</v>
      </c>
      <c r="U1621" s="773">
        <v>150</v>
      </c>
      <c r="V1621" s="773">
        <v>527</v>
      </c>
      <c r="W1621" s="773" t="s">
        <v>390</v>
      </c>
    </row>
    <row r="1622" spans="1:23">
      <c r="A1622" s="27">
        <v>44895</v>
      </c>
      <c r="B1622" s="773" t="s">
        <v>140</v>
      </c>
      <c r="C1622" s="773">
        <v>383</v>
      </c>
      <c r="D1622" s="773">
        <v>1</v>
      </c>
      <c r="E1622" s="773" t="s">
        <v>410</v>
      </c>
      <c r="S1622" s="27">
        <v>44561</v>
      </c>
      <c r="T1622" s="773" t="s">
        <v>132</v>
      </c>
      <c r="U1622" s="773">
        <v>676</v>
      </c>
      <c r="V1622" s="773">
        <v>2</v>
      </c>
      <c r="W1622" s="773" t="s">
        <v>410</v>
      </c>
    </row>
    <row r="1623" spans="1:23">
      <c r="A1623" s="27">
        <v>44926</v>
      </c>
      <c r="B1623" s="773" t="s">
        <v>140</v>
      </c>
      <c r="C1623" s="773">
        <v>338</v>
      </c>
      <c r="D1623" s="773">
        <v>2451</v>
      </c>
      <c r="E1623" s="773" t="s">
        <v>390</v>
      </c>
      <c r="S1623" s="27">
        <v>44561</v>
      </c>
      <c r="T1623" s="773" t="s">
        <v>132</v>
      </c>
      <c r="U1623" s="773">
        <v>250</v>
      </c>
      <c r="V1623" s="773">
        <v>1</v>
      </c>
      <c r="W1623" s="773" t="s">
        <v>410</v>
      </c>
    </row>
    <row r="1624" spans="1:23">
      <c r="A1624" s="27">
        <v>44926</v>
      </c>
      <c r="B1624" s="773" t="s">
        <v>140</v>
      </c>
      <c r="C1624" s="773">
        <v>639</v>
      </c>
      <c r="D1624" s="773">
        <v>131</v>
      </c>
      <c r="E1624" s="773" t="s">
        <v>390</v>
      </c>
      <c r="S1624" s="27">
        <v>44561</v>
      </c>
      <c r="T1624" s="773" t="s">
        <v>132</v>
      </c>
      <c r="U1624" s="773">
        <v>694</v>
      </c>
      <c r="V1624" s="773">
        <v>2</v>
      </c>
      <c r="W1624" s="773" t="s">
        <v>410</v>
      </c>
    </row>
    <row r="1625" spans="1:23">
      <c r="A1625" s="27">
        <v>44926</v>
      </c>
      <c r="B1625" s="773" t="s">
        <v>140</v>
      </c>
      <c r="C1625" s="773">
        <v>346</v>
      </c>
      <c r="D1625" s="773">
        <v>3</v>
      </c>
      <c r="E1625" s="773" t="s">
        <v>410</v>
      </c>
      <c r="S1625" s="27">
        <v>44561</v>
      </c>
      <c r="T1625" s="773" t="s">
        <v>132</v>
      </c>
      <c r="U1625" s="773">
        <v>232</v>
      </c>
      <c r="V1625" s="773">
        <v>112</v>
      </c>
      <c r="W1625" s="773" t="s">
        <v>390</v>
      </c>
    </row>
    <row r="1626" spans="1:23">
      <c r="A1626" s="27">
        <v>44926</v>
      </c>
      <c r="B1626" s="773" t="s">
        <v>140</v>
      </c>
      <c r="C1626" s="773">
        <v>574</v>
      </c>
      <c r="D1626" s="773">
        <v>2485</v>
      </c>
      <c r="E1626" s="773" t="s">
        <v>390</v>
      </c>
      <c r="S1626" s="27">
        <v>44196</v>
      </c>
      <c r="T1626" s="773" t="s">
        <v>132</v>
      </c>
      <c r="U1626" s="773">
        <v>686</v>
      </c>
      <c r="V1626" s="773">
        <v>2299</v>
      </c>
      <c r="W1626" s="773" t="s">
        <v>390</v>
      </c>
    </row>
    <row r="1627" spans="1:23">
      <c r="A1627" s="27">
        <v>44926</v>
      </c>
      <c r="B1627" s="773" t="s">
        <v>140</v>
      </c>
      <c r="C1627" s="773">
        <v>502</v>
      </c>
      <c r="D1627" s="773">
        <v>337</v>
      </c>
      <c r="E1627" s="773" t="s">
        <v>390</v>
      </c>
      <c r="S1627" s="27">
        <v>44196</v>
      </c>
      <c r="T1627" s="773" t="s">
        <v>132</v>
      </c>
      <c r="U1627" s="773">
        <v>253</v>
      </c>
      <c r="V1627" s="773">
        <v>3965</v>
      </c>
      <c r="W1627" s="773" t="s">
        <v>390</v>
      </c>
    </row>
    <row r="1628" spans="1:23">
      <c r="A1628" s="27">
        <v>44926</v>
      </c>
      <c r="B1628" s="773" t="s">
        <v>140</v>
      </c>
      <c r="C1628" s="773">
        <v>576</v>
      </c>
      <c r="D1628" s="773">
        <v>251</v>
      </c>
      <c r="E1628" s="773" t="s">
        <v>390</v>
      </c>
      <c r="S1628" s="27">
        <v>44561</v>
      </c>
      <c r="T1628" s="773" t="s">
        <v>132</v>
      </c>
      <c r="U1628" s="773">
        <v>61</v>
      </c>
      <c r="V1628" s="773">
        <v>1</v>
      </c>
      <c r="W1628" s="773" t="s">
        <v>410</v>
      </c>
    </row>
    <row r="1629" spans="1:23">
      <c r="A1629" s="27">
        <v>44926</v>
      </c>
      <c r="B1629" s="773" t="s">
        <v>140</v>
      </c>
      <c r="C1629" s="773">
        <v>659</v>
      </c>
      <c r="D1629" s="773">
        <v>820</v>
      </c>
      <c r="E1629" s="773" t="s">
        <v>390</v>
      </c>
      <c r="S1629" s="27">
        <v>44196</v>
      </c>
      <c r="T1629" s="773" t="s">
        <v>132</v>
      </c>
      <c r="U1629" s="773">
        <v>243</v>
      </c>
      <c r="V1629" s="773">
        <v>628</v>
      </c>
      <c r="W1629" s="773" t="s">
        <v>390</v>
      </c>
    </row>
    <row r="1630" spans="1:23">
      <c r="A1630" s="27">
        <v>44926</v>
      </c>
      <c r="B1630" s="773" t="s">
        <v>140</v>
      </c>
      <c r="C1630" s="773">
        <v>485</v>
      </c>
      <c r="D1630" s="773">
        <v>1308</v>
      </c>
      <c r="E1630" s="773" t="s">
        <v>390</v>
      </c>
      <c r="S1630" s="27">
        <v>44196</v>
      </c>
      <c r="T1630" s="773" t="s">
        <v>132</v>
      </c>
      <c r="U1630" s="773">
        <v>303</v>
      </c>
      <c r="V1630" s="773">
        <v>2480</v>
      </c>
      <c r="W1630" s="773" t="s">
        <v>390</v>
      </c>
    </row>
    <row r="1631" spans="1:23">
      <c r="A1631" s="27">
        <v>44926</v>
      </c>
      <c r="B1631" s="773" t="s">
        <v>140</v>
      </c>
      <c r="C1631" s="773">
        <v>630</v>
      </c>
      <c r="D1631" s="773">
        <v>1</v>
      </c>
      <c r="E1631" s="773" t="s">
        <v>410</v>
      </c>
      <c r="H1631" s="27"/>
      <c r="I1631" s="773"/>
      <c r="J1631" s="773"/>
      <c r="K1631" s="773"/>
      <c r="L1631" s="773"/>
      <c r="S1631" s="27">
        <v>44561</v>
      </c>
      <c r="T1631" s="773" t="s">
        <v>132</v>
      </c>
      <c r="U1631" s="773">
        <v>194</v>
      </c>
      <c r="V1631" s="773">
        <v>3343</v>
      </c>
      <c r="W1631" s="773" t="s">
        <v>390</v>
      </c>
    </row>
    <row r="1632" spans="1:23">
      <c r="A1632" s="27">
        <v>44926</v>
      </c>
      <c r="B1632" s="773" t="s">
        <v>140</v>
      </c>
      <c r="C1632" s="773">
        <v>453</v>
      </c>
      <c r="D1632" s="773">
        <v>2327</v>
      </c>
      <c r="E1632" s="773" t="s">
        <v>390</v>
      </c>
      <c r="H1632" s="27"/>
      <c r="I1632" s="773"/>
      <c r="J1632" s="773"/>
      <c r="K1632" s="773"/>
      <c r="L1632" s="773"/>
      <c r="S1632" s="27">
        <v>44561</v>
      </c>
      <c r="T1632" s="773" t="s">
        <v>132</v>
      </c>
      <c r="U1632" s="773">
        <v>321</v>
      </c>
      <c r="V1632" s="773">
        <v>1053</v>
      </c>
      <c r="W1632" s="773" t="s">
        <v>390</v>
      </c>
    </row>
    <row r="1633" spans="1:23">
      <c r="A1633" s="27">
        <v>44926</v>
      </c>
      <c r="B1633" s="773" t="s">
        <v>140</v>
      </c>
      <c r="C1633" s="773">
        <v>478</v>
      </c>
      <c r="D1633" s="773">
        <v>1</v>
      </c>
      <c r="E1633" s="773" t="s">
        <v>410</v>
      </c>
      <c r="H1633" s="27"/>
      <c r="I1633" s="773"/>
      <c r="J1633" s="773"/>
      <c r="K1633" s="773"/>
      <c r="L1633" s="773"/>
      <c r="S1633" s="27">
        <v>44196</v>
      </c>
      <c r="T1633" s="773" t="s">
        <v>132</v>
      </c>
      <c r="U1633" s="773">
        <v>194</v>
      </c>
      <c r="V1633" s="773">
        <v>3173</v>
      </c>
      <c r="W1633" s="773" t="s">
        <v>390</v>
      </c>
    </row>
    <row r="1634" spans="1:23">
      <c r="A1634" s="27">
        <v>44926</v>
      </c>
      <c r="B1634" s="773" t="s">
        <v>140</v>
      </c>
      <c r="C1634" s="773">
        <v>556</v>
      </c>
      <c r="D1634" s="773">
        <v>2630</v>
      </c>
      <c r="E1634" s="773" t="s">
        <v>390</v>
      </c>
      <c r="H1634" s="27"/>
      <c r="I1634" s="773"/>
      <c r="J1634" s="773"/>
      <c r="K1634" s="773"/>
      <c r="L1634" s="773"/>
      <c r="S1634" s="27">
        <v>44561</v>
      </c>
      <c r="T1634" s="773" t="s">
        <v>132</v>
      </c>
      <c r="U1634" s="773">
        <v>92</v>
      </c>
      <c r="V1634" s="773">
        <v>2490</v>
      </c>
      <c r="W1634" s="773" t="s">
        <v>390</v>
      </c>
    </row>
    <row r="1635" spans="1:23">
      <c r="A1635" s="27">
        <v>44926</v>
      </c>
      <c r="B1635" s="773" t="s">
        <v>140</v>
      </c>
      <c r="C1635" s="773">
        <v>449</v>
      </c>
      <c r="D1635" s="773">
        <v>1819</v>
      </c>
      <c r="E1635" s="773" t="s">
        <v>390</v>
      </c>
      <c r="H1635" s="27"/>
      <c r="I1635" s="773"/>
      <c r="J1635" s="773"/>
      <c r="K1635" s="773"/>
      <c r="L1635" s="773"/>
      <c r="S1635" s="27">
        <v>44196</v>
      </c>
      <c r="T1635" s="773" t="s">
        <v>132</v>
      </c>
      <c r="U1635" s="773">
        <v>299</v>
      </c>
      <c r="V1635" s="773">
        <v>1</v>
      </c>
      <c r="W1635" s="773" t="s">
        <v>410</v>
      </c>
    </row>
    <row r="1636" spans="1:23">
      <c r="A1636" s="27">
        <v>44926</v>
      </c>
      <c r="B1636" s="773" t="s">
        <v>140</v>
      </c>
      <c r="C1636" s="773">
        <v>527</v>
      </c>
      <c r="D1636" s="773">
        <v>2</v>
      </c>
      <c r="E1636" s="773" t="s">
        <v>410</v>
      </c>
      <c r="H1636" s="27"/>
      <c r="I1636" s="773"/>
      <c r="J1636" s="773"/>
      <c r="K1636" s="773"/>
      <c r="L1636" s="773"/>
      <c r="S1636" s="27">
        <v>44196</v>
      </c>
      <c r="T1636" s="773" t="s">
        <v>132</v>
      </c>
      <c r="U1636" s="773">
        <v>123</v>
      </c>
      <c r="V1636" s="773">
        <v>1</v>
      </c>
      <c r="W1636" s="773" t="s">
        <v>410</v>
      </c>
    </row>
    <row r="1637" spans="1:23">
      <c r="A1637" s="27">
        <v>44926</v>
      </c>
      <c r="B1637" s="773" t="s">
        <v>140</v>
      </c>
      <c r="C1637" s="773">
        <v>582</v>
      </c>
      <c r="D1637" s="773">
        <v>2263</v>
      </c>
      <c r="E1637" s="773" t="s">
        <v>390</v>
      </c>
      <c r="H1637" s="27"/>
      <c r="I1637" s="773"/>
      <c r="J1637" s="773"/>
      <c r="K1637" s="773"/>
      <c r="L1637" s="773"/>
      <c r="S1637" s="27">
        <v>44561</v>
      </c>
      <c r="T1637" s="773" t="s">
        <v>132</v>
      </c>
      <c r="U1637" s="773">
        <v>84</v>
      </c>
      <c r="V1637" s="773">
        <v>2521</v>
      </c>
      <c r="W1637" s="773" t="s">
        <v>390</v>
      </c>
    </row>
    <row r="1638" spans="1:23">
      <c r="A1638" s="27">
        <v>44926</v>
      </c>
      <c r="B1638" s="773" t="s">
        <v>140</v>
      </c>
      <c r="C1638" s="773">
        <v>530</v>
      </c>
      <c r="D1638" s="773">
        <v>1</v>
      </c>
      <c r="E1638" s="773" t="s">
        <v>410</v>
      </c>
      <c r="H1638" s="27"/>
      <c r="I1638" s="773"/>
      <c r="J1638" s="773"/>
      <c r="K1638" s="773"/>
      <c r="L1638" s="773"/>
      <c r="S1638" s="27">
        <v>44561</v>
      </c>
      <c r="T1638" s="773" t="s">
        <v>132</v>
      </c>
      <c r="U1638" s="773">
        <v>265</v>
      </c>
      <c r="V1638" s="773">
        <v>1379</v>
      </c>
      <c r="W1638" s="773" t="s">
        <v>390</v>
      </c>
    </row>
    <row r="1639" spans="1:23">
      <c r="A1639" s="27">
        <v>44926</v>
      </c>
      <c r="B1639" s="773" t="s">
        <v>140</v>
      </c>
      <c r="C1639" s="773">
        <v>722</v>
      </c>
      <c r="D1639" s="773">
        <v>1898</v>
      </c>
      <c r="E1639" s="773" t="s">
        <v>390</v>
      </c>
      <c r="H1639" s="27"/>
      <c r="I1639" s="773"/>
      <c r="J1639" s="773"/>
      <c r="K1639" s="773"/>
      <c r="L1639" s="773"/>
      <c r="S1639" s="27">
        <v>44196</v>
      </c>
      <c r="T1639" s="773" t="s">
        <v>132</v>
      </c>
      <c r="U1639" s="773">
        <v>684</v>
      </c>
      <c r="V1639" s="773">
        <v>2631</v>
      </c>
      <c r="W1639" s="773" t="s">
        <v>390</v>
      </c>
    </row>
    <row r="1640" spans="1:23">
      <c r="A1640" s="27">
        <v>44926</v>
      </c>
      <c r="B1640" s="773" t="s">
        <v>140</v>
      </c>
      <c r="C1640" s="773">
        <v>387</v>
      </c>
      <c r="D1640" s="773">
        <v>9</v>
      </c>
      <c r="E1640" s="773" t="s">
        <v>410</v>
      </c>
      <c r="H1640" s="27"/>
      <c r="I1640" s="773"/>
      <c r="J1640" s="773"/>
      <c r="K1640" s="773"/>
      <c r="L1640" s="773"/>
      <c r="S1640" s="27">
        <v>44196</v>
      </c>
      <c r="T1640" s="773" t="s">
        <v>132</v>
      </c>
      <c r="U1640" s="773">
        <v>70</v>
      </c>
      <c r="V1640" s="773">
        <v>227</v>
      </c>
      <c r="W1640" s="773" t="s">
        <v>390</v>
      </c>
    </row>
    <row r="1641" spans="1:23">
      <c r="A1641" s="27">
        <v>44926</v>
      </c>
      <c r="B1641" s="773" t="s">
        <v>140</v>
      </c>
      <c r="C1641" s="773">
        <v>248</v>
      </c>
      <c r="D1641" s="773">
        <v>389</v>
      </c>
      <c r="E1641" s="773" t="s">
        <v>390</v>
      </c>
      <c r="H1641" s="27"/>
      <c r="I1641" s="773"/>
      <c r="J1641" s="773"/>
      <c r="K1641" s="773"/>
      <c r="L1641" s="773"/>
      <c r="S1641" s="27">
        <v>44561</v>
      </c>
      <c r="T1641" s="773" t="s">
        <v>132</v>
      </c>
      <c r="U1641" s="773">
        <v>98</v>
      </c>
      <c r="V1641" s="773">
        <v>78</v>
      </c>
      <c r="W1641" s="773" t="s">
        <v>410</v>
      </c>
    </row>
    <row r="1642" spans="1:23">
      <c r="A1642" s="27">
        <v>44926</v>
      </c>
      <c r="B1642" s="773" t="s">
        <v>140</v>
      </c>
      <c r="C1642" s="773">
        <v>548</v>
      </c>
      <c r="D1642" s="773">
        <v>690</v>
      </c>
      <c r="E1642" s="773" t="s">
        <v>390</v>
      </c>
      <c r="H1642" s="27"/>
      <c r="I1642" s="773"/>
      <c r="J1642" s="773"/>
      <c r="K1642" s="773"/>
      <c r="L1642" s="773"/>
      <c r="S1642" s="27">
        <v>44561</v>
      </c>
      <c r="T1642" s="773" t="s">
        <v>132</v>
      </c>
      <c r="U1642" s="773">
        <v>700</v>
      </c>
      <c r="V1642" s="773">
        <v>1586</v>
      </c>
      <c r="W1642" s="773" t="s">
        <v>390</v>
      </c>
    </row>
    <row r="1643" spans="1:23">
      <c r="A1643" s="27">
        <v>44926</v>
      </c>
      <c r="B1643" s="773" t="s">
        <v>140</v>
      </c>
      <c r="C1643" s="773">
        <v>746</v>
      </c>
      <c r="D1643" s="773">
        <v>1978</v>
      </c>
      <c r="E1643" s="773" t="s">
        <v>390</v>
      </c>
      <c r="H1643" s="27"/>
      <c r="I1643" s="773"/>
      <c r="J1643" s="773"/>
      <c r="K1643" s="773"/>
      <c r="L1643" s="773"/>
      <c r="S1643" s="27">
        <v>44561</v>
      </c>
      <c r="T1643" s="773" t="s">
        <v>132</v>
      </c>
      <c r="U1643" s="773">
        <v>171</v>
      </c>
      <c r="V1643" s="773">
        <v>200</v>
      </c>
      <c r="W1643" s="773" t="s">
        <v>390</v>
      </c>
    </row>
    <row r="1644" spans="1:23">
      <c r="A1644" s="27">
        <v>44926</v>
      </c>
      <c r="B1644" s="773" t="s">
        <v>140</v>
      </c>
      <c r="C1644" s="773">
        <v>616</v>
      </c>
      <c r="D1644" s="773">
        <v>1</v>
      </c>
      <c r="E1644" s="773" t="s">
        <v>410</v>
      </c>
      <c r="H1644" s="27"/>
      <c r="I1644" s="773"/>
      <c r="J1644" s="773"/>
      <c r="K1644" s="773"/>
      <c r="L1644" s="773"/>
      <c r="S1644" s="27">
        <v>44196</v>
      </c>
      <c r="T1644" s="773" t="s">
        <v>132</v>
      </c>
      <c r="U1644" s="773">
        <v>100</v>
      </c>
      <c r="V1644" s="773">
        <v>4</v>
      </c>
      <c r="W1644" s="773" t="s">
        <v>410</v>
      </c>
    </row>
    <row r="1645" spans="1:23">
      <c r="A1645" s="27">
        <v>44926</v>
      </c>
      <c r="B1645" s="773" t="s">
        <v>140</v>
      </c>
      <c r="C1645" s="773">
        <v>379</v>
      </c>
      <c r="D1645" s="773">
        <v>1</v>
      </c>
      <c r="E1645" s="773" t="s">
        <v>410</v>
      </c>
      <c r="H1645" s="27"/>
      <c r="I1645" s="773"/>
      <c r="J1645" s="773"/>
      <c r="K1645" s="773"/>
      <c r="L1645" s="773"/>
      <c r="S1645" s="27">
        <v>44561</v>
      </c>
      <c r="T1645" s="773" t="s">
        <v>132</v>
      </c>
      <c r="U1645" s="773">
        <v>182</v>
      </c>
      <c r="V1645" s="773">
        <v>883</v>
      </c>
      <c r="W1645" s="773" t="s">
        <v>390</v>
      </c>
    </row>
    <row r="1646" spans="1:23">
      <c r="A1646" s="27">
        <v>44926</v>
      </c>
      <c r="B1646" s="773" t="s">
        <v>140</v>
      </c>
      <c r="C1646" s="773">
        <v>0</v>
      </c>
      <c r="D1646" s="773">
        <v>7</v>
      </c>
      <c r="E1646" s="773" t="s">
        <v>410</v>
      </c>
      <c r="H1646" s="27"/>
      <c r="I1646" s="773"/>
      <c r="J1646" s="773"/>
      <c r="K1646" s="773"/>
      <c r="L1646" s="773"/>
      <c r="S1646" s="27">
        <v>44561</v>
      </c>
      <c r="T1646" s="773" t="s">
        <v>132</v>
      </c>
      <c r="U1646" s="773">
        <v>64</v>
      </c>
      <c r="V1646" s="773">
        <v>3</v>
      </c>
      <c r="W1646" s="773" t="s">
        <v>410</v>
      </c>
    </row>
    <row r="1647" spans="1:23">
      <c r="A1647" s="27">
        <v>44926</v>
      </c>
      <c r="B1647" s="773" t="s">
        <v>140</v>
      </c>
      <c r="C1647" s="773">
        <v>555</v>
      </c>
      <c r="D1647" s="773">
        <v>1645</v>
      </c>
      <c r="E1647" s="773" t="s">
        <v>390</v>
      </c>
      <c r="H1647" s="27"/>
      <c r="I1647" s="773"/>
      <c r="J1647" s="773"/>
      <c r="K1647" s="773"/>
      <c r="L1647" s="773"/>
      <c r="S1647" s="27">
        <v>44196</v>
      </c>
      <c r="T1647" s="773" t="s">
        <v>132</v>
      </c>
      <c r="U1647" s="773">
        <v>158</v>
      </c>
      <c r="V1647" s="773">
        <v>50</v>
      </c>
      <c r="W1647" s="773" t="s">
        <v>410</v>
      </c>
    </row>
    <row r="1648" spans="1:23">
      <c r="A1648" s="27">
        <v>44926</v>
      </c>
      <c r="B1648" s="773" t="s">
        <v>140</v>
      </c>
      <c r="C1648" s="773">
        <v>510</v>
      </c>
      <c r="D1648" s="773">
        <v>957</v>
      </c>
      <c r="E1648" s="773" t="s">
        <v>390</v>
      </c>
      <c r="H1648" s="27"/>
      <c r="I1648" s="773"/>
      <c r="J1648" s="773"/>
      <c r="K1648" s="773"/>
      <c r="L1648" s="773"/>
      <c r="S1648" s="27">
        <v>44561</v>
      </c>
      <c r="T1648" s="773" t="s">
        <v>132</v>
      </c>
      <c r="U1648" s="773">
        <v>325</v>
      </c>
      <c r="V1648" s="773">
        <v>2934</v>
      </c>
      <c r="W1648" s="773" t="s">
        <v>390</v>
      </c>
    </row>
    <row r="1649" spans="1:23">
      <c r="A1649" s="27">
        <v>44926</v>
      </c>
      <c r="B1649" s="773" t="s">
        <v>140</v>
      </c>
      <c r="C1649" s="773">
        <v>742</v>
      </c>
      <c r="D1649" s="773">
        <v>1</v>
      </c>
      <c r="E1649" s="773" t="s">
        <v>410</v>
      </c>
      <c r="H1649" s="27"/>
      <c r="I1649" s="773"/>
      <c r="J1649" s="773"/>
      <c r="K1649" s="773"/>
      <c r="L1649" s="773"/>
      <c r="S1649" s="27">
        <v>44196</v>
      </c>
      <c r="T1649" s="773" t="s">
        <v>132</v>
      </c>
      <c r="U1649" s="773">
        <v>305</v>
      </c>
      <c r="V1649" s="773">
        <v>3913</v>
      </c>
      <c r="W1649" s="773" t="s">
        <v>390</v>
      </c>
    </row>
    <row r="1650" spans="1:23">
      <c r="A1650" s="27">
        <v>44926</v>
      </c>
      <c r="B1650" s="773" t="s">
        <v>140</v>
      </c>
      <c r="C1650" s="773">
        <v>359</v>
      </c>
      <c r="D1650" s="773">
        <v>779</v>
      </c>
      <c r="E1650" s="773" t="s">
        <v>390</v>
      </c>
      <c r="H1650" s="27"/>
      <c r="I1650" s="773"/>
      <c r="J1650" s="773"/>
      <c r="K1650" s="773"/>
      <c r="L1650" s="773"/>
      <c r="S1650" s="27">
        <v>44196</v>
      </c>
      <c r="T1650" s="773" t="s">
        <v>132</v>
      </c>
      <c r="U1650" s="773">
        <v>102</v>
      </c>
      <c r="V1650" s="773">
        <v>1</v>
      </c>
      <c r="W1650" s="773" t="s">
        <v>410</v>
      </c>
    </row>
    <row r="1651" spans="1:23">
      <c r="A1651" s="27">
        <v>44926</v>
      </c>
      <c r="B1651" s="773" t="s">
        <v>140</v>
      </c>
      <c r="C1651" s="773">
        <v>370</v>
      </c>
      <c r="D1651" s="773">
        <v>2</v>
      </c>
      <c r="E1651" s="773" t="s">
        <v>410</v>
      </c>
      <c r="H1651" s="27"/>
      <c r="I1651" s="773"/>
      <c r="J1651" s="773"/>
      <c r="K1651" s="773"/>
      <c r="L1651" s="773"/>
      <c r="S1651" s="27">
        <v>44196</v>
      </c>
      <c r="T1651" s="773" t="s">
        <v>132</v>
      </c>
      <c r="U1651" s="773">
        <v>79</v>
      </c>
      <c r="V1651" s="773">
        <v>4</v>
      </c>
      <c r="W1651" s="773" t="s">
        <v>410</v>
      </c>
    </row>
    <row r="1652" spans="1:23">
      <c r="A1652" s="27">
        <v>44926</v>
      </c>
      <c r="B1652" s="773" t="s">
        <v>140</v>
      </c>
      <c r="C1652" s="773">
        <v>732</v>
      </c>
      <c r="D1652" s="773">
        <v>3</v>
      </c>
      <c r="E1652" s="773" t="s">
        <v>410</v>
      </c>
      <c r="H1652" s="27"/>
      <c r="I1652" s="773"/>
      <c r="J1652" s="773"/>
      <c r="K1652" s="773"/>
      <c r="L1652" s="773"/>
      <c r="S1652" s="27">
        <v>44561</v>
      </c>
      <c r="T1652" s="773" t="s">
        <v>132</v>
      </c>
      <c r="U1652" s="773">
        <v>44</v>
      </c>
      <c r="V1652" s="773">
        <v>2794</v>
      </c>
      <c r="W1652" s="773" t="s">
        <v>390</v>
      </c>
    </row>
    <row r="1653" spans="1:23">
      <c r="A1653" s="27">
        <v>44926</v>
      </c>
      <c r="B1653" s="773" t="s">
        <v>140</v>
      </c>
      <c r="C1653" s="773">
        <v>758</v>
      </c>
      <c r="D1653" s="773">
        <v>1</v>
      </c>
      <c r="E1653" s="773" t="s">
        <v>410</v>
      </c>
      <c r="H1653" s="27"/>
      <c r="I1653" s="773"/>
      <c r="J1653" s="773"/>
      <c r="K1653" s="773"/>
      <c r="L1653" s="773"/>
      <c r="S1653" s="27">
        <v>44196</v>
      </c>
      <c r="T1653" s="773" t="s">
        <v>132</v>
      </c>
      <c r="U1653" s="773">
        <v>87</v>
      </c>
      <c r="V1653" s="773">
        <v>12</v>
      </c>
      <c r="W1653" s="773" t="s">
        <v>410</v>
      </c>
    </row>
    <row r="1654" spans="1:23">
      <c r="A1654" s="27">
        <v>44926</v>
      </c>
      <c r="B1654" s="773" t="s">
        <v>140</v>
      </c>
      <c r="C1654" s="773">
        <v>691</v>
      </c>
      <c r="D1654" s="773">
        <v>160</v>
      </c>
      <c r="E1654" s="773" t="s">
        <v>390</v>
      </c>
      <c r="H1654" s="27"/>
      <c r="I1654" s="773"/>
      <c r="J1654" s="773"/>
      <c r="K1654" s="773"/>
      <c r="L1654" s="773"/>
      <c r="S1654" s="27">
        <v>44561</v>
      </c>
      <c r="T1654" s="773" t="s">
        <v>132</v>
      </c>
      <c r="U1654" s="773">
        <v>231</v>
      </c>
      <c r="V1654" s="773">
        <v>4</v>
      </c>
      <c r="W1654" s="773" t="s">
        <v>410</v>
      </c>
    </row>
    <row r="1655" spans="1:23">
      <c r="A1655" s="27">
        <v>44926</v>
      </c>
      <c r="B1655" s="773" t="s">
        <v>140</v>
      </c>
      <c r="C1655" s="773">
        <v>585</v>
      </c>
      <c r="D1655" s="773">
        <v>5163</v>
      </c>
      <c r="E1655" s="773" t="s">
        <v>390</v>
      </c>
      <c r="H1655" s="27"/>
      <c r="I1655" s="773"/>
      <c r="J1655" s="773"/>
      <c r="K1655" s="773"/>
      <c r="L1655" s="773"/>
      <c r="S1655" s="27">
        <v>44196</v>
      </c>
      <c r="T1655" s="773" t="s">
        <v>132</v>
      </c>
      <c r="U1655" s="773">
        <v>304</v>
      </c>
      <c r="V1655" s="773">
        <v>87</v>
      </c>
      <c r="W1655" s="773" t="s">
        <v>410</v>
      </c>
    </row>
    <row r="1656" spans="1:23">
      <c r="A1656" s="27">
        <v>44926</v>
      </c>
      <c r="B1656" s="773" t="s">
        <v>140</v>
      </c>
      <c r="C1656" s="773">
        <v>493</v>
      </c>
      <c r="D1656" s="773">
        <v>5</v>
      </c>
      <c r="E1656" s="773" t="s">
        <v>410</v>
      </c>
      <c r="H1656" s="27"/>
      <c r="I1656" s="773"/>
      <c r="J1656" s="773"/>
      <c r="K1656" s="773"/>
      <c r="L1656" s="773"/>
      <c r="S1656" s="27">
        <v>44196</v>
      </c>
      <c r="T1656" s="773" t="s">
        <v>132</v>
      </c>
      <c r="U1656" s="773">
        <v>203</v>
      </c>
      <c r="V1656" s="773">
        <v>3037</v>
      </c>
      <c r="W1656" s="773" t="s">
        <v>390</v>
      </c>
    </row>
    <row r="1657" spans="1:23">
      <c r="A1657" s="27">
        <v>44926</v>
      </c>
      <c r="B1657" s="773" t="s">
        <v>140</v>
      </c>
      <c r="C1657" s="773">
        <v>558</v>
      </c>
      <c r="D1657" s="773">
        <v>1249</v>
      </c>
      <c r="E1657" s="773" t="s">
        <v>390</v>
      </c>
      <c r="H1657" s="27"/>
      <c r="I1657" s="773"/>
      <c r="J1657" s="773"/>
      <c r="K1657" s="773"/>
      <c r="L1657" s="773"/>
      <c r="S1657" s="27">
        <v>44561</v>
      </c>
      <c r="T1657" s="773" t="s">
        <v>132</v>
      </c>
      <c r="U1657" s="773">
        <v>158</v>
      </c>
      <c r="V1657" s="773">
        <v>90</v>
      </c>
      <c r="W1657" s="773" t="s">
        <v>410</v>
      </c>
    </row>
    <row r="1658" spans="1:23">
      <c r="A1658" s="27">
        <v>44926</v>
      </c>
      <c r="B1658" s="773" t="s">
        <v>140</v>
      </c>
      <c r="C1658" s="773">
        <v>774</v>
      </c>
      <c r="D1658" s="773">
        <v>2235</v>
      </c>
      <c r="E1658" s="773" t="s">
        <v>390</v>
      </c>
      <c r="H1658" s="27"/>
      <c r="I1658" s="773"/>
      <c r="J1658" s="773"/>
      <c r="K1658" s="773"/>
      <c r="L1658" s="773"/>
      <c r="S1658" s="27">
        <v>44196</v>
      </c>
      <c r="T1658" s="773" t="s">
        <v>132</v>
      </c>
      <c r="U1658" s="773">
        <v>999</v>
      </c>
      <c r="V1658" s="773">
        <v>1</v>
      </c>
      <c r="W1658" s="773" t="s">
        <v>410</v>
      </c>
    </row>
    <row r="1659" spans="1:23">
      <c r="A1659" s="27">
        <v>44926</v>
      </c>
      <c r="B1659" s="773" t="s">
        <v>140</v>
      </c>
      <c r="C1659" s="773">
        <v>650</v>
      </c>
      <c r="D1659" s="773">
        <v>2393</v>
      </c>
      <c r="E1659" s="773" t="s">
        <v>390</v>
      </c>
      <c r="H1659" s="27"/>
      <c r="I1659" s="773"/>
      <c r="J1659" s="773"/>
      <c r="K1659" s="773"/>
      <c r="L1659" s="773"/>
      <c r="S1659" s="27">
        <v>44561</v>
      </c>
      <c r="T1659" s="773" t="s">
        <v>132</v>
      </c>
      <c r="U1659" s="773">
        <v>114</v>
      </c>
      <c r="V1659" s="773">
        <v>1</v>
      </c>
      <c r="W1659" s="773" t="s">
        <v>410</v>
      </c>
    </row>
    <row r="1660" spans="1:23">
      <c r="A1660" s="27">
        <v>44926</v>
      </c>
      <c r="B1660" s="773" t="s">
        <v>140</v>
      </c>
      <c r="C1660" s="773">
        <v>648</v>
      </c>
      <c r="D1660" s="773">
        <v>1440</v>
      </c>
      <c r="E1660" s="773" t="s">
        <v>390</v>
      </c>
      <c r="H1660" s="27"/>
      <c r="I1660" s="773"/>
      <c r="J1660" s="773"/>
      <c r="K1660" s="773"/>
      <c r="L1660" s="773"/>
      <c r="S1660" s="27">
        <v>44561</v>
      </c>
      <c r="T1660" s="773" t="s">
        <v>132</v>
      </c>
      <c r="U1660" s="773">
        <v>328</v>
      </c>
      <c r="V1660" s="773">
        <v>36</v>
      </c>
      <c r="W1660" s="773" t="s">
        <v>410</v>
      </c>
    </row>
    <row r="1661" spans="1:23">
      <c r="A1661" s="27">
        <v>44926</v>
      </c>
      <c r="B1661" s="773" t="s">
        <v>140</v>
      </c>
      <c r="C1661" s="773">
        <v>708</v>
      </c>
      <c r="D1661" s="773">
        <v>2949</v>
      </c>
      <c r="E1661" s="773" t="s">
        <v>390</v>
      </c>
      <c r="H1661" s="27"/>
      <c r="I1661" s="773"/>
      <c r="J1661" s="773"/>
      <c r="K1661" s="773"/>
      <c r="L1661" s="773"/>
      <c r="S1661" s="27">
        <v>44196</v>
      </c>
      <c r="T1661" s="773" t="s">
        <v>132</v>
      </c>
      <c r="U1661" s="773">
        <v>291</v>
      </c>
      <c r="V1661" s="773">
        <v>2162</v>
      </c>
      <c r="W1661" s="773" t="s">
        <v>390</v>
      </c>
    </row>
    <row r="1662" spans="1:23">
      <c r="A1662" s="27">
        <v>44926</v>
      </c>
      <c r="B1662" s="773" t="s">
        <v>140</v>
      </c>
      <c r="C1662" s="773">
        <v>626</v>
      </c>
      <c r="D1662" s="773">
        <v>3162</v>
      </c>
      <c r="E1662" s="773" t="s">
        <v>390</v>
      </c>
      <c r="H1662" s="27"/>
      <c r="I1662" s="773"/>
      <c r="J1662" s="773"/>
      <c r="K1662" s="773"/>
      <c r="L1662" s="773"/>
      <c r="S1662" s="27">
        <v>44196</v>
      </c>
      <c r="T1662" s="773" t="s">
        <v>132</v>
      </c>
      <c r="U1662" s="773">
        <v>159</v>
      </c>
      <c r="V1662" s="773">
        <v>2898</v>
      </c>
      <c r="W1662" s="773" t="s">
        <v>390</v>
      </c>
    </row>
    <row r="1663" spans="1:23">
      <c r="A1663" s="27">
        <v>44926</v>
      </c>
      <c r="B1663" s="773" t="s">
        <v>140</v>
      </c>
      <c r="C1663" s="773">
        <v>678</v>
      </c>
      <c r="D1663" s="773">
        <v>1</v>
      </c>
      <c r="E1663" s="773" t="s">
        <v>410</v>
      </c>
      <c r="H1663" s="27"/>
      <c r="I1663" s="773"/>
      <c r="J1663" s="773"/>
      <c r="K1663" s="773"/>
      <c r="L1663" s="773"/>
      <c r="S1663" s="27">
        <v>44561</v>
      </c>
      <c r="T1663" s="773" t="s">
        <v>132</v>
      </c>
      <c r="U1663" s="773">
        <v>305</v>
      </c>
      <c r="V1663" s="773">
        <v>3684</v>
      </c>
      <c r="W1663" s="773" t="s">
        <v>390</v>
      </c>
    </row>
    <row r="1664" spans="1:23">
      <c r="A1664" s="27">
        <v>44926</v>
      </c>
      <c r="B1664" s="773" t="s">
        <v>140</v>
      </c>
      <c r="C1664" s="773">
        <v>640</v>
      </c>
      <c r="D1664" s="773">
        <v>2992</v>
      </c>
      <c r="E1664" s="773" t="s">
        <v>390</v>
      </c>
      <c r="H1664" s="27"/>
      <c r="I1664" s="773"/>
      <c r="J1664" s="773"/>
      <c r="K1664" s="773"/>
      <c r="L1664" s="773"/>
      <c r="S1664" s="27">
        <v>44561</v>
      </c>
      <c r="T1664" s="773" t="s">
        <v>132</v>
      </c>
      <c r="U1664" s="773">
        <v>622</v>
      </c>
      <c r="V1664" s="773">
        <v>1</v>
      </c>
      <c r="W1664" s="773" t="s">
        <v>410</v>
      </c>
    </row>
    <row r="1665" spans="1:23">
      <c r="A1665" s="27">
        <v>44926</v>
      </c>
      <c r="B1665" s="773" t="s">
        <v>140</v>
      </c>
      <c r="C1665" s="773">
        <v>469</v>
      </c>
      <c r="D1665" s="773">
        <v>15</v>
      </c>
      <c r="E1665" s="773" t="s">
        <v>410</v>
      </c>
      <c r="H1665" s="27"/>
      <c r="I1665" s="773"/>
      <c r="J1665" s="773"/>
      <c r="K1665" s="773"/>
      <c r="L1665" s="773"/>
      <c r="S1665" s="27">
        <v>44561</v>
      </c>
      <c r="T1665" s="773" t="s">
        <v>132</v>
      </c>
      <c r="U1665" s="773">
        <v>91</v>
      </c>
      <c r="V1665" s="773">
        <v>2</v>
      </c>
      <c r="W1665" s="773" t="s">
        <v>410</v>
      </c>
    </row>
    <row r="1666" spans="1:23">
      <c r="A1666" s="27">
        <v>44926</v>
      </c>
      <c r="B1666" s="773" t="s">
        <v>140</v>
      </c>
      <c r="C1666" s="773">
        <v>628</v>
      </c>
      <c r="D1666" s="773">
        <v>1698</v>
      </c>
      <c r="E1666" s="773" t="s">
        <v>390</v>
      </c>
      <c r="H1666" s="27"/>
      <c r="I1666" s="773"/>
      <c r="J1666" s="773"/>
      <c r="K1666" s="773"/>
      <c r="L1666" s="773"/>
      <c r="S1666" s="27">
        <v>44561</v>
      </c>
      <c r="T1666" s="773" t="s">
        <v>132</v>
      </c>
      <c r="U1666" s="773">
        <v>240</v>
      </c>
      <c r="V1666" s="773">
        <v>7</v>
      </c>
      <c r="W1666" s="773" t="s">
        <v>410</v>
      </c>
    </row>
    <row r="1667" spans="1:23">
      <c r="A1667" s="27">
        <v>44926</v>
      </c>
      <c r="B1667" s="773" t="s">
        <v>140</v>
      </c>
      <c r="C1667" s="773">
        <v>597</v>
      </c>
      <c r="D1667" s="773">
        <v>1266</v>
      </c>
      <c r="E1667" s="773" t="s">
        <v>390</v>
      </c>
      <c r="H1667" s="27"/>
      <c r="I1667" s="773"/>
      <c r="J1667" s="773"/>
      <c r="K1667" s="773"/>
      <c r="L1667" s="773"/>
      <c r="S1667" s="27">
        <v>44196</v>
      </c>
      <c r="T1667" s="773" t="s">
        <v>132</v>
      </c>
      <c r="U1667" s="773">
        <v>238</v>
      </c>
      <c r="V1667" s="773">
        <v>4</v>
      </c>
      <c r="W1667" s="773" t="s">
        <v>410</v>
      </c>
    </row>
    <row r="1668" spans="1:23">
      <c r="A1668" s="27">
        <v>44926</v>
      </c>
      <c r="B1668" s="773" t="s">
        <v>140</v>
      </c>
      <c r="C1668" s="773">
        <v>279</v>
      </c>
      <c r="D1668" s="773">
        <v>1</v>
      </c>
      <c r="E1668" s="773" t="s">
        <v>410</v>
      </c>
      <c r="H1668" s="27"/>
      <c r="I1668" s="773"/>
      <c r="J1668" s="773"/>
      <c r="K1668" s="773"/>
      <c r="L1668" s="773"/>
      <c r="S1668" s="27">
        <v>44196</v>
      </c>
      <c r="T1668" s="773" t="s">
        <v>132</v>
      </c>
      <c r="U1668" s="773">
        <v>654</v>
      </c>
      <c r="V1668" s="773">
        <v>2638</v>
      </c>
      <c r="W1668" s="773" t="s">
        <v>390</v>
      </c>
    </row>
    <row r="1669" spans="1:23">
      <c r="A1669" s="27">
        <v>44926</v>
      </c>
      <c r="B1669" s="773" t="s">
        <v>140</v>
      </c>
      <c r="C1669" s="773">
        <v>610</v>
      </c>
      <c r="D1669" s="773">
        <v>4</v>
      </c>
      <c r="E1669" s="773" t="s">
        <v>410</v>
      </c>
      <c r="H1669" s="27"/>
      <c r="I1669" s="773"/>
      <c r="J1669" s="773"/>
      <c r="K1669" s="773"/>
      <c r="L1669" s="773"/>
      <c r="S1669" s="27">
        <v>44196</v>
      </c>
      <c r="T1669" s="773" t="s">
        <v>132</v>
      </c>
      <c r="U1669" s="773">
        <v>641</v>
      </c>
      <c r="V1669" s="773">
        <v>2994</v>
      </c>
      <c r="W1669" s="773" t="s">
        <v>390</v>
      </c>
    </row>
    <row r="1670" spans="1:23">
      <c r="A1670" s="27">
        <v>44926</v>
      </c>
      <c r="B1670" s="773" t="s">
        <v>140</v>
      </c>
      <c r="C1670" s="773">
        <v>383</v>
      </c>
      <c r="D1670" s="773">
        <v>1</v>
      </c>
      <c r="E1670" s="773" t="s">
        <v>410</v>
      </c>
      <c r="H1670" s="27"/>
      <c r="I1670" s="773"/>
      <c r="J1670" s="773"/>
      <c r="K1670" s="773"/>
      <c r="L1670" s="773"/>
      <c r="S1670" s="27">
        <v>44561</v>
      </c>
      <c r="T1670" s="773" t="s">
        <v>132</v>
      </c>
      <c r="U1670" s="773">
        <v>669</v>
      </c>
      <c r="V1670" s="773">
        <v>2601</v>
      </c>
      <c r="W1670" s="773" t="s">
        <v>390</v>
      </c>
    </row>
    <row r="1671" spans="1:23">
      <c r="A1671" s="27">
        <v>44926</v>
      </c>
      <c r="B1671" s="773" t="s">
        <v>140</v>
      </c>
      <c r="C1671" s="773">
        <v>524</v>
      </c>
      <c r="D1671" s="773">
        <v>1099</v>
      </c>
      <c r="E1671" s="773" t="s">
        <v>390</v>
      </c>
      <c r="H1671" s="27"/>
      <c r="I1671" s="773"/>
      <c r="J1671" s="773"/>
      <c r="K1671" s="773"/>
      <c r="L1671" s="773"/>
      <c r="S1671" s="27">
        <v>44196</v>
      </c>
      <c r="T1671" s="773" t="s">
        <v>132</v>
      </c>
      <c r="U1671" s="773">
        <v>668</v>
      </c>
      <c r="V1671" s="773">
        <v>2999</v>
      </c>
      <c r="W1671" s="773" t="s">
        <v>390</v>
      </c>
    </row>
    <row r="1672" spans="1:23">
      <c r="A1672" s="27">
        <v>44926</v>
      </c>
      <c r="B1672" s="773" t="s">
        <v>140</v>
      </c>
      <c r="C1672" s="773">
        <v>594</v>
      </c>
      <c r="D1672" s="773">
        <v>2668</v>
      </c>
      <c r="E1672" s="773" t="s">
        <v>390</v>
      </c>
      <c r="H1672" s="27"/>
      <c r="I1672" s="773"/>
      <c r="J1672" s="773"/>
      <c r="K1672" s="773"/>
      <c r="L1672" s="773"/>
      <c r="S1672" s="27">
        <v>44561</v>
      </c>
      <c r="T1672" s="773" t="s">
        <v>132</v>
      </c>
      <c r="U1672" s="773">
        <v>249</v>
      </c>
      <c r="V1672" s="773">
        <v>2765</v>
      </c>
      <c r="W1672" s="773" t="s">
        <v>390</v>
      </c>
    </row>
    <row r="1673" spans="1:23">
      <c r="A1673" s="27">
        <v>44926</v>
      </c>
      <c r="B1673" s="773" t="s">
        <v>140</v>
      </c>
      <c r="C1673" s="773">
        <v>740</v>
      </c>
      <c r="D1673" s="773">
        <v>366</v>
      </c>
      <c r="E1673" s="773" t="s">
        <v>390</v>
      </c>
      <c r="H1673" s="27"/>
      <c r="I1673" s="773"/>
      <c r="J1673" s="773"/>
      <c r="K1673" s="773"/>
      <c r="L1673" s="773"/>
      <c r="S1673" s="27">
        <v>44196</v>
      </c>
      <c r="T1673" s="773" t="s">
        <v>132</v>
      </c>
      <c r="U1673" s="773">
        <v>176</v>
      </c>
      <c r="V1673" s="773">
        <v>1</v>
      </c>
      <c r="W1673" s="773" t="s">
        <v>410</v>
      </c>
    </row>
    <row r="1674" spans="1:23">
      <c r="A1674" s="27">
        <v>44926</v>
      </c>
      <c r="B1674" s="773" t="s">
        <v>140</v>
      </c>
      <c r="C1674" s="773">
        <v>601</v>
      </c>
      <c r="D1674" s="773">
        <v>3</v>
      </c>
      <c r="E1674" s="773" t="s">
        <v>410</v>
      </c>
      <c r="H1674" s="27"/>
      <c r="I1674" s="773"/>
      <c r="J1674" s="773"/>
      <c r="K1674" s="773"/>
      <c r="L1674" s="773"/>
      <c r="S1674" s="27">
        <v>44561</v>
      </c>
      <c r="T1674" s="773" t="s">
        <v>132</v>
      </c>
      <c r="U1674" s="773">
        <v>200</v>
      </c>
      <c r="V1674" s="773">
        <v>3</v>
      </c>
      <c r="W1674" s="773" t="s">
        <v>410</v>
      </c>
    </row>
    <row r="1675" spans="1:23">
      <c r="A1675" s="27">
        <v>44926</v>
      </c>
      <c r="B1675" s="773" t="s">
        <v>140</v>
      </c>
      <c r="C1675" s="773">
        <v>760</v>
      </c>
      <c r="D1675" s="773">
        <v>96</v>
      </c>
      <c r="E1675" s="773" t="s">
        <v>410</v>
      </c>
      <c r="H1675" s="27"/>
      <c r="I1675" s="773"/>
      <c r="J1675" s="773"/>
      <c r="K1675" s="773"/>
      <c r="L1675" s="773"/>
      <c r="S1675" s="27">
        <v>44561</v>
      </c>
      <c r="T1675" s="773" t="s">
        <v>132</v>
      </c>
      <c r="U1675" s="773">
        <v>294</v>
      </c>
      <c r="V1675" s="773">
        <v>65</v>
      </c>
      <c r="W1675" s="773" t="s">
        <v>410</v>
      </c>
    </row>
    <row r="1676" spans="1:23">
      <c r="A1676" s="27">
        <v>44957</v>
      </c>
      <c r="B1676" s="829" t="s">
        <v>140</v>
      </c>
      <c r="C1676" s="829">
        <v>524</v>
      </c>
      <c r="D1676" s="829">
        <v>1101</v>
      </c>
      <c r="E1676" s="829" t="s">
        <v>390</v>
      </c>
      <c r="H1676" s="27"/>
      <c r="I1676" s="773"/>
      <c r="J1676" s="773"/>
      <c r="K1676" s="773"/>
      <c r="L1676" s="773"/>
      <c r="S1676" s="27">
        <v>44561</v>
      </c>
      <c r="T1676" s="773" t="s">
        <v>132</v>
      </c>
      <c r="U1676" s="773">
        <v>159</v>
      </c>
      <c r="V1676" s="773">
        <v>20</v>
      </c>
      <c r="W1676" s="773" t="s">
        <v>410</v>
      </c>
    </row>
    <row r="1677" spans="1:23">
      <c r="A1677" s="27">
        <v>44957</v>
      </c>
      <c r="B1677" s="829" t="s">
        <v>140</v>
      </c>
      <c r="C1677" s="829">
        <v>616</v>
      </c>
      <c r="D1677" s="829">
        <v>1</v>
      </c>
      <c r="E1677" s="829" t="s">
        <v>410</v>
      </c>
      <c r="H1677" s="27"/>
      <c r="I1677" s="773"/>
      <c r="J1677" s="773"/>
      <c r="K1677" s="773"/>
      <c r="L1677" s="773"/>
      <c r="S1677" s="27">
        <v>44196</v>
      </c>
      <c r="T1677" s="773" t="s">
        <v>132</v>
      </c>
      <c r="U1677" s="773">
        <v>669</v>
      </c>
      <c r="V1677" s="773">
        <v>2414</v>
      </c>
      <c r="W1677" s="773" t="s">
        <v>390</v>
      </c>
    </row>
    <row r="1678" spans="1:23">
      <c r="A1678" s="27">
        <v>44957</v>
      </c>
      <c r="B1678" s="829" t="s">
        <v>140</v>
      </c>
      <c r="C1678" s="829">
        <v>582</v>
      </c>
      <c r="D1678" s="829">
        <v>2268</v>
      </c>
      <c r="E1678" s="829" t="s">
        <v>390</v>
      </c>
      <c r="H1678" s="27"/>
      <c r="I1678" s="773"/>
      <c r="J1678" s="773"/>
      <c r="K1678" s="773"/>
      <c r="L1678" s="773"/>
      <c r="S1678" s="27">
        <v>44196</v>
      </c>
      <c r="T1678" s="773" t="s">
        <v>132</v>
      </c>
      <c r="U1678" s="773">
        <v>188</v>
      </c>
      <c r="V1678" s="773">
        <v>508</v>
      </c>
      <c r="W1678" s="773" t="s">
        <v>390</v>
      </c>
    </row>
    <row r="1679" spans="1:23">
      <c r="A1679" s="27">
        <v>44957</v>
      </c>
      <c r="B1679" s="829" t="s">
        <v>140</v>
      </c>
      <c r="C1679" s="829">
        <v>576</v>
      </c>
      <c r="D1679" s="829">
        <v>248</v>
      </c>
      <c r="E1679" s="829" t="s">
        <v>390</v>
      </c>
      <c r="H1679" s="27"/>
      <c r="I1679" s="773"/>
      <c r="J1679" s="773"/>
      <c r="K1679" s="773"/>
      <c r="L1679" s="773"/>
      <c r="S1679" s="27">
        <v>44561</v>
      </c>
      <c r="T1679" s="773" t="s">
        <v>132</v>
      </c>
      <c r="U1679" s="773">
        <v>238</v>
      </c>
      <c r="V1679" s="773">
        <v>5</v>
      </c>
      <c r="W1679" s="773" t="s">
        <v>410</v>
      </c>
    </row>
    <row r="1680" spans="1:23">
      <c r="A1680" s="27">
        <v>44957</v>
      </c>
      <c r="B1680" s="829" t="s">
        <v>140</v>
      </c>
      <c r="C1680" s="829">
        <v>639</v>
      </c>
      <c r="D1680" s="829">
        <v>142</v>
      </c>
      <c r="E1680" s="829" t="s">
        <v>390</v>
      </c>
      <c r="H1680" s="27"/>
      <c r="I1680" s="773"/>
      <c r="J1680" s="773"/>
      <c r="K1680" s="773"/>
      <c r="L1680" s="773"/>
      <c r="S1680" s="27">
        <v>44561</v>
      </c>
      <c r="T1680" s="773" t="s">
        <v>132</v>
      </c>
      <c r="U1680" s="773">
        <v>654</v>
      </c>
      <c r="V1680" s="773">
        <v>2355</v>
      </c>
      <c r="W1680" s="773" t="s">
        <v>390</v>
      </c>
    </row>
    <row r="1681" spans="1:23">
      <c r="A1681" s="27">
        <v>44957</v>
      </c>
      <c r="B1681" s="829" t="s">
        <v>140</v>
      </c>
      <c r="C1681" s="829">
        <v>610</v>
      </c>
      <c r="D1681" s="829">
        <v>4</v>
      </c>
      <c r="E1681" s="829" t="s">
        <v>410</v>
      </c>
      <c r="H1681" s="27"/>
      <c r="I1681" s="773"/>
      <c r="J1681" s="773"/>
      <c r="K1681" s="773"/>
      <c r="L1681" s="773"/>
      <c r="S1681" s="27">
        <v>44561</v>
      </c>
      <c r="T1681" s="773" t="s">
        <v>132</v>
      </c>
      <c r="U1681" s="773">
        <v>670</v>
      </c>
      <c r="V1681" s="773">
        <v>3852</v>
      </c>
      <c r="W1681" s="773" t="s">
        <v>390</v>
      </c>
    </row>
    <row r="1682" spans="1:23">
      <c r="A1682" s="27">
        <v>44957</v>
      </c>
      <c r="B1682" s="829" t="s">
        <v>140</v>
      </c>
      <c r="C1682" s="829">
        <v>594</v>
      </c>
      <c r="D1682" s="829">
        <v>2705</v>
      </c>
      <c r="E1682" s="829" t="s">
        <v>390</v>
      </c>
      <c r="H1682" s="27"/>
      <c r="I1682" s="773"/>
      <c r="J1682" s="773"/>
      <c r="K1682" s="773"/>
      <c r="L1682" s="773"/>
      <c r="S1682" s="27">
        <v>44196</v>
      </c>
      <c r="T1682" s="773" t="s">
        <v>132</v>
      </c>
      <c r="U1682" s="773">
        <v>266</v>
      </c>
      <c r="V1682" s="773">
        <v>2226</v>
      </c>
      <c r="W1682" s="773" t="s">
        <v>390</v>
      </c>
    </row>
    <row r="1683" spans="1:23">
      <c r="A1683" s="27">
        <v>44957</v>
      </c>
      <c r="B1683" s="829" t="s">
        <v>140</v>
      </c>
      <c r="C1683" s="829">
        <v>527</v>
      </c>
      <c r="D1683" s="829">
        <v>2</v>
      </c>
      <c r="E1683" s="829" t="s">
        <v>410</v>
      </c>
      <c r="H1683" s="27"/>
      <c r="I1683" s="773"/>
      <c r="J1683" s="773"/>
      <c r="K1683" s="773"/>
      <c r="L1683" s="773"/>
      <c r="S1683" s="27">
        <v>44196</v>
      </c>
      <c r="T1683" s="773" t="s">
        <v>132</v>
      </c>
      <c r="U1683" s="773">
        <v>651</v>
      </c>
      <c r="V1683" s="773">
        <v>314</v>
      </c>
      <c r="W1683" s="773" t="s">
        <v>390</v>
      </c>
    </row>
    <row r="1684" spans="1:23">
      <c r="A1684" s="27">
        <v>44957</v>
      </c>
      <c r="B1684" s="829" t="s">
        <v>140</v>
      </c>
      <c r="C1684" s="829">
        <v>746</v>
      </c>
      <c r="D1684" s="829">
        <v>2041</v>
      </c>
      <c r="E1684" s="829" t="s">
        <v>390</v>
      </c>
      <c r="S1684" s="27">
        <v>44196</v>
      </c>
      <c r="T1684" s="773" t="s">
        <v>132</v>
      </c>
      <c r="U1684" s="773">
        <v>294</v>
      </c>
      <c r="V1684" s="773">
        <v>10</v>
      </c>
      <c r="W1684" s="773" t="s">
        <v>410</v>
      </c>
    </row>
    <row r="1685" spans="1:23">
      <c r="A1685" s="27">
        <v>44957</v>
      </c>
      <c r="B1685" s="829" t="s">
        <v>140</v>
      </c>
      <c r="C1685" s="829">
        <v>478</v>
      </c>
      <c r="D1685" s="829">
        <v>1</v>
      </c>
      <c r="E1685" s="829" t="s">
        <v>410</v>
      </c>
      <c r="S1685" s="27">
        <v>44196</v>
      </c>
      <c r="T1685" s="773" t="s">
        <v>132</v>
      </c>
      <c r="U1685" s="773">
        <v>315</v>
      </c>
      <c r="V1685" s="773">
        <v>17</v>
      </c>
      <c r="W1685" s="773" t="s">
        <v>410</v>
      </c>
    </row>
    <row r="1686" spans="1:23">
      <c r="A1686" s="27">
        <v>44957</v>
      </c>
      <c r="B1686" s="829" t="s">
        <v>140</v>
      </c>
      <c r="C1686" s="829">
        <v>740</v>
      </c>
      <c r="D1686" s="829">
        <v>364</v>
      </c>
      <c r="E1686" s="829" t="s">
        <v>390</v>
      </c>
      <c r="S1686" s="27">
        <v>44196</v>
      </c>
      <c r="T1686" s="773" t="s">
        <v>132</v>
      </c>
      <c r="U1686" s="773">
        <v>150</v>
      </c>
      <c r="V1686" s="773">
        <v>753</v>
      </c>
      <c r="W1686" s="773" t="s">
        <v>390</v>
      </c>
    </row>
    <row r="1687" spans="1:23">
      <c r="A1687" s="27">
        <v>44957</v>
      </c>
      <c r="B1687" s="829" t="s">
        <v>140</v>
      </c>
      <c r="C1687" s="829">
        <v>493</v>
      </c>
      <c r="D1687" s="829">
        <v>5</v>
      </c>
      <c r="E1687" s="829" t="s">
        <v>410</v>
      </c>
      <c r="S1687" s="27">
        <v>44561</v>
      </c>
      <c r="T1687" s="773" t="s">
        <v>132</v>
      </c>
      <c r="U1687" s="773">
        <v>0</v>
      </c>
      <c r="V1687" s="773">
        <v>38</v>
      </c>
      <c r="W1687" s="773" t="s">
        <v>410</v>
      </c>
    </row>
    <row r="1688" spans="1:23">
      <c r="A1688" s="27">
        <v>44957</v>
      </c>
      <c r="B1688" s="829" t="s">
        <v>140</v>
      </c>
      <c r="C1688" s="829">
        <v>708</v>
      </c>
      <c r="D1688" s="829">
        <v>3001</v>
      </c>
      <c r="E1688" s="829" t="s">
        <v>390</v>
      </c>
      <c r="S1688" s="27">
        <v>44196</v>
      </c>
      <c r="T1688" s="773" t="s">
        <v>132</v>
      </c>
      <c r="U1688" s="773">
        <v>699</v>
      </c>
      <c r="V1688" s="773">
        <v>2151</v>
      </c>
      <c r="W1688" s="773" t="s">
        <v>390</v>
      </c>
    </row>
    <row r="1689" spans="1:23">
      <c r="A1689" s="27">
        <v>44957</v>
      </c>
      <c r="B1689" s="829" t="s">
        <v>140</v>
      </c>
      <c r="C1689" s="829">
        <v>510</v>
      </c>
      <c r="D1689" s="829">
        <v>1019</v>
      </c>
      <c r="E1689" s="829" t="s">
        <v>390</v>
      </c>
      <c r="S1689" s="27">
        <v>44196</v>
      </c>
      <c r="T1689" s="773" t="s">
        <v>132</v>
      </c>
      <c r="U1689" s="773">
        <v>251</v>
      </c>
      <c r="V1689" s="773">
        <v>2505</v>
      </c>
      <c r="W1689" s="773" t="s">
        <v>390</v>
      </c>
    </row>
    <row r="1690" spans="1:23">
      <c r="A1690" s="27">
        <v>44957</v>
      </c>
      <c r="B1690" s="829" t="s">
        <v>140</v>
      </c>
      <c r="C1690" s="829">
        <v>558</v>
      </c>
      <c r="D1690" s="829">
        <v>1274</v>
      </c>
      <c r="E1690" s="829" t="s">
        <v>390</v>
      </c>
      <c r="S1690" s="27">
        <v>44196</v>
      </c>
      <c r="T1690" s="773" t="s">
        <v>132</v>
      </c>
      <c r="U1690" s="773">
        <v>181</v>
      </c>
      <c r="V1690" s="773">
        <v>1</v>
      </c>
      <c r="W1690" s="773" t="s">
        <v>410</v>
      </c>
    </row>
    <row r="1691" spans="1:23">
      <c r="A1691" s="27">
        <v>44957</v>
      </c>
      <c r="B1691" s="829" t="s">
        <v>140</v>
      </c>
      <c r="C1691" s="829">
        <v>0</v>
      </c>
      <c r="D1691" s="829">
        <v>7</v>
      </c>
      <c r="E1691" s="829" t="s">
        <v>410</v>
      </c>
      <c r="S1691" s="27">
        <v>44561</v>
      </c>
      <c r="T1691" s="773" t="s">
        <v>132</v>
      </c>
      <c r="U1691" s="773">
        <v>188</v>
      </c>
      <c r="V1691" s="773">
        <v>595</v>
      </c>
      <c r="W1691" s="773" t="s">
        <v>390</v>
      </c>
    </row>
    <row r="1692" spans="1:23">
      <c r="A1692" s="27">
        <v>44957</v>
      </c>
      <c r="B1692" s="829" t="s">
        <v>140</v>
      </c>
      <c r="C1692" s="829">
        <v>640</v>
      </c>
      <c r="D1692" s="829">
        <v>3003</v>
      </c>
      <c r="E1692" s="829" t="s">
        <v>390</v>
      </c>
      <c r="S1692" s="27">
        <v>44561</v>
      </c>
      <c r="T1692" s="773" t="s">
        <v>132</v>
      </c>
      <c r="U1692" s="773">
        <v>672</v>
      </c>
      <c r="V1692" s="773">
        <v>2363</v>
      </c>
      <c r="W1692" s="773" t="s">
        <v>390</v>
      </c>
    </row>
    <row r="1693" spans="1:23">
      <c r="A1693" s="27">
        <v>44957</v>
      </c>
      <c r="B1693" s="829" t="s">
        <v>140</v>
      </c>
      <c r="C1693" s="829">
        <v>585</v>
      </c>
      <c r="D1693" s="829">
        <v>5168</v>
      </c>
      <c r="E1693" s="829" t="s">
        <v>390</v>
      </c>
      <c r="S1693" s="27">
        <v>44196</v>
      </c>
      <c r="T1693" s="773" t="s">
        <v>132</v>
      </c>
      <c r="U1693" s="773">
        <v>139</v>
      </c>
      <c r="V1693" s="773">
        <v>2656</v>
      </c>
      <c r="W1693" s="773" t="s">
        <v>390</v>
      </c>
    </row>
    <row r="1694" spans="1:23">
      <c r="A1694" s="27">
        <v>44957</v>
      </c>
      <c r="B1694" s="829" t="s">
        <v>140</v>
      </c>
      <c r="C1694" s="829">
        <v>574</v>
      </c>
      <c r="D1694" s="829">
        <v>2495</v>
      </c>
      <c r="E1694" s="829" t="s">
        <v>390</v>
      </c>
      <c r="S1694" s="27">
        <v>44196</v>
      </c>
      <c r="T1694" s="773" t="s">
        <v>132</v>
      </c>
      <c r="U1694" s="773">
        <v>46</v>
      </c>
      <c r="V1694" s="773">
        <v>2697</v>
      </c>
      <c r="W1694" s="773" t="s">
        <v>390</v>
      </c>
    </row>
    <row r="1695" spans="1:23">
      <c r="A1695" s="27">
        <v>44957</v>
      </c>
      <c r="B1695" s="829" t="s">
        <v>140</v>
      </c>
      <c r="C1695" s="829">
        <v>556</v>
      </c>
      <c r="D1695" s="829">
        <v>2639</v>
      </c>
      <c r="E1695" s="829" t="s">
        <v>390</v>
      </c>
      <c r="S1695" s="27">
        <v>44561</v>
      </c>
      <c r="T1695" s="773" t="s">
        <v>132</v>
      </c>
      <c r="U1695" s="773">
        <v>176</v>
      </c>
      <c r="V1695" s="773">
        <v>1</v>
      </c>
      <c r="W1695" s="773" t="s">
        <v>410</v>
      </c>
    </row>
    <row r="1696" spans="1:23">
      <c r="A1696" s="27">
        <v>44957</v>
      </c>
      <c r="B1696" s="829" t="s">
        <v>140</v>
      </c>
      <c r="C1696" s="829">
        <v>628</v>
      </c>
      <c r="D1696" s="829">
        <v>1729</v>
      </c>
      <c r="E1696" s="829" t="s">
        <v>390</v>
      </c>
      <c r="S1696" s="27">
        <v>44561</v>
      </c>
      <c r="T1696" s="773" t="s">
        <v>132</v>
      </c>
      <c r="U1696" s="773">
        <v>303</v>
      </c>
      <c r="V1696" s="773">
        <v>2526</v>
      </c>
      <c r="W1696" s="773" t="s">
        <v>390</v>
      </c>
    </row>
    <row r="1697" spans="1:23">
      <c r="A1697" s="27">
        <v>44957</v>
      </c>
      <c r="B1697" s="829" t="s">
        <v>140</v>
      </c>
      <c r="C1697" s="829">
        <v>449</v>
      </c>
      <c r="D1697" s="829">
        <v>1817</v>
      </c>
      <c r="E1697" s="829" t="s">
        <v>390</v>
      </c>
      <c r="S1697" s="27">
        <v>44196</v>
      </c>
      <c r="T1697" s="773" t="s">
        <v>132</v>
      </c>
      <c r="U1697" s="773">
        <v>173</v>
      </c>
      <c r="V1697" s="773">
        <v>1</v>
      </c>
      <c r="W1697" s="773" t="s">
        <v>410</v>
      </c>
    </row>
    <row r="1698" spans="1:23">
      <c r="A1698" s="27">
        <v>44957</v>
      </c>
      <c r="B1698" s="829" t="s">
        <v>140</v>
      </c>
      <c r="C1698" s="829">
        <v>601</v>
      </c>
      <c r="D1698" s="829">
        <v>3</v>
      </c>
      <c r="E1698" s="829" t="s">
        <v>410</v>
      </c>
      <c r="S1698" s="27">
        <v>44561</v>
      </c>
      <c r="T1698" s="773" t="s">
        <v>132</v>
      </c>
      <c r="U1698" s="773">
        <v>306</v>
      </c>
      <c r="V1698" s="773">
        <v>2267</v>
      </c>
      <c r="W1698" s="773" t="s">
        <v>390</v>
      </c>
    </row>
    <row r="1699" spans="1:23">
      <c r="A1699" s="27">
        <v>44957</v>
      </c>
      <c r="B1699" s="829" t="s">
        <v>140</v>
      </c>
      <c r="C1699" s="829">
        <v>346</v>
      </c>
      <c r="D1699" s="829">
        <v>3</v>
      </c>
      <c r="E1699" s="829" t="s">
        <v>410</v>
      </c>
      <c r="S1699" s="27">
        <v>44561</v>
      </c>
      <c r="T1699" s="773" t="s">
        <v>132</v>
      </c>
      <c r="U1699" s="773">
        <v>651</v>
      </c>
      <c r="V1699" s="773">
        <v>177</v>
      </c>
      <c r="W1699" s="773" t="s">
        <v>390</v>
      </c>
    </row>
    <row r="1700" spans="1:23">
      <c r="A1700" s="27">
        <v>44957</v>
      </c>
      <c r="B1700" s="829" t="s">
        <v>140</v>
      </c>
      <c r="C1700" s="829">
        <v>650</v>
      </c>
      <c r="D1700" s="829">
        <v>2413</v>
      </c>
      <c r="E1700" s="829" t="s">
        <v>390</v>
      </c>
      <c r="S1700" s="27">
        <v>44196</v>
      </c>
      <c r="T1700" s="773" t="s">
        <v>132</v>
      </c>
      <c r="U1700" s="773">
        <v>43</v>
      </c>
      <c r="V1700" s="773">
        <v>3026</v>
      </c>
      <c r="W1700" s="773" t="s">
        <v>390</v>
      </c>
    </row>
    <row r="1701" spans="1:23">
      <c r="A1701" s="27">
        <v>44957</v>
      </c>
      <c r="B1701" s="829" t="s">
        <v>140</v>
      </c>
      <c r="C1701" s="829">
        <v>760</v>
      </c>
      <c r="D1701" s="829">
        <v>96</v>
      </c>
      <c r="E1701" s="829" t="s">
        <v>410</v>
      </c>
      <c r="S1701" s="27">
        <v>44561</v>
      </c>
      <c r="T1701" s="773" t="s">
        <v>132</v>
      </c>
      <c r="U1701" s="773">
        <v>120</v>
      </c>
      <c r="V1701" s="773">
        <v>2</v>
      </c>
      <c r="W1701" s="773" t="s">
        <v>410</v>
      </c>
    </row>
    <row r="1702" spans="1:23">
      <c r="A1702" s="27">
        <v>44957</v>
      </c>
      <c r="B1702" s="829" t="s">
        <v>140</v>
      </c>
      <c r="C1702" s="829">
        <v>383</v>
      </c>
      <c r="D1702" s="829">
        <v>2</v>
      </c>
      <c r="E1702" s="829" t="s">
        <v>410</v>
      </c>
      <c r="S1702" s="27">
        <v>44561</v>
      </c>
      <c r="T1702" s="773" t="s">
        <v>132</v>
      </c>
      <c r="U1702" s="773">
        <v>236</v>
      </c>
      <c r="V1702" s="773">
        <v>1</v>
      </c>
      <c r="W1702" s="773" t="s">
        <v>410</v>
      </c>
    </row>
    <row r="1703" spans="1:23">
      <c r="A1703" s="27">
        <v>44957</v>
      </c>
      <c r="B1703" s="829" t="s">
        <v>140</v>
      </c>
      <c r="C1703" s="829">
        <v>379</v>
      </c>
      <c r="D1703" s="829">
        <v>1</v>
      </c>
      <c r="E1703" s="829" t="s">
        <v>410</v>
      </c>
      <c r="S1703" s="27">
        <v>44561</v>
      </c>
      <c r="T1703" s="773" t="s">
        <v>132</v>
      </c>
      <c r="U1703" s="773">
        <v>181</v>
      </c>
      <c r="V1703" s="773">
        <v>1</v>
      </c>
      <c r="W1703" s="773" t="s">
        <v>410</v>
      </c>
    </row>
    <row r="1704" spans="1:23">
      <c r="A1704" s="27">
        <v>44957</v>
      </c>
      <c r="B1704" s="829" t="s">
        <v>140</v>
      </c>
      <c r="C1704" s="829">
        <v>626</v>
      </c>
      <c r="D1704" s="829">
        <v>3200</v>
      </c>
      <c r="E1704" s="829" t="s">
        <v>390</v>
      </c>
      <c r="S1704" s="27">
        <v>44561</v>
      </c>
      <c r="T1704" s="773" t="s">
        <v>132</v>
      </c>
      <c r="U1704" s="773">
        <v>97</v>
      </c>
      <c r="V1704" s="773">
        <v>2</v>
      </c>
      <c r="W1704" s="773" t="s">
        <v>410</v>
      </c>
    </row>
    <row r="1705" spans="1:23">
      <c r="A1705" s="27">
        <v>44957</v>
      </c>
      <c r="B1705" s="829" t="s">
        <v>140</v>
      </c>
      <c r="C1705" s="829">
        <v>370</v>
      </c>
      <c r="D1705" s="829">
        <v>2</v>
      </c>
      <c r="E1705" s="829" t="s">
        <v>410</v>
      </c>
      <c r="S1705" s="27">
        <v>44561</v>
      </c>
      <c r="T1705" s="773" t="s">
        <v>132</v>
      </c>
      <c r="U1705" s="773">
        <v>684</v>
      </c>
      <c r="V1705" s="773">
        <v>2627</v>
      </c>
      <c r="W1705" s="773" t="s">
        <v>390</v>
      </c>
    </row>
    <row r="1706" spans="1:23">
      <c r="A1706" s="27">
        <v>44957</v>
      </c>
      <c r="B1706" s="829" t="s">
        <v>140</v>
      </c>
      <c r="C1706" s="829">
        <v>359</v>
      </c>
      <c r="D1706" s="829">
        <v>860</v>
      </c>
      <c r="E1706" s="829" t="s">
        <v>390</v>
      </c>
      <c r="S1706" s="27">
        <v>44227</v>
      </c>
      <c r="T1706" s="773" t="s">
        <v>132</v>
      </c>
      <c r="U1706" s="773">
        <v>672</v>
      </c>
      <c r="V1706" s="773">
        <v>2117</v>
      </c>
      <c r="W1706" s="773" t="s">
        <v>390</v>
      </c>
    </row>
    <row r="1707" spans="1:23">
      <c r="A1707" s="27">
        <v>44957</v>
      </c>
      <c r="B1707" s="829" t="s">
        <v>140</v>
      </c>
      <c r="C1707" s="829">
        <v>597</v>
      </c>
      <c r="D1707" s="829">
        <v>1315</v>
      </c>
      <c r="E1707" s="829" t="s">
        <v>390</v>
      </c>
      <c r="S1707" s="27">
        <v>44227</v>
      </c>
      <c r="T1707" s="773" t="s">
        <v>132</v>
      </c>
      <c r="U1707" s="773">
        <v>141</v>
      </c>
      <c r="V1707" s="773">
        <v>2314</v>
      </c>
      <c r="W1707" s="773" t="s">
        <v>390</v>
      </c>
    </row>
    <row r="1708" spans="1:23">
      <c r="A1708" s="27">
        <v>44957</v>
      </c>
      <c r="B1708" s="829" t="s">
        <v>140</v>
      </c>
      <c r="C1708" s="829">
        <v>548</v>
      </c>
      <c r="D1708" s="829">
        <v>970</v>
      </c>
      <c r="E1708" s="829" t="s">
        <v>390</v>
      </c>
      <c r="S1708" s="27">
        <v>44592</v>
      </c>
      <c r="T1708" s="773" t="s">
        <v>132</v>
      </c>
      <c r="U1708" s="773">
        <v>641</v>
      </c>
      <c r="V1708" s="773">
        <v>2491</v>
      </c>
      <c r="W1708" s="773" t="s">
        <v>390</v>
      </c>
    </row>
    <row r="1709" spans="1:23">
      <c r="A1709" s="27">
        <v>44957</v>
      </c>
      <c r="B1709" s="829" t="s">
        <v>140</v>
      </c>
      <c r="C1709" s="829">
        <v>732</v>
      </c>
      <c r="D1709" s="829">
        <v>3</v>
      </c>
      <c r="E1709" s="829" t="s">
        <v>410</v>
      </c>
      <c r="S1709" s="27">
        <v>44592</v>
      </c>
      <c r="T1709" s="773" t="s">
        <v>132</v>
      </c>
      <c r="U1709" s="773">
        <v>231</v>
      </c>
      <c r="V1709" s="773">
        <v>5</v>
      </c>
      <c r="W1709" s="773" t="s">
        <v>410</v>
      </c>
    </row>
    <row r="1710" spans="1:23">
      <c r="A1710" s="27">
        <v>44957</v>
      </c>
      <c r="B1710" s="829" t="s">
        <v>140</v>
      </c>
      <c r="C1710" s="829">
        <v>774</v>
      </c>
      <c r="D1710" s="829">
        <v>2283</v>
      </c>
      <c r="E1710" s="829" t="s">
        <v>390</v>
      </c>
      <c r="S1710" s="27">
        <v>44227</v>
      </c>
      <c r="T1710" s="773" t="s">
        <v>132</v>
      </c>
      <c r="U1710" s="773">
        <v>254</v>
      </c>
      <c r="V1710" s="773">
        <v>9</v>
      </c>
      <c r="W1710" s="773" t="s">
        <v>410</v>
      </c>
    </row>
    <row r="1711" spans="1:23">
      <c r="A1711" s="27">
        <v>44957</v>
      </c>
      <c r="B1711" s="829" t="s">
        <v>140</v>
      </c>
      <c r="C1711" s="829">
        <v>279</v>
      </c>
      <c r="D1711" s="829">
        <v>1</v>
      </c>
      <c r="E1711" s="829" t="s">
        <v>410</v>
      </c>
      <c r="S1711" s="27">
        <v>44592</v>
      </c>
      <c r="T1711" s="773" t="s">
        <v>132</v>
      </c>
      <c r="U1711" s="773">
        <v>35</v>
      </c>
      <c r="V1711" s="773">
        <v>889</v>
      </c>
      <c r="W1711" s="773" t="s">
        <v>390</v>
      </c>
    </row>
    <row r="1712" spans="1:23">
      <c r="A1712" s="27">
        <v>44957</v>
      </c>
      <c r="B1712" s="829" t="s">
        <v>140</v>
      </c>
      <c r="C1712" s="829">
        <v>485</v>
      </c>
      <c r="D1712" s="829">
        <v>1307</v>
      </c>
      <c r="E1712" s="829" t="s">
        <v>390</v>
      </c>
      <c r="S1712" s="27">
        <v>44227</v>
      </c>
      <c r="T1712" s="773" t="s">
        <v>132</v>
      </c>
      <c r="U1712" s="773">
        <v>58</v>
      </c>
      <c r="V1712" s="773">
        <v>3</v>
      </c>
      <c r="W1712" s="773" t="s">
        <v>410</v>
      </c>
    </row>
    <row r="1713" spans="1:23">
      <c r="A1713" s="27">
        <v>44957</v>
      </c>
      <c r="B1713" s="829" t="s">
        <v>140</v>
      </c>
      <c r="C1713" s="829">
        <v>691</v>
      </c>
      <c r="D1713" s="829">
        <v>160</v>
      </c>
      <c r="E1713" s="829" t="s">
        <v>390</v>
      </c>
      <c r="S1713" s="27">
        <v>44592</v>
      </c>
      <c r="T1713" s="773" t="s">
        <v>132</v>
      </c>
      <c r="U1713" s="773">
        <v>176</v>
      </c>
      <c r="V1713" s="773">
        <v>1</v>
      </c>
      <c r="W1713" s="773" t="s">
        <v>410</v>
      </c>
    </row>
    <row r="1714" spans="1:23">
      <c r="A1714" s="27">
        <v>44957</v>
      </c>
      <c r="B1714" s="829" t="s">
        <v>140</v>
      </c>
      <c r="C1714" s="829">
        <v>525</v>
      </c>
      <c r="D1714" s="829">
        <v>1</v>
      </c>
      <c r="E1714" s="829" t="s">
        <v>410</v>
      </c>
      <c r="S1714" s="27">
        <v>44227</v>
      </c>
      <c r="T1714" s="773" t="s">
        <v>132</v>
      </c>
      <c r="U1714" s="773">
        <v>243</v>
      </c>
      <c r="V1714" s="773">
        <v>631</v>
      </c>
      <c r="W1714" s="773" t="s">
        <v>390</v>
      </c>
    </row>
    <row r="1715" spans="1:23">
      <c r="A1715" s="27">
        <v>44957</v>
      </c>
      <c r="B1715" s="829" t="s">
        <v>140</v>
      </c>
      <c r="C1715" s="829">
        <v>630</v>
      </c>
      <c r="D1715" s="829">
        <v>1</v>
      </c>
      <c r="E1715" s="829" t="s">
        <v>410</v>
      </c>
      <c r="S1715" s="27">
        <v>44227</v>
      </c>
      <c r="T1715" s="773" t="s">
        <v>132</v>
      </c>
      <c r="U1715" s="773">
        <v>295</v>
      </c>
      <c r="V1715" s="773">
        <v>3</v>
      </c>
      <c r="W1715" s="773" t="s">
        <v>410</v>
      </c>
    </row>
    <row r="1716" spans="1:23">
      <c r="A1716" s="27">
        <v>44957</v>
      </c>
      <c r="B1716" s="829" t="s">
        <v>140</v>
      </c>
      <c r="C1716" s="829">
        <v>387</v>
      </c>
      <c r="D1716" s="829">
        <v>8</v>
      </c>
      <c r="E1716" s="829" t="s">
        <v>410</v>
      </c>
      <c r="S1716" s="27">
        <v>44592</v>
      </c>
      <c r="T1716" s="773" t="s">
        <v>132</v>
      </c>
      <c r="U1716" s="773">
        <v>60</v>
      </c>
      <c r="V1716" s="773">
        <v>1</v>
      </c>
      <c r="W1716" s="773" t="s">
        <v>410</v>
      </c>
    </row>
    <row r="1717" spans="1:23">
      <c r="A1717" s="27">
        <v>44957</v>
      </c>
      <c r="B1717" s="829" t="s">
        <v>140</v>
      </c>
      <c r="C1717" s="829">
        <v>758</v>
      </c>
      <c r="D1717" s="829">
        <v>1</v>
      </c>
      <c r="E1717" s="829" t="s">
        <v>410</v>
      </c>
      <c r="S1717" s="27">
        <v>44592</v>
      </c>
      <c r="T1717" s="773" t="s">
        <v>132</v>
      </c>
      <c r="U1717" s="773">
        <v>293</v>
      </c>
      <c r="V1717" s="773">
        <v>499</v>
      </c>
      <c r="W1717" s="773" t="s">
        <v>390</v>
      </c>
    </row>
    <row r="1718" spans="1:23">
      <c r="A1718" s="27">
        <v>44957</v>
      </c>
      <c r="B1718" s="829" t="s">
        <v>140</v>
      </c>
      <c r="C1718" s="829">
        <v>648</v>
      </c>
      <c r="D1718" s="829">
        <v>1448</v>
      </c>
      <c r="E1718" s="829" t="s">
        <v>390</v>
      </c>
      <c r="S1718" s="27">
        <v>44592</v>
      </c>
      <c r="T1718" s="773" t="s">
        <v>132</v>
      </c>
      <c r="U1718" s="773">
        <v>70</v>
      </c>
      <c r="V1718" s="773">
        <v>237</v>
      </c>
      <c r="W1718" s="773" t="s">
        <v>390</v>
      </c>
    </row>
    <row r="1719" spans="1:23">
      <c r="A1719" s="27">
        <v>44957</v>
      </c>
      <c r="B1719" s="829" t="s">
        <v>140</v>
      </c>
      <c r="C1719" s="829">
        <v>659</v>
      </c>
      <c r="D1719" s="829">
        <v>926</v>
      </c>
      <c r="E1719" s="829" t="s">
        <v>390</v>
      </c>
      <c r="S1719" s="27">
        <v>44227</v>
      </c>
      <c r="T1719" s="773" t="s">
        <v>132</v>
      </c>
      <c r="U1719" s="773">
        <v>528</v>
      </c>
      <c r="V1719" s="773">
        <v>300</v>
      </c>
      <c r="W1719" s="773" t="s">
        <v>390</v>
      </c>
    </row>
    <row r="1720" spans="1:23">
      <c r="A1720" s="27">
        <v>44957</v>
      </c>
      <c r="B1720" s="829" t="s">
        <v>140</v>
      </c>
      <c r="C1720" s="829">
        <v>530</v>
      </c>
      <c r="D1720" s="829">
        <v>1</v>
      </c>
      <c r="E1720" s="829" t="s">
        <v>410</v>
      </c>
      <c r="S1720" s="27">
        <v>44227</v>
      </c>
      <c r="T1720" s="773" t="s">
        <v>132</v>
      </c>
      <c r="U1720" s="773">
        <v>182</v>
      </c>
      <c r="V1720" s="773">
        <v>957</v>
      </c>
      <c r="W1720" s="773" t="s">
        <v>390</v>
      </c>
    </row>
    <row r="1721" spans="1:23">
      <c r="A1721" s="27">
        <v>44957</v>
      </c>
      <c r="B1721" s="829" t="s">
        <v>140</v>
      </c>
      <c r="C1721" s="829">
        <v>678</v>
      </c>
      <c r="D1721" s="829">
        <v>1</v>
      </c>
      <c r="E1721" s="829" t="s">
        <v>410</v>
      </c>
      <c r="S1721" s="27">
        <v>44592</v>
      </c>
      <c r="T1721" s="773" t="s">
        <v>132</v>
      </c>
      <c r="U1721" s="773">
        <v>191</v>
      </c>
      <c r="V1721" s="773">
        <v>1314</v>
      </c>
      <c r="W1721" s="773" t="s">
        <v>390</v>
      </c>
    </row>
    <row r="1722" spans="1:23">
      <c r="A1722" s="27">
        <v>44957</v>
      </c>
      <c r="B1722" s="829" t="s">
        <v>140</v>
      </c>
      <c r="C1722" s="829">
        <v>248</v>
      </c>
      <c r="D1722" s="829">
        <v>245</v>
      </c>
      <c r="E1722" s="829" t="s">
        <v>390</v>
      </c>
      <c r="S1722" s="27">
        <v>44227</v>
      </c>
      <c r="T1722" s="773" t="s">
        <v>132</v>
      </c>
      <c r="U1722" s="773">
        <v>621</v>
      </c>
      <c r="V1722" s="773">
        <v>2417</v>
      </c>
      <c r="W1722" s="773" t="s">
        <v>390</v>
      </c>
    </row>
    <row r="1723" spans="1:23">
      <c r="A1723" s="27">
        <v>44957</v>
      </c>
      <c r="B1723" s="829" t="s">
        <v>140</v>
      </c>
      <c r="C1723" s="829">
        <v>722</v>
      </c>
      <c r="D1723" s="829">
        <v>1911</v>
      </c>
      <c r="E1723" s="829" t="s">
        <v>390</v>
      </c>
      <c r="S1723" s="27">
        <v>44592</v>
      </c>
      <c r="T1723" s="773" t="s">
        <v>132</v>
      </c>
      <c r="U1723" s="773">
        <v>76</v>
      </c>
      <c r="V1723" s="773">
        <v>2978</v>
      </c>
      <c r="W1723" s="773" t="s">
        <v>390</v>
      </c>
    </row>
    <row r="1724" spans="1:23">
      <c r="A1724" s="27">
        <v>44957</v>
      </c>
      <c r="B1724" s="829" t="s">
        <v>140</v>
      </c>
      <c r="C1724" s="829">
        <v>742</v>
      </c>
      <c r="D1724" s="829">
        <v>1</v>
      </c>
      <c r="E1724" s="829" t="s">
        <v>410</v>
      </c>
      <c r="S1724" s="27">
        <v>44227</v>
      </c>
      <c r="T1724" s="773" t="s">
        <v>132</v>
      </c>
      <c r="U1724" s="773">
        <v>213</v>
      </c>
      <c r="V1724" s="773">
        <v>2835</v>
      </c>
      <c r="W1724" s="773" t="s">
        <v>390</v>
      </c>
    </row>
    <row r="1725" spans="1:23">
      <c r="A1725" s="27">
        <v>44957</v>
      </c>
      <c r="B1725" s="829" t="s">
        <v>140</v>
      </c>
      <c r="C1725" s="829">
        <v>469</v>
      </c>
      <c r="D1725" s="829">
        <v>14</v>
      </c>
      <c r="E1725" s="829" t="s">
        <v>410</v>
      </c>
      <c r="S1725" s="27">
        <v>44592</v>
      </c>
      <c r="T1725" s="773" t="s">
        <v>132</v>
      </c>
      <c r="U1725" s="773">
        <v>79</v>
      </c>
      <c r="V1725" s="773">
        <v>13</v>
      </c>
      <c r="W1725" s="773" t="s">
        <v>410</v>
      </c>
    </row>
    <row r="1726" spans="1:23">
      <c r="A1726" s="27">
        <v>44957</v>
      </c>
      <c r="B1726" s="829" t="s">
        <v>140</v>
      </c>
      <c r="C1726" s="829">
        <v>338</v>
      </c>
      <c r="D1726" s="829">
        <v>2465</v>
      </c>
      <c r="E1726" s="829" t="s">
        <v>390</v>
      </c>
      <c r="S1726" s="27">
        <v>44592</v>
      </c>
      <c r="T1726" s="773" t="s">
        <v>132</v>
      </c>
      <c r="U1726" s="773">
        <v>141</v>
      </c>
      <c r="V1726" s="773">
        <v>10</v>
      </c>
      <c r="W1726" s="773" t="s">
        <v>410</v>
      </c>
    </row>
    <row r="1727" spans="1:23">
      <c r="A1727" s="27">
        <v>44957</v>
      </c>
      <c r="B1727" s="829" t="s">
        <v>140</v>
      </c>
      <c r="C1727" s="829">
        <v>555</v>
      </c>
      <c r="D1727" s="829">
        <v>1654</v>
      </c>
      <c r="E1727" s="829" t="s">
        <v>390</v>
      </c>
      <c r="S1727" s="27">
        <v>44592</v>
      </c>
      <c r="T1727" s="773" t="s">
        <v>132</v>
      </c>
      <c r="U1727" s="773">
        <v>169</v>
      </c>
      <c r="V1727" s="773">
        <v>2544</v>
      </c>
      <c r="W1727" s="773" t="s">
        <v>390</v>
      </c>
    </row>
    <row r="1728" spans="1:23">
      <c r="A1728" s="27">
        <v>44957</v>
      </c>
      <c r="B1728" s="829" t="s">
        <v>140</v>
      </c>
      <c r="C1728" s="829">
        <v>453</v>
      </c>
      <c r="D1728" s="829">
        <v>2360</v>
      </c>
      <c r="E1728" s="829" t="s">
        <v>390</v>
      </c>
      <c r="S1728" s="27">
        <v>44592</v>
      </c>
      <c r="T1728" s="773" t="s">
        <v>132</v>
      </c>
      <c r="U1728" s="773">
        <v>159</v>
      </c>
      <c r="V1728" s="773">
        <v>21</v>
      </c>
      <c r="W1728" s="773" t="s">
        <v>410</v>
      </c>
    </row>
    <row r="1729" spans="1:23">
      <c r="A1729" s="27">
        <v>44620</v>
      </c>
      <c r="B1729" s="773" t="s">
        <v>140</v>
      </c>
      <c r="C1729" s="773">
        <v>248</v>
      </c>
      <c r="D1729" s="773">
        <v>468</v>
      </c>
      <c r="E1729" s="773" t="s">
        <v>390</v>
      </c>
      <c r="S1729" s="27">
        <v>44227</v>
      </c>
      <c r="T1729" s="773" t="s">
        <v>132</v>
      </c>
      <c r="U1729" s="773">
        <v>665</v>
      </c>
      <c r="V1729" s="773">
        <v>2558</v>
      </c>
      <c r="W1729" s="773" t="s">
        <v>390</v>
      </c>
    </row>
    <row r="1730" spans="1:23">
      <c r="A1730" s="27">
        <v>44985</v>
      </c>
      <c r="B1730" s="773" t="s">
        <v>140</v>
      </c>
      <c r="C1730" s="773">
        <v>650</v>
      </c>
      <c r="D1730" s="773">
        <v>2423</v>
      </c>
      <c r="E1730" s="773" t="s">
        <v>390</v>
      </c>
      <c r="S1730" s="27">
        <v>44592</v>
      </c>
      <c r="T1730" s="773" t="s">
        <v>132</v>
      </c>
      <c r="U1730" s="773">
        <v>173</v>
      </c>
      <c r="V1730" s="773">
        <v>2</v>
      </c>
      <c r="W1730" s="773" t="s">
        <v>410</v>
      </c>
    </row>
    <row r="1731" spans="1:23">
      <c r="A1731" s="27">
        <v>44620</v>
      </c>
      <c r="B1731" s="773" t="s">
        <v>140</v>
      </c>
      <c r="C1731" s="773">
        <v>525</v>
      </c>
      <c r="D1731" s="773">
        <v>1</v>
      </c>
      <c r="E1731" s="773" t="s">
        <v>410</v>
      </c>
      <c r="S1731" s="27">
        <v>44227</v>
      </c>
      <c r="T1731" s="773" t="s">
        <v>132</v>
      </c>
      <c r="U1731" s="773">
        <v>650</v>
      </c>
      <c r="V1731" s="773">
        <v>112</v>
      </c>
      <c r="W1731" s="773" t="s">
        <v>390</v>
      </c>
    </row>
    <row r="1732" spans="1:23">
      <c r="A1732" s="27">
        <v>44985</v>
      </c>
      <c r="B1732" s="773" t="s">
        <v>140</v>
      </c>
      <c r="C1732" s="773">
        <v>530</v>
      </c>
      <c r="D1732" s="773">
        <v>1</v>
      </c>
      <c r="E1732" s="773" t="s">
        <v>410</v>
      </c>
      <c r="S1732" s="27">
        <v>44592</v>
      </c>
      <c r="T1732" s="773" t="s">
        <v>132</v>
      </c>
      <c r="U1732" s="773">
        <v>328</v>
      </c>
      <c r="V1732" s="773">
        <v>1076</v>
      </c>
      <c r="W1732" s="773" t="s">
        <v>390</v>
      </c>
    </row>
    <row r="1733" spans="1:23">
      <c r="A1733" s="27">
        <v>44985</v>
      </c>
      <c r="B1733" s="773" t="s">
        <v>140</v>
      </c>
      <c r="C1733" s="773">
        <v>449</v>
      </c>
      <c r="D1733" s="773">
        <v>1809</v>
      </c>
      <c r="E1733" s="773" t="s">
        <v>390</v>
      </c>
      <c r="S1733" s="27">
        <v>44592</v>
      </c>
      <c r="T1733" s="773" t="s">
        <v>132</v>
      </c>
      <c r="U1733" s="773">
        <v>665</v>
      </c>
      <c r="V1733" s="773">
        <v>2750</v>
      </c>
      <c r="W1733" s="773" t="s">
        <v>390</v>
      </c>
    </row>
    <row r="1734" spans="1:23">
      <c r="A1734" s="27">
        <v>44985</v>
      </c>
      <c r="B1734" s="773" t="s">
        <v>140</v>
      </c>
      <c r="C1734" s="773">
        <v>742</v>
      </c>
      <c r="D1734" s="773">
        <v>1</v>
      </c>
      <c r="E1734" s="773" t="s">
        <v>410</v>
      </c>
      <c r="S1734" s="27">
        <v>44227</v>
      </c>
      <c r="T1734" s="773" t="s">
        <v>132</v>
      </c>
      <c r="U1734" s="773">
        <v>66</v>
      </c>
      <c r="V1734" s="773">
        <v>100</v>
      </c>
      <c r="W1734" s="773" t="s">
        <v>390</v>
      </c>
    </row>
    <row r="1735" spans="1:23">
      <c r="A1735" s="27">
        <v>44985</v>
      </c>
      <c r="B1735" s="773" t="s">
        <v>140</v>
      </c>
      <c r="C1735" s="773">
        <v>630</v>
      </c>
      <c r="D1735" s="773">
        <v>1</v>
      </c>
      <c r="E1735" s="773" t="s">
        <v>410</v>
      </c>
      <c r="S1735" s="27">
        <v>44592</v>
      </c>
      <c r="T1735" s="773" t="s">
        <v>132</v>
      </c>
      <c r="U1735" s="773">
        <v>653</v>
      </c>
      <c r="V1735" s="773">
        <v>86</v>
      </c>
      <c r="W1735" s="773" t="s">
        <v>410</v>
      </c>
    </row>
    <row r="1736" spans="1:23">
      <c r="A1736" s="27">
        <v>44620</v>
      </c>
      <c r="B1736" s="773" t="s">
        <v>140</v>
      </c>
      <c r="C1736" s="773">
        <v>616</v>
      </c>
      <c r="D1736" s="773">
        <v>1</v>
      </c>
      <c r="E1736" s="773" t="s">
        <v>410</v>
      </c>
      <c r="S1736" s="27">
        <v>44592</v>
      </c>
      <c r="T1736" s="773" t="s">
        <v>132</v>
      </c>
      <c r="U1736" s="773">
        <v>700</v>
      </c>
      <c r="V1736" s="773">
        <v>1616</v>
      </c>
      <c r="W1736" s="773" t="s">
        <v>390</v>
      </c>
    </row>
    <row r="1737" spans="1:23">
      <c r="A1737" s="27">
        <v>44985</v>
      </c>
      <c r="B1737" s="773" t="s">
        <v>140</v>
      </c>
      <c r="C1737" s="773">
        <v>558</v>
      </c>
      <c r="D1737" s="773">
        <v>1286</v>
      </c>
      <c r="E1737" s="773" t="s">
        <v>390</v>
      </c>
      <c r="S1737" s="27">
        <v>44227</v>
      </c>
      <c r="T1737" s="773" t="s">
        <v>132</v>
      </c>
      <c r="U1737" s="773">
        <v>251</v>
      </c>
      <c r="V1737" s="773">
        <v>2515</v>
      </c>
      <c r="W1737" s="773" t="s">
        <v>390</v>
      </c>
    </row>
    <row r="1738" spans="1:23">
      <c r="A1738" s="27">
        <v>44985</v>
      </c>
      <c r="B1738" s="773" t="s">
        <v>140</v>
      </c>
      <c r="C1738" s="773">
        <v>469</v>
      </c>
      <c r="D1738" s="773">
        <v>14</v>
      </c>
      <c r="E1738" s="773" t="s">
        <v>410</v>
      </c>
      <c r="S1738" s="27">
        <v>44227</v>
      </c>
      <c r="T1738" s="773" t="s">
        <v>132</v>
      </c>
      <c r="U1738" s="773">
        <v>113</v>
      </c>
      <c r="V1738" s="773">
        <v>2</v>
      </c>
      <c r="W1738" s="773" t="s">
        <v>410</v>
      </c>
    </row>
    <row r="1739" spans="1:23">
      <c r="A1739" s="27">
        <v>44985</v>
      </c>
      <c r="B1739" s="773" t="s">
        <v>140</v>
      </c>
      <c r="C1739" s="773">
        <v>478</v>
      </c>
      <c r="D1739" s="773">
        <v>1</v>
      </c>
      <c r="E1739" s="773" t="s">
        <v>410</v>
      </c>
      <c r="S1739" s="27">
        <v>44227</v>
      </c>
      <c r="T1739" s="773" t="s">
        <v>132</v>
      </c>
      <c r="U1739" s="773">
        <v>309</v>
      </c>
      <c r="V1739" s="773">
        <v>9</v>
      </c>
      <c r="W1739" s="773" t="s">
        <v>410</v>
      </c>
    </row>
    <row r="1740" spans="1:23">
      <c r="A1740" s="27">
        <v>44985</v>
      </c>
      <c r="B1740" s="773" t="s">
        <v>140</v>
      </c>
      <c r="C1740" s="773">
        <v>524</v>
      </c>
      <c r="D1740" s="773">
        <v>1089</v>
      </c>
      <c r="E1740" s="773" t="s">
        <v>390</v>
      </c>
      <c r="S1740" s="27">
        <v>44227</v>
      </c>
      <c r="T1740" s="773" t="s">
        <v>132</v>
      </c>
      <c r="U1740" s="773">
        <v>39</v>
      </c>
      <c r="V1740" s="773">
        <v>1</v>
      </c>
      <c r="W1740" s="773" t="s">
        <v>410</v>
      </c>
    </row>
    <row r="1741" spans="1:23">
      <c r="A1741" s="27">
        <v>44985</v>
      </c>
      <c r="B1741" s="773" t="s">
        <v>140</v>
      </c>
      <c r="C1741" s="773">
        <v>678</v>
      </c>
      <c r="D1741" s="773">
        <v>1</v>
      </c>
      <c r="E1741" s="773" t="s">
        <v>410</v>
      </c>
      <c r="S1741" s="27">
        <v>44592</v>
      </c>
      <c r="T1741" s="773" t="s">
        <v>132</v>
      </c>
      <c r="U1741" s="773">
        <v>342</v>
      </c>
      <c r="V1741" s="773">
        <v>2776</v>
      </c>
      <c r="W1741" s="773" t="s">
        <v>390</v>
      </c>
    </row>
    <row r="1742" spans="1:23">
      <c r="A1742" s="27">
        <v>44985</v>
      </c>
      <c r="B1742" s="773" t="s">
        <v>140</v>
      </c>
      <c r="C1742" s="773">
        <v>574</v>
      </c>
      <c r="D1742" s="773">
        <v>2488</v>
      </c>
      <c r="E1742" s="773" t="s">
        <v>390</v>
      </c>
      <c r="S1742" s="27">
        <v>44592</v>
      </c>
      <c r="T1742" s="773" t="s">
        <v>132</v>
      </c>
      <c r="U1742" s="773">
        <v>686</v>
      </c>
      <c r="V1742" s="773">
        <v>2427</v>
      </c>
      <c r="W1742" s="773" t="s">
        <v>390</v>
      </c>
    </row>
    <row r="1743" spans="1:23">
      <c r="A1743" s="27">
        <v>44985</v>
      </c>
      <c r="B1743" s="773" t="s">
        <v>140</v>
      </c>
      <c r="C1743" s="773">
        <v>732</v>
      </c>
      <c r="D1743" s="773">
        <v>3</v>
      </c>
      <c r="E1743" s="773" t="s">
        <v>410</v>
      </c>
      <c r="S1743" s="27">
        <v>44227</v>
      </c>
      <c r="T1743" s="773" t="s">
        <v>132</v>
      </c>
      <c r="U1743" s="773">
        <v>636</v>
      </c>
      <c r="V1743" s="773">
        <v>15</v>
      </c>
      <c r="W1743" s="773" t="s">
        <v>410</v>
      </c>
    </row>
    <row r="1744" spans="1:23">
      <c r="A1744" s="27">
        <v>44620</v>
      </c>
      <c r="B1744" s="773" t="s">
        <v>140</v>
      </c>
      <c r="C1744" s="773">
        <v>594</v>
      </c>
      <c r="D1744" s="773">
        <v>2626</v>
      </c>
      <c r="E1744" s="773" t="s">
        <v>390</v>
      </c>
      <c r="S1744" s="27">
        <v>44227</v>
      </c>
      <c r="T1744" s="773" t="s">
        <v>132</v>
      </c>
      <c r="U1744" s="773">
        <v>653</v>
      </c>
      <c r="V1744" s="773">
        <v>2256</v>
      </c>
      <c r="W1744" s="773" t="s">
        <v>390</v>
      </c>
    </row>
    <row r="1745" spans="1:23">
      <c r="A1745" s="27">
        <v>44985</v>
      </c>
      <c r="B1745" s="773" t="s">
        <v>140</v>
      </c>
      <c r="C1745" s="773">
        <v>248</v>
      </c>
      <c r="D1745" s="773">
        <v>89</v>
      </c>
      <c r="E1745" s="773" t="s">
        <v>410</v>
      </c>
      <c r="S1745" s="27">
        <v>44592</v>
      </c>
      <c r="T1745" s="773" t="s">
        <v>132</v>
      </c>
      <c r="U1745" s="773">
        <v>684</v>
      </c>
      <c r="V1745" s="773">
        <v>2658</v>
      </c>
      <c r="W1745" s="773" t="s">
        <v>390</v>
      </c>
    </row>
    <row r="1746" spans="1:23">
      <c r="A1746" s="27">
        <v>44620</v>
      </c>
      <c r="B1746" s="773" t="s">
        <v>140</v>
      </c>
      <c r="C1746" s="773">
        <v>493</v>
      </c>
      <c r="D1746" s="773">
        <v>6</v>
      </c>
      <c r="E1746" s="773" t="s">
        <v>410</v>
      </c>
      <c r="S1746" s="27">
        <v>44227</v>
      </c>
      <c r="T1746" s="773" t="s">
        <v>132</v>
      </c>
      <c r="U1746" s="773">
        <v>108</v>
      </c>
      <c r="V1746" s="773">
        <v>1</v>
      </c>
      <c r="W1746" s="773" t="s">
        <v>410</v>
      </c>
    </row>
    <row r="1747" spans="1:23">
      <c r="A1747" s="27">
        <v>44985</v>
      </c>
      <c r="B1747" s="773" t="s">
        <v>140</v>
      </c>
      <c r="C1747" s="773">
        <v>594</v>
      </c>
      <c r="D1747" s="773">
        <v>2694</v>
      </c>
      <c r="E1747" s="773" t="s">
        <v>390</v>
      </c>
      <c r="S1747" s="27">
        <v>44592</v>
      </c>
      <c r="T1747" s="773" t="s">
        <v>132</v>
      </c>
      <c r="U1747" s="773">
        <v>321</v>
      </c>
      <c r="V1747" s="773">
        <v>1085</v>
      </c>
      <c r="W1747" s="773" t="s">
        <v>390</v>
      </c>
    </row>
    <row r="1748" spans="1:23">
      <c r="A1748" s="27">
        <v>44620</v>
      </c>
      <c r="B1748" s="773" t="s">
        <v>140</v>
      </c>
      <c r="C1748" s="773">
        <v>510</v>
      </c>
      <c r="D1748" s="773">
        <v>934</v>
      </c>
      <c r="E1748" s="773" t="s">
        <v>390</v>
      </c>
      <c r="S1748" s="27">
        <v>44592</v>
      </c>
      <c r="T1748" s="773" t="s">
        <v>132</v>
      </c>
      <c r="U1748" s="773">
        <v>290</v>
      </c>
      <c r="V1748" s="773">
        <v>2085</v>
      </c>
      <c r="W1748" s="773" t="s">
        <v>390</v>
      </c>
    </row>
    <row r="1749" spans="1:23">
      <c r="A1749" s="27">
        <v>44620</v>
      </c>
      <c r="B1749" s="773" t="s">
        <v>140</v>
      </c>
      <c r="C1749" s="773">
        <v>338</v>
      </c>
      <c r="D1749" s="773">
        <v>2388</v>
      </c>
      <c r="E1749" s="773" t="s">
        <v>390</v>
      </c>
      <c r="S1749" s="27">
        <v>44227</v>
      </c>
      <c r="T1749" s="773" t="s">
        <v>132</v>
      </c>
      <c r="U1749" s="773">
        <v>250</v>
      </c>
      <c r="V1749" s="773">
        <v>1</v>
      </c>
      <c r="W1749" s="773" t="s">
        <v>410</v>
      </c>
    </row>
    <row r="1750" spans="1:23">
      <c r="A1750" s="27">
        <v>44620</v>
      </c>
      <c r="B1750" s="773" t="s">
        <v>140</v>
      </c>
      <c r="C1750" s="773">
        <v>626</v>
      </c>
      <c r="D1750" s="773">
        <v>2762</v>
      </c>
      <c r="E1750" s="773" t="s">
        <v>390</v>
      </c>
      <c r="S1750" s="27">
        <v>44227</v>
      </c>
      <c r="T1750" s="773" t="s">
        <v>132</v>
      </c>
      <c r="U1750" s="773">
        <v>247</v>
      </c>
      <c r="V1750" s="773">
        <v>16</v>
      </c>
      <c r="W1750" s="773" t="s">
        <v>410</v>
      </c>
    </row>
    <row r="1751" spans="1:23">
      <c r="A1751" s="27">
        <v>44620</v>
      </c>
      <c r="B1751" s="773" t="s">
        <v>140</v>
      </c>
      <c r="C1751" s="773">
        <v>469</v>
      </c>
      <c r="D1751" s="773">
        <v>7</v>
      </c>
      <c r="E1751" s="773" t="s">
        <v>410</v>
      </c>
      <c r="S1751" s="27">
        <v>44592</v>
      </c>
      <c r="T1751" s="773" t="s">
        <v>132</v>
      </c>
      <c r="U1751" s="773">
        <v>243</v>
      </c>
      <c r="V1751" s="773">
        <v>625</v>
      </c>
      <c r="W1751" s="773" t="s">
        <v>390</v>
      </c>
    </row>
    <row r="1752" spans="1:23">
      <c r="A1752" s="27">
        <v>44985</v>
      </c>
      <c r="B1752" s="773" t="s">
        <v>140</v>
      </c>
      <c r="C1752" s="773">
        <v>279</v>
      </c>
      <c r="D1752" s="773">
        <v>1</v>
      </c>
      <c r="E1752" s="773" t="s">
        <v>410</v>
      </c>
      <c r="S1752" s="27">
        <v>44592</v>
      </c>
      <c r="T1752" s="773" t="s">
        <v>132</v>
      </c>
      <c r="U1752" s="773">
        <v>136</v>
      </c>
      <c r="V1752" s="773">
        <v>99</v>
      </c>
      <c r="W1752" s="773" t="s">
        <v>410</v>
      </c>
    </row>
    <row r="1753" spans="1:23">
      <c r="A1753" s="27">
        <v>44620</v>
      </c>
      <c r="B1753" s="773" t="s">
        <v>140</v>
      </c>
      <c r="C1753" s="773">
        <v>0</v>
      </c>
      <c r="D1753" s="773">
        <v>7</v>
      </c>
      <c r="E1753" s="773" t="s">
        <v>410</v>
      </c>
      <c r="S1753" s="27">
        <v>44227</v>
      </c>
      <c r="T1753" s="773" t="s">
        <v>132</v>
      </c>
      <c r="U1753" s="773">
        <v>669</v>
      </c>
      <c r="V1753" s="773">
        <v>2441</v>
      </c>
      <c r="W1753" s="773" t="s">
        <v>390</v>
      </c>
    </row>
    <row r="1754" spans="1:23">
      <c r="A1754" s="27">
        <v>44985</v>
      </c>
      <c r="B1754" s="773" t="s">
        <v>140</v>
      </c>
      <c r="C1754" s="773">
        <v>548</v>
      </c>
      <c r="D1754" s="773">
        <v>970</v>
      </c>
      <c r="E1754" s="773" t="s">
        <v>390</v>
      </c>
      <c r="S1754" s="27">
        <v>44227</v>
      </c>
      <c r="T1754" s="773" t="s">
        <v>132</v>
      </c>
      <c r="U1754" s="773">
        <v>296</v>
      </c>
      <c r="V1754" s="773">
        <v>2312</v>
      </c>
      <c r="W1754" s="773" t="s">
        <v>390</v>
      </c>
    </row>
    <row r="1755" spans="1:23">
      <c r="A1755" s="27">
        <v>44985</v>
      </c>
      <c r="B1755" s="773" t="s">
        <v>140</v>
      </c>
      <c r="C1755" s="773">
        <v>346</v>
      </c>
      <c r="D1755" s="773">
        <v>3</v>
      </c>
      <c r="E1755" s="773" t="s">
        <v>410</v>
      </c>
      <c r="S1755" s="27">
        <v>44592</v>
      </c>
      <c r="T1755" s="773" t="s">
        <v>132</v>
      </c>
      <c r="U1755" s="773">
        <v>666</v>
      </c>
      <c r="V1755" s="773">
        <v>1444</v>
      </c>
      <c r="W1755" s="773" t="s">
        <v>390</v>
      </c>
    </row>
    <row r="1756" spans="1:23">
      <c r="A1756" s="27">
        <v>44985</v>
      </c>
      <c r="B1756" s="773" t="s">
        <v>140</v>
      </c>
      <c r="C1756" s="773">
        <v>338</v>
      </c>
      <c r="D1756" s="773">
        <v>2473</v>
      </c>
      <c r="E1756" s="773" t="s">
        <v>390</v>
      </c>
      <c r="S1756" s="27">
        <v>44592</v>
      </c>
      <c r="T1756" s="773" t="s">
        <v>132</v>
      </c>
      <c r="U1756" s="773">
        <v>213</v>
      </c>
      <c r="V1756" s="773">
        <v>8</v>
      </c>
      <c r="W1756" s="773" t="s">
        <v>410</v>
      </c>
    </row>
    <row r="1757" spans="1:23">
      <c r="A1757" s="27">
        <v>44620</v>
      </c>
      <c r="B1757" s="773" t="s">
        <v>140</v>
      </c>
      <c r="C1757" s="773">
        <v>674</v>
      </c>
      <c r="D1757" s="773">
        <v>1661</v>
      </c>
      <c r="E1757" s="773" t="s">
        <v>390</v>
      </c>
      <c r="S1757" s="27">
        <v>44592</v>
      </c>
      <c r="T1757" s="773" t="s">
        <v>132</v>
      </c>
      <c r="U1757" s="773">
        <v>113</v>
      </c>
      <c r="V1757" s="773">
        <v>1</v>
      </c>
      <c r="W1757" s="773" t="s">
        <v>410</v>
      </c>
    </row>
    <row r="1758" spans="1:23">
      <c r="A1758" s="27">
        <v>44620</v>
      </c>
      <c r="B1758" s="773" t="s">
        <v>140</v>
      </c>
      <c r="C1758" s="773">
        <v>476</v>
      </c>
      <c r="D1758" s="773">
        <v>1</v>
      </c>
      <c r="E1758" s="773" t="s">
        <v>410</v>
      </c>
      <c r="S1758" s="27">
        <v>44592</v>
      </c>
      <c r="T1758" s="773" t="s">
        <v>132</v>
      </c>
      <c r="U1758" s="773">
        <v>53</v>
      </c>
      <c r="V1758" s="773">
        <v>2</v>
      </c>
      <c r="W1758" s="773" t="s">
        <v>410</v>
      </c>
    </row>
    <row r="1759" spans="1:23">
      <c r="A1759" s="27">
        <v>44985</v>
      </c>
      <c r="B1759" s="773" t="s">
        <v>140</v>
      </c>
      <c r="C1759" s="773">
        <v>601</v>
      </c>
      <c r="D1759" s="773">
        <v>3</v>
      </c>
      <c r="E1759" s="773" t="s">
        <v>410</v>
      </c>
      <c r="S1759" s="27">
        <v>44592</v>
      </c>
      <c r="T1759" s="773" t="s">
        <v>132</v>
      </c>
      <c r="U1759" s="773">
        <v>264</v>
      </c>
      <c r="V1759" s="773">
        <v>773</v>
      </c>
      <c r="W1759" s="773" t="s">
        <v>390</v>
      </c>
    </row>
    <row r="1760" spans="1:23">
      <c r="A1760" s="27">
        <v>44620</v>
      </c>
      <c r="B1760" s="773" t="s">
        <v>140</v>
      </c>
      <c r="C1760" s="773">
        <v>582</v>
      </c>
      <c r="D1760" s="773">
        <v>2234</v>
      </c>
      <c r="E1760" s="773" t="s">
        <v>390</v>
      </c>
      <c r="S1760" s="27">
        <v>44592</v>
      </c>
      <c r="T1760" s="773" t="s">
        <v>132</v>
      </c>
      <c r="U1760" s="773">
        <v>696</v>
      </c>
      <c r="V1760" s="773">
        <v>2111</v>
      </c>
      <c r="W1760" s="773" t="s">
        <v>390</v>
      </c>
    </row>
    <row r="1761" spans="1:23">
      <c r="A1761" s="27">
        <v>44620</v>
      </c>
      <c r="B1761" s="773" t="s">
        <v>140</v>
      </c>
      <c r="C1761" s="773">
        <v>574</v>
      </c>
      <c r="D1761" s="773">
        <v>1564</v>
      </c>
      <c r="E1761" s="773" t="s">
        <v>390</v>
      </c>
      <c r="S1761" s="27">
        <v>44592</v>
      </c>
      <c r="T1761" s="773" t="s">
        <v>132</v>
      </c>
      <c r="U1761" s="773">
        <v>691</v>
      </c>
      <c r="V1761" s="773">
        <v>2414</v>
      </c>
      <c r="W1761" s="773" t="s">
        <v>390</v>
      </c>
    </row>
    <row r="1762" spans="1:23">
      <c r="A1762" s="27">
        <v>44985</v>
      </c>
      <c r="B1762" s="773" t="s">
        <v>140</v>
      </c>
      <c r="C1762" s="773">
        <v>527</v>
      </c>
      <c r="D1762" s="773">
        <v>3</v>
      </c>
      <c r="E1762" s="773" t="s">
        <v>410</v>
      </c>
      <c r="S1762" s="27">
        <v>44592</v>
      </c>
      <c r="T1762" s="773" t="s">
        <v>132</v>
      </c>
      <c r="U1762" s="773">
        <v>669</v>
      </c>
      <c r="V1762" s="773">
        <v>2627</v>
      </c>
      <c r="W1762" s="773" t="s">
        <v>390</v>
      </c>
    </row>
    <row r="1763" spans="1:23">
      <c r="A1763" s="27">
        <v>44620</v>
      </c>
      <c r="B1763" s="773" t="s">
        <v>140</v>
      </c>
      <c r="C1763" s="773">
        <v>530</v>
      </c>
      <c r="D1763" s="773">
        <v>1</v>
      </c>
      <c r="E1763" s="773" t="s">
        <v>410</v>
      </c>
      <c r="S1763" s="27">
        <v>44592</v>
      </c>
      <c r="T1763" s="773" t="s">
        <v>132</v>
      </c>
      <c r="U1763" s="773">
        <v>262</v>
      </c>
      <c r="V1763" s="773">
        <v>75</v>
      </c>
      <c r="W1763" s="773" t="s">
        <v>410</v>
      </c>
    </row>
    <row r="1764" spans="1:23">
      <c r="A1764" s="27">
        <v>44985</v>
      </c>
      <c r="B1764" s="773" t="s">
        <v>140</v>
      </c>
      <c r="C1764" s="773">
        <v>758</v>
      </c>
      <c r="D1764" s="773">
        <v>1</v>
      </c>
      <c r="E1764" s="773" t="s">
        <v>410</v>
      </c>
      <c r="S1764" s="27">
        <v>44592</v>
      </c>
      <c r="T1764" s="773" t="s">
        <v>132</v>
      </c>
      <c r="U1764" s="773">
        <v>66</v>
      </c>
      <c r="V1764" s="773">
        <v>6</v>
      </c>
      <c r="W1764" s="773" t="s">
        <v>410</v>
      </c>
    </row>
    <row r="1765" spans="1:23">
      <c r="A1765" s="27">
        <v>44985</v>
      </c>
      <c r="B1765" s="773" t="s">
        <v>140</v>
      </c>
      <c r="C1765" s="773">
        <v>453</v>
      </c>
      <c r="D1765" s="773">
        <v>2357</v>
      </c>
      <c r="E1765" s="773" t="s">
        <v>390</v>
      </c>
      <c r="S1765" s="27">
        <v>44592</v>
      </c>
      <c r="T1765" s="773" t="s">
        <v>132</v>
      </c>
      <c r="U1765" s="773">
        <v>265</v>
      </c>
      <c r="V1765" s="773">
        <v>1401</v>
      </c>
      <c r="W1765" s="773" t="s">
        <v>390</v>
      </c>
    </row>
    <row r="1766" spans="1:23">
      <c r="A1766" s="27">
        <v>44620</v>
      </c>
      <c r="B1766" s="773" t="s">
        <v>140</v>
      </c>
      <c r="C1766" s="773">
        <v>732</v>
      </c>
      <c r="D1766" s="773">
        <v>3</v>
      </c>
      <c r="E1766" s="773" t="s">
        <v>410</v>
      </c>
      <c r="S1766" s="27">
        <v>44592</v>
      </c>
      <c r="T1766" s="773" t="s">
        <v>132</v>
      </c>
      <c r="U1766" s="773">
        <v>150</v>
      </c>
      <c r="V1766" s="773">
        <v>528</v>
      </c>
      <c r="W1766" s="773" t="s">
        <v>390</v>
      </c>
    </row>
    <row r="1767" spans="1:23">
      <c r="A1767" s="27">
        <v>44620</v>
      </c>
      <c r="B1767" s="773" t="s">
        <v>140</v>
      </c>
      <c r="C1767" s="773">
        <v>740</v>
      </c>
      <c r="D1767" s="773">
        <v>599</v>
      </c>
      <c r="E1767" s="773" t="s">
        <v>390</v>
      </c>
      <c r="S1767" s="27">
        <v>44227</v>
      </c>
      <c r="T1767" s="773" t="s">
        <v>132</v>
      </c>
      <c r="U1767" s="773">
        <v>169</v>
      </c>
      <c r="V1767" s="773">
        <v>2598</v>
      </c>
      <c r="W1767" s="773" t="s">
        <v>390</v>
      </c>
    </row>
    <row r="1768" spans="1:23">
      <c r="A1768" s="27">
        <v>44620</v>
      </c>
      <c r="B1768" s="773" t="s">
        <v>140</v>
      </c>
      <c r="C1768" s="773">
        <v>710</v>
      </c>
      <c r="D1768" s="773">
        <v>2746</v>
      </c>
      <c r="E1768" s="773" t="s">
        <v>390</v>
      </c>
      <c r="S1768" s="27">
        <v>44592</v>
      </c>
      <c r="T1768" s="773" t="s">
        <v>132</v>
      </c>
      <c r="U1768" s="773">
        <v>326</v>
      </c>
      <c r="V1768" s="773">
        <v>3051</v>
      </c>
      <c r="W1768" s="773" t="s">
        <v>390</v>
      </c>
    </row>
    <row r="1769" spans="1:23">
      <c r="A1769" s="27">
        <v>44620</v>
      </c>
      <c r="B1769" s="773" t="s">
        <v>140</v>
      </c>
      <c r="C1769" s="773">
        <v>760</v>
      </c>
      <c r="D1769" s="773">
        <v>72</v>
      </c>
      <c r="E1769" s="773" t="s">
        <v>410</v>
      </c>
      <c r="S1769" s="27">
        <v>44592</v>
      </c>
      <c r="T1769" s="773" t="s">
        <v>132</v>
      </c>
      <c r="U1769" s="773">
        <v>92</v>
      </c>
      <c r="V1769" s="773">
        <v>2503</v>
      </c>
      <c r="W1769" s="773" t="s">
        <v>390</v>
      </c>
    </row>
    <row r="1770" spans="1:23">
      <c r="A1770" s="27">
        <v>44985</v>
      </c>
      <c r="B1770" s="773" t="s">
        <v>140</v>
      </c>
      <c r="C1770" s="773">
        <v>555</v>
      </c>
      <c r="D1770" s="773">
        <v>1636</v>
      </c>
      <c r="E1770" s="773" t="s">
        <v>390</v>
      </c>
      <c r="S1770" s="27">
        <v>44227</v>
      </c>
      <c r="T1770" s="773" t="s">
        <v>132</v>
      </c>
      <c r="U1770" s="773">
        <v>691</v>
      </c>
      <c r="V1770" s="773">
        <v>2426</v>
      </c>
      <c r="W1770" s="773" t="s">
        <v>390</v>
      </c>
    </row>
    <row r="1771" spans="1:23">
      <c r="A1771" s="27">
        <v>44985</v>
      </c>
      <c r="B1771" s="773" t="s">
        <v>140</v>
      </c>
      <c r="C1771" s="773">
        <v>493</v>
      </c>
      <c r="D1771" s="773">
        <v>5</v>
      </c>
      <c r="E1771" s="773" t="s">
        <v>410</v>
      </c>
      <c r="S1771" s="27">
        <v>44592</v>
      </c>
      <c r="T1771" s="773" t="s">
        <v>132</v>
      </c>
      <c r="U1771" s="773">
        <v>203</v>
      </c>
      <c r="V1771" s="773">
        <v>3189</v>
      </c>
      <c r="W1771" s="773" t="s">
        <v>390</v>
      </c>
    </row>
    <row r="1772" spans="1:23">
      <c r="A1772" s="27">
        <v>44620</v>
      </c>
      <c r="B1772" s="773" t="s">
        <v>140</v>
      </c>
      <c r="C1772" s="773">
        <v>719</v>
      </c>
      <c r="D1772" s="773">
        <v>24</v>
      </c>
      <c r="E1772" s="773" t="s">
        <v>410</v>
      </c>
      <c r="S1772" s="27">
        <v>44227</v>
      </c>
      <c r="T1772" s="773" t="s">
        <v>132</v>
      </c>
      <c r="U1772" s="773">
        <v>40</v>
      </c>
      <c r="V1772" s="773">
        <v>3</v>
      </c>
      <c r="W1772" s="773" t="s">
        <v>410</v>
      </c>
    </row>
    <row r="1773" spans="1:23">
      <c r="A1773" s="27">
        <v>44985</v>
      </c>
      <c r="B1773" s="773" t="s">
        <v>140</v>
      </c>
      <c r="C1773" s="773">
        <v>586</v>
      </c>
      <c r="D1773" s="773">
        <v>2280</v>
      </c>
      <c r="E1773" s="773" t="s">
        <v>390</v>
      </c>
      <c r="S1773" s="27">
        <v>44592</v>
      </c>
      <c r="T1773" s="773" t="s">
        <v>132</v>
      </c>
      <c r="U1773" s="773">
        <v>238</v>
      </c>
      <c r="V1773" s="773">
        <v>5</v>
      </c>
      <c r="W1773" s="773" t="s">
        <v>410</v>
      </c>
    </row>
    <row r="1774" spans="1:23">
      <c r="A1774" s="27">
        <v>44620</v>
      </c>
      <c r="B1774" s="773" t="s">
        <v>140</v>
      </c>
      <c r="C1774" s="773">
        <v>383</v>
      </c>
      <c r="D1774" s="773">
        <v>2</v>
      </c>
      <c r="E1774" s="773" t="s">
        <v>410</v>
      </c>
      <c r="S1774" s="27">
        <v>44227</v>
      </c>
      <c r="T1774" s="773" t="s">
        <v>132</v>
      </c>
      <c r="U1774" s="773">
        <v>290</v>
      </c>
      <c r="V1774" s="773">
        <v>2422</v>
      </c>
      <c r="W1774" s="773" t="s">
        <v>390</v>
      </c>
    </row>
    <row r="1775" spans="1:23">
      <c r="A1775" s="27">
        <v>44620</v>
      </c>
      <c r="B1775" s="773" t="s">
        <v>140</v>
      </c>
      <c r="C1775" s="773">
        <v>610</v>
      </c>
      <c r="D1775" s="773">
        <v>3003</v>
      </c>
      <c r="E1775" s="773" t="s">
        <v>390</v>
      </c>
      <c r="S1775" s="27">
        <v>44227</v>
      </c>
      <c r="T1775" s="773" t="s">
        <v>132</v>
      </c>
      <c r="U1775" s="773">
        <v>68</v>
      </c>
      <c r="V1775" s="773">
        <v>241</v>
      </c>
      <c r="W1775" s="773" t="s">
        <v>390</v>
      </c>
    </row>
    <row r="1776" spans="1:23">
      <c r="A1776" s="27">
        <v>44620</v>
      </c>
      <c r="B1776" s="773" t="s">
        <v>140</v>
      </c>
      <c r="C1776" s="773">
        <v>370</v>
      </c>
      <c r="D1776" s="773">
        <v>1</v>
      </c>
      <c r="E1776" s="773" t="s">
        <v>410</v>
      </c>
      <c r="S1776" s="27">
        <v>44227</v>
      </c>
      <c r="T1776" s="773" t="s">
        <v>132</v>
      </c>
      <c r="U1776" s="773">
        <v>183</v>
      </c>
      <c r="V1776" s="773">
        <v>2333</v>
      </c>
      <c r="W1776" s="773" t="s">
        <v>390</v>
      </c>
    </row>
    <row r="1777" spans="1:23">
      <c r="A1777" s="27">
        <v>44985</v>
      </c>
      <c r="B1777" s="773" t="s">
        <v>140</v>
      </c>
      <c r="C1777" s="773">
        <v>740</v>
      </c>
      <c r="D1777" s="773">
        <v>363</v>
      </c>
      <c r="E1777" s="773" t="s">
        <v>390</v>
      </c>
      <c r="S1777" s="27">
        <v>44592</v>
      </c>
      <c r="T1777" s="773" t="s">
        <v>132</v>
      </c>
      <c r="U1777" s="773">
        <v>181</v>
      </c>
      <c r="V1777" s="773">
        <v>1</v>
      </c>
      <c r="W1777" s="773" t="s">
        <v>410</v>
      </c>
    </row>
    <row r="1778" spans="1:23">
      <c r="A1778" s="27">
        <v>44620</v>
      </c>
      <c r="B1778" s="773" t="s">
        <v>140</v>
      </c>
      <c r="C1778" s="773">
        <v>630</v>
      </c>
      <c r="D1778" s="773">
        <v>1</v>
      </c>
      <c r="E1778" s="773" t="s">
        <v>410</v>
      </c>
      <c r="S1778" s="27">
        <v>44227</v>
      </c>
      <c r="T1778" s="773" t="s">
        <v>132</v>
      </c>
      <c r="U1778" s="773">
        <v>27</v>
      </c>
      <c r="V1778" s="773">
        <v>1</v>
      </c>
      <c r="W1778" s="773" t="s">
        <v>410</v>
      </c>
    </row>
    <row r="1779" spans="1:23">
      <c r="A1779" s="27">
        <v>44985</v>
      </c>
      <c r="B1779" s="773" t="s">
        <v>140</v>
      </c>
      <c r="C1779" s="773">
        <v>722</v>
      </c>
      <c r="D1779" s="773">
        <v>2027</v>
      </c>
      <c r="E1779" s="773" t="s">
        <v>390</v>
      </c>
      <c r="S1779" s="27">
        <v>44592</v>
      </c>
      <c r="T1779" s="773" t="s">
        <v>132</v>
      </c>
      <c r="U1779" s="773">
        <v>253</v>
      </c>
      <c r="V1779" s="773">
        <v>16</v>
      </c>
      <c r="W1779" s="773" t="s">
        <v>410</v>
      </c>
    </row>
    <row r="1780" spans="1:23">
      <c r="A1780" s="27">
        <v>44620</v>
      </c>
      <c r="B1780" s="773" t="s">
        <v>140</v>
      </c>
      <c r="C1780" s="773">
        <v>502</v>
      </c>
      <c r="D1780" s="773">
        <v>496</v>
      </c>
      <c r="E1780" s="773" t="s">
        <v>390</v>
      </c>
      <c r="S1780" s="27">
        <v>44227</v>
      </c>
      <c r="T1780" s="773" t="s">
        <v>132</v>
      </c>
      <c r="U1780" s="773">
        <v>110</v>
      </c>
      <c r="V1780" s="773">
        <v>1</v>
      </c>
      <c r="W1780" s="773" t="s">
        <v>410</v>
      </c>
    </row>
    <row r="1781" spans="1:23">
      <c r="A1781" s="27">
        <v>44620</v>
      </c>
      <c r="B1781" s="773" t="s">
        <v>140</v>
      </c>
      <c r="C1781" s="773">
        <v>639</v>
      </c>
      <c r="D1781" s="773">
        <v>97</v>
      </c>
      <c r="E1781" s="773" t="s">
        <v>410</v>
      </c>
      <c r="S1781" s="27">
        <v>44592</v>
      </c>
      <c r="T1781" s="773" t="s">
        <v>132</v>
      </c>
      <c r="U1781" s="773">
        <v>155</v>
      </c>
      <c r="V1781" s="773">
        <v>2339</v>
      </c>
      <c r="W1781" s="773" t="s">
        <v>390</v>
      </c>
    </row>
    <row r="1782" spans="1:23">
      <c r="A1782" s="27">
        <v>44985</v>
      </c>
      <c r="B1782" s="773" t="s">
        <v>140</v>
      </c>
      <c r="C1782" s="773">
        <v>659</v>
      </c>
      <c r="D1782" s="773">
        <v>926</v>
      </c>
      <c r="E1782" s="773" t="s">
        <v>390</v>
      </c>
      <c r="S1782" s="27">
        <v>44227</v>
      </c>
      <c r="T1782" s="773" t="s">
        <v>132</v>
      </c>
      <c r="U1782" s="773">
        <v>94</v>
      </c>
      <c r="V1782" s="773">
        <v>2214</v>
      </c>
      <c r="W1782" s="773" t="s">
        <v>390</v>
      </c>
    </row>
    <row r="1783" spans="1:23">
      <c r="A1783" s="27">
        <v>44985</v>
      </c>
      <c r="B1783" s="773" t="s">
        <v>140</v>
      </c>
      <c r="C1783" s="773">
        <v>616</v>
      </c>
      <c r="D1783" s="773">
        <v>1</v>
      </c>
      <c r="E1783" s="773" t="s">
        <v>410</v>
      </c>
      <c r="S1783" s="27">
        <v>44227</v>
      </c>
      <c r="T1783" s="773" t="s">
        <v>132</v>
      </c>
      <c r="U1783" s="773">
        <v>276</v>
      </c>
      <c r="V1783" s="773">
        <v>1</v>
      </c>
      <c r="W1783" s="773" t="s">
        <v>410</v>
      </c>
    </row>
    <row r="1784" spans="1:23">
      <c r="A1784" s="27">
        <v>44620</v>
      </c>
      <c r="B1784" s="773" t="s">
        <v>140</v>
      </c>
      <c r="C1784" s="773">
        <v>540</v>
      </c>
      <c r="D1784" s="773">
        <v>1</v>
      </c>
      <c r="E1784" s="773" t="s">
        <v>410</v>
      </c>
      <c r="S1784" s="27">
        <v>44592</v>
      </c>
      <c r="T1784" s="773" t="s">
        <v>132</v>
      </c>
      <c r="U1784" s="773">
        <v>299</v>
      </c>
      <c r="V1784" s="773">
        <v>1</v>
      </c>
      <c r="W1784" s="773" t="s">
        <v>410</v>
      </c>
    </row>
    <row r="1785" spans="1:23">
      <c r="A1785" s="27">
        <v>44620</v>
      </c>
      <c r="B1785" s="773" t="s">
        <v>140</v>
      </c>
      <c r="C1785" s="773">
        <v>601</v>
      </c>
      <c r="D1785" s="773">
        <v>3</v>
      </c>
      <c r="E1785" s="773" t="s">
        <v>410</v>
      </c>
      <c r="S1785" s="27">
        <v>44227</v>
      </c>
      <c r="T1785" s="773" t="s">
        <v>132</v>
      </c>
      <c r="U1785" s="773">
        <v>155</v>
      </c>
      <c r="V1785" s="773">
        <v>2472</v>
      </c>
      <c r="W1785" s="773" t="s">
        <v>390</v>
      </c>
    </row>
    <row r="1786" spans="1:23">
      <c r="A1786" s="27">
        <v>44620</v>
      </c>
      <c r="B1786" s="773" t="s">
        <v>140</v>
      </c>
      <c r="C1786" s="773">
        <v>524</v>
      </c>
      <c r="D1786" s="773">
        <v>1112</v>
      </c>
      <c r="E1786" s="773" t="s">
        <v>390</v>
      </c>
      <c r="S1786" s="27">
        <v>44592</v>
      </c>
      <c r="T1786" s="773" t="s">
        <v>132</v>
      </c>
      <c r="U1786" s="773">
        <v>232</v>
      </c>
      <c r="V1786" s="773">
        <v>110</v>
      </c>
      <c r="W1786" s="773" t="s">
        <v>390</v>
      </c>
    </row>
    <row r="1787" spans="1:23">
      <c r="A1787" s="27">
        <v>44620</v>
      </c>
      <c r="B1787" s="773" t="s">
        <v>140</v>
      </c>
      <c r="C1787" s="773">
        <v>648</v>
      </c>
      <c r="D1787" s="773">
        <v>1343</v>
      </c>
      <c r="E1787" s="773" t="s">
        <v>390</v>
      </c>
      <c r="S1787" s="27">
        <v>44592</v>
      </c>
      <c r="T1787" s="773" t="s">
        <v>132</v>
      </c>
      <c r="U1787" s="773">
        <v>329</v>
      </c>
      <c r="V1787" s="773">
        <v>3203</v>
      </c>
      <c r="W1787" s="773" t="s">
        <v>390</v>
      </c>
    </row>
    <row r="1788" spans="1:23">
      <c r="A1788" s="27">
        <v>44620</v>
      </c>
      <c r="B1788" s="773" t="s">
        <v>140</v>
      </c>
      <c r="C1788" s="773">
        <v>608</v>
      </c>
      <c r="D1788" s="773">
        <v>2673</v>
      </c>
      <c r="E1788" s="773" t="s">
        <v>390</v>
      </c>
      <c r="S1788" s="27">
        <v>44227</v>
      </c>
      <c r="T1788" s="773" t="s">
        <v>132</v>
      </c>
      <c r="U1788" s="773">
        <v>93</v>
      </c>
      <c r="V1788" s="773">
        <v>14633</v>
      </c>
      <c r="W1788" s="773" t="s">
        <v>390</v>
      </c>
    </row>
    <row r="1789" spans="1:23">
      <c r="A1789" s="27">
        <v>44620</v>
      </c>
      <c r="B1789" s="773" t="s">
        <v>140</v>
      </c>
      <c r="C1789" s="773">
        <v>478</v>
      </c>
      <c r="D1789" s="773">
        <v>4203</v>
      </c>
      <c r="E1789" s="773" t="s">
        <v>390</v>
      </c>
      <c r="S1789" s="27">
        <v>44227</v>
      </c>
      <c r="T1789" s="773" t="s">
        <v>132</v>
      </c>
      <c r="U1789" s="773">
        <v>136</v>
      </c>
      <c r="V1789" s="773">
        <v>78</v>
      </c>
      <c r="W1789" s="773" t="s">
        <v>410</v>
      </c>
    </row>
    <row r="1790" spans="1:23">
      <c r="A1790" s="27">
        <v>44620</v>
      </c>
      <c r="B1790" s="773" t="s">
        <v>140</v>
      </c>
      <c r="C1790" s="773">
        <v>691</v>
      </c>
      <c r="D1790" s="773">
        <v>216</v>
      </c>
      <c r="E1790" s="773" t="s">
        <v>390</v>
      </c>
      <c r="S1790" s="27">
        <v>44227</v>
      </c>
      <c r="T1790" s="773" t="s">
        <v>132</v>
      </c>
      <c r="U1790" s="773">
        <v>667</v>
      </c>
      <c r="V1790" s="773">
        <v>1</v>
      </c>
      <c r="W1790" s="773" t="s">
        <v>410</v>
      </c>
    </row>
    <row r="1791" spans="1:23">
      <c r="A1791" s="27">
        <v>44985</v>
      </c>
      <c r="B1791" s="773" t="s">
        <v>140</v>
      </c>
      <c r="C1791" s="773">
        <v>628</v>
      </c>
      <c r="D1791" s="773">
        <v>1724</v>
      </c>
      <c r="E1791" s="773" t="s">
        <v>390</v>
      </c>
      <c r="S1791" s="27">
        <v>44227</v>
      </c>
      <c r="T1791" s="773" t="s">
        <v>132</v>
      </c>
      <c r="U1791" s="773">
        <v>161</v>
      </c>
      <c r="V1791" s="773">
        <v>7</v>
      </c>
      <c r="W1791" s="773" t="s">
        <v>410</v>
      </c>
    </row>
    <row r="1792" spans="1:23">
      <c r="A1792" s="27">
        <v>44985</v>
      </c>
      <c r="B1792" s="773" t="s">
        <v>140</v>
      </c>
      <c r="C1792" s="773">
        <v>610</v>
      </c>
      <c r="D1792" s="773">
        <v>4</v>
      </c>
      <c r="E1792" s="773" t="s">
        <v>410</v>
      </c>
      <c r="S1792" s="27">
        <v>44227</v>
      </c>
      <c r="T1792" s="773" t="s">
        <v>132</v>
      </c>
      <c r="U1792" s="773">
        <v>671</v>
      </c>
      <c r="V1792" s="773">
        <v>2165</v>
      </c>
      <c r="W1792" s="773" t="s">
        <v>390</v>
      </c>
    </row>
    <row r="1793" spans="1:23">
      <c r="A1793" s="27">
        <v>44985</v>
      </c>
      <c r="B1793" s="773" t="s">
        <v>140</v>
      </c>
      <c r="C1793" s="773">
        <v>267</v>
      </c>
      <c r="D1793" s="773">
        <v>1</v>
      </c>
      <c r="E1793" s="773" t="s">
        <v>410</v>
      </c>
      <c r="S1793" s="27">
        <v>44592</v>
      </c>
      <c r="T1793" s="773" t="s">
        <v>132</v>
      </c>
      <c r="U1793" s="773">
        <v>153</v>
      </c>
      <c r="V1793" s="773">
        <v>2046</v>
      </c>
      <c r="W1793" s="773" t="s">
        <v>390</v>
      </c>
    </row>
    <row r="1794" spans="1:23">
      <c r="A1794" s="27">
        <v>44985</v>
      </c>
      <c r="B1794" s="773" t="s">
        <v>140</v>
      </c>
      <c r="C1794" s="773">
        <v>359</v>
      </c>
      <c r="D1794" s="773">
        <v>872</v>
      </c>
      <c r="E1794" s="773" t="s">
        <v>390</v>
      </c>
      <c r="S1794" s="27">
        <v>44592</v>
      </c>
      <c r="T1794" s="773" t="s">
        <v>132</v>
      </c>
      <c r="U1794" s="773">
        <v>103</v>
      </c>
      <c r="V1794" s="773">
        <v>3292</v>
      </c>
      <c r="W1794" s="773" t="s">
        <v>390</v>
      </c>
    </row>
    <row r="1795" spans="1:23">
      <c r="A1795" s="27">
        <v>44620</v>
      </c>
      <c r="B1795" s="773" t="s">
        <v>140</v>
      </c>
      <c r="C1795" s="773">
        <v>548</v>
      </c>
      <c r="D1795" s="773">
        <v>554</v>
      </c>
      <c r="E1795" s="773" t="s">
        <v>390</v>
      </c>
      <c r="S1795" s="27">
        <v>44227</v>
      </c>
      <c r="T1795" s="773" t="s">
        <v>132</v>
      </c>
      <c r="U1795" s="773">
        <v>701</v>
      </c>
      <c r="V1795" s="773">
        <v>6</v>
      </c>
      <c r="W1795" s="773" t="s">
        <v>410</v>
      </c>
    </row>
    <row r="1796" spans="1:23">
      <c r="A1796" s="27">
        <v>44985</v>
      </c>
      <c r="B1796" s="773" t="s">
        <v>140</v>
      </c>
      <c r="C1796" s="773">
        <v>626</v>
      </c>
      <c r="D1796" s="773">
        <v>3234</v>
      </c>
      <c r="E1796" s="773" t="s">
        <v>390</v>
      </c>
      <c r="S1796" s="27">
        <v>44227</v>
      </c>
      <c r="T1796" s="773" t="s">
        <v>132</v>
      </c>
      <c r="U1796" s="773">
        <v>237</v>
      </c>
      <c r="V1796" s="773">
        <v>34</v>
      </c>
      <c r="W1796" s="773" t="s">
        <v>410</v>
      </c>
    </row>
    <row r="1797" spans="1:23">
      <c r="A1797" s="27">
        <v>44620</v>
      </c>
      <c r="B1797" s="773" t="s">
        <v>140</v>
      </c>
      <c r="C1797" s="773">
        <v>359</v>
      </c>
      <c r="D1797" s="773">
        <v>647</v>
      </c>
      <c r="E1797" s="773" t="s">
        <v>390</v>
      </c>
      <c r="S1797" s="27">
        <v>44227</v>
      </c>
      <c r="T1797" s="773" t="s">
        <v>132</v>
      </c>
      <c r="U1797" s="773">
        <v>53</v>
      </c>
      <c r="V1797" s="773">
        <v>1</v>
      </c>
      <c r="W1797" s="773" t="s">
        <v>410</v>
      </c>
    </row>
    <row r="1798" spans="1:23">
      <c r="A1798" s="27">
        <v>44985</v>
      </c>
      <c r="B1798" s="773" t="s">
        <v>140</v>
      </c>
      <c r="C1798" s="773">
        <v>640</v>
      </c>
      <c r="D1798" s="773">
        <v>2993</v>
      </c>
      <c r="E1798" s="773" t="s">
        <v>390</v>
      </c>
      <c r="S1798" s="27">
        <v>44592</v>
      </c>
      <c r="T1798" s="773" t="s">
        <v>132</v>
      </c>
      <c r="U1798" s="773">
        <v>664</v>
      </c>
      <c r="V1798" s="773">
        <v>2051</v>
      </c>
      <c r="W1798" s="773" t="s">
        <v>390</v>
      </c>
    </row>
    <row r="1799" spans="1:23">
      <c r="A1799" s="27">
        <v>44985</v>
      </c>
      <c r="B1799" s="773" t="s">
        <v>140</v>
      </c>
      <c r="C1799" s="773">
        <v>576</v>
      </c>
      <c r="D1799" s="773">
        <v>247</v>
      </c>
      <c r="E1799" s="773" t="s">
        <v>390</v>
      </c>
      <c r="S1799" s="27">
        <v>44592</v>
      </c>
      <c r="T1799" s="773" t="s">
        <v>132</v>
      </c>
      <c r="U1799" s="773">
        <v>64</v>
      </c>
      <c r="V1799" s="773">
        <v>3</v>
      </c>
      <c r="W1799" s="773" t="s">
        <v>410</v>
      </c>
    </row>
    <row r="1800" spans="1:23">
      <c r="A1800" s="27">
        <v>44620</v>
      </c>
      <c r="B1800" s="773" t="s">
        <v>140</v>
      </c>
      <c r="C1800" s="773">
        <v>742</v>
      </c>
      <c r="D1800" s="773">
        <v>1</v>
      </c>
      <c r="E1800" s="773" t="s">
        <v>410</v>
      </c>
      <c r="S1800" s="27">
        <v>44592</v>
      </c>
      <c r="T1800" s="773" t="s">
        <v>132</v>
      </c>
      <c r="U1800" s="773">
        <v>317</v>
      </c>
      <c r="V1800" s="773">
        <v>3208</v>
      </c>
      <c r="W1800" s="773" t="s">
        <v>390</v>
      </c>
    </row>
    <row r="1801" spans="1:23">
      <c r="A1801" s="27">
        <v>44985</v>
      </c>
      <c r="B1801" s="773" t="s">
        <v>140</v>
      </c>
      <c r="C1801" s="773">
        <v>383</v>
      </c>
      <c r="D1801" s="773">
        <v>2</v>
      </c>
      <c r="E1801" s="773" t="s">
        <v>410</v>
      </c>
      <c r="S1801" s="27">
        <v>44227</v>
      </c>
      <c r="T1801" s="773" t="s">
        <v>132</v>
      </c>
      <c r="U1801" s="773">
        <v>696</v>
      </c>
      <c r="V1801" s="773">
        <v>51</v>
      </c>
      <c r="W1801" s="773" t="s">
        <v>410</v>
      </c>
    </row>
    <row r="1802" spans="1:23">
      <c r="A1802" s="27">
        <v>44620</v>
      </c>
      <c r="B1802" s="773" t="s">
        <v>140</v>
      </c>
      <c r="C1802" s="773">
        <v>678</v>
      </c>
      <c r="D1802" s="773">
        <v>2314</v>
      </c>
      <c r="E1802" s="773" t="s">
        <v>390</v>
      </c>
      <c r="S1802" s="27">
        <v>44592</v>
      </c>
      <c r="T1802" s="773" t="s">
        <v>132</v>
      </c>
      <c r="U1802" s="773">
        <v>94</v>
      </c>
      <c r="V1802" s="773">
        <v>153</v>
      </c>
      <c r="W1802" s="773" t="s">
        <v>390</v>
      </c>
    </row>
    <row r="1803" spans="1:23">
      <c r="A1803" s="27">
        <v>44985</v>
      </c>
      <c r="B1803" s="773" t="s">
        <v>140</v>
      </c>
      <c r="C1803" s="773">
        <v>585</v>
      </c>
      <c r="D1803" s="773">
        <v>5127</v>
      </c>
      <c r="E1803" s="773" t="s">
        <v>390</v>
      </c>
      <c r="S1803" s="27">
        <v>44227</v>
      </c>
      <c r="T1803" s="773" t="s">
        <v>132</v>
      </c>
      <c r="U1803" s="773">
        <v>694</v>
      </c>
      <c r="V1803" s="773">
        <v>1</v>
      </c>
      <c r="W1803" s="773" t="s">
        <v>410</v>
      </c>
    </row>
    <row r="1804" spans="1:23">
      <c r="A1804" s="27">
        <v>44620</v>
      </c>
      <c r="B1804" s="773" t="s">
        <v>140</v>
      </c>
      <c r="C1804" s="773">
        <v>449</v>
      </c>
      <c r="D1804" s="773">
        <v>1860</v>
      </c>
      <c r="E1804" s="773" t="s">
        <v>390</v>
      </c>
      <c r="S1804" s="27">
        <v>44227</v>
      </c>
      <c r="T1804" s="773" t="s">
        <v>132</v>
      </c>
      <c r="U1804" s="773">
        <v>222</v>
      </c>
      <c r="V1804" s="773">
        <v>3</v>
      </c>
      <c r="W1804" s="773" t="s">
        <v>410</v>
      </c>
    </row>
    <row r="1805" spans="1:23">
      <c r="A1805" s="27">
        <v>44985</v>
      </c>
      <c r="B1805" s="773" t="s">
        <v>140</v>
      </c>
      <c r="C1805" s="773">
        <v>708</v>
      </c>
      <c r="D1805" s="773">
        <v>2973</v>
      </c>
      <c r="E1805" s="773" t="s">
        <v>390</v>
      </c>
      <c r="S1805" s="27">
        <v>44227</v>
      </c>
      <c r="T1805" s="773" t="s">
        <v>132</v>
      </c>
      <c r="U1805" s="773">
        <v>81</v>
      </c>
      <c r="V1805" s="773">
        <v>3</v>
      </c>
      <c r="W1805" s="773" t="s">
        <v>410</v>
      </c>
    </row>
    <row r="1806" spans="1:23">
      <c r="A1806" s="27">
        <v>44620</v>
      </c>
      <c r="B1806" s="773" t="s">
        <v>140</v>
      </c>
      <c r="C1806" s="773">
        <v>485</v>
      </c>
      <c r="D1806" s="773">
        <v>1184</v>
      </c>
      <c r="E1806" s="773" t="s">
        <v>390</v>
      </c>
      <c r="S1806" s="27">
        <v>44227</v>
      </c>
      <c r="T1806" s="773" t="s">
        <v>132</v>
      </c>
      <c r="U1806" s="773">
        <v>269</v>
      </c>
      <c r="V1806" s="773">
        <v>1</v>
      </c>
      <c r="W1806" s="773" t="s">
        <v>410</v>
      </c>
    </row>
    <row r="1807" spans="1:23">
      <c r="A1807" s="27">
        <v>44620</v>
      </c>
      <c r="B1807" s="773" t="s">
        <v>140</v>
      </c>
      <c r="C1807" s="773">
        <v>279</v>
      </c>
      <c r="D1807" s="773">
        <v>1</v>
      </c>
      <c r="E1807" s="773" t="s">
        <v>410</v>
      </c>
      <c r="S1807" s="27">
        <v>44227</v>
      </c>
      <c r="T1807" s="773" t="s">
        <v>132</v>
      </c>
      <c r="U1807" s="773">
        <v>275</v>
      </c>
      <c r="V1807" s="773">
        <v>1326</v>
      </c>
      <c r="W1807" s="773" t="s">
        <v>390</v>
      </c>
    </row>
    <row r="1808" spans="1:23">
      <c r="A1808" s="27">
        <v>44620</v>
      </c>
      <c r="B1808" s="773" t="s">
        <v>140</v>
      </c>
      <c r="C1808" s="773">
        <v>346</v>
      </c>
      <c r="D1808" s="773">
        <v>2</v>
      </c>
      <c r="E1808" s="773" t="s">
        <v>410</v>
      </c>
      <c r="S1808" s="27">
        <v>44592</v>
      </c>
      <c r="T1808" s="773" t="s">
        <v>132</v>
      </c>
      <c r="U1808" s="773">
        <v>257</v>
      </c>
      <c r="V1808" s="773">
        <v>2705</v>
      </c>
      <c r="W1808" s="773" t="s">
        <v>390</v>
      </c>
    </row>
    <row r="1809" spans="1:23">
      <c r="A1809" s="27">
        <v>44620</v>
      </c>
      <c r="B1809" s="773" t="s">
        <v>140</v>
      </c>
      <c r="C1809" s="773">
        <v>597</v>
      </c>
      <c r="D1809" s="773">
        <v>1178</v>
      </c>
      <c r="E1809" s="773" t="s">
        <v>390</v>
      </c>
      <c r="S1809" s="27">
        <v>44227</v>
      </c>
      <c r="T1809" s="773" t="s">
        <v>132</v>
      </c>
      <c r="U1809" s="773">
        <v>663</v>
      </c>
      <c r="V1809" s="773">
        <v>1135</v>
      </c>
      <c r="W1809" s="773" t="s">
        <v>390</v>
      </c>
    </row>
    <row r="1810" spans="1:23">
      <c r="A1810" s="27">
        <v>44985</v>
      </c>
      <c r="B1810" s="773" t="s">
        <v>140</v>
      </c>
      <c r="C1810" s="773">
        <v>639</v>
      </c>
      <c r="D1810" s="773">
        <v>143</v>
      </c>
      <c r="E1810" s="773" t="s">
        <v>390</v>
      </c>
      <c r="S1810" s="27">
        <v>44227</v>
      </c>
      <c r="T1810" s="773" t="s">
        <v>132</v>
      </c>
      <c r="U1810" s="773">
        <v>699</v>
      </c>
      <c r="V1810" s="773">
        <v>2163</v>
      </c>
      <c r="W1810" s="773" t="s">
        <v>390</v>
      </c>
    </row>
    <row r="1811" spans="1:23">
      <c r="A1811" s="27">
        <v>44620</v>
      </c>
      <c r="B1811" s="773" t="s">
        <v>140</v>
      </c>
      <c r="C1811" s="773">
        <v>640</v>
      </c>
      <c r="D1811" s="773">
        <v>3060</v>
      </c>
      <c r="E1811" s="773" t="s">
        <v>390</v>
      </c>
      <c r="S1811" s="27">
        <v>44227</v>
      </c>
      <c r="T1811" s="773" t="s">
        <v>132</v>
      </c>
      <c r="U1811" s="773">
        <v>158</v>
      </c>
      <c r="V1811" s="773">
        <v>52</v>
      </c>
      <c r="W1811" s="773" t="s">
        <v>410</v>
      </c>
    </row>
    <row r="1812" spans="1:23">
      <c r="A1812" s="27">
        <v>44620</v>
      </c>
      <c r="B1812" s="773" t="s">
        <v>140</v>
      </c>
      <c r="C1812" s="773">
        <v>387</v>
      </c>
      <c r="D1812" s="773">
        <v>9</v>
      </c>
      <c r="E1812" s="773" t="s">
        <v>410</v>
      </c>
      <c r="S1812" s="27">
        <v>44227</v>
      </c>
      <c r="T1812" s="773" t="s">
        <v>132</v>
      </c>
      <c r="U1812" s="773">
        <v>664</v>
      </c>
      <c r="V1812" s="773">
        <v>2142</v>
      </c>
      <c r="W1812" s="773" t="s">
        <v>390</v>
      </c>
    </row>
    <row r="1813" spans="1:23">
      <c r="A1813" s="27">
        <v>44985</v>
      </c>
      <c r="B1813" s="773" t="s">
        <v>140</v>
      </c>
      <c r="C1813" s="773">
        <v>485</v>
      </c>
      <c r="D1813" s="773">
        <v>1316</v>
      </c>
      <c r="E1813" s="773" t="s">
        <v>390</v>
      </c>
      <c r="S1813" s="27">
        <v>44592</v>
      </c>
      <c r="T1813" s="773" t="s">
        <v>132</v>
      </c>
      <c r="U1813" s="773">
        <v>40</v>
      </c>
      <c r="V1813" s="773">
        <v>2</v>
      </c>
      <c r="W1813" s="773" t="s">
        <v>410</v>
      </c>
    </row>
    <row r="1814" spans="1:23">
      <c r="A1814" s="27">
        <v>44985</v>
      </c>
      <c r="B1814" s="773" t="s">
        <v>140</v>
      </c>
      <c r="C1814" s="773">
        <v>510</v>
      </c>
      <c r="D1814" s="773">
        <v>1026</v>
      </c>
      <c r="E1814" s="773" t="s">
        <v>390</v>
      </c>
      <c r="S1814" s="27">
        <v>44592</v>
      </c>
      <c r="T1814" s="773" t="s">
        <v>132</v>
      </c>
      <c r="U1814" s="773">
        <v>296</v>
      </c>
      <c r="V1814" s="773">
        <v>2365</v>
      </c>
      <c r="W1814" s="773" t="s">
        <v>390</v>
      </c>
    </row>
    <row r="1815" spans="1:23">
      <c r="A1815" s="27">
        <v>44985</v>
      </c>
      <c r="B1815" s="773" t="s">
        <v>140</v>
      </c>
      <c r="C1815" s="773">
        <v>774</v>
      </c>
      <c r="D1815" s="773">
        <v>2292</v>
      </c>
      <c r="E1815" s="773" t="s">
        <v>390</v>
      </c>
      <c r="S1815" s="27">
        <v>44227</v>
      </c>
      <c r="T1815" s="773" t="s">
        <v>132</v>
      </c>
      <c r="U1815" s="773">
        <v>311</v>
      </c>
      <c r="V1815" s="773">
        <v>2344</v>
      </c>
      <c r="W1815" s="773" t="s">
        <v>390</v>
      </c>
    </row>
    <row r="1816" spans="1:23">
      <c r="A1816" s="27">
        <v>44620</v>
      </c>
      <c r="B1816" s="773" t="s">
        <v>140</v>
      </c>
      <c r="C1816" s="773">
        <v>453</v>
      </c>
      <c r="D1816" s="773">
        <v>2302</v>
      </c>
      <c r="E1816" s="773" t="s">
        <v>390</v>
      </c>
      <c r="S1816" s="27">
        <v>44592</v>
      </c>
      <c r="T1816" s="773" t="s">
        <v>132</v>
      </c>
      <c r="U1816" s="773">
        <v>204</v>
      </c>
      <c r="V1816" s="773">
        <v>22</v>
      </c>
      <c r="W1816" s="773" t="s">
        <v>410</v>
      </c>
    </row>
    <row r="1817" spans="1:23">
      <c r="A1817" s="27">
        <v>44985</v>
      </c>
      <c r="B1817" s="773" t="s">
        <v>140</v>
      </c>
      <c r="C1817" s="773">
        <v>379</v>
      </c>
      <c r="D1817" s="773">
        <v>1</v>
      </c>
      <c r="E1817" s="773" t="s">
        <v>410</v>
      </c>
      <c r="S1817" s="27">
        <v>44227</v>
      </c>
      <c r="T1817" s="773" t="s">
        <v>132</v>
      </c>
      <c r="U1817" s="773">
        <v>153</v>
      </c>
      <c r="V1817" s="773">
        <v>2224</v>
      </c>
      <c r="W1817" s="773" t="s">
        <v>390</v>
      </c>
    </row>
    <row r="1818" spans="1:23">
      <c r="A1818" s="27">
        <v>44985</v>
      </c>
      <c r="B1818" s="773" t="s">
        <v>140</v>
      </c>
      <c r="C1818" s="773">
        <v>746</v>
      </c>
      <c r="D1818" s="773">
        <v>2043</v>
      </c>
      <c r="E1818" s="773" t="s">
        <v>390</v>
      </c>
      <c r="S1818" s="27">
        <v>44592</v>
      </c>
      <c r="T1818" s="773" t="s">
        <v>132</v>
      </c>
      <c r="U1818" s="773">
        <v>650</v>
      </c>
      <c r="V1818" s="773">
        <v>75</v>
      </c>
      <c r="W1818" s="773" t="s">
        <v>410</v>
      </c>
    </row>
    <row r="1819" spans="1:23">
      <c r="A1819" s="27">
        <v>44620</v>
      </c>
      <c r="B1819" s="773" t="s">
        <v>140</v>
      </c>
      <c r="C1819" s="773">
        <v>659</v>
      </c>
      <c r="D1819" s="773">
        <v>569</v>
      </c>
      <c r="E1819" s="773" t="s">
        <v>390</v>
      </c>
      <c r="S1819" s="27">
        <v>44592</v>
      </c>
      <c r="T1819" s="773" t="s">
        <v>132</v>
      </c>
      <c r="U1819" s="773">
        <v>39</v>
      </c>
      <c r="V1819" s="773">
        <v>1</v>
      </c>
      <c r="W1819" s="773" t="s">
        <v>410</v>
      </c>
    </row>
    <row r="1820" spans="1:23">
      <c r="A1820" s="27">
        <v>44620</v>
      </c>
      <c r="B1820" s="773" t="s">
        <v>140</v>
      </c>
      <c r="C1820" s="773">
        <v>576</v>
      </c>
      <c r="D1820" s="773">
        <v>246</v>
      </c>
      <c r="E1820" s="773" t="s">
        <v>390</v>
      </c>
      <c r="S1820" s="27">
        <v>44227</v>
      </c>
      <c r="T1820" s="773" t="s">
        <v>132</v>
      </c>
      <c r="U1820" s="773">
        <v>79</v>
      </c>
      <c r="V1820" s="773">
        <v>4</v>
      </c>
      <c r="W1820" s="773" t="s">
        <v>410</v>
      </c>
    </row>
    <row r="1821" spans="1:23">
      <c r="A1821" s="27">
        <v>44985</v>
      </c>
      <c r="B1821" s="773" t="s">
        <v>140</v>
      </c>
      <c r="C1821" s="773">
        <v>691</v>
      </c>
      <c r="D1821" s="773">
        <v>160</v>
      </c>
      <c r="E1821" s="773" t="s">
        <v>390</v>
      </c>
      <c r="S1821" s="27">
        <v>44592</v>
      </c>
      <c r="T1821" s="773" t="s">
        <v>132</v>
      </c>
      <c r="U1821" s="773">
        <v>697</v>
      </c>
      <c r="V1821" s="773">
        <v>768</v>
      </c>
      <c r="W1821" s="773" t="s">
        <v>390</v>
      </c>
    </row>
    <row r="1822" spans="1:23">
      <c r="A1822" s="27">
        <v>44985</v>
      </c>
      <c r="B1822" s="773" t="s">
        <v>140</v>
      </c>
      <c r="C1822" s="773">
        <v>556</v>
      </c>
      <c r="D1822" s="773">
        <v>2634</v>
      </c>
      <c r="E1822" s="773" t="s">
        <v>390</v>
      </c>
      <c r="S1822" s="27">
        <v>44227</v>
      </c>
      <c r="T1822" s="773" t="s">
        <v>132</v>
      </c>
      <c r="U1822" s="773">
        <v>204</v>
      </c>
      <c r="V1822" s="773">
        <v>19</v>
      </c>
      <c r="W1822" s="773" t="s">
        <v>410</v>
      </c>
    </row>
    <row r="1823" spans="1:23">
      <c r="A1823" s="27">
        <v>44620</v>
      </c>
      <c r="B1823" s="773" t="s">
        <v>140</v>
      </c>
      <c r="C1823" s="773">
        <v>558</v>
      </c>
      <c r="D1823" s="773">
        <v>1274</v>
      </c>
      <c r="E1823" s="773" t="s">
        <v>390</v>
      </c>
      <c r="S1823" s="27">
        <v>44592</v>
      </c>
      <c r="T1823" s="773" t="s">
        <v>132</v>
      </c>
      <c r="U1823" s="773">
        <v>77</v>
      </c>
      <c r="V1823" s="773">
        <v>3326</v>
      </c>
      <c r="W1823" s="773" t="s">
        <v>390</v>
      </c>
    </row>
    <row r="1824" spans="1:23">
      <c r="A1824" s="27">
        <v>44620</v>
      </c>
      <c r="B1824" s="773" t="s">
        <v>140</v>
      </c>
      <c r="C1824" s="773">
        <v>379</v>
      </c>
      <c r="D1824" s="773">
        <v>1</v>
      </c>
      <c r="E1824" s="773" t="s">
        <v>410</v>
      </c>
      <c r="S1824" s="27">
        <v>44592</v>
      </c>
      <c r="T1824" s="773" t="s">
        <v>132</v>
      </c>
      <c r="U1824" s="773">
        <v>237</v>
      </c>
      <c r="V1824" s="773">
        <v>24</v>
      </c>
      <c r="W1824" s="773" t="s">
        <v>410</v>
      </c>
    </row>
    <row r="1825" spans="1:23">
      <c r="A1825" s="27">
        <v>44985</v>
      </c>
      <c r="B1825" s="773" t="s">
        <v>140</v>
      </c>
      <c r="C1825" s="773">
        <v>597</v>
      </c>
      <c r="D1825" s="773">
        <v>1328</v>
      </c>
      <c r="E1825" s="773" t="s">
        <v>390</v>
      </c>
      <c r="S1825" s="27">
        <v>44592</v>
      </c>
      <c r="T1825" s="773" t="s">
        <v>132</v>
      </c>
      <c r="U1825" s="773">
        <v>660</v>
      </c>
      <c r="V1825" s="773">
        <v>4</v>
      </c>
      <c r="W1825" s="773" t="s">
        <v>410</v>
      </c>
    </row>
    <row r="1826" spans="1:23">
      <c r="A1826" s="27">
        <v>44620</v>
      </c>
      <c r="B1826" s="773" t="s">
        <v>140</v>
      </c>
      <c r="C1826" s="773">
        <v>628</v>
      </c>
      <c r="D1826" s="773">
        <v>1620</v>
      </c>
      <c r="E1826" s="773" t="s">
        <v>390</v>
      </c>
      <c r="S1826" s="27">
        <v>44227</v>
      </c>
      <c r="T1826" s="773" t="s">
        <v>132</v>
      </c>
      <c r="U1826" s="773">
        <v>626</v>
      </c>
      <c r="V1826" s="773">
        <v>4</v>
      </c>
      <c r="W1826" s="773" t="s">
        <v>410</v>
      </c>
    </row>
    <row r="1827" spans="1:23">
      <c r="A1827" s="27">
        <v>44985</v>
      </c>
      <c r="B1827" s="773" t="s">
        <v>140</v>
      </c>
      <c r="C1827" s="773">
        <v>370</v>
      </c>
      <c r="D1827" s="773">
        <v>2</v>
      </c>
      <c r="E1827" s="773" t="s">
        <v>410</v>
      </c>
      <c r="S1827" s="27">
        <v>44227</v>
      </c>
      <c r="T1827" s="773" t="s">
        <v>132</v>
      </c>
      <c r="U1827" s="773">
        <v>97</v>
      </c>
      <c r="V1827" s="773">
        <v>2</v>
      </c>
      <c r="W1827" s="773" t="s">
        <v>410</v>
      </c>
    </row>
    <row r="1828" spans="1:23">
      <c r="A1828" s="27">
        <v>44985</v>
      </c>
      <c r="B1828" s="773" t="s">
        <v>140</v>
      </c>
      <c r="C1828" s="773">
        <v>648</v>
      </c>
      <c r="D1828" s="773">
        <v>1411</v>
      </c>
      <c r="E1828" s="773" t="s">
        <v>390</v>
      </c>
      <c r="S1828" s="27">
        <v>44592</v>
      </c>
      <c r="T1828" s="773" t="s">
        <v>132</v>
      </c>
      <c r="U1828" s="773">
        <v>622</v>
      </c>
      <c r="V1828" s="773">
        <v>1</v>
      </c>
      <c r="W1828" s="773" t="s">
        <v>410</v>
      </c>
    </row>
    <row r="1829" spans="1:23">
      <c r="A1829" s="27">
        <v>44620</v>
      </c>
      <c r="B1829" s="773" t="s">
        <v>140</v>
      </c>
      <c r="C1829" s="773">
        <v>585</v>
      </c>
      <c r="D1829" s="773">
        <v>3048</v>
      </c>
      <c r="E1829" s="773" t="s">
        <v>390</v>
      </c>
      <c r="S1829" s="27">
        <v>44592</v>
      </c>
      <c r="T1829" s="773" t="s">
        <v>132</v>
      </c>
      <c r="U1829" s="773">
        <v>239</v>
      </c>
      <c r="V1829" s="773">
        <v>9</v>
      </c>
      <c r="W1829" s="773" t="s">
        <v>410</v>
      </c>
    </row>
    <row r="1830" spans="1:23">
      <c r="A1830" s="27">
        <v>44985</v>
      </c>
      <c r="B1830" s="773" t="s">
        <v>140</v>
      </c>
      <c r="C1830" s="773">
        <v>387</v>
      </c>
      <c r="D1830" s="773">
        <v>8</v>
      </c>
      <c r="E1830" s="773" t="s">
        <v>410</v>
      </c>
      <c r="S1830" s="27">
        <v>44227</v>
      </c>
      <c r="T1830" s="773" t="s">
        <v>132</v>
      </c>
      <c r="U1830" s="773">
        <v>82</v>
      </c>
      <c r="V1830" s="773">
        <v>2276</v>
      </c>
      <c r="W1830" s="773" t="s">
        <v>390</v>
      </c>
    </row>
    <row r="1831" spans="1:23">
      <c r="A1831" s="27">
        <v>44620</v>
      </c>
      <c r="B1831" s="773" t="s">
        <v>140</v>
      </c>
      <c r="C1831" s="773">
        <v>722</v>
      </c>
      <c r="D1831" s="773">
        <v>1840</v>
      </c>
      <c r="E1831" s="773" t="s">
        <v>390</v>
      </c>
      <c r="S1831" s="27">
        <v>44227</v>
      </c>
      <c r="T1831" s="773" t="s">
        <v>132</v>
      </c>
      <c r="U1831" s="773">
        <v>11</v>
      </c>
      <c r="V1831" s="773">
        <v>31</v>
      </c>
      <c r="W1831" s="773" t="s">
        <v>410</v>
      </c>
    </row>
    <row r="1832" spans="1:23">
      <c r="A1832" s="27">
        <v>44985</v>
      </c>
      <c r="B1832" s="773" t="s">
        <v>140</v>
      </c>
      <c r="C1832" s="773">
        <v>0</v>
      </c>
      <c r="D1832" s="773">
        <v>7</v>
      </c>
      <c r="E1832" s="773" t="s">
        <v>410</v>
      </c>
      <c r="S1832" s="27">
        <v>44227</v>
      </c>
      <c r="T1832" s="773" t="s">
        <v>132</v>
      </c>
      <c r="U1832" s="773">
        <v>114</v>
      </c>
      <c r="V1832" s="773">
        <v>1</v>
      </c>
      <c r="W1832" s="773" t="s">
        <v>410</v>
      </c>
    </row>
    <row r="1833" spans="1:23">
      <c r="A1833" s="27">
        <v>45016</v>
      </c>
      <c r="B1833" s="773" t="s">
        <v>140</v>
      </c>
      <c r="C1833" s="773">
        <v>387</v>
      </c>
      <c r="D1833" s="773">
        <v>8</v>
      </c>
      <c r="E1833" s="773" t="s">
        <v>410</v>
      </c>
      <c r="S1833" s="27">
        <v>44227</v>
      </c>
      <c r="T1833" s="773" t="s">
        <v>132</v>
      </c>
      <c r="U1833" s="773">
        <v>256</v>
      </c>
      <c r="V1833" s="773">
        <v>2509</v>
      </c>
      <c r="W1833" s="773" t="s">
        <v>390</v>
      </c>
    </row>
    <row r="1834" spans="1:23">
      <c r="A1834" s="27">
        <v>45016</v>
      </c>
      <c r="B1834" s="773" t="s">
        <v>140</v>
      </c>
      <c r="C1834" s="773">
        <v>616</v>
      </c>
      <c r="D1834" s="773">
        <v>1</v>
      </c>
      <c r="E1834" s="773" t="s">
        <v>410</v>
      </c>
      <c r="S1834" s="27">
        <v>44592</v>
      </c>
      <c r="T1834" s="773" t="s">
        <v>132</v>
      </c>
      <c r="U1834" s="773">
        <v>11</v>
      </c>
      <c r="V1834" s="773">
        <v>27</v>
      </c>
      <c r="W1834" s="773" t="s">
        <v>410</v>
      </c>
    </row>
    <row r="1835" spans="1:23">
      <c r="A1835" s="27">
        <v>45016</v>
      </c>
      <c r="B1835" s="773" t="s">
        <v>140</v>
      </c>
      <c r="C1835" s="773">
        <v>758</v>
      </c>
      <c r="D1835" s="773">
        <v>1</v>
      </c>
      <c r="E1835" s="773" t="s">
        <v>410</v>
      </c>
      <c r="S1835" s="27">
        <v>44227</v>
      </c>
      <c r="T1835" s="773" t="s">
        <v>132</v>
      </c>
      <c r="U1835" s="773">
        <v>686</v>
      </c>
      <c r="V1835" s="773">
        <v>2308</v>
      </c>
      <c r="W1835" s="773" t="s">
        <v>390</v>
      </c>
    </row>
    <row r="1836" spans="1:23">
      <c r="A1836" s="27">
        <v>45016</v>
      </c>
      <c r="B1836" s="773" t="s">
        <v>140</v>
      </c>
      <c r="C1836" s="773">
        <v>742</v>
      </c>
      <c r="D1836" s="773">
        <v>1</v>
      </c>
      <c r="E1836" s="773" t="s">
        <v>410</v>
      </c>
      <c r="S1836" s="27">
        <v>44592</v>
      </c>
      <c r="T1836" s="773" t="s">
        <v>132</v>
      </c>
      <c r="U1836" s="773">
        <v>139</v>
      </c>
      <c r="V1836" s="773">
        <v>3047</v>
      </c>
      <c r="W1836" s="773" t="s">
        <v>390</v>
      </c>
    </row>
    <row r="1837" spans="1:23">
      <c r="A1837" s="27">
        <v>45016</v>
      </c>
      <c r="B1837" s="773" t="s">
        <v>140</v>
      </c>
      <c r="C1837" s="773">
        <v>594</v>
      </c>
      <c r="D1837" s="773">
        <v>2709</v>
      </c>
      <c r="E1837" s="773" t="s">
        <v>390</v>
      </c>
      <c r="S1837" s="27">
        <v>44592</v>
      </c>
      <c r="T1837" s="773" t="s">
        <v>132</v>
      </c>
      <c r="U1837" s="773">
        <v>295</v>
      </c>
      <c r="V1837" s="773">
        <v>6</v>
      </c>
      <c r="W1837" s="773" t="s">
        <v>410</v>
      </c>
    </row>
    <row r="1838" spans="1:23">
      <c r="A1838" s="27">
        <v>45016</v>
      </c>
      <c r="B1838" s="773" t="s">
        <v>140</v>
      </c>
      <c r="C1838" s="773">
        <v>338</v>
      </c>
      <c r="D1838" s="773">
        <v>2475</v>
      </c>
      <c r="E1838" s="773" t="s">
        <v>390</v>
      </c>
      <c r="S1838" s="27">
        <v>44592</v>
      </c>
      <c r="T1838" s="773" t="s">
        <v>132</v>
      </c>
      <c r="U1838" s="773">
        <v>294</v>
      </c>
      <c r="V1838" s="773">
        <v>65</v>
      </c>
      <c r="W1838" s="773" t="s">
        <v>410</v>
      </c>
    </row>
    <row r="1839" spans="1:23">
      <c r="A1839" s="27">
        <v>45016</v>
      </c>
      <c r="B1839" s="773" t="s">
        <v>140</v>
      </c>
      <c r="C1839" s="773">
        <v>610</v>
      </c>
      <c r="D1839" s="773">
        <v>4</v>
      </c>
      <c r="E1839" s="773" t="s">
        <v>410</v>
      </c>
      <c r="S1839" s="27">
        <v>44227</v>
      </c>
      <c r="T1839" s="773" t="s">
        <v>132</v>
      </c>
      <c r="U1839" s="773">
        <v>304</v>
      </c>
      <c r="V1839" s="773">
        <v>87</v>
      </c>
      <c r="W1839" s="773" t="s">
        <v>410</v>
      </c>
    </row>
    <row r="1840" spans="1:23">
      <c r="A1840" s="27">
        <v>45016</v>
      </c>
      <c r="B1840" s="773" t="s">
        <v>140</v>
      </c>
      <c r="C1840" s="773">
        <v>510</v>
      </c>
      <c r="D1840" s="773">
        <v>1037</v>
      </c>
      <c r="E1840" s="773" t="s">
        <v>390</v>
      </c>
      <c r="S1840" s="27">
        <v>44227</v>
      </c>
      <c r="T1840" s="773" t="s">
        <v>132</v>
      </c>
      <c r="U1840" s="773">
        <v>188</v>
      </c>
      <c r="V1840" s="773">
        <v>525</v>
      </c>
      <c r="W1840" s="773" t="s">
        <v>390</v>
      </c>
    </row>
    <row r="1841" spans="1:23">
      <c r="A1841" s="27">
        <v>45016</v>
      </c>
      <c r="B1841" s="773" t="s">
        <v>140</v>
      </c>
      <c r="C1841" s="773">
        <v>581</v>
      </c>
      <c r="D1841" s="773">
        <v>6</v>
      </c>
      <c r="E1841" s="773" t="s">
        <v>410</v>
      </c>
      <c r="S1841" s="27">
        <v>44227</v>
      </c>
      <c r="T1841" s="773" t="s">
        <v>132</v>
      </c>
      <c r="U1841" s="773">
        <v>176</v>
      </c>
      <c r="V1841" s="773">
        <v>1</v>
      </c>
      <c r="W1841" s="773" t="s">
        <v>410</v>
      </c>
    </row>
    <row r="1842" spans="1:23">
      <c r="A1842" s="27">
        <v>45016</v>
      </c>
      <c r="B1842" s="773" t="s">
        <v>140</v>
      </c>
      <c r="C1842" s="773">
        <v>548</v>
      </c>
      <c r="D1842" s="773">
        <v>970</v>
      </c>
      <c r="E1842" s="773" t="s">
        <v>390</v>
      </c>
      <c r="S1842" s="27">
        <v>44592</v>
      </c>
      <c r="T1842" s="773" t="s">
        <v>132</v>
      </c>
      <c r="U1842" s="773">
        <v>59</v>
      </c>
      <c r="V1842" s="773">
        <v>64</v>
      </c>
      <c r="W1842" s="773" t="s">
        <v>410</v>
      </c>
    </row>
    <row r="1843" spans="1:23">
      <c r="A1843" s="27">
        <v>45016</v>
      </c>
      <c r="B1843" s="773" t="s">
        <v>140</v>
      </c>
      <c r="C1843" s="773">
        <v>453</v>
      </c>
      <c r="D1843" s="773">
        <v>2351</v>
      </c>
      <c r="E1843" s="773" t="s">
        <v>390</v>
      </c>
      <c r="S1843" s="27">
        <v>44227</v>
      </c>
      <c r="T1843" s="773" t="s">
        <v>132</v>
      </c>
      <c r="U1843" s="773">
        <v>76</v>
      </c>
      <c r="V1843" s="773">
        <v>2618</v>
      </c>
      <c r="W1843" s="773" t="s">
        <v>390</v>
      </c>
    </row>
    <row r="1844" spans="1:23">
      <c r="A1844" s="27">
        <v>45016</v>
      </c>
      <c r="B1844" s="773" t="s">
        <v>140</v>
      </c>
      <c r="C1844" s="773">
        <v>740</v>
      </c>
      <c r="D1844" s="773">
        <v>362</v>
      </c>
      <c r="E1844" s="773" t="s">
        <v>390</v>
      </c>
      <c r="S1844" s="27">
        <v>44592</v>
      </c>
      <c r="T1844" s="773" t="s">
        <v>132</v>
      </c>
      <c r="U1844" s="773">
        <v>318</v>
      </c>
      <c r="V1844" s="773">
        <v>1998</v>
      </c>
      <c r="W1844" s="773" t="s">
        <v>390</v>
      </c>
    </row>
    <row r="1845" spans="1:23">
      <c r="A1845" s="27">
        <v>45016</v>
      </c>
      <c r="B1845" s="773" t="s">
        <v>140</v>
      </c>
      <c r="C1845" s="773">
        <v>574</v>
      </c>
      <c r="D1845" s="773">
        <v>2489</v>
      </c>
      <c r="E1845" s="773" t="s">
        <v>390</v>
      </c>
      <c r="S1845" s="27">
        <v>44227</v>
      </c>
      <c r="T1845" s="773" t="s">
        <v>132</v>
      </c>
      <c r="U1845" s="773">
        <v>698</v>
      </c>
      <c r="V1845" s="773">
        <v>2454</v>
      </c>
      <c r="W1845" s="773" t="s">
        <v>390</v>
      </c>
    </row>
    <row r="1846" spans="1:23">
      <c r="A1846" s="27">
        <v>45016</v>
      </c>
      <c r="B1846" s="773" t="s">
        <v>140</v>
      </c>
      <c r="C1846" s="773">
        <v>576</v>
      </c>
      <c r="D1846" s="773">
        <v>241</v>
      </c>
      <c r="E1846" s="773" t="s">
        <v>390</v>
      </c>
      <c r="S1846" s="27">
        <v>44227</v>
      </c>
      <c r="T1846" s="773" t="s">
        <v>132</v>
      </c>
      <c r="U1846" s="773">
        <v>257</v>
      </c>
      <c r="V1846" s="773">
        <v>2561</v>
      </c>
      <c r="W1846" s="773" t="s">
        <v>390</v>
      </c>
    </row>
    <row r="1847" spans="1:23">
      <c r="A1847" s="27">
        <v>45016</v>
      </c>
      <c r="B1847" s="773" t="s">
        <v>140</v>
      </c>
      <c r="C1847" s="773">
        <v>379</v>
      </c>
      <c r="D1847" s="773">
        <v>1</v>
      </c>
      <c r="E1847" s="773" t="s">
        <v>410</v>
      </c>
      <c r="S1847" s="27">
        <v>44592</v>
      </c>
      <c r="T1847" s="773" t="s">
        <v>132</v>
      </c>
      <c r="U1847" s="773">
        <v>254</v>
      </c>
      <c r="V1847" s="773">
        <v>7</v>
      </c>
      <c r="W1847" s="773" t="s">
        <v>410</v>
      </c>
    </row>
    <row r="1848" spans="1:23">
      <c r="A1848" s="27">
        <v>45016</v>
      </c>
      <c r="B1848" s="773" t="s">
        <v>140</v>
      </c>
      <c r="C1848" s="773">
        <v>585</v>
      </c>
      <c r="D1848" s="773">
        <v>5087</v>
      </c>
      <c r="E1848" s="773" t="s">
        <v>390</v>
      </c>
      <c r="S1848" s="27">
        <v>44592</v>
      </c>
      <c r="T1848" s="773" t="s">
        <v>132</v>
      </c>
      <c r="U1848" s="773">
        <v>97</v>
      </c>
      <c r="V1848" s="773">
        <v>2</v>
      </c>
      <c r="W1848" s="773" t="s">
        <v>410</v>
      </c>
    </row>
    <row r="1849" spans="1:23">
      <c r="A1849" s="27">
        <v>45016</v>
      </c>
      <c r="B1849" s="773" t="s">
        <v>140</v>
      </c>
      <c r="C1849" s="773">
        <v>678</v>
      </c>
      <c r="D1849" s="773">
        <v>1</v>
      </c>
      <c r="E1849" s="773" t="s">
        <v>410</v>
      </c>
      <c r="S1849" s="27">
        <v>44592</v>
      </c>
      <c r="T1849" s="773" t="s">
        <v>132</v>
      </c>
      <c r="U1849" s="773">
        <v>636</v>
      </c>
      <c r="V1849" s="773">
        <v>20</v>
      </c>
      <c r="W1849" s="773" t="s">
        <v>410</v>
      </c>
    </row>
    <row r="1850" spans="1:23">
      <c r="A1850" s="27">
        <v>45016</v>
      </c>
      <c r="B1850" s="773" t="s">
        <v>140</v>
      </c>
      <c r="C1850" s="773">
        <v>691</v>
      </c>
      <c r="D1850" s="773">
        <v>160</v>
      </c>
      <c r="E1850" s="773" t="s">
        <v>390</v>
      </c>
      <c r="S1850" s="27">
        <v>44592</v>
      </c>
      <c r="T1850" s="773" t="s">
        <v>132</v>
      </c>
      <c r="U1850" s="773">
        <v>688</v>
      </c>
      <c r="V1850" s="773">
        <v>2913</v>
      </c>
      <c r="W1850" s="773" t="s">
        <v>390</v>
      </c>
    </row>
    <row r="1851" spans="1:23">
      <c r="A1851" s="27">
        <v>45016</v>
      </c>
      <c r="B1851" s="773" t="s">
        <v>140</v>
      </c>
      <c r="C1851" s="773">
        <v>0</v>
      </c>
      <c r="D1851" s="773">
        <v>7</v>
      </c>
      <c r="E1851" s="773" t="s">
        <v>410</v>
      </c>
      <c r="S1851" s="27">
        <v>44592</v>
      </c>
      <c r="T1851" s="773" t="s">
        <v>132</v>
      </c>
      <c r="U1851" s="773">
        <v>251</v>
      </c>
      <c r="V1851" s="773">
        <v>2525</v>
      </c>
      <c r="W1851" s="773" t="s">
        <v>390</v>
      </c>
    </row>
    <row r="1852" spans="1:23">
      <c r="A1852" s="27">
        <v>45016</v>
      </c>
      <c r="B1852" s="773" t="s">
        <v>140</v>
      </c>
      <c r="C1852" s="773">
        <v>524</v>
      </c>
      <c r="D1852" s="773">
        <v>1093</v>
      </c>
      <c r="E1852" s="773" t="s">
        <v>390</v>
      </c>
      <c r="S1852" s="27">
        <v>44227</v>
      </c>
      <c r="T1852" s="773" t="s">
        <v>132</v>
      </c>
      <c r="U1852" s="773">
        <v>212</v>
      </c>
      <c r="V1852" s="773">
        <v>3260</v>
      </c>
      <c r="W1852" s="773" t="s">
        <v>390</v>
      </c>
    </row>
    <row r="1853" spans="1:23">
      <c r="A1853" s="27">
        <v>45016</v>
      </c>
      <c r="B1853" s="773" t="s">
        <v>140</v>
      </c>
      <c r="C1853" s="773">
        <v>774</v>
      </c>
      <c r="D1853" s="773">
        <v>2301</v>
      </c>
      <c r="E1853" s="773" t="s">
        <v>390</v>
      </c>
      <c r="S1853" s="27">
        <v>44227</v>
      </c>
      <c r="T1853" s="773" t="s">
        <v>132</v>
      </c>
      <c r="U1853" s="773">
        <v>181</v>
      </c>
      <c r="V1853" s="773">
        <v>1</v>
      </c>
      <c r="W1853" s="773" t="s">
        <v>410</v>
      </c>
    </row>
    <row r="1854" spans="1:23">
      <c r="A1854" s="27">
        <v>45016</v>
      </c>
      <c r="B1854" s="773" t="s">
        <v>140</v>
      </c>
      <c r="C1854" s="773">
        <v>639</v>
      </c>
      <c r="D1854" s="773">
        <v>146</v>
      </c>
      <c r="E1854" s="773" t="s">
        <v>390</v>
      </c>
      <c r="S1854" s="27">
        <v>44592</v>
      </c>
      <c r="T1854" s="773" t="s">
        <v>132</v>
      </c>
      <c r="U1854" s="773">
        <v>73</v>
      </c>
      <c r="V1854" s="773">
        <v>2</v>
      </c>
      <c r="W1854" s="773" t="s">
        <v>410</v>
      </c>
    </row>
    <row r="1855" spans="1:23">
      <c r="A1855" s="27">
        <v>45016</v>
      </c>
      <c r="B1855" s="773" t="s">
        <v>140</v>
      </c>
      <c r="C1855" s="773">
        <v>478</v>
      </c>
      <c r="D1855" s="773">
        <v>1</v>
      </c>
      <c r="E1855" s="773" t="s">
        <v>410</v>
      </c>
      <c r="S1855" s="27">
        <v>44592</v>
      </c>
      <c r="T1855" s="773" t="s">
        <v>132</v>
      </c>
      <c r="U1855" s="773">
        <v>157</v>
      </c>
      <c r="V1855" s="773">
        <v>1</v>
      </c>
      <c r="W1855" s="773" t="s">
        <v>410</v>
      </c>
    </row>
    <row r="1856" spans="1:23">
      <c r="A1856" s="27">
        <v>45016</v>
      </c>
      <c r="B1856" s="773" t="s">
        <v>140</v>
      </c>
      <c r="C1856" s="773">
        <v>449</v>
      </c>
      <c r="D1856" s="773">
        <v>1810</v>
      </c>
      <c r="E1856" s="773" t="s">
        <v>390</v>
      </c>
      <c r="S1856" s="27">
        <v>44227</v>
      </c>
      <c r="T1856" s="773" t="s">
        <v>132</v>
      </c>
      <c r="U1856" s="773">
        <v>645</v>
      </c>
      <c r="V1856" s="773">
        <v>2376</v>
      </c>
      <c r="W1856" s="773" t="s">
        <v>390</v>
      </c>
    </row>
    <row r="1857" spans="1:23">
      <c r="A1857" s="27">
        <v>45016</v>
      </c>
      <c r="B1857" s="773" t="s">
        <v>140</v>
      </c>
      <c r="C1857" s="773">
        <v>556</v>
      </c>
      <c r="D1857" s="773">
        <v>2571</v>
      </c>
      <c r="E1857" s="773" t="s">
        <v>390</v>
      </c>
      <c r="S1857" s="27">
        <v>44227</v>
      </c>
      <c r="T1857" s="773" t="s">
        <v>132</v>
      </c>
      <c r="U1857" s="773">
        <v>98</v>
      </c>
      <c r="V1857" s="773">
        <v>116</v>
      </c>
      <c r="W1857" s="773" t="s">
        <v>390</v>
      </c>
    </row>
    <row r="1858" spans="1:23">
      <c r="A1858" s="27">
        <v>45016</v>
      </c>
      <c r="B1858" s="773" t="s">
        <v>140</v>
      </c>
      <c r="C1858" s="773">
        <v>485</v>
      </c>
      <c r="D1858" s="773">
        <v>1318</v>
      </c>
      <c r="E1858" s="773" t="s">
        <v>390</v>
      </c>
      <c r="S1858" s="27">
        <v>44227</v>
      </c>
      <c r="T1858" s="773" t="s">
        <v>132</v>
      </c>
      <c r="U1858" s="773">
        <v>216</v>
      </c>
      <c r="V1858" s="773">
        <v>2167</v>
      </c>
      <c r="W1858" s="773" t="s">
        <v>390</v>
      </c>
    </row>
    <row r="1859" spans="1:23">
      <c r="A1859" s="27">
        <v>45016</v>
      </c>
      <c r="B1859" s="773" t="s">
        <v>140</v>
      </c>
      <c r="C1859" s="773">
        <v>628</v>
      </c>
      <c r="D1859" s="773">
        <v>1736</v>
      </c>
      <c r="E1859" s="773" t="s">
        <v>390</v>
      </c>
      <c r="S1859" s="27">
        <v>44592</v>
      </c>
      <c r="T1859" s="773" t="s">
        <v>132</v>
      </c>
      <c r="U1859" s="773">
        <v>114</v>
      </c>
      <c r="V1859" s="773">
        <v>1</v>
      </c>
      <c r="W1859" s="773" t="s">
        <v>410</v>
      </c>
    </row>
    <row r="1860" spans="1:23">
      <c r="A1860" s="27">
        <v>45016</v>
      </c>
      <c r="B1860" s="773" t="s">
        <v>140</v>
      </c>
      <c r="C1860" s="773">
        <v>626</v>
      </c>
      <c r="D1860" s="773">
        <v>3232</v>
      </c>
      <c r="E1860" s="773" t="s">
        <v>390</v>
      </c>
      <c r="S1860" s="27">
        <v>44227</v>
      </c>
      <c r="T1860" s="773" t="s">
        <v>132</v>
      </c>
      <c r="U1860" s="773">
        <v>238</v>
      </c>
      <c r="V1860" s="773">
        <v>4</v>
      </c>
      <c r="W1860" s="773" t="s">
        <v>410</v>
      </c>
    </row>
    <row r="1861" spans="1:23">
      <c r="A1861" s="27">
        <v>45016</v>
      </c>
      <c r="B1861" s="773" t="s">
        <v>140</v>
      </c>
      <c r="C1861" s="773">
        <v>359</v>
      </c>
      <c r="D1861" s="773">
        <v>876</v>
      </c>
      <c r="E1861" s="773" t="s">
        <v>390</v>
      </c>
      <c r="S1861" s="27">
        <v>44227</v>
      </c>
      <c r="T1861" s="773" t="s">
        <v>132</v>
      </c>
      <c r="U1861" s="773">
        <v>190</v>
      </c>
      <c r="V1861" s="773">
        <v>6</v>
      </c>
      <c r="W1861" s="773" t="s">
        <v>410</v>
      </c>
    </row>
    <row r="1862" spans="1:23">
      <c r="A1862" s="27">
        <v>45016</v>
      </c>
      <c r="B1862" s="773" t="s">
        <v>140</v>
      </c>
      <c r="C1862" s="773">
        <v>586</v>
      </c>
      <c r="D1862" s="773">
        <v>2303</v>
      </c>
      <c r="E1862" s="773" t="s">
        <v>390</v>
      </c>
      <c r="S1862" s="27">
        <v>44227</v>
      </c>
      <c r="T1862" s="773" t="s">
        <v>132</v>
      </c>
      <c r="U1862" s="773">
        <v>651</v>
      </c>
      <c r="V1862" s="773">
        <v>313</v>
      </c>
      <c r="W1862" s="773" t="s">
        <v>390</v>
      </c>
    </row>
    <row r="1863" spans="1:23">
      <c r="A1863" s="27">
        <v>45016</v>
      </c>
      <c r="B1863" s="773" t="s">
        <v>140</v>
      </c>
      <c r="C1863" s="773">
        <v>555</v>
      </c>
      <c r="D1863" s="773">
        <v>1630</v>
      </c>
      <c r="E1863" s="773" t="s">
        <v>390</v>
      </c>
      <c r="S1863" s="27">
        <v>44592</v>
      </c>
      <c r="T1863" s="773" t="s">
        <v>132</v>
      </c>
      <c r="U1863" s="773">
        <v>220</v>
      </c>
      <c r="V1863" s="773">
        <v>184</v>
      </c>
      <c r="W1863" s="773" t="s">
        <v>390</v>
      </c>
    </row>
    <row r="1864" spans="1:23">
      <c r="A1864" s="27">
        <v>45016</v>
      </c>
      <c r="B1864" s="773" t="s">
        <v>140</v>
      </c>
      <c r="C1864" s="773">
        <v>469</v>
      </c>
      <c r="D1864" s="773">
        <v>13</v>
      </c>
      <c r="E1864" s="773" t="s">
        <v>410</v>
      </c>
      <c r="S1864" s="27">
        <v>44592</v>
      </c>
      <c r="T1864" s="773" t="s">
        <v>132</v>
      </c>
      <c r="U1864" s="773">
        <v>241</v>
      </c>
      <c r="V1864" s="773">
        <v>32</v>
      </c>
      <c r="W1864" s="773" t="s">
        <v>410</v>
      </c>
    </row>
    <row r="1865" spans="1:23">
      <c r="A1865" s="27">
        <v>45016</v>
      </c>
      <c r="B1865" s="773" t="s">
        <v>140</v>
      </c>
      <c r="C1865" s="773">
        <v>722</v>
      </c>
      <c r="D1865" s="773">
        <v>2017</v>
      </c>
      <c r="E1865" s="773" t="s">
        <v>390</v>
      </c>
      <c r="S1865" s="27">
        <v>44227</v>
      </c>
      <c r="T1865" s="773" t="s">
        <v>132</v>
      </c>
      <c r="U1865" s="773">
        <v>203</v>
      </c>
      <c r="V1865" s="773">
        <v>3058</v>
      </c>
      <c r="W1865" s="773" t="s">
        <v>390</v>
      </c>
    </row>
    <row r="1866" spans="1:23">
      <c r="A1866" s="27">
        <v>45016</v>
      </c>
      <c r="B1866" s="773" t="s">
        <v>140</v>
      </c>
      <c r="C1866" s="773">
        <v>597</v>
      </c>
      <c r="D1866" s="773">
        <v>1323</v>
      </c>
      <c r="E1866" s="773" t="s">
        <v>390</v>
      </c>
      <c r="S1866" s="27">
        <v>44592</v>
      </c>
      <c r="T1866" s="773" t="s">
        <v>132</v>
      </c>
      <c r="U1866" s="773">
        <v>82</v>
      </c>
      <c r="V1866" s="773">
        <v>2062</v>
      </c>
      <c r="W1866" s="773" t="s">
        <v>390</v>
      </c>
    </row>
    <row r="1867" spans="1:23">
      <c r="A1867" s="27">
        <v>45016</v>
      </c>
      <c r="B1867" s="773" t="s">
        <v>140</v>
      </c>
      <c r="C1867" s="773">
        <v>601</v>
      </c>
      <c r="D1867" s="773">
        <v>3</v>
      </c>
      <c r="E1867" s="773" t="s">
        <v>410</v>
      </c>
      <c r="S1867" s="27">
        <v>44227</v>
      </c>
      <c r="T1867" s="773" t="s">
        <v>132</v>
      </c>
      <c r="U1867" s="773">
        <v>293</v>
      </c>
      <c r="V1867" s="773">
        <v>534</v>
      </c>
      <c r="W1867" s="773" t="s">
        <v>390</v>
      </c>
    </row>
    <row r="1868" spans="1:23">
      <c r="A1868" s="27">
        <v>45016</v>
      </c>
      <c r="B1868" s="773" t="s">
        <v>140</v>
      </c>
      <c r="C1868" s="773">
        <v>527</v>
      </c>
      <c r="D1868" s="773">
        <v>3</v>
      </c>
      <c r="E1868" s="773" t="s">
        <v>410</v>
      </c>
      <c r="S1868" s="27">
        <v>44227</v>
      </c>
      <c r="T1868" s="773" t="s">
        <v>132</v>
      </c>
      <c r="U1868" s="773">
        <v>77</v>
      </c>
      <c r="V1868" s="773">
        <v>3357</v>
      </c>
      <c r="W1868" s="773" t="s">
        <v>390</v>
      </c>
    </row>
    <row r="1869" spans="1:23">
      <c r="A1869" s="27">
        <v>45016</v>
      </c>
      <c r="B1869" s="773" t="s">
        <v>140</v>
      </c>
      <c r="C1869" s="773">
        <v>708</v>
      </c>
      <c r="D1869" s="773">
        <v>2973</v>
      </c>
      <c r="E1869" s="773" t="s">
        <v>390</v>
      </c>
      <c r="S1869" s="27">
        <v>44592</v>
      </c>
      <c r="T1869" s="773" t="s">
        <v>132</v>
      </c>
      <c r="U1869" s="773">
        <v>645</v>
      </c>
      <c r="V1869" s="773">
        <v>2778</v>
      </c>
      <c r="W1869" s="773" t="s">
        <v>390</v>
      </c>
    </row>
    <row r="1870" spans="1:23">
      <c r="A1870" s="27">
        <v>45016</v>
      </c>
      <c r="B1870" s="773" t="s">
        <v>140</v>
      </c>
      <c r="C1870" s="773">
        <v>630</v>
      </c>
      <c r="D1870" s="773">
        <v>1</v>
      </c>
      <c r="E1870" s="773" t="s">
        <v>410</v>
      </c>
      <c r="S1870" s="27">
        <v>44592</v>
      </c>
      <c r="T1870" s="773" t="s">
        <v>132</v>
      </c>
      <c r="U1870" s="773">
        <v>621</v>
      </c>
      <c r="V1870" s="773">
        <v>2243</v>
      </c>
      <c r="W1870" s="773" t="s">
        <v>390</v>
      </c>
    </row>
    <row r="1871" spans="1:23">
      <c r="A1871" s="27">
        <v>45016</v>
      </c>
      <c r="B1871" s="773" t="s">
        <v>140</v>
      </c>
      <c r="C1871" s="773">
        <v>650</v>
      </c>
      <c r="D1871" s="773">
        <v>2357</v>
      </c>
      <c r="E1871" s="773" t="s">
        <v>390</v>
      </c>
      <c r="S1871" s="27">
        <v>44227</v>
      </c>
      <c r="T1871" s="773" t="s">
        <v>132</v>
      </c>
      <c r="U1871" s="773">
        <v>255</v>
      </c>
      <c r="V1871" s="773">
        <v>2713</v>
      </c>
      <c r="W1871" s="773" t="s">
        <v>390</v>
      </c>
    </row>
    <row r="1872" spans="1:23">
      <c r="A1872" s="27">
        <v>45016</v>
      </c>
      <c r="B1872" s="773" t="s">
        <v>140</v>
      </c>
      <c r="C1872" s="773">
        <v>383</v>
      </c>
      <c r="D1872" s="773">
        <v>2</v>
      </c>
      <c r="E1872" s="773" t="s">
        <v>410</v>
      </c>
      <c r="S1872" s="27">
        <v>44592</v>
      </c>
      <c r="T1872" s="773" t="s">
        <v>132</v>
      </c>
      <c r="U1872" s="773">
        <v>703</v>
      </c>
      <c r="V1872" s="773">
        <v>2399</v>
      </c>
      <c r="W1872" s="773" t="s">
        <v>390</v>
      </c>
    </row>
    <row r="1873" spans="1:23">
      <c r="A1873" s="27">
        <v>45016</v>
      </c>
      <c r="B1873" s="773" t="s">
        <v>140</v>
      </c>
      <c r="C1873" s="773">
        <v>248</v>
      </c>
      <c r="D1873" s="773">
        <v>33</v>
      </c>
      <c r="E1873" s="773" t="s">
        <v>410</v>
      </c>
      <c r="S1873" s="27">
        <v>44227</v>
      </c>
      <c r="T1873" s="773" t="s">
        <v>132</v>
      </c>
      <c r="U1873" s="773">
        <v>202</v>
      </c>
      <c r="V1873" s="773">
        <v>1</v>
      </c>
      <c r="W1873" s="773" t="s">
        <v>410</v>
      </c>
    </row>
    <row r="1874" spans="1:23">
      <c r="A1874" s="27">
        <v>45016</v>
      </c>
      <c r="B1874" s="773" t="s">
        <v>140</v>
      </c>
      <c r="C1874" s="773">
        <v>346</v>
      </c>
      <c r="D1874" s="773">
        <v>3</v>
      </c>
      <c r="E1874" s="773" t="s">
        <v>410</v>
      </c>
      <c r="S1874" s="27">
        <v>44592</v>
      </c>
      <c r="T1874" s="773" t="s">
        <v>132</v>
      </c>
      <c r="U1874" s="773">
        <v>140</v>
      </c>
      <c r="V1874" s="773">
        <v>296</v>
      </c>
      <c r="W1874" s="773" t="s">
        <v>390</v>
      </c>
    </row>
    <row r="1875" spans="1:23">
      <c r="A1875" s="27">
        <v>45016</v>
      </c>
      <c r="B1875" s="773" t="s">
        <v>140</v>
      </c>
      <c r="C1875" s="773">
        <v>279</v>
      </c>
      <c r="D1875" s="773">
        <v>1</v>
      </c>
      <c r="E1875" s="773" t="s">
        <v>410</v>
      </c>
      <c r="S1875" s="27">
        <v>44592</v>
      </c>
      <c r="T1875" s="773" t="s">
        <v>132</v>
      </c>
      <c r="U1875" s="773">
        <v>132</v>
      </c>
      <c r="V1875" s="773">
        <v>2947</v>
      </c>
      <c r="W1875" s="773" t="s">
        <v>390</v>
      </c>
    </row>
    <row r="1876" spans="1:23">
      <c r="A1876" s="27">
        <v>45016</v>
      </c>
      <c r="B1876" s="773" t="s">
        <v>140</v>
      </c>
      <c r="C1876" s="773">
        <v>659</v>
      </c>
      <c r="D1876" s="773">
        <v>921</v>
      </c>
      <c r="E1876" s="773" t="s">
        <v>390</v>
      </c>
      <c r="S1876" s="27">
        <v>44592</v>
      </c>
      <c r="T1876" s="773" t="s">
        <v>132</v>
      </c>
      <c r="U1876" s="773">
        <v>528</v>
      </c>
      <c r="V1876" s="773">
        <v>340</v>
      </c>
      <c r="W1876" s="773" t="s">
        <v>390</v>
      </c>
    </row>
    <row r="1877" spans="1:23">
      <c r="A1877" s="27">
        <v>45016</v>
      </c>
      <c r="B1877" s="773" t="s">
        <v>140</v>
      </c>
      <c r="C1877" s="773">
        <v>267</v>
      </c>
      <c r="D1877" s="773">
        <v>1</v>
      </c>
      <c r="E1877" s="773" t="s">
        <v>410</v>
      </c>
      <c r="S1877" s="27">
        <v>44592</v>
      </c>
      <c r="T1877" s="773" t="s">
        <v>132</v>
      </c>
      <c r="U1877" s="773">
        <v>120</v>
      </c>
      <c r="V1877" s="773">
        <v>2</v>
      </c>
      <c r="W1877" s="773" t="s">
        <v>410</v>
      </c>
    </row>
    <row r="1878" spans="1:23">
      <c r="A1878" s="27">
        <v>45016</v>
      </c>
      <c r="B1878" s="773" t="s">
        <v>140</v>
      </c>
      <c r="C1878" s="773">
        <v>493</v>
      </c>
      <c r="D1878" s="773">
        <v>5</v>
      </c>
      <c r="E1878" s="773" t="s">
        <v>410</v>
      </c>
      <c r="S1878" s="27">
        <v>44592</v>
      </c>
      <c r="T1878" s="773" t="s">
        <v>132</v>
      </c>
      <c r="U1878" s="773">
        <v>164</v>
      </c>
      <c r="V1878" s="773">
        <v>10</v>
      </c>
      <c r="W1878" s="773" t="s">
        <v>410</v>
      </c>
    </row>
    <row r="1879" spans="1:23">
      <c r="A1879" s="27">
        <v>45016</v>
      </c>
      <c r="B1879" s="773" t="s">
        <v>140</v>
      </c>
      <c r="C1879" s="773">
        <v>530</v>
      </c>
      <c r="D1879" s="773">
        <v>1</v>
      </c>
      <c r="E1879" s="773" t="s">
        <v>410</v>
      </c>
      <c r="S1879" s="27">
        <v>44227</v>
      </c>
      <c r="T1879" s="773" t="s">
        <v>132</v>
      </c>
      <c r="U1879" s="773">
        <v>245</v>
      </c>
      <c r="V1879" s="773">
        <v>2417</v>
      </c>
      <c r="W1879" s="773" t="s">
        <v>390</v>
      </c>
    </row>
    <row r="1880" spans="1:23">
      <c r="A1880" s="27">
        <v>45016</v>
      </c>
      <c r="B1880" s="773" t="s">
        <v>140</v>
      </c>
      <c r="C1880" s="773">
        <v>640</v>
      </c>
      <c r="D1880" s="773">
        <v>3001</v>
      </c>
      <c r="E1880" s="773" t="s">
        <v>390</v>
      </c>
      <c r="S1880" s="27">
        <v>44592</v>
      </c>
      <c r="T1880" s="773" t="s">
        <v>132</v>
      </c>
      <c r="U1880" s="773">
        <v>48</v>
      </c>
      <c r="V1880" s="773">
        <v>759</v>
      </c>
      <c r="W1880" s="773" t="s">
        <v>390</v>
      </c>
    </row>
    <row r="1881" spans="1:23">
      <c r="A1881" s="27">
        <v>45016</v>
      </c>
      <c r="B1881" s="773" t="s">
        <v>140</v>
      </c>
      <c r="C1881" s="773">
        <v>648</v>
      </c>
      <c r="D1881" s="773">
        <v>1301</v>
      </c>
      <c r="E1881" s="773" t="s">
        <v>390</v>
      </c>
      <c r="S1881" s="27">
        <v>44227</v>
      </c>
      <c r="T1881" s="773" t="s">
        <v>132</v>
      </c>
      <c r="U1881" s="773">
        <v>265</v>
      </c>
      <c r="V1881" s="773">
        <v>1617</v>
      </c>
      <c r="W1881" s="773" t="s">
        <v>390</v>
      </c>
    </row>
    <row r="1882" spans="1:23">
      <c r="A1882" s="27">
        <v>45016</v>
      </c>
      <c r="B1882" s="773" t="s">
        <v>140</v>
      </c>
      <c r="C1882" s="773">
        <v>370</v>
      </c>
      <c r="D1882" s="773">
        <v>2</v>
      </c>
      <c r="E1882" s="773" t="s">
        <v>410</v>
      </c>
      <c r="S1882" s="27">
        <v>44227</v>
      </c>
      <c r="T1882" s="773" t="s">
        <v>132</v>
      </c>
      <c r="U1882" s="773">
        <v>292</v>
      </c>
      <c r="V1882" s="773">
        <v>8</v>
      </c>
      <c r="W1882" s="773" t="s">
        <v>410</v>
      </c>
    </row>
    <row r="1883" spans="1:23">
      <c r="A1883" s="27">
        <v>45016</v>
      </c>
      <c r="B1883" s="773" t="s">
        <v>140</v>
      </c>
      <c r="C1883" s="773">
        <v>558</v>
      </c>
      <c r="D1883" s="773">
        <v>1278</v>
      </c>
      <c r="E1883" s="773" t="s">
        <v>390</v>
      </c>
      <c r="S1883" s="27">
        <v>44592</v>
      </c>
      <c r="T1883" s="773" t="s">
        <v>132</v>
      </c>
      <c r="U1883" s="773">
        <v>0</v>
      </c>
      <c r="V1883" s="773">
        <v>39</v>
      </c>
      <c r="W1883" s="773" t="s">
        <v>410</v>
      </c>
    </row>
    <row r="1884" spans="1:23">
      <c r="A1884" s="27">
        <v>45016</v>
      </c>
      <c r="B1884" s="773" t="s">
        <v>140</v>
      </c>
      <c r="C1884" s="773">
        <v>746</v>
      </c>
      <c r="D1884" s="773">
        <v>2038</v>
      </c>
      <c r="E1884" s="773" t="s">
        <v>390</v>
      </c>
      <c r="S1884" s="27">
        <v>44227</v>
      </c>
      <c r="T1884" s="773" t="s">
        <v>132</v>
      </c>
      <c r="U1884" s="773">
        <v>680</v>
      </c>
      <c r="V1884" s="773">
        <v>2468</v>
      </c>
      <c r="W1884" s="773" t="s">
        <v>390</v>
      </c>
    </row>
    <row r="1885" spans="1:23">
      <c r="A1885" s="27">
        <v>45016</v>
      </c>
      <c r="B1885" s="773" t="s">
        <v>140</v>
      </c>
      <c r="C1885" s="773">
        <v>732</v>
      </c>
      <c r="D1885" s="773">
        <v>3</v>
      </c>
      <c r="E1885" s="773" t="s">
        <v>410</v>
      </c>
      <c r="S1885" s="27">
        <v>44592</v>
      </c>
      <c r="T1885" s="773" t="s">
        <v>132</v>
      </c>
      <c r="U1885" s="773">
        <v>249</v>
      </c>
      <c r="V1885" s="773">
        <v>2766</v>
      </c>
      <c r="W1885" s="773" t="s">
        <v>390</v>
      </c>
    </row>
    <row r="1886" spans="1:23">
      <c r="A1886" s="27">
        <v>45046</v>
      </c>
      <c r="B1886" s="773" t="s">
        <v>140</v>
      </c>
      <c r="C1886" s="773">
        <v>742</v>
      </c>
      <c r="D1886" s="773">
        <v>1</v>
      </c>
      <c r="E1886" s="773" t="s">
        <v>410</v>
      </c>
      <c r="S1886" s="27">
        <v>44592</v>
      </c>
      <c r="T1886" s="773" t="s">
        <v>132</v>
      </c>
      <c r="U1886" s="773">
        <v>698</v>
      </c>
      <c r="V1886" s="773">
        <v>2682</v>
      </c>
      <c r="W1886" s="773" t="s">
        <v>390</v>
      </c>
    </row>
    <row r="1887" spans="1:23">
      <c r="A1887" s="27">
        <v>45046</v>
      </c>
      <c r="B1887" s="773" t="s">
        <v>140</v>
      </c>
      <c r="C1887" s="773">
        <v>585</v>
      </c>
      <c r="D1887" s="773">
        <v>5068</v>
      </c>
      <c r="E1887" s="773" t="s">
        <v>390</v>
      </c>
      <c r="S1887" s="27">
        <v>44227</v>
      </c>
      <c r="T1887" s="773" t="s">
        <v>132</v>
      </c>
      <c r="U1887" s="773">
        <v>48</v>
      </c>
      <c r="V1887" s="773">
        <v>720</v>
      </c>
      <c r="W1887" s="773" t="s">
        <v>390</v>
      </c>
    </row>
    <row r="1888" spans="1:23">
      <c r="A1888" s="27">
        <v>45046</v>
      </c>
      <c r="B1888" s="773" t="s">
        <v>140</v>
      </c>
      <c r="C1888" s="773">
        <v>449</v>
      </c>
      <c r="D1888" s="773">
        <v>1811</v>
      </c>
      <c r="E1888" s="773" t="s">
        <v>390</v>
      </c>
      <c r="S1888" s="27">
        <v>44227</v>
      </c>
      <c r="T1888" s="773" t="s">
        <v>132</v>
      </c>
      <c r="U1888" s="773">
        <v>72</v>
      </c>
      <c r="V1888" s="773">
        <v>3</v>
      </c>
      <c r="W1888" s="773" t="s">
        <v>410</v>
      </c>
    </row>
    <row r="1889" spans="1:23">
      <c r="A1889" s="27">
        <v>45046</v>
      </c>
      <c r="B1889" s="773" t="s">
        <v>140</v>
      </c>
      <c r="C1889" s="773">
        <v>530</v>
      </c>
      <c r="D1889" s="773">
        <v>1</v>
      </c>
      <c r="E1889" s="773" t="s">
        <v>410</v>
      </c>
      <c r="S1889" s="27">
        <v>44592</v>
      </c>
      <c r="T1889" s="773" t="s">
        <v>132</v>
      </c>
      <c r="U1889" s="773">
        <v>212</v>
      </c>
      <c r="V1889" s="773">
        <v>3365</v>
      </c>
      <c r="W1889" s="773" t="s">
        <v>390</v>
      </c>
    </row>
    <row r="1890" spans="1:23">
      <c r="A1890" s="27">
        <v>45046</v>
      </c>
      <c r="B1890" s="773" t="s">
        <v>140</v>
      </c>
      <c r="C1890" s="773">
        <v>650</v>
      </c>
      <c r="D1890" s="773">
        <v>2361</v>
      </c>
      <c r="E1890" s="773" t="s">
        <v>390</v>
      </c>
      <c r="S1890" s="27">
        <v>44592</v>
      </c>
      <c r="T1890" s="773" t="s">
        <v>132</v>
      </c>
      <c r="U1890" s="773">
        <v>694</v>
      </c>
      <c r="V1890" s="773">
        <v>2</v>
      </c>
      <c r="W1890" s="773" t="s">
        <v>410</v>
      </c>
    </row>
    <row r="1891" spans="1:23">
      <c r="A1891" s="27">
        <v>45046</v>
      </c>
      <c r="B1891" s="773" t="s">
        <v>140</v>
      </c>
      <c r="C1891" s="773">
        <v>691</v>
      </c>
      <c r="D1891" s="773">
        <v>160</v>
      </c>
      <c r="E1891" s="773" t="s">
        <v>390</v>
      </c>
      <c r="S1891" s="27">
        <v>44227</v>
      </c>
      <c r="T1891" s="773" t="s">
        <v>132</v>
      </c>
      <c r="U1891" s="773">
        <v>220</v>
      </c>
      <c r="V1891" s="773">
        <v>11</v>
      </c>
      <c r="W1891" s="773" t="s">
        <v>410</v>
      </c>
    </row>
    <row r="1892" spans="1:23">
      <c r="A1892" s="27">
        <v>45046</v>
      </c>
      <c r="B1892" s="773" t="s">
        <v>140</v>
      </c>
      <c r="C1892" s="773">
        <v>626</v>
      </c>
      <c r="D1892" s="773">
        <v>3224</v>
      </c>
      <c r="E1892" s="773" t="s">
        <v>390</v>
      </c>
      <c r="S1892" s="27">
        <v>44227</v>
      </c>
      <c r="T1892" s="773" t="s">
        <v>132</v>
      </c>
      <c r="U1892" s="773">
        <v>688</v>
      </c>
      <c r="V1892" s="773">
        <v>2376</v>
      </c>
      <c r="W1892" s="773" t="s">
        <v>390</v>
      </c>
    </row>
    <row r="1893" spans="1:23">
      <c r="A1893" s="27">
        <v>45046</v>
      </c>
      <c r="B1893" s="773" t="s">
        <v>140</v>
      </c>
      <c r="C1893" s="773">
        <v>527</v>
      </c>
      <c r="D1893" s="773">
        <v>3</v>
      </c>
      <c r="E1893" s="773" t="s">
        <v>410</v>
      </c>
      <c r="S1893" s="27">
        <v>44592</v>
      </c>
      <c r="T1893" s="773" t="s">
        <v>132</v>
      </c>
      <c r="U1893" s="773">
        <v>161</v>
      </c>
      <c r="V1893" s="773">
        <v>4</v>
      </c>
      <c r="W1893" s="773" t="s">
        <v>410</v>
      </c>
    </row>
    <row r="1894" spans="1:23">
      <c r="A1894" s="27">
        <v>45046</v>
      </c>
      <c r="B1894" s="773" t="s">
        <v>140</v>
      </c>
      <c r="C1894" s="773">
        <v>610</v>
      </c>
      <c r="D1894" s="773">
        <v>4</v>
      </c>
      <c r="E1894" s="773" t="s">
        <v>410</v>
      </c>
      <c r="S1894" s="27">
        <v>44592</v>
      </c>
      <c r="T1894" s="773" t="s">
        <v>132</v>
      </c>
      <c r="U1894" s="773">
        <v>663</v>
      </c>
      <c r="V1894" s="773">
        <v>25</v>
      </c>
      <c r="W1894" s="773" t="s">
        <v>410</v>
      </c>
    </row>
    <row r="1895" spans="1:23">
      <c r="A1895" s="27">
        <v>45046</v>
      </c>
      <c r="B1895" s="773" t="s">
        <v>140</v>
      </c>
      <c r="C1895" s="773">
        <v>758</v>
      </c>
      <c r="D1895" s="773">
        <v>1</v>
      </c>
      <c r="E1895" s="773" t="s">
        <v>410</v>
      </c>
      <c r="S1895" s="27">
        <v>44592</v>
      </c>
      <c r="T1895" s="773" t="s">
        <v>132</v>
      </c>
      <c r="U1895" s="773">
        <v>246</v>
      </c>
      <c r="V1895" s="773">
        <v>4</v>
      </c>
      <c r="W1895" s="773" t="s">
        <v>410</v>
      </c>
    </row>
    <row r="1896" spans="1:23">
      <c r="A1896" s="27">
        <v>45046</v>
      </c>
      <c r="B1896" s="773" t="s">
        <v>140</v>
      </c>
      <c r="C1896" s="773">
        <v>510</v>
      </c>
      <c r="D1896" s="773">
        <v>1043</v>
      </c>
      <c r="E1896" s="773" t="s">
        <v>390</v>
      </c>
      <c r="S1896" s="27">
        <v>44592</v>
      </c>
      <c r="T1896" s="773" t="s">
        <v>132</v>
      </c>
      <c r="U1896" s="773">
        <v>195</v>
      </c>
      <c r="V1896" s="773">
        <v>1</v>
      </c>
      <c r="W1896" s="773" t="s">
        <v>410</v>
      </c>
    </row>
    <row r="1897" spans="1:23">
      <c r="A1897" s="27">
        <v>45046</v>
      </c>
      <c r="B1897" s="773" t="s">
        <v>140</v>
      </c>
      <c r="C1897" s="773">
        <v>594</v>
      </c>
      <c r="D1897" s="773">
        <v>2713</v>
      </c>
      <c r="E1897" s="773" t="s">
        <v>390</v>
      </c>
      <c r="S1897" s="27">
        <v>44227</v>
      </c>
      <c r="T1897" s="773" t="s">
        <v>132</v>
      </c>
      <c r="U1897" s="773">
        <v>308</v>
      </c>
      <c r="V1897" s="773">
        <v>596</v>
      </c>
      <c r="W1897" s="773" t="s">
        <v>390</v>
      </c>
    </row>
    <row r="1898" spans="1:23">
      <c r="A1898" s="27">
        <v>45046</v>
      </c>
      <c r="B1898" s="773" t="s">
        <v>140</v>
      </c>
      <c r="C1898" s="773">
        <v>574</v>
      </c>
      <c r="D1898" s="773">
        <v>2501</v>
      </c>
      <c r="E1898" s="773" t="s">
        <v>390</v>
      </c>
      <c r="S1898" s="27">
        <v>44592</v>
      </c>
      <c r="T1898" s="773" t="s">
        <v>132</v>
      </c>
      <c r="U1898" s="773">
        <v>275</v>
      </c>
      <c r="V1898" s="773">
        <v>692</v>
      </c>
      <c r="W1898" s="773" t="s">
        <v>390</v>
      </c>
    </row>
    <row r="1899" spans="1:23">
      <c r="A1899" s="27">
        <v>45046</v>
      </c>
      <c r="B1899" s="773" t="s">
        <v>140</v>
      </c>
      <c r="C1899" s="773">
        <v>493</v>
      </c>
      <c r="D1899" s="773">
        <v>5</v>
      </c>
      <c r="E1899" s="773" t="s">
        <v>410</v>
      </c>
      <c r="S1899" s="27">
        <v>44592</v>
      </c>
      <c r="T1899" s="773" t="s">
        <v>132</v>
      </c>
      <c r="U1899" s="773">
        <v>667</v>
      </c>
      <c r="V1899" s="773">
        <v>2</v>
      </c>
      <c r="W1899" s="773" t="s">
        <v>410</v>
      </c>
    </row>
    <row r="1900" spans="1:23">
      <c r="A1900" s="27">
        <v>45046</v>
      </c>
      <c r="B1900" s="773" t="s">
        <v>140</v>
      </c>
      <c r="C1900" s="773">
        <v>556</v>
      </c>
      <c r="D1900" s="773">
        <v>2566</v>
      </c>
      <c r="E1900" s="773" t="s">
        <v>390</v>
      </c>
      <c r="S1900" s="27">
        <v>44592</v>
      </c>
      <c r="T1900" s="773" t="s">
        <v>132</v>
      </c>
      <c r="U1900" s="773">
        <v>158</v>
      </c>
      <c r="V1900" s="773">
        <v>93</v>
      </c>
      <c r="W1900" s="773" t="s">
        <v>410</v>
      </c>
    </row>
    <row r="1901" spans="1:23">
      <c r="A1901" s="27">
        <v>45046</v>
      </c>
      <c r="B1901" s="773" t="s">
        <v>140</v>
      </c>
      <c r="C1901" s="773">
        <v>576</v>
      </c>
      <c r="D1901" s="773">
        <v>160</v>
      </c>
      <c r="E1901" s="773" t="s">
        <v>390</v>
      </c>
      <c r="S1901" s="27">
        <v>44592</v>
      </c>
      <c r="T1901" s="773" t="s">
        <v>132</v>
      </c>
      <c r="U1901" s="773">
        <v>654</v>
      </c>
      <c r="V1901" s="773">
        <v>2358</v>
      </c>
      <c r="W1901" s="773" t="s">
        <v>390</v>
      </c>
    </row>
    <row r="1902" spans="1:23">
      <c r="A1902" s="27">
        <v>45046</v>
      </c>
      <c r="B1902" s="773" t="s">
        <v>140</v>
      </c>
      <c r="C1902" s="773">
        <v>359</v>
      </c>
      <c r="D1902" s="773">
        <v>868</v>
      </c>
      <c r="E1902" s="773" t="s">
        <v>390</v>
      </c>
      <c r="S1902" s="27">
        <v>44227</v>
      </c>
      <c r="T1902" s="773" t="s">
        <v>132</v>
      </c>
      <c r="U1902" s="773">
        <v>700</v>
      </c>
      <c r="V1902" s="773">
        <v>1195</v>
      </c>
      <c r="W1902" s="773" t="s">
        <v>390</v>
      </c>
    </row>
    <row r="1903" spans="1:23">
      <c r="A1903" s="27">
        <v>45046</v>
      </c>
      <c r="B1903" s="773" t="s">
        <v>140</v>
      </c>
      <c r="C1903" s="773">
        <v>379</v>
      </c>
      <c r="D1903" s="773">
        <v>1</v>
      </c>
      <c r="E1903" s="773" t="s">
        <v>410</v>
      </c>
      <c r="S1903" s="27">
        <v>44227</v>
      </c>
      <c r="T1903" s="773" t="s">
        <v>132</v>
      </c>
      <c r="U1903" s="773">
        <v>70</v>
      </c>
      <c r="V1903" s="773">
        <v>226</v>
      </c>
      <c r="W1903" s="773" t="s">
        <v>390</v>
      </c>
    </row>
    <row r="1904" spans="1:23">
      <c r="A1904" s="27">
        <v>45046</v>
      </c>
      <c r="B1904" s="773" t="s">
        <v>140</v>
      </c>
      <c r="C1904" s="773">
        <v>708</v>
      </c>
      <c r="D1904" s="773">
        <v>2985</v>
      </c>
      <c r="E1904" s="773" t="s">
        <v>390</v>
      </c>
      <c r="S1904" s="27">
        <v>44592</v>
      </c>
      <c r="T1904" s="773" t="s">
        <v>132</v>
      </c>
      <c r="U1904" s="773">
        <v>188</v>
      </c>
      <c r="V1904" s="773">
        <v>614</v>
      </c>
      <c r="W1904" s="773" t="s">
        <v>390</v>
      </c>
    </row>
    <row r="1905" spans="1:23">
      <c r="A1905" s="27">
        <v>45046</v>
      </c>
      <c r="B1905" s="773" t="s">
        <v>140</v>
      </c>
      <c r="C1905" s="773">
        <v>370</v>
      </c>
      <c r="D1905" s="773">
        <v>2</v>
      </c>
      <c r="E1905" s="773" t="s">
        <v>410</v>
      </c>
      <c r="S1905" s="27">
        <v>44227</v>
      </c>
      <c r="T1905" s="773" t="s">
        <v>132</v>
      </c>
      <c r="U1905" s="773">
        <v>164</v>
      </c>
      <c r="V1905" s="773">
        <v>8</v>
      </c>
      <c r="W1905" s="773" t="s">
        <v>410</v>
      </c>
    </row>
    <row r="1906" spans="1:23">
      <c r="A1906" s="27">
        <v>45046</v>
      </c>
      <c r="B1906" s="773" t="s">
        <v>140</v>
      </c>
      <c r="C1906" s="773">
        <v>338</v>
      </c>
      <c r="D1906" s="773">
        <v>2479</v>
      </c>
      <c r="E1906" s="773" t="s">
        <v>390</v>
      </c>
      <c r="S1906" s="27">
        <v>44227</v>
      </c>
      <c r="T1906" s="773" t="s">
        <v>132</v>
      </c>
      <c r="U1906" s="773">
        <v>89</v>
      </c>
      <c r="V1906" s="773">
        <v>1240</v>
      </c>
      <c r="W1906" s="773" t="s">
        <v>390</v>
      </c>
    </row>
    <row r="1907" spans="1:23">
      <c r="A1907" s="27">
        <v>45046</v>
      </c>
      <c r="B1907" s="773" t="s">
        <v>140</v>
      </c>
      <c r="C1907" s="773">
        <v>601</v>
      </c>
      <c r="D1907" s="773">
        <v>3</v>
      </c>
      <c r="E1907" s="773" t="s">
        <v>410</v>
      </c>
      <c r="S1907" s="27">
        <v>44592</v>
      </c>
      <c r="T1907" s="773" t="s">
        <v>132</v>
      </c>
      <c r="U1907" s="773">
        <v>626</v>
      </c>
      <c r="V1907" s="773">
        <v>5</v>
      </c>
      <c r="W1907" s="773" t="s">
        <v>410</v>
      </c>
    </row>
    <row r="1908" spans="1:23">
      <c r="A1908" s="27">
        <v>45046</v>
      </c>
      <c r="B1908" s="773" t="s">
        <v>140</v>
      </c>
      <c r="C1908" s="773">
        <v>586</v>
      </c>
      <c r="D1908" s="773">
        <v>2299</v>
      </c>
      <c r="E1908" s="773" t="s">
        <v>390</v>
      </c>
      <c r="S1908" s="27">
        <v>44592</v>
      </c>
      <c r="T1908" s="773" t="s">
        <v>132</v>
      </c>
      <c r="U1908" s="773">
        <v>124</v>
      </c>
      <c r="V1908" s="773">
        <v>12</v>
      </c>
      <c r="W1908" s="773" t="s">
        <v>410</v>
      </c>
    </row>
    <row r="1909" spans="1:23">
      <c r="A1909" s="27">
        <v>45046</v>
      </c>
      <c r="B1909" s="773" t="s">
        <v>140</v>
      </c>
      <c r="C1909" s="773">
        <v>548</v>
      </c>
      <c r="D1909" s="773">
        <v>968</v>
      </c>
      <c r="E1909" s="773" t="s">
        <v>390</v>
      </c>
      <c r="S1909" s="27">
        <v>44592</v>
      </c>
      <c r="T1909" s="773" t="s">
        <v>132</v>
      </c>
      <c r="U1909" s="773">
        <v>291</v>
      </c>
      <c r="V1909" s="773">
        <v>2000</v>
      </c>
      <c r="W1909" s="773" t="s">
        <v>390</v>
      </c>
    </row>
    <row r="1910" spans="1:23">
      <c r="A1910" s="27">
        <v>45046</v>
      </c>
      <c r="B1910" s="773" t="s">
        <v>140</v>
      </c>
      <c r="C1910" s="773">
        <v>524</v>
      </c>
      <c r="D1910" s="773">
        <v>2034</v>
      </c>
      <c r="E1910" s="773" t="s">
        <v>390</v>
      </c>
      <c r="S1910" s="27">
        <v>44227</v>
      </c>
      <c r="T1910" s="773" t="s">
        <v>132</v>
      </c>
      <c r="U1910" s="773">
        <v>111</v>
      </c>
      <c r="V1910" s="773">
        <v>1</v>
      </c>
      <c r="W1910" s="773" t="s">
        <v>410</v>
      </c>
    </row>
    <row r="1911" spans="1:23">
      <c r="A1911" s="27">
        <v>45046</v>
      </c>
      <c r="B1911" s="773" t="s">
        <v>140</v>
      </c>
      <c r="C1911" s="773">
        <v>597</v>
      </c>
      <c r="D1911" s="773">
        <v>1326</v>
      </c>
      <c r="E1911" s="773" t="s">
        <v>390</v>
      </c>
      <c r="S1911" s="27">
        <v>44227</v>
      </c>
      <c r="T1911" s="773" t="s">
        <v>132</v>
      </c>
      <c r="U1911" s="773">
        <v>120</v>
      </c>
      <c r="V1911" s="773">
        <v>5</v>
      </c>
      <c r="W1911" s="773" t="s">
        <v>410</v>
      </c>
    </row>
    <row r="1912" spans="1:23">
      <c r="A1912" s="27">
        <v>45046</v>
      </c>
      <c r="B1912" s="773" t="s">
        <v>140</v>
      </c>
      <c r="C1912" s="773">
        <v>469</v>
      </c>
      <c r="D1912" s="773">
        <v>13</v>
      </c>
      <c r="E1912" s="773" t="s">
        <v>410</v>
      </c>
      <c r="S1912" s="27">
        <v>44227</v>
      </c>
      <c r="T1912" s="773" t="s">
        <v>132</v>
      </c>
      <c r="U1912" s="773">
        <v>42</v>
      </c>
      <c r="V1912" s="773">
        <v>1</v>
      </c>
      <c r="W1912" s="773" t="s">
        <v>410</v>
      </c>
    </row>
    <row r="1913" spans="1:23">
      <c r="A1913" s="27">
        <v>45046</v>
      </c>
      <c r="B1913" s="773" t="s">
        <v>140</v>
      </c>
      <c r="C1913" s="773">
        <v>774</v>
      </c>
      <c r="D1913" s="773">
        <v>2299</v>
      </c>
      <c r="E1913" s="773" t="s">
        <v>390</v>
      </c>
      <c r="S1913" s="27">
        <v>44227</v>
      </c>
      <c r="T1913" s="773" t="s">
        <v>132</v>
      </c>
      <c r="U1913" s="773">
        <v>64</v>
      </c>
      <c r="V1913" s="773">
        <v>4</v>
      </c>
      <c r="W1913" s="773" t="s">
        <v>410</v>
      </c>
    </row>
    <row r="1914" spans="1:23">
      <c r="A1914" s="27">
        <v>45046</v>
      </c>
      <c r="B1914" s="773" t="s">
        <v>140</v>
      </c>
      <c r="C1914" s="773">
        <v>346</v>
      </c>
      <c r="D1914" s="773">
        <v>3</v>
      </c>
      <c r="E1914" s="773" t="s">
        <v>410</v>
      </c>
      <c r="S1914" s="27">
        <v>44227</v>
      </c>
      <c r="T1914" s="773" t="s">
        <v>132</v>
      </c>
      <c r="U1914" s="773">
        <v>271</v>
      </c>
      <c r="V1914" s="773">
        <v>2265</v>
      </c>
      <c r="W1914" s="773" t="s">
        <v>390</v>
      </c>
    </row>
    <row r="1915" spans="1:23">
      <c r="A1915" s="27">
        <v>45046</v>
      </c>
      <c r="B1915" s="773" t="s">
        <v>140</v>
      </c>
      <c r="C1915" s="773">
        <v>630</v>
      </c>
      <c r="D1915" s="773">
        <v>1</v>
      </c>
      <c r="E1915" s="773" t="s">
        <v>410</v>
      </c>
      <c r="S1915" s="27">
        <v>44227</v>
      </c>
      <c r="T1915" s="773" t="s">
        <v>132</v>
      </c>
      <c r="U1915" s="773">
        <v>52</v>
      </c>
      <c r="V1915" s="773">
        <v>2</v>
      </c>
      <c r="W1915" s="773" t="s">
        <v>410</v>
      </c>
    </row>
    <row r="1916" spans="1:23">
      <c r="A1916" s="27">
        <v>45046</v>
      </c>
      <c r="B1916" s="773" t="s">
        <v>140</v>
      </c>
      <c r="C1916" s="773">
        <v>555</v>
      </c>
      <c r="D1916" s="773">
        <v>1630</v>
      </c>
      <c r="E1916" s="773" t="s">
        <v>390</v>
      </c>
      <c r="S1916" s="27">
        <v>44227</v>
      </c>
      <c r="T1916" s="773" t="s">
        <v>132</v>
      </c>
      <c r="U1916" s="773">
        <v>670</v>
      </c>
      <c r="V1916" s="773">
        <v>3322</v>
      </c>
      <c r="W1916" s="773" t="s">
        <v>390</v>
      </c>
    </row>
    <row r="1917" spans="1:23">
      <c r="A1917" s="27">
        <v>45046</v>
      </c>
      <c r="B1917" s="773" t="s">
        <v>140</v>
      </c>
      <c r="C1917" s="773">
        <v>678</v>
      </c>
      <c r="D1917" s="773">
        <v>1</v>
      </c>
      <c r="E1917" s="773" t="s">
        <v>410</v>
      </c>
      <c r="S1917" s="27">
        <v>44227</v>
      </c>
      <c r="T1917" s="773" t="s">
        <v>132</v>
      </c>
      <c r="U1917" s="773">
        <v>148</v>
      </c>
      <c r="V1917" s="773">
        <v>1</v>
      </c>
      <c r="W1917" s="773" t="s">
        <v>410</v>
      </c>
    </row>
    <row r="1918" spans="1:23">
      <c r="A1918" s="27">
        <v>45046</v>
      </c>
      <c r="B1918" s="773" t="s">
        <v>140</v>
      </c>
      <c r="C1918" s="773">
        <v>659</v>
      </c>
      <c r="D1918" s="773">
        <v>914</v>
      </c>
      <c r="E1918" s="773" t="s">
        <v>390</v>
      </c>
      <c r="S1918" s="27">
        <v>44227</v>
      </c>
      <c r="T1918" s="773" t="s">
        <v>132</v>
      </c>
      <c r="U1918" s="773">
        <v>171</v>
      </c>
      <c r="V1918" s="773">
        <v>134</v>
      </c>
      <c r="W1918" s="773" t="s">
        <v>390</v>
      </c>
    </row>
    <row r="1919" spans="1:23">
      <c r="A1919" s="27">
        <v>45046</v>
      </c>
      <c r="B1919" s="773" t="s">
        <v>140</v>
      </c>
      <c r="C1919" s="773">
        <v>640</v>
      </c>
      <c r="D1919" s="773">
        <v>2989</v>
      </c>
      <c r="E1919" s="773" t="s">
        <v>390</v>
      </c>
      <c r="S1919" s="27">
        <v>44592</v>
      </c>
      <c r="T1919" s="773" t="s">
        <v>132</v>
      </c>
      <c r="U1919" s="773">
        <v>43</v>
      </c>
      <c r="V1919" s="773">
        <v>550</v>
      </c>
      <c r="W1919" s="773" t="s">
        <v>390</v>
      </c>
    </row>
    <row r="1920" spans="1:23">
      <c r="A1920" s="27">
        <v>45046</v>
      </c>
      <c r="B1920" s="773" t="s">
        <v>140</v>
      </c>
      <c r="C1920" s="773">
        <v>705</v>
      </c>
      <c r="D1920" s="773">
        <v>1</v>
      </c>
      <c r="E1920" s="773" t="s">
        <v>410</v>
      </c>
      <c r="S1920" s="27">
        <v>44592</v>
      </c>
      <c r="T1920" s="773" t="s">
        <v>132</v>
      </c>
      <c r="U1920" s="773">
        <v>233</v>
      </c>
      <c r="V1920" s="773">
        <v>8302</v>
      </c>
      <c r="W1920" s="773" t="s">
        <v>390</v>
      </c>
    </row>
    <row r="1921" spans="1:23">
      <c r="A1921" s="27">
        <v>45046</v>
      </c>
      <c r="B1921" s="773" t="s">
        <v>140</v>
      </c>
      <c r="C1921" s="773">
        <v>639</v>
      </c>
      <c r="D1921" s="773">
        <v>146</v>
      </c>
      <c r="E1921" s="773" t="s">
        <v>390</v>
      </c>
      <c r="S1921" s="27">
        <v>44592</v>
      </c>
      <c r="T1921" s="773" t="s">
        <v>132</v>
      </c>
      <c r="U1921" s="773">
        <v>56</v>
      </c>
      <c r="V1921" s="773">
        <v>43</v>
      </c>
      <c r="W1921" s="773" t="s">
        <v>410</v>
      </c>
    </row>
    <row r="1922" spans="1:23">
      <c r="A1922" s="27">
        <v>45046</v>
      </c>
      <c r="B1922" s="773" t="s">
        <v>140</v>
      </c>
      <c r="C1922" s="773">
        <v>453</v>
      </c>
      <c r="D1922" s="773">
        <v>2518</v>
      </c>
      <c r="E1922" s="773" t="s">
        <v>390</v>
      </c>
      <c r="S1922" s="27">
        <v>44227</v>
      </c>
      <c r="T1922" s="773" t="s">
        <v>132</v>
      </c>
      <c r="U1922" s="773">
        <v>231</v>
      </c>
      <c r="V1922" s="773">
        <v>5</v>
      </c>
      <c r="W1922" s="773" t="s">
        <v>410</v>
      </c>
    </row>
    <row r="1923" spans="1:23">
      <c r="A1923" s="27">
        <v>45046</v>
      </c>
      <c r="B1923" s="773" t="s">
        <v>140</v>
      </c>
      <c r="C1923" s="773">
        <v>740</v>
      </c>
      <c r="D1923" s="773">
        <v>360</v>
      </c>
      <c r="E1923" s="773" t="s">
        <v>390</v>
      </c>
      <c r="S1923" s="27">
        <v>44227</v>
      </c>
      <c r="T1923" s="773" t="s">
        <v>132</v>
      </c>
      <c r="U1923" s="773">
        <v>145</v>
      </c>
      <c r="V1923" s="773">
        <v>1</v>
      </c>
      <c r="W1923" s="773" t="s">
        <v>410</v>
      </c>
    </row>
    <row r="1924" spans="1:23">
      <c r="A1924" s="27">
        <v>45046</v>
      </c>
      <c r="B1924" s="773" t="s">
        <v>140</v>
      </c>
      <c r="C1924" s="773">
        <v>722</v>
      </c>
      <c r="D1924" s="773">
        <v>2011</v>
      </c>
      <c r="E1924" s="773" t="s">
        <v>390</v>
      </c>
      <c r="S1924" s="27">
        <v>44227</v>
      </c>
      <c r="T1924" s="773" t="s">
        <v>132</v>
      </c>
      <c r="U1924" s="773">
        <v>193</v>
      </c>
      <c r="V1924" s="773">
        <v>2272</v>
      </c>
      <c r="W1924" s="773" t="s">
        <v>390</v>
      </c>
    </row>
    <row r="1925" spans="1:23">
      <c r="A1925" s="27">
        <v>45046</v>
      </c>
      <c r="B1925" s="773" t="s">
        <v>140</v>
      </c>
      <c r="C1925" s="773">
        <v>485</v>
      </c>
      <c r="D1925" s="773">
        <v>1327</v>
      </c>
      <c r="E1925" s="773" t="s">
        <v>390</v>
      </c>
      <c r="S1925" s="27">
        <v>44227</v>
      </c>
      <c r="T1925" s="773" t="s">
        <v>132</v>
      </c>
      <c r="U1925" s="773">
        <v>59</v>
      </c>
      <c r="V1925" s="773">
        <v>110</v>
      </c>
      <c r="W1925" s="773" t="s">
        <v>390</v>
      </c>
    </row>
    <row r="1926" spans="1:23">
      <c r="A1926" s="27">
        <v>45046</v>
      </c>
      <c r="B1926" s="773" t="s">
        <v>140</v>
      </c>
      <c r="C1926" s="773">
        <v>387</v>
      </c>
      <c r="D1926" s="773">
        <v>8</v>
      </c>
      <c r="E1926" s="773" t="s">
        <v>410</v>
      </c>
      <c r="S1926" s="27">
        <v>44592</v>
      </c>
      <c r="T1926" s="773" t="s">
        <v>132</v>
      </c>
      <c r="U1926" s="773">
        <v>81</v>
      </c>
      <c r="V1926" s="773">
        <v>4</v>
      </c>
      <c r="W1926" s="773" t="s">
        <v>410</v>
      </c>
    </row>
    <row r="1927" spans="1:23">
      <c r="A1927" s="27">
        <v>45046</v>
      </c>
      <c r="B1927" s="773" t="s">
        <v>140</v>
      </c>
      <c r="C1927" s="773">
        <v>732</v>
      </c>
      <c r="D1927" s="773">
        <v>3</v>
      </c>
      <c r="E1927" s="773" t="s">
        <v>410</v>
      </c>
      <c r="S1927" s="27">
        <v>44227</v>
      </c>
      <c r="T1927" s="773" t="s">
        <v>132</v>
      </c>
      <c r="U1927" s="773">
        <v>150</v>
      </c>
      <c r="V1927" s="773">
        <v>757</v>
      </c>
      <c r="W1927" s="773" t="s">
        <v>390</v>
      </c>
    </row>
    <row r="1928" spans="1:23">
      <c r="A1928" s="27">
        <v>45046</v>
      </c>
      <c r="B1928" s="773" t="s">
        <v>140</v>
      </c>
      <c r="C1928" s="773">
        <v>383</v>
      </c>
      <c r="D1928" s="773">
        <v>2</v>
      </c>
      <c r="E1928" s="773" t="s">
        <v>410</v>
      </c>
      <c r="S1928" s="27">
        <v>44592</v>
      </c>
      <c r="T1928" s="773" t="s">
        <v>132</v>
      </c>
      <c r="U1928" s="773">
        <v>130</v>
      </c>
      <c r="V1928" s="773">
        <v>1</v>
      </c>
      <c r="W1928" s="773" t="s">
        <v>410</v>
      </c>
    </row>
    <row r="1929" spans="1:23">
      <c r="A1929" s="27">
        <v>45046</v>
      </c>
      <c r="B1929" s="773" t="s">
        <v>140</v>
      </c>
      <c r="C1929" s="773">
        <v>478</v>
      </c>
      <c r="D1929" s="773">
        <v>1</v>
      </c>
      <c r="E1929" s="773" t="s">
        <v>410</v>
      </c>
      <c r="S1929" s="27">
        <v>44592</v>
      </c>
      <c r="T1929" s="773" t="s">
        <v>132</v>
      </c>
      <c r="U1929" s="773">
        <v>72</v>
      </c>
      <c r="V1929" s="773">
        <v>3</v>
      </c>
      <c r="W1929" s="773" t="s">
        <v>410</v>
      </c>
    </row>
    <row r="1930" spans="1:23">
      <c r="A1930" s="27">
        <v>45046</v>
      </c>
      <c r="B1930" s="773" t="s">
        <v>140</v>
      </c>
      <c r="C1930" s="773">
        <v>248</v>
      </c>
      <c r="D1930" s="773">
        <v>30</v>
      </c>
      <c r="E1930" s="773" t="s">
        <v>410</v>
      </c>
      <c r="S1930" s="27">
        <v>44592</v>
      </c>
      <c r="T1930" s="773" t="s">
        <v>132</v>
      </c>
      <c r="U1930" s="773">
        <v>699</v>
      </c>
      <c r="V1930" s="773">
        <v>2179</v>
      </c>
      <c r="W1930" s="773" t="s">
        <v>390</v>
      </c>
    </row>
    <row r="1931" spans="1:23">
      <c r="A1931" s="27">
        <v>45046</v>
      </c>
      <c r="B1931" s="773" t="s">
        <v>140</v>
      </c>
      <c r="C1931" s="773">
        <v>628</v>
      </c>
      <c r="D1931" s="773">
        <v>616</v>
      </c>
      <c r="E1931" s="773" t="s">
        <v>390</v>
      </c>
      <c r="S1931" s="27">
        <v>44592</v>
      </c>
      <c r="T1931" s="773" t="s">
        <v>132</v>
      </c>
      <c r="U1931" s="773">
        <v>110</v>
      </c>
      <c r="V1931" s="773">
        <v>1</v>
      </c>
      <c r="W1931" s="773" t="s">
        <v>410</v>
      </c>
    </row>
    <row r="1932" spans="1:23">
      <c r="A1932" s="27">
        <v>45046</v>
      </c>
      <c r="B1932" s="773" t="s">
        <v>140</v>
      </c>
      <c r="C1932" s="773">
        <v>746</v>
      </c>
      <c r="D1932" s="773">
        <v>2051</v>
      </c>
      <c r="E1932" s="773" t="s">
        <v>390</v>
      </c>
      <c r="S1932" s="27">
        <v>44592</v>
      </c>
      <c r="T1932" s="773" t="s">
        <v>132</v>
      </c>
      <c r="U1932" s="773">
        <v>100</v>
      </c>
      <c r="V1932" s="773">
        <v>3</v>
      </c>
      <c r="W1932" s="773" t="s">
        <v>410</v>
      </c>
    </row>
    <row r="1933" spans="1:23">
      <c r="A1933" s="27">
        <v>45046</v>
      </c>
      <c r="B1933" s="773" t="s">
        <v>140</v>
      </c>
      <c r="C1933" s="773">
        <v>581</v>
      </c>
      <c r="D1933" s="773">
        <v>41</v>
      </c>
      <c r="E1933" s="773" t="s">
        <v>410</v>
      </c>
      <c r="S1933" s="27">
        <v>44227</v>
      </c>
      <c r="T1933" s="773" t="s">
        <v>132</v>
      </c>
      <c r="U1933" s="773">
        <v>291</v>
      </c>
      <c r="V1933" s="773">
        <v>2159</v>
      </c>
      <c r="W1933" s="773" t="s">
        <v>390</v>
      </c>
    </row>
    <row r="1934" spans="1:23">
      <c r="A1934" s="27">
        <v>45046</v>
      </c>
      <c r="B1934" s="773" t="s">
        <v>140</v>
      </c>
      <c r="C1934" s="773">
        <v>558</v>
      </c>
      <c r="D1934" s="773">
        <v>1268</v>
      </c>
      <c r="E1934" s="773" t="s">
        <v>390</v>
      </c>
      <c r="S1934" s="27">
        <v>44592</v>
      </c>
      <c r="T1934" s="773" t="s">
        <v>132</v>
      </c>
      <c r="U1934" s="773">
        <v>89</v>
      </c>
      <c r="V1934" s="773">
        <v>1122</v>
      </c>
      <c r="W1934" s="773" t="s">
        <v>390</v>
      </c>
    </row>
    <row r="1935" spans="1:23">
      <c r="A1935" s="27">
        <v>45046</v>
      </c>
      <c r="B1935" s="773" t="s">
        <v>140</v>
      </c>
      <c r="C1935" s="773">
        <v>279</v>
      </c>
      <c r="D1935" s="773">
        <v>1</v>
      </c>
      <c r="E1935" s="773" t="s">
        <v>410</v>
      </c>
      <c r="S1935" s="27">
        <v>44592</v>
      </c>
      <c r="T1935" s="773" t="s">
        <v>132</v>
      </c>
      <c r="U1935" s="773">
        <v>230</v>
      </c>
      <c r="V1935" s="773">
        <v>1</v>
      </c>
      <c r="W1935" s="773" t="s">
        <v>410</v>
      </c>
    </row>
    <row r="1936" spans="1:23">
      <c r="A1936" s="27">
        <v>45046</v>
      </c>
      <c r="B1936" s="773" t="s">
        <v>140</v>
      </c>
      <c r="C1936" s="773">
        <v>616</v>
      </c>
      <c r="D1936" s="773">
        <v>1</v>
      </c>
      <c r="E1936" s="773" t="s">
        <v>410</v>
      </c>
      <c r="S1936" s="27">
        <v>44227</v>
      </c>
      <c r="T1936" s="773" t="s">
        <v>132</v>
      </c>
      <c r="U1936" s="773">
        <v>252</v>
      </c>
      <c r="V1936" s="773">
        <v>1267</v>
      </c>
      <c r="W1936" s="773" t="s">
        <v>390</v>
      </c>
    </row>
    <row r="1937" spans="1:23">
      <c r="A1937" s="27">
        <v>45046</v>
      </c>
      <c r="B1937" s="773" t="s">
        <v>140</v>
      </c>
      <c r="C1937" s="773">
        <v>648</v>
      </c>
      <c r="D1937" s="773">
        <v>1232</v>
      </c>
      <c r="E1937" s="773" t="s">
        <v>390</v>
      </c>
      <c r="S1937" s="27">
        <v>44227</v>
      </c>
      <c r="T1937" s="773" t="s">
        <v>132</v>
      </c>
      <c r="U1937" s="773">
        <v>315</v>
      </c>
      <c r="V1937" s="773">
        <v>24</v>
      </c>
      <c r="W1937" s="773" t="s">
        <v>410</v>
      </c>
    </row>
    <row r="1938" spans="1:23">
      <c r="A1938" s="27">
        <v>45046</v>
      </c>
      <c r="B1938" s="773" t="s">
        <v>140</v>
      </c>
      <c r="C1938" s="773">
        <v>0</v>
      </c>
      <c r="D1938" s="773">
        <v>7</v>
      </c>
      <c r="E1938" s="773" t="s">
        <v>410</v>
      </c>
      <c r="S1938" s="27">
        <v>44592</v>
      </c>
      <c r="T1938" s="773" t="s">
        <v>132</v>
      </c>
      <c r="U1938" s="773">
        <v>681</v>
      </c>
      <c r="V1938" s="773">
        <v>851</v>
      </c>
      <c r="W1938" s="773" t="s">
        <v>390</v>
      </c>
    </row>
    <row r="1939" spans="1:23">
      <c r="A1939" s="27">
        <v>45077</v>
      </c>
      <c r="B1939" s="773" t="s">
        <v>140</v>
      </c>
      <c r="C1939" s="773">
        <v>478</v>
      </c>
      <c r="D1939" s="773">
        <v>1</v>
      </c>
      <c r="E1939" s="773" t="s">
        <v>410</v>
      </c>
      <c r="S1939" s="27">
        <v>44227</v>
      </c>
      <c r="T1939" s="773" t="s">
        <v>132</v>
      </c>
      <c r="U1939" s="773">
        <v>654</v>
      </c>
      <c r="V1939" s="773">
        <v>2648</v>
      </c>
      <c r="W1939" s="773" t="s">
        <v>390</v>
      </c>
    </row>
    <row r="1940" spans="1:23">
      <c r="A1940" s="27">
        <v>45077</v>
      </c>
      <c r="B1940" s="773" t="s">
        <v>140</v>
      </c>
      <c r="C1940" s="773">
        <v>601</v>
      </c>
      <c r="D1940" s="773">
        <v>3</v>
      </c>
      <c r="E1940" s="773" t="s">
        <v>410</v>
      </c>
      <c r="S1940" s="27">
        <v>44592</v>
      </c>
      <c r="T1940" s="773" t="s">
        <v>132</v>
      </c>
      <c r="U1940" s="773">
        <v>58</v>
      </c>
      <c r="V1940" s="773">
        <v>3</v>
      </c>
      <c r="W1940" s="773" t="s">
        <v>410</v>
      </c>
    </row>
    <row r="1941" spans="1:23">
      <c r="A1941" s="27">
        <v>45077</v>
      </c>
      <c r="B1941" s="773" t="s">
        <v>140</v>
      </c>
      <c r="C1941" s="773">
        <v>383</v>
      </c>
      <c r="D1941" s="773">
        <v>2</v>
      </c>
      <c r="E1941" s="773" t="s">
        <v>410</v>
      </c>
      <c r="S1941" s="27">
        <v>44227</v>
      </c>
      <c r="T1941" s="773" t="s">
        <v>132</v>
      </c>
      <c r="U1941" s="773">
        <v>73</v>
      </c>
      <c r="V1941" s="773">
        <v>2</v>
      </c>
      <c r="W1941" s="773" t="s">
        <v>410</v>
      </c>
    </row>
    <row r="1942" spans="1:23">
      <c r="A1942" s="27">
        <v>45077</v>
      </c>
      <c r="B1942" s="773" t="s">
        <v>140</v>
      </c>
      <c r="C1942" s="773">
        <v>574</v>
      </c>
      <c r="D1942" s="773">
        <v>2490</v>
      </c>
      <c r="E1942" s="773" t="s">
        <v>390</v>
      </c>
      <c r="S1942" s="27">
        <v>44592</v>
      </c>
      <c r="T1942" s="773" t="s">
        <v>132</v>
      </c>
      <c r="U1942" s="773">
        <v>68</v>
      </c>
      <c r="V1942" s="773">
        <v>601</v>
      </c>
      <c r="W1942" s="773" t="s">
        <v>390</v>
      </c>
    </row>
    <row r="1943" spans="1:23">
      <c r="A1943" s="27">
        <v>45077</v>
      </c>
      <c r="B1943" s="773" t="s">
        <v>140</v>
      </c>
      <c r="C1943" s="773">
        <v>597</v>
      </c>
      <c r="D1943" s="773">
        <v>1330</v>
      </c>
      <c r="E1943" s="773" t="s">
        <v>390</v>
      </c>
      <c r="S1943" s="27">
        <v>44592</v>
      </c>
      <c r="T1943" s="773" t="s">
        <v>132</v>
      </c>
      <c r="U1943" s="773">
        <v>670</v>
      </c>
      <c r="V1943" s="773">
        <v>3852</v>
      </c>
      <c r="W1943" s="773" t="s">
        <v>390</v>
      </c>
    </row>
    <row r="1944" spans="1:23">
      <c r="A1944" s="27">
        <v>45077</v>
      </c>
      <c r="B1944" s="773" t="s">
        <v>140</v>
      </c>
      <c r="C1944" s="773">
        <v>485</v>
      </c>
      <c r="D1944" s="773">
        <v>1380</v>
      </c>
      <c r="E1944" s="773" t="s">
        <v>390</v>
      </c>
      <c r="S1944" s="27">
        <v>44592</v>
      </c>
      <c r="T1944" s="773" t="s">
        <v>132</v>
      </c>
      <c r="U1944" s="773">
        <v>247</v>
      </c>
      <c r="V1944" s="773">
        <v>2285</v>
      </c>
      <c r="W1944" s="773" t="s">
        <v>390</v>
      </c>
    </row>
    <row r="1945" spans="1:23">
      <c r="A1945" s="27">
        <v>45077</v>
      </c>
      <c r="B1945" s="773" t="s">
        <v>140</v>
      </c>
      <c r="C1945" s="773">
        <v>581</v>
      </c>
      <c r="D1945" s="773">
        <v>82</v>
      </c>
      <c r="E1945" s="773" t="s">
        <v>410</v>
      </c>
      <c r="S1945" s="27">
        <v>44227</v>
      </c>
      <c r="T1945" s="773" t="s">
        <v>132</v>
      </c>
      <c r="U1945" s="773">
        <v>100</v>
      </c>
      <c r="V1945" s="773">
        <v>4</v>
      </c>
      <c r="W1945" s="773" t="s">
        <v>410</v>
      </c>
    </row>
    <row r="1946" spans="1:23">
      <c r="A1946" s="27">
        <v>45077</v>
      </c>
      <c r="B1946" s="773" t="s">
        <v>140</v>
      </c>
      <c r="C1946" s="773">
        <v>387</v>
      </c>
      <c r="D1946" s="773">
        <v>8</v>
      </c>
      <c r="E1946" s="773" t="s">
        <v>410</v>
      </c>
      <c r="S1946" s="27">
        <v>44227</v>
      </c>
      <c r="T1946" s="773" t="s">
        <v>132</v>
      </c>
      <c r="U1946" s="773">
        <v>342</v>
      </c>
      <c r="V1946" s="773">
        <v>2872</v>
      </c>
      <c r="W1946" s="773" t="s">
        <v>390</v>
      </c>
    </row>
    <row r="1947" spans="1:23">
      <c r="A1947" s="27">
        <v>45077</v>
      </c>
      <c r="B1947" s="773" t="s">
        <v>140</v>
      </c>
      <c r="C1947" s="773">
        <v>650</v>
      </c>
      <c r="D1947" s="773">
        <v>2346</v>
      </c>
      <c r="E1947" s="773" t="s">
        <v>390</v>
      </c>
      <c r="S1947" s="27">
        <v>44227</v>
      </c>
      <c r="T1947" s="773" t="s">
        <v>132</v>
      </c>
      <c r="U1947" s="773">
        <v>103</v>
      </c>
      <c r="V1947" s="773">
        <v>3323</v>
      </c>
      <c r="W1947" s="773" t="s">
        <v>390</v>
      </c>
    </row>
    <row r="1948" spans="1:23">
      <c r="A1948" s="27">
        <v>45077</v>
      </c>
      <c r="B1948" s="773" t="s">
        <v>140</v>
      </c>
      <c r="C1948" s="773">
        <v>555</v>
      </c>
      <c r="D1948" s="773">
        <v>1625</v>
      </c>
      <c r="E1948" s="773" t="s">
        <v>390</v>
      </c>
      <c r="S1948" s="27">
        <v>44227</v>
      </c>
      <c r="T1948" s="773" t="s">
        <v>132</v>
      </c>
      <c r="U1948" s="773">
        <v>13</v>
      </c>
      <c r="V1948" s="773">
        <v>4363</v>
      </c>
      <c r="W1948" s="773" t="s">
        <v>390</v>
      </c>
    </row>
    <row r="1949" spans="1:23">
      <c r="A1949" s="27">
        <v>45077</v>
      </c>
      <c r="B1949" s="773" t="s">
        <v>140</v>
      </c>
      <c r="C1949" s="773">
        <v>524</v>
      </c>
      <c r="D1949" s="773">
        <v>1932</v>
      </c>
      <c r="E1949" s="773" t="s">
        <v>390</v>
      </c>
      <c r="S1949" s="27">
        <v>44227</v>
      </c>
      <c r="T1949" s="773" t="s">
        <v>132</v>
      </c>
      <c r="U1949" s="773">
        <v>249</v>
      </c>
      <c r="V1949" s="773">
        <v>2537</v>
      </c>
      <c r="W1949" s="773" t="s">
        <v>390</v>
      </c>
    </row>
    <row r="1950" spans="1:23">
      <c r="A1950" s="27">
        <v>45077</v>
      </c>
      <c r="B1950" s="773" t="s">
        <v>140</v>
      </c>
      <c r="C1950" s="773">
        <v>630</v>
      </c>
      <c r="D1950" s="773">
        <v>1</v>
      </c>
      <c r="E1950" s="773" t="s">
        <v>410</v>
      </c>
      <c r="S1950" s="27">
        <v>44227</v>
      </c>
      <c r="T1950" s="773" t="s">
        <v>132</v>
      </c>
      <c r="U1950" s="773">
        <v>0</v>
      </c>
      <c r="V1950" s="773">
        <v>39</v>
      </c>
      <c r="W1950" s="773" t="s">
        <v>410</v>
      </c>
    </row>
    <row r="1951" spans="1:23">
      <c r="A1951" s="27">
        <v>45077</v>
      </c>
      <c r="B1951" s="773" t="s">
        <v>140</v>
      </c>
      <c r="C1951" s="773">
        <v>746</v>
      </c>
      <c r="D1951" s="773">
        <v>2027</v>
      </c>
      <c r="E1951" s="773" t="s">
        <v>390</v>
      </c>
      <c r="S1951" s="27">
        <v>44227</v>
      </c>
      <c r="T1951" s="773" t="s">
        <v>132</v>
      </c>
      <c r="U1951" s="773">
        <v>272</v>
      </c>
      <c r="V1951" s="773">
        <v>1</v>
      </c>
      <c r="W1951" s="773" t="s">
        <v>410</v>
      </c>
    </row>
    <row r="1952" spans="1:23">
      <c r="A1952" s="27">
        <v>45077</v>
      </c>
      <c r="B1952" s="773" t="s">
        <v>140</v>
      </c>
      <c r="C1952" s="773">
        <v>586</v>
      </c>
      <c r="D1952" s="773">
        <v>2276</v>
      </c>
      <c r="E1952" s="773" t="s">
        <v>390</v>
      </c>
      <c r="S1952" s="27">
        <v>44227</v>
      </c>
      <c r="T1952" s="773" t="s">
        <v>132</v>
      </c>
      <c r="U1952" s="773">
        <v>75</v>
      </c>
      <c r="V1952" s="773">
        <v>1</v>
      </c>
      <c r="W1952" s="773" t="s">
        <v>410</v>
      </c>
    </row>
    <row r="1953" spans="1:23">
      <c r="A1953" s="27">
        <v>45077</v>
      </c>
      <c r="B1953" s="773" t="s">
        <v>140</v>
      </c>
      <c r="C1953" s="773">
        <v>338</v>
      </c>
      <c r="D1953" s="773">
        <v>2450</v>
      </c>
      <c r="E1953" s="773" t="s">
        <v>390</v>
      </c>
      <c r="S1953" s="27">
        <v>44592</v>
      </c>
      <c r="T1953" s="773" t="s">
        <v>132</v>
      </c>
      <c r="U1953" s="773">
        <v>250</v>
      </c>
      <c r="V1953" s="773">
        <v>1</v>
      </c>
      <c r="W1953" s="773" t="s">
        <v>410</v>
      </c>
    </row>
    <row r="1954" spans="1:23">
      <c r="A1954" s="27">
        <v>45077</v>
      </c>
      <c r="B1954" s="773" t="s">
        <v>140</v>
      </c>
      <c r="C1954" s="773">
        <v>493</v>
      </c>
      <c r="D1954" s="773">
        <v>5</v>
      </c>
      <c r="E1954" s="773" t="s">
        <v>410</v>
      </c>
      <c r="S1954" s="27">
        <v>44592</v>
      </c>
      <c r="T1954" s="773" t="s">
        <v>132</v>
      </c>
      <c r="U1954" s="773">
        <v>706</v>
      </c>
      <c r="V1954" s="773">
        <v>1</v>
      </c>
      <c r="W1954" s="773" t="s">
        <v>410</v>
      </c>
    </row>
    <row r="1955" spans="1:23">
      <c r="A1955" s="27">
        <v>45077</v>
      </c>
      <c r="B1955" s="773" t="s">
        <v>140</v>
      </c>
      <c r="C1955" s="773">
        <v>740</v>
      </c>
      <c r="D1955" s="773">
        <v>357</v>
      </c>
      <c r="E1955" s="773" t="s">
        <v>390</v>
      </c>
      <c r="S1955" s="27">
        <v>44227</v>
      </c>
      <c r="T1955" s="773" t="s">
        <v>132</v>
      </c>
      <c r="U1955" s="773">
        <v>159</v>
      </c>
      <c r="V1955" s="773">
        <v>2912</v>
      </c>
      <c r="W1955" s="773" t="s">
        <v>390</v>
      </c>
    </row>
    <row r="1956" spans="1:23">
      <c r="A1956" s="27">
        <v>45077</v>
      </c>
      <c r="B1956" s="773" t="s">
        <v>140</v>
      </c>
      <c r="C1956" s="773">
        <v>346</v>
      </c>
      <c r="D1956" s="773">
        <v>3</v>
      </c>
      <c r="E1956" s="773" t="s">
        <v>410</v>
      </c>
      <c r="S1956" s="27">
        <v>44227</v>
      </c>
      <c r="T1956" s="773" t="s">
        <v>132</v>
      </c>
      <c r="U1956" s="773">
        <v>43</v>
      </c>
      <c r="V1956" s="773">
        <v>3053</v>
      </c>
      <c r="W1956" s="773" t="s">
        <v>390</v>
      </c>
    </row>
    <row r="1957" spans="1:23">
      <c r="A1957" s="27">
        <v>45077</v>
      </c>
      <c r="B1957" s="773" t="s">
        <v>140</v>
      </c>
      <c r="C1957" s="773">
        <v>279</v>
      </c>
      <c r="D1957" s="773">
        <v>1</v>
      </c>
      <c r="E1957" s="773" t="s">
        <v>410</v>
      </c>
      <c r="S1957" s="27">
        <v>44227</v>
      </c>
      <c r="T1957" s="773" t="s">
        <v>132</v>
      </c>
      <c r="U1957" s="773">
        <v>305</v>
      </c>
      <c r="V1957" s="773">
        <v>3923</v>
      </c>
      <c r="W1957" s="773" t="s">
        <v>390</v>
      </c>
    </row>
    <row r="1958" spans="1:23">
      <c r="A1958" s="27">
        <v>45077</v>
      </c>
      <c r="B1958" s="773" t="s">
        <v>140</v>
      </c>
      <c r="C1958" s="773">
        <v>594</v>
      </c>
      <c r="D1958" s="773">
        <v>2681</v>
      </c>
      <c r="E1958" s="773" t="s">
        <v>390</v>
      </c>
      <c r="S1958" s="27">
        <v>44592</v>
      </c>
      <c r="T1958" s="773" t="s">
        <v>132</v>
      </c>
      <c r="U1958" s="773">
        <v>672</v>
      </c>
      <c r="V1958" s="773">
        <v>2394</v>
      </c>
      <c r="W1958" s="773" t="s">
        <v>390</v>
      </c>
    </row>
    <row r="1959" spans="1:23">
      <c r="A1959" s="27">
        <v>45077</v>
      </c>
      <c r="B1959" s="773" t="s">
        <v>140</v>
      </c>
      <c r="C1959" s="773">
        <v>722</v>
      </c>
      <c r="D1959" s="773">
        <v>2050</v>
      </c>
      <c r="E1959" s="773" t="s">
        <v>390</v>
      </c>
      <c r="S1959" s="27">
        <v>44592</v>
      </c>
      <c r="T1959" s="773" t="s">
        <v>132</v>
      </c>
      <c r="U1959" s="773">
        <v>276</v>
      </c>
      <c r="V1959" s="773">
        <v>1</v>
      </c>
      <c r="W1959" s="773" t="s">
        <v>410</v>
      </c>
    </row>
    <row r="1960" spans="1:23">
      <c r="A1960" s="27">
        <v>45077</v>
      </c>
      <c r="B1960" s="773" t="s">
        <v>140</v>
      </c>
      <c r="C1960" s="773">
        <v>453</v>
      </c>
      <c r="D1960" s="773">
        <v>2457</v>
      </c>
      <c r="E1960" s="773" t="s">
        <v>390</v>
      </c>
      <c r="S1960" s="27">
        <v>44227</v>
      </c>
      <c r="T1960" s="773" t="s">
        <v>132</v>
      </c>
      <c r="U1960" s="773">
        <v>139</v>
      </c>
      <c r="V1960" s="773">
        <v>2667</v>
      </c>
      <c r="W1960" s="773" t="s">
        <v>390</v>
      </c>
    </row>
    <row r="1961" spans="1:23">
      <c r="A1961" s="27">
        <v>45077</v>
      </c>
      <c r="B1961" s="773" t="s">
        <v>140</v>
      </c>
      <c r="C1961" s="773">
        <v>379</v>
      </c>
      <c r="D1961" s="773">
        <v>1</v>
      </c>
      <c r="E1961" s="773" t="s">
        <v>410</v>
      </c>
      <c r="S1961" s="27">
        <v>44227</v>
      </c>
      <c r="T1961" s="773" t="s">
        <v>132</v>
      </c>
      <c r="U1961" s="773">
        <v>41</v>
      </c>
      <c r="V1961" s="773">
        <v>1</v>
      </c>
      <c r="W1961" s="773" t="s">
        <v>410</v>
      </c>
    </row>
    <row r="1962" spans="1:23">
      <c r="A1962" s="27">
        <v>45077</v>
      </c>
      <c r="B1962" s="773" t="s">
        <v>140</v>
      </c>
      <c r="C1962" s="773">
        <v>659</v>
      </c>
      <c r="D1962" s="773">
        <v>913</v>
      </c>
      <c r="E1962" s="773" t="s">
        <v>390</v>
      </c>
      <c r="S1962" s="27">
        <v>44592</v>
      </c>
      <c r="T1962" s="773" t="s">
        <v>132</v>
      </c>
      <c r="U1962" s="773">
        <v>83</v>
      </c>
      <c r="V1962" s="773">
        <v>1968</v>
      </c>
      <c r="W1962" s="773" t="s">
        <v>390</v>
      </c>
    </row>
    <row r="1963" spans="1:23">
      <c r="A1963" s="27">
        <v>45077</v>
      </c>
      <c r="B1963" s="773" t="s">
        <v>140</v>
      </c>
      <c r="C1963" s="773">
        <v>705</v>
      </c>
      <c r="D1963" s="773">
        <v>1</v>
      </c>
      <c r="E1963" s="773" t="s">
        <v>410</v>
      </c>
      <c r="S1963" s="27">
        <v>44227</v>
      </c>
      <c r="T1963" s="773" t="s">
        <v>132</v>
      </c>
      <c r="U1963" s="773">
        <v>666</v>
      </c>
      <c r="V1963" s="773">
        <v>1394</v>
      </c>
      <c r="W1963" s="773" t="s">
        <v>390</v>
      </c>
    </row>
    <row r="1964" spans="1:23">
      <c r="A1964" s="27">
        <v>45077</v>
      </c>
      <c r="B1964" s="773" t="s">
        <v>140</v>
      </c>
      <c r="C1964" s="773">
        <v>628</v>
      </c>
      <c r="D1964" s="773">
        <v>639</v>
      </c>
      <c r="E1964" s="773" t="s">
        <v>390</v>
      </c>
      <c r="S1964" s="27">
        <v>44592</v>
      </c>
      <c r="T1964" s="773" t="s">
        <v>132</v>
      </c>
      <c r="U1964" s="773">
        <v>69</v>
      </c>
      <c r="V1964" s="773">
        <v>1</v>
      </c>
      <c r="W1964" s="773" t="s">
        <v>410</v>
      </c>
    </row>
    <row r="1965" spans="1:23">
      <c r="A1965" s="27">
        <v>45077</v>
      </c>
      <c r="B1965" s="773" t="s">
        <v>140</v>
      </c>
      <c r="C1965" s="773">
        <v>626</v>
      </c>
      <c r="D1965" s="773">
        <v>3213</v>
      </c>
      <c r="E1965" s="773" t="s">
        <v>390</v>
      </c>
      <c r="S1965" s="27">
        <v>44227</v>
      </c>
      <c r="T1965" s="773" t="s">
        <v>132</v>
      </c>
      <c r="U1965" s="773">
        <v>195</v>
      </c>
      <c r="V1965" s="773">
        <v>1</v>
      </c>
      <c r="W1965" s="773" t="s">
        <v>410</v>
      </c>
    </row>
    <row r="1966" spans="1:23">
      <c r="A1966" s="27">
        <v>45077</v>
      </c>
      <c r="B1966" s="773" t="s">
        <v>140</v>
      </c>
      <c r="C1966" s="773">
        <v>742</v>
      </c>
      <c r="D1966" s="773">
        <v>1</v>
      </c>
      <c r="E1966" s="773" t="s">
        <v>410</v>
      </c>
      <c r="S1966" s="27">
        <v>44227</v>
      </c>
      <c r="T1966" s="773" t="s">
        <v>132</v>
      </c>
      <c r="U1966" s="773">
        <v>652</v>
      </c>
      <c r="V1966" s="773">
        <v>2702</v>
      </c>
      <c r="W1966" s="773" t="s">
        <v>390</v>
      </c>
    </row>
    <row r="1967" spans="1:23">
      <c r="A1967" s="27">
        <v>45077</v>
      </c>
      <c r="B1967" s="773" t="s">
        <v>140</v>
      </c>
      <c r="C1967" s="773">
        <v>774</v>
      </c>
      <c r="D1967" s="773">
        <v>2300</v>
      </c>
      <c r="E1967" s="773" t="s">
        <v>390</v>
      </c>
      <c r="S1967" s="27">
        <v>44592</v>
      </c>
      <c r="T1967" s="773" t="s">
        <v>132</v>
      </c>
      <c r="U1967" s="773">
        <v>202</v>
      </c>
      <c r="V1967" s="773">
        <v>1</v>
      </c>
      <c r="W1967" s="773" t="s">
        <v>410</v>
      </c>
    </row>
    <row r="1968" spans="1:23">
      <c r="A1968" s="27">
        <v>45077</v>
      </c>
      <c r="B1968" s="773" t="s">
        <v>140</v>
      </c>
      <c r="C1968" s="773">
        <v>558</v>
      </c>
      <c r="D1968" s="773">
        <v>1258</v>
      </c>
      <c r="E1968" s="773" t="s">
        <v>390</v>
      </c>
      <c r="S1968" s="27">
        <v>44227</v>
      </c>
      <c r="T1968" s="773" t="s">
        <v>132</v>
      </c>
      <c r="U1968" s="773">
        <v>102</v>
      </c>
      <c r="V1968" s="773">
        <v>1</v>
      </c>
      <c r="W1968" s="773" t="s">
        <v>410</v>
      </c>
    </row>
    <row r="1969" spans="1:23">
      <c r="A1969" s="27">
        <v>45077</v>
      </c>
      <c r="B1969" s="773" t="s">
        <v>140</v>
      </c>
      <c r="C1969" s="773">
        <v>585</v>
      </c>
      <c r="D1969" s="773">
        <v>5032</v>
      </c>
      <c r="E1969" s="773" t="s">
        <v>390</v>
      </c>
      <c r="S1969" s="27">
        <v>44592</v>
      </c>
      <c r="T1969" s="773" t="s">
        <v>132</v>
      </c>
      <c r="U1969" s="773">
        <v>183</v>
      </c>
      <c r="V1969" s="773">
        <v>2173</v>
      </c>
      <c r="W1969" s="773" t="s">
        <v>390</v>
      </c>
    </row>
    <row r="1970" spans="1:23">
      <c r="A1970" s="27">
        <v>45077</v>
      </c>
      <c r="B1970" s="773" t="s">
        <v>140</v>
      </c>
      <c r="C1970" s="773">
        <v>548</v>
      </c>
      <c r="D1970" s="773">
        <v>973</v>
      </c>
      <c r="E1970" s="773" t="s">
        <v>390</v>
      </c>
      <c r="S1970" s="27">
        <v>44592</v>
      </c>
      <c r="T1970" s="773" t="s">
        <v>132</v>
      </c>
      <c r="U1970" s="773">
        <v>312</v>
      </c>
      <c r="V1970" s="773">
        <v>2295</v>
      </c>
      <c r="W1970" s="773" t="s">
        <v>390</v>
      </c>
    </row>
    <row r="1971" spans="1:23">
      <c r="A1971" s="27">
        <v>45077</v>
      </c>
      <c r="B1971" s="773" t="s">
        <v>140</v>
      </c>
      <c r="C1971" s="773">
        <v>640</v>
      </c>
      <c r="D1971" s="773">
        <v>2975</v>
      </c>
      <c r="E1971" s="773" t="s">
        <v>390</v>
      </c>
      <c r="S1971" s="27">
        <v>44227</v>
      </c>
      <c r="T1971" s="773" t="s">
        <v>132</v>
      </c>
      <c r="U1971" s="773">
        <v>697</v>
      </c>
      <c r="V1971" s="773">
        <v>206</v>
      </c>
      <c r="W1971" s="773" t="s">
        <v>390</v>
      </c>
    </row>
    <row r="1972" spans="1:23">
      <c r="A1972" s="27">
        <v>45077</v>
      </c>
      <c r="B1972" s="773" t="s">
        <v>140</v>
      </c>
      <c r="C1972" s="773">
        <v>359</v>
      </c>
      <c r="D1972" s="773">
        <v>861</v>
      </c>
      <c r="E1972" s="773" t="s">
        <v>390</v>
      </c>
      <c r="S1972" s="27">
        <v>44227</v>
      </c>
      <c r="T1972" s="773" t="s">
        <v>132</v>
      </c>
      <c r="U1972" s="773">
        <v>267</v>
      </c>
      <c r="V1972" s="773">
        <v>1</v>
      </c>
      <c r="W1972" s="773" t="s">
        <v>410</v>
      </c>
    </row>
    <row r="1973" spans="1:23">
      <c r="A1973" s="27">
        <v>45077</v>
      </c>
      <c r="B1973" s="773" t="s">
        <v>140</v>
      </c>
      <c r="C1973" s="773">
        <v>449</v>
      </c>
      <c r="D1973" s="773">
        <v>1800</v>
      </c>
      <c r="E1973" s="773" t="s">
        <v>390</v>
      </c>
      <c r="S1973" s="27">
        <v>44592</v>
      </c>
      <c r="T1973" s="773" t="s">
        <v>132</v>
      </c>
      <c r="U1973" s="773">
        <v>44</v>
      </c>
      <c r="V1973" s="773">
        <v>2793</v>
      </c>
      <c r="W1973" s="773" t="s">
        <v>390</v>
      </c>
    </row>
    <row r="1974" spans="1:23">
      <c r="A1974" s="27">
        <v>45077</v>
      </c>
      <c r="B1974" s="773" t="s">
        <v>140</v>
      </c>
      <c r="C1974" s="773">
        <v>370</v>
      </c>
      <c r="D1974" s="773">
        <v>2</v>
      </c>
      <c r="E1974" s="773" t="s">
        <v>410</v>
      </c>
      <c r="S1974" s="27">
        <v>44227</v>
      </c>
      <c r="T1974" s="773" t="s">
        <v>132</v>
      </c>
      <c r="U1974" s="773">
        <v>523</v>
      </c>
      <c r="V1974" s="773">
        <v>9</v>
      </c>
      <c r="W1974" s="773" t="s">
        <v>410</v>
      </c>
    </row>
    <row r="1975" spans="1:23">
      <c r="A1975" s="27">
        <v>45077</v>
      </c>
      <c r="B1975" s="773" t="s">
        <v>140</v>
      </c>
      <c r="C1975" s="773">
        <v>0</v>
      </c>
      <c r="D1975" s="773">
        <v>7</v>
      </c>
      <c r="E1975" s="773" t="s">
        <v>410</v>
      </c>
      <c r="S1975" s="27">
        <v>44592</v>
      </c>
      <c r="T1975" s="773" t="s">
        <v>132</v>
      </c>
      <c r="U1975" s="773">
        <v>308</v>
      </c>
      <c r="V1975" s="773">
        <v>1846</v>
      </c>
      <c r="W1975" s="773" t="s">
        <v>390</v>
      </c>
    </row>
    <row r="1976" spans="1:23">
      <c r="A1976" s="27">
        <v>45077</v>
      </c>
      <c r="B1976" s="773" t="s">
        <v>140</v>
      </c>
      <c r="C1976" s="773">
        <v>616</v>
      </c>
      <c r="D1976" s="773">
        <v>1</v>
      </c>
      <c r="E1976" s="773" t="s">
        <v>410</v>
      </c>
      <c r="S1976" s="27">
        <v>44592</v>
      </c>
      <c r="T1976" s="773" t="s">
        <v>132</v>
      </c>
      <c r="U1976" s="773">
        <v>193</v>
      </c>
      <c r="V1976" s="773">
        <v>435</v>
      </c>
      <c r="W1976" s="773" t="s">
        <v>390</v>
      </c>
    </row>
    <row r="1977" spans="1:23">
      <c r="A1977" s="27">
        <v>45077</v>
      </c>
      <c r="B1977" s="773" t="s">
        <v>140</v>
      </c>
      <c r="C1977" s="773">
        <v>527</v>
      </c>
      <c r="D1977" s="773">
        <v>3</v>
      </c>
      <c r="E1977" s="773" t="s">
        <v>410</v>
      </c>
      <c r="S1977" s="27">
        <v>44592</v>
      </c>
      <c r="T1977" s="773" t="s">
        <v>132</v>
      </c>
      <c r="U1977" s="773">
        <v>14</v>
      </c>
      <c r="V1977" s="773">
        <v>1</v>
      </c>
      <c r="W1977" s="773" t="s">
        <v>410</v>
      </c>
    </row>
    <row r="1978" spans="1:23">
      <c r="A1978" s="27">
        <v>45077</v>
      </c>
      <c r="B1978" s="773" t="s">
        <v>140</v>
      </c>
      <c r="C1978" s="773">
        <v>758</v>
      </c>
      <c r="D1978" s="773">
        <v>1</v>
      </c>
      <c r="E1978" s="773" t="s">
        <v>410</v>
      </c>
      <c r="S1978" s="27">
        <v>44227</v>
      </c>
      <c r="T1978" s="773" t="s">
        <v>132</v>
      </c>
      <c r="U1978" s="773">
        <v>191</v>
      </c>
      <c r="V1978" s="773">
        <v>2055</v>
      </c>
      <c r="W1978" s="773" t="s">
        <v>390</v>
      </c>
    </row>
    <row r="1979" spans="1:23">
      <c r="A1979" s="27">
        <v>45077</v>
      </c>
      <c r="B1979" s="773" t="s">
        <v>140</v>
      </c>
      <c r="C1979" s="773">
        <v>691</v>
      </c>
      <c r="D1979" s="773">
        <v>160</v>
      </c>
      <c r="E1979" s="773" t="s">
        <v>390</v>
      </c>
      <c r="S1979" s="27">
        <v>44592</v>
      </c>
      <c r="T1979" s="773" t="s">
        <v>132</v>
      </c>
      <c r="U1979" s="773">
        <v>148</v>
      </c>
      <c r="V1979" s="773">
        <v>1</v>
      </c>
      <c r="W1979" s="773" t="s">
        <v>410</v>
      </c>
    </row>
    <row r="1980" spans="1:23">
      <c r="A1980" s="27">
        <v>45077</v>
      </c>
      <c r="B1980" s="773" t="s">
        <v>140</v>
      </c>
      <c r="C1980" s="773">
        <v>576</v>
      </c>
      <c r="D1980" s="773">
        <v>148</v>
      </c>
      <c r="E1980" s="773" t="s">
        <v>390</v>
      </c>
      <c r="S1980" s="27">
        <v>44592</v>
      </c>
      <c r="T1980" s="773" t="s">
        <v>132</v>
      </c>
      <c r="U1980" s="773">
        <v>133</v>
      </c>
      <c r="V1980" s="773">
        <v>1</v>
      </c>
      <c r="W1980" s="773" t="s">
        <v>410</v>
      </c>
    </row>
    <row r="1981" spans="1:23">
      <c r="A1981" s="27">
        <v>45077</v>
      </c>
      <c r="B1981" s="773" t="s">
        <v>140</v>
      </c>
      <c r="C1981" s="773">
        <v>639</v>
      </c>
      <c r="D1981" s="773">
        <v>138</v>
      </c>
      <c r="E1981" s="773" t="s">
        <v>390</v>
      </c>
      <c r="S1981" s="27">
        <v>44227</v>
      </c>
      <c r="T1981" s="773" t="s">
        <v>132</v>
      </c>
      <c r="U1981" s="773">
        <v>678</v>
      </c>
      <c r="V1981" s="773">
        <v>2542</v>
      </c>
      <c r="W1981" s="773" t="s">
        <v>390</v>
      </c>
    </row>
    <row r="1982" spans="1:23">
      <c r="A1982" s="27">
        <v>45077</v>
      </c>
      <c r="B1982" s="773" t="s">
        <v>140</v>
      </c>
      <c r="C1982" s="773">
        <v>556</v>
      </c>
      <c r="D1982" s="773">
        <v>2533</v>
      </c>
      <c r="E1982" s="773" t="s">
        <v>390</v>
      </c>
      <c r="S1982" s="27">
        <v>44227</v>
      </c>
      <c r="T1982" s="773" t="s">
        <v>132</v>
      </c>
      <c r="U1982" s="773">
        <v>91</v>
      </c>
      <c r="V1982" s="773">
        <v>2</v>
      </c>
      <c r="W1982" s="773" t="s">
        <v>410</v>
      </c>
    </row>
    <row r="1983" spans="1:23">
      <c r="A1983" s="27">
        <v>45077</v>
      </c>
      <c r="B1983" s="773" t="s">
        <v>140</v>
      </c>
      <c r="C1983" s="773">
        <v>732</v>
      </c>
      <c r="D1983" s="773">
        <v>3</v>
      </c>
      <c r="E1983" s="773" t="s">
        <v>410</v>
      </c>
      <c r="S1983" s="27">
        <v>44227</v>
      </c>
      <c r="T1983" s="773" t="s">
        <v>132</v>
      </c>
      <c r="U1983" s="773">
        <v>116</v>
      </c>
      <c r="V1983" s="773">
        <v>3</v>
      </c>
      <c r="W1983" s="773" t="s">
        <v>410</v>
      </c>
    </row>
    <row r="1984" spans="1:23">
      <c r="A1984" s="27">
        <v>45077</v>
      </c>
      <c r="B1984" s="773" t="s">
        <v>140</v>
      </c>
      <c r="C1984" s="773">
        <v>678</v>
      </c>
      <c r="D1984" s="773">
        <v>1</v>
      </c>
      <c r="E1984" s="773" t="s">
        <v>410</v>
      </c>
      <c r="S1984" s="27">
        <v>44592</v>
      </c>
      <c r="T1984" s="773" t="s">
        <v>132</v>
      </c>
      <c r="U1984" s="773">
        <v>255</v>
      </c>
      <c r="V1984" s="773">
        <v>90</v>
      </c>
      <c r="W1984" s="773" t="s">
        <v>410</v>
      </c>
    </row>
    <row r="1985" spans="1:23">
      <c r="A1985" s="27">
        <v>45077</v>
      </c>
      <c r="B1985" s="773" t="s">
        <v>140</v>
      </c>
      <c r="C1985" s="773">
        <v>510</v>
      </c>
      <c r="D1985" s="773">
        <v>1046</v>
      </c>
      <c r="E1985" s="773" t="s">
        <v>390</v>
      </c>
      <c r="S1985" s="27">
        <v>44227</v>
      </c>
      <c r="T1985" s="773" t="s">
        <v>132</v>
      </c>
      <c r="U1985" s="773">
        <v>658</v>
      </c>
      <c r="V1985" s="773">
        <v>3021</v>
      </c>
      <c r="W1985" s="773" t="s">
        <v>390</v>
      </c>
    </row>
    <row r="1986" spans="1:23">
      <c r="A1986" s="27">
        <v>45077</v>
      </c>
      <c r="B1986" s="773" t="s">
        <v>140</v>
      </c>
      <c r="C1986" s="773">
        <v>530</v>
      </c>
      <c r="D1986" s="773">
        <v>1</v>
      </c>
      <c r="E1986" s="773" t="s">
        <v>410</v>
      </c>
      <c r="S1986" s="27">
        <v>44592</v>
      </c>
      <c r="T1986" s="773" t="s">
        <v>132</v>
      </c>
      <c r="U1986" s="773">
        <v>311</v>
      </c>
      <c r="V1986" s="773">
        <v>2366</v>
      </c>
      <c r="W1986" s="773" t="s">
        <v>390</v>
      </c>
    </row>
    <row r="1987" spans="1:23">
      <c r="A1987" s="27">
        <v>45077</v>
      </c>
      <c r="B1987" s="773" t="s">
        <v>140</v>
      </c>
      <c r="C1987" s="773">
        <v>648</v>
      </c>
      <c r="D1987" s="773">
        <v>1214</v>
      </c>
      <c r="E1987" s="773" t="s">
        <v>390</v>
      </c>
      <c r="S1987" s="27">
        <v>44592</v>
      </c>
      <c r="T1987" s="773" t="s">
        <v>132</v>
      </c>
      <c r="U1987" s="773">
        <v>303</v>
      </c>
      <c r="V1987" s="773">
        <v>2538</v>
      </c>
      <c r="W1987" s="773" t="s">
        <v>390</v>
      </c>
    </row>
    <row r="1988" spans="1:23">
      <c r="A1988" s="27">
        <v>45077</v>
      </c>
      <c r="B1988" s="773" t="s">
        <v>140</v>
      </c>
      <c r="C1988" s="773">
        <v>708</v>
      </c>
      <c r="D1988" s="773">
        <v>2961</v>
      </c>
      <c r="E1988" s="773" t="s">
        <v>390</v>
      </c>
      <c r="S1988" s="27">
        <v>44592</v>
      </c>
      <c r="T1988" s="773" t="s">
        <v>132</v>
      </c>
      <c r="U1988" s="773">
        <v>701</v>
      </c>
      <c r="V1988" s="773">
        <v>2071</v>
      </c>
      <c r="W1988" s="773" t="s">
        <v>390</v>
      </c>
    </row>
    <row r="1989" spans="1:23">
      <c r="A1989" s="27">
        <v>45077</v>
      </c>
      <c r="B1989" s="773" t="s">
        <v>140</v>
      </c>
      <c r="C1989" s="773">
        <v>610</v>
      </c>
      <c r="D1989" s="773">
        <v>4</v>
      </c>
      <c r="E1989" s="773" t="s">
        <v>410</v>
      </c>
      <c r="S1989" s="27">
        <v>44592</v>
      </c>
      <c r="T1989" s="773" t="s">
        <v>132</v>
      </c>
      <c r="U1989" s="773">
        <v>292</v>
      </c>
      <c r="V1989" s="773">
        <v>6</v>
      </c>
      <c r="W1989" s="773" t="s">
        <v>410</v>
      </c>
    </row>
    <row r="1990" spans="1:23">
      <c r="A1990" s="27">
        <v>45077</v>
      </c>
      <c r="B1990" s="773" t="s">
        <v>140</v>
      </c>
      <c r="C1990" s="773">
        <v>469</v>
      </c>
      <c r="D1990" s="773">
        <v>11</v>
      </c>
      <c r="E1990" s="773" t="s">
        <v>410</v>
      </c>
      <c r="S1990" s="27">
        <v>44227</v>
      </c>
      <c r="T1990" s="773" t="s">
        <v>132</v>
      </c>
      <c r="U1990" s="773">
        <v>239</v>
      </c>
      <c r="V1990" s="773">
        <v>3489</v>
      </c>
      <c r="W1990" s="773" t="s">
        <v>390</v>
      </c>
    </row>
    <row r="1991" spans="1:23">
      <c r="A1991" s="27">
        <v>45077</v>
      </c>
      <c r="B1991" s="773" t="s">
        <v>140</v>
      </c>
      <c r="C1991" s="773">
        <v>248</v>
      </c>
      <c r="D1991" s="773">
        <v>30</v>
      </c>
      <c r="E1991" s="773" t="s">
        <v>410</v>
      </c>
      <c r="S1991" s="27">
        <v>44592</v>
      </c>
      <c r="T1991" s="773" t="s">
        <v>132</v>
      </c>
      <c r="U1991" s="773">
        <v>324</v>
      </c>
      <c r="V1991" s="773">
        <v>590</v>
      </c>
      <c r="W1991" s="773" t="s">
        <v>390</v>
      </c>
    </row>
    <row r="1992" spans="1:23">
      <c r="A1992" s="27">
        <v>45107</v>
      </c>
      <c r="B1992" s="773" t="s">
        <v>140</v>
      </c>
      <c r="C1992" s="773">
        <v>370</v>
      </c>
      <c r="D1992" s="773">
        <v>2</v>
      </c>
      <c r="E1992" s="773" t="s">
        <v>410</v>
      </c>
      <c r="S1992" s="27">
        <v>44592</v>
      </c>
      <c r="T1992" s="773" t="s">
        <v>132</v>
      </c>
      <c r="U1992" s="773">
        <v>93</v>
      </c>
      <c r="V1992" s="773">
        <v>8113</v>
      </c>
      <c r="W1992" s="773" t="s">
        <v>390</v>
      </c>
    </row>
    <row r="1993" spans="1:23">
      <c r="A1993" s="27">
        <v>45107</v>
      </c>
      <c r="B1993" s="773" t="s">
        <v>140</v>
      </c>
      <c r="C1993" s="773">
        <v>581</v>
      </c>
      <c r="D1993" s="773">
        <v>133</v>
      </c>
      <c r="E1993" s="773" t="s">
        <v>390</v>
      </c>
      <c r="S1993" s="27">
        <v>44227</v>
      </c>
      <c r="T1993" s="773" t="s">
        <v>132</v>
      </c>
      <c r="U1993" s="773">
        <v>674</v>
      </c>
      <c r="V1993" s="773">
        <v>13</v>
      </c>
      <c r="W1993" s="773" t="s">
        <v>410</v>
      </c>
    </row>
    <row r="1994" spans="1:23">
      <c r="A1994" s="27">
        <v>45107</v>
      </c>
      <c r="B1994" s="773" t="s">
        <v>140</v>
      </c>
      <c r="C1994" s="773">
        <v>758</v>
      </c>
      <c r="D1994" s="773">
        <v>1</v>
      </c>
      <c r="E1994" s="773" t="s">
        <v>410</v>
      </c>
      <c r="S1994" s="27">
        <v>44592</v>
      </c>
      <c r="T1994" s="773" t="s">
        <v>132</v>
      </c>
      <c r="U1994" s="773">
        <v>111</v>
      </c>
      <c r="V1994" s="773">
        <v>2</v>
      </c>
      <c r="W1994" s="773" t="s">
        <v>410</v>
      </c>
    </row>
    <row r="1995" spans="1:23">
      <c r="A1995" s="27">
        <v>45107</v>
      </c>
      <c r="B1995" s="773" t="s">
        <v>140</v>
      </c>
      <c r="C1995" s="773">
        <v>449</v>
      </c>
      <c r="D1995" s="773">
        <v>1797</v>
      </c>
      <c r="E1995" s="773" t="s">
        <v>390</v>
      </c>
      <c r="S1995" s="27">
        <v>44227</v>
      </c>
      <c r="T1995" s="773" t="s">
        <v>132</v>
      </c>
      <c r="U1995" s="773">
        <v>78</v>
      </c>
      <c r="V1995" s="773">
        <v>3</v>
      </c>
      <c r="W1995" s="773" t="s">
        <v>410</v>
      </c>
    </row>
    <row r="1996" spans="1:23">
      <c r="A1996" s="27">
        <v>45107</v>
      </c>
      <c r="B1996" s="773" t="s">
        <v>140</v>
      </c>
      <c r="C1996" s="773">
        <v>338</v>
      </c>
      <c r="D1996" s="773">
        <v>2451</v>
      </c>
      <c r="E1996" s="773" t="s">
        <v>390</v>
      </c>
      <c r="S1996" s="27">
        <v>44227</v>
      </c>
      <c r="T1996" s="773" t="s">
        <v>132</v>
      </c>
      <c r="U1996" s="773">
        <v>69</v>
      </c>
      <c r="V1996" s="773">
        <v>1</v>
      </c>
      <c r="W1996" s="773" t="s">
        <v>410</v>
      </c>
    </row>
    <row r="1997" spans="1:23">
      <c r="A1997" s="27">
        <v>45107</v>
      </c>
      <c r="B1997" s="773" t="s">
        <v>140</v>
      </c>
      <c r="C1997" s="773">
        <v>383</v>
      </c>
      <c r="D1997" s="773">
        <v>2</v>
      </c>
      <c r="E1997" s="773" t="s">
        <v>410</v>
      </c>
      <c r="S1997" s="27">
        <v>44227</v>
      </c>
      <c r="T1997" s="773" t="s">
        <v>132</v>
      </c>
      <c r="U1997" s="773">
        <v>149</v>
      </c>
      <c r="V1997" s="773">
        <v>3</v>
      </c>
      <c r="W1997" s="773" t="s">
        <v>410</v>
      </c>
    </row>
    <row r="1998" spans="1:23">
      <c r="A1998" s="27">
        <v>45107</v>
      </c>
      <c r="B1998" s="773" t="s">
        <v>140</v>
      </c>
      <c r="C1998" s="773">
        <v>639</v>
      </c>
      <c r="D1998" s="773">
        <v>139</v>
      </c>
      <c r="E1998" s="773" t="s">
        <v>390</v>
      </c>
      <c r="S1998" s="27">
        <v>44227</v>
      </c>
      <c r="T1998" s="773" t="s">
        <v>132</v>
      </c>
      <c r="U1998" s="773">
        <v>266</v>
      </c>
      <c r="V1998" s="773">
        <v>2247</v>
      </c>
      <c r="W1998" s="773" t="s">
        <v>390</v>
      </c>
    </row>
    <row r="1999" spans="1:23">
      <c r="A1999" s="27">
        <v>45107</v>
      </c>
      <c r="B1999" s="773" t="s">
        <v>140</v>
      </c>
      <c r="C1999" s="773">
        <v>640</v>
      </c>
      <c r="D1999" s="773">
        <v>2970</v>
      </c>
      <c r="E1999" s="773" t="s">
        <v>390</v>
      </c>
      <c r="S1999" s="27">
        <v>44592</v>
      </c>
      <c r="T1999" s="773" t="s">
        <v>132</v>
      </c>
      <c r="U1999" s="773">
        <v>240</v>
      </c>
      <c r="V1999" s="773">
        <v>7</v>
      </c>
      <c r="W1999" s="773" t="s">
        <v>410</v>
      </c>
    </row>
    <row r="2000" spans="1:23">
      <c r="A2000" s="27">
        <v>45107</v>
      </c>
      <c r="B2000" s="773" t="s">
        <v>140</v>
      </c>
      <c r="C2000" s="773">
        <v>379</v>
      </c>
      <c r="D2000" s="773">
        <v>1</v>
      </c>
      <c r="E2000" s="773" t="s">
        <v>410</v>
      </c>
      <c r="S2000" s="27">
        <v>44227</v>
      </c>
      <c r="T2000" s="773" t="s">
        <v>132</v>
      </c>
      <c r="U2000" s="773">
        <v>46</v>
      </c>
      <c r="V2000" s="773">
        <v>2726</v>
      </c>
      <c r="W2000" s="773" t="s">
        <v>390</v>
      </c>
    </row>
    <row r="2001" spans="1:23">
      <c r="A2001" s="27">
        <v>45107</v>
      </c>
      <c r="B2001" s="773" t="s">
        <v>140</v>
      </c>
      <c r="C2001" s="773">
        <v>648</v>
      </c>
      <c r="D2001" s="773">
        <v>1246</v>
      </c>
      <c r="E2001" s="773" t="s">
        <v>390</v>
      </c>
      <c r="S2001" s="27">
        <v>44592</v>
      </c>
      <c r="T2001" s="773" t="s">
        <v>132</v>
      </c>
      <c r="U2001" s="773">
        <v>61</v>
      </c>
      <c r="V2001" s="773">
        <v>1</v>
      </c>
      <c r="W2001" s="773" t="s">
        <v>410</v>
      </c>
    </row>
    <row r="2002" spans="1:23">
      <c r="A2002" s="27">
        <v>45107</v>
      </c>
      <c r="B2002" s="773" t="s">
        <v>140</v>
      </c>
      <c r="C2002" s="773">
        <v>650</v>
      </c>
      <c r="D2002" s="773">
        <v>2361</v>
      </c>
      <c r="E2002" s="773" t="s">
        <v>390</v>
      </c>
      <c r="S2002" s="27">
        <v>44227</v>
      </c>
      <c r="T2002" s="773" t="s">
        <v>132</v>
      </c>
      <c r="U2002" s="773">
        <v>162</v>
      </c>
      <c r="V2002" s="773">
        <v>2424</v>
      </c>
      <c r="W2002" s="773" t="s">
        <v>390</v>
      </c>
    </row>
    <row r="2003" spans="1:23">
      <c r="A2003" s="27">
        <v>45107</v>
      </c>
      <c r="B2003" s="773" t="s">
        <v>140</v>
      </c>
      <c r="C2003" s="773">
        <v>597</v>
      </c>
      <c r="D2003" s="773">
        <v>1335</v>
      </c>
      <c r="E2003" s="773" t="s">
        <v>390</v>
      </c>
      <c r="S2003" s="27">
        <v>44592</v>
      </c>
      <c r="T2003" s="773" t="s">
        <v>132</v>
      </c>
      <c r="U2003" s="773">
        <v>215</v>
      </c>
      <c r="V2003" s="773">
        <v>697</v>
      </c>
      <c r="W2003" s="773" t="s">
        <v>390</v>
      </c>
    </row>
    <row r="2004" spans="1:23">
      <c r="A2004" s="27">
        <v>45107</v>
      </c>
      <c r="B2004" s="773" t="s">
        <v>140</v>
      </c>
      <c r="C2004" s="773">
        <v>746</v>
      </c>
      <c r="D2004" s="773">
        <v>2045</v>
      </c>
      <c r="E2004" s="773" t="s">
        <v>390</v>
      </c>
      <c r="S2004" s="27">
        <v>44227</v>
      </c>
      <c r="T2004" s="773" t="s">
        <v>132</v>
      </c>
      <c r="U2004" s="773">
        <v>684</v>
      </c>
      <c r="V2004" s="773">
        <v>2643</v>
      </c>
      <c r="W2004" s="773" t="s">
        <v>390</v>
      </c>
    </row>
    <row r="2005" spans="1:23">
      <c r="A2005" s="27">
        <v>45107</v>
      </c>
      <c r="B2005" s="773" t="s">
        <v>140</v>
      </c>
      <c r="C2005" s="773">
        <v>691</v>
      </c>
      <c r="D2005" s="773">
        <v>164</v>
      </c>
      <c r="E2005" s="773" t="s">
        <v>390</v>
      </c>
      <c r="S2005" s="27">
        <v>44227</v>
      </c>
      <c r="T2005" s="773" t="s">
        <v>132</v>
      </c>
      <c r="U2005" s="773">
        <v>232</v>
      </c>
      <c r="V2005" s="773">
        <v>127</v>
      </c>
      <c r="W2005" s="773" t="s">
        <v>390</v>
      </c>
    </row>
    <row r="2006" spans="1:23">
      <c r="A2006" s="27">
        <v>45107</v>
      </c>
      <c r="B2006" s="773" t="s">
        <v>140</v>
      </c>
      <c r="C2006" s="773">
        <v>279</v>
      </c>
      <c r="D2006" s="773">
        <v>1</v>
      </c>
      <c r="E2006" s="773" t="s">
        <v>410</v>
      </c>
      <c r="S2006" s="27">
        <v>44592</v>
      </c>
      <c r="T2006" s="773" t="s">
        <v>132</v>
      </c>
      <c r="U2006" s="773">
        <v>523</v>
      </c>
      <c r="V2006" s="773">
        <v>10</v>
      </c>
      <c r="W2006" s="773" t="s">
        <v>410</v>
      </c>
    </row>
    <row r="2007" spans="1:23">
      <c r="A2007" s="27">
        <v>45107</v>
      </c>
      <c r="B2007" s="773" t="s">
        <v>140</v>
      </c>
      <c r="C2007" s="773">
        <v>530</v>
      </c>
      <c r="D2007" s="773">
        <v>1</v>
      </c>
      <c r="E2007" s="773" t="s">
        <v>410</v>
      </c>
      <c r="S2007" s="27">
        <v>44592</v>
      </c>
      <c r="T2007" s="773" t="s">
        <v>132</v>
      </c>
      <c r="U2007" s="773">
        <v>651</v>
      </c>
      <c r="V2007" s="773">
        <v>173</v>
      </c>
      <c r="W2007" s="773" t="s">
        <v>390</v>
      </c>
    </row>
    <row r="2008" spans="1:23">
      <c r="A2008" s="27">
        <v>45107</v>
      </c>
      <c r="B2008" s="773" t="s">
        <v>140</v>
      </c>
      <c r="C2008" s="773">
        <v>478</v>
      </c>
      <c r="D2008" s="773">
        <v>1</v>
      </c>
      <c r="E2008" s="773" t="s">
        <v>410</v>
      </c>
      <c r="S2008" s="27">
        <v>44592</v>
      </c>
      <c r="T2008" s="773" t="s">
        <v>132</v>
      </c>
      <c r="U2008" s="773">
        <v>279</v>
      </c>
      <c r="V2008" s="773">
        <v>4013</v>
      </c>
      <c r="W2008" s="773" t="s">
        <v>390</v>
      </c>
    </row>
    <row r="2009" spans="1:23">
      <c r="A2009" s="27">
        <v>45107</v>
      </c>
      <c r="B2009" s="773" t="s">
        <v>140</v>
      </c>
      <c r="C2009" s="773">
        <v>248</v>
      </c>
      <c r="D2009" s="773">
        <v>23</v>
      </c>
      <c r="E2009" s="773" t="s">
        <v>410</v>
      </c>
      <c r="S2009" s="27">
        <v>44227</v>
      </c>
      <c r="T2009" s="773" t="s">
        <v>132</v>
      </c>
      <c r="U2009" s="773">
        <v>999</v>
      </c>
      <c r="V2009" s="773">
        <v>1</v>
      </c>
      <c r="W2009" s="773" t="s">
        <v>410</v>
      </c>
    </row>
    <row r="2010" spans="1:23">
      <c r="A2010" s="27">
        <v>45107</v>
      </c>
      <c r="B2010" s="773" t="s">
        <v>140</v>
      </c>
      <c r="C2010" s="773">
        <v>359</v>
      </c>
      <c r="D2010" s="773">
        <v>871</v>
      </c>
      <c r="E2010" s="773" t="s">
        <v>390</v>
      </c>
      <c r="S2010" s="27">
        <v>44592</v>
      </c>
      <c r="T2010" s="773" t="s">
        <v>132</v>
      </c>
      <c r="U2010" s="773">
        <v>319</v>
      </c>
      <c r="V2010" s="773">
        <v>1929</v>
      </c>
      <c r="W2010" s="773" t="s">
        <v>390</v>
      </c>
    </row>
    <row r="2011" spans="1:23">
      <c r="A2011" s="27">
        <v>45107</v>
      </c>
      <c r="B2011" s="773" t="s">
        <v>140</v>
      </c>
      <c r="C2011" s="773">
        <v>601</v>
      </c>
      <c r="D2011" s="773">
        <v>3</v>
      </c>
      <c r="E2011" s="773" t="s">
        <v>410</v>
      </c>
      <c r="S2011" s="27">
        <v>44592</v>
      </c>
      <c r="T2011" s="773" t="s">
        <v>132</v>
      </c>
      <c r="U2011" s="773">
        <v>13</v>
      </c>
      <c r="V2011" s="773">
        <v>2840</v>
      </c>
      <c r="W2011" s="773" t="s">
        <v>390</v>
      </c>
    </row>
    <row r="2012" spans="1:23">
      <c r="A2012" s="27">
        <v>45107</v>
      </c>
      <c r="B2012" s="773" t="s">
        <v>140</v>
      </c>
      <c r="C2012" s="773">
        <v>610</v>
      </c>
      <c r="D2012" s="773">
        <v>4</v>
      </c>
      <c r="E2012" s="773" t="s">
        <v>410</v>
      </c>
      <c r="S2012" s="27">
        <v>44592</v>
      </c>
      <c r="T2012" s="773" t="s">
        <v>132</v>
      </c>
      <c r="U2012" s="773">
        <v>116</v>
      </c>
      <c r="V2012" s="773">
        <v>4</v>
      </c>
      <c r="W2012" s="773" t="s">
        <v>410</v>
      </c>
    </row>
    <row r="2013" spans="1:23">
      <c r="A2013" s="27">
        <v>45107</v>
      </c>
      <c r="B2013" s="773" t="s">
        <v>140</v>
      </c>
      <c r="C2013" s="773">
        <v>558</v>
      </c>
      <c r="D2013" s="773">
        <v>1256</v>
      </c>
      <c r="E2013" s="773" t="s">
        <v>390</v>
      </c>
      <c r="S2013" s="27">
        <v>44592</v>
      </c>
      <c r="T2013" s="773" t="s">
        <v>132</v>
      </c>
      <c r="U2013" s="773">
        <v>52</v>
      </c>
      <c r="V2013" s="773">
        <v>2</v>
      </c>
      <c r="W2013" s="773" t="s">
        <v>410</v>
      </c>
    </row>
    <row r="2014" spans="1:23">
      <c r="A2014" s="27">
        <v>45107</v>
      </c>
      <c r="B2014" s="773" t="s">
        <v>140</v>
      </c>
      <c r="C2014" s="773">
        <v>485</v>
      </c>
      <c r="D2014" s="773">
        <v>1383</v>
      </c>
      <c r="E2014" s="773" t="s">
        <v>390</v>
      </c>
      <c r="S2014" s="27">
        <v>44227</v>
      </c>
      <c r="T2014" s="773" t="s">
        <v>132</v>
      </c>
      <c r="U2014" s="773">
        <v>668</v>
      </c>
      <c r="V2014" s="773">
        <v>2987</v>
      </c>
      <c r="W2014" s="773" t="s">
        <v>390</v>
      </c>
    </row>
    <row r="2015" spans="1:23">
      <c r="A2015" s="27">
        <v>45107</v>
      </c>
      <c r="B2015" s="773" t="s">
        <v>140</v>
      </c>
      <c r="C2015" s="773">
        <v>616</v>
      </c>
      <c r="D2015" s="773">
        <v>1</v>
      </c>
      <c r="E2015" s="773" t="s">
        <v>410</v>
      </c>
      <c r="S2015" s="27">
        <v>44227</v>
      </c>
      <c r="T2015" s="773" t="s">
        <v>132</v>
      </c>
      <c r="U2015" s="773">
        <v>662</v>
      </c>
      <c r="V2015" s="773">
        <v>2848</v>
      </c>
      <c r="W2015" s="773" t="s">
        <v>390</v>
      </c>
    </row>
    <row r="2016" spans="1:23">
      <c r="A2016" s="27">
        <v>45107</v>
      </c>
      <c r="B2016" s="773" t="s">
        <v>140</v>
      </c>
      <c r="C2016" s="773">
        <v>722</v>
      </c>
      <c r="D2016" s="773">
        <v>2054</v>
      </c>
      <c r="E2016" s="773" t="s">
        <v>390</v>
      </c>
      <c r="S2016" s="27">
        <v>44592</v>
      </c>
      <c r="T2016" s="773" t="s">
        <v>132</v>
      </c>
      <c r="U2016" s="773">
        <v>145</v>
      </c>
      <c r="V2016" s="773">
        <v>2</v>
      </c>
      <c r="W2016" s="773" t="s">
        <v>410</v>
      </c>
    </row>
    <row r="2017" spans="1:23">
      <c r="A2017" s="27">
        <v>45107</v>
      </c>
      <c r="B2017" s="773" t="s">
        <v>140</v>
      </c>
      <c r="C2017" s="773">
        <v>659</v>
      </c>
      <c r="D2017" s="773">
        <v>933</v>
      </c>
      <c r="E2017" s="773" t="s">
        <v>390</v>
      </c>
      <c r="S2017" s="27">
        <v>44592</v>
      </c>
      <c r="T2017" s="773" t="s">
        <v>132</v>
      </c>
      <c r="U2017" s="773">
        <v>101</v>
      </c>
      <c r="V2017" s="773">
        <v>835</v>
      </c>
      <c r="W2017" s="773" t="s">
        <v>390</v>
      </c>
    </row>
    <row r="2018" spans="1:23">
      <c r="A2018" s="27">
        <v>45107</v>
      </c>
      <c r="B2018" s="773" t="s">
        <v>140</v>
      </c>
      <c r="C2018" s="773">
        <v>594</v>
      </c>
      <c r="D2018" s="773">
        <v>2692</v>
      </c>
      <c r="E2018" s="773" t="s">
        <v>390</v>
      </c>
      <c r="S2018" s="27">
        <v>44592</v>
      </c>
      <c r="T2018" s="773" t="s">
        <v>132</v>
      </c>
      <c r="U2018" s="773">
        <v>271</v>
      </c>
      <c r="V2018" s="773">
        <v>2764</v>
      </c>
      <c r="W2018" s="773" t="s">
        <v>390</v>
      </c>
    </row>
    <row r="2019" spans="1:23">
      <c r="A2019" s="27">
        <v>45107</v>
      </c>
      <c r="B2019" s="773" t="s">
        <v>140</v>
      </c>
      <c r="C2019" s="773">
        <v>574</v>
      </c>
      <c r="D2019" s="773">
        <v>2490</v>
      </c>
      <c r="E2019" s="773" t="s">
        <v>390</v>
      </c>
      <c r="S2019" s="27">
        <v>44592</v>
      </c>
      <c r="T2019" s="773" t="s">
        <v>132</v>
      </c>
      <c r="U2019" s="773">
        <v>678</v>
      </c>
      <c r="V2019" s="773">
        <v>2818</v>
      </c>
      <c r="W2019" s="773" t="s">
        <v>390</v>
      </c>
    </row>
    <row r="2020" spans="1:23">
      <c r="A2020" s="27">
        <v>45107</v>
      </c>
      <c r="B2020" s="773" t="s">
        <v>140</v>
      </c>
      <c r="C2020" s="773">
        <v>626</v>
      </c>
      <c r="D2020" s="773">
        <v>3223</v>
      </c>
      <c r="E2020" s="773" t="s">
        <v>390</v>
      </c>
      <c r="S2020" s="27">
        <v>44592</v>
      </c>
      <c r="T2020" s="773" t="s">
        <v>132</v>
      </c>
      <c r="U2020" s="773">
        <v>671</v>
      </c>
      <c r="V2020" s="773">
        <v>2242</v>
      </c>
      <c r="W2020" s="773" t="s">
        <v>390</v>
      </c>
    </row>
    <row r="2021" spans="1:23">
      <c r="A2021" s="27">
        <v>45107</v>
      </c>
      <c r="B2021" s="773" t="s">
        <v>140</v>
      </c>
      <c r="C2021" s="773">
        <v>628</v>
      </c>
      <c r="D2021" s="773">
        <v>666</v>
      </c>
      <c r="E2021" s="773" t="s">
        <v>390</v>
      </c>
      <c r="S2021" s="27">
        <v>44592</v>
      </c>
      <c r="T2021" s="773" t="s">
        <v>132</v>
      </c>
      <c r="U2021" s="773">
        <v>218</v>
      </c>
      <c r="V2021" s="773">
        <v>901</v>
      </c>
      <c r="W2021" s="773" t="s">
        <v>390</v>
      </c>
    </row>
    <row r="2022" spans="1:23">
      <c r="A2022" s="27">
        <v>45107</v>
      </c>
      <c r="B2022" s="773" t="s">
        <v>140</v>
      </c>
      <c r="C2022" s="773">
        <v>346</v>
      </c>
      <c r="D2022" s="773">
        <v>3</v>
      </c>
      <c r="E2022" s="773" t="s">
        <v>410</v>
      </c>
      <c r="S2022" s="27">
        <v>44592</v>
      </c>
      <c r="T2022" s="773" t="s">
        <v>132</v>
      </c>
      <c r="U2022" s="773">
        <v>252</v>
      </c>
      <c r="V2022" s="773">
        <v>1265</v>
      </c>
      <c r="W2022" s="773" t="s">
        <v>390</v>
      </c>
    </row>
    <row r="2023" spans="1:23">
      <c r="A2023" s="27">
        <v>45107</v>
      </c>
      <c r="B2023" s="773" t="s">
        <v>140</v>
      </c>
      <c r="C2023" s="773">
        <v>527</v>
      </c>
      <c r="D2023" s="773">
        <v>3</v>
      </c>
      <c r="E2023" s="773" t="s">
        <v>410</v>
      </c>
      <c r="S2023" s="27">
        <v>44592</v>
      </c>
      <c r="T2023" s="773" t="s">
        <v>132</v>
      </c>
      <c r="U2023" s="773">
        <v>325</v>
      </c>
      <c r="V2023" s="773">
        <v>2938</v>
      </c>
      <c r="W2023" s="773" t="s">
        <v>390</v>
      </c>
    </row>
    <row r="2024" spans="1:23">
      <c r="A2024" s="27">
        <v>45107</v>
      </c>
      <c r="B2024" s="773" t="s">
        <v>140</v>
      </c>
      <c r="C2024" s="773">
        <v>524</v>
      </c>
      <c r="D2024" s="773">
        <v>1922</v>
      </c>
      <c r="E2024" s="773" t="s">
        <v>390</v>
      </c>
      <c r="S2024" s="27">
        <v>44227</v>
      </c>
      <c r="T2024" s="773" t="s">
        <v>132</v>
      </c>
      <c r="U2024" s="773">
        <v>200</v>
      </c>
      <c r="V2024" s="773">
        <v>3</v>
      </c>
      <c r="W2024" s="773" t="s">
        <v>410</v>
      </c>
    </row>
    <row r="2025" spans="1:23">
      <c r="A2025" s="27">
        <v>45107</v>
      </c>
      <c r="B2025" s="773" t="s">
        <v>140</v>
      </c>
      <c r="C2025" s="773">
        <v>387</v>
      </c>
      <c r="D2025" s="773">
        <v>8</v>
      </c>
      <c r="E2025" s="773" t="s">
        <v>410</v>
      </c>
      <c r="S2025" s="27">
        <v>44592</v>
      </c>
      <c r="T2025" s="773" t="s">
        <v>132</v>
      </c>
      <c r="U2025" s="773">
        <v>256</v>
      </c>
      <c r="V2025" s="773">
        <v>704</v>
      </c>
      <c r="W2025" s="773" t="s">
        <v>390</v>
      </c>
    </row>
    <row r="2026" spans="1:23">
      <c r="A2026" s="27">
        <v>45107</v>
      </c>
      <c r="B2026" s="773" t="s">
        <v>140</v>
      </c>
      <c r="C2026" s="773">
        <v>576</v>
      </c>
      <c r="D2026" s="773">
        <v>142</v>
      </c>
      <c r="E2026" s="773" t="s">
        <v>390</v>
      </c>
      <c r="S2026" s="27">
        <v>44592</v>
      </c>
      <c r="T2026" s="773" t="s">
        <v>132</v>
      </c>
      <c r="U2026" s="773">
        <v>320</v>
      </c>
      <c r="V2026" s="773">
        <v>1102</v>
      </c>
      <c r="W2026" s="773" t="s">
        <v>390</v>
      </c>
    </row>
    <row r="2027" spans="1:23">
      <c r="A2027" s="27">
        <v>45107</v>
      </c>
      <c r="B2027" s="773" t="s">
        <v>140</v>
      </c>
      <c r="C2027" s="773">
        <v>774</v>
      </c>
      <c r="D2027" s="773">
        <v>2311</v>
      </c>
      <c r="E2027" s="773" t="s">
        <v>390</v>
      </c>
      <c r="S2027" s="27">
        <v>44592</v>
      </c>
      <c r="T2027" s="773" t="s">
        <v>132</v>
      </c>
      <c r="U2027" s="773">
        <v>658</v>
      </c>
      <c r="V2027" s="773">
        <v>3018</v>
      </c>
      <c r="W2027" s="773" t="s">
        <v>390</v>
      </c>
    </row>
    <row r="2028" spans="1:23">
      <c r="A2028" s="27">
        <v>45107</v>
      </c>
      <c r="B2028" s="773" t="s">
        <v>140</v>
      </c>
      <c r="C2028" s="773">
        <v>548</v>
      </c>
      <c r="D2028" s="773">
        <v>978</v>
      </c>
      <c r="E2028" s="773" t="s">
        <v>390</v>
      </c>
      <c r="S2028" s="27">
        <v>44592</v>
      </c>
      <c r="T2028" s="773" t="s">
        <v>132</v>
      </c>
      <c r="U2028" s="773">
        <v>87</v>
      </c>
      <c r="V2028" s="773">
        <v>3</v>
      </c>
      <c r="W2028" s="773" t="s">
        <v>410</v>
      </c>
    </row>
    <row r="2029" spans="1:23">
      <c r="A2029" s="27">
        <v>45107</v>
      </c>
      <c r="B2029" s="773" t="s">
        <v>140</v>
      </c>
      <c r="C2029" s="773">
        <v>0</v>
      </c>
      <c r="D2029" s="773">
        <v>7</v>
      </c>
      <c r="E2029" s="773" t="s">
        <v>410</v>
      </c>
      <c r="S2029" s="27">
        <v>44227</v>
      </c>
      <c r="T2029" s="773" t="s">
        <v>132</v>
      </c>
      <c r="U2029" s="773">
        <v>253</v>
      </c>
      <c r="V2029" s="773">
        <v>3963</v>
      </c>
      <c r="W2029" s="773" t="s">
        <v>390</v>
      </c>
    </row>
    <row r="2030" spans="1:23">
      <c r="A2030" s="27">
        <v>45107</v>
      </c>
      <c r="B2030" s="773" t="s">
        <v>140</v>
      </c>
      <c r="C2030" s="773">
        <v>555</v>
      </c>
      <c r="D2030" s="773">
        <v>1626</v>
      </c>
      <c r="E2030" s="773" t="s">
        <v>390</v>
      </c>
      <c r="S2030" s="27">
        <v>44227</v>
      </c>
      <c r="T2030" s="773" t="s">
        <v>132</v>
      </c>
      <c r="U2030" s="773">
        <v>101</v>
      </c>
      <c r="V2030" s="773">
        <v>821</v>
      </c>
      <c r="W2030" s="773" t="s">
        <v>390</v>
      </c>
    </row>
    <row r="2031" spans="1:23">
      <c r="A2031" s="27">
        <v>45107</v>
      </c>
      <c r="B2031" s="773" t="s">
        <v>140</v>
      </c>
      <c r="C2031" s="773">
        <v>708</v>
      </c>
      <c r="D2031" s="773">
        <v>2963</v>
      </c>
      <c r="E2031" s="773" t="s">
        <v>390</v>
      </c>
      <c r="S2031" s="27">
        <v>44592</v>
      </c>
      <c r="T2031" s="773" t="s">
        <v>132</v>
      </c>
      <c r="U2031" s="773">
        <v>47</v>
      </c>
      <c r="V2031" s="773">
        <v>1</v>
      </c>
      <c r="W2031" s="773" t="s">
        <v>410</v>
      </c>
    </row>
    <row r="2032" spans="1:23">
      <c r="A2032" s="27">
        <v>45107</v>
      </c>
      <c r="B2032" s="773" t="s">
        <v>140</v>
      </c>
      <c r="C2032" s="773">
        <v>630</v>
      </c>
      <c r="D2032" s="773">
        <v>1</v>
      </c>
      <c r="E2032" s="773" t="s">
        <v>410</v>
      </c>
      <c r="S2032" s="27">
        <v>44227</v>
      </c>
      <c r="T2032" s="773" t="s">
        <v>132</v>
      </c>
      <c r="U2032" s="773">
        <v>56</v>
      </c>
      <c r="V2032" s="773">
        <v>51</v>
      </c>
      <c r="W2032" s="773" t="s">
        <v>410</v>
      </c>
    </row>
    <row r="2033" spans="1:23">
      <c r="A2033" s="27">
        <v>45107</v>
      </c>
      <c r="B2033" s="773" t="s">
        <v>140</v>
      </c>
      <c r="C2033" s="773">
        <v>469</v>
      </c>
      <c r="D2033" s="773">
        <v>10</v>
      </c>
      <c r="E2033" s="773" t="s">
        <v>410</v>
      </c>
      <c r="S2033" s="27">
        <v>44227</v>
      </c>
      <c r="T2033" s="773" t="s">
        <v>132</v>
      </c>
      <c r="U2033" s="773">
        <v>44</v>
      </c>
      <c r="V2033" s="773">
        <v>3226</v>
      </c>
      <c r="W2033" s="773" t="s">
        <v>390</v>
      </c>
    </row>
    <row r="2034" spans="1:23">
      <c r="A2034" s="27">
        <v>45107</v>
      </c>
      <c r="B2034" s="773" t="s">
        <v>140</v>
      </c>
      <c r="C2034" s="773">
        <v>732</v>
      </c>
      <c r="D2034" s="773">
        <v>3</v>
      </c>
      <c r="E2034" s="773" t="s">
        <v>410</v>
      </c>
      <c r="S2034" s="27">
        <v>44592</v>
      </c>
      <c r="T2034" s="773" t="s">
        <v>132</v>
      </c>
      <c r="U2034" s="773">
        <v>194</v>
      </c>
      <c r="V2034" s="773">
        <v>3367</v>
      </c>
      <c r="W2034" s="773" t="s">
        <v>390</v>
      </c>
    </row>
    <row r="2035" spans="1:23">
      <c r="A2035" s="27">
        <v>45107</v>
      </c>
      <c r="B2035" s="773" t="s">
        <v>140</v>
      </c>
      <c r="C2035" s="773">
        <v>586</v>
      </c>
      <c r="D2035" s="773">
        <v>2294</v>
      </c>
      <c r="E2035" s="773" t="s">
        <v>390</v>
      </c>
      <c r="S2035" s="27">
        <v>44227</v>
      </c>
      <c r="T2035" s="773" t="s">
        <v>132</v>
      </c>
      <c r="U2035" s="773">
        <v>679</v>
      </c>
      <c r="V2035" s="773">
        <v>2549</v>
      </c>
      <c r="W2035" s="773" t="s">
        <v>390</v>
      </c>
    </row>
    <row r="2036" spans="1:23">
      <c r="A2036" s="27">
        <v>45107</v>
      </c>
      <c r="B2036" s="773" t="s">
        <v>140</v>
      </c>
      <c r="C2036" s="773">
        <v>556</v>
      </c>
      <c r="D2036" s="773">
        <v>2524</v>
      </c>
      <c r="E2036" s="773" t="s">
        <v>390</v>
      </c>
      <c r="S2036" s="27">
        <v>44592</v>
      </c>
      <c r="T2036" s="773" t="s">
        <v>132</v>
      </c>
      <c r="U2036" s="773">
        <v>102</v>
      </c>
      <c r="V2036" s="773">
        <v>3</v>
      </c>
      <c r="W2036" s="773" t="s">
        <v>410</v>
      </c>
    </row>
    <row r="2037" spans="1:23">
      <c r="A2037" s="27">
        <v>45107</v>
      </c>
      <c r="B2037" s="773" t="s">
        <v>140</v>
      </c>
      <c r="C2037" s="773">
        <v>493</v>
      </c>
      <c r="D2037" s="773">
        <v>5</v>
      </c>
      <c r="E2037" s="773" t="s">
        <v>410</v>
      </c>
      <c r="S2037" s="27">
        <v>44227</v>
      </c>
      <c r="T2037" s="773" t="s">
        <v>132</v>
      </c>
      <c r="U2037" s="773">
        <v>240</v>
      </c>
      <c r="V2037" s="773">
        <v>3</v>
      </c>
      <c r="W2037" s="773" t="s">
        <v>410</v>
      </c>
    </row>
    <row r="2038" spans="1:23">
      <c r="A2038" s="27">
        <v>45107</v>
      </c>
      <c r="B2038" s="773" t="s">
        <v>140</v>
      </c>
      <c r="C2038" s="773">
        <v>585</v>
      </c>
      <c r="D2038" s="773">
        <v>5021</v>
      </c>
      <c r="E2038" s="773" t="s">
        <v>390</v>
      </c>
      <c r="S2038" s="27">
        <v>44592</v>
      </c>
      <c r="T2038" s="773" t="s">
        <v>132</v>
      </c>
      <c r="U2038" s="773">
        <v>304</v>
      </c>
      <c r="V2038" s="773">
        <v>115</v>
      </c>
      <c r="W2038" s="773" t="s">
        <v>390</v>
      </c>
    </row>
    <row r="2039" spans="1:23">
      <c r="A2039" s="27">
        <v>45107</v>
      </c>
      <c r="B2039" s="773" t="s">
        <v>140</v>
      </c>
      <c r="C2039" s="773">
        <v>742</v>
      </c>
      <c r="D2039" s="773">
        <v>1</v>
      </c>
      <c r="E2039" s="773" t="s">
        <v>410</v>
      </c>
      <c r="S2039" s="27">
        <v>44227</v>
      </c>
      <c r="T2039" s="773" t="s">
        <v>132</v>
      </c>
      <c r="U2039" s="773">
        <v>194</v>
      </c>
      <c r="V2039" s="773">
        <v>3201</v>
      </c>
      <c r="W2039" s="773" t="s">
        <v>390</v>
      </c>
    </row>
    <row r="2040" spans="1:23">
      <c r="A2040" s="27">
        <v>45107</v>
      </c>
      <c r="B2040" s="773" t="s">
        <v>140</v>
      </c>
      <c r="C2040" s="773">
        <v>510</v>
      </c>
      <c r="D2040" s="773">
        <v>1058</v>
      </c>
      <c r="E2040" s="773" t="s">
        <v>390</v>
      </c>
      <c r="S2040" s="27">
        <v>44592</v>
      </c>
      <c r="T2040" s="773" t="s">
        <v>132</v>
      </c>
      <c r="U2040" s="773">
        <v>216</v>
      </c>
      <c r="V2040" s="773">
        <v>2061</v>
      </c>
      <c r="W2040" s="773" t="s">
        <v>390</v>
      </c>
    </row>
    <row r="2041" spans="1:23">
      <c r="A2041" s="27">
        <v>45107</v>
      </c>
      <c r="B2041" s="773" t="s">
        <v>140</v>
      </c>
      <c r="C2041" s="773">
        <v>453</v>
      </c>
      <c r="D2041" s="773">
        <v>2465</v>
      </c>
      <c r="E2041" s="773" t="s">
        <v>390</v>
      </c>
      <c r="S2041" s="27">
        <v>44592</v>
      </c>
      <c r="T2041" s="773" t="s">
        <v>132</v>
      </c>
      <c r="U2041" s="773">
        <v>999</v>
      </c>
      <c r="V2041" s="773">
        <v>1</v>
      </c>
      <c r="W2041" s="773" t="s">
        <v>410</v>
      </c>
    </row>
    <row r="2042" spans="1:23">
      <c r="A2042" s="27">
        <v>45107</v>
      </c>
      <c r="B2042" s="773" t="s">
        <v>140</v>
      </c>
      <c r="C2042" s="773">
        <v>740</v>
      </c>
      <c r="D2042" s="773">
        <v>356</v>
      </c>
      <c r="E2042" s="773" t="s">
        <v>390</v>
      </c>
      <c r="S2042" s="27">
        <v>44227</v>
      </c>
      <c r="T2042" s="773" t="s">
        <v>132</v>
      </c>
      <c r="U2042" s="773">
        <v>299</v>
      </c>
      <c r="V2042" s="773">
        <v>1</v>
      </c>
      <c r="W2042" s="773" t="s">
        <v>410</v>
      </c>
    </row>
    <row r="2043" spans="1:23">
      <c r="A2043" s="27">
        <v>45138</v>
      </c>
      <c r="B2043" s="773" t="s">
        <v>140</v>
      </c>
      <c r="C2043" s="773">
        <v>610</v>
      </c>
      <c r="D2043" s="773">
        <v>4</v>
      </c>
      <c r="E2043" s="773" t="s">
        <v>410</v>
      </c>
      <c r="S2043" s="27">
        <v>44592</v>
      </c>
      <c r="T2043" s="773" t="s">
        <v>132</v>
      </c>
      <c r="U2043" s="773">
        <v>297</v>
      </c>
      <c r="V2043" s="773">
        <v>169</v>
      </c>
      <c r="W2043" s="773" t="s">
        <v>390</v>
      </c>
    </row>
    <row r="2044" spans="1:23">
      <c r="A2044" s="27">
        <v>45138</v>
      </c>
      <c r="B2044" s="773" t="s">
        <v>140</v>
      </c>
      <c r="C2044" s="773">
        <v>279</v>
      </c>
      <c r="D2044" s="773">
        <v>1</v>
      </c>
      <c r="E2044" s="773" t="s">
        <v>410</v>
      </c>
      <c r="S2044" s="27">
        <v>44592</v>
      </c>
      <c r="T2044" s="773" t="s">
        <v>132</v>
      </c>
      <c r="U2044" s="773">
        <v>86</v>
      </c>
      <c r="V2044" s="773">
        <v>1</v>
      </c>
      <c r="W2044" s="773" t="s">
        <v>410</v>
      </c>
    </row>
    <row r="2045" spans="1:23">
      <c r="A2045" s="27">
        <v>45138</v>
      </c>
      <c r="B2045" s="773" t="s">
        <v>140</v>
      </c>
      <c r="C2045" s="773">
        <v>485</v>
      </c>
      <c r="D2045" s="773">
        <v>1398</v>
      </c>
      <c r="E2045" s="773" t="s">
        <v>390</v>
      </c>
      <c r="S2045" s="27">
        <v>44227</v>
      </c>
      <c r="T2045" s="773" t="s">
        <v>132</v>
      </c>
      <c r="U2045" s="773">
        <v>173</v>
      </c>
      <c r="V2045" s="773">
        <v>1</v>
      </c>
      <c r="W2045" s="773" t="s">
        <v>410</v>
      </c>
    </row>
    <row r="2046" spans="1:23">
      <c r="A2046" s="27">
        <v>45138</v>
      </c>
      <c r="B2046" s="773" t="s">
        <v>140</v>
      </c>
      <c r="C2046" s="773">
        <v>581</v>
      </c>
      <c r="D2046" s="773">
        <v>180</v>
      </c>
      <c r="E2046" s="773" t="s">
        <v>390</v>
      </c>
      <c r="S2046" s="27">
        <v>44592</v>
      </c>
      <c r="T2046" s="773" t="s">
        <v>132</v>
      </c>
      <c r="U2046" s="773">
        <v>652</v>
      </c>
      <c r="V2046" s="773">
        <v>2763</v>
      </c>
      <c r="W2046" s="773" t="s">
        <v>390</v>
      </c>
    </row>
    <row r="2047" spans="1:23">
      <c r="A2047" s="27">
        <v>45138</v>
      </c>
      <c r="B2047" s="773" t="s">
        <v>140</v>
      </c>
      <c r="C2047" s="773">
        <v>338</v>
      </c>
      <c r="D2047" s="773">
        <v>2489</v>
      </c>
      <c r="E2047" s="773" t="s">
        <v>390</v>
      </c>
      <c r="S2047" s="27">
        <v>44227</v>
      </c>
      <c r="T2047" s="773" t="s">
        <v>132</v>
      </c>
      <c r="U2047" s="773">
        <v>61</v>
      </c>
      <c r="V2047" s="773">
        <v>1</v>
      </c>
      <c r="W2047" s="773" t="s">
        <v>410</v>
      </c>
    </row>
    <row r="2048" spans="1:23">
      <c r="A2048" s="27">
        <v>45138</v>
      </c>
      <c r="B2048" s="773" t="s">
        <v>140</v>
      </c>
      <c r="C2048" s="773">
        <v>630</v>
      </c>
      <c r="D2048" s="773">
        <v>1</v>
      </c>
      <c r="E2048" s="773" t="s">
        <v>410</v>
      </c>
      <c r="S2048" s="27">
        <v>44227</v>
      </c>
      <c r="T2048" s="773" t="s">
        <v>132</v>
      </c>
      <c r="U2048" s="773">
        <v>215</v>
      </c>
      <c r="V2048" s="773">
        <v>679</v>
      </c>
      <c r="W2048" s="773" t="s">
        <v>390</v>
      </c>
    </row>
    <row r="2049" spans="1:23">
      <c r="A2049" s="27">
        <v>45138</v>
      </c>
      <c r="B2049" s="773" t="s">
        <v>140</v>
      </c>
      <c r="C2049" s="773">
        <v>774</v>
      </c>
      <c r="D2049" s="773">
        <v>2336</v>
      </c>
      <c r="E2049" s="773" t="s">
        <v>390</v>
      </c>
      <c r="S2049" s="27">
        <v>44227</v>
      </c>
      <c r="T2049" s="773" t="s">
        <v>132</v>
      </c>
      <c r="U2049" s="773">
        <v>140</v>
      </c>
      <c r="V2049" s="773">
        <v>243</v>
      </c>
      <c r="W2049" s="773" t="s">
        <v>390</v>
      </c>
    </row>
    <row r="2050" spans="1:23">
      <c r="A2050" s="27">
        <v>45138</v>
      </c>
      <c r="B2050" s="773" t="s">
        <v>140</v>
      </c>
      <c r="C2050" s="773">
        <v>248</v>
      </c>
      <c r="D2050" s="773">
        <v>23</v>
      </c>
      <c r="E2050" s="773" t="s">
        <v>410</v>
      </c>
      <c r="S2050" s="27">
        <v>44227</v>
      </c>
      <c r="T2050" s="773" t="s">
        <v>132</v>
      </c>
      <c r="U2050" s="773">
        <v>87</v>
      </c>
      <c r="V2050" s="773">
        <v>12</v>
      </c>
      <c r="W2050" s="773" t="s">
        <v>410</v>
      </c>
    </row>
    <row r="2051" spans="1:23">
      <c r="A2051" s="27">
        <v>45138</v>
      </c>
      <c r="B2051" s="773" t="s">
        <v>140</v>
      </c>
      <c r="C2051" s="773">
        <v>510</v>
      </c>
      <c r="D2051" s="773">
        <v>1112</v>
      </c>
      <c r="E2051" s="773" t="s">
        <v>390</v>
      </c>
      <c r="S2051" s="27">
        <v>44592</v>
      </c>
      <c r="T2051" s="773" t="s">
        <v>132</v>
      </c>
      <c r="U2051" s="773">
        <v>687</v>
      </c>
      <c r="V2051" s="773">
        <v>2843</v>
      </c>
      <c r="W2051" s="773" t="s">
        <v>390</v>
      </c>
    </row>
    <row r="2052" spans="1:23">
      <c r="A2052" s="27">
        <v>45138</v>
      </c>
      <c r="B2052" s="773" t="s">
        <v>140</v>
      </c>
      <c r="C2052" s="773">
        <v>524</v>
      </c>
      <c r="D2052" s="773">
        <v>1935</v>
      </c>
      <c r="E2052" s="773" t="s">
        <v>390</v>
      </c>
      <c r="S2052" s="27">
        <v>44227</v>
      </c>
      <c r="T2052" s="773" t="s">
        <v>132</v>
      </c>
      <c r="U2052" s="773">
        <v>241</v>
      </c>
      <c r="V2052" s="773">
        <v>20</v>
      </c>
      <c r="W2052" s="773" t="s">
        <v>410</v>
      </c>
    </row>
    <row r="2053" spans="1:23">
      <c r="A2053" s="27">
        <v>45138</v>
      </c>
      <c r="B2053" s="773" t="s">
        <v>140</v>
      </c>
      <c r="C2053" s="773">
        <v>0</v>
      </c>
      <c r="D2053" s="773">
        <v>7</v>
      </c>
      <c r="E2053" s="773" t="s">
        <v>410</v>
      </c>
      <c r="S2053" s="27">
        <v>44227</v>
      </c>
      <c r="T2053" s="773" t="s">
        <v>132</v>
      </c>
      <c r="U2053" s="773">
        <v>233</v>
      </c>
      <c r="V2053" s="773">
        <v>12214</v>
      </c>
      <c r="W2053" s="773" t="s">
        <v>390</v>
      </c>
    </row>
    <row r="2054" spans="1:23">
      <c r="A2054" s="27">
        <v>45138</v>
      </c>
      <c r="B2054" s="773" t="s">
        <v>140</v>
      </c>
      <c r="C2054" s="773">
        <v>556</v>
      </c>
      <c r="D2054" s="773">
        <v>2587</v>
      </c>
      <c r="E2054" s="773" t="s">
        <v>390</v>
      </c>
      <c r="S2054" s="27">
        <v>44227</v>
      </c>
      <c r="T2054" s="773" t="s">
        <v>132</v>
      </c>
      <c r="U2054" s="773">
        <v>152</v>
      </c>
      <c r="V2054" s="773">
        <v>2</v>
      </c>
      <c r="W2054" s="773" t="s">
        <v>410</v>
      </c>
    </row>
    <row r="2055" spans="1:23">
      <c r="A2055" s="27">
        <v>45138</v>
      </c>
      <c r="B2055" s="773" t="s">
        <v>140</v>
      </c>
      <c r="C2055" s="773">
        <v>469</v>
      </c>
      <c r="D2055" s="773">
        <v>9</v>
      </c>
      <c r="E2055" s="773" t="s">
        <v>410</v>
      </c>
      <c r="S2055" s="27">
        <v>44227</v>
      </c>
      <c r="T2055" s="773" t="s">
        <v>132</v>
      </c>
      <c r="U2055" s="773">
        <v>132</v>
      </c>
      <c r="V2055" s="773">
        <v>2720</v>
      </c>
      <c r="W2055" s="773" t="s">
        <v>390</v>
      </c>
    </row>
    <row r="2056" spans="1:23">
      <c r="A2056" s="27">
        <v>45138</v>
      </c>
      <c r="B2056" s="773" t="s">
        <v>140</v>
      </c>
      <c r="C2056" s="773">
        <v>387</v>
      </c>
      <c r="D2056" s="773">
        <v>8</v>
      </c>
      <c r="E2056" s="773" t="s">
        <v>410</v>
      </c>
      <c r="S2056" s="27">
        <v>44592</v>
      </c>
      <c r="T2056" s="773" t="s">
        <v>132</v>
      </c>
      <c r="U2056" s="773">
        <v>236</v>
      </c>
      <c r="V2056" s="773">
        <v>1</v>
      </c>
      <c r="W2056" s="773" t="s">
        <v>410</v>
      </c>
    </row>
    <row r="2057" spans="1:23">
      <c r="A2057" s="27">
        <v>45138</v>
      </c>
      <c r="B2057" s="773" t="s">
        <v>140</v>
      </c>
      <c r="C2057" s="773">
        <v>576</v>
      </c>
      <c r="D2057" s="773">
        <v>244</v>
      </c>
      <c r="E2057" s="773" t="s">
        <v>390</v>
      </c>
      <c r="S2057" s="27">
        <v>44592</v>
      </c>
      <c r="T2057" s="773" t="s">
        <v>132</v>
      </c>
      <c r="U2057" s="773">
        <v>367</v>
      </c>
      <c r="V2057" s="773">
        <v>14</v>
      </c>
      <c r="W2057" s="773" t="s">
        <v>410</v>
      </c>
    </row>
    <row r="2058" spans="1:23">
      <c r="A2058" s="27">
        <v>45138</v>
      </c>
      <c r="B2058" s="773" t="s">
        <v>140</v>
      </c>
      <c r="C2058" s="773">
        <v>449</v>
      </c>
      <c r="D2058" s="773">
        <v>1789</v>
      </c>
      <c r="E2058" s="773" t="s">
        <v>390</v>
      </c>
      <c r="S2058" s="27">
        <v>44592</v>
      </c>
      <c r="T2058" s="773" t="s">
        <v>132</v>
      </c>
      <c r="U2058" s="773">
        <v>323</v>
      </c>
      <c r="V2058" s="773">
        <v>2952</v>
      </c>
      <c r="W2058" s="773" t="s">
        <v>390</v>
      </c>
    </row>
    <row r="2059" spans="1:23">
      <c r="A2059" s="27">
        <v>45138</v>
      </c>
      <c r="B2059" s="773" t="s">
        <v>140</v>
      </c>
      <c r="C2059" s="773">
        <v>727</v>
      </c>
      <c r="D2059" s="773">
        <v>1995</v>
      </c>
      <c r="E2059" s="773" t="s">
        <v>390</v>
      </c>
      <c r="S2059" s="27">
        <v>44592</v>
      </c>
      <c r="T2059" s="773" t="s">
        <v>132</v>
      </c>
      <c r="U2059" s="773">
        <v>704</v>
      </c>
      <c r="V2059" s="773">
        <v>2281</v>
      </c>
      <c r="W2059" s="773" t="s">
        <v>390</v>
      </c>
    </row>
    <row r="2060" spans="1:23">
      <c r="A2060" s="27">
        <v>45138</v>
      </c>
      <c r="B2060" s="773" t="s">
        <v>140</v>
      </c>
      <c r="C2060" s="773">
        <v>383</v>
      </c>
      <c r="D2060" s="773">
        <v>3</v>
      </c>
      <c r="E2060" s="773" t="s">
        <v>410</v>
      </c>
      <c r="S2060" s="27">
        <v>44592</v>
      </c>
      <c r="T2060" s="773" t="s">
        <v>132</v>
      </c>
      <c r="U2060" s="773">
        <v>105</v>
      </c>
      <c r="V2060" s="773">
        <v>3</v>
      </c>
      <c r="W2060" s="773" t="s">
        <v>410</v>
      </c>
    </row>
    <row r="2061" spans="1:23">
      <c r="A2061" s="27">
        <v>45138</v>
      </c>
      <c r="B2061" s="773" t="s">
        <v>140</v>
      </c>
      <c r="C2061" s="773">
        <v>650</v>
      </c>
      <c r="D2061" s="773">
        <v>2467</v>
      </c>
      <c r="E2061" s="773" t="s">
        <v>390</v>
      </c>
      <c r="S2061" s="27">
        <v>44227</v>
      </c>
      <c r="T2061" s="773" t="s">
        <v>132</v>
      </c>
      <c r="U2061" s="773">
        <v>687</v>
      </c>
      <c r="V2061" s="773">
        <v>541</v>
      </c>
      <c r="W2061" s="773" t="s">
        <v>390</v>
      </c>
    </row>
    <row r="2062" spans="1:23">
      <c r="A2062" s="27">
        <v>45138</v>
      </c>
      <c r="B2062" s="773" t="s">
        <v>140</v>
      </c>
      <c r="C2062" s="773">
        <v>555</v>
      </c>
      <c r="D2062" s="773">
        <v>1654</v>
      </c>
      <c r="E2062" s="773" t="s">
        <v>390</v>
      </c>
      <c r="S2062" s="27">
        <v>44592</v>
      </c>
      <c r="T2062" s="773" t="s">
        <v>132</v>
      </c>
      <c r="U2062" s="773">
        <v>182</v>
      </c>
      <c r="V2062" s="773">
        <v>880</v>
      </c>
      <c r="W2062" s="773" t="s">
        <v>390</v>
      </c>
    </row>
    <row r="2063" spans="1:23">
      <c r="A2063" s="27">
        <v>45138</v>
      </c>
      <c r="B2063" s="773" t="s">
        <v>140</v>
      </c>
      <c r="C2063" s="773">
        <v>601</v>
      </c>
      <c r="D2063" s="773">
        <v>3</v>
      </c>
      <c r="E2063" s="773" t="s">
        <v>410</v>
      </c>
      <c r="S2063" s="27">
        <v>44592</v>
      </c>
      <c r="T2063" s="773" t="s">
        <v>132</v>
      </c>
      <c r="U2063" s="773">
        <v>91</v>
      </c>
      <c r="V2063" s="773">
        <v>2</v>
      </c>
      <c r="W2063" s="773" t="s">
        <v>410</v>
      </c>
    </row>
    <row r="2064" spans="1:23">
      <c r="A2064" s="27">
        <v>45138</v>
      </c>
      <c r="B2064" s="773" t="s">
        <v>140</v>
      </c>
      <c r="C2064" s="773">
        <v>359</v>
      </c>
      <c r="D2064" s="773">
        <v>900</v>
      </c>
      <c r="E2064" s="773" t="s">
        <v>390</v>
      </c>
      <c r="S2064" s="27">
        <v>44592</v>
      </c>
      <c r="T2064" s="773" t="s">
        <v>132</v>
      </c>
      <c r="U2064" s="773">
        <v>41</v>
      </c>
      <c r="V2064" s="773">
        <v>1</v>
      </c>
      <c r="W2064" s="773" t="s">
        <v>410</v>
      </c>
    </row>
    <row r="2065" spans="1:23">
      <c r="A2065" s="27">
        <v>45138</v>
      </c>
      <c r="B2065" s="773" t="s">
        <v>140</v>
      </c>
      <c r="C2065" s="773">
        <v>346</v>
      </c>
      <c r="D2065" s="773">
        <v>3</v>
      </c>
      <c r="E2065" s="773" t="s">
        <v>410</v>
      </c>
      <c r="S2065" s="27">
        <v>44227</v>
      </c>
      <c r="T2065" s="773" t="s">
        <v>132</v>
      </c>
      <c r="U2065" s="773">
        <v>367</v>
      </c>
      <c r="V2065" s="773">
        <v>7</v>
      </c>
      <c r="W2065" s="773" t="s">
        <v>410</v>
      </c>
    </row>
    <row r="2066" spans="1:23">
      <c r="A2066" s="27">
        <v>45138</v>
      </c>
      <c r="B2066" s="773" t="s">
        <v>140</v>
      </c>
      <c r="C2066" s="773">
        <v>758</v>
      </c>
      <c r="D2066" s="773">
        <v>1</v>
      </c>
      <c r="E2066" s="773" t="s">
        <v>410</v>
      </c>
      <c r="S2066" s="27">
        <v>44592</v>
      </c>
      <c r="T2066" s="773" t="s">
        <v>132</v>
      </c>
      <c r="U2066" s="773">
        <v>309</v>
      </c>
      <c r="V2066" s="773">
        <v>21</v>
      </c>
      <c r="W2066" s="773" t="s">
        <v>410</v>
      </c>
    </row>
    <row r="2067" spans="1:23">
      <c r="A2067" s="27">
        <v>45138</v>
      </c>
      <c r="B2067" s="773" t="s">
        <v>140</v>
      </c>
      <c r="C2067" s="773">
        <v>587</v>
      </c>
      <c r="D2067" s="773">
        <v>1</v>
      </c>
      <c r="E2067" s="773" t="s">
        <v>410</v>
      </c>
      <c r="S2067" s="27">
        <v>44592</v>
      </c>
      <c r="T2067" s="773" t="s">
        <v>132</v>
      </c>
      <c r="U2067" s="773">
        <v>245</v>
      </c>
      <c r="V2067" s="773">
        <v>4652</v>
      </c>
      <c r="W2067" s="773" t="s">
        <v>390</v>
      </c>
    </row>
    <row r="2068" spans="1:23">
      <c r="A2068" s="27">
        <v>45138</v>
      </c>
      <c r="B2068" s="773" t="s">
        <v>140</v>
      </c>
      <c r="C2068" s="773">
        <v>746</v>
      </c>
      <c r="D2068" s="773">
        <v>2161</v>
      </c>
      <c r="E2068" s="773" t="s">
        <v>390</v>
      </c>
      <c r="S2068" s="27">
        <v>44592</v>
      </c>
      <c r="T2068" s="773" t="s">
        <v>132</v>
      </c>
      <c r="U2068" s="773">
        <v>46</v>
      </c>
      <c r="V2068" s="773">
        <v>2794</v>
      </c>
      <c r="W2068" s="773" t="s">
        <v>390</v>
      </c>
    </row>
    <row r="2069" spans="1:23">
      <c r="A2069" s="27">
        <v>45138</v>
      </c>
      <c r="B2069" s="773" t="s">
        <v>140</v>
      </c>
      <c r="C2069" s="773">
        <v>379</v>
      </c>
      <c r="D2069" s="773">
        <v>1</v>
      </c>
      <c r="E2069" s="773" t="s">
        <v>410</v>
      </c>
      <c r="S2069" s="27">
        <v>44592</v>
      </c>
      <c r="T2069" s="773" t="s">
        <v>132</v>
      </c>
      <c r="U2069" s="773">
        <v>662</v>
      </c>
      <c r="V2069" s="773">
        <v>872</v>
      </c>
      <c r="W2069" s="773" t="s">
        <v>390</v>
      </c>
    </row>
    <row r="2070" spans="1:23">
      <c r="A2070" s="27">
        <v>45138</v>
      </c>
      <c r="B2070" s="773" t="s">
        <v>140</v>
      </c>
      <c r="C2070" s="773">
        <v>628</v>
      </c>
      <c r="D2070" s="773">
        <v>720</v>
      </c>
      <c r="E2070" s="773" t="s">
        <v>390</v>
      </c>
      <c r="S2070" s="27">
        <v>44592</v>
      </c>
      <c r="T2070" s="773" t="s">
        <v>132</v>
      </c>
      <c r="U2070" s="773">
        <v>680</v>
      </c>
      <c r="V2070" s="773">
        <v>3095</v>
      </c>
      <c r="W2070" s="773" t="s">
        <v>390</v>
      </c>
    </row>
    <row r="2071" spans="1:23">
      <c r="A2071" s="27">
        <v>45138</v>
      </c>
      <c r="B2071" s="773" t="s">
        <v>140</v>
      </c>
      <c r="C2071" s="773">
        <v>708</v>
      </c>
      <c r="D2071" s="773">
        <v>3041</v>
      </c>
      <c r="E2071" s="773" t="s">
        <v>390</v>
      </c>
      <c r="S2071" s="27">
        <v>44592</v>
      </c>
      <c r="T2071" s="773" t="s">
        <v>132</v>
      </c>
      <c r="U2071" s="773">
        <v>162</v>
      </c>
      <c r="V2071" s="773">
        <v>2439</v>
      </c>
      <c r="W2071" s="773" t="s">
        <v>390</v>
      </c>
    </row>
    <row r="2072" spans="1:23">
      <c r="A2072" s="27">
        <v>45138</v>
      </c>
      <c r="B2072" s="773" t="s">
        <v>140</v>
      </c>
      <c r="C2072" s="773">
        <v>525</v>
      </c>
      <c r="D2072" s="773">
        <v>1</v>
      </c>
      <c r="E2072" s="773" t="s">
        <v>410</v>
      </c>
      <c r="S2072" s="27">
        <v>44592</v>
      </c>
      <c r="T2072" s="773" t="s">
        <v>132</v>
      </c>
      <c r="U2072" s="773">
        <v>78</v>
      </c>
      <c r="V2072" s="773">
        <v>1</v>
      </c>
      <c r="W2072" s="773" t="s">
        <v>410</v>
      </c>
    </row>
    <row r="2073" spans="1:23">
      <c r="A2073" s="27">
        <v>45138</v>
      </c>
      <c r="B2073" s="773" t="s">
        <v>140</v>
      </c>
      <c r="C2073" s="773">
        <v>722</v>
      </c>
      <c r="D2073" s="773">
        <v>60</v>
      </c>
      <c r="E2073" s="773" t="s">
        <v>410</v>
      </c>
      <c r="S2073" s="27">
        <v>44227</v>
      </c>
      <c r="T2073" s="773" t="s">
        <v>132</v>
      </c>
      <c r="U2073" s="773">
        <v>246</v>
      </c>
      <c r="V2073" s="773">
        <v>1</v>
      </c>
      <c r="W2073" s="773" t="s">
        <v>410</v>
      </c>
    </row>
    <row r="2074" spans="1:23">
      <c r="A2074" s="27">
        <v>45138</v>
      </c>
      <c r="B2074" s="773" t="s">
        <v>140</v>
      </c>
      <c r="C2074" s="773">
        <v>691</v>
      </c>
      <c r="D2074" s="773">
        <v>185</v>
      </c>
      <c r="E2074" s="773" t="s">
        <v>390</v>
      </c>
      <c r="S2074" s="27">
        <v>44227</v>
      </c>
      <c r="T2074" s="773" t="s">
        <v>132</v>
      </c>
      <c r="U2074" s="773">
        <v>83</v>
      </c>
      <c r="V2074" s="773">
        <v>2218</v>
      </c>
      <c r="W2074" s="773" t="s">
        <v>390</v>
      </c>
    </row>
    <row r="2075" spans="1:23">
      <c r="A2075" s="27">
        <v>45138</v>
      </c>
      <c r="B2075" s="773" t="s">
        <v>140</v>
      </c>
      <c r="C2075" s="773">
        <v>558</v>
      </c>
      <c r="D2075" s="773">
        <v>1292</v>
      </c>
      <c r="E2075" s="773" t="s">
        <v>390</v>
      </c>
      <c r="S2075" s="27">
        <v>44592</v>
      </c>
      <c r="T2075" s="773" t="s">
        <v>132</v>
      </c>
      <c r="U2075" s="773">
        <v>305</v>
      </c>
      <c r="V2075" s="773">
        <v>3693</v>
      </c>
      <c r="W2075" s="773" t="s">
        <v>390</v>
      </c>
    </row>
    <row r="2076" spans="1:23">
      <c r="A2076" s="27">
        <v>45138</v>
      </c>
      <c r="B2076" s="773" t="s">
        <v>140</v>
      </c>
      <c r="C2076" s="773">
        <v>453</v>
      </c>
      <c r="D2076" s="773">
        <v>2491</v>
      </c>
      <c r="E2076" s="773" t="s">
        <v>390</v>
      </c>
      <c r="S2076" s="27">
        <v>44227</v>
      </c>
      <c r="T2076" s="773" t="s">
        <v>132</v>
      </c>
      <c r="U2076" s="773">
        <v>35</v>
      </c>
      <c r="V2076" s="773">
        <v>886</v>
      </c>
      <c r="W2076" s="773" t="s">
        <v>390</v>
      </c>
    </row>
    <row r="2077" spans="1:23">
      <c r="A2077" s="27">
        <v>45138</v>
      </c>
      <c r="B2077" s="773" t="s">
        <v>140</v>
      </c>
      <c r="C2077" s="773">
        <v>740</v>
      </c>
      <c r="D2077" s="773">
        <v>355</v>
      </c>
      <c r="E2077" s="773" t="s">
        <v>390</v>
      </c>
      <c r="S2077" s="27">
        <v>44227</v>
      </c>
      <c r="T2077" s="773" t="s">
        <v>132</v>
      </c>
      <c r="U2077" s="773">
        <v>84</v>
      </c>
      <c r="V2077" s="773">
        <v>2306</v>
      </c>
      <c r="W2077" s="773" t="s">
        <v>390</v>
      </c>
    </row>
    <row r="2078" spans="1:23">
      <c r="A2078" s="27">
        <v>45138</v>
      </c>
      <c r="B2078" s="773" t="s">
        <v>140</v>
      </c>
      <c r="C2078" s="773">
        <v>493</v>
      </c>
      <c r="D2078" s="773">
        <v>5</v>
      </c>
      <c r="E2078" s="773" t="s">
        <v>410</v>
      </c>
      <c r="S2078" s="27">
        <v>44592</v>
      </c>
      <c r="T2078" s="773" t="s">
        <v>132</v>
      </c>
      <c r="U2078" s="773">
        <v>152</v>
      </c>
      <c r="V2078" s="773">
        <v>1</v>
      </c>
      <c r="W2078" s="773" t="s">
        <v>410</v>
      </c>
    </row>
    <row r="2079" spans="1:23">
      <c r="A2079" s="27">
        <v>45138</v>
      </c>
      <c r="B2079" s="773" t="s">
        <v>140</v>
      </c>
      <c r="C2079" s="773">
        <v>586</v>
      </c>
      <c r="D2079" s="773">
        <v>2356</v>
      </c>
      <c r="E2079" s="773" t="s">
        <v>390</v>
      </c>
      <c r="S2079" s="27">
        <v>44592</v>
      </c>
      <c r="T2079" s="773" t="s">
        <v>132</v>
      </c>
      <c r="U2079" s="773">
        <v>84</v>
      </c>
      <c r="V2079" s="773">
        <v>2559</v>
      </c>
      <c r="W2079" s="773" t="s">
        <v>390</v>
      </c>
    </row>
    <row r="2080" spans="1:23">
      <c r="A2080" s="27">
        <v>45138</v>
      </c>
      <c r="B2080" s="773" t="s">
        <v>140</v>
      </c>
      <c r="C2080" s="773">
        <v>548</v>
      </c>
      <c r="D2080" s="773">
        <v>1016</v>
      </c>
      <c r="E2080" s="773" t="s">
        <v>390</v>
      </c>
      <c r="S2080" s="27">
        <v>44592</v>
      </c>
      <c r="T2080" s="773" t="s">
        <v>132</v>
      </c>
      <c r="U2080" s="773">
        <v>674</v>
      </c>
      <c r="V2080" s="773">
        <v>3765</v>
      </c>
      <c r="W2080" s="773" t="s">
        <v>390</v>
      </c>
    </row>
    <row r="2081" spans="1:23">
      <c r="A2081" s="27">
        <v>45138</v>
      </c>
      <c r="B2081" s="773" t="s">
        <v>140</v>
      </c>
      <c r="C2081" s="773">
        <v>640</v>
      </c>
      <c r="D2081" s="773">
        <v>3016</v>
      </c>
      <c r="E2081" s="773" t="s">
        <v>390</v>
      </c>
      <c r="S2081" s="27">
        <v>44592</v>
      </c>
      <c r="T2081" s="773" t="s">
        <v>132</v>
      </c>
      <c r="U2081" s="773">
        <v>315</v>
      </c>
      <c r="V2081" s="773">
        <v>332</v>
      </c>
      <c r="W2081" s="773" t="s">
        <v>390</v>
      </c>
    </row>
    <row r="2082" spans="1:23">
      <c r="A2082" s="27">
        <v>45138</v>
      </c>
      <c r="B2082" s="773" t="s">
        <v>140</v>
      </c>
      <c r="C2082" s="773">
        <v>597</v>
      </c>
      <c r="D2082" s="773">
        <v>1409</v>
      </c>
      <c r="E2082" s="773" t="s">
        <v>390</v>
      </c>
      <c r="S2082" s="27">
        <v>44227</v>
      </c>
      <c r="T2082" s="773" t="s">
        <v>132</v>
      </c>
      <c r="U2082" s="773">
        <v>124</v>
      </c>
      <c r="V2082" s="773">
        <v>10</v>
      </c>
      <c r="W2082" s="773" t="s">
        <v>410</v>
      </c>
    </row>
    <row r="2083" spans="1:23">
      <c r="A2083" s="27">
        <v>45138</v>
      </c>
      <c r="B2083" s="773" t="s">
        <v>140</v>
      </c>
      <c r="C2083" s="773">
        <v>742</v>
      </c>
      <c r="D2083" s="773">
        <v>1</v>
      </c>
      <c r="E2083" s="773" t="s">
        <v>410</v>
      </c>
      <c r="S2083" s="27">
        <v>44592</v>
      </c>
      <c r="T2083" s="773" t="s">
        <v>132</v>
      </c>
      <c r="U2083" s="773">
        <v>63</v>
      </c>
      <c r="V2083" s="773">
        <v>2</v>
      </c>
      <c r="W2083" s="773" t="s">
        <v>410</v>
      </c>
    </row>
    <row r="2084" spans="1:23">
      <c r="A2084" s="27">
        <v>45138</v>
      </c>
      <c r="B2084" s="773" t="s">
        <v>140</v>
      </c>
      <c r="C2084" s="773">
        <v>648</v>
      </c>
      <c r="D2084" s="773">
        <v>1523</v>
      </c>
      <c r="E2084" s="773" t="s">
        <v>390</v>
      </c>
      <c r="S2084" s="27">
        <v>44592</v>
      </c>
      <c r="T2084" s="773" t="s">
        <v>132</v>
      </c>
      <c r="U2084" s="773">
        <v>306</v>
      </c>
      <c r="V2084" s="773">
        <v>2294</v>
      </c>
      <c r="W2084" s="773" t="s">
        <v>390</v>
      </c>
    </row>
    <row r="2085" spans="1:23">
      <c r="A2085" s="27">
        <v>45138</v>
      </c>
      <c r="B2085" s="773" t="s">
        <v>140</v>
      </c>
      <c r="C2085" s="773">
        <v>626</v>
      </c>
      <c r="D2085" s="773">
        <v>3246</v>
      </c>
      <c r="E2085" s="773" t="s">
        <v>390</v>
      </c>
      <c r="S2085" s="27">
        <v>44592</v>
      </c>
      <c r="T2085" s="773" t="s">
        <v>132</v>
      </c>
      <c r="U2085" s="773">
        <v>222</v>
      </c>
      <c r="V2085" s="773">
        <v>2</v>
      </c>
      <c r="W2085" s="773" t="s">
        <v>410</v>
      </c>
    </row>
    <row r="2086" spans="1:23">
      <c r="A2086" s="27">
        <v>45138</v>
      </c>
      <c r="B2086" s="773" t="s">
        <v>140</v>
      </c>
      <c r="C2086" s="773">
        <v>574</v>
      </c>
      <c r="D2086" s="773">
        <v>2527</v>
      </c>
      <c r="E2086" s="773" t="s">
        <v>390</v>
      </c>
      <c r="S2086" s="27">
        <v>44227</v>
      </c>
      <c r="T2086" s="773" t="s">
        <v>132</v>
      </c>
      <c r="U2086" s="773">
        <v>92</v>
      </c>
      <c r="V2086" s="773">
        <v>2495</v>
      </c>
      <c r="W2086" s="773" t="s">
        <v>390</v>
      </c>
    </row>
    <row r="2087" spans="1:23">
      <c r="A2087" s="27">
        <v>45138</v>
      </c>
      <c r="B2087" s="773" t="s">
        <v>140</v>
      </c>
      <c r="C2087" s="773">
        <v>478</v>
      </c>
      <c r="D2087" s="773">
        <v>1</v>
      </c>
      <c r="E2087" s="773" t="s">
        <v>410</v>
      </c>
      <c r="S2087" s="27">
        <v>44592</v>
      </c>
      <c r="T2087" s="773" t="s">
        <v>132</v>
      </c>
      <c r="U2087" s="773">
        <v>267</v>
      </c>
      <c r="V2087" s="773">
        <v>1</v>
      </c>
      <c r="W2087" s="773" t="s">
        <v>410</v>
      </c>
    </row>
    <row r="2088" spans="1:23">
      <c r="A2088" s="27">
        <v>45138</v>
      </c>
      <c r="B2088" s="773" t="s">
        <v>140</v>
      </c>
      <c r="C2088" s="773">
        <v>659</v>
      </c>
      <c r="D2088" s="773">
        <v>991</v>
      </c>
      <c r="E2088" s="773" t="s">
        <v>390</v>
      </c>
      <c r="S2088" s="27">
        <v>44227</v>
      </c>
      <c r="T2088" s="773" t="s">
        <v>132</v>
      </c>
      <c r="U2088" s="773">
        <v>262</v>
      </c>
      <c r="V2088" s="773">
        <v>89</v>
      </c>
      <c r="W2088" s="773" t="s">
        <v>410</v>
      </c>
    </row>
    <row r="2089" spans="1:23">
      <c r="A2089" s="27">
        <v>45138</v>
      </c>
      <c r="B2089" s="773" t="s">
        <v>140</v>
      </c>
      <c r="C2089" s="773">
        <v>594</v>
      </c>
      <c r="D2089" s="773">
        <v>2752</v>
      </c>
      <c r="E2089" s="773" t="s">
        <v>390</v>
      </c>
      <c r="S2089" s="27">
        <v>44227</v>
      </c>
      <c r="T2089" s="773" t="s">
        <v>132</v>
      </c>
      <c r="U2089" s="773">
        <v>641</v>
      </c>
      <c r="V2089" s="773">
        <v>3095</v>
      </c>
      <c r="W2089" s="773" t="s">
        <v>390</v>
      </c>
    </row>
    <row r="2090" spans="1:23">
      <c r="A2090" s="27">
        <v>45138</v>
      </c>
      <c r="B2090" s="773" t="s">
        <v>140</v>
      </c>
      <c r="C2090" s="773">
        <v>527</v>
      </c>
      <c r="D2090" s="773">
        <v>3</v>
      </c>
      <c r="E2090" s="773" t="s">
        <v>410</v>
      </c>
      <c r="S2090" s="27">
        <v>44592</v>
      </c>
      <c r="T2090" s="773" t="s">
        <v>132</v>
      </c>
      <c r="U2090" s="773">
        <v>200</v>
      </c>
      <c r="V2090" s="773">
        <v>3</v>
      </c>
      <c r="W2090" s="773" t="s">
        <v>410</v>
      </c>
    </row>
    <row r="2091" spans="1:23">
      <c r="A2091" s="27">
        <v>45138</v>
      </c>
      <c r="B2091" s="773" t="s">
        <v>140</v>
      </c>
      <c r="C2091" s="773">
        <v>585</v>
      </c>
      <c r="D2091" s="773">
        <v>5045</v>
      </c>
      <c r="E2091" s="773" t="s">
        <v>390</v>
      </c>
      <c r="S2091" s="27">
        <v>44592</v>
      </c>
      <c r="T2091" s="773" t="s">
        <v>132</v>
      </c>
      <c r="U2091" s="773">
        <v>679</v>
      </c>
      <c r="V2091" s="773">
        <v>3</v>
      </c>
      <c r="W2091" s="773" t="s">
        <v>410</v>
      </c>
    </row>
    <row r="2092" spans="1:23">
      <c r="A2092" s="27">
        <v>45138</v>
      </c>
      <c r="B2092" s="773" t="s">
        <v>140</v>
      </c>
      <c r="C2092" s="773">
        <v>530</v>
      </c>
      <c r="D2092" s="773">
        <v>1</v>
      </c>
      <c r="E2092" s="773" t="s">
        <v>410</v>
      </c>
      <c r="S2092" s="27">
        <v>44227</v>
      </c>
      <c r="T2092" s="773" t="s">
        <v>132</v>
      </c>
      <c r="U2092" s="773">
        <v>660</v>
      </c>
      <c r="V2092" s="773">
        <v>3</v>
      </c>
      <c r="W2092" s="773" t="s">
        <v>410</v>
      </c>
    </row>
    <row r="2093" spans="1:23">
      <c r="A2093" s="27">
        <v>45138</v>
      </c>
      <c r="B2093" s="773" t="s">
        <v>140</v>
      </c>
      <c r="C2093" s="773">
        <v>732</v>
      </c>
      <c r="D2093" s="773">
        <v>4</v>
      </c>
      <c r="E2093" s="773" t="s">
        <v>410</v>
      </c>
      <c r="S2093" s="27">
        <v>44592</v>
      </c>
      <c r="T2093" s="773" t="s">
        <v>132</v>
      </c>
      <c r="U2093" s="773">
        <v>171</v>
      </c>
      <c r="V2093" s="773">
        <v>212</v>
      </c>
      <c r="W2093" s="773" t="s">
        <v>390</v>
      </c>
    </row>
    <row r="2094" spans="1:23">
      <c r="A2094" s="27">
        <v>45138</v>
      </c>
      <c r="B2094" s="773" t="s">
        <v>140</v>
      </c>
      <c r="C2094" s="773">
        <v>370</v>
      </c>
      <c r="D2094" s="773">
        <v>2</v>
      </c>
      <c r="E2094" s="773" t="s">
        <v>410</v>
      </c>
      <c r="S2094" s="27">
        <v>44592</v>
      </c>
      <c r="T2094" s="773" t="s">
        <v>132</v>
      </c>
      <c r="U2094" s="773">
        <v>322</v>
      </c>
      <c r="V2094" s="773">
        <v>2070</v>
      </c>
      <c r="W2094" s="773" t="s">
        <v>390</v>
      </c>
    </row>
    <row r="2095" spans="1:23">
      <c r="A2095" s="27">
        <v>45138</v>
      </c>
      <c r="B2095" s="773" t="s">
        <v>140</v>
      </c>
      <c r="C2095" s="773">
        <v>616</v>
      </c>
      <c r="D2095" s="773">
        <v>1</v>
      </c>
      <c r="E2095" s="773" t="s">
        <v>410</v>
      </c>
      <c r="S2095" s="27">
        <v>44227</v>
      </c>
      <c r="T2095" s="773" t="s">
        <v>132</v>
      </c>
      <c r="U2095" s="773">
        <v>303</v>
      </c>
      <c r="V2095" s="773">
        <v>2492</v>
      </c>
      <c r="W2095" s="773" t="s">
        <v>390</v>
      </c>
    </row>
    <row r="2096" spans="1:23">
      <c r="A2096" s="27">
        <v>45138</v>
      </c>
      <c r="B2096" s="773" t="s">
        <v>140</v>
      </c>
      <c r="C2096" s="773">
        <v>639</v>
      </c>
      <c r="D2096" s="773">
        <v>158</v>
      </c>
      <c r="E2096" s="773" t="s">
        <v>390</v>
      </c>
      <c r="S2096" s="27">
        <v>44592</v>
      </c>
      <c r="T2096" s="773" t="s">
        <v>132</v>
      </c>
      <c r="U2096" s="773">
        <v>266</v>
      </c>
      <c r="V2096" s="773">
        <v>2220</v>
      </c>
      <c r="W2096" s="773" t="s">
        <v>390</v>
      </c>
    </row>
    <row r="2097" spans="1:23">
      <c r="A2097" s="27">
        <v>45169</v>
      </c>
      <c r="B2097" s="773" t="s">
        <v>140</v>
      </c>
      <c r="C2097" s="773">
        <v>610</v>
      </c>
      <c r="D2097" s="773">
        <v>4</v>
      </c>
      <c r="E2097" s="773" t="s">
        <v>410</v>
      </c>
      <c r="S2097" s="27">
        <v>44227</v>
      </c>
      <c r="T2097" s="773" t="s">
        <v>132</v>
      </c>
      <c r="U2097" s="773">
        <v>63</v>
      </c>
      <c r="V2097" s="773">
        <v>1</v>
      </c>
      <c r="W2097" s="773" t="s">
        <v>410</v>
      </c>
    </row>
    <row r="2098" spans="1:23">
      <c r="A2098" s="27">
        <v>45169</v>
      </c>
      <c r="B2098" s="773" t="s">
        <v>140</v>
      </c>
      <c r="C2098" s="773">
        <v>370</v>
      </c>
      <c r="D2098" s="773">
        <v>2</v>
      </c>
      <c r="E2098" s="773" t="s">
        <v>410</v>
      </c>
      <c r="S2098" s="27">
        <v>44227</v>
      </c>
      <c r="T2098" s="773" t="s">
        <v>132</v>
      </c>
      <c r="U2098" s="773">
        <v>294</v>
      </c>
      <c r="V2098" s="773">
        <v>10</v>
      </c>
      <c r="W2098" s="773" t="s">
        <v>410</v>
      </c>
    </row>
    <row r="2099" spans="1:23">
      <c r="A2099" s="27">
        <v>45169</v>
      </c>
      <c r="B2099" s="773" t="s">
        <v>140</v>
      </c>
      <c r="C2099" s="773">
        <v>727</v>
      </c>
      <c r="D2099" s="773">
        <v>1994</v>
      </c>
      <c r="E2099" s="773" t="s">
        <v>390</v>
      </c>
      <c r="S2099" s="27">
        <v>44592</v>
      </c>
      <c r="T2099" s="773" t="s">
        <v>132</v>
      </c>
      <c r="U2099" s="773">
        <v>676</v>
      </c>
      <c r="V2099" s="773">
        <v>2</v>
      </c>
      <c r="W2099" s="773" t="s">
        <v>410</v>
      </c>
    </row>
    <row r="2100" spans="1:23">
      <c r="A2100" s="27">
        <v>45169</v>
      </c>
      <c r="B2100" s="773" t="s">
        <v>140</v>
      </c>
      <c r="C2100" s="773">
        <v>581</v>
      </c>
      <c r="D2100" s="773">
        <v>243</v>
      </c>
      <c r="E2100" s="773" t="s">
        <v>390</v>
      </c>
      <c r="S2100" s="27">
        <v>44227</v>
      </c>
      <c r="T2100" s="773" t="s">
        <v>132</v>
      </c>
      <c r="U2100" s="773">
        <v>218</v>
      </c>
      <c r="V2100" s="773">
        <v>1022</v>
      </c>
      <c r="W2100" s="773" t="s">
        <v>390</v>
      </c>
    </row>
    <row r="2101" spans="1:23">
      <c r="A2101" s="27">
        <v>45169</v>
      </c>
      <c r="B2101" s="773" t="s">
        <v>140</v>
      </c>
      <c r="C2101" s="773">
        <v>493</v>
      </c>
      <c r="D2101" s="773">
        <v>5</v>
      </c>
      <c r="E2101" s="773" t="s">
        <v>410</v>
      </c>
      <c r="S2101" s="27">
        <v>44227</v>
      </c>
      <c r="T2101" s="773" t="s">
        <v>132</v>
      </c>
      <c r="U2101" s="773">
        <v>681</v>
      </c>
      <c r="V2101" s="773">
        <v>829</v>
      </c>
      <c r="W2101" s="773" t="s">
        <v>390</v>
      </c>
    </row>
    <row r="2102" spans="1:23">
      <c r="A2102" s="27">
        <v>45169</v>
      </c>
      <c r="B2102" s="773" t="s">
        <v>140</v>
      </c>
      <c r="C2102" s="773">
        <v>453</v>
      </c>
      <c r="D2102" s="773">
        <v>2489</v>
      </c>
      <c r="E2102" s="773" t="s">
        <v>390</v>
      </c>
      <c r="S2102" s="27">
        <v>44227</v>
      </c>
      <c r="T2102" s="773" t="s">
        <v>132</v>
      </c>
      <c r="U2102" s="773">
        <v>264</v>
      </c>
      <c r="V2102" s="773">
        <v>954</v>
      </c>
      <c r="W2102" s="773" t="s">
        <v>390</v>
      </c>
    </row>
    <row r="2103" spans="1:23">
      <c r="A2103" s="27">
        <v>45169</v>
      </c>
      <c r="B2103" s="773" t="s">
        <v>140</v>
      </c>
      <c r="C2103" s="773">
        <v>449</v>
      </c>
      <c r="D2103" s="773">
        <v>1794</v>
      </c>
      <c r="E2103" s="773" t="s">
        <v>390</v>
      </c>
      <c r="S2103" s="27">
        <v>44592</v>
      </c>
      <c r="T2103" s="773" t="s">
        <v>132</v>
      </c>
      <c r="U2103" s="773">
        <v>98</v>
      </c>
      <c r="V2103" s="773">
        <v>77</v>
      </c>
      <c r="W2103" s="773" t="s">
        <v>410</v>
      </c>
    </row>
    <row r="2104" spans="1:23">
      <c r="A2104" s="27">
        <v>45169</v>
      </c>
      <c r="B2104" s="773" t="s">
        <v>140</v>
      </c>
      <c r="C2104" s="773">
        <v>691</v>
      </c>
      <c r="D2104" s="773">
        <v>191</v>
      </c>
      <c r="E2104" s="773" t="s">
        <v>390</v>
      </c>
      <c r="S2104" s="27">
        <v>44592</v>
      </c>
      <c r="T2104" s="773" t="s">
        <v>132</v>
      </c>
      <c r="U2104" s="773">
        <v>668</v>
      </c>
      <c r="V2104" s="773">
        <v>7</v>
      </c>
      <c r="W2104" s="773" t="s">
        <v>410</v>
      </c>
    </row>
    <row r="2105" spans="1:23">
      <c r="A2105" s="27">
        <v>45169</v>
      </c>
      <c r="B2105" s="773" t="s">
        <v>140</v>
      </c>
      <c r="C2105" s="773">
        <v>558</v>
      </c>
      <c r="D2105" s="773">
        <v>1295</v>
      </c>
      <c r="E2105" s="773" t="s">
        <v>390</v>
      </c>
      <c r="S2105" s="27">
        <v>44227</v>
      </c>
      <c r="T2105" s="773" t="s">
        <v>132</v>
      </c>
      <c r="U2105" s="773">
        <v>279</v>
      </c>
      <c r="V2105" s="773">
        <v>4034</v>
      </c>
      <c r="W2105" s="773" t="s">
        <v>390</v>
      </c>
    </row>
    <row r="2106" spans="1:23">
      <c r="A2106" s="27">
        <v>45169</v>
      </c>
      <c r="B2106" s="773" t="s">
        <v>140</v>
      </c>
      <c r="C2106" s="773">
        <v>574</v>
      </c>
      <c r="D2106" s="773">
        <v>2530</v>
      </c>
      <c r="E2106" s="773" t="s">
        <v>390</v>
      </c>
      <c r="S2106" s="27">
        <v>44227</v>
      </c>
      <c r="T2106" s="773" t="s">
        <v>132</v>
      </c>
      <c r="U2106" s="773">
        <v>312</v>
      </c>
      <c r="V2106" s="773">
        <v>2262</v>
      </c>
      <c r="W2106" s="773" t="s">
        <v>390</v>
      </c>
    </row>
    <row r="2107" spans="1:23">
      <c r="A2107" s="27">
        <v>45169</v>
      </c>
      <c r="B2107" s="773" t="s">
        <v>140</v>
      </c>
      <c r="C2107" s="773">
        <v>722</v>
      </c>
      <c r="D2107" s="773">
        <v>60</v>
      </c>
      <c r="E2107" s="773" t="s">
        <v>410</v>
      </c>
      <c r="S2107" s="27">
        <v>44620</v>
      </c>
      <c r="T2107" s="773" t="s">
        <v>132</v>
      </c>
      <c r="U2107" s="773">
        <v>279</v>
      </c>
      <c r="V2107" s="773">
        <v>3970</v>
      </c>
      <c r="W2107" s="773" t="s">
        <v>390</v>
      </c>
    </row>
    <row r="2108" spans="1:23">
      <c r="A2108" s="27">
        <v>45169</v>
      </c>
      <c r="B2108" s="773" t="s">
        <v>140</v>
      </c>
      <c r="C2108" s="773">
        <v>359</v>
      </c>
      <c r="D2108" s="773">
        <v>903</v>
      </c>
      <c r="E2108" s="773" t="s">
        <v>390</v>
      </c>
      <c r="S2108" s="27">
        <v>44255</v>
      </c>
      <c r="T2108" s="773" t="s">
        <v>132</v>
      </c>
      <c r="U2108" s="773">
        <v>46</v>
      </c>
      <c r="V2108" s="773">
        <v>2681</v>
      </c>
      <c r="W2108" s="773" t="s">
        <v>390</v>
      </c>
    </row>
    <row r="2109" spans="1:23">
      <c r="A2109" s="27">
        <v>45169</v>
      </c>
      <c r="B2109" s="773" t="s">
        <v>140</v>
      </c>
      <c r="C2109" s="773">
        <v>616</v>
      </c>
      <c r="D2109" s="773">
        <v>1</v>
      </c>
      <c r="E2109" s="773" t="s">
        <v>410</v>
      </c>
      <c r="S2109" s="27">
        <v>44620</v>
      </c>
      <c r="T2109" s="773" t="s">
        <v>132</v>
      </c>
      <c r="U2109" s="773">
        <v>237</v>
      </c>
      <c r="V2109" s="773">
        <v>24</v>
      </c>
      <c r="W2109" s="773" t="s">
        <v>410</v>
      </c>
    </row>
    <row r="2110" spans="1:23">
      <c r="A2110" s="27">
        <v>45169</v>
      </c>
      <c r="B2110" s="773" t="s">
        <v>140</v>
      </c>
      <c r="C2110" s="773">
        <v>485</v>
      </c>
      <c r="D2110" s="773">
        <v>1403</v>
      </c>
      <c r="E2110" s="773" t="s">
        <v>390</v>
      </c>
      <c r="S2110" s="27">
        <v>44255</v>
      </c>
      <c r="T2110" s="773" t="s">
        <v>132</v>
      </c>
      <c r="U2110" s="773">
        <v>265</v>
      </c>
      <c r="V2110" s="773">
        <v>1634</v>
      </c>
      <c r="W2110" s="773" t="s">
        <v>390</v>
      </c>
    </row>
    <row r="2111" spans="1:23">
      <c r="A2111" s="27">
        <v>45169</v>
      </c>
      <c r="B2111" s="773" t="s">
        <v>140</v>
      </c>
      <c r="C2111" s="773">
        <v>383</v>
      </c>
      <c r="D2111" s="773">
        <v>3</v>
      </c>
      <c r="E2111" s="773" t="s">
        <v>410</v>
      </c>
      <c r="S2111" s="27">
        <v>44255</v>
      </c>
      <c r="T2111" s="773" t="s">
        <v>132</v>
      </c>
      <c r="U2111" s="773">
        <v>72</v>
      </c>
      <c r="V2111" s="773">
        <v>3</v>
      </c>
      <c r="W2111" s="773" t="s">
        <v>410</v>
      </c>
    </row>
    <row r="2112" spans="1:23">
      <c r="A2112" s="27">
        <v>45169</v>
      </c>
      <c r="B2112" s="773" t="s">
        <v>140</v>
      </c>
      <c r="C2112" s="773">
        <v>708</v>
      </c>
      <c r="D2112" s="773">
        <v>3044</v>
      </c>
      <c r="E2112" s="773" t="s">
        <v>390</v>
      </c>
      <c r="S2112" s="27">
        <v>44255</v>
      </c>
      <c r="T2112" s="773" t="s">
        <v>132</v>
      </c>
      <c r="U2112" s="773">
        <v>671</v>
      </c>
      <c r="V2112" s="773">
        <v>2096</v>
      </c>
      <c r="W2112" s="773" t="s">
        <v>390</v>
      </c>
    </row>
    <row r="2113" spans="1:23">
      <c r="A2113" s="27">
        <v>45169</v>
      </c>
      <c r="B2113" s="773" t="s">
        <v>140</v>
      </c>
      <c r="C2113" s="773">
        <v>587</v>
      </c>
      <c r="D2113" s="773">
        <v>1</v>
      </c>
      <c r="E2113" s="773" t="s">
        <v>410</v>
      </c>
      <c r="S2113" s="27">
        <v>44255</v>
      </c>
      <c r="T2113" s="773" t="s">
        <v>132</v>
      </c>
      <c r="U2113" s="773">
        <v>212</v>
      </c>
      <c r="V2113" s="773">
        <v>3198</v>
      </c>
      <c r="W2113" s="773" t="s">
        <v>390</v>
      </c>
    </row>
    <row r="2114" spans="1:23">
      <c r="A2114" s="27">
        <v>45169</v>
      </c>
      <c r="B2114" s="773" t="s">
        <v>140</v>
      </c>
      <c r="C2114" s="773">
        <v>0</v>
      </c>
      <c r="D2114" s="773">
        <v>7</v>
      </c>
      <c r="E2114" s="773" t="s">
        <v>410</v>
      </c>
      <c r="S2114" s="27">
        <v>44620</v>
      </c>
      <c r="T2114" s="773" t="s">
        <v>132</v>
      </c>
      <c r="U2114" s="773">
        <v>164</v>
      </c>
      <c r="V2114" s="773">
        <v>11</v>
      </c>
      <c r="W2114" s="773" t="s">
        <v>410</v>
      </c>
    </row>
    <row r="2115" spans="1:23">
      <c r="A2115" s="27">
        <v>45169</v>
      </c>
      <c r="B2115" s="773" t="s">
        <v>140</v>
      </c>
      <c r="C2115" s="773">
        <v>387</v>
      </c>
      <c r="D2115" s="773">
        <v>8</v>
      </c>
      <c r="E2115" s="773" t="s">
        <v>410</v>
      </c>
      <c r="S2115" s="27">
        <v>44620</v>
      </c>
      <c r="T2115" s="773" t="s">
        <v>132</v>
      </c>
      <c r="U2115" s="773">
        <v>41</v>
      </c>
      <c r="V2115" s="773">
        <v>1</v>
      </c>
      <c r="W2115" s="773" t="s">
        <v>410</v>
      </c>
    </row>
    <row r="2116" spans="1:23">
      <c r="A2116" s="27">
        <v>45169</v>
      </c>
      <c r="B2116" s="773" t="s">
        <v>140</v>
      </c>
      <c r="C2116" s="773">
        <v>555</v>
      </c>
      <c r="D2116" s="773">
        <v>1661</v>
      </c>
      <c r="E2116" s="773" t="s">
        <v>390</v>
      </c>
      <c r="S2116" s="27">
        <v>44620</v>
      </c>
      <c r="T2116" s="773" t="s">
        <v>132</v>
      </c>
      <c r="U2116" s="773">
        <v>124</v>
      </c>
      <c r="V2116" s="773">
        <v>13</v>
      </c>
      <c r="W2116" s="773" t="s">
        <v>410</v>
      </c>
    </row>
    <row r="2117" spans="1:23">
      <c r="A2117" s="27">
        <v>45169</v>
      </c>
      <c r="B2117" s="773" t="s">
        <v>140</v>
      </c>
      <c r="C2117" s="773">
        <v>576</v>
      </c>
      <c r="D2117" s="773">
        <v>244</v>
      </c>
      <c r="E2117" s="773" t="s">
        <v>390</v>
      </c>
      <c r="S2117" s="27">
        <v>44620</v>
      </c>
      <c r="T2117" s="773" t="s">
        <v>132</v>
      </c>
      <c r="U2117" s="773">
        <v>701</v>
      </c>
      <c r="V2117" s="773">
        <v>2083</v>
      </c>
      <c r="W2117" s="773" t="s">
        <v>390</v>
      </c>
    </row>
    <row r="2118" spans="1:23">
      <c r="A2118" s="27">
        <v>45169</v>
      </c>
      <c r="B2118" s="773" t="s">
        <v>140</v>
      </c>
      <c r="C2118" s="773">
        <v>648</v>
      </c>
      <c r="D2118" s="773">
        <v>1536</v>
      </c>
      <c r="E2118" s="773" t="s">
        <v>390</v>
      </c>
      <c r="S2118" s="27">
        <v>44620</v>
      </c>
      <c r="T2118" s="773" t="s">
        <v>132</v>
      </c>
      <c r="U2118" s="773">
        <v>254</v>
      </c>
      <c r="V2118" s="773">
        <v>6</v>
      </c>
      <c r="W2118" s="773" t="s">
        <v>410</v>
      </c>
    </row>
    <row r="2119" spans="1:23">
      <c r="A2119" s="27">
        <v>45169</v>
      </c>
      <c r="B2119" s="773" t="s">
        <v>140</v>
      </c>
      <c r="C2119" s="773">
        <v>758</v>
      </c>
      <c r="D2119" s="773">
        <v>1</v>
      </c>
      <c r="E2119" s="773" t="s">
        <v>410</v>
      </c>
      <c r="S2119" s="27">
        <v>44620</v>
      </c>
      <c r="T2119" s="773" t="s">
        <v>132</v>
      </c>
      <c r="U2119" s="773">
        <v>61</v>
      </c>
      <c r="V2119" s="773">
        <v>2</v>
      </c>
      <c r="W2119" s="773" t="s">
        <v>410</v>
      </c>
    </row>
    <row r="2120" spans="1:23">
      <c r="A2120" s="27">
        <v>45169</v>
      </c>
      <c r="B2120" s="773" t="s">
        <v>140</v>
      </c>
      <c r="C2120" s="773">
        <v>746</v>
      </c>
      <c r="D2120" s="773">
        <v>2175</v>
      </c>
      <c r="E2120" s="773" t="s">
        <v>390</v>
      </c>
      <c r="S2120" s="27">
        <v>44255</v>
      </c>
      <c r="T2120" s="773" t="s">
        <v>132</v>
      </c>
      <c r="U2120" s="773">
        <v>315</v>
      </c>
      <c r="V2120" s="773">
        <v>52</v>
      </c>
      <c r="W2120" s="773" t="s">
        <v>410</v>
      </c>
    </row>
    <row r="2121" spans="1:23">
      <c r="A2121" s="27">
        <v>45169</v>
      </c>
      <c r="B2121" s="773" t="s">
        <v>140</v>
      </c>
      <c r="C2121" s="773">
        <v>379</v>
      </c>
      <c r="D2121" s="773">
        <v>1</v>
      </c>
      <c r="E2121" s="773" t="s">
        <v>410</v>
      </c>
      <c r="S2121" s="27">
        <v>44620</v>
      </c>
      <c r="T2121" s="773" t="s">
        <v>132</v>
      </c>
      <c r="U2121" s="773">
        <v>265</v>
      </c>
      <c r="V2121" s="773">
        <v>1386</v>
      </c>
      <c r="W2121" s="773" t="s">
        <v>390</v>
      </c>
    </row>
    <row r="2122" spans="1:23">
      <c r="A2122" s="27">
        <v>45169</v>
      </c>
      <c r="B2122" s="773" t="s">
        <v>140</v>
      </c>
      <c r="C2122" s="773">
        <v>650</v>
      </c>
      <c r="D2122" s="773">
        <v>2477</v>
      </c>
      <c r="E2122" s="773" t="s">
        <v>390</v>
      </c>
      <c r="S2122" s="27">
        <v>44255</v>
      </c>
      <c r="T2122" s="773" t="s">
        <v>132</v>
      </c>
      <c r="U2122" s="773">
        <v>140</v>
      </c>
      <c r="V2122" s="773">
        <v>262</v>
      </c>
      <c r="W2122" s="773" t="s">
        <v>390</v>
      </c>
    </row>
    <row r="2123" spans="1:23">
      <c r="A2123" s="27">
        <v>45169</v>
      </c>
      <c r="B2123" s="773" t="s">
        <v>140</v>
      </c>
      <c r="C2123" s="773">
        <v>630</v>
      </c>
      <c r="D2123" s="773">
        <v>1</v>
      </c>
      <c r="E2123" s="773" t="s">
        <v>410</v>
      </c>
      <c r="S2123" s="27">
        <v>44620</v>
      </c>
      <c r="T2123" s="773" t="s">
        <v>132</v>
      </c>
      <c r="U2123" s="773">
        <v>102</v>
      </c>
      <c r="V2123" s="773">
        <v>3</v>
      </c>
      <c r="W2123" s="773" t="s">
        <v>410</v>
      </c>
    </row>
    <row r="2124" spans="1:23">
      <c r="A2124" s="27">
        <v>45169</v>
      </c>
      <c r="B2124" s="773" t="s">
        <v>140</v>
      </c>
      <c r="C2124" s="773">
        <v>548</v>
      </c>
      <c r="D2124" s="773">
        <v>1026</v>
      </c>
      <c r="E2124" s="773" t="s">
        <v>390</v>
      </c>
      <c r="S2124" s="27">
        <v>44620</v>
      </c>
      <c r="T2124" s="773" t="s">
        <v>132</v>
      </c>
      <c r="U2124" s="773">
        <v>662</v>
      </c>
      <c r="V2124" s="773">
        <v>866</v>
      </c>
      <c r="W2124" s="773" t="s">
        <v>390</v>
      </c>
    </row>
    <row r="2125" spans="1:23">
      <c r="A2125" s="27">
        <v>45169</v>
      </c>
      <c r="B2125" s="773" t="s">
        <v>140</v>
      </c>
      <c r="C2125" s="773">
        <v>601</v>
      </c>
      <c r="D2125" s="773">
        <v>3</v>
      </c>
      <c r="E2125" s="773" t="s">
        <v>410</v>
      </c>
      <c r="S2125" s="27">
        <v>44620</v>
      </c>
      <c r="T2125" s="773" t="s">
        <v>132</v>
      </c>
      <c r="U2125" s="773">
        <v>230</v>
      </c>
      <c r="V2125" s="773">
        <v>2</v>
      </c>
      <c r="W2125" s="773" t="s">
        <v>410</v>
      </c>
    </row>
    <row r="2126" spans="1:23">
      <c r="A2126" s="27">
        <v>45169</v>
      </c>
      <c r="B2126" s="773" t="s">
        <v>140</v>
      </c>
      <c r="C2126" s="773">
        <v>659</v>
      </c>
      <c r="D2126" s="773">
        <v>997</v>
      </c>
      <c r="E2126" s="773" t="s">
        <v>390</v>
      </c>
      <c r="S2126" s="27">
        <v>44620</v>
      </c>
      <c r="T2126" s="773" t="s">
        <v>132</v>
      </c>
      <c r="U2126" s="773">
        <v>999</v>
      </c>
      <c r="V2126" s="773">
        <v>1</v>
      </c>
      <c r="W2126" s="773" t="s">
        <v>410</v>
      </c>
    </row>
    <row r="2127" spans="1:23">
      <c r="A2127" s="27">
        <v>45169</v>
      </c>
      <c r="B2127" s="773" t="s">
        <v>140</v>
      </c>
      <c r="C2127" s="773">
        <v>248</v>
      </c>
      <c r="D2127" s="773">
        <v>23</v>
      </c>
      <c r="E2127" s="773" t="s">
        <v>410</v>
      </c>
      <c r="S2127" s="27">
        <v>44620</v>
      </c>
      <c r="T2127" s="773" t="s">
        <v>132</v>
      </c>
      <c r="U2127" s="773">
        <v>202</v>
      </c>
      <c r="V2127" s="773">
        <v>1</v>
      </c>
      <c r="W2127" s="773" t="s">
        <v>410</v>
      </c>
    </row>
    <row r="2128" spans="1:23">
      <c r="A2128" s="27">
        <v>45169</v>
      </c>
      <c r="B2128" s="773" t="s">
        <v>140</v>
      </c>
      <c r="C2128" s="773">
        <v>530</v>
      </c>
      <c r="D2128" s="773">
        <v>1</v>
      </c>
      <c r="E2128" s="773" t="s">
        <v>410</v>
      </c>
      <c r="S2128" s="27">
        <v>44620</v>
      </c>
      <c r="T2128" s="773" t="s">
        <v>132</v>
      </c>
      <c r="U2128" s="773">
        <v>320</v>
      </c>
      <c r="V2128" s="773">
        <v>1112</v>
      </c>
      <c r="W2128" s="773" t="s">
        <v>390</v>
      </c>
    </row>
    <row r="2129" spans="1:23">
      <c r="A2129" s="27">
        <v>45169</v>
      </c>
      <c r="B2129" s="773" t="s">
        <v>140</v>
      </c>
      <c r="C2129" s="773">
        <v>742</v>
      </c>
      <c r="D2129" s="773">
        <v>1</v>
      </c>
      <c r="E2129" s="773" t="s">
        <v>410</v>
      </c>
      <c r="S2129" s="27">
        <v>44620</v>
      </c>
      <c r="T2129" s="773" t="s">
        <v>132</v>
      </c>
      <c r="U2129" s="773">
        <v>291</v>
      </c>
      <c r="V2129" s="773">
        <v>1972</v>
      </c>
      <c r="W2129" s="773" t="s">
        <v>390</v>
      </c>
    </row>
    <row r="2130" spans="1:23">
      <c r="A2130" s="27">
        <v>45169</v>
      </c>
      <c r="B2130" s="773" t="s">
        <v>140</v>
      </c>
      <c r="C2130" s="773">
        <v>740</v>
      </c>
      <c r="D2130" s="773">
        <v>355</v>
      </c>
      <c r="E2130" s="773" t="s">
        <v>390</v>
      </c>
      <c r="S2130" s="27">
        <v>44620</v>
      </c>
      <c r="T2130" s="773" t="s">
        <v>132</v>
      </c>
      <c r="U2130" s="773">
        <v>252</v>
      </c>
      <c r="V2130" s="773">
        <v>1265</v>
      </c>
      <c r="W2130" s="773" t="s">
        <v>390</v>
      </c>
    </row>
    <row r="2131" spans="1:23">
      <c r="A2131" s="27">
        <v>45169</v>
      </c>
      <c r="B2131" s="773" t="s">
        <v>140</v>
      </c>
      <c r="C2131" s="773">
        <v>640</v>
      </c>
      <c r="D2131" s="773">
        <v>3004</v>
      </c>
      <c r="E2131" s="773" t="s">
        <v>390</v>
      </c>
      <c r="S2131" s="27">
        <v>44255</v>
      </c>
      <c r="T2131" s="773" t="s">
        <v>132</v>
      </c>
      <c r="U2131" s="773">
        <v>658</v>
      </c>
      <c r="V2131" s="773">
        <v>2920</v>
      </c>
      <c r="W2131" s="773" t="s">
        <v>390</v>
      </c>
    </row>
    <row r="2132" spans="1:23">
      <c r="A2132" s="27">
        <v>45169</v>
      </c>
      <c r="B2132" s="773" t="s">
        <v>140</v>
      </c>
      <c r="C2132" s="773">
        <v>639</v>
      </c>
      <c r="D2132" s="773">
        <v>158</v>
      </c>
      <c r="E2132" s="773" t="s">
        <v>390</v>
      </c>
      <c r="S2132" s="27">
        <v>44255</v>
      </c>
      <c r="T2132" s="773" t="s">
        <v>132</v>
      </c>
      <c r="U2132" s="773">
        <v>202</v>
      </c>
      <c r="V2132" s="773">
        <v>1</v>
      </c>
      <c r="W2132" s="773" t="s">
        <v>410</v>
      </c>
    </row>
    <row r="2133" spans="1:23">
      <c r="A2133" s="27">
        <v>45169</v>
      </c>
      <c r="B2133" s="773" t="s">
        <v>140</v>
      </c>
      <c r="C2133" s="773">
        <v>527</v>
      </c>
      <c r="D2133" s="773">
        <v>3</v>
      </c>
      <c r="E2133" s="773" t="s">
        <v>410</v>
      </c>
      <c r="S2133" s="27">
        <v>44620</v>
      </c>
      <c r="T2133" s="773" t="s">
        <v>132</v>
      </c>
      <c r="U2133" s="773">
        <v>309</v>
      </c>
      <c r="V2133" s="773">
        <v>16</v>
      </c>
      <c r="W2133" s="773" t="s">
        <v>410</v>
      </c>
    </row>
    <row r="2134" spans="1:23">
      <c r="A2134" s="27">
        <v>45169</v>
      </c>
      <c r="B2134" s="773" t="s">
        <v>140</v>
      </c>
      <c r="C2134" s="773">
        <v>478</v>
      </c>
      <c r="D2134" s="773">
        <v>1</v>
      </c>
      <c r="E2134" s="773" t="s">
        <v>410</v>
      </c>
      <c r="S2134" s="27">
        <v>44620</v>
      </c>
      <c r="T2134" s="773" t="s">
        <v>132</v>
      </c>
      <c r="U2134" s="773">
        <v>651</v>
      </c>
      <c r="V2134" s="773">
        <v>172</v>
      </c>
      <c r="W2134" s="773" t="s">
        <v>390</v>
      </c>
    </row>
    <row r="2135" spans="1:23">
      <c r="A2135" s="27">
        <v>45169</v>
      </c>
      <c r="B2135" s="773" t="s">
        <v>140</v>
      </c>
      <c r="C2135" s="773">
        <v>524</v>
      </c>
      <c r="D2135" s="773">
        <v>1930</v>
      </c>
      <c r="E2135" s="773" t="s">
        <v>390</v>
      </c>
      <c r="S2135" s="27">
        <v>44255</v>
      </c>
      <c r="T2135" s="773" t="s">
        <v>132</v>
      </c>
      <c r="U2135" s="773">
        <v>269</v>
      </c>
      <c r="V2135" s="773">
        <v>1</v>
      </c>
      <c r="W2135" s="773" t="s">
        <v>410</v>
      </c>
    </row>
    <row r="2136" spans="1:23">
      <c r="A2136" s="27">
        <v>45169</v>
      </c>
      <c r="B2136" s="773" t="s">
        <v>140</v>
      </c>
      <c r="C2136" s="773">
        <v>597</v>
      </c>
      <c r="D2136" s="773">
        <v>1419</v>
      </c>
      <c r="E2136" s="773" t="s">
        <v>390</v>
      </c>
      <c r="S2136" s="27">
        <v>44255</v>
      </c>
      <c r="T2136" s="773" t="s">
        <v>132</v>
      </c>
      <c r="U2136" s="773">
        <v>669</v>
      </c>
      <c r="V2136" s="773">
        <v>2390</v>
      </c>
      <c r="W2136" s="773" t="s">
        <v>390</v>
      </c>
    </row>
    <row r="2137" spans="1:23">
      <c r="A2137" s="27">
        <v>45169</v>
      </c>
      <c r="B2137" s="773" t="s">
        <v>140</v>
      </c>
      <c r="C2137" s="773">
        <v>732</v>
      </c>
      <c r="D2137" s="773">
        <v>4</v>
      </c>
      <c r="E2137" s="773" t="s">
        <v>410</v>
      </c>
      <c r="S2137" s="27">
        <v>44255</v>
      </c>
      <c r="T2137" s="773" t="s">
        <v>132</v>
      </c>
      <c r="U2137" s="773">
        <v>150</v>
      </c>
      <c r="V2137" s="773">
        <v>761</v>
      </c>
      <c r="W2137" s="773" t="s">
        <v>390</v>
      </c>
    </row>
    <row r="2138" spans="1:23">
      <c r="A2138" s="27">
        <v>45169</v>
      </c>
      <c r="B2138" s="773" t="s">
        <v>140</v>
      </c>
      <c r="C2138" s="773">
        <v>338</v>
      </c>
      <c r="D2138" s="773">
        <v>2482</v>
      </c>
      <c r="E2138" s="773" t="s">
        <v>390</v>
      </c>
      <c r="S2138" s="27">
        <v>44620</v>
      </c>
      <c r="T2138" s="773" t="s">
        <v>132</v>
      </c>
      <c r="U2138" s="773">
        <v>245</v>
      </c>
      <c r="V2138" s="773">
        <v>4630</v>
      </c>
      <c r="W2138" s="773" t="s">
        <v>390</v>
      </c>
    </row>
    <row r="2139" spans="1:23">
      <c r="A2139" s="27">
        <v>45169</v>
      </c>
      <c r="B2139" s="773" t="s">
        <v>140</v>
      </c>
      <c r="C2139" s="773">
        <v>586</v>
      </c>
      <c r="D2139" s="773">
        <v>2359</v>
      </c>
      <c r="E2139" s="773" t="s">
        <v>390</v>
      </c>
      <c r="S2139" s="27">
        <v>44255</v>
      </c>
      <c r="T2139" s="773" t="s">
        <v>132</v>
      </c>
      <c r="U2139" s="773">
        <v>271</v>
      </c>
      <c r="V2139" s="773">
        <v>2246</v>
      </c>
      <c r="W2139" s="773" t="s">
        <v>390</v>
      </c>
    </row>
    <row r="2140" spans="1:23">
      <c r="A2140" s="27">
        <v>45169</v>
      </c>
      <c r="B2140" s="773" t="s">
        <v>140</v>
      </c>
      <c r="C2140" s="773">
        <v>594</v>
      </c>
      <c r="D2140" s="773">
        <v>2763</v>
      </c>
      <c r="E2140" s="773" t="s">
        <v>390</v>
      </c>
      <c r="S2140" s="27">
        <v>44255</v>
      </c>
      <c r="T2140" s="773" t="s">
        <v>132</v>
      </c>
      <c r="U2140" s="773">
        <v>200</v>
      </c>
      <c r="V2140" s="773">
        <v>4</v>
      </c>
      <c r="W2140" s="773" t="s">
        <v>410</v>
      </c>
    </row>
    <row r="2141" spans="1:23">
      <c r="A2141" s="27">
        <v>45169</v>
      </c>
      <c r="B2141" s="773" t="s">
        <v>140</v>
      </c>
      <c r="C2141" s="773">
        <v>510</v>
      </c>
      <c r="D2141" s="773">
        <v>1115</v>
      </c>
      <c r="E2141" s="773" t="s">
        <v>390</v>
      </c>
      <c r="S2141" s="27">
        <v>44620</v>
      </c>
      <c r="T2141" s="773" t="s">
        <v>132</v>
      </c>
      <c r="U2141" s="773">
        <v>81</v>
      </c>
      <c r="V2141" s="773">
        <v>4</v>
      </c>
      <c r="W2141" s="773" t="s">
        <v>410</v>
      </c>
    </row>
    <row r="2142" spans="1:23">
      <c r="A2142" s="27">
        <v>45169</v>
      </c>
      <c r="B2142" s="773" t="s">
        <v>140</v>
      </c>
      <c r="C2142" s="773">
        <v>774</v>
      </c>
      <c r="D2142" s="773">
        <v>2343</v>
      </c>
      <c r="E2142" s="773" t="s">
        <v>390</v>
      </c>
      <c r="S2142" s="27">
        <v>44620</v>
      </c>
      <c r="T2142" s="773" t="s">
        <v>132</v>
      </c>
      <c r="U2142" s="773">
        <v>130</v>
      </c>
      <c r="V2142" s="773">
        <v>1</v>
      </c>
      <c r="W2142" s="773" t="s">
        <v>410</v>
      </c>
    </row>
    <row r="2143" spans="1:23">
      <c r="A2143" s="27">
        <v>45169</v>
      </c>
      <c r="B2143" s="773" t="s">
        <v>140</v>
      </c>
      <c r="C2143" s="773">
        <v>556</v>
      </c>
      <c r="D2143" s="773">
        <v>2574</v>
      </c>
      <c r="E2143" s="773" t="s">
        <v>390</v>
      </c>
      <c r="S2143" s="27">
        <v>44620</v>
      </c>
      <c r="T2143" s="773" t="s">
        <v>132</v>
      </c>
      <c r="U2143" s="773">
        <v>66</v>
      </c>
      <c r="V2143" s="773">
        <v>6</v>
      </c>
      <c r="W2143" s="773" t="s">
        <v>410</v>
      </c>
    </row>
    <row r="2144" spans="1:23">
      <c r="A2144" s="27">
        <v>45169</v>
      </c>
      <c r="B2144" s="773" t="s">
        <v>140</v>
      </c>
      <c r="C2144" s="773">
        <v>279</v>
      </c>
      <c r="D2144" s="773">
        <v>1</v>
      </c>
      <c r="E2144" s="773" t="s">
        <v>410</v>
      </c>
      <c r="S2144" s="27">
        <v>44620</v>
      </c>
      <c r="T2144" s="773" t="s">
        <v>132</v>
      </c>
      <c r="U2144" s="773">
        <v>193</v>
      </c>
      <c r="V2144" s="773">
        <v>438</v>
      </c>
      <c r="W2144" s="773" t="s">
        <v>390</v>
      </c>
    </row>
    <row r="2145" spans="1:23">
      <c r="A2145" s="27">
        <v>45169</v>
      </c>
      <c r="B2145" s="773" t="s">
        <v>140</v>
      </c>
      <c r="C2145" s="773">
        <v>585</v>
      </c>
      <c r="D2145" s="773">
        <v>5030</v>
      </c>
      <c r="E2145" s="773" t="s">
        <v>390</v>
      </c>
      <c r="S2145" s="27">
        <v>44620</v>
      </c>
      <c r="T2145" s="773" t="s">
        <v>132</v>
      </c>
      <c r="U2145" s="773">
        <v>68</v>
      </c>
      <c r="V2145" s="773">
        <v>615</v>
      </c>
      <c r="W2145" s="773" t="s">
        <v>390</v>
      </c>
    </row>
    <row r="2146" spans="1:23">
      <c r="A2146" s="27">
        <v>45169</v>
      </c>
      <c r="B2146" s="773" t="s">
        <v>140</v>
      </c>
      <c r="C2146" s="773">
        <v>626</v>
      </c>
      <c r="D2146" s="773">
        <v>3254</v>
      </c>
      <c r="E2146" s="773" t="s">
        <v>390</v>
      </c>
      <c r="S2146" s="27">
        <v>44255</v>
      </c>
      <c r="T2146" s="773" t="s">
        <v>132</v>
      </c>
      <c r="U2146" s="773">
        <v>626</v>
      </c>
      <c r="V2146" s="773">
        <v>4</v>
      </c>
      <c r="W2146" s="773" t="s">
        <v>410</v>
      </c>
    </row>
    <row r="2147" spans="1:23">
      <c r="A2147" s="27">
        <v>45169</v>
      </c>
      <c r="B2147" s="773" t="s">
        <v>140</v>
      </c>
      <c r="C2147" s="773">
        <v>346</v>
      </c>
      <c r="D2147" s="773">
        <v>3</v>
      </c>
      <c r="E2147" s="773" t="s">
        <v>410</v>
      </c>
      <c r="S2147" s="27">
        <v>44255</v>
      </c>
      <c r="T2147" s="773" t="s">
        <v>132</v>
      </c>
      <c r="U2147" s="773">
        <v>75</v>
      </c>
      <c r="V2147" s="773">
        <v>1</v>
      </c>
      <c r="W2147" s="773" t="s">
        <v>410</v>
      </c>
    </row>
    <row r="2148" spans="1:23">
      <c r="A2148" s="27">
        <v>45169</v>
      </c>
      <c r="B2148" s="773" t="s">
        <v>140</v>
      </c>
      <c r="C2148" s="773">
        <v>469</v>
      </c>
      <c r="D2148" s="773">
        <v>8</v>
      </c>
      <c r="E2148" s="773" t="s">
        <v>410</v>
      </c>
      <c r="S2148" s="27">
        <v>44255</v>
      </c>
      <c r="T2148" s="773" t="s">
        <v>132</v>
      </c>
      <c r="U2148" s="773">
        <v>679</v>
      </c>
      <c r="V2148" s="773">
        <v>2484</v>
      </c>
      <c r="W2148" s="773" t="s">
        <v>390</v>
      </c>
    </row>
    <row r="2149" spans="1:23">
      <c r="A2149" s="27">
        <v>45169</v>
      </c>
      <c r="B2149" s="773" t="s">
        <v>140</v>
      </c>
      <c r="C2149" s="773">
        <v>628</v>
      </c>
      <c r="D2149" s="773">
        <v>737</v>
      </c>
      <c r="E2149" s="773" t="s">
        <v>390</v>
      </c>
      <c r="S2149" s="27">
        <v>44255</v>
      </c>
      <c r="T2149" s="773" t="s">
        <v>132</v>
      </c>
      <c r="U2149" s="773">
        <v>279</v>
      </c>
      <c r="V2149" s="773">
        <v>3967</v>
      </c>
      <c r="W2149" s="773" t="s">
        <v>390</v>
      </c>
    </row>
    <row r="2150" spans="1:23">
      <c r="A2150" s="27">
        <v>45199</v>
      </c>
      <c r="B2150" s="773" t="s">
        <v>140</v>
      </c>
      <c r="C2150" s="773">
        <v>493</v>
      </c>
      <c r="D2150" s="773">
        <v>5</v>
      </c>
      <c r="E2150" s="773" t="s">
        <v>410</v>
      </c>
      <c r="S2150" s="27">
        <v>44620</v>
      </c>
      <c r="T2150" s="773" t="s">
        <v>132</v>
      </c>
      <c r="U2150" s="773">
        <v>141</v>
      </c>
      <c r="V2150" s="773">
        <v>10</v>
      </c>
      <c r="W2150" s="773" t="s">
        <v>410</v>
      </c>
    </row>
    <row r="2151" spans="1:23">
      <c r="A2151" s="27">
        <v>45199</v>
      </c>
      <c r="B2151" s="773" t="s">
        <v>140</v>
      </c>
      <c r="C2151" s="773">
        <v>548</v>
      </c>
      <c r="D2151" s="773" t="s">
        <v>545</v>
      </c>
      <c r="E2151" s="773" t="s">
        <v>390</v>
      </c>
      <c r="S2151" s="27">
        <v>44620</v>
      </c>
      <c r="T2151" s="773" t="s">
        <v>132</v>
      </c>
      <c r="U2151" s="773">
        <v>86</v>
      </c>
      <c r="V2151" s="773">
        <v>3</v>
      </c>
      <c r="W2151" s="773" t="s">
        <v>410</v>
      </c>
    </row>
    <row r="2152" spans="1:23">
      <c r="A2152" s="27">
        <v>45199</v>
      </c>
      <c r="B2152" s="773" t="s">
        <v>140</v>
      </c>
      <c r="C2152" s="773">
        <v>616</v>
      </c>
      <c r="D2152" s="773">
        <v>1</v>
      </c>
      <c r="E2152" s="773" t="s">
        <v>410</v>
      </c>
      <c r="S2152" s="27">
        <v>44620</v>
      </c>
      <c r="T2152" s="773" t="s">
        <v>132</v>
      </c>
      <c r="U2152" s="773">
        <v>200</v>
      </c>
      <c r="V2152" s="773">
        <v>3</v>
      </c>
      <c r="W2152" s="773" t="s">
        <v>410</v>
      </c>
    </row>
    <row r="2153" spans="1:23">
      <c r="A2153" s="27">
        <v>45199</v>
      </c>
      <c r="B2153" s="773" t="s">
        <v>140</v>
      </c>
      <c r="C2153" s="773">
        <v>601</v>
      </c>
      <c r="D2153" s="773">
        <v>3</v>
      </c>
      <c r="E2153" s="773" t="s">
        <v>410</v>
      </c>
      <c r="S2153" s="27">
        <v>44255</v>
      </c>
      <c r="T2153" s="773" t="s">
        <v>132</v>
      </c>
      <c r="U2153" s="773">
        <v>108</v>
      </c>
      <c r="V2153" s="773">
        <v>1</v>
      </c>
      <c r="W2153" s="773" t="s">
        <v>410</v>
      </c>
    </row>
    <row r="2154" spans="1:23">
      <c r="A2154" s="27">
        <v>45199</v>
      </c>
      <c r="B2154" s="773" t="s">
        <v>140</v>
      </c>
      <c r="C2154" s="773">
        <v>630</v>
      </c>
      <c r="D2154" s="773">
        <v>1</v>
      </c>
      <c r="E2154" s="773" t="s">
        <v>410</v>
      </c>
      <c r="S2154" s="27">
        <v>44255</v>
      </c>
      <c r="T2154" s="773" t="s">
        <v>132</v>
      </c>
      <c r="U2154" s="773">
        <v>78</v>
      </c>
      <c r="V2154" s="773">
        <v>3</v>
      </c>
      <c r="W2154" s="773" t="s">
        <v>410</v>
      </c>
    </row>
    <row r="2155" spans="1:23">
      <c r="A2155" s="27">
        <v>45199</v>
      </c>
      <c r="B2155" s="773" t="s">
        <v>140</v>
      </c>
      <c r="C2155" s="773">
        <v>555</v>
      </c>
      <c r="D2155" s="773" t="s">
        <v>546</v>
      </c>
      <c r="E2155" s="773" t="s">
        <v>390</v>
      </c>
      <c r="S2155" s="27">
        <v>44255</v>
      </c>
      <c r="T2155" s="773" t="s">
        <v>132</v>
      </c>
      <c r="U2155" s="773">
        <v>621</v>
      </c>
      <c r="V2155" s="773">
        <v>2418</v>
      </c>
      <c r="W2155" s="773" t="s">
        <v>390</v>
      </c>
    </row>
    <row r="2156" spans="1:23">
      <c r="A2156" s="27">
        <v>45199</v>
      </c>
      <c r="B2156" s="773" t="s">
        <v>140</v>
      </c>
      <c r="C2156" s="773">
        <v>648</v>
      </c>
      <c r="D2156" s="773" t="s">
        <v>547</v>
      </c>
      <c r="E2156" s="773" t="s">
        <v>390</v>
      </c>
      <c r="S2156" s="27">
        <v>44620</v>
      </c>
      <c r="T2156" s="773" t="s">
        <v>132</v>
      </c>
      <c r="U2156" s="773">
        <v>101</v>
      </c>
      <c r="V2156" s="773">
        <v>835</v>
      </c>
      <c r="W2156" s="773" t="s">
        <v>390</v>
      </c>
    </row>
    <row r="2157" spans="1:23">
      <c r="A2157" s="27">
        <v>45199</v>
      </c>
      <c r="B2157" s="773" t="s">
        <v>140</v>
      </c>
      <c r="C2157" s="773">
        <v>587</v>
      </c>
      <c r="D2157" s="773">
        <v>1</v>
      </c>
      <c r="E2157" s="773" t="s">
        <v>410</v>
      </c>
      <c r="S2157" s="27">
        <v>44255</v>
      </c>
      <c r="T2157" s="773" t="s">
        <v>132</v>
      </c>
      <c r="U2157" s="773">
        <v>0</v>
      </c>
      <c r="V2157" s="773">
        <v>39</v>
      </c>
      <c r="W2157" s="773" t="s">
        <v>410</v>
      </c>
    </row>
    <row r="2158" spans="1:23">
      <c r="A2158" s="27">
        <v>45199</v>
      </c>
      <c r="B2158" s="773" t="s">
        <v>140</v>
      </c>
      <c r="C2158" s="773">
        <v>453</v>
      </c>
      <c r="D2158" s="773" t="s">
        <v>548</v>
      </c>
      <c r="E2158" s="773" t="s">
        <v>390</v>
      </c>
      <c r="S2158" s="27">
        <v>44255</v>
      </c>
      <c r="T2158" s="773" t="s">
        <v>132</v>
      </c>
      <c r="U2158" s="773">
        <v>264</v>
      </c>
      <c r="V2158" s="773">
        <v>956</v>
      </c>
      <c r="W2158" s="773" t="s">
        <v>390</v>
      </c>
    </row>
    <row r="2159" spans="1:23">
      <c r="A2159" s="27">
        <v>45199</v>
      </c>
      <c r="B2159" s="773" t="s">
        <v>140</v>
      </c>
      <c r="C2159" s="773">
        <v>639</v>
      </c>
      <c r="D2159" s="773">
        <v>157</v>
      </c>
      <c r="E2159" s="773" t="s">
        <v>390</v>
      </c>
      <c r="S2159" s="27">
        <v>44620</v>
      </c>
      <c r="T2159" s="773" t="s">
        <v>132</v>
      </c>
      <c r="U2159" s="773">
        <v>105</v>
      </c>
      <c r="V2159" s="773">
        <v>3</v>
      </c>
      <c r="W2159" s="773" t="s">
        <v>410</v>
      </c>
    </row>
    <row r="2160" spans="1:23">
      <c r="A2160" s="27">
        <v>45199</v>
      </c>
      <c r="B2160" s="773" t="s">
        <v>140</v>
      </c>
      <c r="C2160" s="773">
        <v>732</v>
      </c>
      <c r="D2160" s="773">
        <v>4</v>
      </c>
      <c r="E2160" s="773" t="s">
        <v>410</v>
      </c>
      <c r="S2160" s="27">
        <v>44620</v>
      </c>
      <c r="T2160" s="773" t="s">
        <v>132</v>
      </c>
      <c r="U2160" s="773">
        <v>271</v>
      </c>
      <c r="V2160" s="773">
        <v>2788</v>
      </c>
      <c r="W2160" s="773" t="s">
        <v>390</v>
      </c>
    </row>
    <row r="2161" spans="1:23">
      <c r="A2161" s="27">
        <v>45199</v>
      </c>
      <c r="B2161" s="773" t="s">
        <v>140</v>
      </c>
      <c r="C2161" s="773">
        <v>248</v>
      </c>
      <c r="D2161" s="773">
        <v>23</v>
      </c>
      <c r="E2161" s="773" t="s">
        <v>410</v>
      </c>
      <c r="S2161" s="27">
        <v>44255</v>
      </c>
      <c r="T2161" s="773" t="s">
        <v>132</v>
      </c>
      <c r="U2161" s="773">
        <v>92</v>
      </c>
      <c r="V2161" s="773">
        <v>2428</v>
      </c>
      <c r="W2161" s="773" t="s">
        <v>390</v>
      </c>
    </row>
    <row r="2162" spans="1:23">
      <c r="A2162" s="27">
        <v>45199</v>
      </c>
      <c r="B2162" s="773" t="s">
        <v>140</v>
      </c>
      <c r="C2162" s="773">
        <v>650</v>
      </c>
      <c r="D2162" s="773" t="s">
        <v>549</v>
      </c>
      <c r="E2162" s="773" t="s">
        <v>390</v>
      </c>
      <c r="S2162" s="27">
        <v>44255</v>
      </c>
      <c r="T2162" s="773" t="s">
        <v>132</v>
      </c>
      <c r="U2162" s="773">
        <v>204</v>
      </c>
      <c r="V2162" s="773">
        <v>20</v>
      </c>
      <c r="W2162" s="773" t="s">
        <v>410</v>
      </c>
    </row>
    <row r="2163" spans="1:23">
      <c r="A2163" s="27">
        <v>45199</v>
      </c>
      <c r="B2163" s="773" t="s">
        <v>140</v>
      </c>
      <c r="C2163" s="773">
        <v>530</v>
      </c>
      <c r="D2163" s="773">
        <v>1</v>
      </c>
      <c r="E2163" s="773" t="s">
        <v>410</v>
      </c>
      <c r="S2163" s="27">
        <v>44255</v>
      </c>
      <c r="T2163" s="773" t="s">
        <v>132</v>
      </c>
      <c r="U2163" s="773">
        <v>686</v>
      </c>
      <c r="V2163" s="773">
        <v>2252</v>
      </c>
      <c r="W2163" s="773" t="s">
        <v>390</v>
      </c>
    </row>
    <row r="2164" spans="1:23">
      <c r="A2164" s="27">
        <v>45199</v>
      </c>
      <c r="B2164" s="773" t="s">
        <v>140</v>
      </c>
      <c r="C2164" s="773">
        <v>524</v>
      </c>
      <c r="D2164" s="773" t="s">
        <v>550</v>
      </c>
      <c r="E2164" s="773" t="s">
        <v>390</v>
      </c>
      <c r="S2164" s="27">
        <v>44620</v>
      </c>
      <c r="T2164" s="773" t="s">
        <v>132</v>
      </c>
      <c r="U2164" s="773">
        <v>275</v>
      </c>
      <c r="V2164" s="773">
        <v>28</v>
      </c>
      <c r="W2164" s="773" t="s">
        <v>410</v>
      </c>
    </row>
    <row r="2165" spans="1:23">
      <c r="A2165" s="27">
        <v>45199</v>
      </c>
      <c r="B2165" s="773" t="s">
        <v>140</v>
      </c>
      <c r="C2165" s="773">
        <v>691</v>
      </c>
      <c r="D2165" s="773">
        <v>198</v>
      </c>
      <c r="E2165" s="773" t="s">
        <v>390</v>
      </c>
      <c r="S2165" s="27">
        <v>44255</v>
      </c>
      <c r="T2165" s="773" t="s">
        <v>132</v>
      </c>
      <c r="U2165" s="773">
        <v>41</v>
      </c>
      <c r="V2165" s="773">
        <v>1</v>
      </c>
      <c r="W2165" s="773" t="s">
        <v>410</v>
      </c>
    </row>
    <row r="2166" spans="1:23">
      <c r="A2166" s="27">
        <v>45199</v>
      </c>
      <c r="B2166" s="773" t="s">
        <v>140</v>
      </c>
      <c r="C2166" s="773">
        <v>383</v>
      </c>
      <c r="D2166" s="773">
        <v>3</v>
      </c>
      <c r="E2166" s="773" t="s">
        <v>410</v>
      </c>
      <c r="S2166" s="27">
        <v>44620</v>
      </c>
      <c r="T2166" s="773" t="s">
        <v>132</v>
      </c>
      <c r="U2166" s="773">
        <v>672</v>
      </c>
      <c r="V2166" s="773">
        <v>2399</v>
      </c>
      <c r="W2166" s="773" t="s">
        <v>390</v>
      </c>
    </row>
    <row r="2167" spans="1:23">
      <c r="A2167" s="27">
        <v>45199</v>
      </c>
      <c r="B2167" s="773" t="s">
        <v>140</v>
      </c>
      <c r="C2167" s="773">
        <v>359</v>
      </c>
      <c r="D2167" s="773">
        <v>913</v>
      </c>
      <c r="E2167" s="773" t="s">
        <v>390</v>
      </c>
      <c r="S2167" s="27">
        <v>44255</v>
      </c>
      <c r="T2167" s="773" t="s">
        <v>132</v>
      </c>
      <c r="U2167" s="773">
        <v>102</v>
      </c>
      <c r="V2167" s="773">
        <v>1</v>
      </c>
      <c r="W2167" s="773" t="s">
        <v>410</v>
      </c>
    </row>
    <row r="2168" spans="1:23">
      <c r="A2168" s="27">
        <v>45199</v>
      </c>
      <c r="B2168" s="773" t="s">
        <v>140</v>
      </c>
      <c r="C2168" s="773">
        <v>527</v>
      </c>
      <c r="D2168" s="773">
        <v>3</v>
      </c>
      <c r="E2168" s="773" t="s">
        <v>410</v>
      </c>
      <c r="S2168" s="27">
        <v>44255</v>
      </c>
      <c r="T2168" s="773" t="s">
        <v>132</v>
      </c>
      <c r="U2168" s="773">
        <v>668</v>
      </c>
      <c r="V2168" s="773">
        <v>2928</v>
      </c>
      <c r="W2168" s="773" t="s">
        <v>390</v>
      </c>
    </row>
    <row r="2169" spans="1:23">
      <c r="A2169" s="27">
        <v>45199</v>
      </c>
      <c r="B2169" s="773" t="s">
        <v>140</v>
      </c>
      <c r="C2169" s="773">
        <v>742</v>
      </c>
      <c r="D2169" s="773">
        <v>1</v>
      </c>
      <c r="E2169" s="773" t="s">
        <v>410</v>
      </c>
      <c r="S2169" s="27">
        <v>44255</v>
      </c>
      <c r="T2169" s="773" t="s">
        <v>132</v>
      </c>
      <c r="U2169" s="773">
        <v>82</v>
      </c>
      <c r="V2169" s="773">
        <v>2230</v>
      </c>
      <c r="W2169" s="773" t="s">
        <v>390</v>
      </c>
    </row>
    <row r="2170" spans="1:23">
      <c r="A2170" s="27">
        <v>45199</v>
      </c>
      <c r="B2170" s="773" t="s">
        <v>140</v>
      </c>
      <c r="C2170" s="773">
        <v>338</v>
      </c>
      <c r="D2170" s="773">
        <v>2477</v>
      </c>
      <c r="E2170" s="773" t="s">
        <v>390</v>
      </c>
      <c r="S2170" s="27">
        <v>44255</v>
      </c>
      <c r="T2170" s="773" t="s">
        <v>132</v>
      </c>
      <c r="U2170" s="773">
        <v>152</v>
      </c>
      <c r="V2170" s="773">
        <v>2</v>
      </c>
      <c r="W2170" s="773" t="s">
        <v>410</v>
      </c>
    </row>
    <row r="2171" spans="1:23">
      <c r="A2171" s="27">
        <v>45199</v>
      </c>
      <c r="B2171" s="773" t="s">
        <v>140</v>
      </c>
      <c r="C2171" s="773">
        <v>485</v>
      </c>
      <c r="D2171" s="773">
        <v>1406</v>
      </c>
      <c r="E2171" s="773" t="s">
        <v>390</v>
      </c>
      <c r="S2171" s="27">
        <v>44620</v>
      </c>
      <c r="T2171" s="773" t="s">
        <v>132</v>
      </c>
      <c r="U2171" s="773">
        <v>98</v>
      </c>
      <c r="V2171" s="773">
        <v>76</v>
      </c>
      <c r="W2171" s="773" t="s">
        <v>410</v>
      </c>
    </row>
    <row r="2172" spans="1:23">
      <c r="A2172" s="27">
        <v>45199</v>
      </c>
      <c r="B2172" s="773" t="s">
        <v>140</v>
      </c>
      <c r="C2172" s="773">
        <v>0</v>
      </c>
      <c r="D2172" s="773">
        <v>7</v>
      </c>
      <c r="E2172" s="773" t="s">
        <v>410</v>
      </c>
      <c r="S2172" s="27">
        <v>44620</v>
      </c>
      <c r="T2172" s="773" t="s">
        <v>132</v>
      </c>
      <c r="U2172" s="773">
        <v>182</v>
      </c>
      <c r="V2172" s="773">
        <v>876</v>
      </c>
      <c r="W2172" s="773" t="s">
        <v>390</v>
      </c>
    </row>
    <row r="2173" spans="1:23">
      <c r="A2173" s="27">
        <v>45199</v>
      </c>
      <c r="B2173" s="773" t="s">
        <v>140</v>
      </c>
      <c r="C2173" s="773">
        <v>640</v>
      </c>
      <c r="D2173" s="773">
        <v>3001</v>
      </c>
      <c r="E2173" s="773" t="s">
        <v>390</v>
      </c>
      <c r="S2173" s="27">
        <v>44620</v>
      </c>
      <c r="T2173" s="773" t="s">
        <v>132</v>
      </c>
      <c r="U2173" s="773">
        <v>696</v>
      </c>
      <c r="V2173" s="773">
        <v>2130</v>
      </c>
      <c r="W2173" s="773" t="s">
        <v>390</v>
      </c>
    </row>
    <row r="2174" spans="1:23">
      <c r="A2174" s="27">
        <v>45199</v>
      </c>
      <c r="B2174" s="773" t="s">
        <v>140</v>
      </c>
      <c r="C2174" s="773">
        <v>708</v>
      </c>
      <c r="D2174" s="773">
        <v>3048</v>
      </c>
      <c r="E2174" s="773" t="s">
        <v>390</v>
      </c>
      <c r="S2174" s="27">
        <v>44620</v>
      </c>
      <c r="T2174" s="773" t="s">
        <v>132</v>
      </c>
      <c r="U2174" s="773">
        <v>658</v>
      </c>
      <c r="V2174" s="773">
        <v>2997</v>
      </c>
      <c r="W2174" s="773" t="s">
        <v>390</v>
      </c>
    </row>
    <row r="2175" spans="1:23">
      <c r="A2175" s="27">
        <v>45199</v>
      </c>
      <c r="B2175" s="773" t="s">
        <v>140</v>
      </c>
      <c r="C2175" s="773">
        <v>478</v>
      </c>
      <c r="D2175" s="773">
        <v>1</v>
      </c>
      <c r="E2175" s="773" t="s">
        <v>410</v>
      </c>
      <c r="S2175" s="27">
        <v>44620</v>
      </c>
      <c r="T2175" s="773" t="s">
        <v>132</v>
      </c>
      <c r="U2175" s="773">
        <v>666</v>
      </c>
      <c r="V2175" s="773">
        <v>1444</v>
      </c>
      <c r="W2175" s="773" t="s">
        <v>390</v>
      </c>
    </row>
    <row r="2176" spans="1:23">
      <c r="A2176" s="27">
        <v>45199</v>
      </c>
      <c r="B2176" s="773" t="s">
        <v>140</v>
      </c>
      <c r="C2176" s="773">
        <v>370</v>
      </c>
      <c r="D2176" s="773">
        <v>2</v>
      </c>
      <c r="E2176" s="773" t="s">
        <v>410</v>
      </c>
      <c r="S2176" s="27">
        <v>44255</v>
      </c>
      <c r="T2176" s="773" t="s">
        <v>132</v>
      </c>
      <c r="U2176" s="773">
        <v>11</v>
      </c>
      <c r="V2176" s="773">
        <v>31</v>
      </c>
      <c r="W2176" s="773" t="s">
        <v>410</v>
      </c>
    </row>
    <row r="2177" spans="1:23">
      <c r="A2177" s="27">
        <v>45199</v>
      </c>
      <c r="B2177" s="773" t="s">
        <v>140</v>
      </c>
      <c r="C2177" s="773">
        <v>558</v>
      </c>
      <c r="D2177" s="773">
        <v>1302</v>
      </c>
      <c r="E2177" s="773" t="s">
        <v>390</v>
      </c>
      <c r="S2177" s="27">
        <v>44255</v>
      </c>
      <c r="T2177" s="773" t="s">
        <v>132</v>
      </c>
      <c r="U2177" s="773">
        <v>694</v>
      </c>
      <c r="V2177" s="773">
        <v>1</v>
      </c>
      <c r="W2177" s="773" t="s">
        <v>410</v>
      </c>
    </row>
    <row r="2178" spans="1:23">
      <c r="A2178" s="27">
        <v>45199</v>
      </c>
      <c r="B2178" s="773" t="s">
        <v>140</v>
      </c>
      <c r="C2178" s="773">
        <v>387</v>
      </c>
      <c r="D2178" s="773">
        <v>8</v>
      </c>
      <c r="E2178" s="773" t="s">
        <v>410</v>
      </c>
      <c r="S2178" s="27">
        <v>44620</v>
      </c>
      <c r="T2178" s="773" t="s">
        <v>132</v>
      </c>
      <c r="U2178" s="773">
        <v>241</v>
      </c>
      <c r="V2178" s="773">
        <v>32</v>
      </c>
      <c r="W2178" s="773" t="s">
        <v>410</v>
      </c>
    </row>
    <row r="2179" spans="1:23">
      <c r="A2179" s="27">
        <v>45199</v>
      </c>
      <c r="B2179" s="773" t="s">
        <v>140</v>
      </c>
      <c r="C2179" s="773">
        <v>626</v>
      </c>
      <c r="D2179" s="773">
        <v>3251</v>
      </c>
      <c r="E2179" s="773" t="s">
        <v>390</v>
      </c>
      <c r="S2179" s="27">
        <v>44255</v>
      </c>
      <c r="T2179" s="773" t="s">
        <v>132</v>
      </c>
      <c r="U2179" s="773">
        <v>653</v>
      </c>
      <c r="V2179" s="773">
        <v>83</v>
      </c>
      <c r="W2179" s="773" t="s">
        <v>410</v>
      </c>
    </row>
    <row r="2180" spans="1:23">
      <c r="A2180" s="27">
        <v>45199</v>
      </c>
      <c r="B2180" s="773" t="s">
        <v>140</v>
      </c>
      <c r="C2180" s="773">
        <v>628</v>
      </c>
      <c r="D2180" s="773">
        <v>740</v>
      </c>
      <c r="E2180" s="773" t="s">
        <v>390</v>
      </c>
      <c r="S2180" s="27">
        <v>44620</v>
      </c>
      <c r="T2180" s="773" t="s">
        <v>132</v>
      </c>
      <c r="U2180" s="773">
        <v>674</v>
      </c>
      <c r="V2180" s="773">
        <v>3746</v>
      </c>
      <c r="W2180" s="773" t="s">
        <v>390</v>
      </c>
    </row>
    <row r="2181" spans="1:23">
      <c r="A2181" s="27">
        <v>45199</v>
      </c>
      <c r="B2181" s="773" t="s">
        <v>140</v>
      </c>
      <c r="C2181" s="773">
        <v>585</v>
      </c>
      <c r="D2181" s="773">
        <v>5014</v>
      </c>
      <c r="E2181" s="773" t="s">
        <v>390</v>
      </c>
      <c r="S2181" s="27">
        <v>44620</v>
      </c>
      <c r="T2181" s="773" t="s">
        <v>132</v>
      </c>
      <c r="U2181" s="773">
        <v>243</v>
      </c>
      <c r="V2181" s="773">
        <v>623</v>
      </c>
      <c r="W2181" s="773" t="s">
        <v>390</v>
      </c>
    </row>
    <row r="2182" spans="1:23">
      <c r="A2182" s="27">
        <v>45199</v>
      </c>
      <c r="B2182" s="773" t="s">
        <v>140</v>
      </c>
      <c r="C2182" s="773">
        <v>449</v>
      </c>
      <c r="D2182" s="773">
        <v>1795</v>
      </c>
      <c r="E2182" s="773" t="s">
        <v>390</v>
      </c>
      <c r="S2182" s="27">
        <v>44255</v>
      </c>
      <c r="T2182" s="773" t="s">
        <v>132</v>
      </c>
      <c r="U2182" s="773">
        <v>309</v>
      </c>
      <c r="V2182" s="773">
        <v>12</v>
      </c>
      <c r="W2182" s="773" t="s">
        <v>410</v>
      </c>
    </row>
    <row r="2183" spans="1:23">
      <c r="A2183" s="27">
        <v>45199</v>
      </c>
      <c r="B2183" s="773" t="s">
        <v>140</v>
      </c>
      <c r="C2183" s="773">
        <v>727</v>
      </c>
      <c r="D2183" s="773">
        <v>1995</v>
      </c>
      <c r="E2183" s="773" t="s">
        <v>390</v>
      </c>
      <c r="S2183" s="27">
        <v>44255</v>
      </c>
      <c r="T2183" s="773" t="s">
        <v>132</v>
      </c>
      <c r="U2183" s="773">
        <v>83</v>
      </c>
      <c r="V2183" s="773">
        <v>2201</v>
      </c>
      <c r="W2183" s="773" t="s">
        <v>390</v>
      </c>
    </row>
    <row r="2184" spans="1:23">
      <c r="A2184" s="27">
        <v>45199</v>
      </c>
      <c r="B2184" s="773" t="s">
        <v>140</v>
      </c>
      <c r="C2184" s="773">
        <v>594</v>
      </c>
      <c r="D2184" s="773">
        <v>2767</v>
      </c>
      <c r="E2184" s="773" t="s">
        <v>390</v>
      </c>
      <c r="S2184" s="27">
        <v>44255</v>
      </c>
      <c r="T2184" s="773" t="s">
        <v>132</v>
      </c>
      <c r="U2184" s="773">
        <v>304</v>
      </c>
      <c r="V2184" s="773">
        <v>88</v>
      </c>
      <c r="W2184" s="773" t="s">
        <v>410</v>
      </c>
    </row>
    <row r="2185" spans="1:23">
      <c r="A2185" s="27">
        <v>45199</v>
      </c>
      <c r="B2185" s="773" t="s">
        <v>140</v>
      </c>
      <c r="C2185" s="773">
        <v>346</v>
      </c>
      <c r="D2185" s="773">
        <v>3</v>
      </c>
      <c r="E2185" s="773" t="s">
        <v>410</v>
      </c>
      <c r="S2185" s="27">
        <v>44255</v>
      </c>
      <c r="T2185" s="773" t="s">
        <v>132</v>
      </c>
      <c r="U2185" s="773">
        <v>218</v>
      </c>
      <c r="V2185" s="773">
        <v>1018</v>
      </c>
      <c r="W2185" s="773" t="s">
        <v>390</v>
      </c>
    </row>
    <row r="2186" spans="1:23">
      <c r="A2186" s="27">
        <v>45199</v>
      </c>
      <c r="B2186" s="773" t="s">
        <v>140</v>
      </c>
      <c r="C2186" s="773">
        <v>610</v>
      </c>
      <c r="D2186" s="773">
        <v>4</v>
      </c>
      <c r="E2186" s="773" t="s">
        <v>410</v>
      </c>
      <c r="S2186" s="27">
        <v>44620</v>
      </c>
      <c r="T2186" s="773" t="s">
        <v>132</v>
      </c>
      <c r="U2186" s="773">
        <v>139</v>
      </c>
      <c r="V2186" s="773">
        <v>3060</v>
      </c>
      <c r="W2186" s="773" t="s">
        <v>390</v>
      </c>
    </row>
    <row r="2187" spans="1:23">
      <c r="A2187" s="27">
        <v>45199</v>
      </c>
      <c r="B2187" s="773" t="s">
        <v>140</v>
      </c>
      <c r="C2187" s="773">
        <v>279</v>
      </c>
      <c r="D2187" s="773">
        <v>1</v>
      </c>
      <c r="E2187" s="773" t="s">
        <v>410</v>
      </c>
      <c r="S2187" s="27">
        <v>44620</v>
      </c>
      <c r="T2187" s="773" t="s">
        <v>132</v>
      </c>
      <c r="U2187" s="773">
        <v>670</v>
      </c>
      <c r="V2187" s="773">
        <v>3778</v>
      </c>
      <c r="W2187" s="773" t="s">
        <v>390</v>
      </c>
    </row>
    <row r="2188" spans="1:23">
      <c r="A2188" s="27">
        <v>45199</v>
      </c>
      <c r="B2188" s="773" t="s">
        <v>140</v>
      </c>
      <c r="C2188" s="773">
        <v>597</v>
      </c>
      <c r="D2188" s="773">
        <v>1432</v>
      </c>
      <c r="E2188" s="773" t="s">
        <v>390</v>
      </c>
      <c r="S2188" s="27">
        <v>44620</v>
      </c>
      <c r="T2188" s="773" t="s">
        <v>132</v>
      </c>
      <c r="U2188" s="773">
        <v>89</v>
      </c>
      <c r="V2188" s="773">
        <v>1123</v>
      </c>
      <c r="W2188" s="773" t="s">
        <v>390</v>
      </c>
    </row>
    <row r="2189" spans="1:23">
      <c r="A2189" s="27">
        <v>45199</v>
      </c>
      <c r="B2189" s="773" t="s">
        <v>140</v>
      </c>
      <c r="C2189" s="773">
        <v>659</v>
      </c>
      <c r="D2189" s="773">
        <v>1012</v>
      </c>
      <c r="E2189" s="773" t="s">
        <v>390</v>
      </c>
      <c r="S2189" s="27">
        <v>44620</v>
      </c>
      <c r="T2189" s="773" t="s">
        <v>132</v>
      </c>
      <c r="U2189" s="773">
        <v>293</v>
      </c>
      <c r="V2189" s="773">
        <v>487</v>
      </c>
      <c r="W2189" s="773" t="s">
        <v>390</v>
      </c>
    </row>
    <row r="2190" spans="1:23">
      <c r="A2190" s="27">
        <v>45199</v>
      </c>
      <c r="B2190" s="773" t="s">
        <v>140</v>
      </c>
      <c r="C2190" s="773">
        <v>510</v>
      </c>
      <c r="D2190" s="773">
        <v>1124</v>
      </c>
      <c r="E2190" s="773" t="s">
        <v>390</v>
      </c>
      <c r="S2190" s="27">
        <v>44620</v>
      </c>
      <c r="T2190" s="773" t="s">
        <v>132</v>
      </c>
      <c r="U2190" s="773">
        <v>48</v>
      </c>
      <c r="V2190" s="773">
        <v>740</v>
      </c>
      <c r="W2190" s="773" t="s">
        <v>390</v>
      </c>
    </row>
    <row r="2191" spans="1:23">
      <c r="A2191" s="27">
        <v>45199</v>
      </c>
      <c r="B2191" s="773" t="s">
        <v>140</v>
      </c>
      <c r="C2191" s="773">
        <v>740</v>
      </c>
      <c r="D2191" s="773">
        <v>354</v>
      </c>
      <c r="E2191" s="773" t="s">
        <v>390</v>
      </c>
      <c r="S2191" s="27">
        <v>44620</v>
      </c>
      <c r="T2191" s="773" t="s">
        <v>132</v>
      </c>
      <c r="U2191" s="773">
        <v>684</v>
      </c>
      <c r="V2191" s="773">
        <v>2665</v>
      </c>
      <c r="W2191" s="773" t="s">
        <v>390</v>
      </c>
    </row>
    <row r="2192" spans="1:23">
      <c r="A2192" s="27">
        <v>45199</v>
      </c>
      <c r="B2192" s="773" t="s">
        <v>140</v>
      </c>
      <c r="C2192" s="773">
        <v>574</v>
      </c>
      <c r="D2192" s="773">
        <v>2535</v>
      </c>
      <c r="E2192" s="773" t="s">
        <v>390</v>
      </c>
      <c r="S2192" s="27">
        <v>44255</v>
      </c>
      <c r="T2192" s="773" t="s">
        <v>132</v>
      </c>
      <c r="U2192" s="773">
        <v>132</v>
      </c>
      <c r="V2192" s="773">
        <v>2675</v>
      </c>
      <c r="W2192" s="773" t="s">
        <v>390</v>
      </c>
    </row>
    <row r="2193" spans="1:23">
      <c r="A2193" s="27">
        <v>45199</v>
      </c>
      <c r="B2193" s="773" t="s">
        <v>140</v>
      </c>
      <c r="C2193" s="773">
        <v>469</v>
      </c>
      <c r="D2193" s="773">
        <v>8</v>
      </c>
      <c r="E2193" s="773" t="s">
        <v>410</v>
      </c>
      <c r="S2193" s="27">
        <v>44255</v>
      </c>
      <c r="T2193" s="773" t="s">
        <v>132</v>
      </c>
      <c r="U2193" s="773">
        <v>89</v>
      </c>
      <c r="V2193" s="773">
        <v>1198</v>
      </c>
      <c r="W2193" s="773" t="s">
        <v>390</v>
      </c>
    </row>
    <row r="2194" spans="1:23">
      <c r="A2194" s="27">
        <v>45199</v>
      </c>
      <c r="B2194" s="773" t="s">
        <v>140</v>
      </c>
      <c r="C2194" s="773">
        <v>774</v>
      </c>
      <c r="D2194" s="773">
        <v>2344</v>
      </c>
      <c r="E2194" s="773" t="s">
        <v>390</v>
      </c>
      <c r="S2194" s="27">
        <v>44255</v>
      </c>
      <c r="T2194" s="773" t="s">
        <v>132</v>
      </c>
      <c r="U2194" s="773">
        <v>87</v>
      </c>
      <c r="V2194" s="773">
        <v>11</v>
      </c>
      <c r="W2194" s="773" t="s">
        <v>410</v>
      </c>
    </row>
    <row r="2195" spans="1:23">
      <c r="A2195" s="27">
        <v>45199</v>
      </c>
      <c r="B2195" s="773" t="s">
        <v>140</v>
      </c>
      <c r="C2195" s="773">
        <v>746</v>
      </c>
      <c r="D2195" s="773">
        <v>2187</v>
      </c>
      <c r="E2195" s="773" t="s">
        <v>390</v>
      </c>
      <c r="S2195" s="27">
        <v>44255</v>
      </c>
      <c r="T2195" s="773" t="s">
        <v>132</v>
      </c>
      <c r="U2195" s="773">
        <v>238</v>
      </c>
      <c r="V2195" s="773">
        <v>4</v>
      </c>
      <c r="W2195" s="773" t="s">
        <v>410</v>
      </c>
    </row>
    <row r="2196" spans="1:23">
      <c r="A2196" s="27">
        <v>45199</v>
      </c>
      <c r="B2196" s="773" t="s">
        <v>140</v>
      </c>
      <c r="C2196" s="773">
        <v>379</v>
      </c>
      <c r="D2196" s="773">
        <v>1</v>
      </c>
      <c r="E2196" s="773" t="s">
        <v>410</v>
      </c>
      <c r="S2196" s="27">
        <v>44620</v>
      </c>
      <c r="T2196" s="773" t="s">
        <v>132</v>
      </c>
      <c r="U2196" s="773">
        <v>140</v>
      </c>
      <c r="V2196" s="773">
        <v>297</v>
      </c>
      <c r="W2196" s="773" t="s">
        <v>390</v>
      </c>
    </row>
    <row r="2197" spans="1:23">
      <c r="A2197" s="27">
        <v>45199</v>
      </c>
      <c r="B2197" s="773" t="s">
        <v>140</v>
      </c>
      <c r="C2197" s="773">
        <v>556</v>
      </c>
      <c r="D2197" s="773">
        <v>2575</v>
      </c>
      <c r="E2197" s="773" t="s">
        <v>390</v>
      </c>
      <c r="S2197" s="27">
        <v>44255</v>
      </c>
      <c r="T2197" s="773" t="s">
        <v>132</v>
      </c>
      <c r="U2197" s="773">
        <v>523</v>
      </c>
      <c r="V2197" s="773">
        <v>10</v>
      </c>
      <c r="W2197" s="773" t="s">
        <v>410</v>
      </c>
    </row>
    <row r="2198" spans="1:23">
      <c r="A2198" s="27">
        <v>45199</v>
      </c>
      <c r="B2198" s="773" t="s">
        <v>140</v>
      </c>
      <c r="C2198" s="773">
        <v>722</v>
      </c>
      <c r="D2198" s="773">
        <v>60</v>
      </c>
      <c r="E2198" s="773" t="s">
        <v>410</v>
      </c>
      <c r="S2198" s="27">
        <v>44620</v>
      </c>
      <c r="T2198" s="773" t="s">
        <v>132</v>
      </c>
      <c r="U2198" s="773">
        <v>680</v>
      </c>
      <c r="V2198" s="773">
        <v>3085</v>
      </c>
      <c r="W2198" s="773" t="s">
        <v>390</v>
      </c>
    </row>
    <row r="2199" spans="1:23">
      <c r="A2199" s="27">
        <v>45199</v>
      </c>
      <c r="B2199" s="773" t="s">
        <v>140</v>
      </c>
      <c r="C2199" s="773">
        <v>576</v>
      </c>
      <c r="D2199" s="773">
        <v>243</v>
      </c>
      <c r="E2199" s="773" t="s">
        <v>390</v>
      </c>
      <c r="S2199" s="27">
        <v>44255</v>
      </c>
      <c r="T2199" s="773" t="s">
        <v>132</v>
      </c>
      <c r="U2199" s="773">
        <v>120</v>
      </c>
      <c r="V2199" s="773">
        <v>3</v>
      </c>
      <c r="W2199" s="773" t="s">
        <v>410</v>
      </c>
    </row>
    <row r="2200" spans="1:23">
      <c r="A2200" s="27">
        <v>45199</v>
      </c>
      <c r="B2200" s="773" t="s">
        <v>140</v>
      </c>
      <c r="C2200" s="773">
        <v>758</v>
      </c>
      <c r="D2200" s="773">
        <v>1</v>
      </c>
      <c r="E2200" s="773" t="s">
        <v>410</v>
      </c>
      <c r="S2200" s="27">
        <v>44620</v>
      </c>
      <c r="T2200" s="773" t="s">
        <v>132</v>
      </c>
      <c r="U2200" s="773">
        <v>145</v>
      </c>
      <c r="V2200" s="773">
        <v>2</v>
      </c>
      <c r="W2200" s="773" t="s">
        <v>410</v>
      </c>
    </row>
    <row r="2201" spans="1:23">
      <c r="A2201" s="27">
        <v>45199</v>
      </c>
      <c r="B2201" s="773" t="s">
        <v>140</v>
      </c>
      <c r="C2201" s="773">
        <v>581</v>
      </c>
      <c r="D2201" s="773">
        <v>304</v>
      </c>
      <c r="E2201" s="773" t="s">
        <v>390</v>
      </c>
      <c r="S2201" s="27">
        <v>44255</v>
      </c>
      <c r="T2201" s="773" t="s">
        <v>132</v>
      </c>
      <c r="U2201" s="773">
        <v>68</v>
      </c>
      <c r="V2201" s="773">
        <v>265</v>
      </c>
      <c r="W2201" s="773" t="s">
        <v>390</v>
      </c>
    </row>
    <row r="2202" spans="1:23">
      <c r="A2202" s="27">
        <v>45199</v>
      </c>
      <c r="B2202" s="773" t="s">
        <v>140</v>
      </c>
      <c r="C2202" s="773">
        <v>586</v>
      </c>
      <c r="D2202" s="773">
        <v>2351</v>
      </c>
      <c r="E2202" s="773" t="s">
        <v>390</v>
      </c>
      <c r="S2202" s="27">
        <v>44620</v>
      </c>
      <c r="T2202" s="773" t="s">
        <v>132</v>
      </c>
      <c r="U2202" s="773">
        <v>194</v>
      </c>
      <c r="V2202" s="773">
        <v>3363</v>
      </c>
      <c r="W2202" s="773" t="s">
        <v>390</v>
      </c>
    </row>
    <row r="2203" spans="1:23">
      <c r="A2203" s="27">
        <v>45230</v>
      </c>
      <c r="B2203" s="773" t="s">
        <v>140</v>
      </c>
      <c r="C2203" s="773">
        <v>383</v>
      </c>
      <c r="D2203" s="773">
        <v>3</v>
      </c>
      <c r="E2203" s="773" t="s">
        <v>410</v>
      </c>
      <c r="S2203" s="27">
        <v>44620</v>
      </c>
      <c r="T2203" s="773" t="s">
        <v>132</v>
      </c>
      <c r="U2203" s="773">
        <v>686</v>
      </c>
      <c r="V2203" s="773">
        <v>2524</v>
      </c>
      <c r="W2203" s="773" t="s">
        <v>390</v>
      </c>
    </row>
    <row r="2204" spans="1:23">
      <c r="A2204" s="27">
        <v>45230</v>
      </c>
      <c r="B2204" s="773" t="s">
        <v>140</v>
      </c>
      <c r="C2204" s="773">
        <v>640</v>
      </c>
      <c r="D2204" s="773">
        <v>3009</v>
      </c>
      <c r="E2204" s="773" t="s">
        <v>390</v>
      </c>
      <c r="S2204" s="27">
        <v>44255</v>
      </c>
      <c r="T2204" s="773" t="s">
        <v>132</v>
      </c>
      <c r="U2204" s="773">
        <v>305</v>
      </c>
      <c r="V2204" s="773">
        <v>3890</v>
      </c>
      <c r="W2204" s="773" t="s">
        <v>390</v>
      </c>
    </row>
    <row r="2205" spans="1:23">
      <c r="A2205" s="27">
        <v>45230</v>
      </c>
      <c r="B2205" s="773" t="s">
        <v>140</v>
      </c>
      <c r="C2205" s="773">
        <v>626</v>
      </c>
      <c r="D2205" s="773">
        <v>3265</v>
      </c>
      <c r="E2205" s="773" t="s">
        <v>390</v>
      </c>
      <c r="S2205" s="27">
        <v>44620</v>
      </c>
      <c r="T2205" s="773" t="s">
        <v>132</v>
      </c>
      <c r="U2205" s="773">
        <v>70</v>
      </c>
      <c r="V2205" s="773">
        <v>240</v>
      </c>
      <c r="W2205" s="773" t="s">
        <v>390</v>
      </c>
    </row>
    <row r="2206" spans="1:23">
      <c r="A2206" s="27">
        <v>45230</v>
      </c>
      <c r="B2206" s="773" t="s">
        <v>140</v>
      </c>
      <c r="C2206" s="773">
        <v>524</v>
      </c>
      <c r="D2206" s="773">
        <v>1919</v>
      </c>
      <c r="E2206" s="773" t="s">
        <v>390</v>
      </c>
      <c r="S2206" s="27">
        <v>44620</v>
      </c>
      <c r="T2206" s="773" t="s">
        <v>132</v>
      </c>
      <c r="U2206" s="773">
        <v>667</v>
      </c>
      <c r="V2206" s="773">
        <v>2</v>
      </c>
      <c r="W2206" s="773" t="s">
        <v>410</v>
      </c>
    </row>
    <row r="2207" spans="1:23">
      <c r="A2207" s="27">
        <v>45230</v>
      </c>
      <c r="B2207" s="773" t="s">
        <v>140</v>
      </c>
      <c r="C2207" s="773">
        <v>581</v>
      </c>
      <c r="D2207" s="773">
        <v>2661</v>
      </c>
      <c r="E2207" s="773" t="s">
        <v>390</v>
      </c>
      <c r="S2207" s="27">
        <v>44255</v>
      </c>
      <c r="T2207" s="773" t="s">
        <v>132</v>
      </c>
      <c r="U2207" s="773">
        <v>674</v>
      </c>
      <c r="V2207" s="773">
        <v>13</v>
      </c>
      <c r="W2207" s="773" t="s">
        <v>410</v>
      </c>
    </row>
    <row r="2208" spans="1:23">
      <c r="A2208" s="27">
        <v>45230</v>
      </c>
      <c r="B2208" s="773" t="s">
        <v>140</v>
      </c>
      <c r="C2208" s="773">
        <v>610</v>
      </c>
      <c r="D2208" s="773">
        <v>3</v>
      </c>
      <c r="E2208" s="773" t="s">
        <v>410</v>
      </c>
      <c r="S2208" s="27">
        <v>44255</v>
      </c>
      <c r="T2208" s="773" t="s">
        <v>132</v>
      </c>
      <c r="U2208" s="773">
        <v>696</v>
      </c>
      <c r="V2208" s="773">
        <v>2251</v>
      </c>
      <c r="W2208" s="773" t="s">
        <v>390</v>
      </c>
    </row>
    <row r="2209" spans="1:23">
      <c r="A2209" s="27">
        <v>45230</v>
      </c>
      <c r="B2209" s="773" t="s">
        <v>140</v>
      </c>
      <c r="C2209" s="773">
        <v>727</v>
      </c>
      <c r="D2209" s="773">
        <v>1993</v>
      </c>
      <c r="E2209" s="773" t="s">
        <v>390</v>
      </c>
      <c r="S2209" s="27">
        <v>44255</v>
      </c>
      <c r="T2209" s="773" t="s">
        <v>132</v>
      </c>
      <c r="U2209" s="773">
        <v>243</v>
      </c>
      <c r="V2209" s="773">
        <v>635</v>
      </c>
      <c r="W2209" s="773" t="s">
        <v>390</v>
      </c>
    </row>
    <row r="2210" spans="1:23">
      <c r="A2210" s="27">
        <v>45230</v>
      </c>
      <c r="B2210" s="773" t="s">
        <v>140</v>
      </c>
      <c r="C2210" s="773">
        <v>630</v>
      </c>
      <c r="D2210" s="773">
        <v>1</v>
      </c>
      <c r="E2210" s="773" t="s">
        <v>410</v>
      </c>
      <c r="S2210" s="27">
        <v>44255</v>
      </c>
      <c r="T2210" s="773" t="s">
        <v>132</v>
      </c>
      <c r="U2210" s="773">
        <v>252</v>
      </c>
      <c r="V2210" s="773">
        <v>1268</v>
      </c>
      <c r="W2210" s="773" t="s">
        <v>390</v>
      </c>
    </row>
    <row r="2211" spans="1:23">
      <c r="A2211" s="27">
        <v>45230</v>
      </c>
      <c r="B2211" s="773" t="s">
        <v>140</v>
      </c>
      <c r="C2211" s="773">
        <v>585</v>
      </c>
      <c r="D2211" s="773">
        <v>2712</v>
      </c>
      <c r="E2211" s="773" t="s">
        <v>390</v>
      </c>
      <c r="S2211" s="27">
        <v>44255</v>
      </c>
      <c r="T2211" s="773" t="s">
        <v>132</v>
      </c>
      <c r="U2211" s="773">
        <v>999</v>
      </c>
      <c r="V2211" s="773">
        <v>1</v>
      </c>
      <c r="W2211" s="773" t="s">
        <v>410</v>
      </c>
    </row>
    <row r="2212" spans="1:23">
      <c r="A2212" s="27">
        <v>45230</v>
      </c>
      <c r="B2212" s="773" t="s">
        <v>140</v>
      </c>
      <c r="C2212" s="773">
        <v>279</v>
      </c>
      <c r="D2212" s="773">
        <v>1</v>
      </c>
      <c r="E2212" s="773" t="s">
        <v>410</v>
      </c>
      <c r="S2212" s="27">
        <v>44255</v>
      </c>
      <c r="T2212" s="773" t="s">
        <v>132</v>
      </c>
      <c r="U2212" s="773">
        <v>48</v>
      </c>
      <c r="V2212" s="773">
        <v>718</v>
      </c>
      <c r="W2212" s="773" t="s">
        <v>390</v>
      </c>
    </row>
    <row r="2213" spans="1:23">
      <c r="A2213" s="27">
        <v>45230</v>
      </c>
      <c r="B2213" s="773" t="s">
        <v>140</v>
      </c>
      <c r="C2213" s="773">
        <v>740</v>
      </c>
      <c r="D2213" s="773">
        <v>351</v>
      </c>
      <c r="E2213" s="773" t="s">
        <v>390</v>
      </c>
      <c r="S2213" s="27">
        <v>44620</v>
      </c>
      <c r="T2213" s="773" t="s">
        <v>132</v>
      </c>
      <c r="U2213" s="773">
        <v>304</v>
      </c>
      <c r="V2213" s="773">
        <v>111</v>
      </c>
      <c r="W2213" s="773" t="s">
        <v>390</v>
      </c>
    </row>
    <row r="2214" spans="1:23">
      <c r="A2214" s="27">
        <v>45230</v>
      </c>
      <c r="B2214" s="773" t="s">
        <v>140</v>
      </c>
      <c r="C2214" s="773">
        <v>527</v>
      </c>
      <c r="D2214" s="773">
        <v>3</v>
      </c>
      <c r="E2214" s="773" t="s">
        <v>410</v>
      </c>
      <c r="S2214" s="27">
        <v>44255</v>
      </c>
      <c r="T2214" s="773" t="s">
        <v>132</v>
      </c>
      <c r="U2214" s="773">
        <v>53</v>
      </c>
      <c r="V2214" s="773">
        <v>1</v>
      </c>
      <c r="W2214" s="773" t="s">
        <v>410</v>
      </c>
    </row>
    <row r="2215" spans="1:23">
      <c r="A2215" s="27">
        <v>45230</v>
      </c>
      <c r="B2215" s="773" t="s">
        <v>140</v>
      </c>
      <c r="C2215" s="773">
        <v>556</v>
      </c>
      <c r="D2215" s="773">
        <v>2588</v>
      </c>
      <c r="E2215" s="773" t="s">
        <v>390</v>
      </c>
      <c r="S2215" s="27">
        <v>44255</v>
      </c>
      <c r="T2215" s="773" t="s">
        <v>132</v>
      </c>
      <c r="U2215" s="773">
        <v>84</v>
      </c>
      <c r="V2215" s="773">
        <v>2298</v>
      </c>
      <c r="W2215" s="773" t="s">
        <v>390</v>
      </c>
    </row>
    <row r="2216" spans="1:23">
      <c r="A2216" s="27">
        <v>45230</v>
      </c>
      <c r="B2216" s="773" t="s">
        <v>140</v>
      </c>
      <c r="C2216" s="773">
        <v>650</v>
      </c>
      <c r="D2216" s="773">
        <v>2484</v>
      </c>
      <c r="E2216" s="773" t="s">
        <v>390</v>
      </c>
      <c r="S2216" s="27">
        <v>44255</v>
      </c>
      <c r="T2216" s="773" t="s">
        <v>132</v>
      </c>
      <c r="U2216" s="773">
        <v>257</v>
      </c>
      <c r="V2216" s="773">
        <v>2519</v>
      </c>
      <c r="W2216" s="773" t="s">
        <v>390</v>
      </c>
    </row>
    <row r="2217" spans="1:23">
      <c r="A2217" s="27">
        <v>45230</v>
      </c>
      <c r="B2217" s="773" t="s">
        <v>140</v>
      </c>
      <c r="C2217" s="773">
        <v>597</v>
      </c>
      <c r="D2217" s="773">
        <v>1464</v>
      </c>
      <c r="E2217" s="773" t="s">
        <v>390</v>
      </c>
      <c r="S2217" s="27">
        <v>44620</v>
      </c>
      <c r="T2217" s="773" t="s">
        <v>132</v>
      </c>
      <c r="U2217" s="773">
        <v>162</v>
      </c>
      <c r="V2217" s="773">
        <v>2409</v>
      </c>
      <c r="W2217" s="773" t="s">
        <v>390</v>
      </c>
    </row>
    <row r="2218" spans="1:23">
      <c r="A2218" s="27">
        <v>45230</v>
      </c>
      <c r="B2218" s="773" t="s">
        <v>140</v>
      </c>
      <c r="C2218" s="773">
        <v>616</v>
      </c>
      <c r="D2218" s="773">
        <v>1</v>
      </c>
      <c r="E2218" s="773" t="s">
        <v>410</v>
      </c>
      <c r="S2218" s="27">
        <v>44620</v>
      </c>
      <c r="T2218" s="773" t="s">
        <v>132</v>
      </c>
      <c r="U2218" s="773">
        <v>305</v>
      </c>
      <c r="V2218" s="773">
        <v>3663</v>
      </c>
      <c r="W2218" s="773" t="s">
        <v>390</v>
      </c>
    </row>
    <row r="2219" spans="1:23">
      <c r="A2219" s="27">
        <v>45230</v>
      </c>
      <c r="B2219" s="773" t="s">
        <v>140</v>
      </c>
      <c r="C2219" s="773">
        <v>453</v>
      </c>
      <c r="D2219" s="773">
        <v>2507</v>
      </c>
      <c r="E2219" s="773" t="s">
        <v>390</v>
      </c>
      <c r="S2219" s="27">
        <v>44620</v>
      </c>
      <c r="T2219" s="773" t="s">
        <v>132</v>
      </c>
      <c r="U2219" s="773">
        <v>132</v>
      </c>
      <c r="V2219" s="773">
        <v>2930</v>
      </c>
      <c r="W2219" s="773" t="s">
        <v>390</v>
      </c>
    </row>
    <row r="2220" spans="1:23">
      <c r="A2220" s="27">
        <v>45230</v>
      </c>
      <c r="B2220" s="773" t="s">
        <v>140</v>
      </c>
      <c r="C2220" s="773">
        <v>370</v>
      </c>
      <c r="D2220" s="773">
        <v>2</v>
      </c>
      <c r="E2220" s="773" t="s">
        <v>410</v>
      </c>
      <c r="S2220" s="27">
        <v>44255</v>
      </c>
      <c r="T2220" s="773" t="s">
        <v>132</v>
      </c>
      <c r="U2220" s="773">
        <v>681</v>
      </c>
      <c r="V2220" s="773">
        <v>824</v>
      </c>
      <c r="W2220" s="773" t="s">
        <v>390</v>
      </c>
    </row>
    <row r="2221" spans="1:23">
      <c r="A2221" s="27">
        <v>45230</v>
      </c>
      <c r="B2221" s="773" t="s">
        <v>140</v>
      </c>
      <c r="C2221" s="773">
        <v>587</v>
      </c>
      <c r="D2221" s="773">
        <v>1</v>
      </c>
      <c r="E2221" s="773" t="s">
        <v>410</v>
      </c>
      <c r="S2221" s="27">
        <v>44620</v>
      </c>
      <c r="T2221" s="773" t="s">
        <v>132</v>
      </c>
      <c r="U2221" s="773">
        <v>92</v>
      </c>
      <c r="V2221" s="773">
        <v>2506</v>
      </c>
      <c r="W2221" s="773" t="s">
        <v>390</v>
      </c>
    </row>
    <row r="2222" spans="1:23">
      <c r="A2222" s="27">
        <v>45230</v>
      </c>
      <c r="B2222" s="773" t="s">
        <v>140</v>
      </c>
      <c r="C2222" s="773">
        <v>485</v>
      </c>
      <c r="D2222" s="773">
        <v>1405</v>
      </c>
      <c r="E2222" s="773" t="s">
        <v>390</v>
      </c>
      <c r="S2222" s="27">
        <v>44620</v>
      </c>
      <c r="T2222" s="773" t="s">
        <v>132</v>
      </c>
      <c r="U2222" s="773">
        <v>111</v>
      </c>
      <c r="V2222" s="773">
        <v>2</v>
      </c>
      <c r="W2222" s="773" t="s">
        <v>410</v>
      </c>
    </row>
    <row r="2223" spans="1:23">
      <c r="A2223" s="27">
        <v>45230</v>
      </c>
      <c r="B2223" s="773" t="s">
        <v>140</v>
      </c>
      <c r="C2223" s="773">
        <v>558</v>
      </c>
      <c r="D2223" s="773">
        <v>1305</v>
      </c>
      <c r="E2223" s="773" t="s">
        <v>390</v>
      </c>
      <c r="S2223" s="27">
        <v>44255</v>
      </c>
      <c r="T2223" s="773" t="s">
        <v>132</v>
      </c>
      <c r="U2223" s="773">
        <v>670</v>
      </c>
      <c r="V2223" s="773">
        <v>3296</v>
      </c>
      <c r="W2223" s="773" t="s">
        <v>390</v>
      </c>
    </row>
    <row r="2224" spans="1:23">
      <c r="A2224" s="27">
        <v>45230</v>
      </c>
      <c r="B2224" s="773" t="s">
        <v>140</v>
      </c>
      <c r="C2224" s="773">
        <v>338</v>
      </c>
      <c r="D2224" s="773">
        <v>2480</v>
      </c>
      <c r="E2224" s="773" t="s">
        <v>390</v>
      </c>
      <c r="S2224" s="27">
        <v>44620</v>
      </c>
      <c r="T2224" s="773" t="s">
        <v>132</v>
      </c>
      <c r="U2224" s="773">
        <v>239</v>
      </c>
      <c r="V2224" s="773">
        <v>9</v>
      </c>
      <c r="W2224" s="773" t="s">
        <v>410</v>
      </c>
    </row>
    <row r="2225" spans="1:23">
      <c r="A2225" s="27">
        <v>45230</v>
      </c>
      <c r="B2225" s="773" t="s">
        <v>140</v>
      </c>
      <c r="C2225" s="773">
        <v>732</v>
      </c>
      <c r="D2225" s="773">
        <v>4</v>
      </c>
      <c r="E2225" s="773" t="s">
        <v>410</v>
      </c>
      <c r="S2225" s="27">
        <v>44620</v>
      </c>
      <c r="T2225" s="773" t="s">
        <v>132</v>
      </c>
      <c r="U2225" s="773">
        <v>264</v>
      </c>
      <c r="V2225" s="773">
        <v>771</v>
      </c>
      <c r="W2225" s="773" t="s">
        <v>390</v>
      </c>
    </row>
    <row r="2226" spans="1:23">
      <c r="A2226" s="27">
        <v>45230</v>
      </c>
      <c r="B2226" s="773" t="s">
        <v>140</v>
      </c>
      <c r="C2226" s="773">
        <v>758</v>
      </c>
      <c r="D2226" s="773">
        <v>1</v>
      </c>
      <c r="E2226" s="773" t="s">
        <v>410</v>
      </c>
      <c r="S2226" s="27">
        <v>44255</v>
      </c>
      <c r="T2226" s="773" t="s">
        <v>132</v>
      </c>
      <c r="U2226" s="773">
        <v>69</v>
      </c>
      <c r="V2226" s="773">
        <v>1</v>
      </c>
      <c r="W2226" s="773" t="s">
        <v>410</v>
      </c>
    </row>
    <row r="2227" spans="1:23">
      <c r="A2227" s="27">
        <v>45230</v>
      </c>
      <c r="B2227" s="773" t="s">
        <v>140</v>
      </c>
      <c r="C2227" s="773">
        <v>574</v>
      </c>
      <c r="D2227" s="773">
        <v>2540</v>
      </c>
      <c r="E2227" s="773" t="s">
        <v>390</v>
      </c>
      <c r="S2227" s="27">
        <v>44255</v>
      </c>
      <c r="T2227" s="773" t="s">
        <v>132</v>
      </c>
      <c r="U2227" s="773">
        <v>688</v>
      </c>
      <c r="V2227" s="773">
        <v>2351</v>
      </c>
      <c r="W2227" s="773" t="s">
        <v>390</v>
      </c>
    </row>
    <row r="2228" spans="1:23">
      <c r="A2228" s="27">
        <v>45230</v>
      </c>
      <c r="B2228" s="773" t="s">
        <v>140</v>
      </c>
      <c r="C2228" s="773">
        <v>530</v>
      </c>
      <c r="D2228" s="773">
        <v>1</v>
      </c>
      <c r="E2228" s="773" t="s">
        <v>410</v>
      </c>
      <c r="S2228" s="27">
        <v>44620</v>
      </c>
      <c r="T2228" s="773" t="s">
        <v>132</v>
      </c>
      <c r="U2228" s="773">
        <v>706</v>
      </c>
      <c r="V2228" s="773">
        <v>797</v>
      </c>
      <c r="W2228" s="773" t="s">
        <v>390</v>
      </c>
    </row>
    <row r="2229" spans="1:23">
      <c r="A2229" s="27">
        <v>45230</v>
      </c>
      <c r="B2229" s="773" t="s">
        <v>140</v>
      </c>
      <c r="C2229" s="773">
        <v>555</v>
      </c>
      <c r="D2229" s="773">
        <v>1673</v>
      </c>
      <c r="E2229" s="773" t="s">
        <v>390</v>
      </c>
      <c r="S2229" s="27">
        <v>44620</v>
      </c>
      <c r="T2229" s="773" t="s">
        <v>132</v>
      </c>
      <c r="U2229" s="773">
        <v>212</v>
      </c>
      <c r="V2229" s="773">
        <v>3275</v>
      </c>
      <c r="W2229" s="773" t="s">
        <v>390</v>
      </c>
    </row>
    <row r="2230" spans="1:23">
      <c r="A2230" s="27">
        <v>45230</v>
      </c>
      <c r="B2230" s="773" t="s">
        <v>140</v>
      </c>
      <c r="C2230" s="773">
        <v>346</v>
      </c>
      <c r="D2230" s="773">
        <v>3</v>
      </c>
      <c r="E2230" s="773" t="s">
        <v>410</v>
      </c>
      <c r="S2230" s="27">
        <v>44620</v>
      </c>
      <c r="T2230" s="773" t="s">
        <v>132</v>
      </c>
      <c r="U2230" s="773">
        <v>266</v>
      </c>
      <c r="V2230" s="773">
        <v>2209</v>
      </c>
      <c r="W2230" s="773" t="s">
        <v>390</v>
      </c>
    </row>
    <row r="2231" spans="1:23">
      <c r="A2231" s="27">
        <v>45230</v>
      </c>
      <c r="B2231" s="773" t="s">
        <v>140</v>
      </c>
      <c r="C2231" s="773">
        <v>0</v>
      </c>
      <c r="D2231" s="773">
        <v>7</v>
      </c>
      <c r="E2231" s="773" t="s">
        <v>410</v>
      </c>
      <c r="S2231" s="27">
        <v>44255</v>
      </c>
      <c r="T2231" s="773" t="s">
        <v>132</v>
      </c>
      <c r="U2231" s="773">
        <v>250</v>
      </c>
      <c r="V2231" s="773">
        <v>1</v>
      </c>
      <c r="W2231" s="773" t="s">
        <v>410</v>
      </c>
    </row>
    <row r="2232" spans="1:23">
      <c r="A2232" s="27">
        <v>45230</v>
      </c>
      <c r="B2232" s="773" t="s">
        <v>140</v>
      </c>
      <c r="C2232" s="773">
        <v>548</v>
      </c>
      <c r="D2232" s="773">
        <v>1024</v>
      </c>
      <c r="E2232" s="773" t="s">
        <v>390</v>
      </c>
      <c r="S2232" s="27">
        <v>44620</v>
      </c>
      <c r="T2232" s="773" t="s">
        <v>132</v>
      </c>
      <c r="U2232" s="773">
        <v>523</v>
      </c>
      <c r="V2232" s="773">
        <v>10</v>
      </c>
      <c r="W2232" s="773" t="s">
        <v>410</v>
      </c>
    </row>
    <row r="2233" spans="1:23">
      <c r="A2233" s="27">
        <v>45230</v>
      </c>
      <c r="B2233" s="773" t="s">
        <v>140</v>
      </c>
      <c r="C2233" s="773">
        <v>510</v>
      </c>
      <c r="D2233" s="773">
        <v>1114</v>
      </c>
      <c r="E2233" s="773" t="s">
        <v>390</v>
      </c>
      <c r="S2233" s="27">
        <v>44255</v>
      </c>
      <c r="T2233" s="773" t="s">
        <v>132</v>
      </c>
      <c r="U2233" s="773">
        <v>311</v>
      </c>
      <c r="V2233" s="773">
        <v>2263</v>
      </c>
      <c r="W2233" s="773" t="s">
        <v>390</v>
      </c>
    </row>
    <row r="2234" spans="1:23">
      <c r="A2234" s="27">
        <v>45230</v>
      </c>
      <c r="B2234" s="773" t="s">
        <v>140</v>
      </c>
      <c r="C2234" s="773">
        <v>628</v>
      </c>
      <c r="D2234" s="773">
        <v>720</v>
      </c>
      <c r="E2234" s="773" t="s">
        <v>390</v>
      </c>
      <c r="S2234" s="27">
        <v>44620</v>
      </c>
      <c r="T2234" s="773" t="s">
        <v>132</v>
      </c>
      <c r="U2234" s="773">
        <v>256</v>
      </c>
      <c r="V2234" s="773">
        <v>694</v>
      </c>
      <c r="W2234" s="773" t="s">
        <v>390</v>
      </c>
    </row>
    <row r="2235" spans="1:23">
      <c r="A2235" s="27">
        <v>45230</v>
      </c>
      <c r="B2235" s="773" t="s">
        <v>140</v>
      </c>
      <c r="C2235" s="773">
        <v>722</v>
      </c>
      <c r="D2235" s="773">
        <v>60</v>
      </c>
      <c r="E2235" s="773" t="s">
        <v>410</v>
      </c>
      <c r="S2235" s="27">
        <v>44255</v>
      </c>
      <c r="T2235" s="773" t="s">
        <v>132</v>
      </c>
      <c r="U2235" s="773">
        <v>220</v>
      </c>
      <c r="V2235" s="773">
        <v>11</v>
      </c>
      <c r="W2235" s="773" t="s">
        <v>410</v>
      </c>
    </row>
    <row r="2236" spans="1:23">
      <c r="A2236" s="27">
        <v>45230</v>
      </c>
      <c r="B2236" s="773" t="s">
        <v>140</v>
      </c>
      <c r="C2236" s="773">
        <v>594</v>
      </c>
      <c r="D2236" s="773">
        <v>2773</v>
      </c>
      <c r="E2236" s="773" t="s">
        <v>390</v>
      </c>
      <c r="S2236" s="27">
        <v>44255</v>
      </c>
      <c r="T2236" s="773" t="s">
        <v>132</v>
      </c>
      <c r="U2236" s="773">
        <v>312</v>
      </c>
      <c r="V2236" s="773">
        <v>2227</v>
      </c>
      <c r="W2236" s="773" t="s">
        <v>390</v>
      </c>
    </row>
    <row r="2237" spans="1:23">
      <c r="A2237" s="27">
        <v>45230</v>
      </c>
      <c r="B2237" s="773" t="s">
        <v>140</v>
      </c>
      <c r="C2237" s="773">
        <v>576</v>
      </c>
      <c r="D2237" s="773">
        <v>243</v>
      </c>
      <c r="E2237" s="773" t="s">
        <v>390</v>
      </c>
      <c r="S2237" s="27">
        <v>44620</v>
      </c>
      <c r="T2237" s="773" t="s">
        <v>132</v>
      </c>
      <c r="U2237" s="773">
        <v>60</v>
      </c>
      <c r="V2237" s="773">
        <v>1</v>
      </c>
      <c r="W2237" s="773" t="s">
        <v>410</v>
      </c>
    </row>
    <row r="2238" spans="1:23">
      <c r="A2238" s="27">
        <v>45230</v>
      </c>
      <c r="B2238" s="773" t="s">
        <v>140</v>
      </c>
      <c r="C2238" s="773">
        <v>586</v>
      </c>
      <c r="D2238" s="773">
        <v>2367</v>
      </c>
      <c r="E2238" s="773" t="s">
        <v>390</v>
      </c>
      <c r="S2238" s="27">
        <v>44620</v>
      </c>
      <c r="T2238" s="773" t="s">
        <v>132</v>
      </c>
      <c r="U2238" s="773">
        <v>40</v>
      </c>
      <c r="V2238" s="773">
        <v>2</v>
      </c>
      <c r="W2238" s="773" t="s">
        <v>410</v>
      </c>
    </row>
    <row r="2239" spans="1:23">
      <c r="A2239" s="27">
        <v>45230</v>
      </c>
      <c r="B2239" s="773" t="s">
        <v>140</v>
      </c>
      <c r="C2239" s="773">
        <v>639</v>
      </c>
      <c r="D2239" s="773">
        <v>156</v>
      </c>
      <c r="E2239" s="773" t="s">
        <v>390</v>
      </c>
      <c r="S2239" s="27">
        <v>44255</v>
      </c>
      <c r="T2239" s="773" t="s">
        <v>132</v>
      </c>
      <c r="U2239" s="773">
        <v>171</v>
      </c>
      <c r="V2239" s="773">
        <v>127</v>
      </c>
      <c r="W2239" s="773" t="s">
        <v>390</v>
      </c>
    </row>
    <row r="2240" spans="1:23">
      <c r="A2240" s="27">
        <v>45230</v>
      </c>
      <c r="B2240" s="773" t="s">
        <v>140</v>
      </c>
      <c r="C2240" s="773">
        <v>742</v>
      </c>
      <c r="D2240" s="773">
        <v>1</v>
      </c>
      <c r="E2240" s="773" t="s">
        <v>410</v>
      </c>
      <c r="S2240" s="27">
        <v>44255</v>
      </c>
      <c r="T2240" s="773" t="s">
        <v>132</v>
      </c>
      <c r="U2240" s="773">
        <v>275</v>
      </c>
      <c r="V2240" s="773">
        <v>1316</v>
      </c>
      <c r="W2240" s="773" t="s">
        <v>390</v>
      </c>
    </row>
    <row r="2241" spans="1:23">
      <c r="A2241" s="27">
        <v>45230</v>
      </c>
      <c r="B2241" s="773" t="s">
        <v>140</v>
      </c>
      <c r="C2241" s="773">
        <v>379</v>
      </c>
      <c r="D2241" s="773">
        <v>1</v>
      </c>
      <c r="E2241" s="773" t="s">
        <v>410</v>
      </c>
      <c r="S2241" s="27">
        <v>44255</v>
      </c>
      <c r="T2241" s="773" t="s">
        <v>132</v>
      </c>
      <c r="U2241" s="773">
        <v>660</v>
      </c>
      <c r="V2241" s="773">
        <v>3</v>
      </c>
      <c r="W2241" s="773" t="s">
        <v>410</v>
      </c>
    </row>
    <row r="2242" spans="1:23">
      <c r="A2242" s="27">
        <v>45230</v>
      </c>
      <c r="B2242" s="773" t="s">
        <v>140</v>
      </c>
      <c r="C2242" s="773">
        <v>746</v>
      </c>
      <c r="D2242" s="773">
        <v>2205</v>
      </c>
      <c r="E2242" s="773" t="s">
        <v>390</v>
      </c>
      <c r="S2242" s="27">
        <v>44620</v>
      </c>
      <c r="T2242" s="773" t="s">
        <v>132</v>
      </c>
      <c r="U2242" s="773">
        <v>626</v>
      </c>
      <c r="V2242" s="773">
        <v>5</v>
      </c>
      <c r="W2242" s="773" t="s">
        <v>410</v>
      </c>
    </row>
    <row r="2243" spans="1:23">
      <c r="A2243" s="27">
        <v>45230</v>
      </c>
      <c r="B2243" s="773" t="s">
        <v>140</v>
      </c>
      <c r="C2243" s="773">
        <v>708</v>
      </c>
      <c r="D2243" s="773">
        <v>3057</v>
      </c>
      <c r="E2243" s="773" t="s">
        <v>390</v>
      </c>
      <c r="S2243" s="27">
        <v>44255</v>
      </c>
      <c r="T2243" s="773" t="s">
        <v>132</v>
      </c>
      <c r="U2243" s="773">
        <v>295</v>
      </c>
      <c r="V2243" s="773">
        <v>4</v>
      </c>
      <c r="W2243" s="773" t="s">
        <v>410</v>
      </c>
    </row>
    <row r="2244" spans="1:23">
      <c r="A2244" s="27">
        <v>45230</v>
      </c>
      <c r="B2244" s="773" t="s">
        <v>140</v>
      </c>
      <c r="C2244" s="773">
        <v>248</v>
      </c>
      <c r="D2244" s="773">
        <v>23</v>
      </c>
      <c r="E2244" s="773" t="s">
        <v>410</v>
      </c>
      <c r="S2244" s="27">
        <v>44255</v>
      </c>
      <c r="T2244" s="773" t="s">
        <v>132</v>
      </c>
      <c r="U2244" s="773">
        <v>145</v>
      </c>
      <c r="V2244" s="773">
        <v>1</v>
      </c>
      <c r="W2244" s="773" t="s">
        <v>410</v>
      </c>
    </row>
    <row r="2245" spans="1:23">
      <c r="A2245" s="27">
        <v>45230</v>
      </c>
      <c r="B2245" s="773" t="s">
        <v>140</v>
      </c>
      <c r="C2245" s="773">
        <v>387</v>
      </c>
      <c r="D2245" s="773">
        <v>8</v>
      </c>
      <c r="E2245" s="773" t="s">
        <v>410</v>
      </c>
      <c r="S2245" s="27">
        <v>44620</v>
      </c>
      <c r="T2245" s="773" t="s">
        <v>132</v>
      </c>
      <c r="U2245" s="773">
        <v>91</v>
      </c>
      <c r="V2245" s="773">
        <v>2</v>
      </c>
      <c r="W2245" s="773" t="s">
        <v>410</v>
      </c>
    </row>
    <row r="2246" spans="1:23">
      <c r="A2246" s="27">
        <v>45230</v>
      </c>
      <c r="B2246" s="773" t="s">
        <v>140</v>
      </c>
      <c r="C2246" s="773">
        <v>493</v>
      </c>
      <c r="D2246" s="773">
        <v>5</v>
      </c>
      <c r="E2246" s="773" t="s">
        <v>410</v>
      </c>
      <c r="S2246" s="27">
        <v>44620</v>
      </c>
      <c r="T2246" s="773" t="s">
        <v>132</v>
      </c>
      <c r="U2246" s="773">
        <v>87</v>
      </c>
      <c r="V2246" s="773">
        <v>3</v>
      </c>
      <c r="W2246" s="773" t="s">
        <v>410</v>
      </c>
    </row>
    <row r="2247" spans="1:23">
      <c r="A2247" s="27">
        <v>45230</v>
      </c>
      <c r="B2247" s="773" t="s">
        <v>140</v>
      </c>
      <c r="C2247" s="773">
        <v>659</v>
      </c>
      <c r="D2247" s="773">
        <v>1041</v>
      </c>
      <c r="E2247" s="773" t="s">
        <v>390</v>
      </c>
      <c r="S2247" s="27">
        <v>44255</v>
      </c>
      <c r="T2247" s="773" t="s">
        <v>132</v>
      </c>
      <c r="U2247" s="773">
        <v>665</v>
      </c>
      <c r="V2247" s="773">
        <v>2529</v>
      </c>
      <c r="W2247" s="773" t="s">
        <v>390</v>
      </c>
    </row>
    <row r="2248" spans="1:23">
      <c r="A2248" s="27">
        <v>45230</v>
      </c>
      <c r="B2248" s="773" t="s">
        <v>140</v>
      </c>
      <c r="C2248" s="773">
        <v>648</v>
      </c>
      <c r="D2248" s="773">
        <v>1602</v>
      </c>
      <c r="E2248" s="773" t="s">
        <v>390</v>
      </c>
      <c r="S2248" s="27">
        <v>44255</v>
      </c>
      <c r="T2248" s="773" t="s">
        <v>132</v>
      </c>
      <c r="U2248" s="773">
        <v>35</v>
      </c>
      <c r="V2248" s="773">
        <v>887</v>
      </c>
      <c r="W2248" s="773" t="s">
        <v>390</v>
      </c>
    </row>
    <row r="2249" spans="1:23">
      <c r="A2249" s="27">
        <v>45230</v>
      </c>
      <c r="B2249" s="773" t="s">
        <v>140</v>
      </c>
      <c r="C2249" s="773">
        <v>478</v>
      </c>
      <c r="D2249" s="773">
        <v>1</v>
      </c>
      <c r="E2249" s="773" t="s">
        <v>410</v>
      </c>
      <c r="S2249" s="27">
        <v>44620</v>
      </c>
      <c r="T2249" s="773" t="s">
        <v>132</v>
      </c>
      <c r="U2249" s="773">
        <v>78</v>
      </c>
      <c r="V2249" s="773">
        <v>1</v>
      </c>
      <c r="W2249" s="773" t="s">
        <v>410</v>
      </c>
    </row>
    <row r="2250" spans="1:23">
      <c r="A2250" s="27">
        <v>45230</v>
      </c>
      <c r="B2250" s="773" t="s">
        <v>140</v>
      </c>
      <c r="C2250" s="773">
        <v>774</v>
      </c>
      <c r="D2250" s="773">
        <v>2357</v>
      </c>
      <c r="E2250" s="773" t="s">
        <v>390</v>
      </c>
      <c r="S2250" s="27">
        <v>44620</v>
      </c>
      <c r="T2250" s="773" t="s">
        <v>132</v>
      </c>
      <c r="U2250" s="773">
        <v>267</v>
      </c>
      <c r="V2250" s="773">
        <v>1</v>
      </c>
      <c r="W2250" s="773" t="s">
        <v>410</v>
      </c>
    </row>
    <row r="2251" spans="1:23">
      <c r="A2251" s="27">
        <v>45230</v>
      </c>
      <c r="B2251" s="773" t="s">
        <v>140</v>
      </c>
      <c r="C2251" s="773">
        <v>359</v>
      </c>
      <c r="D2251" s="773">
        <v>926</v>
      </c>
      <c r="E2251" s="773" t="s">
        <v>390</v>
      </c>
      <c r="S2251" s="27">
        <v>44255</v>
      </c>
      <c r="T2251" s="773" t="s">
        <v>132</v>
      </c>
      <c r="U2251" s="773">
        <v>162</v>
      </c>
      <c r="V2251" s="773">
        <v>2413</v>
      </c>
      <c r="W2251" s="773" t="s">
        <v>390</v>
      </c>
    </row>
    <row r="2252" spans="1:23">
      <c r="A2252" s="27">
        <v>45230</v>
      </c>
      <c r="B2252" s="773" t="s">
        <v>140</v>
      </c>
      <c r="C2252" s="773">
        <v>449</v>
      </c>
      <c r="D2252" s="773">
        <v>1789</v>
      </c>
      <c r="E2252" s="773" t="s">
        <v>390</v>
      </c>
      <c r="S2252" s="27">
        <v>44255</v>
      </c>
      <c r="T2252" s="773" t="s">
        <v>132</v>
      </c>
      <c r="U2252" s="773">
        <v>699</v>
      </c>
      <c r="V2252" s="773">
        <v>2144</v>
      </c>
      <c r="W2252" s="773" t="s">
        <v>390</v>
      </c>
    </row>
    <row r="2253" spans="1:23">
      <c r="A2253" s="27">
        <v>45230</v>
      </c>
      <c r="B2253" s="773" t="s">
        <v>140</v>
      </c>
      <c r="C2253" s="773">
        <v>601</v>
      </c>
      <c r="D2253" s="773">
        <v>3</v>
      </c>
      <c r="E2253" s="773" t="s">
        <v>410</v>
      </c>
      <c r="S2253" s="27">
        <v>44620</v>
      </c>
      <c r="T2253" s="773" t="s">
        <v>132</v>
      </c>
      <c r="U2253" s="773">
        <v>250</v>
      </c>
      <c r="V2253" s="773">
        <v>1</v>
      </c>
      <c r="W2253" s="773" t="s">
        <v>410</v>
      </c>
    </row>
    <row r="2254" spans="1:23">
      <c r="A2254" s="27">
        <v>45230</v>
      </c>
      <c r="B2254" s="773" t="s">
        <v>140</v>
      </c>
      <c r="C2254" s="773">
        <v>469</v>
      </c>
      <c r="D2254" s="773">
        <v>8</v>
      </c>
      <c r="E2254" s="773" t="s">
        <v>410</v>
      </c>
      <c r="S2254" s="27">
        <v>44620</v>
      </c>
      <c r="T2254" s="773" t="s">
        <v>132</v>
      </c>
      <c r="U2254" s="773">
        <v>654</v>
      </c>
      <c r="V2254" s="773">
        <v>1565</v>
      </c>
      <c r="W2254" s="773" t="s">
        <v>390</v>
      </c>
    </row>
    <row r="2255" spans="1:23">
      <c r="A2255" s="27">
        <v>45230</v>
      </c>
      <c r="B2255" s="773" t="s">
        <v>140</v>
      </c>
      <c r="C2255" s="773">
        <v>691</v>
      </c>
      <c r="D2255" s="773">
        <v>210</v>
      </c>
      <c r="E2255" s="773" t="s">
        <v>390</v>
      </c>
      <c r="S2255" s="27">
        <v>44255</v>
      </c>
      <c r="T2255" s="773" t="s">
        <v>132</v>
      </c>
      <c r="U2255" s="773">
        <v>645</v>
      </c>
      <c r="V2255" s="773">
        <v>2355</v>
      </c>
      <c r="W2255" s="773" t="s">
        <v>390</v>
      </c>
    </row>
    <row r="2256" spans="1:23">
      <c r="A2256" s="27">
        <v>45260</v>
      </c>
      <c r="B2256" s="773" t="s">
        <v>140</v>
      </c>
      <c r="C2256" s="773">
        <v>774</v>
      </c>
      <c r="D2256" s="773">
        <v>2370</v>
      </c>
      <c r="E2256" s="773" t="s">
        <v>390</v>
      </c>
      <c r="S2256" s="27">
        <v>44620</v>
      </c>
      <c r="T2256" s="773" t="s">
        <v>132</v>
      </c>
      <c r="U2256" s="773">
        <v>247</v>
      </c>
      <c r="V2256" s="773">
        <v>2270</v>
      </c>
      <c r="W2256" s="773" t="s">
        <v>390</v>
      </c>
    </row>
    <row r="2257" spans="1:23">
      <c r="A2257" s="27">
        <v>45260</v>
      </c>
      <c r="B2257" s="773" t="s">
        <v>140</v>
      </c>
      <c r="C2257" s="773">
        <v>346</v>
      </c>
      <c r="D2257" s="773">
        <v>3</v>
      </c>
      <c r="E2257" s="773" t="s">
        <v>410</v>
      </c>
      <c r="S2257" s="27">
        <v>44620</v>
      </c>
      <c r="T2257" s="773" t="s">
        <v>132</v>
      </c>
      <c r="U2257" s="773">
        <v>44</v>
      </c>
      <c r="V2257" s="773">
        <v>2778</v>
      </c>
      <c r="W2257" s="773" t="s">
        <v>390</v>
      </c>
    </row>
    <row r="2258" spans="1:23">
      <c r="A2258" s="27">
        <v>45260</v>
      </c>
      <c r="B2258" s="773" t="s">
        <v>140</v>
      </c>
      <c r="C2258" s="773">
        <v>648</v>
      </c>
      <c r="D2258" s="773">
        <v>1619</v>
      </c>
      <c r="E2258" s="773" t="s">
        <v>390</v>
      </c>
      <c r="S2258" s="27">
        <v>44255</v>
      </c>
      <c r="T2258" s="773" t="s">
        <v>132</v>
      </c>
      <c r="U2258" s="773">
        <v>195</v>
      </c>
      <c r="V2258" s="773">
        <v>1</v>
      </c>
      <c r="W2258" s="773" t="s">
        <v>410</v>
      </c>
    </row>
    <row r="2259" spans="1:23">
      <c r="A2259" s="27">
        <v>45260</v>
      </c>
      <c r="B2259" s="773" t="s">
        <v>140</v>
      </c>
      <c r="C2259" s="773">
        <v>727</v>
      </c>
      <c r="D2259" s="773">
        <v>1990</v>
      </c>
      <c r="E2259" s="773" t="s">
        <v>390</v>
      </c>
      <c r="S2259" s="27">
        <v>44620</v>
      </c>
      <c r="T2259" s="773" t="s">
        <v>132</v>
      </c>
      <c r="U2259" s="773">
        <v>296</v>
      </c>
      <c r="V2259" s="773">
        <v>2355</v>
      </c>
      <c r="W2259" s="773" t="s">
        <v>390</v>
      </c>
    </row>
    <row r="2260" spans="1:23">
      <c r="A2260" s="27">
        <v>45260</v>
      </c>
      <c r="B2260" s="773" t="s">
        <v>140</v>
      </c>
      <c r="C2260" s="773">
        <v>527</v>
      </c>
      <c r="D2260" s="773">
        <v>3</v>
      </c>
      <c r="E2260" s="773" t="s">
        <v>410</v>
      </c>
      <c r="S2260" s="27">
        <v>44255</v>
      </c>
      <c r="T2260" s="773" t="s">
        <v>132</v>
      </c>
      <c r="U2260" s="773">
        <v>528</v>
      </c>
      <c r="V2260" s="773">
        <v>308</v>
      </c>
      <c r="W2260" s="773" t="s">
        <v>390</v>
      </c>
    </row>
    <row r="2261" spans="1:23">
      <c r="A2261" s="27">
        <v>45260</v>
      </c>
      <c r="B2261" s="773" t="s">
        <v>140</v>
      </c>
      <c r="C2261" s="773">
        <v>387</v>
      </c>
      <c r="D2261" s="773">
        <v>8</v>
      </c>
      <c r="E2261" s="773" t="s">
        <v>410</v>
      </c>
      <c r="S2261" s="27">
        <v>44620</v>
      </c>
      <c r="T2261" s="773" t="s">
        <v>132</v>
      </c>
      <c r="U2261" s="773">
        <v>159</v>
      </c>
      <c r="V2261" s="773">
        <v>21</v>
      </c>
      <c r="W2261" s="773" t="s">
        <v>410</v>
      </c>
    </row>
    <row r="2262" spans="1:23">
      <c r="A2262" s="27">
        <v>45260</v>
      </c>
      <c r="B2262" s="773" t="s">
        <v>140</v>
      </c>
      <c r="C2262" s="773">
        <v>691</v>
      </c>
      <c r="D2262" s="773">
        <v>211</v>
      </c>
      <c r="E2262" s="773" t="s">
        <v>390</v>
      </c>
      <c r="S2262" s="27">
        <v>44620</v>
      </c>
      <c r="T2262" s="773" t="s">
        <v>132</v>
      </c>
      <c r="U2262" s="773">
        <v>53</v>
      </c>
      <c r="V2262" s="773">
        <v>2</v>
      </c>
      <c r="W2262" s="773" t="s">
        <v>410</v>
      </c>
    </row>
    <row r="2263" spans="1:23">
      <c r="A2263" s="27">
        <v>45260</v>
      </c>
      <c r="B2263" s="773" t="s">
        <v>140</v>
      </c>
      <c r="C2263" s="773">
        <v>630</v>
      </c>
      <c r="D2263" s="773">
        <v>1</v>
      </c>
      <c r="E2263" s="773" t="s">
        <v>410</v>
      </c>
      <c r="S2263" s="27">
        <v>44255</v>
      </c>
      <c r="T2263" s="773" t="s">
        <v>132</v>
      </c>
      <c r="U2263" s="773">
        <v>61</v>
      </c>
      <c r="V2263" s="773">
        <v>1</v>
      </c>
      <c r="W2263" s="773" t="s">
        <v>410</v>
      </c>
    </row>
    <row r="2264" spans="1:23">
      <c r="A2264" s="27">
        <v>45260</v>
      </c>
      <c r="B2264" s="773" t="s">
        <v>140</v>
      </c>
      <c r="C2264" s="773">
        <v>338</v>
      </c>
      <c r="D2264" s="773">
        <v>2476</v>
      </c>
      <c r="E2264" s="773" t="s">
        <v>390</v>
      </c>
      <c r="S2264" s="27">
        <v>44620</v>
      </c>
      <c r="T2264" s="773" t="s">
        <v>132</v>
      </c>
      <c r="U2264" s="773">
        <v>321</v>
      </c>
      <c r="V2264" s="773">
        <v>1756</v>
      </c>
      <c r="W2264" s="773" t="s">
        <v>390</v>
      </c>
    </row>
    <row r="2265" spans="1:23">
      <c r="A2265" s="27">
        <v>45260</v>
      </c>
      <c r="B2265" s="773" t="s">
        <v>140</v>
      </c>
      <c r="C2265" s="773">
        <v>722</v>
      </c>
      <c r="D2265" s="773">
        <v>62</v>
      </c>
      <c r="E2265" s="773" t="s">
        <v>410</v>
      </c>
      <c r="S2265" s="27">
        <v>44620</v>
      </c>
      <c r="T2265" s="773" t="s">
        <v>132</v>
      </c>
      <c r="U2265" s="773">
        <v>232</v>
      </c>
      <c r="V2265" s="773">
        <v>108</v>
      </c>
      <c r="W2265" s="773" t="s">
        <v>390</v>
      </c>
    </row>
    <row r="2266" spans="1:23">
      <c r="A2266" s="27">
        <v>45260</v>
      </c>
      <c r="B2266" s="773" t="s">
        <v>140</v>
      </c>
      <c r="C2266" s="773">
        <v>510</v>
      </c>
      <c r="D2266" s="773">
        <v>1128</v>
      </c>
      <c r="E2266" s="773" t="s">
        <v>390</v>
      </c>
      <c r="S2266" s="27">
        <v>44620</v>
      </c>
      <c r="T2266" s="773" t="s">
        <v>132</v>
      </c>
      <c r="U2266" s="773">
        <v>191</v>
      </c>
      <c r="V2266" s="773">
        <v>1312</v>
      </c>
      <c r="W2266" s="773" t="s">
        <v>390</v>
      </c>
    </row>
    <row r="2267" spans="1:23">
      <c r="A2267" s="27">
        <v>45260</v>
      </c>
      <c r="B2267" s="773" t="s">
        <v>140</v>
      </c>
      <c r="C2267" s="773">
        <v>556</v>
      </c>
      <c r="D2267" s="773">
        <v>2587</v>
      </c>
      <c r="E2267" s="773" t="s">
        <v>390</v>
      </c>
      <c r="S2267" s="27">
        <v>44620</v>
      </c>
      <c r="T2267" s="773" t="s">
        <v>132</v>
      </c>
      <c r="U2267" s="773">
        <v>703</v>
      </c>
      <c r="V2267" s="773">
        <v>2410</v>
      </c>
      <c r="W2267" s="773" t="s">
        <v>390</v>
      </c>
    </row>
    <row r="2268" spans="1:23">
      <c r="A2268" s="27">
        <v>45260</v>
      </c>
      <c r="B2268" s="773" t="s">
        <v>140</v>
      </c>
      <c r="C2268" s="773">
        <v>742</v>
      </c>
      <c r="D2268" s="773">
        <v>1</v>
      </c>
      <c r="E2268" s="773" t="s">
        <v>410</v>
      </c>
      <c r="S2268" s="27">
        <v>44620</v>
      </c>
      <c r="T2268" s="773" t="s">
        <v>132</v>
      </c>
      <c r="U2268" s="773">
        <v>622</v>
      </c>
      <c r="V2268" s="773">
        <v>1</v>
      </c>
      <c r="W2268" s="773" t="s">
        <v>410</v>
      </c>
    </row>
    <row r="2269" spans="1:23">
      <c r="A2269" s="27">
        <v>45260</v>
      </c>
      <c r="B2269" s="773" t="s">
        <v>140</v>
      </c>
      <c r="C2269" s="773">
        <v>640</v>
      </c>
      <c r="D2269" s="773">
        <v>3006</v>
      </c>
      <c r="E2269" s="773" t="s">
        <v>390</v>
      </c>
      <c r="S2269" s="27">
        <v>44255</v>
      </c>
      <c r="T2269" s="773" t="s">
        <v>132</v>
      </c>
      <c r="U2269" s="773">
        <v>194</v>
      </c>
      <c r="V2269" s="773">
        <v>3115</v>
      </c>
      <c r="W2269" s="773" t="s">
        <v>390</v>
      </c>
    </row>
    <row r="2270" spans="1:23">
      <c r="A2270" s="27">
        <v>45260</v>
      </c>
      <c r="B2270" s="773" t="s">
        <v>140</v>
      </c>
      <c r="C2270" s="773">
        <v>740</v>
      </c>
      <c r="D2270" s="773">
        <v>348</v>
      </c>
      <c r="E2270" s="773" t="s">
        <v>390</v>
      </c>
      <c r="S2270" s="27">
        <v>44620</v>
      </c>
      <c r="T2270" s="773" t="s">
        <v>132</v>
      </c>
      <c r="U2270" s="773">
        <v>84</v>
      </c>
      <c r="V2270" s="773">
        <v>2607</v>
      </c>
      <c r="W2270" s="773" t="s">
        <v>390</v>
      </c>
    </row>
    <row r="2271" spans="1:23">
      <c r="A2271" s="27">
        <v>45260</v>
      </c>
      <c r="B2271" s="773" t="s">
        <v>140</v>
      </c>
      <c r="C2271" s="773">
        <v>493</v>
      </c>
      <c r="D2271" s="773">
        <v>5</v>
      </c>
      <c r="E2271" s="773" t="s">
        <v>410</v>
      </c>
      <c r="S2271" s="27">
        <v>44255</v>
      </c>
      <c r="T2271" s="773" t="s">
        <v>132</v>
      </c>
      <c r="U2271" s="773">
        <v>43</v>
      </c>
      <c r="V2271" s="773">
        <v>3027</v>
      </c>
      <c r="W2271" s="773" t="s">
        <v>390</v>
      </c>
    </row>
    <row r="2272" spans="1:23">
      <c r="A2272" s="27">
        <v>45260</v>
      </c>
      <c r="B2272" s="773" t="s">
        <v>140</v>
      </c>
      <c r="C2272" s="773">
        <v>650</v>
      </c>
      <c r="D2272" s="773">
        <v>2492</v>
      </c>
      <c r="E2272" s="773" t="s">
        <v>390</v>
      </c>
      <c r="S2272" s="27">
        <v>44620</v>
      </c>
      <c r="T2272" s="773" t="s">
        <v>132</v>
      </c>
      <c r="U2272" s="773">
        <v>195</v>
      </c>
      <c r="V2272" s="773">
        <v>1</v>
      </c>
      <c r="W2272" s="773" t="s">
        <v>410</v>
      </c>
    </row>
    <row r="2273" spans="1:23">
      <c r="A2273" s="27">
        <v>45260</v>
      </c>
      <c r="B2273" s="773" t="s">
        <v>140</v>
      </c>
      <c r="C2273" s="773">
        <v>708</v>
      </c>
      <c r="D2273" s="773">
        <v>3064</v>
      </c>
      <c r="E2273" s="773" t="s">
        <v>390</v>
      </c>
      <c r="S2273" s="27">
        <v>44255</v>
      </c>
      <c r="T2273" s="773" t="s">
        <v>132</v>
      </c>
      <c r="U2273" s="773">
        <v>297</v>
      </c>
      <c r="V2273" s="773">
        <v>7</v>
      </c>
      <c r="W2273" s="773" t="s">
        <v>410</v>
      </c>
    </row>
    <row r="2274" spans="1:23">
      <c r="A2274" s="27">
        <v>45260</v>
      </c>
      <c r="B2274" s="773" t="s">
        <v>140</v>
      </c>
      <c r="C2274" s="773">
        <v>469</v>
      </c>
      <c r="D2274" s="773">
        <v>8</v>
      </c>
      <c r="E2274" s="773" t="s">
        <v>410</v>
      </c>
      <c r="S2274" s="27">
        <v>44255</v>
      </c>
      <c r="T2274" s="773" t="s">
        <v>132</v>
      </c>
      <c r="U2274" s="773">
        <v>188</v>
      </c>
      <c r="V2274" s="773">
        <v>481</v>
      </c>
      <c r="W2274" s="773" t="s">
        <v>390</v>
      </c>
    </row>
    <row r="2275" spans="1:23">
      <c r="A2275" s="27">
        <v>45260</v>
      </c>
      <c r="B2275" s="773" t="s">
        <v>140</v>
      </c>
      <c r="C2275" s="773">
        <v>639</v>
      </c>
      <c r="D2275" s="773">
        <v>148</v>
      </c>
      <c r="E2275" s="773" t="s">
        <v>390</v>
      </c>
      <c r="S2275" s="27">
        <v>44255</v>
      </c>
      <c r="T2275" s="773" t="s">
        <v>132</v>
      </c>
      <c r="U2275" s="773">
        <v>70</v>
      </c>
      <c r="V2275" s="773">
        <v>225</v>
      </c>
      <c r="W2275" s="773" t="s">
        <v>390</v>
      </c>
    </row>
    <row r="2276" spans="1:23">
      <c r="A2276" s="27">
        <v>45260</v>
      </c>
      <c r="B2276" s="773" t="s">
        <v>140</v>
      </c>
      <c r="C2276" s="773">
        <v>524</v>
      </c>
      <c r="D2276" s="773">
        <v>1916</v>
      </c>
      <c r="E2276" s="773" t="s">
        <v>390</v>
      </c>
      <c r="S2276" s="27">
        <v>44620</v>
      </c>
      <c r="T2276" s="773" t="s">
        <v>132</v>
      </c>
      <c r="U2276" s="773">
        <v>76</v>
      </c>
      <c r="V2276" s="773">
        <v>2998</v>
      </c>
      <c r="W2276" s="773" t="s">
        <v>390</v>
      </c>
    </row>
    <row r="2277" spans="1:23">
      <c r="A2277" s="27">
        <v>45260</v>
      </c>
      <c r="B2277" s="773" t="s">
        <v>140</v>
      </c>
      <c r="C2277" s="773">
        <v>558</v>
      </c>
      <c r="D2277" s="773">
        <v>1298</v>
      </c>
      <c r="E2277" s="773" t="s">
        <v>390</v>
      </c>
      <c r="S2277" s="27">
        <v>44620</v>
      </c>
      <c r="T2277" s="773" t="s">
        <v>132</v>
      </c>
      <c r="U2277" s="773">
        <v>294</v>
      </c>
      <c r="V2277" s="773">
        <v>66</v>
      </c>
      <c r="W2277" s="773" t="s">
        <v>410</v>
      </c>
    </row>
    <row r="2278" spans="1:23">
      <c r="A2278" s="27">
        <v>45260</v>
      </c>
      <c r="B2278" s="773" t="s">
        <v>140</v>
      </c>
      <c r="C2278" s="773">
        <v>610</v>
      </c>
      <c r="D2278" s="773">
        <v>3</v>
      </c>
      <c r="E2278" s="773" t="s">
        <v>410</v>
      </c>
      <c r="S2278" s="27">
        <v>44620</v>
      </c>
      <c r="T2278" s="773" t="s">
        <v>132</v>
      </c>
      <c r="U2278" s="773">
        <v>367</v>
      </c>
      <c r="V2278" s="773">
        <v>12</v>
      </c>
      <c r="W2278" s="773" t="s">
        <v>410</v>
      </c>
    </row>
    <row r="2279" spans="1:23">
      <c r="A2279" s="27">
        <v>45260</v>
      </c>
      <c r="B2279" s="773" t="s">
        <v>140</v>
      </c>
      <c r="C2279" s="773">
        <v>597</v>
      </c>
      <c r="D2279" s="773">
        <v>1473</v>
      </c>
      <c r="E2279" s="773" t="s">
        <v>390</v>
      </c>
      <c r="S2279" s="27">
        <v>44620</v>
      </c>
      <c r="T2279" s="773" t="s">
        <v>132</v>
      </c>
      <c r="U2279" s="773">
        <v>297</v>
      </c>
      <c r="V2279" s="773">
        <v>176</v>
      </c>
      <c r="W2279" s="773" t="s">
        <v>390</v>
      </c>
    </row>
    <row r="2280" spans="1:23">
      <c r="A2280" s="27">
        <v>45260</v>
      </c>
      <c r="B2280" s="773" t="s">
        <v>140</v>
      </c>
      <c r="C2280" s="773">
        <v>746</v>
      </c>
      <c r="D2280" s="773">
        <v>2221</v>
      </c>
      <c r="E2280" s="773" t="s">
        <v>390</v>
      </c>
      <c r="S2280" s="27">
        <v>44620</v>
      </c>
      <c r="T2280" s="773" t="s">
        <v>132</v>
      </c>
      <c r="U2280" s="773">
        <v>645</v>
      </c>
      <c r="V2280" s="773">
        <v>2784</v>
      </c>
      <c r="W2280" s="773" t="s">
        <v>390</v>
      </c>
    </row>
    <row r="2281" spans="1:23">
      <c r="A2281" s="27">
        <v>45260</v>
      </c>
      <c r="B2281" s="773" t="s">
        <v>140</v>
      </c>
      <c r="C2281" s="773">
        <v>585</v>
      </c>
      <c r="D2281" s="773">
        <v>2696</v>
      </c>
      <c r="E2281" s="773" t="s">
        <v>390</v>
      </c>
      <c r="S2281" s="27">
        <v>44620</v>
      </c>
      <c r="T2281" s="773" t="s">
        <v>132</v>
      </c>
      <c r="U2281" s="773">
        <v>13</v>
      </c>
      <c r="V2281" s="773">
        <v>3067</v>
      </c>
      <c r="W2281" s="773" t="s">
        <v>390</v>
      </c>
    </row>
    <row r="2282" spans="1:23">
      <c r="A2282" s="27">
        <v>45260</v>
      </c>
      <c r="B2282" s="773" t="s">
        <v>140</v>
      </c>
      <c r="C2282" s="773">
        <v>555</v>
      </c>
      <c r="D2282" s="773">
        <v>1674</v>
      </c>
      <c r="E2282" s="773" t="s">
        <v>390</v>
      </c>
      <c r="S2282" s="27">
        <v>44255</v>
      </c>
      <c r="T2282" s="773" t="s">
        <v>132</v>
      </c>
      <c r="U2282" s="773">
        <v>191</v>
      </c>
      <c r="V2282" s="773">
        <v>2044</v>
      </c>
      <c r="W2282" s="773" t="s">
        <v>390</v>
      </c>
    </row>
    <row r="2283" spans="1:23">
      <c r="A2283" s="27">
        <v>45260</v>
      </c>
      <c r="B2283" s="773" t="s">
        <v>140</v>
      </c>
      <c r="C2283" s="773">
        <v>587</v>
      </c>
      <c r="D2283" s="773">
        <v>1</v>
      </c>
      <c r="E2283" s="773" t="s">
        <v>410</v>
      </c>
      <c r="S2283" s="27">
        <v>44255</v>
      </c>
      <c r="T2283" s="773" t="s">
        <v>132</v>
      </c>
      <c r="U2283" s="773">
        <v>124</v>
      </c>
      <c r="V2283" s="773">
        <v>9</v>
      </c>
      <c r="W2283" s="773" t="s">
        <v>410</v>
      </c>
    </row>
    <row r="2284" spans="1:23">
      <c r="A2284" s="27">
        <v>45260</v>
      </c>
      <c r="B2284" s="773" t="s">
        <v>140</v>
      </c>
      <c r="C2284" s="773">
        <v>628</v>
      </c>
      <c r="D2284" s="773">
        <v>735</v>
      </c>
      <c r="E2284" s="773" t="s">
        <v>390</v>
      </c>
      <c r="S2284" s="27">
        <v>44620</v>
      </c>
      <c r="T2284" s="773" t="s">
        <v>132</v>
      </c>
      <c r="U2284" s="773">
        <v>204</v>
      </c>
      <c r="V2284" s="773">
        <v>22</v>
      </c>
      <c r="W2284" s="773" t="s">
        <v>410</v>
      </c>
    </row>
    <row r="2285" spans="1:23">
      <c r="A2285" s="27">
        <v>45260</v>
      </c>
      <c r="B2285" s="773" t="s">
        <v>140</v>
      </c>
      <c r="C2285" s="773">
        <v>248</v>
      </c>
      <c r="D2285" s="773">
        <v>23</v>
      </c>
      <c r="E2285" s="773" t="s">
        <v>410</v>
      </c>
      <c r="S2285" s="27">
        <v>44620</v>
      </c>
      <c r="T2285" s="773" t="s">
        <v>132</v>
      </c>
      <c r="U2285" s="773">
        <v>77</v>
      </c>
      <c r="V2285" s="773">
        <v>3333</v>
      </c>
      <c r="W2285" s="773" t="s">
        <v>390</v>
      </c>
    </row>
    <row r="2286" spans="1:23">
      <c r="A2286" s="27">
        <v>45260</v>
      </c>
      <c r="B2286" s="773" t="s">
        <v>140</v>
      </c>
      <c r="C2286" s="773">
        <v>548</v>
      </c>
      <c r="D2286" s="773">
        <v>1037</v>
      </c>
      <c r="E2286" s="773" t="s">
        <v>390</v>
      </c>
      <c r="S2286" s="27">
        <v>44620</v>
      </c>
      <c r="T2286" s="773" t="s">
        <v>132</v>
      </c>
      <c r="U2286" s="773">
        <v>303</v>
      </c>
      <c r="V2286" s="773">
        <v>2502</v>
      </c>
      <c r="W2286" s="773" t="s">
        <v>390</v>
      </c>
    </row>
    <row r="2287" spans="1:23">
      <c r="A2287" s="27">
        <v>45260</v>
      </c>
      <c r="B2287" s="773" t="s">
        <v>140</v>
      </c>
      <c r="C2287" s="773">
        <v>359</v>
      </c>
      <c r="D2287" s="773">
        <v>942</v>
      </c>
      <c r="E2287" s="773" t="s">
        <v>390</v>
      </c>
      <c r="S2287" s="27">
        <v>44620</v>
      </c>
      <c r="T2287" s="773" t="s">
        <v>132</v>
      </c>
      <c r="U2287" s="773">
        <v>240</v>
      </c>
      <c r="V2287" s="773">
        <v>7</v>
      </c>
      <c r="W2287" s="773" t="s">
        <v>410</v>
      </c>
    </row>
    <row r="2288" spans="1:23">
      <c r="A2288" s="27">
        <v>45260</v>
      </c>
      <c r="B2288" s="773" t="s">
        <v>140</v>
      </c>
      <c r="C2288" s="773">
        <v>626</v>
      </c>
      <c r="D2288" s="773">
        <v>3273</v>
      </c>
      <c r="E2288" s="773" t="s">
        <v>390</v>
      </c>
      <c r="S2288" s="27">
        <v>44620</v>
      </c>
      <c r="T2288" s="773" t="s">
        <v>132</v>
      </c>
      <c r="U2288" s="773">
        <v>328</v>
      </c>
      <c r="V2288" s="773">
        <v>1085</v>
      </c>
      <c r="W2288" s="773" t="s">
        <v>390</v>
      </c>
    </row>
    <row r="2289" spans="1:23">
      <c r="A2289" s="27">
        <v>45260</v>
      </c>
      <c r="B2289" s="773" t="s">
        <v>140</v>
      </c>
      <c r="C2289" s="773">
        <v>370</v>
      </c>
      <c r="D2289" s="773">
        <v>2</v>
      </c>
      <c r="E2289" s="773" t="s">
        <v>410</v>
      </c>
      <c r="S2289" s="27">
        <v>44255</v>
      </c>
      <c r="T2289" s="773" t="s">
        <v>132</v>
      </c>
      <c r="U2289" s="773">
        <v>136</v>
      </c>
      <c r="V2289" s="773">
        <v>78</v>
      </c>
      <c r="W2289" s="773" t="s">
        <v>410</v>
      </c>
    </row>
    <row r="2290" spans="1:23">
      <c r="A2290" s="27">
        <v>45260</v>
      </c>
      <c r="B2290" s="773" t="s">
        <v>140</v>
      </c>
      <c r="C2290" s="773">
        <v>574</v>
      </c>
      <c r="D2290" s="773">
        <v>2544</v>
      </c>
      <c r="E2290" s="773" t="s">
        <v>390</v>
      </c>
      <c r="S2290" s="27">
        <v>44620</v>
      </c>
      <c r="T2290" s="773" t="s">
        <v>132</v>
      </c>
      <c r="U2290" s="773">
        <v>292</v>
      </c>
      <c r="V2290" s="773">
        <v>7</v>
      </c>
      <c r="W2290" s="773" t="s">
        <v>410</v>
      </c>
    </row>
    <row r="2291" spans="1:23">
      <c r="A2291" s="27">
        <v>45260</v>
      </c>
      <c r="B2291" s="773" t="s">
        <v>140</v>
      </c>
      <c r="C2291" s="773">
        <v>758</v>
      </c>
      <c r="D2291" s="773">
        <v>1</v>
      </c>
      <c r="E2291" s="773" t="s">
        <v>410</v>
      </c>
      <c r="S2291" s="27">
        <v>44620</v>
      </c>
      <c r="T2291" s="773" t="s">
        <v>132</v>
      </c>
      <c r="U2291" s="773">
        <v>276</v>
      </c>
      <c r="V2291" s="773">
        <v>1</v>
      </c>
      <c r="W2291" s="773" t="s">
        <v>410</v>
      </c>
    </row>
    <row r="2292" spans="1:23">
      <c r="A2292" s="27">
        <v>45260</v>
      </c>
      <c r="B2292" s="773" t="s">
        <v>140</v>
      </c>
      <c r="C2292" s="773">
        <v>530</v>
      </c>
      <c r="D2292" s="773">
        <v>1</v>
      </c>
      <c r="E2292" s="773" t="s">
        <v>410</v>
      </c>
      <c r="S2292" s="27">
        <v>44255</v>
      </c>
      <c r="T2292" s="773" t="s">
        <v>132</v>
      </c>
      <c r="U2292" s="773">
        <v>291</v>
      </c>
      <c r="V2292" s="773">
        <v>2125</v>
      </c>
      <c r="W2292" s="773" t="s">
        <v>390</v>
      </c>
    </row>
    <row r="2293" spans="1:23">
      <c r="A2293" s="27">
        <v>45260</v>
      </c>
      <c r="B2293" s="773" t="s">
        <v>140</v>
      </c>
      <c r="C2293" s="773">
        <v>383</v>
      </c>
      <c r="D2293" s="773">
        <v>3</v>
      </c>
      <c r="E2293" s="773" t="s">
        <v>410</v>
      </c>
      <c r="S2293" s="27">
        <v>44255</v>
      </c>
      <c r="T2293" s="773" t="s">
        <v>132</v>
      </c>
      <c r="U2293" s="773">
        <v>232</v>
      </c>
      <c r="V2293" s="773">
        <v>119</v>
      </c>
      <c r="W2293" s="773" t="s">
        <v>390</v>
      </c>
    </row>
    <row r="2294" spans="1:23">
      <c r="A2294" s="27">
        <v>45260</v>
      </c>
      <c r="B2294" s="773" t="s">
        <v>140</v>
      </c>
      <c r="C2294" s="773">
        <v>594</v>
      </c>
      <c r="D2294" s="773">
        <v>2781</v>
      </c>
      <c r="E2294" s="773" t="s">
        <v>390</v>
      </c>
      <c r="S2294" s="27">
        <v>44255</v>
      </c>
      <c r="T2294" s="773" t="s">
        <v>132</v>
      </c>
      <c r="U2294" s="773">
        <v>40</v>
      </c>
      <c r="V2294" s="773">
        <v>3</v>
      </c>
      <c r="W2294" s="773" t="s">
        <v>410</v>
      </c>
    </row>
    <row r="2295" spans="1:23">
      <c r="A2295" s="27">
        <v>45260</v>
      </c>
      <c r="B2295" s="773" t="s">
        <v>140</v>
      </c>
      <c r="C2295" s="773">
        <v>586</v>
      </c>
      <c r="D2295" s="773">
        <v>2413</v>
      </c>
      <c r="E2295" s="773" t="s">
        <v>390</v>
      </c>
      <c r="S2295" s="27">
        <v>44255</v>
      </c>
      <c r="T2295" s="773" t="s">
        <v>132</v>
      </c>
      <c r="U2295" s="773">
        <v>182</v>
      </c>
      <c r="V2295" s="773">
        <v>959</v>
      </c>
      <c r="W2295" s="773" t="s">
        <v>390</v>
      </c>
    </row>
    <row r="2296" spans="1:23">
      <c r="A2296" s="27">
        <v>45260</v>
      </c>
      <c r="B2296" s="773" t="s">
        <v>140</v>
      </c>
      <c r="C2296" s="773">
        <v>453</v>
      </c>
      <c r="D2296" s="773">
        <v>2500</v>
      </c>
      <c r="E2296" s="773" t="s">
        <v>390</v>
      </c>
      <c r="S2296" s="27">
        <v>44255</v>
      </c>
      <c r="T2296" s="773" t="s">
        <v>132</v>
      </c>
      <c r="U2296" s="773">
        <v>141</v>
      </c>
      <c r="V2296" s="773">
        <v>5</v>
      </c>
      <c r="W2296" s="773" t="s">
        <v>410</v>
      </c>
    </row>
    <row r="2297" spans="1:23">
      <c r="A2297" s="27">
        <v>45260</v>
      </c>
      <c r="B2297" s="773" t="s">
        <v>140</v>
      </c>
      <c r="C2297" s="773">
        <v>449</v>
      </c>
      <c r="D2297" s="773">
        <v>1790</v>
      </c>
      <c r="E2297" s="773" t="s">
        <v>390</v>
      </c>
      <c r="S2297" s="27">
        <v>44255</v>
      </c>
      <c r="T2297" s="773" t="s">
        <v>132</v>
      </c>
      <c r="U2297" s="773">
        <v>169</v>
      </c>
      <c r="V2297" s="773">
        <v>2446</v>
      </c>
      <c r="W2297" s="773" t="s">
        <v>390</v>
      </c>
    </row>
    <row r="2298" spans="1:23">
      <c r="A2298" s="27">
        <v>45260</v>
      </c>
      <c r="B2298" s="773" t="s">
        <v>140</v>
      </c>
      <c r="C2298" s="773">
        <v>576</v>
      </c>
      <c r="D2298" s="773">
        <v>243</v>
      </c>
      <c r="E2298" s="773" t="s">
        <v>390</v>
      </c>
      <c r="S2298" s="27">
        <v>44620</v>
      </c>
      <c r="T2298" s="773" t="s">
        <v>132</v>
      </c>
      <c r="U2298" s="773">
        <v>152</v>
      </c>
      <c r="V2298" s="773">
        <v>1</v>
      </c>
      <c r="W2298" s="773" t="s">
        <v>410</v>
      </c>
    </row>
    <row r="2299" spans="1:23">
      <c r="A2299" s="27">
        <v>45260</v>
      </c>
      <c r="B2299" s="773" t="s">
        <v>140</v>
      </c>
      <c r="C2299" s="773">
        <v>616</v>
      </c>
      <c r="D2299" s="773">
        <v>1</v>
      </c>
      <c r="E2299" s="773" t="s">
        <v>410</v>
      </c>
      <c r="S2299" s="27">
        <v>44620</v>
      </c>
      <c r="T2299" s="773" t="s">
        <v>132</v>
      </c>
      <c r="U2299" s="773">
        <v>681</v>
      </c>
      <c r="V2299" s="773">
        <v>848</v>
      </c>
      <c r="W2299" s="773" t="s">
        <v>390</v>
      </c>
    </row>
    <row r="2300" spans="1:23">
      <c r="A2300" s="27">
        <v>45260</v>
      </c>
      <c r="B2300" s="773" t="s">
        <v>140</v>
      </c>
      <c r="C2300" s="773">
        <v>485</v>
      </c>
      <c r="D2300" s="773">
        <v>1402</v>
      </c>
      <c r="E2300" s="773" t="s">
        <v>390</v>
      </c>
      <c r="S2300" s="27">
        <v>44255</v>
      </c>
      <c r="T2300" s="773" t="s">
        <v>132</v>
      </c>
      <c r="U2300" s="773">
        <v>687</v>
      </c>
      <c r="V2300" s="773">
        <v>531</v>
      </c>
      <c r="W2300" s="773" t="s">
        <v>390</v>
      </c>
    </row>
    <row r="2301" spans="1:23">
      <c r="A2301" s="27">
        <v>45260</v>
      </c>
      <c r="B2301" s="773" t="s">
        <v>140</v>
      </c>
      <c r="C2301" s="773">
        <v>0</v>
      </c>
      <c r="D2301" s="773">
        <v>7</v>
      </c>
      <c r="E2301" s="773" t="s">
        <v>410</v>
      </c>
      <c r="S2301" s="27">
        <v>44620</v>
      </c>
      <c r="T2301" s="773" t="s">
        <v>132</v>
      </c>
      <c r="U2301" s="773">
        <v>660</v>
      </c>
      <c r="V2301" s="773">
        <v>4</v>
      </c>
      <c r="W2301" s="773" t="s">
        <v>410</v>
      </c>
    </row>
    <row r="2302" spans="1:23">
      <c r="A2302" s="27">
        <v>45260</v>
      </c>
      <c r="B2302" s="773" t="s">
        <v>140</v>
      </c>
      <c r="C2302" s="773">
        <v>581</v>
      </c>
      <c r="D2302" s="773">
        <v>2700</v>
      </c>
      <c r="E2302" s="773" t="s">
        <v>390</v>
      </c>
      <c r="S2302" s="27">
        <v>44255</v>
      </c>
      <c r="T2302" s="773" t="s">
        <v>132</v>
      </c>
      <c r="U2302" s="773">
        <v>149</v>
      </c>
      <c r="V2302" s="773">
        <v>2</v>
      </c>
      <c r="W2302" s="773" t="s">
        <v>410</v>
      </c>
    </row>
    <row r="2303" spans="1:23">
      <c r="A2303" s="27">
        <v>45260</v>
      </c>
      <c r="B2303" s="773" t="s">
        <v>140</v>
      </c>
      <c r="C2303" s="773">
        <v>478</v>
      </c>
      <c r="D2303" s="773">
        <v>1</v>
      </c>
      <c r="E2303" s="773" t="s">
        <v>410</v>
      </c>
      <c r="S2303" s="27">
        <v>44255</v>
      </c>
      <c r="T2303" s="773" t="s">
        <v>132</v>
      </c>
      <c r="U2303" s="773">
        <v>651</v>
      </c>
      <c r="V2303" s="773">
        <v>314</v>
      </c>
      <c r="W2303" s="773" t="s">
        <v>390</v>
      </c>
    </row>
    <row r="2304" spans="1:23">
      <c r="A2304" s="27">
        <v>45260</v>
      </c>
      <c r="B2304" s="773" t="s">
        <v>140</v>
      </c>
      <c r="C2304" s="773">
        <v>601</v>
      </c>
      <c r="D2304" s="773">
        <v>3</v>
      </c>
      <c r="E2304" s="773" t="s">
        <v>410</v>
      </c>
      <c r="S2304" s="27">
        <v>44620</v>
      </c>
      <c r="T2304" s="773" t="s">
        <v>132</v>
      </c>
      <c r="U2304" s="773">
        <v>704</v>
      </c>
      <c r="V2304" s="773">
        <v>2286</v>
      </c>
      <c r="W2304" s="773" t="s">
        <v>390</v>
      </c>
    </row>
    <row r="2305" spans="1:23">
      <c r="A2305" s="27">
        <v>45260</v>
      </c>
      <c r="B2305" s="773" t="s">
        <v>140</v>
      </c>
      <c r="C2305" s="773">
        <v>732</v>
      </c>
      <c r="D2305" s="773">
        <v>4</v>
      </c>
      <c r="E2305" s="773" t="s">
        <v>410</v>
      </c>
      <c r="S2305" s="27">
        <v>44620</v>
      </c>
      <c r="T2305" s="773" t="s">
        <v>132</v>
      </c>
      <c r="U2305" s="773">
        <v>158</v>
      </c>
      <c r="V2305" s="773">
        <v>95</v>
      </c>
      <c r="W2305" s="773" t="s">
        <v>410</v>
      </c>
    </row>
    <row r="2306" spans="1:23">
      <c r="A2306" s="27">
        <v>45260</v>
      </c>
      <c r="B2306" s="773" t="s">
        <v>140</v>
      </c>
      <c r="C2306" s="773">
        <v>659</v>
      </c>
      <c r="D2306" s="773">
        <v>1046</v>
      </c>
      <c r="E2306" s="773" t="s">
        <v>390</v>
      </c>
      <c r="S2306" s="27">
        <v>44255</v>
      </c>
      <c r="T2306" s="773" t="s">
        <v>132</v>
      </c>
      <c r="U2306" s="773">
        <v>246</v>
      </c>
      <c r="V2306" s="773">
        <v>2</v>
      </c>
      <c r="W2306" s="773" t="s">
        <v>410</v>
      </c>
    </row>
    <row r="2307" spans="1:23">
      <c r="A2307" s="27">
        <v>45260</v>
      </c>
      <c r="B2307" s="773" t="s">
        <v>140</v>
      </c>
      <c r="C2307" s="773">
        <v>279</v>
      </c>
      <c r="D2307" s="773">
        <v>1</v>
      </c>
      <c r="E2307" s="773" t="s">
        <v>410</v>
      </c>
      <c r="S2307" s="27">
        <v>44255</v>
      </c>
      <c r="T2307" s="773" t="s">
        <v>132</v>
      </c>
      <c r="U2307" s="773">
        <v>64</v>
      </c>
      <c r="V2307" s="773">
        <v>4</v>
      </c>
      <c r="W2307" s="773" t="s">
        <v>410</v>
      </c>
    </row>
    <row r="2308" spans="1:23">
      <c r="A2308" s="911" t="s">
        <v>557</v>
      </c>
      <c r="B2308" s="912" t="s">
        <v>140</v>
      </c>
      <c r="C2308" s="912">
        <v>469</v>
      </c>
      <c r="D2308" s="912">
        <v>15</v>
      </c>
      <c r="E2308" s="912" t="s">
        <v>410</v>
      </c>
      <c r="S2308" s="27">
        <v>44620</v>
      </c>
      <c r="T2308" s="773" t="s">
        <v>132</v>
      </c>
      <c r="U2308" s="773">
        <v>324</v>
      </c>
      <c r="V2308" s="773">
        <v>574</v>
      </c>
      <c r="W2308" s="773" t="s">
        <v>390</v>
      </c>
    </row>
    <row r="2309" spans="1:23">
      <c r="A2309" s="911" t="s">
        <v>558</v>
      </c>
      <c r="B2309" s="912" t="s">
        <v>140</v>
      </c>
      <c r="C2309" s="912">
        <v>510</v>
      </c>
      <c r="D2309" s="912">
        <v>1151</v>
      </c>
      <c r="E2309" s="912" t="s">
        <v>390</v>
      </c>
      <c r="S2309" s="27">
        <v>44620</v>
      </c>
      <c r="T2309" s="773" t="s">
        <v>132</v>
      </c>
      <c r="U2309" s="773">
        <v>64</v>
      </c>
      <c r="V2309" s="773">
        <v>3</v>
      </c>
      <c r="W2309" s="773" t="s">
        <v>410</v>
      </c>
    </row>
    <row r="2310" spans="1:23">
      <c r="A2310" s="911" t="s">
        <v>558</v>
      </c>
      <c r="B2310" s="912" t="s">
        <v>140</v>
      </c>
      <c r="C2310" s="912">
        <v>585</v>
      </c>
      <c r="D2310" s="912">
        <v>2681</v>
      </c>
      <c r="E2310" s="912" t="s">
        <v>390</v>
      </c>
      <c r="S2310" s="27">
        <v>44620</v>
      </c>
      <c r="T2310" s="773" t="s">
        <v>132</v>
      </c>
      <c r="U2310" s="773">
        <v>63</v>
      </c>
      <c r="V2310" s="773">
        <v>2</v>
      </c>
      <c r="W2310" s="773" t="s">
        <v>410</v>
      </c>
    </row>
    <row r="2311" spans="1:23">
      <c r="A2311" s="911" t="s">
        <v>558</v>
      </c>
      <c r="B2311" s="912" t="s">
        <v>140</v>
      </c>
      <c r="C2311" s="912">
        <v>650</v>
      </c>
      <c r="D2311" s="912">
        <v>2487</v>
      </c>
      <c r="E2311" s="912" t="s">
        <v>390</v>
      </c>
      <c r="S2311" s="27">
        <v>44620</v>
      </c>
      <c r="T2311" s="773" t="s">
        <v>132</v>
      </c>
      <c r="U2311" s="773">
        <v>653</v>
      </c>
      <c r="V2311" s="773">
        <v>86</v>
      </c>
      <c r="W2311" s="773" t="s">
        <v>410</v>
      </c>
    </row>
    <row r="2312" spans="1:23">
      <c r="A2312" s="911" t="s">
        <v>557</v>
      </c>
      <c r="B2312" s="912" t="s">
        <v>140</v>
      </c>
      <c r="C2312" s="912">
        <v>659</v>
      </c>
      <c r="D2312" s="912">
        <v>820</v>
      </c>
      <c r="E2312" s="912" t="s">
        <v>390</v>
      </c>
      <c r="S2312" s="27">
        <v>44255</v>
      </c>
      <c r="T2312" s="773" t="s">
        <v>132</v>
      </c>
      <c r="U2312" s="773">
        <v>190</v>
      </c>
      <c r="V2312" s="773">
        <v>6</v>
      </c>
      <c r="W2312" s="773" t="s">
        <v>410</v>
      </c>
    </row>
    <row r="2313" spans="1:23">
      <c r="A2313" s="911" t="s">
        <v>558</v>
      </c>
      <c r="B2313" s="912" t="s">
        <v>140</v>
      </c>
      <c r="C2313" s="912">
        <v>746</v>
      </c>
      <c r="D2313" s="912">
        <v>2213</v>
      </c>
      <c r="E2313" s="912" t="s">
        <v>390</v>
      </c>
      <c r="S2313" s="27">
        <v>44620</v>
      </c>
      <c r="T2313" s="773" t="s">
        <v>132</v>
      </c>
      <c r="U2313" s="773">
        <v>251</v>
      </c>
      <c r="V2313" s="773">
        <v>2513</v>
      </c>
      <c r="W2313" s="773" t="s">
        <v>390</v>
      </c>
    </row>
    <row r="2314" spans="1:23">
      <c r="A2314" s="911" t="s">
        <v>557</v>
      </c>
      <c r="B2314" s="912" t="s">
        <v>140</v>
      </c>
      <c r="C2314" s="912">
        <v>502</v>
      </c>
      <c r="D2314" s="912">
        <v>337</v>
      </c>
      <c r="E2314" s="912" t="s">
        <v>390</v>
      </c>
      <c r="S2314" s="27">
        <v>44255</v>
      </c>
      <c r="T2314" s="773" t="s">
        <v>132</v>
      </c>
      <c r="U2314" s="773">
        <v>183</v>
      </c>
      <c r="V2314" s="773">
        <v>2314</v>
      </c>
      <c r="W2314" s="773" t="s">
        <v>390</v>
      </c>
    </row>
    <row r="2315" spans="1:23">
      <c r="A2315" s="911" t="s">
        <v>557</v>
      </c>
      <c r="B2315" s="912" t="s">
        <v>140</v>
      </c>
      <c r="C2315" s="912">
        <v>774</v>
      </c>
      <c r="D2315" s="912">
        <v>2235</v>
      </c>
      <c r="E2315" s="912" t="s">
        <v>390</v>
      </c>
      <c r="S2315" s="27">
        <v>44620</v>
      </c>
      <c r="T2315" s="773" t="s">
        <v>132</v>
      </c>
      <c r="U2315" s="773">
        <v>691</v>
      </c>
      <c r="V2315" s="773">
        <v>2390</v>
      </c>
      <c r="W2315" s="773" t="s">
        <v>390</v>
      </c>
    </row>
    <row r="2316" spans="1:23">
      <c r="A2316" s="911" t="s">
        <v>558</v>
      </c>
      <c r="B2316" s="912" t="s">
        <v>140</v>
      </c>
      <c r="C2316" s="912">
        <v>648</v>
      </c>
      <c r="D2316" s="912">
        <v>1631</v>
      </c>
      <c r="E2316" s="912" t="s">
        <v>390</v>
      </c>
      <c r="S2316" s="27">
        <v>44255</v>
      </c>
      <c r="T2316" s="773" t="s">
        <v>132</v>
      </c>
      <c r="U2316" s="773">
        <v>247</v>
      </c>
      <c r="V2316" s="773">
        <v>20</v>
      </c>
      <c r="W2316" s="773" t="s">
        <v>410</v>
      </c>
    </row>
    <row r="2317" spans="1:23">
      <c r="A2317" s="911" t="s">
        <v>557</v>
      </c>
      <c r="B2317" s="912" t="s">
        <v>140</v>
      </c>
      <c r="C2317" s="912">
        <v>387</v>
      </c>
      <c r="D2317" s="912">
        <v>9</v>
      </c>
      <c r="E2317" s="912" t="s">
        <v>410</v>
      </c>
      <c r="S2317" s="27">
        <v>44255</v>
      </c>
      <c r="T2317" s="773" t="s">
        <v>132</v>
      </c>
      <c r="U2317" s="773">
        <v>254</v>
      </c>
      <c r="V2317" s="773">
        <v>9</v>
      </c>
      <c r="W2317" s="773" t="s">
        <v>410</v>
      </c>
    </row>
    <row r="2318" spans="1:23">
      <c r="A2318" s="911" t="s">
        <v>557</v>
      </c>
      <c r="B2318" s="912" t="s">
        <v>140</v>
      </c>
      <c r="C2318" s="912">
        <v>279</v>
      </c>
      <c r="D2318" s="912">
        <v>1</v>
      </c>
      <c r="E2318" s="912" t="s">
        <v>410</v>
      </c>
      <c r="S2318" s="27">
        <v>44620</v>
      </c>
      <c r="T2318" s="773" t="s">
        <v>132</v>
      </c>
      <c r="U2318" s="773">
        <v>58</v>
      </c>
      <c r="V2318" s="773">
        <v>3</v>
      </c>
      <c r="W2318" s="773" t="s">
        <v>410</v>
      </c>
    </row>
    <row r="2319" spans="1:23">
      <c r="A2319" s="911" t="s">
        <v>557</v>
      </c>
      <c r="B2319" s="912" t="s">
        <v>140</v>
      </c>
      <c r="C2319" s="912">
        <v>594</v>
      </c>
      <c r="D2319" s="912">
        <v>2668</v>
      </c>
      <c r="E2319" s="912" t="s">
        <v>390</v>
      </c>
      <c r="S2319" s="27">
        <v>44620</v>
      </c>
      <c r="T2319" s="773" t="s">
        <v>132</v>
      </c>
      <c r="U2319" s="773">
        <v>698</v>
      </c>
      <c r="V2319" s="773">
        <v>2641</v>
      </c>
      <c r="W2319" s="773" t="s">
        <v>390</v>
      </c>
    </row>
    <row r="2320" spans="1:23">
      <c r="A2320" s="911" t="s">
        <v>558</v>
      </c>
      <c r="B2320" s="912" t="s">
        <v>140</v>
      </c>
      <c r="C2320" s="912">
        <v>453</v>
      </c>
      <c r="D2320" s="912">
        <v>2493</v>
      </c>
      <c r="E2320" s="912" t="s">
        <v>390</v>
      </c>
      <c r="S2320" s="27">
        <v>44255</v>
      </c>
      <c r="T2320" s="773" t="s">
        <v>132</v>
      </c>
      <c r="U2320" s="773">
        <v>672</v>
      </c>
      <c r="V2320" s="773">
        <v>2137</v>
      </c>
      <c r="W2320" s="773" t="s">
        <v>390</v>
      </c>
    </row>
    <row r="2321" spans="1:23">
      <c r="A2321" s="911" t="s">
        <v>558</v>
      </c>
      <c r="B2321" s="912" t="s">
        <v>140</v>
      </c>
      <c r="C2321" s="912">
        <v>338</v>
      </c>
      <c r="D2321" s="912">
        <v>2470</v>
      </c>
      <c r="E2321" s="912" t="s">
        <v>390</v>
      </c>
      <c r="S2321" s="27">
        <v>44620</v>
      </c>
      <c r="T2321" s="773" t="s">
        <v>132</v>
      </c>
      <c r="U2321" s="773">
        <v>688</v>
      </c>
      <c r="V2321" s="773">
        <v>2929</v>
      </c>
      <c r="W2321" s="773" t="s">
        <v>390</v>
      </c>
    </row>
    <row r="2322" spans="1:23">
      <c r="A2322" s="911" t="s">
        <v>558</v>
      </c>
      <c r="B2322" s="912" t="s">
        <v>140</v>
      </c>
      <c r="C2322" s="912">
        <v>722</v>
      </c>
      <c r="D2322" s="912">
        <v>63</v>
      </c>
      <c r="E2322" s="912" t="s">
        <v>410</v>
      </c>
      <c r="S2322" s="27">
        <v>44255</v>
      </c>
      <c r="T2322" s="773" t="s">
        <v>132</v>
      </c>
      <c r="U2322" s="773">
        <v>698</v>
      </c>
      <c r="V2322" s="773">
        <v>2479</v>
      </c>
      <c r="W2322" s="773" t="s">
        <v>390</v>
      </c>
    </row>
    <row r="2323" spans="1:23">
      <c r="A2323" s="911" t="s">
        <v>558</v>
      </c>
      <c r="B2323" s="912" t="s">
        <v>140</v>
      </c>
      <c r="C2323" s="912">
        <v>485</v>
      </c>
      <c r="D2323" s="912">
        <v>1450</v>
      </c>
      <c r="E2323" s="912" t="s">
        <v>390</v>
      </c>
      <c r="S2323" s="27">
        <v>44255</v>
      </c>
      <c r="T2323" s="773" t="s">
        <v>132</v>
      </c>
      <c r="U2323" s="773">
        <v>103</v>
      </c>
      <c r="V2323" s="773">
        <v>3194</v>
      </c>
      <c r="W2323" s="773" t="s">
        <v>390</v>
      </c>
    </row>
    <row r="2324" spans="1:23">
      <c r="A2324" s="911" t="s">
        <v>558</v>
      </c>
      <c r="B2324" s="912" t="s">
        <v>140</v>
      </c>
      <c r="C2324" s="912">
        <v>576</v>
      </c>
      <c r="D2324" s="912">
        <v>246</v>
      </c>
      <c r="E2324" s="912" t="s">
        <v>390</v>
      </c>
      <c r="S2324" s="27">
        <v>44255</v>
      </c>
      <c r="T2324" s="773" t="s">
        <v>132</v>
      </c>
      <c r="U2324" s="773">
        <v>239</v>
      </c>
      <c r="V2324" s="773">
        <v>3405</v>
      </c>
      <c r="W2324" s="773" t="s">
        <v>390</v>
      </c>
    </row>
    <row r="2325" spans="1:23">
      <c r="A2325" s="911" t="s">
        <v>557</v>
      </c>
      <c r="B2325" s="912" t="s">
        <v>140</v>
      </c>
      <c r="C2325" s="912">
        <v>601</v>
      </c>
      <c r="D2325" s="912">
        <v>3</v>
      </c>
      <c r="E2325" s="912" t="s">
        <v>410</v>
      </c>
      <c r="S2325" s="27">
        <v>44255</v>
      </c>
      <c r="T2325" s="773" t="s">
        <v>132</v>
      </c>
      <c r="U2325" s="773">
        <v>113</v>
      </c>
      <c r="V2325" s="773">
        <v>2</v>
      </c>
      <c r="W2325" s="773" t="s">
        <v>410</v>
      </c>
    </row>
    <row r="2326" spans="1:23">
      <c r="A2326" s="911" t="s">
        <v>557</v>
      </c>
      <c r="B2326" s="912" t="s">
        <v>140</v>
      </c>
      <c r="C2326" s="912">
        <v>678</v>
      </c>
      <c r="D2326" s="912">
        <v>1</v>
      </c>
      <c r="E2326" s="912" t="s">
        <v>410</v>
      </c>
      <c r="S2326" s="27">
        <v>44255</v>
      </c>
      <c r="T2326" s="773" t="s">
        <v>132</v>
      </c>
      <c r="U2326" s="773">
        <v>245</v>
      </c>
      <c r="V2326" s="773">
        <v>2350</v>
      </c>
      <c r="W2326" s="773" t="s">
        <v>390</v>
      </c>
    </row>
    <row r="2327" spans="1:23">
      <c r="A2327" s="911" t="s">
        <v>558</v>
      </c>
      <c r="B2327" s="912" t="s">
        <v>140</v>
      </c>
      <c r="C2327" s="912">
        <v>774</v>
      </c>
      <c r="D2327" s="912">
        <v>2372</v>
      </c>
      <c r="E2327" s="912" t="s">
        <v>390</v>
      </c>
      <c r="S2327" s="27">
        <v>44255</v>
      </c>
      <c r="T2327" s="773" t="s">
        <v>132</v>
      </c>
      <c r="U2327" s="773">
        <v>114</v>
      </c>
      <c r="V2327" s="773">
        <v>1</v>
      </c>
      <c r="W2327" s="773" t="s">
        <v>410</v>
      </c>
    </row>
    <row r="2328" spans="1:23">
      <c r="A2328" s="911" t="s">
        <v>557</v>
      </c>
      <c r="B2328" s="912" t="s">
        <v>140</v>
      </c>
      <c r="C2328" s="912">
        <v>510</v>
      </c>
      <c r="D2328" s="912">
        <v>957</v>
      </c>
      <c r="E2328" s="912" t="s">
        <v>390</v>
      </c>
      <c r="S2328" s="27">
        <v>44255</v>
      </c>
      <c r="T2328" s="773" t="s">
        <v>132</v>
      </c>
      <c r="U2328" s="773">
        <v>27</v>
      </c>
      <c r="V2328" s="773">
        <v>1</v>
      </c>
      <c r="W2328" s="773" t="s">
        <v>410</v>
      </c>
    </row>
    <row r="2329" spans="1:23">
      <c r="A2329" s="911" t="s">
        <v>557</v>
      </c>
      <c r="B2329" s="912" t="s">
        <v>140</v>
      </c>
      <c r="C2329" s="912">
        <v>760</v>
      </c>
      <c r="D2329" s="912">
        <v>96</v>
      </c>
      <c r="E2329" s="912" t="s">
        <v>410</v>
      </c>
      <c r="S2329" s="27">
        <v>44255</v>
      </c>
      <c r="T2329" s="773" t="s">
        <v>132</v>
      </c>
      <c r="U2329" s="773">
        <v>97</v>
      </c>
      <c r="V2329" s="773">
        <v>2</v>
      </c>
      <c r="W2329" s="773" t="s">
        <v>410</v>
      </c>
    </row>
    <row r="2330" spans="1:23">
      <c r="A2330" s="911" t="s">
        <v>557</v>
      </c>
      <c r="B2330" s="912" t="s">
        <v>140</v>
      </c>
      <c r="C2330" s="912">
        <v>732</v>
      </c>
      <c r="D2330" s="912">
        <v>3</v>
      </c>
      <c r="E2330" s="912" t="s">
        <v>410</v>
      </c>
      <c r="S2330" s="27">
        <v>44255</v>
      </c>
      <c r="T2330" s="773" t="s">
        <v>132</v>
      </c>
      <c r="U2330" s="773">
        <v>98</v>
      </c>
      <c r="V2330" s="773">
        <v>112</v>
      </c>
      <c r="W2330" s="773" t="s">
        <v>390</v>
      </c>
    </row>
    <row r="2331" spans="1:23">
      <c r="A2331" s="911" t="s">
        <v>557</v>
      </c>
      <c r="B2331" s="912" t="s">
        <v>140</v>
      </c>
      <c r="C2331" s="912">
        <v>742</v>
      </c>
      <c r="D2331" s="912">
        <v>1</v>
      </c>
      <c r="E2331" s="912" t="s">
        <v>410</v>
      </c>
      <c r="S2331" s="27">
        <v>44620</v>
      </c>
      <c r="T2331" s="773" t="s">
        <v>132</v>
      </c>
      <c r="U2331" s="773">
        <v>46</v>
      </c>
      <c r="V2331" s="773">
        <v>2804</v>
      </c>
      <c r="W2331" s="773" t="s">
        <v>390</v>
      </c>
    </row>
    <row r="2332" spans="1:23">
      <c r="A2332" s="911" t="s">
        <v>557</v>
      </c>
      <c r="B2332" s="912" t="s">
        <v>140</v>
      </c>
      <c r="C2332" s="912">
        <v>758</v>
      </c>
      <c r="D2332" s="912">
        <v>1</v>
      </c>
      <c r="E2332" s="912" t="s">
        <v>410</v>
      </c>
      <c r="S2332" s="27">
        <v>44620</v>
      </c>
      <c r="T2332" s="773" t="s">
        <v>132</v>
      </c>
      <c r="U2332" s="773">
        <v>231</v>
      </c>
      <c r="V2332" s="773">
        <v>6</v>
      </c>
      <c r="W2332" s="773" t="s">
        <v>410</v>
      </c>
    </row>
    <row r="2333" spans="1:23">
      <c r="A2333" s="911" t="s">
        <v>557</v>
      </c>
      <c r="B2333" s="912" t="s">
        <v>140</v>
      </c>
      <c r="C2333" s="912">
        <v>708</v>
      </c>
      <c r="D2333" s="912">
        <v>2949</v>
      </c>
      <c r="E2333" s="912" t="s">
        <v>390</v>
      </c>
      <c r="S2333" s="27">
        <v>44620</v>
      </c>
      <c r="T2333" s="773" t="s">
        <v>132</v>
      </c>
      <c r="U2333" s="773">
        <v>676</v>
      </c>
      <c r="V2333" s="773">
        <v>2</v>
      </c>
      <c r="W2333" s="773" t="s">
        <v>410</v>
      </c>
    </row>
    <row r="2334" spans="1:23">
      <c r="A2334" s="911" t="s">
        <v>558</v>
      </c>
      <c r="B2334" s="912" t="s">
        <v>140</v>
      </c>
      <c r="C2334" s="912">
        <v>469</v>
      </c>
      <c r="D2334" s="912">
        <v>8</v>
      </c>
      <c r="E2334" s="912" t="s">
        <v>410</v>
      </c>
      <c r="S2334" s="27">
        <v>44255</v>
      </c>
      <c r="T2334" s="773" t="s">
        <v>132</v>
      </c>
      <c r="U2334" s="773">
        <v>266</v>
      </c>
      <c r="V2334" s="773">
        <v>2258</v>
      </c>
      <c r="W2334" s="773" t="s">
        <v>390</v>
      </c>
    </row>
    <row r="2335" spans="1:23">
      <c r="A2335" s="911" t="s">
        <v>558</v>
      </c>
      <c r="B2335" s="912" t="s">
        <v>140</v>
      </c>
      <c r="C2335" s="912">
        <v>630</v>
      </c>
      <c r="D2335" s="912">
        <v>1</v>
      </c>
      <c r="E2335" s="912" t="s">
        <v>410</v>
      </c>
      <c r="S2335" s="27">
        <v>44620</v>
      </c>
      <c r="T2335" s="773" t="s">
        <v>132</v>
      </c>
      <c r="U2335" s="773">
        <v>315</v>
      </c>
      <c r="V2335" s="773">
        <v>318</v>
      </c>
      <c r="W2335" s="773" t="s">
        <v>390</v>
      </c>
    </row>
    <row r="2336" spans="1:23">
      <c r="A2336" s="911" t="s">
        <v>557</v>
      </c>
      <c r="B2336" s="912" t="s">
        <v>140</v>
      </c>
      <c r="C2336" s="912">
        <v>626</v>
      </c>
      <c r="D2336" s="912">
        <v>3162</v>
      </c>
      <c r="E2336" s="912" t="s">
        <v>390</v>
      </c>
      <c r="S2336" s="27">
        <v>44255</v>
      </c>
      <c r="T2336" s="773" t="s">
        <v>132</v>
      </c>
      <c r="U2336" s="773">
        <v>173</v>
      </c>
      <c r="V2336" s="773">
        <v>1</v>
      </c>
      <c r="W2336" s="773" t="s">
        <v>410</v>
      </c>
    </row>
    <row r="2337" spans="1:23">
      <c r="A2337" s="911" t="s">
        <v>558</v>
      </c>
      <c r="B2337" s="912" t="s">
        <v>140</v>
      </c>
      <c r="C2337" s="912">
        <v>601</v>
      </c>
      <c r="D2337" s="912">
        <v>3</v>
      </c>
      <c r="E2337" s="912" t="s">
        <v>410</v>
      </c>
      <c r="S2337" s="27">
        <v>44620</v>
      </c>
      <c r="T2337" s="773" t="s">
        <v>132</v>
      </c>
      <c r="U2337" s="773">
        <v>697</v>
      </c>
      <c r="V2337" s="773">
        <v>783</v>
      </c>
      <c r="W2337" s="773" t="s">
        <v>390</v>
      </c>
    </row>
    <row r="2338" spans="1:23">
      <c r="A2338" s="911" t="s">
        <v>558</v>
      </c>
      <c r="B2338" s="912" t="s">
        <v>140</v>
      </c>
      <c r="C2338" s="912">
        <v>530</v>
      </c>
      <c r="D2338" s="912">
        <v>1</v>
      </c>
      <c r="E2338" s="912" t="s">
        <v>410</v>
      </c>
      <c r="S2338" s="27">
        <v>44255</v>
      </c>
      <c r="T2338" s="773" t="s">
        <v>132</v>
      </c>
      <c r="U2338" s="773">
        <v>308</v>
      </c>
      <c r="V2338" s="773">
        <v>550</v>
      </c>
      <c r="W2338" s="773" t="s">
        <v>390</v>
      </c>
    </row>
    <row r="2339" spans="1:23">
      <c r="A2339" s="911" t="s">
        <v>557</v>
      </c>
      <c r="B2339" s="912" t="s">
        <v>140</v>
      </c>
      <c r="C2339" s="912">
        <v>616</v>
      </c>
      <c r="D2339" s="912">
        <v>1</v>
      </c>
      <c r="E2339" s="912" t="s">
        <v>410</v>
      </c>
      <c r="S2339" s="27">
        <v>44620</v>
      </c>
      <c r="T2339" s="773" t="s">
        <v>132</v>
      </c>
      <c r="U2339" s="773">
        <v>56</v>
      </c>
      <c r="V2339" s="773">
        <v>42</v>
      </c>
      <c r="W2339" s="773" t="s">
        <v>410</v>
      </c>
    </row>
    <row r="2340" spans="1:23">
      <c r="A2340" s="911" t="s">
        <v>558</v>
      </c>
      <c r="B2340" s="912" t="s">
        <v>140</v>
      </c>
      <c r="C2340" s="912">
        <v>587</v>
      </c>
      <c r="D2340" s="912">
        <v>1</v>
      </c>
      <c r="E2340" s="912" t="s">
        <v>410</v>
      </c>
      <c r="S2340" s="27">
        <v>44255</v>
      </c>
      <c r="T2340" s="773" t="s">
        <v>132</v>
      </c>
      <c r="U2340" s="773">
        <v>181</v>
      </c>
      <c r="V2340" s="773">
        <v>1</v>
      </c>
      <c r="W2340" s="773" t="s">
        <v>410</v>
      </c>
    </row>
    <row r="2341" spans="1:23">
      <c r="A2341" s="911" t="s">
        <v>558</v>
      </c>
      <c r="B2341" s="912" t="s">
        <v>140</v>
      </c>
      <c r="C2341" s="912">
        <v>586</v>
      </c>
      <c r="D2341" s="912">
        <v>2416</v>
      </c>
      <c r="E2341" s="912" t="s">
        <v>390</v>
      </c>
      <c r="S2341" s="27">
        <v>44620</v>
      </c>
      <c r="T2341" s="773" t="s">
        <v>132</v>
      </c>
      <c r="U2341" s="773">
        <v>116</v>
      </c>
      <c r="V2341" s="773">
        <v>4</v>
      </c>
      <c r="W2341" s="773" t="s">
        <v>410</v>
      </c>
    </row>
    <row r="2342" spans="1:23">
      <c r="A2342" s="911" t="s">
        <v>557</v>
      </c>
      <c r="B2342" s="912" t="s">
        <v>140</v>
      </c>
      <c r="C2342" s="912">
        <v>248</v>
      </c>
      <c r="D2342" s="912">
        <v>389</v>
      </c>
      <c r="E2342" s="912" t="s">
        <v>390</v>
      </c>
      <c r="S2342" s="27">
        <v>44255</v>
      </c>
      <c r="T2342" s="773" t="s">
        <v>132</v>
      </c>
      <c r="U2342" s="773">
        <v>306</v>
      </c>
      <c r="V2342" s="773">
        <v>2271</v>
      </c>
      <c r="W2342" s="773" t="s">
        <v>390</v>
      </c>
    </row>
    <row r="2343" spans="1:23">
      <c r="A2343" s="911" t="s">
        <v>557</v>
      </c>
      <c r="B2343" s="912" t="s">
        <v>140</v>
      </c>
      <c r="C2343" s="912">
        <v>383</v>
      </c>
      <c r="D2343" s="912">
        <v>1</v>
      </c>
      <c r="E2343" s="912" t="s">
        <v>410</v>
      </c>
      <c r="S2343" s="27">
        <v>44255</v>
      </c>
      <c r="T2343" s="773" t="s">
        <v>132</v>
      </c>
      <c r="U2343" s="773">
        <v>290</v>
      </c>
      <c r="V2343" s="773">
        <v>2398</v>
      </c>
      <c r="W2343" s="773" t="s">
        <v>390</v>
      </c>
    </row>
    <row r="2344" spans="1:23">
      <c r="A2344" s="911" t="s">
        <v>558</v>
      </c>
      <c r="B2344" s="912" t="s">
        <v>140</v>
      </c>
      <c r="C2344" s="912">
        <v>383</v>
      </c>
      <c r="D2344" s="912">
        <v>2</v>
      </c>
      <c r="E2344" s="912" t="s">
        <v>410</v>
      </c>
      <c r="S2344" s="27">
        <v>44620</v>
      </c>
      <c r="T2344" s="773" t="s">
        <v>132</v>
      </c>
      <c r="U2344" s="773">
        <v>93</v>
      </c>
      <c r="V2344" s="773">
        <v>8059</v>
      </c>
      <c r="W2344" s="773" t="s">
        <v>390</v>
      </c>
    </row>
    <row r="2345" spans="1:23">
      <c r="A2345" s="911" t="s">
        <v>557</v>
      </c>
      <c r="B2345" s="912" t="s">
        <v>140</v>
      </c>
      <c r="C2345" s="912">
        <v>493</v>
      </c>
      <c r="D2345" s="912">
        <v>5</v>
      </c>
      <c r="E2345" s="912" t="s">
        <v>410</v>
      </c>
      <c r="S2345" s="27">
        <v>44255</v>
      </c>
      <c r="T2345" s="773" t="s">
        <v>132</v>
      </c>
      <c r="U2345" s="773">
        <v>662</v>
      </c>
      <c r="V2345" s="773">
        <v>2799</v>
      </c>
      <c r="W2345" s="773" t="s">
        <v>390</v>
      </c>
    </row>
    <row r="2346" spans="1:23">
      <c r="A2346" s="911" t="s">
        <v>558</v>
      </c>
      <c r="B2346" s="912" t="s">
        <v>140</v>
      </c>
      <c r="C2346" s="912">
        <v>370</v>
      </c>
      <c r="D2346" s="912">
        <v>2</v>
      </c>
      <c r="E2346" s="912" t="s">
        <v>410</v>
      </c>
      <c r="S2346" s="27">
        <v>44255</v>
      </c>
      <c r="T2346" s="773" t="s">
        <v>132</v>
      </c>
      <c r="U2346" s="773">
        <v>63</v>
      </c>
      <c r="V2346" s="773">
        <v>1</v>
      </c>
      <c r="W2346" s="773" t="s">
        <v>410</v>
      </c>
    </row>
    <row r="2347" spans="1:23">
      <c r="A2347" s="911" t="s">
        <v>558</v>
      </c>
      <c r="B2347" s="912" t="s">
        <v>140</v>
      </c>
      <c r="C2347" s="912">
        <v>558</v>
      </c>
      <c r="D2347" s="912">
        <v>1291</v>
      </c>
      <c r="E2347" s="912" t="s">
        <v>390</v>
      </c>
      <c r="S2347" s="27">
        <v>44620</v>
      </c>
      <c r="T2347" s="773" t="s">
        <v>132</v>
      </c>
      <c r="U2347" s="773">
        <v>47</v>
      </c>
      <c r="V2347" s="773">
        <v>1</v>
      </c>
      <c r="W2347" s="773" t="s">
        <v>410</v>
      </c>
    </row>
    <row r="2348" spans="1:23">
      <c r="A2348" s="911" t="s">
        <v>558</v>
      </c>
      <c r="B2348" s="912" t="s">
        <v>140</v>
      </c>
      <c r="C2348" s="912">
        <v>555</v>
      </c>
      <c r="D2348" s="912">
        <v>1679</v>
      </c>
      <c r="E2348" s="912" t="s">
        <v>390</v>
      </c>
      <c r="S2348" s="27">
        <v>44620</v>
      </c>
      <c r="T2348" s="773" t="s">
        <v>132</v>
      </c>
      <c r="U2348" s="773">
        <v>621</v>
      </c>
      <c r="V2348" s="773">
        <v>2391</v>
      </c>
      <c r="W2348" s="773" t="s">
        <v>390</v>
      </c>
    </row>
    <row r="2349" spans="1:23">
      <c r="A2349" s="911" t="s">
        <v>557</v>
      </c>
      <c r="B2349" s="912" t="s">
        <v>140</v>
      </c>
      <c r="C2349" s="912">
        <v>548</v>
      </c>
      <c r="D2349" s="912">
        <v>690</v>
      </c>
      <c r="E2349" s="912" t="s">
        <v>390</v>
      </c>
      <c r="S2349" s="27">
        <v>44620</v>
      </c>
      <c r="T2349" s="773" t="s">
        <v>132</v>
      </c>
      <c r="U2349" s="773">
        <v>148</v>
      </c>
      <c r="V2349" s="773">
        <v>1</v>
      </c>
      <c r="W2349" s="773" t="s">
        <v>410</v>
      </c>
    </row>
    <row r="2350" spans="1:23">
      <c r="A2350" s="911" t="s">
        <v>558</v>
      </c>
      <c r="B2350" s="912" t="s">
        <v>140</v>
      </c>
      <c r="C2350" s="912">
        <v>610</v>
      </c>
      <c r="D2350" s="912">
        <v>3</v>
      </c>
      <c r="E2350" s="912" t="s">
        <v>410</v>
      </c>
      <c r="S2350" s="27">
        <v>44620</v>
      </c>
      <c r="T2350" s="773" t="s">
        <v>132</v>
      </c>
      <c r="U2350" s="773">
        <v>39</v>
      </c>
      <c r="V2350" s="773">
        <v>1</v>
      </c>
      <c r="W2350" s="773" t="s">
        <v>410</v>
      </c>
    </row>
    <row r="2351" spans="1:23">
      <c r="A2351" s="911" t="s">
        <v>557</v>
      </c>
      <c r="B2351" s="912" t="s">
        <v>140</v>
      </c>
      <c r="C2351" s="912">
        <v>524</v>
      </c>
      <c r="D2351" s="912">
        <v>1099</v>
      </c>
      <c r="E2351" s="912" t="s">
        <v>390</v>
      </c>
      <c r="S2351" s="27">
        <v>44255</v>
      </c>
      <c r="T2351" s="773" t="s">
        <v>132</v>
      </c>
      <c r="U2351" s="773">
        <v>262</v>
      </c>
      <c r="V2351" s="773">
        <v>89</v>
      </c>
      <c r="W2351" s="773" t="s">
        <v>410</v>
      </c>
    </row>
    <row r="2352" spans="1:23">
      <c r="A2352" s="911" t="s">
        <v>558</v>
      </c>
      <c r="B2352" s="912" t="s">
        <v>140</v>
      </c>
      <c r="C2352" s="912">
        <v>574</v>
      </c>
      <c r="D2352" s="912">
        <v>2550</v>
      </c>
      <c r="E2352" s="912" t="s">
        <v>390</v>
      </c>
      <c r="S2352" s="27">
        <v>44620</v>
      </c>
      <c r="T2352" s="773" t="s">
        <v>132</v>
      </c>
      <c r="U2352" s="773">
        <v>700</v>
      </c>
      <c r="V2352" s="773">
        <v>1632</v>
      </c>
      <c r="W2352" s="773" t="s">
        <v>390</v>
      </c>
    </row>
    <row r="2353" spans="1:23">
      <c r="A2353" s="911" t="s">
        <v>557</v>
      </c>
      <c r="B2353" s="912" t="s">
        <v>140</v>
      </c>
      <c r="C2353" s="912">
        <v>338</v>
      </c>
      <c r="D2353" s="912">
        <v>2451</v>
      </c>
      <c r="E2353" s="912" t="s">
        <v>390</v>
      </c>
      <c r="S2353" s="27">
        <v>44255</v>
      </c>
      <c r="T2353" s="773" t="s">
        <v>132</v>
      </c>
      <c r="U2353" s="773">
        <v>652</v>
      </c>
      <c r="V2353" s="773">
        <v>2630</v>
      </c>
      <c r="W2353" s="773" t="s">
        <v>390</v>
      </c>
    </row>
    <row r="2354" spans="1:23">
      <c r="A2354" s="911" t="s">
        <v>558</v>
      </c>
      <c r="B2354" s="912" t="s">
        <v>140</v>
      </c>
      <c r="C2354" s="912">
        <v>628</v>
      </c>
      <c r="D2354" s="912">
        <v>745</v>
      </c>
      <c r="E2354" s="912" t="s">
        <v>390</v>
      </c>
      <c r="S2354" s="27">
        <v>44255</v>
      </c>
      <c r="T2354" s="773" t="s">
        <v>132</v>
      </c>
      <c r="U2354" s="773">
        <v>222</v>
      </c>
      <c r="V2354" s="773">
        <v>2</v>
      </c>
      <c r="W2354" s="773" t="s">
        <v>410</v>
      </c>
    </row>
    <row r="2355" spans="1:23">
      <c r="A2355" s="911" t="s">
        <v>558</v>
      </c>
      <c r="B2355" s="912" t="s">
        <v>140</v>
      </c>
      <c r="C2355" s="912">
        <v>659</v>
      </c>
      <c r="D2355" s="912">
        <v>1052</v>
      </c>
      <c r="E2355" s="912" t="s">
        <v>390</v>
      </c>
      <c r="S2355" s="27">
        <v>44255</v>
      </c>
      <c r="T2355" s="773" t="s">
        <v>132</v>
      </c>
      <c r="U2355" s="773">
        <v>237</v>
      </c>
      <c r="V2355" s="773">
        <v>32</v>
      </c>
      <c r="W2355" s="773" t="s">
        <v>410</v>
      </c>
    </row>
    <row r="2356" spans="1:23">
      <c r="A2356" s="911" t="s">
        <v>558</v>
      </c>
      <c r="B2356" s="912" t="s">
        <v>140</v>
      </c>
      <c r="C2356" s="912">
        <v>708</v>
      </c>
      <c r="D2356" s="912">
        <v>3060</v>
      </c>
      <c r="E2356" s="912" t="s">
        <v>390</v>
      </c>
      <c r="S2356" s="27">
        <v>44255</v>
      </c>
      <c r="T2356" s="773" t="s">
        <v>132</v>
      </c>
      <c r="U2356" s="773">
        <v>203</v>
      </c>
      <c r="V2356" s="773">
        <v>3028</v>
      </c>
      <c r="W2356" s="773" t="s">
        <v>390</v>
      </c>
    </row>
    <row r="2357" spans="1:23">
      <c r="A2357" s="911" t="s">
        <v>557</v>
      </c>
      <c r="B2357" s="912" t="s">
        <v>140</v>
      </c>
      <c r="C2357" s="912">
        <v>558</v>
      </c>
      <c r="D2357" s="912">
        <v>1249</v>
      </c>
      <c r="E2357" s="912" t="s">
        <v>390</v>
      </c>
      <c r="S2357" s="27">
        <v>44255</v>
      </c>
      <c r="T2357" s="773" t="s">
        <v>132</v>
      </c>
      <c r="U2357" s="773">
        <v>153</v>
      </c>
      <c r="V2357" s="773">
        <v>2158</v>
      </c>
      <c r="W2357" s="773" t="s">
        <v>390</v>
      </c>
    </row>
    <row r="2358" spans="1:23">
      <c r="A2358" s="911" t="s">
        <v>558</v>
      </c>
      <c r="B2358" s="912" t="s">
        <v>140</v>
      </c>
      <c r="C2358" s="912">
        <v>740</v>
      </c>
      <c r="D2358" s="912">
        <v>348</v>
      </c>
      <c r="E2358" s="912" t="s">
        <v>390</v>
      </c>
      <c r="S2358" s="27">
        <v>44255</v>
      </c>
      <c r="T2358" s="773" t="s">
        <v>132</v>
      </c>
      <c r="U2358" s="773">
        <v>650</v>
      </c>
      <c r="V2358" s="773">
        <v>118</v>
      </c>
      <c r="W2358" s="773" t="s">
        <v>390</v>
      </c>
    </row>
    <row r="2359" spans="1:23">
      <c r="A2359" s="911" t="s">
        <v>558</v>
      </c>
      <c r="B2359" s="912" t="s">
        <v>140</v>
      </c>
      <c r="C2359" s="912">
        <v>640</v>
      </c>
      <c r="D2359" s="912">
        <v>2999</v>
      </c>
      <c r="E2359" s="912" t="s">
        <v>390</v>
      </c>
      <c r="S2359" s="27">
        <v>44620</v>
      </c>
      <c r="T2359" s="773" t="s">
        <v>132</v>
      </c>
      <c r="U2359" s="773">
        <v>668</v>
      </c>
      <c r="V2359" s="773">
        <v>7</v>
      </c>
      <c r="W2359" s="773" t="s">
        <v>410</v>
      </c>
    </row>
    <row r="2360" spans="1:23">
      <c r="A2360" s="911" t="s">
        <v>558</v>
      </c>
      <c r="B2360" s="912" t="s">
        <v>140</v>
      </c>
      <c r="C2360" s="912">
        <v>581</v>
      </c>
      <c r="D2360" s="912">
        <v>2710</v>
      </c>
      <c r="E2360" s="912" t="s">
        <v>390</v>
      </c>
      <c r="S2360" s="27">
        <v>44620</v>
      </c>
      <c r="T2360" s="773" t="s">
        <v>132</v>
      </c>
      <c r="U2360" s="773">
        <v>43</v>
      </c>
      <c r="V2360" s="773">
        <v>552</v>
      </c>
      <c r="W2360" s="773" t="s">
        <v>390</v>
      </c>
    </row>
    <row r="2361" spans="1:23">
      <c r="A2361" s="911" t="s">
        <v>557</v>
      </c>
      <c r="B2361" s="912" t="s">
        <v>140</v>
      </c>
      <c r="C2361" s="912">
        <v>574</v>
      </c>
      <c r="D2361" s="912">
        <v>2485</v>
      </c>
      <c r="E2361" s="912" t="s">
        <v>390</v>
      </c>
      <c r="S2361" s="27">
        <v>44620</v>
      </c>
      <c r="T2361" s="773" t="s">
        <v>132</v>
      </c>
      <c r="U2361" s="773">
        <v>94</v>
      </c>
      <c r="V2361" s="773">
        <v>168</v>
      </c>
      <c r="W2361" s="773" t="s">
        <v>390</v>
      </c>
    </row>
    <row r="2362" spans="1:23">
      <c r="A2362" s="911" t="s">
        <v>557</v>
      </c>
      <c r="B2362" s="912" t="s">
        <v>140</v>
      </c>
      <c r="C2362" s="912">
        <v>628</v>
      </c>
      <c r="D2362" s="912">
        <v>1698</v>
      </c>
      <c r="E2362" s="912" t="s">
        <v>390</v>
      </c>
      <c r="S2362" s="27">
        <v>44255</v>
      </c>
      <c r="T2362" s="773" t="s">
        <v>132</v>
      </c>
      <c r="U2362" s="773">
        <v>701</v>
      </c>
      <c r="V2362" s="773">
        <v>25</v>
      </c>
      <c r="W2362" s="773" t="s">
        <v>410</v>
      </c>
    </row>
    <row r="2363" spans="1:23">
      <c r="A2363" s="911" t="s">
        <v>558</v>
      </c>
      <c r="B2363" s="912" t="s">
        <v>140</v>
      </c>
      <c r="C2363" s="912">
        <v>727</v>
      </c>
      <c r="D2363" s="912">
        <v>2031</v>
      </c>
      <c r="E2363" s="912" t="s">
        <v>390</v>
      </c>
      <c r="S2363" s="27">
        <v>44255</v>
      </c>
      <c r="T2363" s="773" t="s">
        <v>132</v>
      </c>
      <c r="U2363" s="773">
        <v>367</v>
      </c>
      <c r="V2363" s="773">
        <v>8</v>
      </c>
      <c r="W2363" s="773" t="s">
        <v>410</v>
      </c>
    </row>
    <row r="2364" spans="1:23">
      <c r="A2364" s="911" t="s">
        <v>558</v>
      </c>
      <c r="B2364" s="912" t="s">
        <v>140</v>
      </c>
      <c r="C2364" s="912">
        <v>758</v>
      </c>
      <c r="D2364" s="912">
        <v>1</v>
      </c>
      <c r="E2364" s="912" t="s">
        <v>410</v>
      </c>
      <c r="S2364" s="27">
        <v>44620</v>
      </c>
      <c r="T2364" s="773" t="s">
        <v>132</v>
      </c>
      <c r="U2364" s="773">
        <v>665</v>
      </c>
      <c r="V2364" s="773">
        <v>2743</v>
      </c>
      <c r="W2364" s="773" t="s">
        <v>390</v>
      </c>
    </row>
    <row r="2365" spans="1:23">
      <c r="A2365" s="911" t="s">
        <v>558</v>
      </c>
      <c r="B2365" s="912" t="s">
        <v>140</v>
      </c>
      <c r="C2365" s="912">
        <v>548</v>
      </c>
      <c r="D2365" s="912">
        <v>1042</v>
      </c>
      <c r="E2365" s="912" t="s">
        <v>390</v>
      </c>
      <c r="S2365" s="27">
        <v>44620</v>
      </c>
      <c r="T2365" s="773" t="s">
        <v>132</v>
      </c>
      <c r="U2365" s="773">
        <v>255</v>
      </c>
      <c r="V2365" s="773">
        <v>105</v>
      </c>
      <c r="W2365" s="773" t="s">
        <v>390</v>
      </c>
    </row>
    <row r="2366" spans="1:23">
      <c r="A2366" s="911" t="s">
        <v>558</v>
      </c>
      <c r="B2366" s="912" t="s">
        <v>140</v>
      </c>
      <c r="C2366" s="912">
        <v>248</v>
      </c>
      <c r="D2366" s="912">
        <v>22</v>
      </c>
      <c r="E2366" s="912" t="s">
        <v>410</v>
      </c>
      <c r="S2366" s="27">
        <v>44620</v>
      </c>
      <c r="T2366" s="773" t="s">
        <v>132</v>
      </c>
      <c r="U2366" s="773">
        <v>120</v>
      </c>
      <c r="V2366" s="773">
        <v>2</v>
      </c>
      <c r="W2366" s="773" t="s">
        <v>410</v>
      </c>
    </row>
    <row r="2367" spans="1:23">
      <c r="A2367" s="911" t="s">
        <v>557</v>
      </c>
      <c r="B2367" s="912" t="s">
        <v>140</v>
      </c>
      <c r="C2367" s="912">
        <v>555</v>
      </c>
      <c r="D2367" s="912">
        <v>1645</v>
      </c>
      <c r="E2367" s="912" t="s">
        <v>390</v>
      </c>
      <c r="S2367" s="27">
        <v>44620</v>
      </c>
      <c r="T2367" s="773" t="s">
        <v>132</v>
      </c>
      <c r="U2367" s="773">
        <v>236</v>
      </c>
      <c r="V2367" s="773">
        <v>1</v>
      </c>
      <c r="W2367" s="773" t="s">
        <v>410</v>
      </c>
    </row>
    <row r="2368" spans="1:23">
      <c r="A2368" s="911" t="s">
        <v>558</v>
      </c>
      <c r="B2368" s="912" t="s">
        <v>140</v>
      </c>
      <c r="C2368" s="912">
        <v>449</v>
      </c>
      <c r="D2368" s="912">
        <v>1786</v>
      </c>
      <c r="E2368" s="912" t="s">
        <v>390</v>
      </c>
      <c r="S2368" s="27">
        <v>44255</v>
      </c>
      <c r="T2368" s="773" t="s">
        <v>132</v>
      </c>
      <c r="U2368" s="773">
        <v>52</v>
      </c>
      <c r="V2368" s="773">
        <v>2</v>
      </c>
      <c r="W2368" s="773" t="s">
        <v>410</v>
      </c>
    </row>
    <row r="2369" spans="1:23">
      <c r="A2369" s="911" t="s">
        <v>557</v>
      </c>
      <c r="B2369" s="912" t="s">
        <v>140</v>
      </c>
      <c r="C2369" s="912">
        <v>576</v>
      </c>
      <c r="D2369" s="912">
        <v>251</v>
      </c>
      <c r="E2369" s="912" t="s">
        <v>390</v>
      </c>
      <c r="S2369" s="27">
        <v>44255</v>
      </c>
      <c r="T2369" s="773" t="s">
        <v>132</v>
      </c>
      <c r="U2369" s="773">
        <v>111</v>
      </c>
      <c r="V2369" s="773">
        <v>1</v>
      </c>
      <c r="W2369" s="773" t="s">
        <v>410</v>
      </c>
    </row>
    <row r="2370" spans="1:23">
      <c r="A2370" s="911" t="s">
        <v>557</v>
      </c>
      <c r="B2370" s="912" t="s">
        <v>140</v>
      </c>
      <c r="C2370" s="912">
        <v>691</v>
      </c>
      <c r="D2370" s="912">
        <v>160</v>
      </c>
      <c r="E2370" s="912" t="s">
        <v>390</v>
      </c>
      <c r="S2370" s="27">
        <v>44255</v>
      </c>
      <c r="T2370" s="773" t="s">
        <v>132</v>
      </c>
      <c r="U2370" s="773">
        <v>66</v>
      </c>
      <c r="V2370" s="773">
        <v>6</v>
      </c>
      <c r="W2370" s="773" t="s">
        <v>410</v>
      </c>
    </row>
    <row r="2371" spans="1:23">
      <c r="A2371" s="911" t="s">
        <v>557</v>
      </c>
      <c r="B2371" s="912" t="s">
        <v>140</v>
      </c>
      <c r="C2371" s="912">
        <v>740</v>
      </c>
      <c r="D2371" s="912">
        <v>366</v>
      </c>
      <c r="E2371" s="912" t="s">
        <v>390</v>
      </c>
      <c r="S2371" s="27">
        <v>44620</v>
      </c>
      <c r="T2371" s="773" t="s">
        <v>132</v>
      </c>
      <c r="U2371" s="773">
        <v>213</v>
      </c>
      <c r="V2371" s="773">
        <v>8</v>
      </c>
      <c r="W2371" s="773" t="s">
        <v>410</v>
      </c>
    </row>
    <row r="2372" spans="1:23">
      <c r="A2372" s="911" t="s">
        <v>557</v>
      </c>
      <c r="B2372" s="912" t="s">
        <v>140</v>
      </c>
      <c r="C2372" s="912">
        <v>630</v>
      </c>
      <c r="D2372" s="912">
        <v>1</v>
      </c>
      <c r="E2372" s="912" t="s">
        <v>410</v>
      </c>
      <c r="S2372" s="27">
        <v>44255</v>
      </c>
      <c r="T2372" s="773" t="s">
        <v>132</v>
      </c>
      <c r="U2372" s="773">
        <v>664</v>
      </c>
      <c r="V2372" s="773">
        <v>2130</v>
      </c>
      <c r="W2372" s="773" t="s">
        <v>390</v>
      </c>
    </row>
    <row r="2373" spans="1:23">
      <c r="A2373" s="911" t="s">
        <v>558</v>
      </c>
      <c r="B2373" s="912" t="s">
        <v>140</v>
      </c>
      <c r="C2373" s="912">
        <v>597</v>
      </c>
      <c r="D2373" s="912">
        <v>1473</v>
      </c>
      <c r="E2373" s="912" t="s">
        <v>390</v>
      </c>
      <c r="S2373" s="27">
        <v>44620</v>
      </c>
      <c r="T2373" s="773" t="s">
        <v>132</v>
      </c>
      <c r="U2373" s="773">
        <v>312</v>
      </c>
      <c r="V2373" s="773">
        <v>2286</v>
      </c>
      <c r="W2373" s="773" t="s">
        <v>390</v>
      </c>
    </row>
    <row r="2374" spans="1:23">
      <c r="A2374" s="911" t="s">
        <v>557</v>
      </c>
      <c r="B2374" s="912" t="s">
        <v>140</v>
      </c>
      <c r="C2374" s="912">
        <v>582</v>
      </c>
      <c r="D2374" s="912">
        <v>2263</v>
      </c>
      <c r="E2374" s="912" t="s">
        <v>390</v>
      </c>
      <c r="S2374" s="27">
        <v>44255</v>
      </c>
      <c r="T2374" s="773" t="s">
        <v>132</v>
      </c>
      <c r="U2374" s="773">
        <v>303</v>
      </c>
      <c r="V2374" s="773">
        <v>2466</v>
      </c>
      <c r="W2374" s="773" t="s">
        <v>390</v>
      </c>
    </row>
    <row r="2375" spans="1:23">
      <c r="A2375" s="911" t="s">
        <v>558</v>
      </c>
      <c r="B2375" s="912" t="s">
        <v>140</v>
      </c>
      <c r="C2375" s="912">
        <v>732</v>
      </c>
      <c r="D2375" s="912">
        <v>4</v>
      </c>
      <c r="E2375" s="912" t="s">
        <v>410</v>
      </c>
      <c r="S2375" s="27">
        <v>44620</v>
      </c>
      <c r="T2375" s="773" t="s">
        <v>132</v>
      </c>
      <c r="U2375" s="773">
        <v>679</v>
      </c>
      <c r="V2375" s="773">
        <v>3</v>
      </c>
      <c r="W2375" s="773" t="s">
        <v>410</v>
      </c>
    </row>
    <row r="2376" spans="1:23">
      <c r="A2376" s="911" t="s">
        <v>557</v>
      </c>
      <c r="B2376" s="912" t="s">
        <v>140</v>
      </c>
      <c r="C2376" s="912">
        <v>359</v>
      </c>
      <c r="D2376" s="912">
        <v>779</v>
      </c>
      <c r="E2376" s="912" t="s">
        <v>390</v>
      </c>
      <c r="S2376" s="27">
        <v>44620</v>
      </c>
      <c r="T2376" s="773" t="s">
        <v>132</v>
      </c>
      <c r="U2376" s="773">
        <v>181</v>
      </c>
      <c r="V2376" s="773">
        <v>1</v>
      </c>
      <c r="W2376" s="773" t="s">
        <v>410</v>
      </c>
    </row>
    <row r="2377" spans="1:23">
      <c r="A2377" s="911" t="s">
        <v>557</v>
      </c>
      <c r="B2377" s="912" t="s">
        <v>140</v>
      </c>
      <c r="C2377" s="912">
        <v>722</v>
      </c>
      <c r="D2377" s="912">
        <v>1898</v>
      </c>
      <c r="E2377" s="912" t="s">
        <v>390</v>
      </c>
      <c r="S2377" s="27">
        <v>44620</v>
      </c>
      <c r="T2377" s="773" t="s">
        <v>132</v>
      </c>
      <c r="U2377" s="773">
        <v>97</v>
      </c>
      <c r="V2377" s="773">
        <v>2</v>
      </c>
      <c r="W2377" s="773" t="s">
        <v>410</v>
      </c>
    </row>
    <row r="2378" spans="1:23">
      <c r="A2378" s="911" t="s">
        <v>558</v>
      </c>
      <c r="B2378" s="912" t="s">
        <v>140</v>
      </c>
      <c r="C2378" s="912">
        <v>594</v>
      </c>
      <c r="D2378" s="912">
        <v>2787</v>
      </c>
      <c r="E2378" s="912" t="s">
        <v>390</v>
      </c>
      <c r="S2378" s="27">
        <v>44255</v>
      </c>
      <c r="T2378" s="773" t="s">
        <v>132</v>
      </c>
      <c r="U2378" s="773">
        <v>155</v>
      </c>
      <c r="V2378" s="773">
        <v>2463</v>
      </c>
      <c r="W2378" s="773" t="s">
        <v>390</v>
      </c>
    </row>
    <row r="2379" spans="1:23">
      <c r="A2379" s="911" t="s">
        <v>558</v>
      </c>
      <c r="B2379" s="912" t="s">
        <v>140</v>
      </c>
      <c r="C2379" s="912">
        <v>527</v>
      </c>
      <c r="D2379" s="912">
        <v>3</v>
      </c>
      <c r="E2379" s="912" t="s">
        <v>410</v>
      </c>
      <c r="S2379" s="27">
        <v>44255</v>
      </c>
      <c r="T2379" s="773" t="s">
        <v>132</v>
      </c>
      <c r="U2379" s="773">
        <v>654</v>
      </c>
      <c r="V2379" s="773">
        <v>2542</v>
      </c>
      <c r="W2379" s="773" t="s">
        <v>390</v>
      </c>
    </row>
    <row r="2380" spans="1:23">
      <c r="A2380" s="911" t="s">
        <v>557</v>
      </c>
      <c r="B2380" s="912" t="s">
        <v>140</v>
      </c>
      <c r="C2380" s="912">
        <v>610</v>
      </c>
      <c r="D2380" s="912">
        <v>4</v>
      </c>
      <c r="E2380" s="912" t="s">
        <v>410</v>
      </c>
      <c r="S2380" s="27">
        <v>44620</v>
      </c>
      <c r="T2380" s="773" t="s">
        <v>132</v>
      </c>
      <c r="U2380" s="773">
        <v>641</v>
      </c>
      <c r="V2380" s="773">
        <v>2593</v>
      </c>
      <c r="W2380" s="773" t="s">
        <v>390</v>
      </c>
    </row>
    <row r="2381" spans="1:23">
      <c r="A2381" s="911" t="s">
        <v>558</v>
      </c>
      <c r="B2381" s="912" t="s">
        <v>140</v>
      </c>
      <c r="C2381" s="912">
        <v>524</v>
      </c>
      <c r="D2381" s="912">
        <v>1908</v>
      </c>
      <c r="E2381" s="912" t="s">
        <v>390</v>
      </c>
      <c r="S2381" s="27">
        <v>44620</v>
      </c>
      <c r="T2381" s="773" t="s">
        <v>132</v>
      </c>
      <c r="U2381" s="773">
        <v>73</v>
      </c>
      <c r="V2381" s="773">
        <v>2</v>
      </c>
      <c r="W2381" s="773" t="s">
        <v>410</v>
      </c>
    </row>
    <row r="2382" spans="1:23">
      <c r="A2382" s="911" t="s">
        <v>558</v>
      </c>
      <c r="B2382" s="912" t="s">
        <v>140</v>
      </c>
      <c r="C2382" s="912">
        <v>691</v>
      </c>
      <c r="D2382" s="912">
        <v>219</v>
      </c>
      <c r="E2382" s="912" t="s">
        <v>390</v>
      </c>
      <c r="S2382" s="27">
        <v>44255</v>
      </c>
      <c r="T2382" s="773" t="s">
        <v>132</v>
      </c>
      <c r="U2382" s="773">
        <v>116</v>
      </c>
      <c r="V2382" s="773">
        <v>2</v>
      </c>
      <c r="W2382" s="773" t="s">
        <v>410</v>
      </c>
    </row>
    <row r="2383" spans="1:23">
      <c r="A2383" s="911" t="s">
        <v>558</v>
      </c>
      <c r="B2383" s="912" t="s">
        <v>140</v>
      </c>
      <c r="C2383" s="912">
        <v>626</v>
      </c>
      <c r="D2383" s="912">
        <v>3278</v>
      </c>
      <c r="E2383" s="912" t="s">
        <v>390</v>
      </c>
      <c r="S2383" s="27">
        <v>44620</v>
      </c>
      <c r="T2383" s="773" t="s">
        <v>132</v>
      </c>
      <c r="U2383" s="773">
        <v>203</v>
      </c>
      <c r="V2383" s="773">
        <v>3190</v>
      </c>
      <c r="W2383" s="773" t="s">
        <v>390</v>
      </c>
    </row>
    <row r="2384" spans="1:23">
      <c r="A2384" s="911" t="s">
        <v>558</v>
      </c>
      <c r="B2384" s="912" t="s">
        <v>140</v>
      </c>
      <c r="C2384" s="912">
        <v>0</v>
      </c>
      <c r="D2384" s="912">
        <v>7</v>
      </c>
      <c r="E2384" s="912" t="s">
        <v>410</v>
      </c>
      <c r="S2384" s="27">
        <v>44255</v>
      </c>
      <c r="T2384" s="773" t="s">
        <v>132</v>
      </c>
      <c r="U2384" s="773">
        <v>79</v>
      </c>
      <c r="V2384" s="773">
        <v>4</v>
      </c>
      <c r="W2384" s="773" t="s">
        <v>410</v>
      </c>
    </row>
    <row r="2385" spans="1:23">
      <c r="A2385" s="911" t="s">
        <v>557</v>
      </c>
      <c r="B2385" s="912" t="s">
        <v>140</v>
      </c>
      <c r="C2385" s="912">
        <v>0</v>
      </c>
      <c r="D2385" s="912">
        <v>7</v>
      </c>
      <c r="E2385" s="912" t="s">
        <v>410</v>
      </c>
      <c r="S2385" s="27">
        <v>44620</v>
      </c>
      <c r="T2385" s="773" t="s">
        <v>132</v>
      </c>
      <c r="U2385" s="773">
        <v>322</v>
      </c>
      <c r="V2385" s="773">
        <v>2040</v>
      </c>
      <c r="W2385" s="773" t="s">
        <v>390</v>
      </c>
    </row>
    <row r="2386" spans="1:23">
      <c r="A2386" s="911" t="s">
        <v>557</v>
      </c>
      <c r="B2386" s="912" t="s">
        <v>140</v>
      </c>
      <c r="C2386" s="912">
        <v>449</v>
      </c>
      <c r="D2386" s="912">
        <v>1819</v>
      </c>
      <c r="E2386" s="912" t="s">
        <v>390</v>
      </c>
      <c r="S2386" s="27">
        <v>44255</v>
      </c>
      <c r="T2386" s="773" t="s">
        <v>132</v>
      </c>
      <c r="U2386" s="773">
        <v>44</v>
      </c>
      <c r="V2386" s="773">
        <v>3143</v>
      </c>
      <c r="W2386" s="773" t="s">
        <v>390</v>
      </c>
    </row>
    <row r="2387" spans="1:23">
      <c r="A2387" s="911" t="s">
        <v>557</v>
      </c>
      <c r="B2387" s="912" t="s">
        <v>140</v>
      </c>
      <c r="C2387" s="912">
        <v>556</v>
      </c>
      <c r="D2387" s="912">
        <v>2630</v>
      </c>
      <c r="E2387" s="912" t="s">
        <v>390</v>
      </c>
      <c r="S2387" s="27">
        <v>44255</v>
      </c>
      <c r="T2387" s="773" t="s">
        <v>132</v>
      </c>
      <c r="U2387" s="773">
        <v>678</v>
      </c>
      <c r="V2387" s="773">
        <v>2512</v>
      </c>
      <c r="W2387" s="773" t="s">
        <v>390</v>
      </c>
    </row>
    <row r="2388" spans="1:23">
      <c r="A2388" s="911" t="s">
        <v>557</v>
      </c>
      <c r="B2388" s="912" t="s">
        <v>140</v>
      </c>
      <c r="C2388" s="912">
        <v>478</v>
      </c>
      <c r="D2388" s="912">
        <v>1</v>
      </c>
      <c r="E2388" s="912" t="s">
        <v>410</v>
      </c>
      <c r="S2388" s="27">
        <v>44620</v>
      </c>
      <c r="T2388" s="773" t="s">
        <v>132</v>
      </c>
      <c r="U2388" s="773">
        <v>114</v>
      </c>
      <c r="V2388" s="773">
        <v>1</v>
      </c>
      <c r="W2388" s="773" t="s">
        <v>410</v>
      </c>
    </row>
    <row r="2389" spans="1:23">
      <c r="A2389" s="911" t="s">
        <v>558</v>
      </c>
      <c r="B2389" s="912" t="s">
        <v>140</v>
      </c>
      <c r="C2389" s="912">
        <v>279</v>
      </c>
      <c r="D2389" s="912">
        <v>1</v>
      </c>
      <c r="E2389" s="912" t="s">
        <v>410</v>
      </c>
      <c r="S2389" s="27">
        <v>44255</v>
      </c>
      <c r="T2389" s="773" t="s">
        <v>132</v>
      </c>
      <c r="U2389" s="773">
        <v>641</v>
      </c>
      <c r="V2389" s="773">
        <v>3082</v>
      </c>
      <c r="W2389" s="773" t="s">
        <v>390</v>
      </c>
    </row>
    <row r="2390" spans="1:23">
      <c r="A2390" s="911" t="s">
        <v>558</v>
      </c>
      <c r="B2390" s="912" t="s">
        <v>140</v>
      </c>
      <c r="C2390" s="912">
        <v>346</v>
      </c>
      <c r="D2390" s="912">
        <v>3</v>
      </c>
      <c r="E2390" s="912" t="s">
        <v>410</v>
      </c>
      <c r="S2390" s="27">
        <v>44255</v>
      </c>
      <c r="T2390" s="773" t="s">
        <v>132</v>
      </c>
      <c r="U2390" s="773">
        <v>56</v>
      </c>
      <c r="V2390" s="773">
        <v>48</v>
      </c>
      <c r="W2390" s="773" t="s">
        <v>410</v>
      </c>
    </row>
    <row r="2391" spans="1:23">
      <c r="A2391" s="911" t="s">
        <v>558</v>
      </c>
      <c r="B2391" s="912" t="s">
        <v>140</v>
      </c>
      <c r="C2391" s="912">
        <v>359</v>
      </c>
      <c r="D2391" s="912">
        <v>966</v>
      </c>
      <c r="E2391" s="912" t="s">
        <v>390</v>
      </c>
      <c r="S2391" s="27">
        <v>44620</v>
      </c>
      <c r="T2391" s="773" t="s">
        <v>132</v>
      </c>
      <c r="U2391" s="773">
        <v>218</v>
      </c>
      <c r="V2391" s="773">
        <v>886</v>
      </c>
      <c r="W2391" s="773" t="s">
        <v>390</v>
      </c>
    </row>
    <row r="2392" spans="1:23">
      <c r="A2392" s="911" t="s">
        <v>557</v>
      </c>
      <c r="B2392" s="912" t="s">
        <v>140</v>
      </c>
      <c r="C2392" s="912">
        <v>585</v>
      </c>
      <c r="D2392" s="912">
        <v>5163</v>
      </c>
      <c r="E2392" s="912" t="s">
        <v>390</v>
      </c>
      <c r="S2392" s="27">
        <v>44620</v>
      </c>
      <c r="T2392" s="773" t="s">
        <v>132</v>
      </c>
      <c r="U2392" s="773">
        <v>150</v>
      </c>
      <c r="V2392" s="773">
        <v>521</v>
      </c>
      <c r="W2392" s="773" t="s">
        <v>390</v>
      </c>
    </row>
    <row r="2393" spans="1:23">
      <c r="A2393" s="911" t="s">
        <v>557</v>
      </c>
      <c r="B2393" s="912" t="s">
        <v>140</v>
      </c>
      <c r="C2393" s="912">
        <v>453</v>
      </c>
      <c r="D2393" s="912">
        <v>2327</v>
      </c>
      <c r="E2393" s="912" t="s">
        <v>390</v>
      </c>
      <c r="S2393" s="27">
        <v>44620</v>
      </c>
      <c r="T2393" s="773" t="s">
        <v>132</v>
      </c>
      <c r="U2393" s="773">
        <v>636</v>
      </c>
      <c r="V2393" s="773">
        <v>20</v>
      </c>
      <c r="W2393" s="773" t="s">
        <v>410</v>
      </c>
    </row>
    <row r="2394" spans="1:23">
      <c r="A2394" s="911" t="s">
        <v>558</v>
      </c>
      <c r="B2394" s="912" t="s">
        <v>140</v>
      </c>
      <c r="C2394" s="912">
        <v>742</v>
      </c>
      <c r="D2394" s="912">
        <v>1</v>
      </c>
      <c r="E2394" s="912" t="s">
        <v>410</v>
      </c>
      <c r="S2394" s="27">
        <v>44620</v>
      </c>
      <c r="T2394" s="773" t="s">
        <v>132</v>
      </c>
      <c r="U2394" s="773">
        <v>669</v>
      </c>
      <c r="V2394" s="773">
        <v>2629</v>
      </c>
      <c r="W2394" s="773" t="s">
        <v>390</v>
      </c>
    </row>
    <row r="2395" spans="1:23">
      <c r="A2395" s="911" t="s">
        <v>558</v>
      </c>
      <c r="B2395" s="912" t="s">
        <v>140</v>
      </c>
      <c r="C2395" s="912">
        <v>493</v>
      </c>
      <c r="D2395" s="912">
        <v>5</v>
      </c>
      <c r="E2395" s="912" t="s">
        <v>410</v>
      </c>
      <c r="S2395" s="27">
        <v>44255</v>
      </c>
      <c r="T2395" s="773" t="s">
        <v>132</v>
      </c>
      <c r="U2395" s="773">
        <v>101</v>
      </c>
      <c r="V2395" s="773">
        <v>819</v>
      </c>
      <c r="W2395" s="773" t="s">
        <v>390</v>
      </c>
    </row>
    <row r="2396" spans="1:23">
      <c r="A2396" s="911" t="s">
        <v>557</v>
      </c>
      <c r="B2396" s="912" t="s">
        <v>140</v>
      </c>
      <c r="C2396" s="912">
        <v>527</v>
      </c>
      <c r="D2396" s="912">
        <v>2</v>
      </c>
      <c r="E2396" s="912" t="s">
        <v>410</v>
      </c>
      <c r="S2396" s="27">
        <v>44255</v>
      </c>
      <c r="T2396" s="773" t="s">
        <v>132</v>
      </c>
      <c r="U2396" s="773">
        <v>697</v>
      </c>
      <c r="V2396" s="773">
        <v>244</v>
      </c>
      <c r="W2396" s="773" t="s">
        <v>390</v>
      </c>
    </row>
    <row r="2397" spans="1:23">
      <c r="A2397" s="911" t="s">
        <v>557</v>
      </c>
      <c r="B2397" s="912" t="s">
        <v>140</v>
      </c>
      <c r="C2397" s="912">
        <v>346</v>
      </c>
      <c r="D2397" s="912">
        <v>3</v>
      </c>
      <c r="E2397" s="912" t="s">
        <v>410</v>
      </c>
      <c r="S2397" s="27">
        <v>44620</v>
      </c>
      <c r="T2397" s="773" t="s">
        <v>132</v>
      </c>
      <c r="U2397" s="773">
        <v>188</v>
      </c>
      <c r="V2397" s="773">
        <v>638</v>
      </c>
      <c r="W2397" s="773" t="s">
        <v>390</v>
      </c>
    </row>
    <row r="2398" spans="1:23">
      <c r="A2398" s="911" t="s">
        <v>557</v>
      </c>
      <c r="B2398" s="912" t="s">
        <v>140</v>
      </c>
      <c r="C2398" s="912">
        <v>648</v>
      </c>
      <c r="D2398" s="912">
        <v>1440</v>
      </c>
      <c r="E2398" s="912" t="s">
        <v>390</v>
      </c>
      <c r="S2398" s="27">
        <v>44620</v>
      </c>
      <c r="T2398" s="773" t="s">
        <v>132</v>
      </c>
      <c r="U2398" s="773">
        <v>326</v>
      </c>
      <c r="V2398" s="773">
        <v>3056</v>
      </c>
      <c r="W2398" s="773" t="s">
        <v>390</v>
      </c>
    </row>
    <row r="2399" spans="1:23">
      <c r="A2399" s="911" t="s">
        <v>557</v>
      </c>
      <c r="B2399" s="912" t="s">
        <v>140</v>
      </c>
      <c r="C2399" s="912">
        <v>370</v>
      </c>
      <c r="D2399" s="912">
        <v>2</v>
      </c>
      <c r="E2399" s="912" t="s">
        <v>410</v>
      </c>
      <c r="S2399" s="27">
        <v>44255</v>
      </c>
      <c r="T2399" s="773" t="s">
        <v>132</v>
      </c>
      <c r="U2399" s="773">
        <v>251</v>
      </c>
      <c r="V2399" s="773">
        <v>2518</v>
      </c>
      <c r="W2399" s="773" t="s">
        <v>390</v>
      </c>
    </row>
    <row r="2400" spans="1:23">
      <c r="A2400" s="911" t="s">
        <v>558</v>
      </c>
      <c r="B2400" s="912" t="s">
        <v>140</v>
      </c>
      <c r="C2400" s="912">
        <v>639</v>
      </c>
      <c r="D2400" s="912">
        <v>147</v>
      </c>
      <c r="E2400" s="912" t="s">
        <v>390</v>
      </c>
      <c r="S2400" s="27">
        <v>44620</v>
      </c>
      <c r="T2400" s="773" t="s">
        <v>132</v>
      </c>
      <c r="U2400" s="773">
        <v>183</v>
      </c>
      <c r="V2400" s="773">
        <v>2159</v>
      </c>
      <c r="W2400" s="773" t="s">
        <v>390</v>
      </c>
    </row>
    <row r="2401" spans="1:23">
      <c r="A2401" s="911" t="s">
        <v>558</v>
      </c>
      <c r="B2401" s="912" t="s">
        <v>140</v>
      </c>
      <c r="C2401" s="912">
        <v>556</v>
      </c>
      <c r="D2401" s="912">
        <v>2588</v>
      </c>
      <c r="E2401" s="912" t="s">
        <v>390</v>
      </c>
      <c r="S2401" s="27">
        <v>44620</v>
      </c>
      <c r="T2401" s="773" t="s">
        <v>132</v>
      </c>
      <c r="U2401" s="773">
        <v>306</v>
      </c>
      <c r="V2401" s="773">
        <v>2284</v>
      </c>
      <c r="W2401" s="773" t="s">
        <v>390</v>
      </c>
    </row>
    <row r="2402" spans="1:23">
      <c r="A2402" s="911" t="s">
        <v>558</v>
      </c>
      <c r="B2402" s="912" t="s">
        <v>140</v>
      </c>
      <c r="C2402" s="912">
        <v>478</v>
      </c>
      <c r="D2402" s="912">
        <v>1</v>
      </c>
      <c r="E2402" s="912" t="s">
        <v>410</v>
      </c>
      <c r="S2402" s="27">
        <v>44255</v>
      </c>
      <c r="T2402" s="773" t="s">
        <v>132</v>
      </c>
      <c r="U2402" s="773">
        <v>691</v>
      </c>
      <c r="V2402" s="773">
        <v>2358</v>
      </c>
      <c r="W2402" s="773" t="s">
        <v>390</v>
      </c>
    </row>
    <row r="2403" spans="1:23">
      <c r="A2403" s="911" t="s">
        <v>557</v>
      </c>
      <c r="B2403" s="912" t="s">
        <v>140</v>
      </c>
      <c r="C2403" s="912">
        <v>640</v>
      </c>
      <c r="D2403" s="912">
        <v>2992</v>
      </c>
      <c r="E2403" s="912" t="s">
        <v>390</v>
      </c>
      <c r="S2403" s="27">
        <v>44620</v>
      </c>
      <c r="T2403" s="773" t="s">
        <v>132</v>
      </c>
      <c r="U2403" s="773">
        <v>11</v>
      </c>
      <c r="V2403" s="773">
        <v>27</v>
      </c>
      <c r="W2403" s="773" t="s">
        <v>410</v>
      </c>
    </row>
    <row r="2404" spans="1:23">
      <c r="A2404" s="911" t="s">
        <v>557</v>
      </c>
      <c r="B2404" s="912" t="s">
        <v>140</v>
      </c>
      <c r="C2404" s="912">
        <v>639</v>
      </c>
      <c r="D2404" s="912">
        <v>131</v>
      </c>
      <c r="E2404" s="912" t="s">
        <v>390</v>
      </c>
      <c r="S2404" s="27">
        <v>44620</v>
      </c>
      <c r="T2404" s="773" t="s">
        <v>132</v>
      </c>
      <c r="U2404" s="773">
        <v>318</v>
      </c>
      <c r="V2404" s="773">
        <v>2008</v>
      </c>
      <c r="W2404" s="773" t="s">
        <v>390</v>
      </c>
    </row>
    <row r="2405" spans="1:23">
      <c r="A2405" s="911" t="s">
        <v>557</v>
      </c>
      <c r="B2405" s="912" t="s">
        <v>140</v>
      </c>
      <c r="C2405" s="912">
        <v>746</v>
      </c>
      <c r="D2405" s="912">
        <v>1978</v>
      </c>
      <c r="E2405" s="912" t="s">
        <v>390</v>
      </c>
      <c r="S2405" s="27">
        <v>44620</v>
      </c>
      <c r="T2405" s="773" t="s">
        <v>132</v>
      </c>
      <c r="U2405" s="773">
        <v>319</v>
      </c>
      <c r="V2405" s="773">
        <v>1943</v>
      </c>
      <c r="W2405" s="773" t="s">
        <v>390</v>
      </c>
    </row>
    <row r="2406" spans="1:23">
      <c r="A2406" s="911" t="s">
        <v>558</v>
      </c>
      <c r="B2406" s="912" t="s">
        <v>140</v>
      </c>
      <c r="C2406" s="912">
        <v>616</v>
      </c>
      <c r="D2406" s="912">
        <v>1</v>
      </c>
      <c r="E2406" s="912" t="s">
        <v>410</v>
      </c>
      <c r="S2406" s="27">
        <v>44620</v>
      </c>
      <c r="T2406" s="773" t="s">
        <v>132</v>
      </c>
      <c r="U2406" s="773">
        <v>528</v>
      </c>
      <c r="V2406" s="773">
        <v>339</v>
      </c>
      <c r="W2406" s="773" t="s">
        <v>390</v>
      </c>
    </row>
    <row r="2407" spans="1:23">
      <c r="A2407" s="911" t="s">
        <v>557</v>
      </c>
      <c r="B2407" s="912" t="s">
        <v>140</v>
      </c>
      <c r="C2407" s="912">
        <v>379</v>
      </c>
      <c r="D2407" s="912">
        <v>1</v>
      </c>
      <c r="E2407" s="912" t="s">
        <v>410</v>
      </c>
      <c r="S2407" s="27">
        <v>44255</v>
      </c>
      <c r="T2407" s="773" t="s">
        <v>132</v>
      </c>
      <c r="U2407" s="773">
        <v>158</v>
      </c>
      <c r="V2407" s="773">
        <v>58</v>
      </c>
      <c r="W2407" s="773" t="s">
        <v>410</v>
      </c>
    </row>
    <row r="2408" spans="1:23">
      <c r="A2408" s="911" t="s">
        <v>557</v>
      </c>
      <c r="B2408" s="912" t="s">
        <v>140</v>
      </c>
      <c r="C2408" s="912">
        <v>650</v>
      </c>
      <c r="D2408" s="912">
        <v>2393</v>
      </c>
      <c r="E2408" s="912" t="s">
        <v>390</v>
      </c>
      <c r="S2408" s="27">
        <v>44255</v>
      </c>
      <c r="T2408" s="773" t="s">
        <v>132</v>
      </c>
      <c r="U2408" s="773">
        <v>299</v>
      </c>
      <c r="V2408" s="773">
        <v>1</v>
      </c>
      <c r="W2408" s="773" t="s">
        <v>410</v>
      </c>
    </row>
    <row r="2409" spans="1:23">
      <c r="A2409" s="911" t="s">
        <v>557</v>
      </c>
      <c r="B2409" s="912" t="s">
        <v>140</v>
      </c>
      <c r="C2409" s="912">
        <v>485</v>
      </c>
      <c r="D2409" s="912">
        <v>1308</v>
      </c>
      <c r="E2409" s="912" t="s">
        <v>390</v>
      </c>
      <c r="S2409" s="27">
        <v>44255</v>
      </c>
      <c r="T2409" s="773" t="s">
        <v>132</v>
      </c>
      <c r="U2409" s="773">
        <v>81</v>
      </c>
      <c r="V2409" s="773">
        <v>3</v>
      </c>
      <c r="W2409" s="773" t="s">
        <v>410</v>
      </c>
    </row>
    <row r="2410" spans="1:23">
      <c r="A2410" s="911" t="s">
        <v>557</v>
      </c>
      <c r="B2410" s="912" t="s">
        <v>140</v>
      </c>
      <c r="C2410" s="912">
        <v>530</v>
      </c>
      <c r="D2410" s="912">
        <v>1</v>
      </c>
      <c r="E2410" s="912" t="s">
        <v>410</v>
      </c>
      <c r="S2410" s="27">
        <v>44620</v>
      </c>
      <c r="T2410" s="773" t="s">
        <v>132</v>
      </c>
      <c r="U2410" s="773">
        <v>687</v>
      </c>
      <c r="V2410" s="773">
        <v>2875</v>
      </c>
      <c r="W2410" s="773" t="s">
        <v>390</v>
      </c>
    </row>
    <row r="2411" spans="1:23">
      <c r="A2411" s="911" t="s">
        <v>557</v>
      </c>
      <c r="B2411" s="912" t="s">
        <v>140</v>
      </c>
      <c r="C2411" s="912">
        <v>597</v>
      </c>
      <c r="D2411" s="912">
        <v>1266</v>
      </c>
      <c r="E2411" s="912" t="s">
        <v>390</v>
      </c>
      <c r="S2411" s="27">
        <v>44620</v>
      </c>
      <c r="T2411" s="773" t="s">
        <v>132</v>
      </c>
      <c r="U2411" s="773">
        <v>671</v>
      </c>
      <c r="V2411" s="773">
        <v>2244</v>
      </c>
      <c r="W2411" s="773" t="s">
        <v>390</v>
      </c>
    </row>
    <row r="2412" spans="1:23">
      <c r="S2412" s="27">
        <v>44255</v>
      </c>
      <c r="T2412" s="773" t="s">
        <v>132</v>
      </c>
      <c r="U2412" s="773">
        <v>193</v>
      </c>
      <c r="V2412" s="773">
        <v>2243</v>
      </c>
      <c r="W2412" s="773" t="s">
        <v>390</v>
      </c>
    </row>
    <row r="2413" spans="1:23">
      <c r="S2413" s="27">
        <v>44620</v>
      </c>
      <c r="T2413" s="773" t="s">
        <v>132</v>
      </c>
      <c r="U2413" s="773">
        <v>35</v>
      </c>
      <c r="V2413" s="773">
        <v>887</v>
      </c>
      <c r="W2413" s="773" t="s">
        <v>390</v>
      </c>
    </row>
    <row r="2414" spans="1:23">
      <c r="S2414" s="27">
        <v>44255</v>
      </c>
      <c r="T2414" s="773" t="s">
        <v>132</v>
      </c>
      <c r="U2414" s="773">
        <v>73</v>
      </c>
      <c r="V2414" s="773">
        <v>2</v>
      </c>
      <c r="W2414" s="773" t="s">
        <v>410</v>
      </c>
    </row>
    <row r="2415" spans="1:23">
      <c r="S2415" s="27">
        <v>44255</v>
      </c>
      <c r="T2415" s="773" t="s">
        <v>132</v>
      </c>
      <c r="U2415" s="773">
        <v>91</v>
      </c>
      <c r="V2415" s="773">
        <v>2</v>
      </c>
      <c r="W2415" s="773" t="s">
        <v>410</v>
      </c>
    </row>
    <row r="2416" spans="1:23">
      <c r="S2416" s="27">
        <v>44620</v>
      </c>
      <c r="T2416" s="773" t="s">
        <v>132</v>
      </c>
      <c r="U2416" s="773">
        <v>0</v>
      </c>
      <c r="V2416" s="773">
        <v>39</v>
      </c>
      <c r="W2416" s="773" t="s">
        <v>410</v>
      </c>
    </row>
    <row r="2417" spans="19:23">
      <c r="S2417" s="27">
        <v>44255</v>
      </c>
      <c r="T2417" s="773" t="s">
        <v>132</v>
      </c>
      <c r="U2417" s="773">
        <v>159</v>
      </c>
      <c r="V2417" s="773">
        <v>2798</v>
      </c>
      <c r="W2417" s="773" t="s">
        <v>390</v>
      </c>
    </row>
    <row r="2418" spans="19:23">
      <c r="S2418" s="27">
        <v>44255</v>
      </c>
      <c r="T2418" s="773" t="s">
        <v>132</v>
      </c>
      <c r="U2418" s="773">
        <v>666</v>
      </c>
      <c r="V2418" s="773">
        <v>1371</v>
      </c>
      <c r="W2418" s="773" t="s">
        <v>390</v>
      </c>
    </row>
    <row r="2419" spans="19:23">
      <c r="S2419" s="27">
        <v>44255</v>
      </c>
      <c r="T2419" s="773" t="s">
        <v>132</v>
      </c>
      <c r="U2419" s="773">
        <v>110</v>
      </c>
      <c r="V2419" s="773">
        <v>1</v>
      </c>
      <c r="W2419" s="773" t="s">
        <v>410</v>
      </c>
    </row>
    <row r="2420" spans="19:23">
      <c r="S2420" s="27">
        <v>44620</v>
      </c>
      <c r="T2420" s="773" t="s">
        <v>132</v>
      </c>
      <c r="U2420" s="773">
        <v>110</v>
      </c>
      <c r="V2420" s="773">
        <v>1</v>
      </c>
      <c r="W2420" s="773" t="s">
        <v>410</v>
      </c>
    </row>
    <row r="2421" spans="19:23">
      <c r="S2421" s="27">
        <v>44255</v>
      </c>
      <c r="T2421" s="773" t="s">
        <v>132</v>
      </c>
      <c r="U2421" s="773">
        <v>161</v>
      </c>
      <c r="V2421" s="773">
        <v>7</v>
      </c>
      <c r="W2421" s="773" t="s">
        <v>410</v>
      </c>
    </row>
    <row r="2422" spans="19:23">
      <c r="S2422" s="27">
        <v>44255</v>
      </c>
      <c r="T2422" s="773" t="s">
        <v>132</v>
      </c>
      <c r="U2422" s="773">
        <v>216</v>
      </c>
      <c r="V2422" s="773">
        <v>2156</v>
      </c>
      <c r="W2422" s="773" t="s">
        <v>390</v>
      </c>
    </row>
    <row r="2423" spans="19:23">
      <c r="S2423" s="27">
        <v>44620</v>
      </c>
      <c r="T2423" s="773" t="s">
        <v>132</v>
      </c>
      <c r="U2423" s="773">
        <v>215</v>
      </c>
      <c r="V2423" s="773">
        <v>673</v>
      </c>
      <c r="W2423" s="773" t="s">
        <v>390</v>
      </c>
    </row>
    <row r="2424" spans="19:23">
      <c r="S2424" s="27">
        <v>44255</v>
      </c>
      <c r="T2424" s="773" t="s">
        <v>132</v>
      </c>
      <c r="U2424" s="773">
        <v>148</v>
      </c>
      <c r="V2424" s="773">
        <v>1</v>
      </c>
      <c r="W2424" s="773" t="s">
        <v>410</v>
      </c>
    </row>
    <row r="2425" spans="19:23">
      <c r="S2425" s="27">
        <v>44620</v>
      </c>
      <c r="T2425" s="773" t="s">
        <v>132</v>
      </c>
      <c r="U2425" s="773">
        <v>317</v>
      </c>
      <c r="V2425" s="773">
        <v>3208</v>
      </c>
      <c r="W2425" s="773" t="s">
        <v>390</v>
      </c>
    </row>
    <row r="2426" spans="19:23">
      <c r="S2426" s="27">
        <v>44620</v>
      </c>
      <c r="T2426" s="773" t="s">
        <v>132</v>
      </c>
      <c r="U2426" s="773">
        <v>21</v>
      </c>
      <c r="V2426" s="773">
        <v>1</v>
      </c>
      <c r="W2426" s="773" t="s">
        <v>410</v>
      </c>
    </row>
    <row r="2427" spans="19:23">
      <c r="S2427" s="27">
        <v>44620</v>
      </c>
      <c r="T2427" s="773" t="s">
        <v>132</v>
      </c>
      <c r="U2427" s="773">
        <v>694</v>
      </c>
      <c r="V2427" s="773">
        <v>2</v>
      </c>
      <c r="W2427" s="773" t="s">
        <v>410</v>
      </c>
    </row>
    <row r="2428" spans="19:23">
      <c r="S2428" s="27">
        <v>44620</v>
      </c>
      <c r="T2428" s="773" t="s">
        <v>132</v>
      </c>
      <c r="U2428" s="773">
        <v>329</v>
      </c>
      <c r="V2428" s="773">
        <v>3200</v>
      </c>
      <c r="W2428" s="773" t="s">
        <v>390</v>
      </c>
    </row>
    <row r="2429" spans="19:23">
      <c r="S2429" s="27">
        <v>44620</v>
      </c>
      <c r="T2429" s="773" t="s">
        <v>132</v>
      </c>
      <c r="U2429" s="773">
        <v>173</v>
      </c>
      <c r="V2429" s="773">
        <v>2</v>
      </c>
      <c r="W2429" s="773" t="s">
        <v>410</v>
      </c>
    </row>
    <row r="2430" spans="19:23">
      <c r="S2430" s="27">
        <v>44255</v>
      </c>
      <c r="T2430" s="773" t="s">
        <v>132</v>
      </c>
      <c r="U2430" s="773">
        <v>176</v>
      </c>
      <c r="V2430" s="773">
        <v>1</v>
      </c>
      <c r="W2430" s="773" t="s">
        <v>410</v>
      </c>
    </row>
    <row r="2431" spans="19:23">
      <c r="S2431" s="27">
        <v>44620</v>
      </c>
      <c r="T2431" s="773" t="s">
        <v>132</v>
      </c>
      <c r="U2431" s="773">
        <v>79</v>
      </c>
      <c r="V2431" s="773">
        <v>13</v>
      </c>
      <c r="W2431" s="773" t="s">
        <v>410</v>
      </c>
    </row>
    <row r="2432" spans="19:23">
      <c r="S2432" s="27">
        <v>44620</v>
      </c>
      <c r="T2432" s="773" t="s">
        <v>132</v>
      </c>
      <c r="U2432" s="773">
        <v>52</v>
      </c>
      <c r="V2432" s="773">
        <v>2</v>
      </c>
      <c r="W2432" s="773" t="s">
        <v>410</v>
      </c>
    </row>
    <row r="2433" spans="19:23">
      <c r="S2433" s="27">
        <v>44255</v>
      </c>
      <c r="T2433" s="773" t="s">
        <v>132</v>
      </c>
      <c r="U2433" s="773">
        <v>249</v>
      </c>
      <c r="V2433" s="773">
        <v>2536</v>
      </c>
      <c r="W2433" s="773" t="s">
        <v>390</v>
      </c>
    </row>
    <row r="2434" spans="19:23">
      <c r="S2434" s="27">
        <v>44620</v>
      </c>
      <c r="T2434" s="773" t="s">
        <v>132</v>
      </c>
      <c r="U2434" s="773">
        <v>157</v>
      </c>
      <c r="V2434" s="773">
        <v>1</v>
      </c>
      <c r="W2434" s="773" t="s">
        <v>410</v>
      </c>
    </row>
    <row r="2435" spans="19:23">
      <c r="S2435" s="27">
        <v>44620</v>
      </c>
      <c r="T2435" s="773" t="s">
        <v>132</v>
      </c>
      <c r="U2435" s="773">
        <v>308</v>
      </c>
      <c r="V2435" s="773">
        <v>1857</v>
      </c>
      <c r="W2435" s="773" t="s">
        <v>390</v>
      </c>
    </row>
    <row r="2436" spans="19:23">
      <c r="S2436" s="27">
        <v>44255</v>
      </c>
      <c r="T2436" s="773" t="s">
        <v>132</v>
      </c>
      <c r="U2436" s="773">
        <v>241</v>
      </c>
      <c r="V2436" s="773">
        <v>20</v>
      </c>
      <c r="W2436" s="773" t="s">
        <v>410</v>
      </c>
    </row>
    <row r="2437" spans="19:23">
      <c r="S2437" s="27">
        <v>44620</v>
      </c>
      <c r="T2437" s="773" t="s">
        <v>132</v>
      </c>
      <c r="U2437" s="773">
        <v>72</v>
      </c>
      <c r="V2437" s="773">
        <v>3</v>
      </c>
      <c r="W2437" s="773" t="s">
        <v>410</v>
      </c>
    </row>
    <row r="2438" spans="19:23">
      <c r="S2438" s="27">
        <v>44620</v>
      </c>
      <c r="T2438" s="773" t="s">
        <v>132</v>
      </c>
      <c r="U2438" s="773">
        <v>325</v>
      </c>
      <c r="V2438" s="773">
        <v>2930</v>
      </c>
      <c r="W2438" s="773" t="s">
        <v>390</v>
      </c>
    </row>
    <row r="2439" spans="19:23">
      <c r="S2439" s="27">
        <v>44255</v>
      </c>
      <c r="T2439" s="773" t="s">
        <v>132</v>
      </c>
      <c r="U2439" s="773">
        <v>231</v>
      </c>
      <c r="V2439" s="773">
        <v>4</v>
      </c>
      <c r="W2439" s="773" t="s">
        <v>410</v>
      </c>
    </row>
    <row r="2440" spans="19:23">
      <c r="S2440" s="27">
        <v>44255</v>
      </c>
      <c r="T2440" s="773" t="s">
        <v>132</v>
      </c>
      <c r="U2440" s="773">
        <v>267</v>
      </c>
      <c r="V2440" s="773">
        <v>1</v>
      </c>
      <c r="W2440" s="773" t="s">
        <v>410</v>
      </c>
    </row>
    <row r="2441" spans="19:23">
      <c r="S2441" s="27">
        <v>44620</v>
      </c>
      <c r="T2441" s="773" t="s">
        <v>132</v>
      </c>
      <c r="U2441" s="773">
        <v>342</v>
      </c>
      <c r="V2441" s="773">
        <v>2801</v>
      </c>
      <c r="W2441" s="773" t="s">
        <v>390</v>
      </c>
    </row>
    <row r="2442" spans="19:23">
      <c r="S2442" s="27">
        <v>44620</v>
      </c>
      <c r="T2442" s="773" t="s">
        <v>132</v>
      </c>
      <c r="U2442" s="773">
        <v>133</v>
      </c>
      <c r="V2442" s="773">
        <v>4</v>
      </c>
      <c r="W2442" s="773" t="s">
        <v>410</v>
      </c>
    </row>
    <row r="2443" spans="19:23">
      <c r="S2443" s="27">
        <v>44620</v>
      </c>
      <c r="T2443" s="773" t="s">
        <v>132</v>
      </c>
      <c r="U2443" s="773">
        <v>14</v>
      </c>
      <c r="V2443" s="773">
        <v>1</v>
      </c>
      <c r="W2443" s="773" t="s">
        <v>410</v>
      </c>
    </row>
    <row r="2444" spans="19:23">
      <c r="S2444" s="27">
        <v>44255</v>
      </c>
      <c r="T2444" s="773" t="s">
        <v>132</v>
      </c>
      <c r="U2444" s="773">
        <v>58</v>
      </c>
      <c r="V2444" s="773">
        <v>3</v>
      </c>
      <c r="W2444" s="773" t="s">
        <v>410</v>
      </c>
    </row>
    <row r="2445" spans="19:23">
      <c r="S2445" s="27">
        <v>44620</v>
      </c>
      <c r="T2445" s="773" t="s">
        <v>132</v>
      </c>
      <c r="U2445" s="773">
        <v>311</v>
      </c>
      <c r="V2445" s="773">
        <v>2370</v>
      </c>
      <c r="W2445" s="773" t="s">
        <v>390</v>
      </c>
    </row>
    <row r="2446" spans="19:23">
      <c r="S2446" s="27">
        <v>44620</v>
      </c>
      <c r="T2446" s="773" t="s">
        <v>132</v>
      </c>
      <c r="U2446" s="773">
        <v>650</v>
      </c>
      <c r="V2446" s="773">
        <v>70</v>
      </c>
      <c r="W2446" s="773" t="s">
        <v>410</v>
      </c>
    </row>
    <row r="2447" spans="19:23">
      <c r="S2447" s="27">
        <v>44620</v>
      </c>
      <c r="T2447" s="773" t="s">
        <v>132</v>
      </c>
      <c r="U2447" s="773">
        <v>222</v>
      </c>
      <c r="V2447" s="773">
        <v>2</v>
      </c>
      <c r="W2447" s="773" t="s">
        <v>410</v>
      </c>
    </row>
    <row r="2448" spans="19:23">
      <c r="S2448" s="27">
        <v>44255</v>
      </c>
      <c r="T2448" s="773" t="s">
        <v>132</v>
      </c>
      <c r="U2448" s="773">
        <v>139</v>
      </c>
      <c r="V2448" s="773">
        <v>2648</v>
      </c>
      <c r="W2448" s="773" t="s">
        <v>390</v>
      </c>
    </row>
    <row r="2449" spans="19:23">
      <c r="S2449" s="27">
        <v>44255</v>
      </c>
      <c r="T2449" s="773" t="s">
        <v>132</v>
      </c>
      <c r="U2449" s="773">
        <v>294</v>
      </c>
      <c r="V2449" s="773">
        <v>10</v>
      </c>
      <c r="W2449" s="773" t="s">
        <v>410</v>
      </c>
    </row>
    <row r="2450" spans="19:23">
      <c r="S2450" s="27">
        <v>44255</v>
      </c>
      <c r="T2450" s="773" t="s">
        <v>132</v>
      </c>
      <c r="U2450" s="773">
        <v>700</v>
      </c>
      <c r="V2450" s="773">
        <v>1221</v>
      </c>
      <c r="W2450" s="773" t="s">
        <v>390</v>
      </c>
    </row>
    <row r="2451" spans="19:23">
      <c r="S2451" s="27">
        <v>44620</v>
      </c>
      <c r="T2451" s="773" t="s">
        <v>132</v>
      </c>
      <c r="U2451" s="773">
        <v>220</v>
      </c>
      <c r="V2451" s="773">
        <v>195</v>
      </c>
      <c r="W2451" s="773" t="s">
        <v>390</v>
      </c>
    </row>
    <row r="2452" spans="19:23">
      <c r="S2452" s="27">
        <v>44620</v>
      </c>
      <c r="T2452" s="773" t="s">
        <v>132</v>
      </c>
      <c r="U2452" s="773">
        <v>103</v>
      </c>
      <c r="V2452" s="773">
        <v>3289</v>
      </c>
      <c r="W2452" s="773" t="s">
        <v>390</v>
      </c>
    </row>
    <row r="2453" spans="19:23">
      <c r="S2453" s="27">
        <v>44255</v>
      </c>
      <c r="T2453" s="773" t="s">
        <v>132</v>
      </c>
      <c r="U2453" s="773">
        <v>667</v>
      </c>
      <c r="V2453" s="773">
        <v>1</v>
      </c>
      <c r="W2453" s="773" t="s">
        <v>410</v>
      </c>
    </row>
    <row r="2454" spans="19:23">
      <c r="S2454" s="27">
        <v>44255</v>
      </c>
      <c r="T2454" s="773" t="s">
        <v>132</v>
      </c>
      <c r="U2454" s="773">
        <v>680</v>
      </c>
      <c r="V2454" s="773">
        <v>2418</v>
      </c>
      <c r="W2454" s="773" t="s">
        <v>390</v>
      </c>
    </row>
    <row r="2455" spans="19:23">
      <c r="S2455" s="27">
        <v>44255</v>
      </c>
      <c r="T2455" s="773" t="s">
        <v>132</v>
      </c>
      <c r="U2455" s="773">
        <v>213</v>
      </c>
      <c r="V2455" s="773">
        <v>2768</v>
      </c>
      <c r="W2455" s="773" t="s">
        <v>390</v>
      </c>
    </row>
    <row r="2456" spans="19:23">
      <c r="S2456" s="27">
        <v>44620</v>
      </c>
      <c r="T2456" s="773" t="s">
        <v>132</v>
      </c>
      <c r="U2456" s="773">
        <v>69</v>
      </c>
      <c r="V2456" s="773">
        <v>1</v>
      </c>
      <c r="W2456" s="773" t="s">
        <v>410</v>
      </c>
    </row>
    <row r="2457" spans="19:23">
      <c r="S2457" s="27">
        <v>44255</v>
      </c>
      <c r="T2457" s="773" t="s">
        <v>132</v>
      </c>
      <c r="U2457" s="773">
        <v>93</v>
      </c>
      <c r="V2457" s="773">
        <v>14345</v>
      </c>
      <c r="W2457" s="773" t="s">
        <v>390</v>
      </c>
    </row>
    <row r="2458" spans="19:23">
      <c r="S2458" s="27">
        <v>44255</v>
      </c>
      <c r="T2458" s="773" t="s">
        <v>132</v>
      </c>
      <c r="U2458" s="773">
        <v>94</v>
      </c>
      <c r="V2458" s="773">
        <v>2151</v>
      </c>
      <c r="W2458" s="773" t="s">
        <v>390</v>
      </c>
    </row>
    <row r="2459" spans="19:23">
      <c r="S2459" s="27">
        <v>44255</v>
      </c>
      <c r="T2459" s="773" t="s">
        <v>132</v>
      </c>
      <c r="U2459" s="773">
        <v>293</v>
      </c>
      <c r="V2459" s="773">
        <v>527</v>
      </c>
      <c r="W2459" s="773" t="s">
        <v>390</v>
      </c>
    </row>
    <row r="2460" spans="19:23">
      <c r="S2460" s="27">
        <v>44620</v>
      </c>
      <c r="T2460" s="773" t="s">
        <v>132</v>
      </c>
      <c r="U2460" s="773">
        <v>171</v>
      </c>
      <c r="V2460" s="773">
        <v>210</v>
      </c>
      <c r="W2460" s="773" t="s">
        <v>390</v>
      </c>
    </row>
    <row r="2461" spans="19:23">
      <c r="S2461" s="27">
        <v>44620</v>
      </c>
      <c r="T2461" s="773" t="s">
        <v>132</v>
      </c>
      <c r="U2461" s="773">
        <v>155</v>
      </c>
      <c r="V2461" s="773">
        <v>2330</v>
      </c>
      <c r="W2461" s="773" t="s">
        <v>390</v>
      </c>
    </row>
    <row r="2462" spans="19:23">
      <c r="S2462" s="27">
        <v>44620</v>
      </c>
      <c r="T2462" s="773" t="s">
        <v>132</v>
      </c>
      <c r="U2462" s="773">
        <v>663</v>
      </c>
      <c r="V2462" s="773">
        <v>37</v>
      </c>
      <c r="W2462" s="773" t="s">
        <v>410</v>
      </c>
    </row>
    <row r="2463" spans="19:23">
      <c r="S2463" s="27">
        <v>44620</v>
      </c>
      <c r="T2463" s="773" t="s">
        <v>132</v>
      </c>
      <c r="U2463" s="773">
        <v>100</v>
      </c>
      <c r="V2463" s="773">
        <v>3</v>
      </c>
      <c r="W2463" s="773" t="s">
        <v>410</v>
      </c>
    </row>
    <row r="2464" spans="19:23">
      <c r="S2464" s="27">
        <v>44255</v>
      </c>
      <c r="T2464" s="773" t="s">
        <v>132</v>
      </c>
      <c r="U2464" s="773">
        <v>684</v>
      </c>
      <c r="V2464" s="773">
        <v>2626</v>
      </c>
      <c r="W2464" s="773" t="s">
        <v>390</v>
      </c>
    </row>
    <row r="2465" spans="19:23">
      <c r="S2465" s="27">
        <v>44255</v>
      </c>
      <c r="T2465" s="773" t="s">
        <v>132</v>
      </c>
      <c r="U2465" s="773">
        <v>76</v>
      </c>
      <c r="V2465" s="773">
        <v>2558</v>
      </c>
      <c r="W2465" s="773" t="s">
        <v>390</v>
      </c>
    </row>
    <row r="2466" spans="19:23">
      <c r="S2466" s="27">
        <v>44255</v>
      </c>
      <c r="T2466" s="773" t="s">
        <v>132</v>
      </c>
      <c r="U2466" s="773">
        <v>100</v>
      </c>
      <c r="V2466" s="773">
        <v>3</v>
      </c>
      <c r="W2466" s="773" t="s">
        <v>410</v>
      </c>
    </row>
    <row r="2467" spans="19:23">
      <c r="S2467" s="27">
        <v>44255</v>
      </c>
      <c r="T2467" s="773" t="s">
        <v>132</v>
      </c>
      <c r="U2467" s="773">
        <v>636</v>
      </c>
      <c r="V2467" s="773">
        <v>15</v>
      </c>
      <c r="W2467" s="773" t="s">
        <v>410</v>
      </c>
    </row>
    <row r="2468" spans="19:23">
      <c r="S2468" s="27">
        <v>44255</v>
      </c>
      <c r="T2468" s="773" t="s">
        <v>132</v>
      </c>
      <c r="U2468" s="773">
        <v>663</v>
      </c>
      <c r="V2468" s="773">
        <v>1137</v>
      </c>
      <c r="W2468" s="773" t="s">
        <v>390</v>
      </c>
    </row>
    <row r="2469" spans="19:23">
      <c r="S2469" s="27">
        <v>44620</v>
      </c>
      <c r="T2469" s="773" t="s">
        <v>132</v>
      </c>
      <c r="U2469" s="773">
        <v>249</v>
      </c>
      <c r="V2469" s="773">
        <v>2776</v>
      </c>
      <c r="W2469" s="773" t="s">
        <v>390</v>
      </c>
    </row>
    <row r="2470" spans="19:23">
      <c r="S2470" s="27">
        <v>44620</v>
      </c>
      <c r="T2470" s="773" t="s">
        <v>132</v>
      </c>
      <c r="U2470" s="773">
        <v>216</v>
      </c>
      <c r="V2470" s="773">
        <v>2066</v>
      </c>
      <c r="W2470" s="773" t="s">
        <v>390</v>
      </c>
    </row>
    <row r="2471" spans="19:23">
      <c r="S2471" s="27">
        <v>44255</v>
      </c>
      <c r="T2471" s="773" t="s">
        <v>132</v>
      </c>
      <c r="U2471" s="773">
        <v>240</v>
      </c>
      <c r="V2471" s="773">
        <v>3</v>
      </c>
      <c r="W2471" s="773" t="s">
        <v>410</v>
      </c>
    </row>
    <row r="2472" spans="19:23">
      <c r="S2472" s="27">
        <v>44620</v>
      </c>
      <c r="T2472" s="773" t="s">
        <v>132</v>
      </c>
      <c r="U2472" s="773">
        <v>678</v>
      </c>
      <c r="V2472" s="773">
        <v>2821</v>
      </c>
      <c r="W2472" s="773" t="s">
        <v>390</v>
      </c>
    </row>
    <row r="2473" spans="19:23">
      <c r="S2473" s="27">
        <v>44620</v>
      </c>
      <c r="T2473" s="773" t="s">
        <v>132</v>
      </c>
      <c r="U2473" s="773">
        <v>699</v>
      </c>
      <c r="V2473" s="773">
        <v>2199</v>
      </c>
      <c r="W2473" s="773" t="s">
        <v>390</v>
      </c>
    </row>
    <row r="2474" spans="19:23">
      <c r="S2474" s="27">
        <v>44620</v>
      </c>
      <c r="T2474" s="773" t="s">
        <v>132</v>
      </c>
      <c r="U2474" s="773">
        <v>664</v>
      </c>
      <c r="V2474" s="773">
        <v>2054</v>
      </c>
      <c r="W2474" s="773" t="s">
        <v>390</v>
      </c>
    </row>
    <row r="2475" spans="19:23">
      <c r="S2475" s="27">
        <v>44620</v>
      </c>
      <c r="T2475" s="773" t="s">
        <v>132</v>
      </c>
      <c r="U2475" s="773">
        <v>161</v>
      </c>
      <c r="V2475" s="773">
        <v>4</v>
      </c>
      <c r="W2475" s="773" t="s">
        <v>410</v>
      </c>
    </row>
    <row r="2476" spans="19:23">
      <c r="S2476" s="27">
        <v>44620</v>
      </c>
      <c r="T2476" s="773" t="s">
        <v>132</v>
      </c>
      <c r="U2476" s="773">
        <v>262</v>
      </c>
      <c r="V2476" s="773">
        <v>73</v>
      </c>
      <c r="W2476" s="773" t="s">
        <v>410</v>
      </c>
    </row>
    <row r="2477" spans="19:23">
      <c r="S2477" s="27">
        <v>44620</v>
      </c>
      <c r="T2477" s="773" t="s">
        <v>132</v>
      </c>
      <c r="U2477" s="773">
        <v>257</v>
      </c>
      <c r="V2477" s="773">
        <v>2712</v>
      </c>
      <c r="W2477" s="773" t="s">
        <v>390</v>
      </c>
    </row>
    <row r="2478" spans="19:23">
      <c r="S2478" s="27">
        <v>44255</v>
      </c>
      <c r="T2478" s="773" t="s">
        <v>132</v>
      </c>
      <c r="U2478" s="773">
        <v>39</v>
      </c>
      <c r="V2478" s="773">
        <v>1</v>
      </c>
      <c r="W2478" s="773" t="s">
        <v>410</v>
      </c>
    </row>
    <row r="2479" spans="19:23">
      <c r="S2479" s="27">
        <v>44620</v>
      </c>
      <c r="T2479" s="773" t="s">
        <v>132</v>
      </c>
      <c r="U2479" s="773">
        <v>82</v>
      </c>
      <c r="V2479" s="773">
        <v>2033</v>
      </c>
      <c r="W2479" s="773" t="s">
        <v>390</v>
      </c>
    </row>
    <row r="2480" spans="19:23">
      <c r="S2480" s="27">
        <v>44620</v>
      </c>
      <c r="T2480" s="773" t="s">
        <v>132</v>
      </c>
      <c r="U2480" s="773">
        <v>169</v>
      </c>
      <c r="V2480" s="773">
        <v>2557</v>
      </c>
      <c r="W2480" s="773" t="s">
        <v>390</v>
      </c>
    </row>
    <row r="2481" spans="19:23">
      <c r="S2481" s="27">
        <v>44620</v>
      </c>
      <c r="T2481" s="773" t="s">
        <v>132</v>
      </c>
      <c r="U2481" s="773">
        <v>153</v>
      </c>
      <c r="V2481" s="773">
        <v>2048</v>
      </c>
      <c r="W2481" s="773" t="s">
        <v>390</v>
      </c>
    </row>
    <row r="2482" spans="19:23">
      <c r="S2482" s="27">
        <v>44620</v>
      </c>
      <c r="T2482" s="773" t="s">
        <v>132</v>
      </c>
      <c r="U2482" s="773">
        <v>295</v>
      </c>
      <c r="V2482" s="773">
        <v>6</v>
      </c>
      <c r="W2482" s="773" t="s">
        <v>410</v>
      </c>
    </row>
    <row r="2483" spans="19:23">
      <c r="S2483" s="27">
        <v>44255</v>
      </c>
      <c r="T2483" s="773" t="s">
        <v>132</v>
      </c>
      <c r="U2483" s="773">
        <v>253</v>
      </c>
      <c r="V2483" s="773">
        <v>3851</v>
      </c>
      <c r="W2483" s="773" t="s">
        <v>390</v>
      </c>
    </row>
    <row r="2484" spans="19:23">
      <c r="S2484" s="27">
        <v>44620</v>
      </c>
      <c r="T2484" s="773" t="s">
        <v>132</v>
      </c>
      <c r="U2484" s="773">
        <v>323</v>
      </c>
      <c r="V2484" s="773">
        <v>2953</v>
      </c>
      <c r="W2484" s="773" t="s">
        <v>390</v>
      </c>
    </row>
    <row r="2485" spans="19:23">
      <c r="S2485" s="27">
        <v>44620</v>
      </c>
      <c r="T2485" s="773" t="s">
        <v>132</v>
      </c>
      <c r="U2485" s="773">
        <v>652</v>
      </c>
      <c r="V2485" s="773">
        <v>2753</v>
      </c>
      <c r="W2485" s="773" t="s">
        <v>390</v>
      </c>
    </row>
    <row r="2486" spans="19:23">
      <c r="S2486" s="27">
        <v>44255</v>
      </c>
      <c r="T2486" s="773" t="s">
        <v>132</v>
      </c>
      <c r="U2486" s="773">
        <v>215</v>
      </c>
      <c r="V2486" s="773">
        <v>617</v>
      </c>
      <c r="W2486" s="773" t="s">
        <v>390</v>
      </c>
    </row>
    <row r="2487" spans="19:23">
      <c r="S2487" s="27">
        <v>44255</v>
      </c>
      <c r="T2487" s="773" t="s">
        <v>132</v>
      </c>
      <c r="U2487" s="773">
        <v>342</v>
      </c>
      <c r="V2487" s="773">
        <v>2795</v>
      </c>
      <c r="W2487" s="773" t="s">
        <v>390</v>
      </c>
    </row>
    <row r="2488" spans="19:23">
      <c r="S2488" s="27">
        <v>44255</v>
      </c>
      <c r="T2488" s="773" t="s">
        <v>132</v>
      </c>
      <c r="U2488" s="773">
        <v>255</v>
      </c>
      <c r="V2488" s="773">
        <v>2645</v>
      </c>
      <c r="W2488" s="773" t="s">
        <v>390</v>
      </c>
    </row>
    <row r="2489" spans="19:23">
      <c r="S2489" s="27">
        <v>44620</v>
      </c>
      <c r="T2489" s="773" t="s">
        <v>132</v>
      </c>
      <c r="U2489" s="773">
        <v>246</v>
      </c>
      <c r="V2489" s="773">
        <v>4</v>
      </c>
      <c r="W2489" s="773" t="s">
        <v>410</v>
      </c>
    </row>
    <row r="2490" spans="19:23">
      <c r="S2490" s="27">
        <v>44620</v>
      </c>
      <c r="T2490" s="773" t="s">
        <v>132</v>
      </c>
      <c r="U2490" s="773">
        <v>233</v>
      </c>
      <c r="V2490" s="773">
        <v>8257</v>
      </c>
      <c r="W2490" s="773" t="s">
        <v>390</v>
      </c>
    </row>
    <row r="2491" spans="19:23">
      <c r="S2491" s="27">
        <v>44620</v>
      </c>
      <c r="T2491" s="773" t="s">
        <v>132</v>
      </c>
      <c r="U2491" s="773">
        <v>59</v>
      </c>
      <c r="V2491" s="773">
        <v>64</v>
      </c>
      <c r="W2491" s="773" t="s">
        <v>410</v>
      </c>
    </row>
    <row r="2492" spans="19:23">
      <c r="S2492" s="27">
        <v>44255</v>
      </c>
      <c r="T2492" s="773" t="s">
        <v>132</v>
      </c>
      <c r="U2492" s="773">
        <v>276</v>
      </c>
      <c r="V2492" s="773">
        <v>1</v>
      </c>
      <c r="W2492" s="773" t="s">
        <v>410</v>
      </c>
    </row>
    <row r="2493" spans="19:23">
      <c r="S2493" s="27">
        <v>44255</v>
      </c>
      <c r="T2493" s="773" t="s">
        <v>132</v>
      </c>
      <c r="U2493" s="773">
        <v>164</v>
      </c>
      <c r="V2493" s="773">
        <v>8</v>
      </c>
      <c r="W2493" s="773" t="s">
        <v>410</v>
      </c>
    </row>
    <row r="2494" spans="19:23">
      <c r="S2494" s="27">
        <v>44620</v>
      </c>
      <c r="T2494" s="773" t="s">
        <v>132</v>
      </c>
      <c r="U2494" s="773">
        <v>113</v>
      </c>
      <c r="V2494" s="773">
        <v>1</v>
      </c>
      <c r="W2494" s="773" t="s">
        <v>410</v>
      </c>
    </row>
    <row r="2495" spans="19:23">
      <c r="S2495" s="27">
        <v>44255</v>
      </c>
      <c r="T2495" s="773" t="s">
        <v>132</v>
      </c>
      <c r="U2495" s="773">
        <v>317</v>
      </c>
      <c r="V2495" s="773">
        <v>5</v>
      </c>
      <c r="W2495" s="773" t="s">
        <v>410</v>
      </c>
    </row>
    <row r="2496" spans="19:23">
      <c r="S2496" s="27">
        <v>44255</v>
      </c>
      <c r="T2496" s="773" t="s">
        <v>132</v>
      </c>
      <c r="U2496" s="773">
        <v>233</v>
      </c>
      <c r="V2496" s="773">
        <v>12074</v>
      </c>
      <c r="W2496" s="773" t="s">
        <v>390</v>
      </c>
    </row>
    <row r="2497" spans="19:23">
      <c r="S2497" s="27">
        <v>44255</v>
      </c>
      <c r="T2497" s="773" t="s">
        <v>132</v>
      </c>
      <c r="U2497" s="773">
        <v>296</v>
      </c>
      <c r="V2497" s="773">
        <v>2279</v>
      </c>
      <c r="W2497" s="773" t="s">
        <v>390</v>
      </c>
    </row>
    <row r="2498" spans="19:23">
      <c r="S2498" s="27">
        <v>44255</v>
      </c>
      <c r="T2498" s="773" t="s">
        <v>132</v>
      </c>
      <c r="U2498" s="773">
        <v>292</v>
      </c>
      <c r="V2498" s="773">
        <v>8</v>
      </c>
      <c r="W2498" s="773" t="s">
        <v>410</v>
      </c>
    </row>
    <row r="2499" spans="19:23">
      <c r="S2499" s="27">
        <v>44620</v>
      </c>
      <c r="T2499" s="773" t="s">
        <v>132</v>
      </c>
      <c r="U2499" s="773">
        <v>253</v>
      </c>
      <c r="V2499" s="773">
        <v>17</v>
      </c>
      <c r="W2499" s="773" t="s">
        <v>410</v>
      </c>
    </row>
    <row r="2500" spans="19:23">
      <c r="S2500" s="27">
        <v>44255</v>
      </c>
      <c r="T2500" s="773" t="s">
        <v>132</v>
      </c>
      <c r="U2500" s="773">
        <v>256</v>
      </c>
      <c r="V2500" s="773">
        <v>2468</v>
      </c>
      <c r="W2500" s="773" t="s">
        <v>390</v>
      </c>
    </row>
    <row r="2501" spans="19:23">
      <c r="S2501" s="27">
        <v>44620</v>
      </c>
      <c r="T2501" s="773" t="s">
        <v>132</v>
      </c>
      <c r="U2501" s="773">
        <v>290</v>
      </c>
      <c r="V2501" s="773">
        <v>2063</v>
      </c>
      <c r="W2501" s="773" t="s">
        <v>390</v>
      </c>
    </row>
    <row r="2502" spans="19:23">
      <c r="S2502" s="27">
        <v>44255</v>
      </c>
      <c r="T2502" s="773" t="s">
        <v>132</v>
      </c>
      <c r="U2502" s="773">
        <v>13</v>
      </c>
      <c r="V2502" s="773">
        <v>4347</v>
      </c>
      <c r="W2502" s="773" t="s">
        <v>390</v>
      </c>
    </row>
    <row r="2503" spans="19:23">
      <c r="S2503" s="27">
        <v>44255</v>
      </c>
      <c r="T2503" s="773" t="s">
        <v>132</v>
      </c>
      <c r="U2503" s="773">
        <v>59</v>
      </c>
      <c r="V2503" s="773">
        <v>96</v>
      </c>
      <c r="W2503" s="773" t="s">
        <v>410</v>
      </c>
    </row>
    <row r="2504" spans="19:23">
      <c r="S2504" s="27">
        <v>44620</v>
      </c>
      <c r="T2504" s="773" t="s">
        <v>132</v>
      </c>
      <c r="U2504" s="773">
        <v>83</v>
      </c>
      <c r="V2504" s="773">
        <v>1904</v>
      </c>
      <c r="W2504" s="773" t="s">
        <v>390</v>
      </c>
    </row>
    <row r="2505" spans="19:23">
      <c r="S2505" s="27">
        <v>44255</v>
      </c>
      <c r="T2505" s="773" t="s">
        <v>132</v>
      </c>
      <c r="U2505" s="773">
        <v>77</v>
      </c>
      <c r="V2505" s="773">
        <v>3321</v>
      </c>
      <c r="W2505" s="773" t="s">
        <v>390</v>
      </c>
    </row>
    <row r="2506" spans="19:23">
      <c r="S2506" s="27">
        <v>44620</v>
      </c>
      <c r="T2506" s="773" t="s">
        <v>132</v>
      </c>
      <c r="U2506" s="773">
        <v>136</v>
      </c>
      <c r="V2506" s="773">
        <v>97</v>
      </c>
      <c r="W2506" s="773" t="s">
        <v>410</v>
      </c>
    </row>
    <row r="2507" spans="19:23">
      <c r="S2507" s="27">
        <v>44255</v>
      </c>
      <c r="T2507" s="773" t="s">
        <v>132</v>
      </c>
      <c r="U2507" s="773">
        <v>272</v>
      </c>
      <c r="V2507" s="773">
        <v>1</v>
      </c>
      <c r="W2507" s="773" t="s">
        <v>410</v>
      </c>
    </row>
    <row r="2508" spans="19:23">
      <c r="S2508" s="27">
        <v>44286</v>
      </c>
      <c r="T2508" s="773" t="s">
        <v>132</v>
      </c>
      <c r="U2508" s="773">
        <v>653</v>
      </c>
      <c r="V2508" s="773">
        <v>77</v>
      </c>
      <c r="W2508" s="773" t="s">
        <v>410</v>
      </c>
    </row>
    <row r="2509" spans="19:23">
      <c r="S2509" s="27">
        <v>44286</v>
      </c>
      <c r="T2509" s="773" t="s">
        <v>132</v>
      </c>
      <c r="U2509" s="773">
        <v>102</v>
      </c>
      <c r="V2509" s="773">
        <v>2</v>
      </c>
      <c r="W2509" s="773" t="s">
        <v>410</v>
      </c>
    </row>
    <row r="2510" spans="19:23">
      <c r="S2510" s="27">
        <v>44286</v>
      </c>
      <c r="T2510" s="773" t="s">
        <v>132</v>
      </c>
      <c r="U2510" s="773">
        <v>233</v>
      </c>
      <c r="V2510" s="773">
        <v>11968</v>
      </c>
      <c r="W2510" s="773" t="s">
        <v>390</v>
      </c>
    </row>
    <row r="2511" spans="19:23">
      <c r="S2511" s="27">
        <v>44286</v>
      </c>
      <c r="T2511" s="773" t="s">
        <v>132</v>
      </c>
      <c r="U2511" s="773">
        <v>158</v>
      </c>
      <c r="V2511" s="773">
        <v>59</v>
      </c>
      <c r="W2511" s="773" t="s">
        <v>410</v>
      </c>
    </row>
    <row r="2512" spans="19:23">
      <c r="S2512" s="27">
        <v>44651</v>
      </c>
      <c r="T2512" s="773" t="s">
        <v>132</v>
      </c>
      <c r="U2512" s="773">
        <v>688</v>
      </c>
      <c r="V2512" s="773">
        <v>3632</v>
      </c>
      <c r="W2512" s="773" t="s">
        <v>390</v>
      </c>
    </row>
    <row r="2513" spans="19:23">
      <c r="S2513" s="27">
        <v>44286</v>
      </c>
      <c r="T2513" s="773" t="s">
        <v>132</v>
      </c>
      <c r="U2513" s="773">
        <v>70</v>
      </c>
      <c r="V2513" s="773">
        <v>161</v>
      </c>
      <c r="W2513" s="773" t="s">
        <v>390</v>
      </c>
    </row>
    <row r="2514" spans="19:23">
      <c r="S2514" s="27">
        <v>44651</v>
      </c>
      <c r="T2514" s="773" t="s">
        <v>132</v>
      </c>
      <c r="U2514" s="773">
        <v>293</v>
      </c>
      <c r="V2514" s="773">
        <v>339</v>
      </c>
      <c r="W2514" s="773" t="s">
        <v>390</v>
      </c>
    </row>
    <row r="2515" spans="19:23">
      <c r="S2515" s="27">
        <v>44651</v>
      </c>
      <c r="T2515" s="773" t="s">
        <v>132</v>
      </c>
      <c r="U2515" s="773">
        <v>150</v>
      </c>
      <c r="V2515" s="773">
        <v>348</v>
      </c>
      <c r="W2515" s="773" t="s">
        <v>390</v>
      </c>
    </row>
    <row r="2516" spans="19:23">
      <c r="S2516" s="27">
        <v>44286</v>
      </c>
      <c r="T2516" s="773" t="s">
        <v>132</v>
      </c>
      <c r="U2516" s="773">
        <v>523</v>
      </c>
      <c r="V2516" s="773">
        <v>10</v>
      </c>
      <c r="W2516" s="773" t="s">
        <v>410</v>
      </c>
    </row>
    <row r="2517" spans="19:23">
      <c r="S2517" s="27">
        <v>44286</v>
      </c>
      <c r="T2517" s="773" t="s">
        <v>132</v>
      </c>
      <c r="U2517" s="773">
        <v>92</v>
      </c>
      <c r="V2517" s="773">
        <v>2413</v>
      </c>
      <c r="W2517" s="773" t="s">
        <v>390</v>
      </c>
    </row>
    <row r="2518" spans="19:23">
      <c r="S2518" s="27">
        <v>44286</v>
      </c>
      <c r="T2518" s="773" t="s">
        <v>132</v>
      </c>
      <c r="U2518" s="773">
        <v>267</v>
      </c>
      <c r="V2518" s="773">
        <v>1</v>
      </c>
      <c r="W2518" s="773" t="s">
        <v>410</v>
      </c>
    </row>
    <row r="2519" spans="19:23">
      <c r="S2519" s="27">
        <v>44286</v>
      </c>
      <c r="T2519" s="773" t="s">
        <v>132</v>
      </c>
      <c r="U2519" s="773">
        <v>295</v>
      </c>
      <c r="V2519" s="773">
        <v>4</v>
      </c>
      <c r="W2519" s="773" t="s">
        <v>410</v>
      </c>
    </row>
    <row r="2520" spans="19:23">
      <c r="S2520" s="27">
        <v>44651</v>
      </c>
      <c r="T2520" s="773" t="s">
        <v>132</v>
      </c>
      <c r="U2520" s="773">
        <v>262</v>
      </c>
      <c r="V2520" s="773">
        <v>69</v>
      </c>
      <c r="W2520" s="773" t="s">
        <v>410</v>
      </c>
    </row>
    <row r="2521" spans="19:23">
      <c r="S2521" s="27">
        <v>44286</v>
      </c>
      <c r="T2521" s="773" t="s">
        <v>132</v>
      </c>
      <c r="U2521" s="773">
        <v>249</v>
      </c>
      <c r="V2521" s="773">
        <v>2535</v>
      </c>
      <c r="W2521" s="773" t="s">
        <v>390</v>
      </c>
    </row>
    <row r="2522" spans="19:23">
      <c r="S2522" s="27">
        <v>44651</v>
      </c>
      <c r="T2522" s="773" t="s">
        <v>132</v>
      </c>
      <c r="U2522" s="773">
        <v>203</v>
      </c>
      <c r="V2522" s="773">
        <v>2711</v>
      </c>
      <c r="W2522" s="773" t="s">
        <v>390</v>
      </c>
    </row>
    <row r="2523" spans="19:23">
      <c r="S2523" s="27">
        <v>44286</v>
      </c>
      <c r="T2523" s="773" t="s">
        <v>132</v>
      </c>
      <c r="U2523" s="773">
        <v>291</v>
      </c>
      <c r="V2523" s="773">
        <v>2103</v>
      </c>
      <c r="W2523" s="773" t="s">
        <v>390</v>
      </c>
    </row>
    <row r="2524" spans="19:23">
      <c r="S2524" s="27">
        <v>44651</v>
      </c>
      <c r="T2524" s="773" t="s">
        <v>132</v>
      </c>
      <c r="U2524" s="773">
        <v>13</v>
      </c>
      <c r="V2524" s="773">
        <v>2882</v>
      </c>
      <c r="W2524" s="773" t="s">
        <v>390</v>
      </c>
    </row>
    <row r="2525" spans="19:23">
      <c r="S2525" s="27">
        <v>44286</v>
      </c>
      <c r="T2525" s="773" t="s">
        <v>132</v>
      </c>
      <c r="U2525" s="773">
        <v>654</v>
      </c>
      <c r="V2525" s="773">
        <v>2472</v>
      </c>
      <c r="W2525" s="773" t="s">
        <v>390</v>
      </c>
    </row>
    <row r="2526" spans="19:23">
      <c r="S2526" s="27">
        <v>44286</v>
      </c>
      <c r="T2526" s="773" t="s">
        <v>132</v>
      </c>
      <c r="U2526" s="773">
        <v>130</v>
      </c>
      <c r="V2526" s="773">
        <v>1</v>
      </c>
      <c r="W2526" s="773" t="s">
        <v>410</v>
      </c>
    </row>
    <row r="2527" spans="19:23">
      <c r="S2527" s="27">
        <v>44286</v>
      </c>
      <c r="T2527" s="773" t="s">
        <v>132</v>
      </c>
      <c r="U2527" s="773">
        <v>664</v>
      </c>
      <c r="V2527" s="773">
        <v>2138</v>
      </c>
      <c r="W2527" s="773" t="s">
        <v>390</v>
      </c>
    </row>
    <row r="2528" spans="19:23">
      <c r="S2528" s="27">
        <v>44286</v>
      </c>
      <c r="T2528" s="773" t="s">
        <v>132</v>
      </c>
      <c r="U2528" s="773">
        <v>48</v>
      </c>
      <c r="V2528" s="773">
        <v>713</v>
      </c>
      <c r="W2528" s="773" t="s">
        <v>390</v>
      </c>
    </row>
    <row r="2529" spans="19:23">
      <c r="S2529" s="27">
        <v>44286</v>
      </c>
      <c r="T2529" s="773" t="s">
        <v>132</v>
      </c>
      <c r="U2529" s="773">
        <v>84</v>
      </c>
      <c r="V2529" s="773">
        <v>2248</v>
      </c>
      <c r="W2529" s="773" t="s">
        <v>390</v>
      </c>
    </row>
    <row r="2530" spans="19:23">
      <c r="S2530" s="27">
        <v>44651</v>
      </c>
      <c r="T2530" s="773" t="s">
        <v>132</v>
      </c>
      <c r="U2530" s="773">
        <v>61</v>
      </c>
      <c r="V2530" s="773">
        <v>1</v>
      </c>
      <c r="W2530" s="773" t="s">
        <v>410</v>
      </c>
    </row>
    <row r="2531" spans="19:23">
      <c r="S2531" s="27">
        <v>44651</v>
      </c>
      <c r="T2531" s="773" t="s">
        <v>132</v>
      </c>
      <c r="U2531" s="773">
        <v>158</v>
      </c>
      <c r="V2531" s="773">
        <v>103</v>
      </c>
      <c r="W2531" s="773" t="s">
        <v>390</v>
      </c>
    </row>
    <row r="2532" spans="19:23">
      <c r="S2532" s="27">
        <v>44286</v>
      </c>
      <c r="T2532" s="773" t="s">
        <v>132</v>
      </c>
      <c r="U2532" s="773">
        <v>999</v>
      </c>
      <c r="V2532" s="773">
        <v>1</v>
      </c>
      <c r="W2532" s="773" t="s">
        <v>410</v>
      </c>
    </row>
    <row r="2533" spans="19:23">
      <c r="S2533" s="27">
        <v>44651</v>
      </c>
      <c r="T2533" s="773" t="s">
        <v>132</v>
      </c>
      <c r="U2533" s="773">
        <v>56</v>
      </c>
      <c r="V2533" s="773">
        <v>2</v>
      </c>
      <c r="W2533" s="773" t="s">
        <v>410</v>
      </c>
    </row>
    <row r="2534" spans="19:23">
      <c r="S2534" s="27">
        <v>44286</v>
      </c>
      <c r="T2534" s="773" t="s">
        <v>132</v>
      </c>
      <c r="U2534" s="773">
        <v>78</v>
      </c>
      <c r="V2534" s="773">
        <v>3</v>
      </c>
      <c r="W2534" s="773" t="s">
        <v>410</v>
      </c>
    </row>
    <row r="2535" spans="19:23">
      <c r="S2535" s="27">
        <v>44651</v>
      </c>
      <c r="T2535" s="773" t="s">
        <v>132</v>
      </c>
      <c r="U2535" s="773">
        <v>245</v>
      </c>
      <c r="V2535" s="773">
        <v>3298</v>
      </c>
      <c r="W2535" s="773" t="s">
        <v>390</v>
      </c>
    </row>
    <row r="2536" spans="19:23">
      <c r="S2536" s="27">
        <v>44651</v>
      </c>
      <c r="T2536" s="773" t="s">
        <v>132</v>
      </c>
      <c r="U2536" s="773">
        <v>155</v>
      </c>
      <c r="V2536" s="773">
        <v>2680</v>
      </c>
      <c r="W2536" s="773" t="s">
        <v>390</v>
      </c>
    </row>
    <row r="2537" spans="19:23">
      <c r="S2537" s="27">
        <v>44651</v>
      </c>
      <c r="T2537" s="773" t="s">
        <v>132</v>
      </c>
      <c r="U2537" s="773">
        <v>699</v>
      </c>
      <c r="V2537" s="773">
        <v>2158</v>
      </c>
      <c r="W2537" s="773" t="s">
        <v>390</v>
      </c>
    </row>
    <row r="2538" spans="19:23">
      <c r="S2538" s="27">
        <v>44286</v>
      </c>
      <c r="T2538" s="773" t="s">
        <v>132</v>
      </c>
      <c r="U2538" s="773">
        <v>141</v>
      </c>
      <c r="V2538" s="773">
        <v>6</v>
      </c>
      <c r="W2538" s="773" t="s">
        <v>410</v>
      </c>
    </row>
    <row r="2539" spans="19:23">
      <c r="S2539" s="27">
        <v>44286</v>
      </c>
      <c r="T2539" s="773" t="s">
        <v>132</v>
      </c>
      <c r="U2539" s="773">
        <v>114</v>
      </c>
      <c r="V2539" s="773">
        <v>1</v>
      </c>
      <c r="W2539" s="773" t="s">
        <v>410</v>
      </c>
    </row>
    <row r="2540" spans="19:23">
      <c r="S2540" s="27">
        <v>44286</v>
      </c>
      <c r="T2540" s="773" t="s">
        <v>132</v>
      </c>
      <c r="U2540" s="773">
        <v>668</v>
      </c>
      <c r="V2540" s="773">
        <v>2894</v>
      </c>
      <c r="W2540" s="773" t="s">
        <v>390</v>
      </c>
    </row>
    <row r="2541" spans="19:23">
      <c r="S2541" s="27">
        <v>44651</v>
      </c>
      <c r="T2541" s="773" t="s">
        <v>132</v>
      </c>
      <c r="U2541" s="773">
        <v>660</v>
      </c>
      <c r="V2541" s="773">
        <v>1</v>
      </c>
      <c r="W2541" s="773" t="s">
        <v>410</v>
      </c>
    </row>
    <row r="2542" spans="19:23">
      <c r="S2542" s="27">
        <v>44286</v>
      </c>
      <c r="T2542" s="773" t="s">
        <v>132</v>
      </c>
      <c r="U2542" s="773">
        <v>56</v>
      </c>
      <c r="V2542" s="773">
        <v>44</v>
      </c>
      <c r="W2542" s="773" t="s">
        <v>410</v>
      </c>
    </row>
    <row r="2543" spans="19:23">
      <c r="S2543" s="27">
        <v>44286</v>
      </c>
      <c r="T2543" s="773" t="s">
        <v>132</v>
      </c>
      <c r="U2543" s="773">
        <v>41</v>
      </c>
      <c r="V2543" s="773">
        <v>1</v>
      </c>
      <c r="W2543" s="773" t="s">
        <v>410</v>
      </c>
    </row>
    <row r="2544" spans="19:23">
      <c r="S2544" s="27">
        <v>44286</v>
      </c>
      <c r="T2544" s="773" t="s">
        <v>132</v>
      </c>
      <c r="U2544" s="773">
        <v>626</v>
      </c>
      <c r="V2544" s="773">
        <v>4</v>
      </c>
      <c r="W2544" s="773" t="s">
        <v>410</v>
      </c>
    </row>
    <row r="2545" spans="19:23">
      <c r="S2545" s="27">
        <v>44286</v>
      </c>
      <c r="T2545" s="773" t="s">
        <v>132</v>
      </c>
      <c r="U2545" s="773">
        <v>694</v>
      </c>
      <c r="V2545" s="773">
        <v>1</v>
      </c>
      <c r="W2545" s="773" t="s">
        <v>410</v>
      </c>
    </row>
    <row r="2546" spans="19:23">
      <c r="S2546" s="27">
        <v>44651</v>
      </c>
      <c r="T2546" s="773" t="s">
        <v>132</v>
      </c>
      <c r="U2546" s="773">
        <v>664</v>
      </c>
      <c r="V2546" s="773">
        <v>2073</v>
      </c>
      <c r="W2546" s="773" t="s">
        <v>390</v>
      </c>
    </row>
    <row r="2547" spans="19:23">
      <c r="S2547" s="27">
        <v>44651</v>
      </c>
      <c r="T2547" s="773" t="s">
        <v>132</v>
      </c>
      <c r="U2547" s="773">
        <v>367</v>
      </c>
      <c r="V2547" s="773">
        <v>1</v>
      </c>
      <c r="W2547" s="773" t="s">
        <v>410</v>
      </c>
    </row>
    <row r="2548" spans="19:23">
      <c r="S2548" s="27">
        <v>44286</v>
      </c>
      <c r="T2548" s="773" t="s">
        <v>132</v>
      </c>
      <c r="U2548" s="773">
        <v>176</v>
      </c>
      <c r="V2548" s="773">
        <v>1</v>
      </c>
      <c r="W2548" s="773" t="s">
        <v>410</v>
      </c>
    </row>
    <row r="2549" spans="19:23">
      <c r="S2549" s="27">
        <v>44286</v>
      </c>
      <c r="T2549" s="773" t="s">
        <v>132</v>
      </c>
      <c r="U2549" s="773">
        <v>246</v>
      </c>
      <c r="V2549" s="773">
        <v>3</v>
      </c>
      <c r="W2549" s="773" t="s">
        <v>410</v>
      </c>
    </row>
    <row r="2550" spans="19:23">
      <c r="S2550" s="27">
        <v>44286</v>
      </c>
      <c r="T2550" s="773" t="s">
        <v>132</v>
      </c>
      <c r="U2550" s="773">
        <v>303</v>
      </c>
      <c r="V2550" s="773">
        <v>2461</v>
      </c>
      <c r="W2550" s="773" t="s">
        <v>390</v>
      </c>
    </row>
    <row r="2551" spans="19:23">
      <c r="S2551" s="27">
        <v>44286</v>
      </c>
      <c r="T2551" s="773" t="s">
        <v>132</v>
      </c>
      <c r="U2551" s="773">
        <v>97</v>
      </c>
      <c r="V2551" s="773">
        <v>2</v>
      </c>
      <c r="W2551" s="773" t="s">
        <v>410</v>
      </c>
    </row>
    <row r="2552" spans="19:23">
      <c r="S2552" s="27">
        <v>44286</v>
      </c>
      <c r="T2552" s="773" t="s">
        <v>132</v>
      </c>
      <c r="U2552" s="773">
        <v>652</v>
      </c>
      <c r="V2552" s="773">
        <v>2593</v>
      </c>
      <c r="W2552" s="773" t="s">
        <v>390</v>
      </c>
    </row>
    <row r="2553" spans="19:23">
      <c r="S2553" s="27">
        <v>44651</v>
      </c>
      <c r="T2553" s="773" t="s">
        <v>132</v>
      </c>
      <c r="U2553" s="773">
        <v>70</v>
      </c>
      <c r="V2553" s="773">
        <v>216</v>
      </c>
      <c r="W2553" s="773" t="s">
        <v>390</v>
      </c>
    </row>
    <row r="2554" spans="19:23">
      <c r="S2554" s="27">
        <v>44651</v>
      </c>
      <c r="T2554" s="773" t="s">
        <v>132</v>
      </c>
      <c r="U2554" s="773">
        <v>162</v>
      </c>
      <c r="V2554" s="773">
        <v>2374</v>
      </c>
      <c r="W2554" s="773" t="s">
        <v>390</v>
      </c>
    </row>
    <row r="2555" spans="19:23">
      <c r="S2555" s="27">
        <v>44651</v>
      </c>
      <c r="T2555" s="773" t="s">
        <v>132</v>
      </c>
      <c r="U2555" s="773">
        <v>651</v>
      </c>
      <c r="V2555" s="773">
        <v>56</v>
      </c>
      <c r="W2555" s="773" t="s">
        <v>410</v>
      </c>
    </row>
    <row r="2556" spans="19:23">
      <c r="S2556" s="27">
        <v>44286</v>
      </c>
      <c r="T2556" s="773" t="s">
        <v>132</v>
      </c>
      <c r="U2556" s="773">
        <v>320</v>
      </c>
      <c r="V2556" s="773">
        <v>13</v>
      </c>
      <c r="W2556" s="773" t="s">
        <v>410</v>
      </c>
    </row>
    <row r="2557" spans="19:23">
      <c r="S2557" s="27">
        <v>44651</v>
      </c>
      <c r="T2557" s="773" t="s">
        <v>132</v>
      </c>
      <c r="U2557" s="773">
        <v>297</v>
      </c>
      <c r="V2557" s="773">
        <v>750</v>
      </c>
      <c r="W2557" s="773" t="s">
        <v>390</v>
      </c>
    </row>
    <row r="2558" spans="19:23">
      <c r="S2558" s="27">
        <v>44286</v>
      </c>
      <c r="T2558" s="773" t="s">
        <v>132</v>
      </c>
      <c r="U2558" s="773">
        <v>218</v>
      </c>
      <c r="V2558" s="773">
        <v>1015</v>
      </c>
      <c r="W2558" s="773" t="s">
        <v>390</v>
      </c>
    </row>
    <row r="2559" spans="19:23">
      <c r="S2559" s="27">
        <v>44286</v>
      </c>
      <c r="T2559" s="773" t="s">
        <v>132</v>
      </c>
      <c r="U2559" s="773">
        <v>256</v>
      </c>
      <c r="V2559" s="773">
        <v>758</v>
      </c>
      <c r="W2559" s="773" t="s">
        <v>390</v>
      </c>
    </row>
    <row r="2560" spans="19:23">
      <c r="S2560" s="27">
        <v>44286</v>
      </c>
      <c r="T2560" s="773" t="s">
        <v>132</v>
      </c>
      <c r="U2560" s="773">
        <v>111</v>
      </c>
      <c r="V2560" s="773">
        <v>1</v>
      </c>
      <c r="W2560" s="773" t="s">
        <v>410</v>
      </c>
    </row>
    <row r="2561" spans="19:23">
      <c r="S2561" s="27">
        <v>44651</v>
      </c>
      <c r="T2561" s="773" t="s">
        <v>132</v>
      </c>
      <c r="U2561" s="773">
        <v>703</v>
      </c>
      <c r="V2561" s="773">
        <v>3326</v>
      </c>
      <c r="W2561" s="773" t="s">
        <v>390</v>
      </c>
    </row>
    <row r="2562" spans="19:23">
      <c r="S2562" s="27">
        <v>44286</v>
      </c>
      <c r="T2562" s="773" t="s">
        <v>132</v>
      </c>
      <c r="U2562" s="773">
        <v>265</v>
      </c>
      <c r="V2562" s="773">
        <v>1648</v>
      </c>
      <c r="W2562" s="773" t="s">
        <v>390</v>
      </c>
    </row>
    <row r="2563" spans="19:23">
      <c r="S2563" s="27">
        <v>44286</v>
      </c>
      <c r="T2563" s="773" t="s">
        <v>132</v>
      </c>
      <c r="U2563" s="773">
        <v>658</v>
      </c>
      <c r="V2563" s="773">
        <v>2865</v>
      </c>
      <c r="W2563" s="773" t="s">
        <v>390</v>
      </c>
    </row>
    <row r="2564" spans="19:23">
      <c r="S2564" s="27">
        <v>44286</v>
      </c>
      <c r="T2564" s="773" t="s">
        <v>132</v>
      </c>
      <c r="U2564" s="773">
        <v>252</v>
      </c>
      <c r="V2564" s="773">
        <v>1271</v>
      </c>
      <c r="W2564" s="773" t="s">
        <v>390</v>
      </c>
    </row>
    <row r="2565" spans="19:23">
      <c r="S2565" s="27">
        <v>44651</v>
      </c>
      <c r="T2565" s="773" t="s">
        <v>132</v>
      </c>
      <c r="U2565" s="773">
        <v>68</v>
      </c>
      <c r="V2565" s="773">
        <v>608</v>
      </c>
      <c r="W2565" s="773" t="s">
        <v>390</v>
      </c>
    </row>
    <row r="2566" spans="19:23">
      <c r="S2566" s="27">
        <v>44651</v>
      </c>
      <c r="T2566" s="773" t="s">
        <v>132</v>
      </c>
      <c r="U2566" s="773">
        <v>230</v>
      </c>
      <c r="V2566" s="773">
        <v>1</v>
      </c>
      <c r="W2566" s="773" t="s">
        <v>410</v>
      </c>
    </row>
    <row r="2567" spans="19:23">
      <c r="S2567" s="27">
        <v>44651</v>
      </c>
      <c r="T2567" s="773" t="s">
        <v>132</v>
      </c>
      <c r="U2567" s="773">
        <v>136</v>
      </c>
      <c r="V2567" s="773">
        <v>8</v>
      </c>
      <c r="W2567" s="773" t="s">
        <v>410</v>
      </c>
    </row>
    <row r="2568" spans="19:23">
      <c r="S2568" s="27">
        <v>44651</v>
      </c>
      <c r="T2568" s="773" t="s">
        <v>132</v>
      </c>
      <c r="U2568" s="773">
        <v>87</v>
      </c>
      <c r="V2568" s="773">
        <v>1</v>
      </c>
      <c r="W2568" s="773" t="s">
        <v>410</v>
      </c>
    </row>
    <row r="2569" spans="19:23">
      <c r="S2569" s="27">
        <v>44286</v>
      </c>
      <c r="T2569" s="773" t="s">
        <v>132</v>
      </c>
      <c r="U2569" s="773">
        <v>306</v>
      </c>
      <c r="V2569" s="773">
        <v>2304</v>
      </c>
      <c r="W2569" s="773" t="s">
        <v>390</v>
      </c>
    </row>
    <row r="2570" spans="19:23">
      <c r="S2570" s="27">
        <v>44651</v>
      </c>
      <c r="T2570" s="773" t="s">
        <v>132</v>
      </c>
      <c r="U2570" s="773">
        <v>48</v>
      </c>
      <c r="V2570" s="773">
        <v>663</v>
      </c>
      <c r="W2570" s="773" t="s">
        <v>390</v>
      </c>
    </row>
    <row r="2571" spans="19:23">
      <c r="S2571" s="27">
        <v>44651</v>
      </c>
      <c r="T2571" s="773" t="s">
        <v>132</v>
      </c>
      <c r="U2571" s="773">
        <v>194</v>
      </c>
      <c r="V2571" s="773">
        <v>3898</v>
      </c>
      <c r="W2571" s="773" t="s">
        <v>390</v>
      </c>
    </row>
    <row r="2572" spans="19:23">
      <c r="S2572" s="27">
        <v>44651</v>
      </c>
      <c r="T2572" s="773" t="s">
        <v>132</v>
      </c>
      <c r="U2572" s="773">
        <v>247</v>
      </c>
      <c r="V2572" s="773">
        <v>2868</v>
      </c>
      <c r="W2572" s="773" t="s">
        <v>390</v>
      </c>
    </row>
    <row r="2573" spans="19:23">
      <c r="S2573" s="27">
        <v>44286</v>
      </c>
      <c r="T2573" s="773" t="s">
        <v>132</v>
      </c>
      <c r="U2573" s="773">
        <v>269</v>
      </c>
      <c r="V2573" s="773">
        <v>1</v>
      </c>
      <c r="W2573" s="773" t="s">
        <v>410</v>
      </c>
    </row>
    <row r="2574" spans="19:23">
      <c r="S2574" s="27">
        <v>44286</v>
      </c>
      <c r="T2574" s="773" t="s">
        <v>132</v>
      </c>
      <c r="U2574" s="773">
        <v>64</v>
      </c>
      <c r="V2574" s="773">
        <v>5</v>
      </c>
      <c r="W2574" s="773" t="s">
        <v>410</v>
      </c>
    </row>
    <row r="2575" spans="19:23">
      <c r="S2575" s="27">
        <v>44651</v>
      </c>
      <c r="T2575" s="773" t="s">
        <v>132</v>
      </c>
      <c r="U2575" s="773">
        <v>53</v>
      </c>
      <c r="V2575" s="773">
        <v>1</v>
      </c>
      <c r="W2575" s="773" t="s">
        <v>410</v>
      </c>
    </row>
    <row r="2576" spans="19:23">
      <c r="S2576" s="27">
        <v>44651</v>
      </c>
      <c r="T2576" s="773" t="s">
        <v>132</v>
      </c>
      <c r="U2576" s="773">
        <v>89</v>
      </c>
      <c r="V2576" s="773">
        <v>1122</v>
      </c>
      <c r="W2576" s="773" t="s">
        <v>390</v>
      </c>
    </row>
    <row r="2577" spans="19:23">
      <c r="S2577" s="27">
        <v>44651</v>
      </c>
      <c r="T2577" s="773" t="s">
        <v>132</v>
      </c>
      <c r="U2577" s="773">
        <v>193</v>
      </c>
      <c r="V2577" s="773">
        <v>426</v>
      </c>
      <c r="W2577" s="773" t="s">
        <v>390</v>
      </c>
    </row>
    <row r="2578" spans="19:23">
      <c r="S2578" s="27">
        <v>44651</v>
      </c>
      <c r="T2578" s="773" t="s">
        <v>132</v>
      </c>
      <c r="U2578" s="773">
        <v>694</v>
      </c>
      <c r="V2578" s="773">
        <v>1</v>
      </c>
      <c r="W2578" s="773" t="s">
        <v>410</v>
      </c>
    </row>
    <row r="2579" spans="19:23">
      <c r="S2579" s="27">
        <v>44651</v>
      </c>
      <c r="T2579" s="773" t="s">
        <v>132</v>
      </c>
      <c r="U2579" s="773">
        <v>271</v>
      </c>
      <c r="V2579" s="773">
        <v>2725</v>
      </c>
      <c r="W2579" s="773" t="s">
        <v>390</v>
      </c>
    </row>
    <row r="2580" spans="19:23">
      <c r="S2580" s="27">
        <v>44286</v>
      </c>
      <c r="T2580" s="773" t="s">
        <v>132</v>
      </c>
      <c r="U2580" s="773">
        <v>247</v>
      </c>
      <c r="V2580" s="773">
        <v>22</v>
      </c>
      <c r="W2580" s="773" t="s">
        <v>410</v>
      </c>
    </row>
    <row r="2581" spans="19:23">
      <c r="S2581" s="27">
        <v>44286</v>
      </c>
      <c r="T2581" s="773" t="s">
        <v>132</v>
      </c>
      <c r="U2581" s="773">
        <v>202</v>
      </c>
      <c r="V2581" s="773">
        <v>1</v>
      </c>
      <c r="W2581" s="773" t="s">
        <v>410</v>
      </c>
    </row>
    <row r="2582" spans="19:23">
      <c r="S2582" s="27">
        <v>44651</v>
      </c>
      <c r="T2582" s="773" t="s">
        <v>132</v>
      </c>
      <c r="U2582" s="773">
        <v>304</v>
      </c>
      <c r="V2582" s="773">
        <v>97</v>
      </c>
      <c r="W2582" s="773" t="s">
        <v>410</v>
      </c>
    </row>
    <row r="2583" spans="19:23">
      <c r="S2583" s="27">
        <v>44286</v>
      </c>
      <c r="T2583" s="773" t="s">
        <v>132</v>
      </c>
      <c r="U2583" s="773">
        <v>669</v>
      </c>
      <c r="V2583" s="773">
        <v>2374</v>
      </c>
      <c r="W2583" s="773" t="s">
        <v>390</v>
      </c>
    </row>
    <row r="2584" spans="19:23">
      <c r="S2584" s="27">
        <v>44651</v>
      </c>
      <c r="T2584" s="773" t="s">
        <v>132</v>
      </c>
      <c r="U2584" s="773">
        <v>44</v>
      </c>
      <c r="V2584" s="773">
        <v>2290</v>
      </c>
      <c r="W2584" s="773" t="s">
        <v>390</v>
      </c>
    </row>
    <row r="2585" spans="19:23">
      <c r="S2585" s="27">
        <v>44651</v>
      </c>
      <c r="T2585" s="773" t="s">
        <v>132</v>
      </c>
      <c r="U2585" s="773">
        <v>674</v>
      </c>
      <c r="V2585" s="773">
        <v>3968</v>
      </c>
      <c r="W2585" s="773" t="s">
        <v>390</v>
      </c>
    </row>
    <row r="2586" spans="19:23">
      <c r="S2586" s="27">
        <v>44651</v>
      </c>
      <c r="T2586" s="773" t="s">
        <v>132</v>
      </c>
      <c r="U2586" s="773">
        <v>328</v>
      </c>
      <c r="V2586" s="773">
        <v>1581</v>
      </c>
      <c r="W2586" s="773" t="s">
        <v>390</v>
      </c>
    </row>
    <row r="2587" spans="19:23">
      <c r="S2587" s="27">
        <v>44651</v>
      </c>
      <c r="T2587" s="773" t="s">
        <v>132</v>
      </c>
      <c r="U2587" s="773">
        <v>279</v>
      </c>
      <c r="V2587" s="773">
        <v>2325</v>
      </c>
      <c r="W2587" s="773" t="s">
        <v>390</v>
      </c>
    </row>
    <row r="2588" spans="19:23">
      <c r="S2588" s="27">
        <v>44286</v>
      </c>
      <c r="T2588" s="773" t="s">
        <v>132</v>
      </c>
      <c r="U2588" s="773">
        <v>152</v>
      </c>
      <c r="V2588" s="773">
        <v>2</v>
      </c>
      <c r="W2588" s="773" t="s">
        <v>410</v>
      </c>
    </row>
    <row r="2589" spans="19:23">
      <c r="S2589" s="27">
        <v>44286</v>
      </c>
      <c r="T2589" s="773" t="s">
        <v>132</v>
      </c>
      <c r="U2589" s="773">
        <v>77</v>
      </c>
      <c r="V2589" s="773">
        <v>3288</v>
      </c>
      <c r="W2589" s="773" t="s">
        <v>390</v>
      </c>
    </row>
    <row r="2590" spans="19:23">
      <c r="S2590" s="27">
        <v>44651</v>
      </c>
      <c r="T2590" s="773" t="s">
        <v>132</v>
      </c>
      <c r="U2590" s="773">
        <v>658</v>
      </c>
      <c r="V2590" s="773">
        <v>3723</v>
      </c>
      <c r="W2590" s="773" t="s">
        <v>390</v>
      </c>
    </row>
    <row r="2591" spans="19:23">
      <c r="S2591" s="27">
        <v>44286</v>
      </c>
      <c r="T2591" s="773" t="s">
        <v>132</v>
      </c>
      <c r="U2591" s="773">
        <v>13</v>
      </c>
      <c r="V2591" s="773">
        <v>4077</v>
      </c>
      <c r="W2591" s="773" t="s">
        <v>390</v>
      </c>
    </row>
    <row r="2592" spans="19:23">
      <c r="S2592" s="27">
        <v>44651</v>
      </c>
      <c r="T2592" s="773" t="s">
        <v>132</v>
      </c>
      <c r="U2592" s="773">
        <v>218</v>
      </c>
      <c r="V2592" s="773">
        <v>145</v>
      </c>
      <c r="W2592" s="773" t="s">
        <v>390</v>
      </c>
    </row>
    <row r="2593" spans="19:23">
      <c r="S2593" s="27">
        <v>44651</v>
      </c>
      <c r="T2593" s="773" t="s">
        <v>132</v>
      </c>
      <c r="U2593" s="773">
        <v>323</v>
      </c>
      <c r="V2593" s="773">
        <v>3060</v>
      </c>
      <c r="W2593" s="773" t="s">
        <v>390</v>
      </c>
    </row>
    <row r="2594" spans="19:23">
      <c r="S2594" s="27">
        <v>44286</v>
      </c>
      <c r="T2594" s="773" t="s">
        <v>132</v>
      </c>
      <c r="U2594" s="773">
        <v>688</v>
      </c>
      <c r="V2594" s="773">
        <v>2355</v>
      </c>
      <c r="W2594" s="773" t="s">
        <v>390</v>
      </c>
    </row>
    <row r="2595" spans="19:23">
      <c r="S2595" s="27">
        <v>44651</v>
      </c>
      <c r="T2595" s="773" t="s">
        <v>132</v>
      </c>
      <c r="U2595" s="773">
        <v>679</v>
      </c>
      <c r="V2595" s="773">
        <v>1</v>
      </c>
      <c r="W2595" s="773" t="s">
        <v>410</v>
      </c>
    </row>
    <row r="2596" spans="19:23">
      <c r="S2596" s="27">
        <v>44286</v>
      </c>
      <c r="T2596" s="773" t="s">
        <v>132</v>
      </c>
      <c r="U2596" s="773">
        <v>262</v>
      </c>
      <c r="V2596" s="773">
        <v>89</v>
      </c>
      <c r="W2596" s="773" t="s">
        <v>410</v>
      </c>
    </row>
    <row r="2597" spans="19:23">
      <c r="S2597" s="27">
        <v>44651</v>
      </c>
      <c r="T2597" s="773" t="s">
        <v>132</v>
      </c>
      <c r="U2597" s="773">
        <v>255</v>
      </c>
      <c r="V2597" s="773">
        <v>77</v>
      </c>
      <c r="W2597" s="773" t="s">
        <v>410</v>
      </c>
    </row>
    <row r="2598" spans="19:23">
      <c r="S2598" s="27">
        <v>44651</v>
      </c>
      <c r="T2598" s="773" t="s">
        <v>132</v>
      </c>
      <c r="U2598" s="773">
        <v>220</v>
      </c>
      <c r="V2598" s="773">
        <v>49</v>
      </c>
      <c r="W2598" s="773" t="s">
        <v>410</v>
      </c>
    </row>
    <row r="2599" spans="19:23">
      <c r="S2599" s="27">
        <v>44651</v>
      </c>
      <c r="T2599" s="773" t="s">
        <v>132</v>
      </c>
      <c r="U2599" s="773">
        <v>322</v>
      </c>
      <c r="V2599" s="773">
        <v>2790</v>
      </c>
      <c r="W2599" s="773" t="s">
        <v>390</v>
      </c>
    </row>
    <row r="2600" spans="19:23">
      <c r="S2600" s="27">
        <v>44651</v>
      </c>
      <c r="T2600" s="773" t="s">
        <v>132</v>
      </c>
      <c r="U2600" s="773">
        <v>256</v>
      </c>
      <c r="V2600" s="773">
        <v>293</v>
      </c>
      <c r="W2600" s="773" t="s">
        <v>390</v>
      </c>
    </row>
    <row r="2601" spans="19:23">
      <c r="S2601" s="27">
        <v>44286</v>
      </c>
      <c r="T2601" s="773" t="s">
        <v>132</v>
      </c>
      <c r="U2601" s="773">
        <v>309</v>
      </c>
      <c r="V2601" s="773">
        <v>13</v>
      </c>
      <c r="W2601" s="773" t="s">
        <v>410</v>
      </c>
    </row>
    <row r="2602" spans="19:23">
      <c r="S2602" s="27">
        <v>44651</v>
      </c>
      <c r="T2602" s="773" t="s">
        <v>132</v>
      </c>
      <c r="U2602" s="773">
        <v>81</v>
      </c>
      <c r="V2602" s="773">
        <v>4</v>
      </c>
      <c r="W2602" s="773" t="s">
        <v>410</v>
      </c>
    </row>
    <row r="2603" spans="19:23">
      <c r="S2603" s="27">
        <v>44286</v>
      </c>
      <c r="T2603" s="773" t="s">
        <v>132</v>
      </c>
      <c r="U2603" s="773">
        <v>89</v>
      </c>
      <c r="V2603" s="773">
        <v>1165</v>
      </c>
      <c r="W2603" s="773" t="s">
        <v>390</v>
      </c>
    </row>
    <row r="2604" spans="19:23">
      <c r="S2604" s="27">
        <v>44286</v>
      </c>
      <c r="T2604" s="773" t="s">
        <v>132</v>
      </c>
      <c r="U2604" s="773">
        <v>297</v>
      </c>
      <c r="V2604" s="773">
        <v>13</v>
      </c>
      <c r="W2604" s="773" t="s">
        <v>410</v>
      </c>
    </row>
    <row r="2605" spans="19:23">
      <c r="S2605" s="27">
        <v>44651</v>
      </c>
      <c r="T2605" s="773" t="s">
        <v>132</v>
      </c>
      <c r="U2605" s="773">
        <v>164</v>
      </c>
      <c r="V2605" s="773">
        <v>2</v>
      </c>
      <c r="W2605" s="773" t="s">
        <v>410</v>
      </c>
    </row>
    <row r="2606" spans="19:23">
      <c r="S2606" s="27">
        <v>44651</v>
      </c>
      <c r="T2606" s="773" t="s">
        <v>132</v>
      </c>
      <c r="U2606" s="773">
        <v>317</v>
      </c>
      <c r="V2606" s="773">
        <v>3544</v>
      </c>
      <c r="W2606" s="773" t="s">
        <v>390</v>
      </c>
    </row>
    <row r="2607" spans="19:23">
      <c r="S2607" s="27">
        <v>44286</v>
      </c>
      <c r="T2607" s="773" t="s">
        <v>132</v>
      </c>
      <c r="U2607" s="773">
        <v>666</v>
      </c>
      <c r="V2607" s="773">
        <v>1379</v>
      </c>
      <c r="W2607" s="773" t="s">
        <v>390</v>
      </c>
    </row>
    <row r="2608" spans="19:23">
      <c r="S2608" s="27">
        <v>44286</v>
      </c>
      <c r="T2608" s="773" t="s">
        <v>132</v>
      </c>
      <c r="U2608" s="773">
        <v>68</v>
      </c>
      <c r="V2608" s="773">
        <v>291</v>
      </c>
      <c r="W2608" s="773" t="s">
        <v>390</v>
      </c>
    </row>
    <row r="2609" spans="19:23">
      <c r="S2609" s="27">
        <v>44651</v>
      </c>
      <c r="T2609" s="773" t="s">
        <v>132</v>
      </c>
      <c r="U2609" s="773">
        <v>696</v>
      </c>
      <c r="V2609" s="773">
        <v>2066</v>
      </c>
      <c r="W2609" s="773" t="s">
        <v>390</v>
      </c>
    </row>
    <row r="2610" spans="19:23">
      <c r="S2610" s="27">
        <v>44286</v>
      </c>
      <c r="T2610" s="773" t="s">
        <v>132</v>
      </c>
      <c r="U2610" s="773">
        <v>696</v>
      </c>
      <c r="V2610" s="773">
        <v>2185</v>
      </c>
      <c r="W2610" s="773" t="s">
        <v>390</v>
      </c>
    </row>
    <row r="2611" spans="19:23">
      <c r="S2611" s="27">
        <v>44651</v>
      </c>
      <c r="T2611" s="773" t="s">
        <v>132</v>
      </c>
      <c r="U2611" s="773">
        <v>315</v>
      </c>
      <c r="V2611" s="773">
        <v>1943</v>
      </c>
      <c r="W2611" s="773" t="s">
        <v>390</v>
      </c>
    </row>
    <row r="2612" spans="19:23">
      <c r="S2612" s="27">
        <v>44651</v>
      </c>
      <c r="T2612" s="773" t="s">
        <v>132</v>
      </c>
      <c r="U2612" s="773">
        <v>306</v>
      </c>
      <c r="V2612" s="773">
        <v>2411</v>
      </c>
      <c r="W2612" s="773" t="s">
        <v>390</v>
      </c>
    </row>
    <row r="2613" spans="19:23">
      <c r="S2613" s="27">
        <v>44651</v>
      </c>
      <c r="T2613" s="773" t="s">
        <v>132</v>
      </c>
      <c r="U2613" s="773">
        <v>188</v>
      </c>
      <c r="V2613" s="773">
        <v>664</v>
      </c>
      <c r="W2613" s="773" t="s">
        <v>390</v>
      </c>
    </row>
    <row r="2614" spans="19:23">
      <c r="S2614" s="27">
        <v>44286</v>
      </c>
      <c r="T2614" s="773" t="s">
        <v>132</v>
      </c>
      <c r="U2614" s="773">
        <v>322</v>
      </c>
      <c r="V2614" s="773">
        <v>11</v>
      </c>
      <c r="W2614" s="773" t="s">
        <v>410</v>
      </c>
    </row>
    <row r="2615" spans="19:23">
      <c r="S2615" s="27">
        <v>44286</v>
      </c>
      <c r="T2615" s="773" t="s">
        <v>132</v>
      </c>
      <c r="U2615" s="773">
        <v>72</v>
      </c>
      <c r="V2615" s="773">
        <v>3</v>
      </c>
      <c r="W2615" s="773" t="s">
        <v>410</v>
      </c>
    </row>
    <row r="2616" spans="19:23">
      <c r="S2616" s="27">
        <v>44286</v>
      </c>
      <c r="T2616" s="773" t="s">
        <v>132</v>
      </c>
      <c r="U2616" s="773">
        <v>660</v>
      </c>
      <c r="V2616" s="773">
        <v>3</v>
      </c>
      <c r="W2616" s="773" t="s">
        <v>410</v>
      </c>
    </row>
    <row r="2617" spans="19:23">
      <c r="S2617" s="27">
        <v>44286</v>
      </c>
      <c r="T2617" s="773" t="s">
        <v>132</v>
      </c>
      <c r="U2617" s="773">
        <v>53</v>
      </c>
      <c r="V2617" s="773">
        <v>1</v>
      </c>
      <c r="W2617" s="773" t="s">
        <v>410</v>
      </c>
    </row>
    <row r="2618" spans="19:23">
      <c r="S2618" s="27">
        <v>44286</v>
      </c>
      <c r="T2618" s="773" t="s">
        <v>132</v>
      </c>
      <c r="U2618" s="773">
        <v>40</v>
      </c>
      <c r="V2618" s="773">
        <v>3</v>
      </c>
      <c r="W2618" s="773" t="s">
        <v>410</v>
      </c>
    </row>
    <row r="2619" spans="19:23">
      <c r="S2619" s="27">
        <v>44651</v>
      </c>
      <c r="T2619" s="773" t="s">
        <v>132</v>
      </c>
      <c r="U2619" s="773">
        <v>130</v>
      </c>
      <c r="V2619" s="773">
        <v>1</v>
      </c>
      <c r="W2619" s="773" t="s">
        <v>410</v>
      </c>
    </row>
    <row r="2620" spans="19:23">
      <c r="S2620" s="27">
        <v>44651</v>
      </c>
      <c r="T2620" s="773" t="s">
        <v>132</v>
      </c>
      <c r="U2620" s="773">
        <v>254</v>
      </c>
      <c r="V2620" s="773">
        <v>3</v>
      </c>
      <c r="W2620" s="773" t="s">
        <v>410</v>
      </c>
    </row>
    <row r="2621" spans="19:23">
      <c r="S2621" s="27">
        <v>44651</v>
      </c>
      <c r="T2621" s="773" t="s">
        <v>132</v>
      </c>
      <c r="U2621" s="773">
        <v>706</v>
      </c>
      <c r="V2621" s="773">
        <v>1245</v>
      </c>
      <c r="W2621" s="773" t="s">
        <v>390</v>
      </c>
    </row>
    <row r="2622" spans="19:23">
      <c r="S2622" s="27">
        <v>44651</v>
      </c>
      <c r="T2622" s="773" t="s">
        <v>132</v>
      </c>
      <c r="U2622" s="773">
        <v>82</v>
      </c>
      <c r="V2622" s="773">
        <v>2534</v>
      </c>
      <c r="W2622" s="773" t="s">
        <v>390</v>
      </c>
    </row>
    <row r="2623" spans="19:23">
      <c r="S2623" s="27">
        <v>44286</v>
      </c>
      <c r="T2623" s="773" t="s">
        <v>132</v>
      </c>
      <c r="U2623" s="773">
        <v>641</v>
      </c>
      <c r="V2623" s="773">
        <v>3192</v>
      </c>
      <c r="W2623" s="773" t="s">
        <v>390</v>
      </c>
    </row>
    <row r="2624" spans="19:23">
      <c r="S2624" s="27">
        <v>44286</v>
      </c>
      <c r="T2624" s="773" t="s">
        <v>132</v>
      </c>
      <c r="U2624" s="773">
        <v>238</v>
      </c>
      <c r="V2624" s="773">
        <v>5</v>
      </c>
      <c r="W2624" s="773" t="s">
        <v>410</v>
      </c>
    </row>
    <row r="2625" spans="19:23">
      <c r="S2625" s="27">
        <v>44651</v>
      </c>
      <c r="T2625" s="773" t="s">
        <v>132</v>
      </c>
      <c r="U2625" s="773">
        <v>523</v>
      </c>
      <c r="V2625" s="773">
        <v>1</v>
      </c>
      <c r="W2625" s="773" t="s">
        <v>410</v>
      </c>
    </row>
    <row r="2626" spans="19:23">
      <c r="S2626" s="27">
        <v>44651</v>
      </c>
      <c r="T2626" s="773" t="s">
        <v>132</v>
      </c>
      <c r="U2626" s="773">
        <v>295</v>
      </c>
      <c r="V2626" s="773">
        <v>2</v>
      </c>
      <c r="W2626" s="773" t="s">
        <v>410</v>
      </c>
    </row>
    <row r="2627" spans="19:23">
      <c r="S2627" s="27">
        <v>44651</v>
      </c>
      <c r="T2627" s="773" t="s">
        <v>132</v>
      </c>
      <c r="U2627" s="773">
        <v>249</v>
      </c>
      <c r="V2627" s="773">
        <v>3479</v>
      </c>
      <c r="W2627" s="773" t="s">
        <v>390</v>
      </c>
    </row>
    <row r="2628" spans="19:23">
      <c r="S2628" s="27">
        <v>44651</v>
      </c>
      <c r="T2628" s="773" t="s">
        <v>132</v>
      </c>
      <c r="U2628" s="773">
        <v>700</v>
      </c>
      <c r="V2628" s="773">
        <v>2717</v>
      </c>
      <c r="W2628" s="773" t="s">
        <v>390</v>
      </c>
    </row>
    <row r="2629" spans="19:23">
      <c r="S2629" s="27">
        <v>44286</v>
      </c>
      <c r="T2629" s="773" t="s">
        <v>132</v>
      </c>
      <c r="U2629" s="773">
        <v>237</v>
      </c>
      <c r="V2629" s="773">
        <v>30</v>
      </c>
      <c r="W2629" s="773" t="s">
        <v>410</v>
      </c>
    </row>
    <row r="2630" spans="19:23">
      <c r="S2630" s="27">
        <v>44651</v>
      </c>
      <c r="T2630" s="773" t="s">
        <v>132</v>
      </c>
      <c r="U2630" s="773">
        <v>305</v>
      </c>
      <c r="V2630" s="773">
        <v>5166</v>
      </c>
      <c r="W2630" s="773" t="s">
        <v>390</v>
      </c>
    </row>
    <row r="2631" spans="19:23">
      <c r="S2631" s="27">
        <v>44651</v>
      </c>
      <c r="T2631" s="773" t="s">
        <v>132</v>
      </c>
      <c r="U2631" s="773">
        <v>232</v>
      </c>
      <c r="V2631" s="773">
        <v>4</v>
      </c>
      <c r="W2631" s="773" t="s">
        <v>410</v>
      </c>
    </row>
    <row r="2632" spans="19:23">
      <c r="S2632" s="27">
        <v>44286</v>
      </c>
      <c r="T2632" s="773" t="s">
        <v>132</v>
      </c>
      <c r="U2632" s="773">
        <v>183</v>
      </c>
      <c r="V2632" s="773">
        <v>2306</v>
      </c>
      <c r="W2632" s="773" t="s">
        <v>390</v>
      </c>
    </row>
    <row r="2633" spans="19:23">
      <c r="S2633" s="27">
        <v>44651</v>
      </c>
      <c r="T2633" s="773" t="s">
        <v>132</v>
      </c>
      <c r="U2633" s="773">
        <v>39</v>
      </c>
      <c r="V2633" s="773">
        <v>1</v>
      </c>
      <c r="W2633" s="773" t="s">
        <v>410</v>
      </c>
    </row>
    <row r="2634" spans="19:23">
      <c r="S2634" s="27">
        <v>44651</v>
      </c>
      <c r="T2634" s="773" t="s">
        <v>132</v>
      </c>
      <c r="U2634" s="773">
        <v>35</v>
      </c>
      <c r="V2634" s="773">
        <v>887</v>
      </c>
      <c r="W2634" s="773" t="s">
        <v>390</v>
      </c>
    </row>
    <row r="2635" spans="19:23">
      <c r="S2635" s="27">
        <v>44651</v>
      </c>
      <c r="T2635" s="773" t="s">
        <v>132</v>
      </c>
      <c r="U2635" s="773">
        <v>308</v>
      </c>
      <c r="V2635" s="773">
        <v>2123</v>
      </c>
      <c r="W2635" s="773" t="s">
        <v>390</v>
      </c>
    </row>
    <row r="2636" spans="19:23">
      <c r="S2636" s="27">
        <v>44651</v>
      </c>
      <c r="T2636" s="773" t="s">
        <v>132</v>
      </c>
      <c r="U2636" s="773">
        <v>697</v>
      </c>
      <c r="V2636" s="773">
        <v>1429</v>
      </c>
      <c r="W2636" s="773" t="s">
        <v>390</v>
      </c>
    </row>
    <row r="2637" spans="19:23">
      <c r="S2637" s="27">
        <v>44651</v>
      </c>
      <c r="T2637" s="773" t="s">
        <v>132</v>
      </c>
      <c r="U2637" s="773">
        <v>241</v>
      </c>
      <c r="V2637" s="773">
        <v>2</v>
      </c>
      <c r="W2637" s="773" t="s">
        <v>410</v>
      </c>
    </row>
    <row r="2638" spans="19:23">
      <c r="S2638" s="27">
        <v>44286</v>
      </c>
      <c r="T2638" s="773" t="s">
        <v>132</v>
      </c>
      <c r="U2638" s="773">
        <v>662</v>
      </c>
      <c r="V2638" s="773">
        <v>2798</v>
      </c>
      <c r="W2638" s="773" t="s">
        <v>390</v>
      </c>
    </row>
    <row r="2639" spans="19:23">
      <c r="S2639" s="27">
        <v>44286</v>
      </c>
      <c r="T2639" s="773" t="s">
        <v>132</v>
      </c>
      <c r="U2639" s="773">
        <v>191</v>
      </c>
      <c r="V2639" s="773">
        <v>1999</v>
      </c>
      <c r="W2639" s="773" t="s">
        <v>390</v>
      </c>
    </row>
    <row r="2640" spans="19:23">
      <c r="S2640" s="27">
        <v>44286</v>
      </c>
      <c r="T2640" s="773" t="s">
        <v>132</v>
      </c>
      <c r="U2640" s="773">
        <v>124</v>
      </c>
      <c r="V2640" s="773">
        <v>9</v>
      </c>
      <c r="W2640" s="773" t="s">
        <v>410</v>
      </c>
    </row>
    <row r="2641" spans="19:23">
      <c r="S2641" s="27">
        <v>44651</v>
      </c>
      <c r="T2641" s="773" t="s">
        <v>132</v>
      </c>
      <c r="U2641" s="773">
        <v>325</v>
      </c>
      <c r="V2641" s="773">
        <v>1977</v>
      </c>
      <c r="W2641" s="773" t="s">
        <v>390</v>
      </c>
    </row>
    <row r="2642" spans="19:23">
      <c r="S2642" s="27">
        <v>44651</v>
      </c>
      <c r="T2642" s="773" t="s">
        <v>132</v>
      </c>
      <c r="U2642" s="773">
        <v>215</v>
      </c>
      <c r="V2642" s="773">
        <v>700</v>
      </c>
      <c r="W2642" s="773" t="s">
        <v>390</v>
      </c>
    </row>
    <row r="2643" spans="19:23">
      <c r="S2643" s="27">
        <v>44651</v>
      </c>
      <c r="T2643" s="773" t="s">
        <v>132</v>
      </c>
      <c r="U2643" s="773">
        <v>311</v>
      </c>
      <c r="V2643" s="773">
        <v>2476</v>
      </c>
      <c r="W2643" s="773" t="s">
        <v>390</v>
      </c>
    </row>
    <row r="2644" spans="19:23">
      <c r="S2644" s="27">
        <v>44651</v>
      </c>
      <c r="T2644" s="773" t="s">
        <v>132</v>
      </c>
      <c r="U2644" s="773">
        <v>86</v>
      </c>
      <c r="V2644" s="773">
        <v>3</v>
      </c>
      <c r="W2644" s="773" t="s">
        <v>410</v>
      </c>
    </row>
    <row r="2645" spans="19:23">
      <c r="S2645" s="27">
        <v>44651</v>
      </c>
      <c r="T2645" s="773" t="s">
        <v>132</v>
      </c>
      <c r="U2645" s="773">
        <v>129</v>
      </c>
      <c r="V2645" s="773">
        <v>1</v>
      </c>
      <c r="W2645" s="773" t="s">
        <v>410</v>
      </c>
    </row>
    <row r="2646" spans="19:23">
      <c r="S2646" s="27">
        <v>44286</v>
      </c>
      <c r="T2646" s="773" t="s">
        <v>132</v>
      </c>
      <c r="U2646" s="773">
        <v>308</v>
      </c>
      <c r="V2646" s="773">
        <v>565</v>
      </c>
      <c r="W2646" s="773" t="s">
        <v>390</v>
      </c>
    </row>
    <row r="2647" spans="19:23">
      <c r="S2647" s="27">
        <v>44286</v>
      </c>
      <c r="T2647" s="773" t="s">
        <v>132</v>
      </c>
      <c r="U2647" s="773">
        <v>674</v>
      </c>
      <c r="V2647" s="773">
        <v>13</v>
      </c>
      <c r="W2647" s="773" t="s">
        <v>410</v>
      </c>
    </row>
    <row r="2648" spans="19:23">
      <c r="S2648" s="27">
        <v>44651</v>
      </c>
      <c r="T2648" s="773" t="s">
        <v>132</v>
      </c>
      <c r="U2648" s="773">
        <v>191</v>
      </c>
      <c r="V2648" s="773">
        <v>742</v>
      </c>
      <c r="W2648" s="773" t="s">
        <v>390</v>
      </c>
    </row>
    <row r="2649" spans="19:23">
      <c r="S2649" s="27">
        <v>44651</v>
      </c>
      <c r="T2649" s="773" t="s">
        <v>132</v>
      </c>
      <c r="U2649" s="773">
        <v>92</v>
      </c>
      <c r="V2649" s="773">
        <v>3025</v>
      </c>
      <c r="W2649" s="773" t="s">
        <v>390</v>
      </c>
    </row>
    <row r="2650" spans="19:23">
      <c r="S2650" s="27">
        <v>44286</v>
      </c>
      <c r="T2650" s="773" t="s">
        <v>132</v>
      </c>
      <c r="U2650" s="773">
        <v>162</v>
      </c>
      <c r="V2650" s="773">
        <v>2428</v>
      </c>
      <c r="W2650" s="773" t="s">
        <v>390</v>
      </c>
    </row>
    <row r="2651" spans="19:23">
      <c r="S2651" s="27">
        <v>44286</v>
      </c>
      <c r="T2651" s="773" t="s">
        <v>132</v>
      </c>
      <c r="U2651" s="773">
        <v>132</v>
      </c>
      <c r="V2651" s="773">
        <v>2655</v>
      </c>
      <c r="W2651" s="773" t="s">
        <v>390</v>
      </c>
    </row>
    <row r="2652" spans="19:23">
      <c r="S2652" s="27">
        <v>44286</v>
      </c>
      <c r="T2652" s="773" t="s">
        <v>132</v>
      </c>
      <c r="U2652" s="773">
        <v>87</v>
      </c>
      <c r="V2652" s="773">
        <v>11</v>
      </c>
      <c r="W2652" s="773" t="s">
        <v>410</v>
      </c>
    </row>
    <row r="2653" spans="19:23">
      <c r="S2653" s="27">
        <v>44651</v>
      </c>
      <c r="T2653" s="773" t="s">
        <v>132</v>
      </c>
      <c r="U2653" s="773">
        <v>182</v>
      </c>
      <c r="V2653" s="773">
        <v>178</v>
      </c>
      <c r="W2653" s="773" t="s">
        <v>390</v>
      </c>
    </row>
    <row r="2654" spans="19:23">
      <c r="S2654" s="27">
        <v>44651</v>
      </c>
      <c r="T2654" s="773" t="s">
        <v>132</v>
      </c>
      <c r="U2654" s="773">
        <v>665</v>
      </c>
      <c r="V2654" s="773">
        <v>3350</v>
      </c>
      <c r="W2654" s="773" t="s">
        <v>390</v>
      </c>
    </row>
    <row r="2655" spans="19:23">
      <c r="S2655" s="27">
        <v>44651</v>
      </c>
      <c r="T2655" s="773" t="s">
        <v>132</v>
      </c>
      <c r="U2655" s="773">
        <v>132</v>
      </c>
      <c r="V2655" s="773">
        <v>2669</v>
      </c>
      <c r="W2655" s="773" t="s">
        <v>390</v>
      </c>
    </row>
    <row r="2656" spans="19:23">
      <c r="S2656" s="27">
        <v>44286</v>
      </c>
      <c r="T2656" s="773" t="s">
        <v>132</v>
      </c>
      <c r="U2656" s="773">
        <v>212</v>
      </c>
      <c r="V2656" s="773">
        <v>3241</v>
      </c>
      <c r="W2656" s="773" t="s">
        <v>390</v>
      </c>
    </row>
    <row r="2657" spans="19:23">
      <c r="S2657" s="27">
        <v>44286</v>
      </c>
      <c r="T2657" s="773" t="s">
        <v>132</v>
      </c>
      <c r="U2657" s="773">
        <v>100</v>
      </c>
      <c r="V2657" s="773">
        <v>3</v>
      </c>
      <c r="W2657" s="773" t="s">
        <v>410</v>
      </c>
    </row>
    <row r="2658" spans="19:23">
      <c r="S2658" s="27">
        <v>44651</v>
      </c>
      <c r="T2658" s="773" t="s">
        <v>132</v>
      </c>
      <c r="U2658" s="773">
        <v>212</v>
      </c>
      <c r="V2658" s="773">
        <v>3547</v>
      </c>
      <c r="W2658" s="773" t="s">
        <v>390</v>
      </c>
    </row>
    <row r="2659" spans="19:23">
      <c r="S2659" s="27">
        <v>44286</v>
      </c>
      <c r="T2659" s="773" t="s">
        <v>132</v>
      </c>
      <c r="U2659" s="773">
        <v>293</v>
      </c>
      <c r="V2659" s="773">
        <v>522</v>
      </c>
      <c r="W2659" s="773" t="s">
        <v>390</v>
      </c>
    </row>
    <row r="2660" spans="19:23">
      <c r="S2660" s="27">
        <v>44651</v>
      </c>
      <c r="T2660" s="773" t="s">
        <v>132</v>
      </c>
      <c r="U2660" s="773">
        <v>84</v>
      </c>
      <c r="V2660" s="773">
        <v>2480</v>
      </c>
      <c r="W2660" s="773" t="s">
        <v>390</v>
      </c>
    </row>
    <row r="2661" spans="19:23">
      <c r="S2661" s="27">
        <v>44651</v>
      </c>
      <c r="T2661" s="773" t="s">
        <v>132</v>
      </c>
      <c r="U2661" s="773">
        <v>101</v>
      </c>
      <c r="V2661" s="773">
        <v>273</v>
      </c>
      <c r="W2661" s="773" t="s">
        <v>390</v>
      </c>
    </row>
    <row r="2662" spans="19:23">
      <c r="S2662" s="27">
        <v>44286</v>
      </c>
      <c r="T2662" s="773" t="s">
        <v>132</v>
      </c>
      <c r="U2662" s="773">
        <v>253</v>
      </c>
      <c r="V2662" s="773">
        <v>3802</v>
      </c>
      <c r="W2662" s="773" t="s">
        <v>390</v>
      </c>
    </row>
    <row r="2663" spans="19:23">
      <c r="S2663" s="27">
        <v>44651</v>
      </c>
      <c r="T2663" s="773" t="s">
        <v>132</v>
      </c>
      <c r="U2663" s="773">
        <v>654</v>
      </c>
      <c r="V2663" s="773">
        <v>1108</v>
      </c>
      <c r="W2663" s="773" t="s">
        <v>390</v>
      </c>
    </row>
    <row r="2664" spans="19:23">
      <c r="S2664" s="27">
        <v>44286</v>
      </c>
      <c r="T2664" s="773" t="s">
        <v>132</v>
      </c>
      <c r="U2664" s="773">
        <v>61</v>
      </c>
      <c r="V2664" s="773">
        <v>1</v>
      </c>
      <c r="W2664" s="773" t="s">
        <v>410</v>
      </c>
    </row>
    <row r="2665" spans="19:23">
      <c r="S2665" s="27">
        <v>44651</v>
      </c>
      <c r="T2665" s="773" t="s">
        <v>132</v>
      </c>
      <c r="U2665" s="773">
        <v>41</v>
      </c>
      <c r="V2665" s="773">
        <v>1</v>
      </c>
      <c r="W2665" s="773" t="s">
        <v>410</v>
      </c>
    </row>
    <row r="2666" spans="19:23">
      <c r="S2666" s="27">
        <v>44286</v>
      </c>
      <c r="T2666" s="773" t="s">
        <v>132</v>
      </c>
      <c r="U2666" s="773">
        <v>145</v>
      </c>
      <c r="V2666" s="773">
        <v>1</v>
      </c>
      <c r="W2666" s="773" t="s">
        <v>410</v>
      </c>
    </row>
    <row r="2667" spans="19:23">
      <c r="S2667" s="27">
        <v>44651</v>
      </c>
      <c r="T2667" s="773" t="s">
        <v>132</v>
      </c>
      <c r="U2667" s="773">
        <v>231</v>
      </c>
      <c r="V2667" s="773">
        <v>2</v>
      </c>
      <c r="W2667" s="773" t="s">
        <v>410</v>
      </c>
    </row>
    <row r="2668" spans="19:23">
      <c r="S2668" s="27">
        <v>44651</v>
      </c>
      <c r="T2668" s="773" t="s">
        <v>132</v>
      </c>
      <c r="U2668" s="773">
        <v>98</v>
      </c>
      <c r="V2668" s="773">
        <v>33</v>
      </c>
      <c r="W2668" s="773" t="s">
        <v>410</v>
      </c>
    </row>
    <row r="2669" spans="19:23">
      <c r="S2669" s="27">
        <v>44286</v>
      </c>
      <c r="T2669" s="773" t="s">
        <v>132</v>
      </c>
      <c r="U2669" s="773">
        <v>69</v>
      </c>
      <c r="V2669" s="773">
        <v>1</v>
      </c>
      <c r="W2669" s="773" t="s">
        <v>410</v>
      </c>
    </row>
    <row r="2670" spans="19:23">
      <c r="S2670" s="27">
        <v>44651</v>
      </c>
      <c r="T2670" s="773" t="s">
        <v>132</v>
      </c>
      <c r="U2670" s="773">
        <v>652</v>
      </c>
      <c r="V2670" s="773">
        <v>3725</v>
      </c>
      <c r="W2670" s="773" t="s">
        <v>390</v>
      </c>
    </row>
    <row r="2671" spans="19:23">
      <c r="S2671" s="27">
        <v>44286</v>
      </c>
      <c r="T2671" s="773" t="s">
        <v>132</v>
      </c>
      <c r="U2671" s="773">
        <v>672</v>
      </c>
      <c r="V2671" s="773">
        <v>2189</v>
      </c>
      <c r="W2671" s="773" t="s">
        <v>390</v>
      </c>
    </row>
    <row r="2672" spans="19:23">
      <c r="S2672" s="27">
        <v>44286</v>
      </c>
      <c r="T2672" s="773" t="s">
        <v>132</v>
      </c>
      <c r="U2672" s="773">
        <v>140</v>
      </c>
      <c r="V2672" s="773">
        <v>289</v>
      </c>
      <c r="W2672" s="773" t="s">
        <v>390</v>
      </c>
    </row>
    <row r="2673" spans="19:23">
      <c r="S2673" s="27">
        <v>44651</v>
      </c>
      <c r="T2673" s="773" t="s">
        <v>132</v>
      </c>
      <c r="U2673" s="773">
        <v>58</v>
      </c>
      <c r="V2673" s="773">
        <v>1</v>
      </c>
      <c r="W2673" s="773" t="s">
        <v>410</v>
      </c>
    </row>
    <row r="2674" spans="19:23">
      <c r="S2674" s="27">
        <v>44286</v>
      </c>
      <c r="T2674" s="773" t="s">
        <v>132</v>
      </c>
      <c r="U2674" s="773">
        <v>663</v>
      </c>
      <c r="V2674" s="773">
        <v>1140</v>
      </c>
      <c r="W2674" s="773" t="s">
        <v>390</v>
      </c>
    </row>
    <row r="2675" spans="19:23">
      <c r="S2675" s="27">
        <v>44651</v>
      </c>
      <c r="T2675" s="773" t="s">
        <v>132</v>
      </c>
      <c r="U2675" s="773">
        <v>528</v>
      </c>
      <c r="V2675" s="773">
        <v>10</v>
      </c>
      <c r="W2675" s="773" t="s">
        <v>410</v>
      </c>
    </row>
    <row r="2676" spans="19:23">
      <c r="S2676" s="27">
        <v>44651</v>
      </c>
      <c r="T2676" s="773" t="s">
        <v>132</v>
      </c>
      <c r="U2676" s="773">
        <v>243</v>
      </c>
      <c r="V2676" s="773">
        <v>352</v>
      </c>
      <c r="W2676" s="773" t="s">
        <v>390</v>
      </c>
    </row>
    <row r="2677" spans="19:23">
      <c r="S2677" s="27">
        <v>44286</v>
      </c>
      <c r="T2677" s="773" t="s">
        <v>132</v>
      </c>
      <c r="U2677" s="773">
        <v>81</v>
      </c>
      <c r="V2677" s="773">
        <v>4</v>
      </c>
      <c r="W2677" s="773" t="s">
        <v>410</v>
      </c>
    </row>
    <row r="2678" spans="19:23">
      <c r="S2678" s="27">
        <v>44286</v>
      </c>
      <c r="T2678" s="773" t="s">
        <v>132</v>
      </c>
      <c r="U2678" s="773">
        <v>83</v>
      </c>
      <c r="V2678" s="773">
        <v>2136</v>
      </c>
      <c r="W2678" s="773" t="s">
        <v>390</v>
      </c>
    </row>
    <row r="2679" spans="19:23">
      <c r="S2679" s="27">
        <v>44651</v>
      </c>
      <c r="T2679" s="773" t="s">
        <v>132</v>
      </c>
      <c r="U2679" s="773">
        <v>291</v>
      </c>
      <c r="V2679" s="773">
        <v>2060</v>
      </c>
      <c r="W2679" s="773" t="s">
        <v>390</v>
      </c>
    </row>
    <row r="2680" spans="19:23">
      <c r="S2680" s="27">
        <v>44651</v>
      </c>
      <c r="T2680" s="773" t="s">
        <v>132</v>
      </c>
      <c r="U2680" s="773">
        <v>157</v>
      </c>
      <c r="V2680" s="773">
        <v>1</v>
      </c>
      <c r="W2680" s="773" t="s">
        <v>410</v>
      </c>
    </row>
    <row r="2681" spans="19:23">
      <c r="S2681" s="27">
        <v>44286</v>
      </c>
      <c r="T2681" s="773" t="s">
        <v>132</v>
      </c>
      <c r="U2681" s="773">
        <v>684</v>
      </c>
      <c r="V2681" s="773">
        <v>2656</v>
      </c>
      <c r="W2681" s="773" t="s">
        <v>390</v>
      </c>
    </row>
    <row r="2682" spans="19:23">
      <c r="S2682" s="27">
        <v>44286</v>
      </c>
      <c r="T2682" s="773" t="s">
        <v>132</v>
      </c>
      <c r="U2682" s="773">
        <v>678</v>
      </c>
      <c r="V2682" s="773">
        <v>2546</v>
      </c>
      <c r="W2682" s="773" t="s">
        <v>390</v>
      </c>
    </row>
    <row r="2683" spans="19:23">
      <c r="S2683" s="27">
        <v>44651</v>
      </c>
      <c r="T2683" s="773" t="s">
        <v>132</v>
      </c>
      <c r="U2683" s="773">
        <v>246</v>
      </c>
      <c r="V2683" s="773">
        <v>1</v>
      </c>
      <c r="W2683" s="773" t="s">
        <v>410</v>
      </c>
    </row>
    <row r="2684" spans="19:23">
      <c r="S2684" s="27">
        <v>44286</v>
      </c>
      <c r="T2684" s="773" t="s">
        <v>132</v>
      </c>
      <c r="U2684" s="773">
        <v>315</v>
      </c>
      <c r="V2684" s="773">
        <v>85</v>
      </c>
      <c r="W2684" s="773" t="s">
        <v>410</v>
      </c>
    </row>
    <row r="2685" spans="19:23">
      <c r="S2685" s="27">
        <v>44286</v>
      </c>
      <c r="T2685" s="773" t="s">
        <v>132</v>
      </c>
      <c r="U2685" s="773">
        <v>46</v>
      </c>
      <c r="V2685" s="773">
        <v>2676</v>
      </c>
      <c r="W2685" s="773" t="s">
        <v>390</v>
      </c>
    </row>
    <row r="2686" spans="19:23">
      <c r="S2686" s="27">
        <v>44651</v>
      </c>
      <c r="T2686" s="773" t="s">
        <v>132</v>
      </c>
      <c r="U2686" s="773">
        <v>264</v>
      </c>
      <c r="V2686" s="773">
        <v>333</v>
      </c>
      <c r="W2686" s="773" t="s">
        <v>390</v>
      </c>
    </row>
    <row r="2687" spans="19:23">
      <c r="S2687" s="27">
        <v>44651</v>
      </c>
      <c r="T2687" s="773" t="s">
        <v>132</v>
      </c>
      <c r="U2687" s="773">
        <v>60</v>
      </c>
      <c r="V2687" s="773">
        <v>1</v>
      </c>
      <c r="W2687" s="773" t="s">
        <v>410</v>
      </c>
    </row>
    <row r="2688" spans="19:23">
      <c r="S2688" s="27">
        <v>44651</v>
      </c>
      <c r="T2688" s="773" t="s">
        <v>132</v>
      </c>
      <c r="U2688" s="773">
        <v>662</v>
      </c>
      <c r="V2688" s="773">
        <v>672</v>
      </c>
      <c r="W2688" s="773" t="s">
        <v>390</v>
      </c>
    </row>
    <row r="2689" spans="19:23">
      <c r="S2689" s="27">
        <v>44286</v>
      </c>
      <c r="T2689" s="773" t="s">
        <v>132</v>
      </c>
      <c r="U2689" s="773">
        <v>35</v>
      </c>
      <c r="V2689" s="773">
        <v>886</v>
      </c>
      <c r="W2689" s="773" t="s">
        <v>390</v>
      </c>
    </row>
    <row r="2690" spans="19:23">
      <c r="S2690" s="27">
        <v>44286</v>
      </c>
      <c r="T2690" s="773" t="s">
        <v>132</v>
      </c>
      <c r="U2690" s="773">
        <v>272</v>
      </c>
      <c r="V2690" s="773">
        <v>1</v>
      </c>
      <c r="W2690" s="773" t="s">
        <v>410</v>
      </c>
    </row>
    <row r="2691" spans="19:23">
      <c r="S2691" s="27">
        <v>44286</v>
      </c>
      <c r="T2691" s="773" t="s">
        <v>132</v>
      </c>
      <c r="U2691" s="773">
        <v>182</v>
      </c>
      <c r="V2691" s="773">
        <v>947</v>
      </c>
      <c r="W2691" s="773" t="s">
        <v>390</v>
      </c>
    </row>
    <row r="2692" spans="19:23">
      <c r="S2692" s="27">
        <v>44286</v>
      </c>
      <c r="T2692" s="773" t="s">
        <v>132</v>
      </c>
      <c r="U2692" s="773">
        <v>204</v>
      </c>
      <c r="V2692" s="773">
        <v>20</v>
      </c>
      <c r="W2692" s="773" t="s">
        <v>410</v>
      </c>
    </row>
    <row r="2693" spans="19:23">
      <c r="S2693" s="27">
        <v>44286</v>
      </c>
      <c r="T2693" s="773" t="s">
        <v>132</v>
      </c>
      <c r="U2693" s="773">
        <v>686</v>
      </c>
      <c r="V2693" s="773">
        <v>2256</v>
      </c>
      <c r="W2693" s="773" t="s">
        <v>390</v>
      </c>
    </row>
    <row r="2694" spans="19:23">
      <c r="S2694" s="27">
        <v>44651</v>
      </c>
      <c r="T2694" s="773" t="s">
        <v>132</v>
      </c>
      <c r="U2694" s="773">
        <v>266</v>
      </c>
      <c r="V2694" s="773">
        <v>2623</v>
      </c>
      <c r="W2694" s="773" t="s">
        <v>390</v>
      </c>
    </row>
    <row r="2695" spans="19:23">
      <c r="S2695" s="27">
        <v>44651</v>
      </c>
      <c r="T2695" s="773" t="s">
        <v>132</v>
      </c>
      <c r="U2695" s="773">
        <v>650</v>
      </c>
      <c r="V2695" s="773">
        <v>20</v>
      </c>
      <c r="W2695" s="773" t="s">
        <v>410</v>
      </c>
    </row>
    <row r="2696" spans="19:23">
      <c r="S2696" s="27">
        <v>44286</v>
      </c>
      <c r="T2696" s="773" t="s">
        <v>132</v>
      </c>
      <c r="U2696" s="773">
        <v>216</v>
      </c>
      <c r="V2696" s="773">
        <v>2151</v>
      </c>
      <c r="W2696" s="773" t="s">
        <v>390</v>
      </c>
    </row>
    <row r="2697" spans="19:23">
      <c r="S2697" s="27">
        <v>44651</v>
      </c>
      <c r="T2697" s="773" t="s">
        <v>132</v>
      </c>
      <c r="U2697" s="773">
        <v>329</v>
      </c>
      <c r="V2697" s="773">
        <v>4203</v>
      </c>
      <c r="W2697" s="773" t="s">
        <v>390</v>
      </c>
    </row>
    <row r="2698" spans="19:23">
      <c r="S2698" s="27">
        <v>44651</v>
      </c>
      <c r="T2698" s="773" t="s">
        <v>132</v>
      </c>
      <c r="U2698" s="773">
        <v>43</v>
      </c>
      <c r="V2698" s="773">
        <v>1070</v>
      </c>
      <c r="W2698" s="773" t="s">
        <v>390</v>
      </c>
    </row>
    <row r="2699" spans="19:23">
      <c r="S2699" s="27">
        <v>44286</v>
      </c>
      <c r="T2699" s="773" t="s">
        <v>132</v>
      </c>
      <c r="U2699" s="773">
        <v>670</v>
      </c>
      <c r="V2699" s="773">
        <v>3298</v>
      </c>
      <c r="W2699" s="773" t="s">
        <v>390</v>
      </c>
    </row>
    <row r="2700" spans="19:23">
      <c r="S2700" s="27">
        <v>44286</v>
      </c>
      <c r="T2700" s="773" t="s">
        <v>132</v>
      </c>
      <c r="U2700" s="773">
        <v>222</v>
      </c>
      <c r="V2700" s="773">
        <v>3</v>
      </c>
      <c r="W2700" s="773" t="s">
        <v>410</v>
      </c>
    </row>
    <row r="2701" spans="19:23">
      <c r="S2701" s="27">
        <v>44651</v>
      </c>
      <c r="T2701" s="773" t="s">
        <v>132</v>
      </c>
      <c r="U2701" s="773">
        <v>667</v>
      </c>
      <c r="V2701" s="773">
        <v>2</v>
      </c>
      <c r="W2701" s="773" t="s">
        <v>410</v>
      </c>
    </row>
    <row r="2702" spans="19:23">
      <c r="S2702" s="27">
        <v>44286</v>
      </c>
      <c r="T2702" s="773" t="s">
        <v>132</v>
      </c>
      <c r="U2702" s="773">
        <v>254</v>
      </c>
      <c r="V2702" s="773">
        <v>8</v>
      </c>
      <c r="W2702" s="773" t="s">
        <v>410</v>
      </c>
    </row>
    <row r="2703" spans="19:23">
      <c r="S2703" s="27">
        <v>44286</v>
      </c>
      <c r="T2703" s="773" t="s">
        <v>132</v>
      </c>
      <c r="U2703" s="773">
        <v>39</v>
      </c>
      <c r="V2703" s="773">
        <v>1</v>
      </c>
      <c r="W2703" s="773" t="s">
        <v>410</v>
      </c>
    </row>
    <row r="2704" spans="19:23">
      <c r="S2704" s="27">
        <v>44286</v>
      </c>
      <c r="T2704" s="773" t="s">
        <v>132</v>
      </c>
      <c r="U2704" s="773">
        <v>275</v>
      </c>
      <c r="V2704" s="773">
        <v>1314</v>
      </c>
      <c r="W2704" s="773" t="s">
        <v>390</v>
      </c>
    </row>
    <row r="2705" spans="19:23">
      <c r="S2705" s="27">
        <v>44286</v>
      </c>
      <c r="T2705" s="773" t="s">
        <v>132</v>
      </c>
      <c r="U2705" s="773">
        <v>680</v>
      </c>
      <c r="V2705" s="773">
        <v>2421</v>
      </c>
      <c r="W2705" s="773" t="s">
        <v>390</v>
      </c>
    </row>
    <row r="2706" spans="19:23">
      <c r="S2706" s="27">
        <v>44286</v>
      </c>
      <c r="T2706" s="773" t="s">
        <v>132</v>
      </c>
      <c r="U2706" s="773">
        <v>651</v>
      </c>
      <c r="V2706" s="773">
        <v>322</v>
      </c>
      <c r="W2706" s="773" t="s">
        <v>390</v>
      </c>
    </row>
    <row r="2707" spans="19:23">
      <c r="S2707" s="27">
        <v>44286</v>
      </c>
      <c r="T2707" s="773" t="s">
        <v>132</v>
      </c>
      <c r="U2707" s="773">
        <v>312</v>
      </c>
      <c r="V2707" s="773">
        <v>2203</v>
      </c>
      <c r="W2707" s="773" t="s">
        <v>390</v>
      </c>
    </row>
    <row r="2708" spans="19:23">
      <c r="S2708" s="27">
        <v>44286</v>
      </c>
      <c r="T2708" s="773" t="s">
        <v>132</v>
      </c>
      <c r="U2708" s="773">
        <v>120</v>
      </c>
      <c r="V2708" s="773">
        <v>3</v>
      </c>
      <c r="W2708" s="773" t="s">
        <v>410</v>
      </c>
    </row>
    <row r="2709" spans="19:23">
      <c r="S2709" s="27">
        <v>44286</v>
      </c>
      <c r="T2709" s="773" t="s">
        <v>132</v>
      </c>
      <c r="U2709" s="773">
        <v>181</v>
      </c>
      <c r="V2709" s="773">
        <v>1</v>
      </c>
      <c r="W2709" s="773" t="s">
        <v>410</v>
      </c>
    </row>
    <row r="2710" spans="19:23">
      <c r="S2710" s="27">
        <v>44651</v>
      </c>
      <c r="T2710" s="773" t="s">
        <v>132</v>
      </c>
      <c r="U2710" s="773">
        <v>670</v>
      </c>
      <c r="V2710" s="773">
        <v>2630</v>
      </c>
      <c r="W2710" s="773" t="s">
        <v>390</v>
      </c>
    </row>
    <row r="2711" spans="19:23">
      <c r="S2711" s="27">
        <v>44286</v>
      </c>
      <c r="T2711" s="773" t="s">
        <v>132</v>
      </c>
      <c r="U2711" s="773">
        <v>250</v>
      </c>
      <c r="V2711" s="773">
        <v>1</v>
      </c>
      <c r="W2711" s="773" t="s">
        <v>410</v>
      </c>
    </row>
    <row r="2712" spans="19:23">
      <c r="S2712" s="27">
        <v>44651</v>
      </c>
      <c r="T2712" s="773" t="s">
        <v>132</v>
      </c>
      <c r="U2712" s="773">
        <v>326</v>
      </c>
      <c r="V2712" s="773">
        <v>2776</v>
      </c>
      <c r="W2712" s="773" t="s">
        <v>390</v>
      </c>
    </row>
    <row r="2713" spans="19:23">
      <c r="S2713" s="27">
        <v>44286</v>
      </c>
      <c r="T2713" s="773" t="s">
        <v>132</v>
      </c>
      <c r="U2713" s="773">
        <v>91</v>
      </c>
      <c r="V2713" s="773">
        <v>2</v>
      </c>
      <c r="W2713" s="773" t="s">
        <v>410</v>
      </c>
    </row>
    <row r="2714" spans="19:23">
      <c r="S2714" s="27">
        <v>44651</v>
      </c>
      <c r="T2714" s="773" t="s">
        <v>132</v>
      </c>
      <c r="U2714" s="773">
        <v>294</v>
      </c>
      <c r="V2714" s="773">
        <v>3</v>
      </c>
      <c r="W2714" s="773" t="s">
        <v>410</v>
      </c>
    </row>
    <row r="2715" spans="19:23">
      <c r="S2715" s="27">
        <v>44651</v>
      </c>
      <c r="T2715" s="773" t="s">
        <v>132</v>
      </c>
      <c r="U2715" s="773">
        <v>52</v>
      </c>
      <c r="V2715" s="773">
        <v>1</v>
      </c>
      <c r="W2715" s="773" t="s">
        <v>410</v>
      </c>
    </row>
    <row r="2716" spans="19:23">
      <c r="S2716" s="27">
        <v>44286</v>
      </c>
      <c r="T2716" s="773" t="s">
        <v>132</v>
      </c>
      <c r="U2716" s="773">
        <v>11</v>
      </c>
      <c r="V2716" s="773">
        <v>30</v>
      </c>
      <c r="W2716" s="773" t="s">
        <v>410</v>
      </c>
    </row>
    <row r="2717" spans="19:23">
      <c r="S2717" s="27">
        <v>44286</v>
      </c>
      <c r="T2717" s="773" t="s">
        <v>132</v>
      </c>
      <c r="U2717" s="773">
        <v>698</v>
      </c>
      <c r="V2717" s="773">
        <v>2505</v>
      </c>
      <c r="W2717" s="773" t="s">
        <v>390</v>
      </c>
    </row>
    <row r="2718" spans="19:23">
      <c r="S2718" s="27">
        <v>44651</v>
      </c>
      <c r="T2718" s="773" t="s">
        <v>132</v>
      </c>
      <c r="U2718" s="773">
        <v>653</v>
      </c>
      <c r="V2718" s="773">
        <v>2</v>
      </c>
      <c r="W2718" s="773" t="s">
        <v>410</v>
      </c>
    </row>
    <row r="2719" spans="19:23">
      <c r="S2719" s="27">
        <v>44651</v>
      </c>
      <c r="T2719" s="773" t="s">
        <v>132</v>
      </c>
      <c r="U2719" s="773">
        <v>276</v>
      </c>
      <c r="V2719" s="773">
        <v>1</v>
      </c>
      <c r="W2719" s="773" t="s">
        <v>410</v>
      </c>
    </row>
    <row r="2720" spans="19:23">
      <c r="S2720" s="27">
        <v>44286</v>
      </c>
      <c r="T2720" s="773" t="s">
        <v>132</v>
      </c>
      <c r="U2720" s="773">
        <v>271</v>
      </c>
      <c r="V2720" s="773">
        <v>2263</v>
      </c>
      <c r="W2720" s="773" t="s">
        <v>390</v>
      </c>
    </row>
    <row r="2721" spans="19:23">
      <c r="S2721" s="27">
        <v>44286</v>
      </c>
      <c r="T2721" s="773" t="s">
        <v>132</v>
      </c>
      <c r="U2721" s="773">
        <v>367</v>
      </c>
      <c r="V2721" s="773">
        <v>7</v>
      </c>
      <c r="W2721" s="773" t="s">
        <v>410</v>
      </c>
    </row>
    <row r="2722" spans="19:23">
      <c r="S2722" s="27">
        <v>44286</v>
      </c>
      <c r="T2722" s="773" t="s">
        <v>132</v>
      </c>
      <c r="U2722" s="773">
        <v>276</v>
      </c>
      <c r="V2722" s="773">
        <v>1</v>
      </c>
      <c r="W2722" s="773" t="s">
        <v>410</v>
      </c>
    </row>
    <row r="2723" spans="19:23">
      <c r="S2723" s="27">
        <v>44286</v>
      </c>
      <c r="T2723" s="773" t="s">
        <v>132</v>
      </c>
      <c r="U2723" s="773">
        <v>194</v>
      </c>
      <c r="V2723" s="773">
        <v>3118</v>
      </c>
      <c r="W2723" s="773" t="s">
        <v>390</v>
      </c>
    </row>
    <row r="2724" spans="19:23">
      <c r="S2724" s="27">
        <v>44286</v>
      </c>
      <c r="T2724" s="773" t="s">
        <v>132</v>
      </c>
      <c r="U2724" s="773">
        <v>82</v>
      </c>
      <c r="V2724" s="773">
        <v>2182</v>
      </c>
      <c r="W2724" s="773" t="s">
        <v>390</v>
      </c>
    </row>
    <row r="2725" spans="19:23">
      <c r="S2725" s="27">
        <v>44286</v>
      </c>
      <c r="T2725" s="773" t="s">
        <v>132</v>
      </c>
      <c r="U2725" s="773">
        <v>52</v>
      </c>
      <c r="V2725" s="773">
        <v>2</v>
      </c>
      <c r="W2725" s="773" t="s">
        <v>410</v>
      </c>
    </row>
    <row r="2726" spans="19:23">
      <c r="S2726" s="27">
        <v>44286</v>
      </c>
      <c r="T2726" s="773" t="s">
        <v>132</v>
      </c>
      <c r="U2726" s="773">
        <v>220</v>
      </c>
      <c r="V2726" s="773">
        <v>42</v>
      </c>
      <c r="W2726" s="773" t="s">
        <v>410</v>
      </c>
    </row>
    <row r="2727" spans="19:23">
      <c r="S2727" s="27">
        <v>44286</v>
      </c>
      <c r="T2727" s="773" t="s">
        <v>132</v>
      </c>
      <c r="U2727" s="773">
        <v>215</v>
      </c>
      <c r="V2727" s="773">
        <v>603</v>
      </c>
      <c r="W2727" s="773" t="s">
        <v>390</v>
      </c>
    </row>
    <row r="2728" spans="19:23">
      <c r="S2728" s="27">
        <v>44286</v>
      </c>
      <c r="T2728" s="773" t="s">
        <v>132</v>
      </c>
      <c r="U2728" s="773">
        <v>43</v>
      </c>
      <c r="V2728" s="773">
        <v>3016</v>
      </c>
      <c r="W2728" s="773" t="s">
        <v>390</v>
      </c>
    </row>
    <row r="2729" spans="19:23">
      <c r="S2729" s="27">
        <v>44286</v>
      </c>
      <c r="T2729" s="773" t="s">
        <v>132</v>
      </c>
      <c r="U2729" s="773">
        <v>0</v>
      </c>
      <c r="V2729" s="773">
        <v>37</v>
      </c>
      <c r="W2729" s="773" t="s">
        <v>410</v>
      </c>
    </row>
    <row r="2730" spans="19:23">
      <c r="S2730" s="27">
        <v>44286</v>
      </c>
      <c r="T2730" s="773" t="s">
        <v>132</v>
      </c>
      <c r="U2730" s="773">
        <v>294</v>
      </c>
      <c r="V2730" s="773">
        <v>10</v>
      </c>
      <c r="W2730" s="773" t="s">
        <v>410</v>
      </c>
    </row>
    <row r="2731" spans="19:23">
      <c r="S2731" s="27">
        <v>44286</v>
      </c>
      <c r="T2731" s="773" t="s">
        <v>132</v>
      </c>
      <c r="U2731" s="773">
        <v>58</v>
      </c>
      <c r="V2731" s="773">
        <v>3</v>
      </c>
      <c r="W2731" s="773" t="s">
        <v>410</v>
      </c>
    </row>
    <row r="2732" spans="19:23">
      <c r="S2732" s="27">
        <v>44286</v>
      </c>
      <c r="T2732" s="773" t="s">
        <v>132</v>
      </c>
      <c r="U2732" s="773">
        <v>116</v>
      </c>
      <c r="V2732" s="773">
        <v>2</v>
      </c>
      <c r="W2732" s="773" t="s">
        <v>410</v>
      </c>
    </row>
    <row r="2733" spans="19:23">
      <c r="S2733" s="27">
        <v>44651</v>
      </c>
      <c r="T2733" s="773" t="s">
        <v>132</v>
      </c>
      <c r="U2733" s="773">
        <v>303</v>
      </c>
      <c r="V2733" s="773">
        <v>2579</v>
      </c>
      <c r="W2733" s="773" t="s">
        <v>390</v>
      </c>
    </row>
    <row r="2734" spans="19:23">
      <c r="S2734" s="27">
        <v>44286</v>
      </c>
      <c r="T2734" s="773" t="s">
        <v>132</v>
      </c>
      <c r="U2734" s="773">
        <v>292</v>
      </c>
      <c r="V2734" s="773">
        <v>8</v>
      </c>
      <c r="W2734" s="773" t="s">
        <v>410</v>
      </c>
    </row>
    <row r="2735" spans="19:23">
      <c r="S2735" s="27">
        <v>44286</v>
      </c>
      <c r="T2735" s="773" t="s">
        <v>132</v>
      </c>
      <c r="U2735" s="773">
        <v>243</v>
      </c>
      <c r="V2735" s="773">
        <v>638</v>
      </c>
      <c r="W2735" s="773" t="s">
        <v>390</v>
      </c>
    </row>
    <row r="2736" spans="19:23">
      <c r="S2736" s="27">
        <v>44651</v>
      </c>
      <c r="T2736" s="773" t="s">
        <v>132</v>
      </c>
      <c r="U2736" s="773">
        <v>103</v>
      </c>
      <c r="V2736" s="773">
        <v>3438</v>
      </c>
      <c r="W2736" s="773" t="s">
        <v>390</v>
      </c>
    </row>
    <row r="2737" spans="19:23">
      <c r="S2737" s="27">
        <v>44651</v>
      </c>
      <c r="T2737" s="773" t="s">
        <v>132</v>
      </c>
      <c r="U2737" s="773">
        <v>320</v>
      </c>
      <c r="V2737" s="773">
        <v>1664</v>
      </c>
      <c r="W2737" s="773" t="s">
        <v>390</v>
      </c>
    </row>
    <row r="2738" spans="19:23">
      <c r="S2738" s="27">
        <v>44651</v>
      </c>
      <c r="T2738" s="773" t="s">
        <v>132</v>
      </c>
      <c r="U2738" s="773">
        <v>265</v>
      </c>
      <c r="V2738" s="773">
        <v>1340</v>
      </c>
      <c r="W2738" s="773" t="s">
        <v>390</v>
      </c>
    </row>
    <row r="2739" spans="19:23">
      <c r="S2739" s="27">
        <v>44286</v>
      </c>
      <c r="T2739" s="773" t="s">
        <v>132</v>
      </c>
      <c r="U2739" s="773">
        <v>103</v>
      </c>
      <c r="V2739" s="773">
        <v>3222</v>
      </c>
      <c r="W2739" s="773" t="s">
        <v>390</v>
      </c>
    </row>
    <row r="2740" spans="19:23">
      <c r="S2740" s="27">
        <v>44651</v>
      </c>
      <c r="T2740" s="773" t="s">
        <v>132</v>
      </c>
      <c r="U2740" s="773">
        <v>681</v>
      </c>
      <c r="V2740" s="773">
        <v>676</v>
      </c>
      <c r="W2740" s="773" t="s">
        <v>390</v>
      </c>
    </row>
    <row r="2741" spans="19:23">
      <c r="S2741" s="27">
        <v>44651</v>
      </c>
      <c r="T2741" s="773" t="s">
        <v>132</v>
      </c>
      <c r="U2741" s="773">
        <v>312</v>
      </c>
      <c r="V2741" s="773">
        <v>2870</v>
      </c>
      <c r="W2741" s="773" t="s">
        <v>390</v>
      </c>
    </row>
    <row r="2742" spans="19:23">
      <c r="S2742" s="27">
        <v>44286</v>
      </c>
      <c r="T2742" s="773" t="s">
        <v>132</v>
      </c>
      <c r="U2742" s="773">
        <v>299</v>
      </c>
      <c r="V2742" s="773">
        <v>1</v>
      </c>
      <c r="W2742" s="773" t="s">
        <v>410</v>
      </c>
    </row>
    <row r="2743" spans="19:23">
      <c r="S2743" s="27">
        <v>44286</v>
      </c>
      <c r="T2743" s="773" t="s">
        <v>132</v>
      </c>
      <c r="U2743" s="773">
        <v>264</v>
      </c>
      <c r="V2743" s="773">
        <v>953</v>
      </c>
      <c r="W2743" s="773" t="s">
        <v>390</v>
      </c>
    </row>
    <row r="2744" spans="19:23">
      <c r="S2744" s="27">
        <v>44286</v>
      </c>
      <c r="T2744" s="773" t="s">
        <v>132</v>
      </c>
      <c r="U2744" s="773">
        <v>239</v>
      </c>
      <c r="V2744" s="773">
        <v>3392</v>
      </c>
      <c r="W2744" s="773" t="s">
        <v>390</v>
      </c>
    </row>
    <row r="2745" spans="19:23">
      <c r="S2745" s="27">
        <v>44651</v>
      </c>
      <c r="T2745" s="773" t="s">
        <v>132</v>
      </c>
      <c r="U2745" s="773">
        <v>240</v>
      </c>
      <c r="V2745" s="773">
        <v>3</v>
      </c>
      <c r="W2745" s="773" t="s">
        <v>410</v>
      </c>
    </row>
    <row r="2746" spans="19:23">
      <c r="S2746" s="27">
        <v>44286</v>
      </c>
      <c r="T2746" s="773" t="s">
        <v>132</v>
      </c>
      <c r="U2746" s="773">
        <v>79</v>
      </c>
      <c r="V2746" s="773">
        <v>4</v>
      </c>
      <c r="W2746" s="773" t="s">
        <v>410</v>
      </c>
    </row>
    <row r="2747" spans="19:23">
      <c r="S2747" s="27">
        <v>44651</v>
      </c>
      <c r="T2747" s="773" t="s">
        <v>132</v>
      </c>
      <c r="U2747" s="773">
        <v>63</v>
      </c>
      <c r="V2747" s="773">
        <v>1</v>
      </c>
      <c r="W2747" s="773" t="s">
        <v>410</v>
      </c>
    </row>
    <row r="2748" spans="19:23">
      <c r="S2748" s="27">
        <v>44651</v>
      </c>
      <c r="T2748" s="773" t="s">
        <v>132</v>
      </c>
      <c r="U2748" s="773">
        <v>252</v>
      </c>
      <c r="V2748" s="773">
        <v>813</v>
      </c>
      <c r="W2748" s="773" t="s">
        <v>390</v>
      </c>
    </row>
    <row r="2749" spans="19:23">
      <c r="S2749" s="27">
        <v>44651</v>
      </c>
      <c r="T2749" s="773" t="s">
        <v>132</v>
      </c>
      <c r="U2749" s="773">
        <v>46</v>
      </c>
      <c r="V2749" s="773">
        <v>3625</v>
      </c>
      <c r="W2749" s="773" t="s">
        <v>390</v>
      </c>
    </row>
    <row r="2750" spans="19:23">
      <c r="S2750" s="27">
        <v>44651</v>
      </c>
      <c r="T2750" s="773" t="s">
        <v>132</v>
      </c>
      <c r="U2750" s="773">
        <v>686</v>
      </c>
      <c r="V2750" s="773">
        <v>2935</v>
      </c>
      <c r="W2750" s="773" t="s">
        <v>390</v>
      </c>
    </row>
    <row r="2751" spans="19:23">
      <c r="S2751" s="27">
        <v>44651</v>
      </c>
      <c r="T2751" s="773" t="s">
        <v>132</v>
      </c>
      <c r="U2751" s="773">
        <v>257</v>
      </c>
      <c r="V2751" s="773">
        <v>3225</v>
      </c>
      <c r="W2751" s="773" t="s">
        <v>390</v>
      </c>
    </row>
    <row r="2752" spans="19:23">
      <c r="S2752" s="27">
        <v>44651</v>
      </c>
      <c r="T2752" s="773" t="s">
        <v>132</v>
      </c>
      <c r="U2752" s="773">
        <v>641</v>
      </c>
      <c r="V2752" s="773">
        <v>2342</v>
      </c>
      <c r="W2752" s="773" t="s">
        <v>390</v>
      </c>
    </row>
    <row r="2753" spans="19:23">
      <c r="S2753" s="27">
        <v>44651</v>
      </c>
      <c r="T2753" s="773" t="s">
        <v>132</v>
      </c>
      <c r="U2753" s="773">
        <v>171</v>
      </c>
      <c r="V2753" s="773">
        <v>16</v>
      </c>
      <c r="W2753" s="773" t="s">
        <v>410</v>
      </c>
    </row>
    <row r="2754" spans="19:23">
      <c r="S2754" s="27">
        <v>44286</v>
      </c>
      <c r="T2754" s="773" t="s">
        <v>132</v>
      </c>
      <c r="U2754" s="773">
        <v>159</v>
      </c>
      <c r="V2754" s="773">
        <v>2796</v>
      </c>
      <c r="W2754" s="773" t="s">
        <v>390</v>
      </c>
    </row>
    <row r="2755" spans="19:23">
      <c r="S2755" s="27">
        <v>44286</v>
      </c>
      <c r="T2755" s="773" t="s">
        <v>132</v>
      </c>
      <c r="U2755" s="773">
        <v>193</v>
      </c>
      <c r="V2755" s="773">
        <v>2222</v>
      </c>
      <c r="W2755" s="773" t="s">
        <v>390</v>
      </c>
    </row>
    <row r="2756" spans="19:23">
      <c r="S2756" s="27">
        <v>44651</v>
      </c>
      <c r="T2756" s="773" t="s">
        <v>132</v>
      </c>
      <c r="U2756" s="773">
        <v>669</v>
      </c>
      <c r="V2756" s="773">
        <v>3035</v>
      </c>
      <c r="W2756" s="773" t="s">
        <v>390</v>
      </c>
    </row>
    <row r="2757" spans="19:23">
      <c r="S2757" s="27">
        <v>44651</v>
      </c>
      <c r="T2757" s="773" t="s">
        <v>132</v>
      </c>
      <c r="U2757" s="773">
        <v>222</v>
      </c>
      <c r="V2757" s="773">
        <v>1</v>
      </c>
      <c r="W2757" s="773" t="s">
        <v>410</v>
      </c>
    </row>
    <row r="2758" spans="19:23">
      <c r="S2758" s="27">
        <v>44286</v>
      </c>
      <c r="T2758" s="773" t="s">
        <v>132</v>
      </c>
      <c r="U2758" s="773">
        <v>245</v>
      </c>
      <c r="V2758" s="773">
        <v>2344</v>
      </c>
      <c r="W2758" s="773" t="s">
        <v>390</v>
      </c>
    </row>
    <row r="2759" spans="19:23">
      <c r="S2759" s="27">
        <v>44286</v>
      </c>
      <c r="T2759" s="773" t="s">
        <v>132</v>
      </c>
      <c r="U2759" s="773">
        <v>98</v>
      </c>
      <c r="V2759" s="773">
        <v>104</v>
      </c>
      <c r="W2759" s="773" t="s">
        <v>390</v>
      </c>
    </row>
    <row r="2760" spans="19:23">
      <c r="S2760" s="27">
        <v>44651</v>
      </c>
      <c r="T2760" s="773" t="s">
        <v>132</v>
      </c>
      <c r="U2760" s="773">
        <v>94</v>
      </c>
      <c r="V2760" s="773">
        <v>64</v>
      </c>
      <c r="W2760" s="773" t="s">
        <v>410</v>
      </c>
    </row>
    <row r="2761" spans="19:23">
      <c r="S2761" s="27">
        <v>44651</v>
      </c>
      <c r="T2761" s="773" t="s">
        <v>132</v>
      </c>
      <c r="U2761" s="773">
        <v>292</v>
      </c>
      <c r="V2761" s="773">
        <v>4</v>
      </c>
      <c r="W2761" s="773" t="s">
        <v>410</v>
      </c>
    </row>
    <row r="2762" spans="19:23">
      <c r="S2762" s="27">
        <v>44651</v>
      </c>
      <c r="T2762" s="773" t="s">
        <v>132</v>
      </c>
      <c r="U2762" s="773">
        <v>173</v>
      </c>
      <c r="V2762" s="773">
        <v>1</v>
      </c>
      <c r="W2762" s="773" t="s">
        <v>410</v>
      </c>
    </row>
    <row r="2763" spans="19:23">
      <c r="S2763" s="27">
        <v>44651</v>
      </c>
      <c r="T2763" s="773" t="s">
        <v>132</v>
      </c>
      <c r="U2763" s="773">
        <v>73</v>
      </c>
      <c r="V2763" s="773">
        <v>2</v>
      </c>
      <c r="W2763" s="773" t="s">
        <v>410</v>
      </c>
    </row>
    <row r="2764" spans="19:23">
      <c r="S2764" s="27">
        <v>44651</v>
      </c>
      <c r="T2764" s="773" t="s">
        <v>132</v>
      </c>
      <c r="U2764" s="773">
        <v>0</v>
      </c>
      <c r="V2764" s="773">
        <v>39</v>
      </c>
      <c r="W2764" s="773" t="s">
        <v>410</v>
      </c>
    </row>
    <row r="2765" spans="19:23">
      <c r="S2765" s="27">
        <v>44286</v>
      </c>
      <c r="T2765" s="773" t="s">
        <v>132</v>
      </c>
      <c r="U2765" s="773">
        <v>266</v>
      </c>
      <c r="V2765" s="773">
        <v>2273</v>
      </c>
      <c r="W2765" s="773" t="s">
        <v>390</v>
      </c>
    </row>
    <row r="2766" spans="19:23">
      <c r="S2766" s="27">
        <v>44651</v>
      </c>
      <c r="T2766" s="773" t="s">
        <v>132</v>
      </c>
      <c r="U2766" s="773">
        <v>233</v>
      </c>
      <c r="V2766" s="773">
        <v>3073</v>
      </c>
      <c r="W2766" s="773" t="s">
        <v>390</v>
      </c>
    </row>
    <row r="2767" spans="19:23">
      <c r="S2767" s="27">
        <v>44651</v>
      </c>
      <c r="T2767" s="773" t="s">
        <v>132</v>
      </c>
      <c r="U2767" s="773">
        <v>239</v>
      </c>
      <c r="V2767" s="773">
        <v>2</v>
      </c>
      <c r="W2767" s="773" t="s">
        <v>410</v>
      </c>
    </row>
    <row r="2768" spans="19:23">
      <c r="S2768" s="27">
        <v>44651</v>
      </c>
      <c r="T2768" s="773" t="s">
        <v>132</v>
      </c>
      <c r="U2768" s="773">
        <v>691</v>
      </c>
      <c r="V2768" s="773">
        <v>3237</v>
      </c>
      <c r="W2768" s="773" t="s">
        <v>390</v>
      </c>
    </row>
    <row r="2769" spans="19:23">
      <c r="S2769" s="27">
        <v>44286</v>
      </c>
      <c r="T2769" s="773" t="s">
        <v>132</v>
      </c>
      <c r="U2769" s="773">
        <v>257</v>
      </c>
      <c r="V2769" s="773">
        <v>2517</v>
      </c>
      <c r="W2769" s="773" t="s">
        <v>390</v>
      </c>
    </row>
    <row r="2770" spans="19:23">
      <c r="S2770" s="27">
        <v>44286</v>
      </c>
      <c r="T2770" s="773" t="s">
        <v>132</v>
      </c>
      <c r="U2770" s="773">
        <v>73</v>
      </c>
      <c r="V2770" s="773">
        <v>2</v>
      </c>
      <c r="W2770" s="773" t="s">
        <v>410</v>
      </c>
    </row>
    <row r="2771" spans="19:23">
      <c r="S2771" s="27">
        <v>44286</v>
      </c>
      <c r="T2771" s="773" t="s">
        <v>132</v>
      </c>
      <c r="U2771" s="773">
        <v>108</v>
      </c>
      <c r="V2771" s="773">
        <v>1</v>
      </c>
      <c r="W2771" s="773" t="s">
        <v>410</v>
      </c>
    </row>
    <row r="2772" spans="19:23">
      <c r="S2772" s="27">
        <v>44651</v>
      </c>
      <c r="T2772" s="773" t="s">
        <v>132</v>
      </c>
      <c r="U2772" s="773">
        <v>64</v>
      </c>
      <c r="V2772" s="773">
        <v>1</v>
      </c>
      <c r="W2772" s="773" t="s">
        <v>410</v>
      </c>
    </row>
    <row r="2773" spans="19:23">
      <c r="S2773" s="27">
        <v>44651</v>
      </c>
      <c r="T2773" s="773" t="s">
        <v>132</v>
      </c>
      <c r="U2773" s="773">
        <v>319</v>
      </c>
      <c r="V2773" s="773">
        <v>3261</v>
      </c>
      <c r="W2773" s="773" t="s">
        <v>390</v>
      </c>
    </row>
    <row r="2774" spans="19:23">
      <c r="S2774" s="27">
        <v>44286</v>
      </c>
      <c r="T2774" s="773" t="s">
        <v>132</v>
      </c>
      <c r="U2774" s="773">
        <v>66</v>
      </c>
      <c r="V2774" s="773">
        <v>5</v>
      </c>
      <c r="W2774" s="773" t="s">
        <v>410</v>
      </c>
    </row>
    <row r="2775" spans="19:23">
      <c r="S2775" s="27">
        <v>44286</v>
      </c>
      <c r="T2775" s="773" t="s">
        <v>132</v>
      </c>
      <c r="U2775" s="773">
        <v>304</v>
      </c>
      <c r="V2775" s="773">
        <v>90</v>
      </c>
      <c r="W2775" s="773" t="s">
        <v>410</v>
      </c>
    </row>
    <row r="2776" spans="19:23">
      <c r="S2776" s="27">
        <v>44286</v>
      </c>
      <c r="T2776" s="773" t="s">
        <v>132</v>
      </c>
      <c r="U2776" s="773">
        <v>255</v>
      </c>
      <c r="V2776" s="773">
        <v>2618</v>
      </c>
      <c r="W2776" s="773" t="s">
        <v>390</v>
      </c>
    </row>
    <row r="2777" spans="19:23">
      <c r="S2777" s="27">
        <v>44286</v>
      </c>
      <c r="T2777" s="773" t="s">
        <v>132</v>
      </c>
      <c r="U2777" s="773">
        <v>305</v>
      </c>
      <c r="V2777" s="773">
        <v>3864</v>
      </c>
      <c r="W2777" s="773" t="s">
        <v>390</v>
      </c>
    </row>
    <row r="2778" spans="19:23">
      <c r="S2778" s="27">
        <v>44651</v>
      </c>
      <c r="T2778" s="773" t="s">
        <v>132</v>
      </c>
      <c r="U2778" s="773">
        <v>216</v>
      </c>
      <c r="V2778" s="773">
        <v>2467</v>
      </c>
      <c r="W2778" s="773" t="s">
        <v>390</v>
      </c>
    </row>
    <row r="2779" spans="19:23">
      <c r="S2779" s="27">
        <v>44286</v>
      </c>
      <c r="T2779" s="773" t="s">
        <v>132</v>
      </c>
      <c r="U2779" s="773">
        <v>232</v>
      </c>
      <c r="V2779" s="773">
        <v>131</v>
      </c>
      <c r="W2779" s="773" t="s">
        <v>390</v>
      </c>
    </row>
    <row r="2780" spans="19:23">
      <c r="S2780" s="27">
        <v>44286</v>
      </c>
      <c r="T2780" s="773" t="s">
        <v>132</v>
      </c>
      <c r="U2780" s="773">
        <v>161</v>
      </c>
      <c r="V2780" s="773">
        <v>8</v>
      </c>
      <c r="W2780" s="773" t="s">
        <v>410</v>
      </c>
    </row>
    <row r="2781" spans="19:23">
      <c r="S2781" s="27">
        <v>44286</v>
      </c>
      <c r="T2781" s="773" t="s">
        <v>132</v>
      </c>
      <c r="U2781" s="773">
        <v>188</v>
      </c>
      <c r="V2781" s="773">
        <v>437</v>
      </c>
      <c r="W2781" s="773" t="s">
        <v>390</v>
      </c>
    </row>
    <row r="2782" spans="19:23">
      <c r="S2782" s="27">
        <v>44286</v>
      </c>
      <c r="T2782" s="773" t="s">
        <v>132</v>
      </c>
      <c r="U2782" s="773">
        <v>240</v>
      </c>
      <c r="V2782" s="773">
        <v>3</v>
      </c>
      <c r="W2782" s="773" t="s">
        <v>410</v>
      </c>
    </row>
    <row r="2783" spans="19:23">
      <c r="S2783" s="27">
        <v>44286</v>
      </c>
      <c r="T2783" s="773" t="s">
        <v>132</v>
      </c>
      <c r="U2783" s="773">
        <v>621</v>
      </c>
      <c r="V2783" s="773">
        <v>2550</v>
      </c>
      <c r="W2783" s="773" t="s">
        <v>390</v>
      </c>
    </row>
    <row r="2784" spans="19:23">
      <c r="S2784" s="27">
        <v>44286</v>
      </c>
      <c r="T2784" s="773" t="s">
        <v>132</v>
      </c>
      <c r="U2784" s="773">
        <v>44</v>
      </c>
      <c r="V2784" s="773">
        <v>3104</v>
      </c>
      <c r="W2784" s="773" t="s">
        <v>390</v>
      </c>
    </row>
    <row r="2785" spans="19:23">
      <c r="S2785" s="27">
        <v>44286</v>
      </c>
      <c r="T2785" s="773" t="s">
        <v>132</v>
      </c>
      <c r="U2785" s="773">
        <v>321</v>
      </c>
      <c r="V2785" s="773">
        <v>24</v>
      </c>
      <c r="W2785" s="773" t="s">
        <v>410</v>
      </c>
    </row>
    <row r="2786" spans="19:23">
      <c r="S2786" s="27">
        <v>44286</v>
      </c>
      <c r="T2786" s="773" t="s">
        <v>132</v>
      </c>
      <c r="U2786" s="773">
        <v>311</v>
      </c>
      <c r="V2786" s="773">
        <v>2267</v>
      </c>
      <c r="W2786" s="773" t="s">
        <v>390</v>
      </c>
    </row>
    <row r="2787" spans="19:23">
      <c r="S2787" s="27">
        <v>44286</v>
      </c>
      <c r="T2787" s="773" t="s">
        <v>132</v>
      </c>
      <c r="U2787" s="773">
        <v>148</v>
      </c>
      <c r="V2787" s="773">
        <v>1</v>
      </c>
      <c r="W2787" s="773" t="s">
        <v>410</v>
      </c>
    </row>
    <row r="2788" spans="19:23">
      <c r="S2788" s="27">
        <v>44286</v>
      </c>
      <c r="T2788" s="773" t="s">
        <v>132</v>
      </c>
      <c r="U2788" s="773">
        <v>136</v>
      </c>
      <c r="V2788" s="773">
        <v>80</v>
      </c>
      <c r="W2788" s="773" t="s">
        <v>410</v>
      </c>
    </row>
    <row r="2789" spans="19:23">
      <c r="S2789" s="27">
        <v>44286</v>
      </c>
      <c r="T2789" s="773" t="s">
        <v>132</v>
      </c>
      <c r="U2789" s="773">
        <v>699</v>
      </c>
      <c r="V2789" s="773">
        <v>2155</v>
      </c>
      <c r="W2789" s="773" t="s">
        <v>390</v>
      </c>
    </row>
    <row r="2790" spans="19:23">
      <c r="S2790" s="27">
        <v>44651</v>
      </c>
      <c r="T2790" s="773" t="s">
        <v>132</v>
      </c>
      <c r="U2790" s="773">
        <v>342</v>
      </c>
      <c r="V2790" s="773">
        <v>2559</v>
      </c>
      <c r="W2790" s="773" t="s">
        <v>390</v>
      </c>
    </row>
    <row r="2791" spans="19:23">
      <c r="S2791" s="27">
        <v>44286</v>
      </c>
      <c r="T2791" s="773" t="s">
        <v>132</v>
      </c>
      <c r="U2791" s="773">
        <v>101</v>
      </c>
      <c r="V2791" s="773">
        <v>809</v>
      </c>
      <c r="W2791" s="773" t="s">
        <v>390</v>
      </c>
    </row>
    <row r="2792" spans="19:23">
      <c r="S2792" s="27">
        <v>44286</v>
      </c>
      <c r="T2792" s="773" t="s">
        <v>132</v>
      </c>
      <c r="U2792" s="773">
        <v>241</v>
      </c>
      <c r="V2792" s="773">
        <v>20</v>
      </c>
      <c r="W2792" s="773" t="s">
        <v>410</v>
      </c>
    </row>
    <row r="2793" spans="19:23">
      <c r="S2793" s="27">
        <v>44651</v>
      </c>
      <c r="T2793" s="773" t="s">
        <v>132</v>
      </c>
      <c r="U2793" s="773">
        <v>140</v>
      </c>
      <c r="V2793" s="773">
        <v>345</v>
      </c>
      <c r="W2793" s="773" t="s">
        <v>390</v>
      </c>
    </row>
    <row r="2794" spans="19:23">
      <c r="S2794" s="27">
        <v>44651</v>
      </c>
      <c r="T2794" s="773" t="s">
        <v>132</v>
      </c>
      <c r="U2794" s="773">
        <v>59</v>
      </c>
      <c r="V2794" s="773">
        <v>2</v>
      </c>
      <c r="W2794" s="773" t="s">
        <v>410</v>
      </c>
    </row>
    <row r="2795" spans="19:23">
      <c r="S2795" s="27">
        <v>44286</v>
      </c>
      <c r="T2795" s="773" t="s">
        <v>132</v>
      </c>
      <c r="U2795" s="773">
        <v>636</v>
      </c>
      <c r="V2795" s="773">
        <v>16</v>
      </c>
      <c r="W2795" s="773" t="s">
        <v>410</v>
      </c>
    </row>
    <row r="2796" spans="19:23">
      <c r="S2796" s="27">
        <v>44286</v>
      </c>
      <c r="T2796" s="773" t="s">
        <v>132</v>
      </c>
      <c r="U2796" s="773">
        <v>200</v>
      </c>
      <c r="V2796" s="773">
        <v>4</v>
      </c>
      <c r="W2796" s="773" t="s">
        <v>410</v>
      </c>
    </row>
    <row r="2797" spans="19:23">
      <c r="S2797" s="27">
        <v>44286</v>
      </c>
      <c r="T2797" s="773" t="s">
        <v>132</v>
      </c>
      <c r="U2797" s="773">
        <v>94</v>
      </c>
      <c r="V2797" s="773">
        <v>2149</v>
      </c>
      <c r="W2797" s="773" t="s">
        <v>390</v>
      </c>
    </row>
    <row r="2798" spans="19:23">
      <c r="S2798" s="27">
        <v>44651</v>
      </c>
      <c r="T2798" s="773" t="s">
        <v>132</v>
      </c>
      <c r="U2798" s="773">
        <v>237</v>
      </c>
      <c r="V2798" s="773">
        <v>1</v>
      </c>
      <c r="W2798" s="773" t="s">
        <v>410</v>
      </c>
    </row>
    <row r="2799" spans="19:23">
      <c r="S2799" s="27">
        <v>44651</v>
      </c>
      <c r="T2799" s="773" t="s">
        <v>132</v>
      </c>
      <c r="U2799" s="773">
        <v>69</v>
      </c>
      <c r="V2799" s="773">
        <v>1</v>
      </c>
      <c r="W2799" s="773" t="s">
        <v>410</v>
      </c>
    </row>
    <row r="2800" spans="19:23">
      <c r="S2800" s="27">
        <v>44651</v>
      </c>
      <c r="T2800" s="773" t="s">
        <v>132</v>
      </c>
      <c r="U2800" s="773">
        <v>133</v>
      </c>
      <c r="V2800" s="773">
        <v>3</v>
      </c>
      <c r="W2800" s="773" t="s">
        <v>410</v>
      </c>
    </row>
    <row r="2801" spans="19:23">
      <c r="S2801" s="27">
        <v>44651</v>
      </c>
      <c r="T2801" s="773" t="s">
        <v>132</v>
      </c>
      <c r="U2801" s="773">
        <v>701</v>
      </c>
      <c r="V2801" s="773">
        <v>2514</v>
      </c>
      <c r="W2801" s="773" t="s">
        <v>390</v>
      </c>
    </row>
    <row r="2802" spans="19:23">
      <c r="S2802" s="27">
        <v>44286</v>
      </c>
      <c r="T2802" s="773" t="s">
        <v>132</v>
      </c>
      <c r="U2802" s="773">
        <v>290</v>
      </c>
      <c r="V2802" s="773">
        <v>2384</v>
      </c>
      <c r="W2802" s="773" t="s">
        <v>390</v>
      </c>
    </row>
    <row r="2803" spans="19:23">
      <c r="S2803" s="27">
        <v>44651</v>
      </c>
      <c r="T2803" s="773" t="s">
        <v>132</v>
      </c>
      <c r="U2803" s="773">
        <v>105</v>
      </c>
      <c r="V2803" s="773">
        <v>2</v>
      </c>
      <c r="W2803" s="773" t="s">
        <v>410</v>
      </c>
    </row>
    <row r="2804" spans="19:23">
      <c r="S2804" s="27">
        <v>44286</v>
      </c>
      <c r="T2804" s="773" t="s">
        <v>132</v>
      </c>
      <c r="U2804" s="773">
        <v>324</v>
      </c>
      <c r="V2804" s="773">
        <v>50</v>
      </c>
      <c r="W2804" s="773" t="s">
        <v>410</v>
      </c>
    </row>
    <row r="2805" spans="19:23">
      <c r="S2805" s="27">
        <v>44651</v>
      </c>
      <c r="T2805" s="773" t="s">
        <v>132</v>
      </c>
      <c r="U2805" s="773">
        <v>296</v>
      </c>
      <c r="V2805" s="773">
        <v>2467</v>
      </c>
      <c r="W2805" s="773" t="s">
        <v>390</v>
      </c>
    </row>
    <row r="2806" spans="19:23">
      <c r="S2806" s="27">
        <v>44286</v>
      </c>
      <c r="T2806" s="773" t="s">
        <v>132</v>
      </c>
      <c r="U2806" s="773">
        <v>679</v>
      </c>
      <c r="V2806" s="773">
        <v>2450</v>
      </c>
      <c r="W2806" s="773" t="s">
        <v>390</v>
      </c>
    </row>
    <row r="2807" spans="19:23">
      <c r="S2807" s="27">
        <v>44286</v>
      </c>
      <c r="T2807" s="773" t="s">
        <v>132</v>
      </c>
      <c r="U2807" s="773">
        <v>665</v>
      </c>
      <c r="V2807" s="773">
        <v>2523</v>
      </c>
      <c r="W2807" s="773" t="s">
        <v>390</v>
      </c>
    </row>
    <row r="2808" spans="19:23">
      <c r="S2808" s="27">
        <v>44286</v>
      </c>
      <c r="T2808" s="773" t="s">
        <v>132</v>
      </c>
      <c r="U2808" s="773">
        <v>697</v>
      </c>
      <c r="V2808" s="773">
        <v>273</v>
      </c>
      <c r="W2808" s="773" t="s">
        <v>390</v>
      </c>
    </row>
    <row r="2809" spans="19:23">
      <c r="S2809" s="27">
        <v>44651</v>
      </c>
      <c r="T2809" s="773" t="s">
        <v>132</v>
      </c>
      <c r="U2809" s="773">
        <v>672</v>
      </c>
      <c r="V2809" s="773">
        <v>2382</v>
      </c>
      <c r="W2809" s="773" t="s">
        <v>390</v>
      </c>
    </row>
    <row r="2810" spans="19:23">
      <c r="S2810" s="27">
        <v>44286</v>
      </c>
      <c r="T2810" s="773" t="s">
        <v>132</v>
      </c>
      <c r="U2810" s="773">
        <v>169</v>
      </c>
      <c r="V2810" s="773">
        <v>2342</v>
      </c>
      <c r="W2810" s="773" t="s">
        <v>390</v>
      </c>
    </row>
    <row r="2811" spans="19:23">
      <c r="S2811" s="27">
        <v>44651</v>
      </c>
      <c r="T2811" s="773" t="s">
        <v>132</v>
      </c>
      <c r="U2811" s="773">
        <v>684</v>
      </c>
      <c r="V2811" s="773">
        <v>3339</v>
      </c>
      <c r="W2811" s="773" t="s">
        <v>390</v>
      </c>
    </row>
    <row r="2812" spans="19:23">
      <c r="S2812" s="27">
        <v>44651</v>
      </c>
      <c r="T2812" s="773" t="s">
        <v>132</v>
      </c>
      <c r="U2812" s="773">
        <v>66</v>
      </c>
      <c r="V2812" s="773">
        <v>1</v>
      </c>
      <c r="W2812" s="773" t="s">
        <v>410</v>
      </c>
    </row>
    <row r="2813" spans="19:23">
      <c r="S2813" s="27">
        <v>44286</v>
      </c>
      <c r="T2813" s="773" t="s">
        <v>132</v>
      </c>
      <c r="U2813" s="773">
        <v>667</v>
      </c>
      <c r="V2813" s="773">
        <v>1</v>
      </c>
      <c r="W2813" s="773" t="s">
        <v>410</v>
      </c>
    </row>
    <row r="2814" spans="19:23">
      <c r="S2814" s="27">
        <v>44651</v>
      </c>
      <c r="T2814" s="773" t="s">
        <v>132</v>
      </c>
      <c r="U2814" s="773">
        <v>698</v>
      </c>
      <c r="V2814" s="773">
        <v>3052</v>
      </c>
      <c r="W2814" s="773" t="s">
        <v>390</v>
      </c>
    </row>
    <row r="2815" spans="19:23">
      <c r="S2815" s="27">
        <v>44286</v>
      </c>
      <c r="T2815" s="773" t="s">
        <v>132</v>
      </c>
      <c r="U2815" s="773">
        <v>213</v>
      </c>
      <c r="V2815" s="773">
        <v>2752</v>
      </c>
      <c r="W2815" s="773" t="s">
        <v>390</v>
      </c>
    </row>
    <row r="2816" spans="19:23">
      <c r="S2816" s="27">
        <v>44286</v>
      </c>
      <c r="T2816" s="773" t="s">
        <v>132</v>
      </c>
      <c r="U2816" s="773">
        <v>231</v>
      </c>
      <c r="V2816" s="773">
        <v>4</v>
      </c>
      <c r="W2816" s="773" t="s">
        <v>410</v>
      </c>
    </row>
    <row r="2817" spans="19:23">
      <c r="S2817" s="27">
        <v>44286</v>
      </c>
      <c r="T2817" s="773" t="s">
        <v>132</v>
      </c>
      <c r="U2817" s="773">
        <v>645</v>
      </c>
      <c r="V2817" s="773">
        <v>2400</v>
      </c>
      <c r="W2817" s="773" t="s">
        <v>390</v>
      </c>
    </row>
    <row r="2818" spans="19:23">
      <c r="S2818" s="27">
        <v>44651</v>
      </c>
      <c r="T2818" s="773" t="s">
        <v>132</v>
      </c>
      <c r="U2818" s="773">
        <v>687</v>
      </c>
      <c r="V2818" s="773">
        <v>2894</v>
      </c>
      <c r="W2818" s="773" t="s">
        <v>390</v>
      </c>
    </row>
    <row r="2819" spans="19:23">
      <c r="S2819" s="27">
        <v>44286</v>
      </c>
      <c r="T2819" s="773" t="s">
        <v>132</v>
      </c>
      <c r="U2819" s="773">
        <v>650</v>
      </c>
      <c r="V2819" s="773">
        <v>120</v>
      </c>
      <c r="W2819" s="773" t="s">
        <v>390</v>
      </c>
    </row>
    <row r="2820" spans="19:23">
      <c r="S2820" s="27">
        <v>44651</v>
      </c>
      <c r="T2820" s="773" t="s">
        <v>132</v>
      </c>
      <c r="U2820" s="773">
        <v>324</v>
      </c>
      <c r="V2820" s="773">
        <v>1749</v>
      </c>
      <c r="W2820" s="773" t="s">
        <v>390</v>
      </c>
    </row>
    <row r="2821" spans="19:23">
      <c r="S2821" s="27">
        <v>44286</v>
      </c>
      <c r="T2821" s="773" t="s">
        <v>132</v>
      </c>
      <c r="U2821" s="773">
        <v>317</v>
      </c>
      <c r="V2821" s="773">
        <v>47</v>
      </c>
      <c r="W2821" s="773" t="s">
        <v>410</v>
      </c>
    </row>
    <row r="2822" spans="19:23">
      <c r="S2822" s="27">
        <v>44651</v>
      </c>
      <c r="T2822" s="773" t="s">
        <v>132</v>
      </c>
      <c r="U2822" s="773">
        <v>76</v>
      </c>
      <c r="V2822" s="773">
        <v>2900</v>
      </c>
      <c r="W2822" s="773" t="s">
        <v>390</v>
      </c>
    </row>
    <row r="2823" spans="19:23">
      <c r="S2823" s="27">
        <v>44286</v>
      </c>
      <c r="T2823" s="773" t="s">
        <v>132</v>
      </c>
      <c r="U2823" s="773">
        <v>691</v>
      </c>
      <c r="V2823" s="773">
        <v>2315</v>
      </c>
      <c r="W2823" s="773" t="s">
        <v>390</v>
      </c>
    </row>
    <row r="2824" spans="19:23">
      <c r="S2824" s="27">
        <v>44286</v>
      </c>
      <c r="T2824" s="773" t="s">
        <v>132</v>
      </c>
      <c r="U2824" s="773">
        <v>150</v>
      </c>
      <c r="V2824" s="773">
        <v>760</v>
      </c>
      <c r="W2824" s="773" t="s">
        <v>390</v>
      </c>
    </row>
    <row r="2825" spans="19:23">
      <c r="S2825" s="27">
        <v>44651</v>
      </c>
      <c r="T2825" s="773" t="s">
        <v>132</v>
      </c>
      <c r="U2825" s="773">
        <v>251</v>
      </c>
      <c r="V2825" s="773">
        <v>1884</v>
      </c>
      <c r="W2825" s="773" t="s">
        <v>390</v>
      </c>
    </row>
    <row r="2826" spans="19:23">
      <c r="S2826" s="27">
        <v>44651</v>
      </c>
      <c r="T2826" s="773" t="s">
        <v>132</v>
      </c>
      <c r="U2826" s="773">
        <v>621</v>
      </c>
      <c r="V2826" s="773">
        <v>2536</v>
      </c>
      <c r="W2826" s="773" t="s">
        <v>390</v>
      </c>
    </row>
    <row r="2827" spans="19:23">
      <c r="S2827" s="27">
        <v>44286</v>
      </c>
      <c r="T2827" s="773" t="s">
        <v>132</v>
      </c>
      <c r="U2827" s="773">
        <v>195</v>
      </c>
      <c r="V2827" s="773">
        <v>1</v>
      </c>
      <c r="W2827" s="773" t="s">
        <v>410</v>
      </c>
    </row>
    <row r="2828" spans="19:23">
      <c r="S2828" s="27">
        <v>44286</v>
      </c>
      <c r="T2828" s="773" t="s">
        <v>132</v>
      </c>
      <c r="U2828" s="773">
        <v>27</v>
      </c>
      <c r="V2828" s="773">
        <v>1</v>
      </c>
      <c r="W2828" s="773" t="s">
        <v>410</v>
      </c>
    </row>
    <row r="2829" spans="19:23">
      <c r="S2829" s="27">
        <v>44286</v>
      </c>
      <c r="T2829" s="773" t="s">
        <v>132</v>
      </c>
      <c r="U2829" s="773">
        <v>671</v>
      </c>
      <c r="V2829" s="773">
        <v>2161</v>
      </c>
      <c r="W2829" s="773" t="s">
        <v>390</v>
      </c>
    </row>
    <row r="2830" spans="19:23">
      <c r="S2830" s="27">
        <v>44286</v>
      </c>
      <c r="T2830" s="773" t="s">
        <v>132</v>
      </c>
      <c r="U2830" s="773">
        <v>63</v>
      </c>
      <c r="V2830" s="773">
        <v>1</v>
      </c>
      <c r="W2830" s="773" t="s">
        <v>410</v>
      </c>
    </row>
    <row r="2831" spans="19:23">
      <c r="S2831" s="27">
        <v>44651</v>
      </c>
      <c r="T2831" s="773" t="s">
        <v>132</v>
      </c>
      <c r="U2831" s="773">
        <v>253</v>
      </c>
      <c r="V2831" s="773">
        <v>7</v>
      </c>
      <c r="W2831" s="773" t="s">
        <v>410</v>
      </c>
    </row>
    <row r="2832" spans="19:23">
      <c r="S2832" s="27">
        <v>44286</v>
      </c>
      <c r="T2832" s="773" t="s">
        <v>132</v>
      </c>
      <c r="U2832" s="773">
        <v>296</v>
      </c>
      <c r="V2832" s="773">
        <v>2264</v>
      </c>
      <c r="W2832" s="773" t="s">
        <v>390</v>
      </c>
    </row>
    <row r="2833" spans="19:23">
      <c r="S2833" s="27">
        <v>44286</v>
      </c>
      <c r="T2833" s="773" t="s">
        <v>132</v>
      </c>
      <c r="U2833" s="773">
        <v>110</v>
      </c>
      <c r="V2833" s="773">
        <v>1</v>
      </c>
      <c r="W2833" s="773" t="s">
        <v>410</v>
      </c>
    </row>
    <row r="2834" spans="19:23">
      <c r="S2834" s="27">
        <v>44651</v>
      </c>
      <c r="T2834" s="773" t="s">
        <v>132</v>
      </c>
      <c r="U2834" s="773">
        <v>141</v>
      </c>
      <c r="V2834" s="773">
        <v>1</v>
      </c>
      <c r="W2834" s="773" t="s">
        <v>410</v>
      </c>
    </row>
    <row r="2835" spans="19:23">
      <c r="S2835" s="27">
        <v>44651</v>
      </c>
      <c r="T2835" s="773" t="s">
        <v>132</v>
      </c>
      <c r="U2835" s="773">
        <v>116</v>
      </c>
      <c r="V2835" s="773">
        <v>1</v>
      </c>
      <c r="W2835" s="773" t="s">
        <v>410</v>
      </c>
    </row>
    <row r="2836" spans="19:23">
      <c r="S2836" s="27">
        <v>44651</v>
      </c>
      <c r="T2836" s="773" t="s">
        <v>132</v>
      </c>
      <c r="U2836" s="773">
        <v>77</v>
      </c>
      <c r="V2836" s="773">
        <v>3548</v>
      </c>
      <c r="W2836" s="773" t="s">
        <v>390</v>
      </c>
    </row>
    <row r="2837" spans="19:23">
      <c r="S2837" s="27">
        <v>44651</v>
      </c>
      <c r="T2837" s="773" t="s">
        <v>132</v>
      </c>
      <c r="U2837" s="773">
        <v>169</v>
      </c>
      <c r="V2837" s="773">
        <v>3171</v>
      </c>
      <c r="W2837" s="773" t="s">
        <v>390</v>
      </c>
    </row>
    <row r="2838" spans="19:23">
      <c r="S2838" s="27">
        <v>44651</v>
      </c>
      <c r="T2838" s="773" t="s">
        <v>132</v>
      </c>
      <c r="U2838" s="773">
        <v>161</v>
      </c>
      <c r="V2838" s="773">
        <v>1</v>
      </c>
      <c r="W2838" s="773" t="s">
        <v>410</v>
      </c>
    </row>
    <row r="2839" spans="19:23">
      <c r="S2839" s="27">
        <v>44286</v>
      </c>
      <c r="T2839" s="773" t="s">
        <v>132</v>
      </c>
      <c r="U2839" s="773">
        <v>319</v>
      </c>
      <c r="V2839" s="773">
        <v>1707</v>
      </c>
      <c r="W2839" s="773" t="s">
        <v>390</v>
      </c>
    </row>
    <row r="2840" spans="19:23">
      <c r="S2840" s="27">
        <v>44651</v>
      </c>
      <c r="T2840" s="773" t="s">
        <v>132</v>
      </c>
      <c r="U2840" s="773">
        <v>275</v>
      </c>
      <c r="V2840" s="773">
        <v>4</v>
      </c>
      <c r="W2840" s="773" t="s">
        <v>410</v>
      </c>
    </row>
    <row r="2841" spans="19:23">
      <c r="S2841" s="27">
        <v>44651</v>
      </c>
      <c r="T2841" s="773" t="s">
        <v>132</v>
      </c>
      <c r="U2841" s="773">
        <v>321</v>
      </c>
      <c r="V2841" s="773">
        <v>1922</v>
      </c>
      <c r="W2841" s="773" t="s">
        <v>390</v>
      </c>
    </row>
    <row r="2842" spans="19:23">
      <c r="S2842" s="27">
        <v>44651</v>
      </c>
      <c r="T2842" s="773" t="s">
        <v>132</v>
      </c>
      <c r="U2842" s="773">
        <v>290</v>
      </c>
      <c r="V2842" s="773">
        <v>578</v>
      </c>
      <c r="W2842" s="773" t="s">
        <v>390</v>
      </c>
    </row>
    <row r="2843" spans="19:23">
      <c r="S2843" s="27">
        <v>44286</v>
      </c>
      <c r="T2843" s="773" t="s">
        <v>132</v>
      </c>
      <c r="U2843" s="773">
        <v>342</v>
      </c>
      <c r="V2843" s="773">
        <v>2697</v>
      </c>
      <c r="W2843" s="773" t="s">
        <v>390</v>
      </c>
    </row>
    <row r="2844" spans="19:23">
      <c r="S2844" s="27">
        <v>44286</v>
      </c>
      <c r="T2844" s="773" t="s">
        <v>132</v>
      </c>
      <c r="U2844" s="773">
        <v>173</v>
      </c>
      <c r="V2844" s="773">
        <v>1</v>
      </c>
      <c r="W2844" s="773" t="s">
        <v>410</v>
      </c>
    </row>
    <row r="2845" spans="19:23">
      <c r="S2845" s="27">
        <v>44651</v>
      </c>
      <c r="T2845" s="773" t="s">
        <v>132</v>
      </c>
      <c r="U2845" s="773">
        <v>139</v>
      </c>
      <c r="V2845" s="773">
        <v>2584</v>
      </c>
      <c r="W2845" s="773" t="s">
        <v>390</v>
      </c>
    </row>
    <row r="2846" spans="19:23">
      <c r="S2846" s="27">
        <v>44286</v>
      </c>
      <c r="T2846" s="773" t="s">
        <v>132</v>
      </c>
      <c r="U2846" s="773">
        <v>251</v>
      </c>
      <c r="V2846" s="773">
        <v>2540</v>
      </c>
      <c r="W2846" s="773" t="s">
        <v>390</v>
      </c>
    </row>
    <row r="2847" spans="19:23">
      <c r="S2847" s="27">
        <v>44651</v>
      </c>
      <c r="T2847" s="773" t="s">
        <v>132</v>
      </c>
      <c r="U2847" s="773">
        <v>666</v>
      </c>
      <c r="V2847" s="773">
        <v>1495</v>
      </c>
      <c r="W2847" s="773" t="s">
        <v>390</v>
      </c>
    </row>
    <row r="2848" spans="19:23">
      <c r="S2848" s="27">
        <v>44286</v>
      </c>
      <c r="T2848" s="773" t="s">
        <v>132</v>
      </c>
      <c r="U2848" s="773">
        <v>139</v>
      </c>
      <c r="V2848" s="773">
        <v>2651</v>
      </c>
      <c r="W2848" s="773" t="s">
        <v>390</v>
      </c>
    </row>
    <row r="2849" spans="19:23">
      <c r="S2849" s="27">
        <v>44286</v>
      </c>
      <c r="T2849" s="773" t="s">
        <v>132</v>
      </c>
      <c r="U2849" s="773">
        <v>149</v>
      </c>
      <c r="V2849" s="773">
        <v>2</v>
      </c>
      <c r="W2849" s="773" t="s">
        <v>410</v>
      </c>
    </row>
    <row r="2850" spans="19:23">
      <c r="S2850" s="27">
        <v>44286</v>
      </c>
      <c r="T2850" s="773" t="s">
        <v>132</v>
      </c>
      <c r="U2850" s="773">
        <v>528</v>
      </c>
      <c r="V2850" s="773">
        <v>469</v>
      </c>
      <c r="W2850" s="773" t="s">
        <v>390</v>
      </c>
    </row>
    <row r="2851" spans="19:23">
      <c r="S2851" s="27">
        <v>44651</v>
      </c>
      <c r="T2851" s="773" t="s">
        <v>132</v>
      </c>
      <c r="U2851" s="773">
        <v>159</v>
      </c>
      <c r="V2851" s="773">
        <v>4</v>
      </c>
      <c r="W2851" s="773" t="s">
        <v>410</v>
      </c>
    </row>
    <row r="2852" spans="19:23">
      <c r="S2852" s="27">
        <v>44651</v>
      </c>
      <c r="T2852" s="773" t="s">
        <v>132</v>
      </c>
      <c r="U2852" s="773">
        <v>671</v>
      </c>
      <c r="V2852" s="773">
        <v>1806</v>
      </c>
      <c r="W2852" s="773" t="s">
        <v>390</v>
      </c>
    </row>
    <row r="2853" spans="19:23">
      <c r="S2853" s="27">
        <v>44286</v>
      </c>
      <c r="T2853" s="773" t="s">
        <v>132</v>
      </c>
      <c r="U2853" s="773">
        <v>171</v>
      </c>
      <c r="V2853" s="773">
        <v>132</v>
      </c>
      <c r="W2853" s="773" t="s">
        <v>390</v>
      </c>
    </row>
    <row r="2854" spans="19:23">
      <c r="S2854" s="27">
        <v>44286</v>
      </c>
      <c r="T2854" s="773" t="s">
        <v>132</v>
      </c>
      <c r="U2854" s="773">
        <v>700</v>
      </c>
      <c r="V2854" s="773">
        <v>1249</v>
      </c>
      <c r="W2854" s="773" t="s">
        <v>390</v>
      </c>
    </row>
    <row r="2855" spans="19:23">
      <c r="S2855" s="27">
        <v>44651</v>
      </c>
      <c r="T2855" s="773" t="s">
        <v>132</v>
      </c>
      <c r="U2855" s="773">
        <v>678</v>
      </c>
      <c r="V2855" s="773">
        <v>2965</v>
      </c>
      <c r="W2855" s="773" t="s">
        <v>390</v>
      </c>
    </row>
    <row r="2856" spans="19:23">
      <c r="S2856" s="27">
        <v>44286</v>
      </c>
      <c r="T2856" s="773" t="s">
        <v>132</v>
      </c>
      <c r="U2856" s="773">
        <v>701</v>
      </c>
      <c r="V2856" s="773">
        <v>57</v>
      </c>
      <c r="W2856" s="773" t="s">
        <v>410</v>
      </c>
    </row>
    <row r="2857" spans="19:23">
      <c r="S2857" s="27">
        <v>44651</v>
      </c>
      <c r="T2857" s="773" t="s">
        <v>132</v>
      </c>
      <c r="U2857" s="773">
        <v>707</v>
      </c>
      <c r="V2857" s="773">
        <v>19</v>
      </c>
      <c r="W2857" s="773" t="s">
        <v>410</v>
      </c>
    </row>
    <row r="2858" spans="19:23">
      <c r="S2858" s="27">
        <v>44651</v>
      </c>
      <c r="T2858" s="773" t="s">
        <v>132</v>
      </c>
      <c r="U2858" s="773">
        <v>663</v>
      </c>
      <c r="V2858" s="773">
        <v>675</v>
      </c>
      <c r="W2858" s="773" t="s">
        <v>390</v>
      </c>
    </row>
    <row r="2859" spans="19:23">
      <c r="S2859" s="27">
        <v>44651</v>
      </c>
      <c r="T2859" s="773" t="s">
        <v>132</v>
      </c>
      <c r="U2859" s="773">
        <v>93</v>
      </c>
      <c r="V2859" s="773">
        <v>3175</v>
      </c>
      <c r="W2859" s="773" t="s">
        <v>390</v>
      </c>
    </row>
    <row r="2860" spans="19:23">
      <c r="S2860" s="27">
        <v>44651</v>
      </c>
      <c r="T2860" s="773" t="s">
        <v>132</v>
      </c>
      <c r="U2860" s="773">
        <v>11</v>
      </c>
      <c r="V2860" s="773">
        <v>27</v>
      </c>
      <c r="W2860" s="773" t="s">
        <v>410</v>
      </c>
    </row>
    <row r="2861" spans="19:23">
      <c r="S2861" s="27">
        <v>44286</v>
      </c>
      <c r="T2861" s="773" t="s">
        <v>132</v>
      </c>
      <c r="U2861" s="773">
        <v>76</v>
      </c>
      <c r="V2861" s="773">
        <v>2584</v>
      </c>
      <c r="W2861" s="773" t="s">
        <v>390</v>
      </c>
    </row>
    <row r="2862" spans="19:23">
      <c r="S2862" s="27">
        <v>44286</v>
      </c>
      <c r="T2862" s="773" t="s">
        <v>132</v>
      </c>
      <c r="U2862" s="773">
        <v>681</v>
      </c>
      <c r="V2862" s="773">
        <v>824</v>
      </c>
      <c r="W2862" s="773" t="s">
        <v>390</v>
      </c>
    </row>
    <row r="2863" spans="19:23">
      <c r="S2863" s="27">
        <v>44286</v>
      </c>
      <c r="T2863" s="773" t="s">
        <v>132</v>
      </c>
      <c r="U2863" s="773">
        <v>164</v>
      </c>
      <c r="V2863" s="773">
        <v>8</v>
      </c>
      <c r="W2863" s="773" t="s">
        <v>410</v>
      </c>
    </row>
    <row r="2864" spans="19:23">
      <c r="S2864" s="27">
        <v>44651</v>
      </c>
      <c r="T2864" s="773" t="s">
        <v>132</v>
      </c>
      <c r="U2864" s="773">
        <v>79</v>
      </c>
      <c r="V2864" s="773">
        <v>4</v>
      </c>
      <c r="W2864" s="773" t="s">
        <v>410</v>
      </c>
    </row>
    <row r="2865" spans="19:23">
      <c r="S2865" s="27">
        <v>44651</v>
      </c>
      <c r="T2865" s="773" t="s">
        <v>132</v>
      </c>
      <c r="U2865" s="773">
        <v>318</v>
      </c>
      <c r="V2865" s="773">
        <v>2378</v>
      </c>
      <c r="W2865" s="773" t="s">
        <v>390</v>
      </c>
    </row>
    <row r="2866" spans="19:23">
      <c r="S2866" s="27">
        <v>44651</v>
      </c>
      <c r="T2866" s="773" t="s">
        <v>132</v>
      </c>
      <c r="U2866" s="773">
        <v>78</v>
      </c>
      <c r="V2866" s="773">
        <v>1</v>
      </c>
      <c r="W2866" s="773" t="s">
        <v>410</v>
      </c>
    </row>
    <row r="2867" spans="19:23">
      <c r="S2867" s="27">
        <v>44286</v>
      </c>
      <c r="T2867" s="773" t="s">
        <v>132</v>
      </c>
      <c r="U2867" s="773">
        <v>93</v>
      </c>
      <c r="V2867" s="773">
        <v>12293</v>
      </c>
      <c r="W2867" s="773" t="s">
        <v>390</v>
      </c>
    </row>
    <row r="2868" spans="19:23">
      <c r="S2868" s="27">
        <v>44651</v>
      </c>
      <c r="T2868" s="773" t="s">
        <v>132</v>
      </c>
      <c r="U2868" s="773">
        <v>704</v>
      </c>
      <c r="V2868" s="773">
        <v>3373</v>
      </c>
      <c r="W2868" s="773" t="s">
        <v>390</v>
      </c>
    </row>
    <row r="2869" spans="19:23">
      <c r="S2869" s="27">
        <v>44286</v>
      </c>
      <c r="T2869" s="773" t="s">
        <v>132</v>
      </c>
      <c r="U2869" s="773">
        <v>59</v>
      </c>
      <c r="V2869" s="773">
        <v>91</v>
      </c>
      <c r="W2869" s="773" t="s">
        <v>410</v>
      </c>
    </row>
    <row r="2870" spans="19:23">
      <c r="S2870" s="27">
        <v>44286</v>
      </c>
      <c r="T2870" s="773" t="s">
        <v>132</v>
      </c>
      <c r="U2870" s="773">
        <v>153</v>
      </c>
      <c r="V2870" s="773">
        <v>2117</v>
      </c>
      <c r="W2870" s="773" t="s">
        <v>390</v>
      </c>
    </row>
    <row r="2871" spans="19:23">
      <c r="S2871" s="27">
        <v>44286</v>
      </c>
      <c r="T2871" s="773" t="s">
        <v>132</v>
      </c>
      <c r="U2871" s="773">
        <v>190</v>
      </c>
      <c r="V2871" s="773">
        <v>6</v>
      </c>
      <c r="W2871" s="773" t="s">
        <v>410</v>
      </c>
    </row>
    <row r="2872" spans="19:23">
      <c r="S2872" s="27">
        <v>44286</v>
      </c>
      <c r="T2872" s="773" t="s">
        <v>132</v>
      </c>
      <c r="U2872" s="773">
        <v>203</v>
      </c>
      <c r="V2872" s="773">
        <v>3026</v>
      </c>
      <c r="W2872" s="773" t="s">
        <v>390</v>
      </c>
    </row>
    <row r="2873" spans="19:23">
      <c r="S2873" s="27">
        <v>44651</v>
      </c>
      <c r="T2873" s="773" t="s">
        <v>132</v>
      </c>
      <c r="U2873" s="773">
        <v>204</v>
      </c>
      <c r="V2873" s="773">
        <v>7</v>
      </c>
      <c r="W2873" s="773" t="s">
        <v>410</v>
      </c>
    </row>
    <row r="2874" spans="19:23">
      <c r="S2874" s="27">
        <v>44286</v>
      </c>
      <c r="T2874" s="773" t="s">
        <v>132</v>
      </c>
      <c r="U2874" s="773">
        <v>155</v>
      </c>
      <c r="V2874" s="773">
        <v>2447</v>
      </c>
      <c r="W2874" s="773" t="s">
        <v>390</v>
      </c>
    </row>
    <row r="2875" spans="19:23">
      <c r="S2875" s="27">
        <v>44651</v>
      </c>
      <c r="T2875" s="773" t="s">
        <v>132</v>
      </c>
      <c r="U2875" s="773">
        <v>124</v>
      </c>
      <c r="V2875" s="773">
        <v>2</v>
      </c>
      <c r="W2875" s="773" t="s">
        <v>410</v>
      </c>
    </row>
    <row r="2876" spans="19:23">
      <c r="S2876" s="27">
        <v>44286</v>
      </c>
      <c r="T2876" s="773" t="s">
        <v>132</v>
      </c>
      <c r="U2876" s="773">
        <v>318</v>
      </c>
      <c r="V2876" s="773">
        <v>1934</v>
      </c>
      <c r="W2876" s="773" t="s">
        <v>390</v>
      </c>
    </row>
    <row r="2877" spans="19:23">
      <c r="S2877" s="27">
        <v>44651</v>
      </c>
      <c r="T2877" s="773" t="s">
        <v>132</v>
      </c>
      <c r="U2877" s="773">
        <v>645</v>
      </c>
      <c r="V2877" s="773">
        <v>2777</v>
      </c>
      <c r="W2877" s="773" t="s">
        <v>390</v>
      </c>
    </row>
    <row r="2878" spans="19:23">
      <c r="S2878" s="27">
        <v>44651</v>
      </c>
      <c r="T2878" s="773" t="s">
        <v>132</v>
      </c>
      <c r="U2878" s="773">
        <v>153</v>
      </c>
      <c r="V2878" s="773">
        <v>2319</v>
      </c>
      <c r="W2878" s="773" t="s">
        <v>390</v>
      </c>
    </row>
    <row r="2879" spans="19:23">
      <c r="S2879" s="27">
        <v>44286</v>
      </c>
      <c r="T2879" s="773" t="s">
        <v>132</v>
      </c>
      <c r="U2879" s="773">
        <v>323</v>
      </c>
      <c r="V2879" s="773">
        <v>15</v>
      </c>
      <c r="W2879" s="773" t="s">
        <v>410</v>
      </c>
    </row>
    <row r="2880" spans="19:23">
      <c r="S2880" s="27">
        <v>44651</v>
      </c>
      <c r="T2880" s="773" t="s">
        <v>132</v>
      </c>
      <c r="U2880" s="773">
        <v>83</v>
      </c>
      <c r="V2880" s="773">
        <v>2554</v>
      </c>
      <c r="W2880" s="773" t="s">
        <v>390</v>
      </c>
    </row>
    <row r="2881" spans="19:23">
      <c r="S2881" s="27">
        <v>44651</v>
      </c>
      <c r="T2881" s="773" t="s">
        <v>132</v>
      </c>
      <c r="U2881" s="773">
        <v>680</v>
      </c>
      <c r="V2881" s="773">
        <v>3080</v>
      </c>
      <c r="W2881" s="773" t="s">
        <v>390</v>
      </c>
    </row>
    <row r="2882" spans="19:23">
      <c r="S2882" s="27">
        <v>44651</v>
      </c>
      <c r="T2882" s="773" t="s">
        <v>132</v>
      </c>
      <c r="U2882" s="773">
        <v>183</v>
      </c>
      <c r="V2882" s="773">
        <v>619</v>
      </c>
      <c r="W2882" s="773" t="s">
        <v>390</v>
      </c>
    </row>
    <row r="2883" spans="19:23">
      <c r="S2883" s="27">
        <v>44651</v>
      </c>
      <c r="T2883" s="773" t="s">
        <v>132</v>
      </c>
      <c r="U2883" s="773">
        <v>96</v>
      </c>
      <c r="V2883" s="773">
        <v>1</v>
      </c>
      <c r="W2883" s="773" t="s">
        <v>410</v>
      </c>
    </row>
    <row r="2884" spans="19:23">
      <c r="S2884" s="27">
        <v>44286</v>
      </c>
      <c r="T2884" s="773" t="s">
        <v>132</v>
      </c>
      <c r="U2884" s="773">
        <v>113</v>
      </c>
      <c r="V2884" s="773">
        <v>2</v>
      </c>
      <c r="W2884" s="773" t="s">
        <v>410</v>
      </c>
    </row>
    <row r="2885" spans="19:23">
      <c r="S2885" s="27">
        <v>44651</v>
      </c>
      <c r="T2885" s="773" t="s">
        <v>132</v>
      </c>
      <c r="U2885" s="773">
        <v>229</v>
      </c>
      <c r="V2885" s="773">
        <v>1</v>
      </c>
      <c r="W2885" s="773" t="s">
        <v>410</v>
      </c>
    </row>
    <row r="2886" spans="19:23">
      <c r="S2886" s="27">
        <v>44286</v>
      </c>
      <c r="T2886" s="773" t="s">
        <v>132</v>
      </c>
      <c r="U2886" s="773">
        <v>687</v>
      </c>
      <c r="V2886" s="773">
        <v>532</v>
      </c>
      <c r="W2886" s="773" t="s">
        <v>390</v>
      </c>
    </row>
    <row r="2887" spans="19:23">
      <c r="S2887" s="27">
        <v>44286</v>
      </c>
      <c r="T2887" s="773" t="s">
        <v>132</v>
      </c>
      <c r="U2887" s="773">
        <v>279</v>
      </c>
      <c r="V2887" s="773">
        <v>3961</v>
      </c>
      <c r="W2887" s="773" t="s">
        <v>390</v>
      </c>
    </row>
    <row r="2888" spans="19:23">
      <c r="S2888" s="27">
        <v>44316</v>
      </c>
      <c r="T2888" s="773" t="s">
        <v>132</v>
      </c>
      <c r="U2888" s="773">
        <v>233</v>
      </c>
      <c r="V2888" s="773">
        <v>11866</v>
      </c>
      <c r="W2888" s="773" t="s">
        <v>390</v>
      </c>
    </row>
    <row r="2889" spans="19:23">
      <c r="S2889" s="27">
        <v>44316</v>
      </c>
      <c r="T2889" s="773" t="s">
        <v>132</v>
      </c>
      <c r="U2889" s="773">
        <v>0</v>
      </c>
      <c r="V2889" s="773">
        <v>37</v>
      </c>
      <c r="W2889" s="773" t="s">
        <v>410</v>
      </c>
    </row>
    <row r="2890" spans="19:23">
      <c r="S2890" s="27">
        <v>44681</v>
      </c>
      <c r="T2890" s="773" t="s">
        <v>132</v>
      </c>
      <c r="U2890" s="773">
        <v>688</v>
      </c>
      <c r="V2890" s="773">
        <v>3660</v>
      </c>
      <c r="W2890" s="773" t="s">
        <v>390</v>
      </c>
    </row>
    <row r="2891" spans="19:23">
      <c r="S2891" s="27">
        <v>44681</v>
      </c>
      <c r="T2891" s="773" t="s">
        <v>132</v>
      </c>
      <c r="U2891" s="773">
        <v>696</v>
      </c>
      <c r="V2891" s="773">
        <v>2068</v>
      </c>
      <c r="W2891" s="773" t="s">
        <v>390</v>
      </c>
    </row>
    <row r="2892" spans="19:23">
      <c r="S2892" s="27">
        <v>44316</v>
      </c>
      <c r="T2892" s="773" t="s">
        <v>132</v>
      </c>
      <c r="U2892" s="773">
        <v>240</v>
      </c>
      <c r="V2892" s="773">
        <v>3</v>
      </c>
      <c r="W2892" s="773" t="s">
        <v>410</v>
      </c>
    </row>
    <row r="2893" spans="19:23">
      <c r="S2893" s="27">
        <v>44316</v>
      </c>
      <c r="T2893" s="773" t="s">
        <v>132</v>
      </c>
      <c r="U2893" s="773">
        <v>52</v>
      </c>
      <c r="V2893" s="773">
        <v>2</v>
      </c>
      <c r="W2893" s="773" t="s">
        <v>410</v>
      </c>
    </row>
    <row r="2894" spans="19:23">
      <c r="S2894" s="27">
        <v>44316</v>
      </c>
      <c r="T2894" s="773" t="s">
        <v>132</v>
      </c>
      <c r="U2894" s="773">
        <v>101</v>
      </c>
      <c r="V2894" s="773">
        <v>798</v>
      </c>
      <c r="W2894" s="773" t="s">
        <v>390</v>
      </c>
    </row>
    <row r="2895" spans="19:23">
      <c r="S2895" s="27">
        <v>44681</v>
      </c>
      <c r="T2895" s="773" t="s">
        <v>132</v>
      </c>
      <c r="U2895" s="773">
        <v>173</v>
      </c>
      <c r="V2895" s="773">
        <v>2</v>
      </c>
      <c r="W2895" s="773" t="s">
        <v>410</v>
      </c>
    </row>
    <row r="2896" spans="19:23">
      <c r="S2896" s="27">
        <v>44316</v>
      </c>
      <c r="T2896" s="773" t="s">
        <v>132</v>
      </c>
      <c r="U2896" s="773">
        <v>232</v>
      </c>
      <c r="V2896" s="773">
        <v>137</v>
      </c>
      <c r="W2896" s="773" t="s">
        <v>390</v>
      </c>
    </row>
    <row r="2897" spans="19:23">
      <c r="S2897" s="27">
        <v>44681</v>
      </c>
      <c r="T2897" s="773" t="s">
        <v>132</v>
      </c>
      <c r="U2897" s="773">
        <v>322</v>
      </c>
      <c r="V2897" s="773">
        <v>2784</v>
      </c>
      <c r="W2897" s="773" t="s">
        <v>390</v>
      </c>
    </row>
    <row r="2898" spans="19:23">
      <c r="S2898" s="27">
        <v>44681</v>
      </c>
      <c r="T2898" s="773" t="s">
        <v>132</v>
      </c>
      <c r="U2898" s="773">
        <v>305</v>
      </c>
      <c r="V2898" s="773">
        <v>5178</v>
      </c>
      <c r="W2898" s="773" t="s">
        <v>390</v>
      </c>
    </row>
    <row r="2899" spans="19:23">
      <c r="S2899" s="27">
        <v>44316</v>
      </c>
      <c r="T2899" s="773" t="s">
        <v>132</v>
      </c>
      <c r="U2899" s="773">
        <v>320</v>
      </c>
      <c r="V2899" s="773">
        <v>49</v>
      </c>
      <c r="W2899" s="773" t="s">
        <v>410</v>
      </c>
    </row>
    <row r="2900" spans="19:23">
      <c r="S2900" s="27">
        <v>44681</v>
      </c>
      <c r="T2900" s="773" t="s">
        <v>132</v>
      </c>
      <c r="U2900" s="773">
        <v>83</v>
      </c>
      <c r="V2900" s="773">
        <v>2562</v>
      </c>
      <c r="W2900" s="773" t="s">
        <v>390</v>
      </c>
    </row>
    <row r="2901" spans="19:23">
      <c r="S2901" s="27">
        <v>44316</v>
      </c>
      <c r="T2901" s="773" t="s">
        <v>132</v>
      </c>
      <c r="U2901" s="773">
        <v>251</v>
      </c>
      <c r="V2901" s="773">
        <v>2531</v>
      </c>
      <c r="W2901" s="773" t="s">
        <v>390</v>
      </c>
    </row>
    <row r="2902" spans="19:23">
      <c r="S2902" s="27">
        <v>44316</v>
      </c>
      <c r="T2902" s="773" t="s">
        <v>132</v>
      </c>
      <c r="U2902" s="773">
        <v>626</v>
      </c>
      <c r="V2902" s="773">
        <v>4</v>
      </c>
      <c r="W2902" s="773" t="s">
        <v>410</v>
      </c>
    </row>
    <row r="2903" spans="19:23">
      <c r="S2903" s="27">
        <v>44316</v>
      </c>
      <c r="T2903" s="773" t="s">
        <v>132</v>
      </c>
      <c r="U2903" s="773">
        <v>275</v>
      </c>
      <c r="V2903" s="773">
        <v>1292</v>
      </c>
      <c r="W2903" s="773" t="s">
        <v>390</v>
      </c>
    </row>
    <row r="2904" spans="19:23">
      <c r="S2904" s="27">
        <v>44316</v>
      </c>
      <c r="T2904" s="773" t="s">
        <v>132</v>
      </c>
      <c r="U2904" s="773">
        <v>84</v>
      </c>
      <c r="V2904" s="773">
        <v>2311</v>
      </c>
      <c r="W2904" s="773" t="s">
        <v>390</v>
      </c>
    </row>
    <row r="2905" spans="19:23">
      <c r="S2905" s="27">
        <v>44681</v>
      </c>
      <c r="T2905" s="773" t="s">
        <v>132</v>
      </c>
      <c r="U2905" s="773">
        <v>162</v>
      </c>
      <c r="V2905" s="773">
        <v>2384</v>
      </c>
      <c r="W2905" s="773" t="s">
        <v>390</v>
      </c>
    </row>
    <row r="2906" spans="19:23">
      <c r="S2906" s="27">
        <v>44681</v>
      </c>
      <c r="T2906" s="773" t="s">
        <v>132</v>
      </c>
      <c r="U2906" s="773">
        <v>252</v>
      </c>
      <c r="V2906" s="773">
        <v>823</v>
      </c>
      <c r="W2906" s="773" t="s">
        <v>390</v>
      </c>
    </row>
    <row r="2907" spans="19:23">
      <c r="S2907" s="27">
        <v>44316</v>
      </c>
      <c r="T2907" s="773" t="s">
        <v>132</v>
      </c>
      <c r="U2907" s="773">
        <v>61</v>
      </c>
      <c r="V2907" s="773">
        <v>1</v>
      </c>
      <c r="W2907" s="773" t="s">
        <v>410</v>
      </c>
    </row>
    <row r="2908" spans="19:23">
      <c r="S2908" s="27">
        <v>44316</v>
      </c>
      <c r="T2908" s="773" t="s">
        <v>132</v>
      </c>
      <c r="U2908" s="773">
        <v>694</v>
      </c>
      <c r="V2908" s="773">
        <v>1</v>
      </c>
      <c r="W2908" s="773" t="s">
        <v>410</v>
      </c>
    </row>
    <row r="2909" spans="19:23">
      <c r="S2909" s="27">
        <v>44681</v>
      </c>
      <c r="T2909" s="773" t="s">
        <v>132</v>
      </c>
      <c r="U2909" s="773">
        <v>124</v>
      </c>
      <c r="V2909" s="773">
        <v>3</v>
      </c>
      <c r="W2909" s="773" t="s">
        <v>410</v>
      </c>
    </row>
    <row r="2910" spans="19:23">
      <c r="S2910" s="27">
        <v>44681</v>
      </c>
      <c r="T2910" s="773" t="s">
        <v>132</v>
      </c>
      <c r="U2910" s="773">
        <v>188</v>
      </c>
      <c r="V2910" s="773">
        <v>699</v>
      </c>
      <c r="W2910" s="773" t="s">
        <v>390</v>
      </c>
    </row>
    <row r="2911" spans="19:23">
      <c r="S2911" s="27">
        <v>44681</v>
      </c>
      <c r="T2911" s="773" t="s">
        <v>132</v>
      </c>
      <c r="U2911" s="773">
        <v>247</v>
      </c>
      <c r="V2911" s="773">
        <v>2859</v>
      </c>
      <c r="W2911" s="773" t="s">
        <v>390</v>
      </c>
    </row>
    <row r="2912" spans="19:23">
      <c r="S2912" s="27">
        <v>44316</v>
      </c>
      <c r="T2912" s="773" t="s">
        <v>132</v>
      </c>
      <c r="U2912" s="773">
        <v>70</v>
      </c>
      <c r="V2912" s="773">
        <v>239</v>
      </c>
      <c r="W2912" s="773" t="s">
        <v>390</v>
      </c>
    </row>
    <row r="2913" spans="19:23">
      <c r="S2913" s="27">
        <v>44681</v>
      </c>
      <c r="T2913" s="773" t="s">
        <v>132</v>
      </c>
      <c r="U2913" s="773">
        <v>44</v>
      </c>
      <c r="V2913" s="773">
        <v>2288</v>
      </c>
      <c r="W2913" s="773" t="s">
        <v>390</v>
      </c>
    </row>
    <row r="2914" spans="19:23">
      <c r="S2914" s="27">
        <v>44316</v>
      </c>
      <c r="T2914" s="773" t="s">
        <v>132</v>
      </c>
      <c r="U2914" s="773">
        <v>999</v>
      </c>
      <c r="V2914" s="773">
        <v>1</v>
      </c>
      <c r="W2914" s="773" t="s">
        <v>410</v>
      </c>
    </row>
    <row r="2915" spans="19:23">
      <c r="S2915" s="27">
        <v>44681</v>
      </c>
      <c r="T2915" s="773" t="s">
        <v>132</v>
      </c>
      <c r="U2915" s="773">
        <v>66</v>
      </c>
      <c r="V2915" s="773">
        <v>1</v>
      </c>
      <c r="W2915" s="773" t="s">
        <v>410</v>
      </c>
    </row>
    <row r="2916" spans="19:23">
      <c r="S2916" s="27">
        <v>44316</v>
      </c>
      <c r="T2916" s="773" t="s">
        <v>132</v>
      </c>
      <c r="U2916" s="773">
        <v>678</v>
      </c>
      <c r="V2916" s="773">
        <v>2531</v>
      </c>
      <c r="W2916" s="773" t="s">
        <v>390</v>
      </c>
    </row>
    <row r="2917" spans="19:23">
      <c r="S2917" s="27">
        <v>44681</v>
      </c>
      <c r="T2917" s="773" t="s">
        <v>132</v>
      </c>
      <c r="U2917" s="773">
        <v>195</v>
      </c>
      <c r="V2917" s="773">
        <v>1</v>
      </c>
      <c r="W2917" s="773" t="s">
        <v>410</v>
      </c>
    </row>
    <row r="2918" spans="19:23">
      <c r="S2918" s="27">
        <v>44681</v>
      </c>
      <c r="T2918" s="773" t="s">
        <v>132</v>
      </c>
      <c r="U2918" s="773">
        <v>116</v>
      </c>
      <c r="V2918" s="773">
        <v>1</v>
      </c>
      <c r="W2918" s="773" t="s">
        <v>410</v>
      </c>
    </row>
    <row r="2919" spans="19:23">
      <c r="S2919" s="27">
        <v>44681</v>
      </c>
      <c r="T2919" s="773" t="s">
        <v>132</v>
      </c>
      <c r="U2919" s="773">
        <v>164</v>
      </c>
      <c r="V2919" s="773">
        <v>2</v>
      </c>
      <c r="W2919" s="773" t="s">
        <v>410</v>
      </c>
    </row>
    <row r="2920" spans="19:23">
      <c r="S2920" s="27">
        <v>44316</v>
      </c>
      <c r="T2920" s="773" t="s">
        <v>132</v>
      </c>
      <c r="U2920" s="773">
        <v>202</v>
      </c>
      <c r="V2920" s="773">
        <v>1</v>
      </c>
      <c r="W2920" s="773" t="s">
        <v>410</v>
      </c>
    </row>
    <row r="2921" spans="19:23">
      <c r="S2921" s="27">
        <v>44681</v>
      </c>
      <c r="T2921" s="773" t="s">
        <v>132</v>
      </c>
      <c r="U2921" s="773">
        <v>89</v>
      </c>
      <c r="V2921" s="773">
        <v>1139</v>
      </c>
      <c r="W2921" s="773" t="s">
        <v>390</v>
      </c>
    </row>
    <row r="2922" spans="19:23">
      <c r="S2922" s="27">
        <v>44681</v>
      </c>
      <c r="T2922" s="773" t="s">
        <v>132</v>
      </c>
      <c r="U2922" s="773">
        <v>191</v>
      </c>
      <c r="V2922" s="773">
        <v>739</v>
      </c>
      <c r="W2922" s="773" t="s">
        <v>390</v>
      </c>
    </row>
    <row r="2923" spans="19:23">
      <c r="S2923" s="27">
        <v>44681</v>
      </c>
      <c r="T2923" s="773" t="s">
        <v>132</v>
      </c>
      <c r="U2923" s="773">
        <v>93</v>
      </c>
      <c r="V2923" s="773">
        <v>3166</v>
      </c>
      <c r="W2923" s="773" t="s">
        <v>390</v>
      </c>
    </row>
    <row r="2924" spans="19:23">
      <c r="S2924" s="27">
        <v>44316</v>
      </c>
      <c r="T2924" s="773" t="s">
        <v>132</v>
      </c>
      <c r="U2924" s="773">
        <v>194</v>
      </c>
      <c r="V2924" s="773">
        <v>3150</v>
      </c>
      <c r="W2924" s="773" t="s">
        <v>390</v>
      </c>
    </row>
    <row r="2925" spans="19:23">
      <c r="S2925" s="27">
        <v>44681</v>
      </c>
      <c r="T2925" s="773" t="s">
        <v>132</v>
      </c>
      <c r="U2925" s="773">
        <v>312</v>
      </c>
      <c r="V2925" s="773">
        <v>2883</v>
      </c>
      <c r="W2925" s="773" t="s">
        <v>390</v>
      </c>
    </row>
    <row r="2926" spans="19:23">
      <c r="S2926" s="27">
        <v>44681</v>
      </c>
      <c r="T2926" s="773" t="s">
        <v>132</v>
      </c>
      <c r="U2926" s="773">
        <v>293</v>
      </c>
      <c r="V2926" s="773">
        <v>338</v>
      </c>
      <c r="W2926" s="773" t="s">
        <v>390</v>
      </c>
    </row>
    <row r="2927" spans="19:23">
      <c r="S2927" s="27">
        <v>44681</v>
      </c>
      <c r="T2927" s="773" t="s">
        <v>132</v>
      </c>
      <c r="U2927" s="773">
        <v>63</v>
      </c>
      <c r="V2927" s="773">
        <v>1</v>
      </c>
      <c r="W2927" s="773" t="s">
        <v>410</v>
      </c>
    </row>
    <row r="2928" spans="19:23">
      <c r="S2928" s="27">
        <v>44681</v>
      </c>
      <c r="T2928" s="773" t="s">
        <v>132</v>
      </c>
      <c r="U2928" s="773">
        <v>249</v>
      </c>
      <c r="V2928" s="773">
        <v>3541</v>
      </c>
      <c r="W2928" s="773" t="s">
        <v>390</v>
      </c>
    </row>
    <row r="2929" spans="19:23">
      <c r="S2929" s="27">
        <v>44681</v>
      </c>
      <c r="T2929" s="773" t="s">
        <v>132</v>
      </c>
      <c r="U2929" s="773">
        <v>78</v>
      </c>
      <c r="V2929" s="773">
        <v>1</v>
      </c>
      <c r="W2929" s="773" t="s">
        <v>410</v>
      </c>
    </row>
    <row r="2930" spans="19:23">
      <c r="S2930" s="27">
        <v>44681</v>
      </c>
      <c r="T2930" s="773" t="s">
        <v>132</v>
      </c>
      <c r="U2930" s="773">
        <v>703</v>
      </c>
      <c r="V2930" s="773">
        <v>3377</v>
      </c>
      <c r="W2930" s="773" t="s">
        <v>390</v>
      </c>
    </row>
    <row r="2931" spans="19:23">
      <c r="S2931" s="27">
        <v>44681</v>
      </c>
      <c r="T2931" s="773" t="s">
        <v>132</v>
      </c>
      <c r="U2931" s="773">
        <v>326</v>
      </c>
      <c r="V2931" s="773">
        <v>2775</v>
      </c>
      <c r="W2931" s="773" t="s">
        <v>390</v>
      </c>
    </row>
    <row r="2932" spans="19:23">
      <c r="S2932" s="27">
        <v>44316</v>
      </c>
      <c r="T2932" s="773" t="s">
        <v>132</v>
      </c>
      <c r="U2932" s="773">
        <v>164</v>
      </c>
      <c r="V2932" s="773">
        <v>8</v>
      </c>
      <c r="W2932" s="773" t="s">
        <v>410</v>
      </c>
    </row>
    <row r="2933" spans="19:23">
      <c r="S2933" s="27">
        <v>44316</v>
      </c>
      <c r="T2933" s="773" t="s">
        <v>132</v>
      </c>
      <c r="U2933" s="773">
        <v>171</v>
      </c>
      <c r="V2933" s="773">
        <v>145</v>
      </c>
      <c r="W2933" s="773" t="s">
        <v>390</v>
      </c>
    </row>
    <row r="2934" spans="19:23">
      <c r="S2934" s="27">
        <v>44681</v>
      </c>
      <c r="T2934" s="773" t="s">
        <v>132</v>
      </c>
      <c r="U2934" s="773">
        <v>328</v>
      </c>
      <c r="V2934" s="773">
        <v>1582</v>
      </c>
      <c r="W2934" s="773" t="s">
        <v>390</v>
      </c>
    </row>
    <row r="2935" spans="19:23">
      <c r="S2935" s="27">
        <v>44681</v>
      </c>
      <c r="T2935" s="773" t="s">
        <v>132</v>
      </c>
      <c r="U2935" s="773">
        <v>651</v>
      </c>
      <c r="V2935" s="773">
        <v>63</v>
      </c>
      <c r="W2935" s="773" t="s">
        <v>410</v>
      </c>
    </row>
    <row r="2936" spans="19:23">
      <c r="S2936" s="27">
        <v>44316</v>
      </c>
      <c r="T2936" s="773" t="s">
        <v>132</v>
      </c>
      <c r="U2936" s="773">
        <v>304</v>
      </c>
      <c r="V2936" s="773">
        <v>95</v>
      </c>
      <c r="W2936" s="773" t="s">
        <v>410</v>
      </c>
    </row>
    <row r="2937" spans="19:23">
      <c r="S2937" s="27">
        <v>44316</v>
      </c>
      <c r="T2937" s="773" t="s">
        <v>132</v>
      </c>
      <c r="U2937" s="773">
        <v>35</v>
      </c>
      <c r="V2937" s="773">
        <v>883</v>
      </c>
      <c r="W2937" s="773" t="s">
        <v>390</v>
      </c>
    </row>
    <row r="2938" spans="19:23">
      <c r="S2938" s="27">
        <v>44316</v>
      </c>
      <c r="T2938" s="773" t="s">
        <v>132</v>
      </c>
      <c r="U2938" s="773">
        <v>110</v>
      </c>
      <c r="V2938" s="773">
        <v>1</v>
      </c>
      <c r="W2938" s="773" t="s">
        <v>410</v>
      </c>
    </row>
    <row r="2939" spans="19:23">
      <c r="S2939" s="27">
        <v>44681</v>
      </c>
      <c r="T2939" s="773" t="s">
        <v>132</v>
      </c>
      <c r="U2939" s="773">
        <v>132</v>
      </c>
      <c r="V2939" s="773">
        <v>2690</v>
      </c>
      <c r="W2939" s="773" t="s">
        <v>390</v>
      </c>
    </row>
    <row r="2940" spans="19:23">
      <c r="S2940" s="27">
        <v>44316</v>
      </c>
      <c r="T2940" s="773" t="s">
        <v>132</v>
      </c>
      <c r="U2940" s="773">
        <v>276</v>
      </c>
      <c r="V2940" s="773">
        <v>1</v>
      </c>
      <c r="W2940" s="773" t="s">
        <v>410</v>
      </c>
    </row>
    <row r="2941" spans="19:23">
      <c r="S2941" s="27">
        <v>44316</v>
      </c>
      <c r="T2941" s="773" t="s">
        <v>132</v>
      </c>
      <c r="U2941" s="773">
        <v>13</v>
      </c>
      <c r="V2941" s="773">
        <v>3719</v>
      </c>
      <c r="W2941" s="773" t="s">
        <v>390</v>
      </c>
    </row>
    <row r="2942" spans="19:23">
      <c r="S2942" s="27">
        <v>44316</v>
      </c>
      <c r="T2942" s="773" t="s">
        <v>132</v>
      </c>
      <c r="U2942" s="773">
        <v>82</v>
      </c>
      <c r="V2942" s="773">
        <v>2188</v>
      </c>
      <c r="W2942" s="773" t="s">
        <v>390</v>
      </c>
    </row>
    <row r="2943" spans="19:23">
      <c r="S2943" s="27">
        <v>44316</v>
      </c>
      <c r="T2943" s="773" t="s">
        <v>132</v>
      </c>
      <c r="U2943" s="773">
        <v>256</v>
      </c>
      <c r="V2943" s="773">
        <v>755</v>
      </c>
      <c r="W2943" s="773" t="s">
        <v>390</v>
      </c>
    </row>
    <row r="2944" spans="19:23">
      <c r="S2944" s="27">
        <v>44316</v>
      </c>
      <c r="T2944" s="773" t="s">
        <v>132</v>
      </c>
      <c r="U2944" s="773">
        <v>700</v>
      </c>
      <c r="V2944" s="773">
        <v>1254</v>
      </c>
      <c r="W2944" s="773" t="s">
        <v>390</v>
      </c>
    </row>
    <row r="2945" spans="19:23">
      <c r="S2945" s="27">
        <v>44681</v>
      </c>
      <c r="T2945" s="773" t="s">
        <v>132</v>
      </c>
      <c r="U2945" s="773">
        <v>658</v>
      </c>
      <c r="V2945" s="773">
        <v>3722</v>
      </c>
      <c r="W2945" s="773" t="s">
        <v>390</v>
      </c>
    </row>
    <row r="2946" spans="19:23">
      <c r="S2946" s="27">
        <v>44316</v>
      </c>
      <c r="T2946" s="773" t="s">
        <v>132</v>
      </c>
      <c r="U2946" s="773">
        <v>257</v>
      </c>
      <c r="V2946" s="773">
        <v>2488</v>
      </c>
      <c r="W2946" s="773" t="s">
        <v>390</v>
      </c>
    </row>
    <row r="2947" spans="19:23">
      <c r="S2947" s="27">
        <v>44316</v>
      </c>
      <c r="T2947" s="773" t="s">
        <v>132</v>
      </c>
      <c r="U2947" s="773">
        <v>684</v>
      </c>
      <c r="V2947" s="773">
        <v>2603</v>
      </c>
      <c r="W2947" s="773" t="s">
        <v>390</v>
      </c>
    </row>
    <row r="2948" spans="19:23">
      <c r="S2948" s="27">
        <v>44316</v>
      </c>
      <c r="T2948" s="773" t="s">
        <v>132</v>
      </c>
      <c r="U2948" s="773">
        <v>87</v>
      </c>
      <c r="V2948" s="773">
        <v>11</v>
      </c>
      <c r="W2948" s="773" t="s">
        <v>410</v>
      </c>
    </row>
    <row r="2949" spans="19:23">
      <c r="S2949" s="27">
        <v>44681</v>
      </c>
      <c r="T2949" s="773" t="s">
        <v>132</v>
      </c>
      <c r="U2949" s="773">
        <v>674</v>
      </c>
      <c r="V2949" s="773">
        <v>3964</v>
      </c>
      <c r="W2949" s="773" t="s">
        <v>390</v>
      </c>
    </row>
    <row r="2950" spans="19:23">
      <c r="S2950" s="27">
        <v>44681</v>
      </c>
      <c r="T2950" s="773" t="s">
        <v>132</v>
      </c>
      <c r="U2950" s="773">
        <v>39</v>
      </c>
      <c r="V2950" s="773">
        <v>1</v>
      </c>
      <c r="W2950" s="773" t="s">
        <v>410</v>
      </c>
    </row>
    <row r="2951" spans="19:23">
      <c r="S2951" s="27">
        <v>44681</v>
      </c>
      <c r="T2951" s="773" t="s">
        <v>132</v>
      </c>
      <c r="U2951" s="773">
        <v>82</v>
      </c>
      <c r="V2951" s="773">
        <v>2541</v>
      </c>
      <c r="W2951" s="773" t="s">
        <v>390</v>
      </c>
    </row>
    <row r="2952" spans="19:23">
      <c r="S2952" s="27">
        <v>44316</v>
      </c>
      <c r="T2952" s="773" t="s">
        <v>132</v>
      </c>
      <c r="U2952" s="773">
        <v>315</v>
      </c>
      <c r="V2952" s="773">
        <v>93</v>
      </c>
      <c r="W2952" s="773" t="s">
        <v>410</v>
      </c>
    </row>
    <row r="2953" spans="19:23">
      <c r="S2953" s="27">
        <v>44316</v>
      </c>
      <c r="T2953" s="773" t="s">
        <v>132</v>
      </c>
      <c r="U2953" s="773">
        <v>11</v>
      </c>
      <c r="V2953" s="773">
        <v>30</v>
      </c>
      <c r="W2953" s="773" t="s">
        <v>410</v>
      </c>
    </row>
    <row r="2954" spans="19:23">
      <c r="S2954" s="27">
        <v>44681</v>
      </c>
      <c r="T2954" s="773" t="s">
        <v>132</v>
      </c>
      <c r="U2954" s="773">
        <v>0</v>
      </c>
      <c r="V2954" s="773">
        <v>40</v>
      </c>
      <c r="W2954" s="773" t="s">
        <v>410</v>
      </c>
    </row>
    <row r="2955" spans="19:23">
      <c r="S2955" s="27">
        <v>44316</v>
      </c>
      <c r="T2955" s="773" t="s">
        <v>132</v>
      </c>
      <c r="U2955" s="773">
        <v>651</v>
      </c>
      <c r="V2955" s="773">
        <v>338</v>
      </c>
      <c r="W2955" s="773" t="s">
        <v>390</v>
      </c>
    </row>
    <row r="2956" spans="19:23">
      <c r="S2956" s="27">
        <v>44316</v>
      </c>
      <c r="T2956" s="773" t="s">
        <v>132</v>
      </c>
      <c r="U2956" s="773">
        <v>303</v>
      </c>
      <c r="V2956" s="773">
        <v>2465</v>
      </c>
      <c r="W2956" s="773" t="s">
        <v>390</v>
      </c>
    </row>
    <row r="2957" spans="19:23">
      <c r="S2957" s="27">
        <v>44681</v>
      </c>
      <c r="T2957" s="773" t="s">
        <v>132</v>
      </c>
      <c r="U2957" s="773">
        <v>194</v>
      </c>
      <c r="V2957" s="773">
        <v>3926</v>
      </c>
      <c r="W2957" s="773" t="s">
        <v>390</v>
      </c>
    </row>
    <row r="2958" spans="19:23">
      <c r="S2958" s="27">
        <v>44316</v>
      </c>
      <c r="T2958" s="773" t="s">
        <v>132</v>
      </c>
      <c r="U2958" s="773">
        <v>41</v>
      </c>
      <c r="V2958" s="773">
        <v>1</v>
      </c>
      <c r="W2958" s="773" t="s">
        <v>410</v>
      </c>
    </row>
    <row r="2959" spans="19:23">
      <c r="S2959" s="27">
        <v>44316</v>
      </c>
      <c r="T2959" s="773" t="s">
        <v>132</v>
      </c>
      <c r="U2959" s="773">
        <v>152</v>
      </c>
      <c r="V2959" s="773">
        <v>2</v>
      </c>
      <c r="W2959" s="773" t="s">
        <v>410</v>
      </c>
    </row>
    <row r="2960" spans="19:23">
      <c r="S2960" s="27">
        <v>44681</v>
      </c>
      <c r="T2960" s="773" t="s">
        <v>132</v>
      </c>
      <c r="U2960" s="773">
        <v>710</v>
      </c>
      <c r="V2960" s="773">
        <v>93</v>
      </c>
      <c r="W2960" s="773" t="s">
        <v>410</v>
      </c>
    </row>
    <row r="2961" spans="19:23">
      <c r="S2961" s="27">
        <v>44681</v>
      </c>
      <c r="T2961" s="773" t="s">
        <v>132</v>
      </c>
      <c r="U2961" s="773">
        <v>248</v>
      </c>
      <c r="V2961" s="773">
        <v>1</v>
      </c>
      <c r="W2961" s="773" t="s">
        <v>410</v>
      </c>
    </row>
    <row r="2962" spans="19:23">
      <c r="S2962" s="27">
        <v>44681</v>
      </c>
      <c r="T2962" s="773" t="s">
        <v>132</v>
      </c>
      <c r="U2962" s="773">
        <v>155</v>
      </c>
      <c r="V2962" s="773">
        <v>2683</v>
      </c>
      <c r="W2962" s="773" t="s">
        <v>390</v>
      </c>
    </row>
    <row r="2963" spans="19:23">
      <c r="S2963" s="27">
        <v>44681</v>
      </c>
      <c r="T2963" s="773" t="s">
        <v>132</v>
      </c>
      <c r="U2963" s="773">
        <v>700</v>
      </c>
      <c r="V2963" s="773">
        <v>2739</v>
      </c>
      <c r="W2963" s="773" t="s">
        <v>390</v>
      </c>
    </row>
    <row r="2964" spans="19:23">
      <c r="S2964" s="27">
        <v>44681</v>
      </c>
      <c r="T2964" s="773" t="s">
        <v>132</v>
      </c>
      <c r="U2964" s="773">
        <v>41</v>
      </c>
      <c r="V2964" s="773">
        <v>1</v>
      </c>
      <c r="W2964" s="773" t="s">
        <v>410</v>
      </c>
    </row>
    <row r="2965" spans="19:23">
      <c r="S2965" s="27">
        <v>44681</v>
      </c>
      <c r="T2965" s="773" t="s">
        <v>132</v>
      </c>
      <c r="U2965" s="773">
        <v>276</v>
      </c>
      <c r="V2965" s="773">
        <v>1</v>
      </c>
      <c r="W2965" s="773" t="s">
        <v>410</v>
      </c>
    </row>
    <row r="2966" spans="19:23">
      <c r="S2966" s="27">
        <v>44681</v>
      </c>
      <c r="T2966" s="773" t="s">
        <v>132</v>
      </c>
      <c r="U2966" s="773">
        <v>70</v>
      </c>
      <c r="V2966" s="773">
        <v>217</v>
      </c>
      <c r="W2966" s="773" t="s">
        <v>390</v>
      </c>
    </row>
    <row r="2967" spans="19:23">
      <c r="S2967" s="27">
        <v>44316</v>
      </c>
      <c r="T2967" s="773" t="s">
        <v>132</v>
      </c>
      <c r="U2967" s="773">
        <v>59</v>
      </c>
      <c r="V2967" s="773">
        <v>85</v>
      </c>
      <c r="W2967" s="773" t="s">
        <v>410</v>
      </c>
    </row>
    <row r="2968" spans="19:23">
      <c r="S2968" s="27">
        <v>44316</v>
      </c>
      <c r="T2968" s="773" t="s">
        <v>132</v>
      </c>
      <c r="U2968" s="773">
        <v>246</v>
      </c>
      <c r="V2968" s="773">
        <v>3</v>
      </c>
      <c r="W2968" s="773" t="s">
        <v>410</v>
      </c>
    </row>
    <row r="2969" spans="19:23">
      <c r="S2969" s="27">
        <v>44316</v>
      </c>
      <c r="T2969" s="773" t="s">
        <v>132</v>
      </c>
      <c r="U2969" s="773">
        <v>676</v>
      </c>
      <c r="V2969" s="773">
        <v>1</v>
      </c>
      <c r="W2969" s="773" t="s">
        <v>410</v>
      </c>
    </row>
    <row r="2970" spans="19:23">
      <c r="S2970" s="27">
        <v>44316</v>
      </c>
      <c r="T2970" s="773" t="s">
        <v>132</v>
      </c>
      <c r="U2970" s="773">
        <v>72</v>
      </c>
      <c r="V2970" s="773">
        <v>3</v>
      </c>
      <c r="W2970" s="773" t="s">
        <v>410</v>
      </c>
    </row>
    <row r="2971" spans="19:23">
      <c r="S2971" s="27">
        <v>44316</v>
      </c>
      <c r="T2971" s="773" t="s">
        <v>132</v>
      </c>
      <c r="U2971" s="773">
        <v>697</v>
      </c>
      <c r="V2971" s="773">
        <v>2737</v>
      </c>
      <c r="W2971" s="773" t="s">
        <v>390</v>
      </c>
    </row>
    <row r="2972" spans="19:23">
      <c r="S2972" s="27">
        <v>44681</v>
      </c>
      <c r="T2972" s="773" t="s">
        <v>132</v>
      </c>
      <c r="U2972" s="773">
        <v>701</v>
      </c>
      <c r="V2972" s="773">
        <v>2510</v>
      </c>
      <c r="W2972" s="773" t="s">
        <v>390</v>
      </c>
    </row>
    <row r="2973" spans="19:23">
      <c r="S2973" s="27">
        <v>44681</v>
      </c>
      <c r="T2973" s="773" t="s">
        <v>132</v>
      </c>
      <c r="U2973" s="773">
        <v>653</v>
      </c>
      <c r="V2973" s="773">
        <v>3</v>
      </c>
      <c r="W2973" s="773" t="s">
        <v>410</v>
      </c>
    </row>
    <row r="2974" spans="19:23">
      <c r="S2974" s="27">
        <v>44681</v>
      </c>
      <c r="T2974" s="773" t="s">
        <v>132</v>
      </c>
      <c r="U2974" s="773">
        <v>662</v>
      </c>
      <c r="V2974" s="773">
        <v>681</v>
      </c>
      <c r="W2974" s="773" t="s">
        <v>390</v>
      </c>
    </row>
    <row r="2975" spans="19:23">
      <c r="S2975" s="27">
        <v>44681</v>
      </c>
      <c r="T2975" s="773" t="s">
        <v>132</v>
      </c>
      <c r="U2975" s="773">
        <v>215</v>
      </c>
      <c r="V2975" s="773">
        <v>708</v>
      </c>
      <c r="W2975" s="773" t="s">
        <v>390</v>
      </c>
    </row>
    <row r="2976" spans="19:23">
      <c r="S2976" s="27">
        <v>44681</v>
      </c>
      <c r="T2976" s="773" t="s">
        <v>132</v>
      </c>
      <c r="U2976" s="773">
        <v>251</v>
      </c>
      <c r="V2976" s="773">
        <v>1899</v>
      </c>
      <c r="W2976" s="773" t="s">
        <v>390</v>
      </c>
    </row>
    <row r="2977" spans="19:23">
      <c r="S2977" s="27">
        <v>44316</v>
      </c>
      <c r="T2977" s="773" t="s">
        <v>132</v>
      </c>
      <c r="U2977" s="773">
        <v>309</v>
      </c>
      <c r="V2977" s="773">
        <v>14</v>
      </c>
      <c r="W2977" s="773" t="s">
        <v>410</v>
      </c>
    </row>
    <row r="2978" spans="19:23">
      <c r="S2978" s="27">
        <v>44681</v>
      </c>
      <c r="T2978" s="773" t="s">
        <v>132</v>
      </c>
      <c r="U2978" s="773">
        <v>171</v>
      </c>
      <c r="V2978" s="773">
        <v>19</v>
      </c>
      <c r="W2978" s="773" t="s">
        <v>410</v>
      </c>
    </row>
    <row r="2979" spans="19:23">
      <c r="S2979" s="27">
        <v>44316</v>
      </c>
      <c r="T2979" s="773" t="s">
        <v>132</v>
      </c>
      <c r="U2979" s="773">
        <v>212</v>
      </c>
      <c r="V2979" s="773">
        <v>3327</v>
      </c>
      <c r="W2979" s="773" t="s">
        <v>390</v>
      </c>
    </row>
    <row r="2980" spans="19:23">
      <c r="S2980" s="27">
        <v>44316</v>
      </c>
      <c r="T2980" s="773" t="s">
        <v>132</v>
      </c>
      <c r="U2980" s="773">
        <v>267</v>
      </c>
      <c r="V2980" s="773">
        <v>1</v>
      </c>
      <c r="W2980" s="773" t="s">
        <v>410</v>
      </c>
    </row>
    <row r="2981" spans="19:23">
      <c r="S2981" s="27">
        <v>44681</v>
      </c>
      <c r="T2981" s="773" t="s">
        <v>132</v>
      </c>
      <c r="U2981" s="773">
        <v>317</v>
      </c>
      <c r="V2981" s="773">
        <v>3555</v>
      </c>
      <c r="W2981" s="773" t="s">
        <v>390</v>
      </c>
    </row>
    <row r="2982" spans="19:23">
      <c r="S2982" s="27">
        <v>44316</v>
      </c>
      <c r="T2982" s="773" t="s">
        <v>132</v>
      </c>
      <c r="U2982" s="773">
        <v>299</v>
      </c>
      <c r="V2982" s="773">
        <v>1</v>
      </c>
      <c r="W2982" s="773" t="s">
        <v>410</v>
      </c>
    </row>
    <row r="2983" spans="19:23">
      <c r="S2983" s="27">
        <v>44681</v>
      </c>
      <c r="T2983" s="773" t="s">
        <v>132</v>
      </c>
      <c r="U2983" s="773">
        <v>706</v>
      </c>
      <c r="V2983" s="773">
        <v>1240</v>
      </c>
      <c r="W2983" s="773" t="s">
        <v>390</v>
      </c>
    </row>
    <row r="2984" spans="19:23">
      <c r="S2984" s="27">
        <v>44316</v>
      </c>
      <c r="T2984" s="773" t="s">
        <v>132</v>
      </c>
      <c r="U2984" s="773">
        <v>687</v>
      </c>
      <c r="V2984" s="773">
        <v>558</v>
      </c>
      <c r="W2984" s="773" t="s">
        <v>390</v>
      </c>
    </row>
    <row r="2985" spans="19:23">
      <c r="S2985" s="27">
        <v>44681</v>
      </c>
      <c r="T2985" s="773" t="s">
        <v>132</v>
      </c>
      <c r="U2985" s="773">
        <v>303</v>
      </c>
      <c r="V2985" s="773">
        <v>2602</v>
      </c>
      <c r="W2985" s="773" t="s">
        <v>390</v>
      </c>
    </row>
    <row r="2986" spans="19:23">
      <c r="S2986" s="27">
        <v>44681</v>
      </c>
      <c r="T2986" s="773" t="s">
        <v>132</v>
      </c>
      <c r="U2986" s="773">
        <v>68</v>
      </c>
      <c r="V2986" s="773">
        <v>624</v>
      </c>
      <c r="W2986" s="773" t="s">
        <v>390</v>
      </c>
    </row>
    <row r="2987" spans="19:23">
      <c r="S2987" s="27">
        <v>44681</v>
      </c>
      <c r="T2987" s="773" t="s">
        <v>132</v>
      </c>
      <c r="U2987" s="773">
        <v>61</v>
      </c>
      <c r="V2987" s="773">
        <v>1</v>
      </c>
      <c r="W2987" s="773" t="s">
        <v>410</v>
      </c>
    </row>
    <row r="2988" spans="19:23">
      <c r="S2988" s="27">
        <v>44316</v>
      </c>
      <c r="T2988" s="773" t="s">
        <v>132</v>
      </c>
      <c r="U2988" s="773">
        <v>523</v>
      </c>
      <c r="V2988" s="773">
        <v>10</v>
      </c>
      <c r="W2988" s="773" t="s">
        <v>410</v>
      </c>
    </row>
    <row r="2989" spans="19:23">
      <c r="S2989" s="27">
        <v>44316</v>
      </c>
      <c r="T2989" s="773" t="s">
        <v>132</v>
      </c>
      <c r="U2989" s="773">
        <v>255</v>
      </c>
      <c r="V2989" s="773">
        <v>2637</v>
      </c>
      <c r="W2989" s="773" t="s">
        <v>390</v>
      </c>
    </row>
    <row r="2990" spans="19:23">
      <c r="S2990" s="27">
        <v>44316</v>
      </c>
      <c r="T2990" s="773" t="s">
        <v>132</v>
      </c>
      <c r="U2990" s="773">
        <v>89</v>
      </c>
      <c r="V2990" s="773">
        <v>1169</v>
      </c>
      <c r="W2990" s="773" t="s">
        <v>390</v>
      </c>
    </row>
    <row r="2991" spans="19:23">
      <c r="S2991" s="27">
        <v>44681</v>
      </c>
      <c r="T2991" s="773" t="s">
        <v>132</v>
      </c>
      <c r="U2991" s="773">
        <v>367</v>
      </c>
      <c r="V2991" s="773">
        <v>1</v>
      </c>
      <c r="W2991" s="773" t="s">
        <v>410</v>
      </c>
    </row>
    <row r="2992" spans="19:23">
      <c r="S2992" s="27">
        <v>44316</v>
      </c>
      <c r="T2992" s="773" t="s">
        <v>132</v>
      </c>
      <c r="U2992" s="773">
        <v>688</v>
      </c>
      <c r="V2992" s="773">
        <v>2335</v>
      </c>
      <c r="W2992" s="773" t="s">
        <v>390</v>
      </c>
    </row>
    <row r="2993" spans="19:23">
      <c r="S2993" s="27">
        <v>44681</v>
      </c>
      <c r="T2993" s="773" t="s">
        <v>132</v>
      </c>
      <c r="U2993" s="773">
        <v>323</v>
      </c>
      <c r="V2993" s="773">
        <v>3142</v>
      </c>
      <c r="W2993" s="773" t="s">
        <v>390</v>
      </c>
    </row>
    <row r="2994" spans="19:23">
      <c r="S2994" s="27">
        <v>44316</v>
      </c>
      <c r="T2994" s="773" t="s">
        <v>132</v>
      </c>
      <c r="U2994" s="773">
        <v>321</v>
      </c>
      <c r="V2994" s="773">
        <v>35</v>
      </c>
      <c r="W2994" s="773" t="s">
        <v>410</v>
      </c>
    </row>
    <row r="2995" spans="19:23">
      <c r="S2995" s="27">
        <v>44681</v>
      </c>
      <c r="T2995" s="773" t="s">
        <v>132</v>
      </c>
      <c r="U2995" s="773">
        <v>153</v>
      </c>
      <c r="V2995" s="773">
        <v>2341</v>
      </c>
      <c r="W2995" s="773" t="s">
        <v>390</v>
      </c>
    </row>
    <row r="2996" spans="19:23">
      <c r="S2996" s="27">
        <v>44316</v>
      </c>
      <c r="T2996" s="773" t="s">
        <v>132</v>
      </c>
      <c r="U2996" s="773">
        <v>56</v>
      </c>
      <c r="V2996" s="773">
        <v>44</v>
      </c>
      <c r="W2996" s="773" t="s">
        <v>410</v>
      </c>
    </row>
    <row r="2997" spans="19:23">
      <c r="S2997" s="27">
        <v>44316</v>
      </c>
      <c r="T2997" s="773" t="s">
        <v>132</v>
      </c>
      <c r="U2997" s="773">
        <v>83</v>
      </c>
      <c r="V2997" s="773">
        <v>2147</v>
      </c>
      <c r="W2997" s="773" t="s">
        <v>390</v>
      </c>
    </row>
    <row r="2998" spans="19:23">
      <c r="S2998" s="27">
        <v>44681</v>
      </c>
      <c r="T2998" s="773" t="s">
        <v>132</v>
      </c>
      <c r="U2998" s="773">
        <v>253</v>
      </c>
      <c r="V2998" s="773">
        <v>7</v>
      </c>
      <c r="W2998" s="773" t="s">
        <v>410</v>
      </c>
    </row>
    <row r="2999" spans="19:23">
      <c r="S2999" s="27">
        <v>44316</v>
      </c>
      <c r="T2999" s="773" t="s">
        <v>132</v>
      </c>
      <c r="U2999" s="773">
        <v>297</v>
      </c>
      <c r="V2999" s="773">
        <v>28</v>
      </c>
      <c r="W2999" s="773" t="s">
        <v>410</v>
      </c>
    </row>
    <row r="3000" spans="19:23">
      <c r="S3000" s="27">
        <v>44316</v>
      </c>
      <c r="T3000" s="773" t="s">
        <v>132</v>
      </c>
      <c r="U3000" s="773">
        <v>296</v>
      </c>
      <c r="V3000" s="773">
        <v>2296</v>
      </c>
      <c r="W3000" s="773" t="s">
        <v>390</v>
      </c>
    </row>
    <row r="3001" spans="19:23">
      <c r="S3001" s="27">
        <v>44681</v>
      </c>
      <c r="T3001" s="773" t="s">
        <v>132</v>
      </c>
      <c r="U3001" s="773">
        <v>193</v>
      </c>
      <c r="V3001" s="773">
        <v>432</v>
      </c>
      <c r="W3001" s="773" t="s">
        <v>390</v>
      </c>
    </row>
    <row r="3002" spans="19:23">
      <c r="S3002" s="27">
        <v>44316</v>
      </c>
      <c r="T3002" s="773" t="s">
        <v>132</v>
      </c>
      <c r="U3002" s="773">
        <v>238</v>
      </c>
      <c r="V3002" s="773">
        <v>5</v>
      </c>
      <c r="W3002" s="773" t="s">
        <v>410</v>
      </c>
    </row>
    <row r="3003" spans="19:23">
      <c r="S3003" s="27">
        <v>44681</v>
      </c>
      <c r="T3003" s="773" t="s">
        <v>132</v>
      </c>
      <c r="U3003" s="773">
        <v>35</v>
      </c>
      <c r="V3003" s="773">
        <v>887</v>
      </c>
      <c r="W3003" s="773" t="s">
        <v>390</v>
      </c>
    </row>
    <row r="3004" spans="19:23">
      <c r="S3004" s="27">
        <v>44681</v>
      </c>
      <c r="T3004" s="773" t="s">
        <v>132</v>
      </c>
      <c r="U3004" s="773">
        <v>130</v>
      </c>
      <c r="V3004" s="773">
        <v>1</v>
      </c>
      <c r="W3004" s="773" t="s">
        <v>410</v>
      </c>
    </row>
    <row r="3005" spans="19:23">
      <c r="S3005" s="27">
        <v>44316</v>
      </c>
      <c r="T3005" s="773" t="s">
        <v>132</v>
      </c>
      <c r="U3005" s="773">
        <v>48</v>
      </c>
      <c r="V3005" s="773">
        <v>721</v>
      </c>
      <c r="W3005" s="773" t="s">
        <v>390</v>
      </c>
    </row>
    <row r="3006" spans="19:23">
      <c r="S3006" s="27">
        <v>44316</v>
      </c>
      <c r="T3006" s="773" t="s">
        <v>132</v>
      </c>
      <c r="U3006" s="773">
        <v>130</v>
      </c>
      <c r="V3006" s="773">
        <v>1</v>
      </c>
      <c r="W3006" s="773" t="s">
        <v>410</v>
      </c>
    </row>
    <row r="3007" spans="19:23">
      <c r="S3007" s="27">
        <v>44681</v>
      </c>
      <c r="T3007" s="773" t="s">
        <v>132</v>
      </c>
      <c r="U3007" s="773">
        <v>321</v>
      </c>
      <c r="V3007" s="773">
        <v>1922</v>
      </c>
      <c r="W3007" s="773" t="s">
        <v>390</v>
      </c>
    </row>
    <row r="3008" spans="19:23">
      <c r="S3008" s="27">
        <v>44681</v>
      </c>
      <c r="T3008" s="773" t="s">
        <v>132</v>
      </c>
      <c r="U3008" s="773">
        <v>60</v>
      </c>
      <c r="V3008" s="773">
        <v>1</v>
      </c>
      <c r="W3008" s="773" t="s">
        <v>410</v>
      </c>
    </row>
    <row r="3009" spans="19:23">
      <c r="S3009" s="27">
        <v>44681</v>
      </c>
      <c r="T3009" s="773" t="s">
        <v>132</v>
      </c>
      <c r="U3009" s="773">
        <v>84</v>
      </c>
      <c r="V3009" s="773">
        <v>2516</v>
      </c>
      <c r="W3009" s="773" t="s">
        <v>390</v>
      </c>
    </row>
    <row r="3010" spans="19:23">
      <c r="S3010" s="27">
        <v>44316</v>
      </c>
      <c r="T3010" s="773" t="s">
        <v>132</v>
      </c>
      <c r="U3010" s="773">
        <v>92</v>
      </c>
      <c r="V3010" s="773">
        <v>2434</v>
      </c>
      <c r="W3010" s="773" t="s">
        <v>390</v>
      </c>
    </row>
    <row r="3011" spans="19:23">
      <c r="S3011" s="27">
        <v>44316</v>
      </c>
      <c r="T3011" s="773" t="s">
        <v>132</v>
      </c>
      <c r="U3011" s="773">
        <v>312</v>
      </c>
      <c r="V3011" s="773">
        <v>2218</v>
      </c>
      <c r="W3011" s="773" t="s">
        <v>390</v>
      </c>
    </row>
    <row r="3012" spans="19:23">
      <c r="S3012" s="27">
        <v>44316</v>
      </c>
      <c r="T3012" s="773" t="s">
        <v>132</v>
      </c>
      <c r="U3012" s="773">
        <v>188</v>
      </c>
      <c r="V3012" s="773">
        <v>412</v>
      </c>
      <c r="W3012" s="773" t="s">
        <v>390</v>
      </c>
    </row>
    <row r="3013" spans="19:23">
      <c r="S3013" s="27">
        <v>44681</v>
      </c>
      <c r="T3013" s="773" t="s">
        <v>132</v>
      </c>
      <c r="U3013" s="773">
        <v>246</v>
      </c>
      <c r="V3013" s="773">
        <v>1</v>
      </c>
      <c r="W3013" s="773" t="s">
        <v>410</v>
      </c>
    </row>
    <row r="3014" spans="19:23">
      <c r="S3014" s="27">
        <v>44316</v>
      </c>
      <c r="T3014" s="773" t="s">
        <v>132</v>
      </c>
      <c r="U3014" s="773">
        <v>203</v>
      </c>
      <c r="V3014" s="773">
        <v>3062</v>
      </c>
      <c r="W3014" s="773" t="s">
        <v>390</v>
      </c>
    </row>
    <row r="3015" spans="19:23">
      <c r="S3015" s="27">
        <v>44681</v>
      </c>
      <c r="T3015" s="773" t="s">
        <v>132</v>
      </c>
      <c r="U3015" s="773">
        <v>53</v>
      </c>
      <c r="V3015" s="773">
        <v>1</v>
      </c>
      <c r="W3015" s="773" t="s">
        <v>410</v>
      </c>
    </row>
    <row r="3016" spans="19:23">
      <c r="S3016" s="27">
        <v>44316</v>
      </c>
      <c r="T3016" s="773" t="s">
        <v>132</v>
      </c>
      <c r="U3016" s="773">
        <v>636</v>
      </c>
      <c r="V3016" s="773">
        <v>16</v>
      </c>
      <c r="W3016" s="773" t="s">
        <v>410</v>
      </c>
    </row>
    <row r="3017" spans="19:23">
      <c r="S3017" s="27">
        <v>44681</v>
      </c>
      <c r="T3017" s="773" t="s">
        <v>132</v>
      </c>
      <c r="U3017" s="773">
        <v>707</v>
      </c>
      <c r="V3017" s="773">
        <v>82</v>
      </c>
      <c r="W3017" s="773" t="s">
        <v>410</v>
      </c>
    </row>
    <row r="3018" spans="19:23">
      <c r="S3018" s="27">
        <v>44681</v>
      </c>
      <c r="T3018" s="773" t="s">
        <v>132</v>
      </c>
      <c r="U3018" s="773">
        <v>315</v>
      </c>
      <c r="V3018" s="773">
        <v>1950</v>
      </c>
      <c r="W3018" s="773" t="s">
        <v>390</v>
      </c>
    </row>
    <row r="3019" spans="19:23">
      <c r="S3019" s="27">
        <v>44316</v>
      </c>
      <c r="T3019" s="773" t="s">
        <v>132</v>
      </c>
      <c r="U3019" s="773">
        <v>91</v>
      </c>
      <c r="V3019" s="773">
        <v>2</v>
      </c>
      <c r="W3019" s="773" t="s">
        <v>410</v>
      </c>
    </row>
    <row r="3020" spans="19:23">
      <c r="S3020" s="27">
        <v>44681</v>
      </c>
      <c r="T3020" s="773" t="s">
        <v>132</v>
      </c>
      <c r="U3020" s="773">
        <v>56</v>
      </c>
      <c r="V3020" s="773">
        <v>2</v>
      </c>
      <c r="W3020" s="773" t="s">
        <v>410</v>
      </c>
    </row>
    <row r="3021" spans="19:23">
      <c r="S3021" s="27">
        <v>44316</v>
      </c>
      <c r="T3021" s="773" t="s">
        <v>132</v>
      </c>
      <c r="U3021" s="773">
        <v>124</v>
      </c>
      <c r="V3021" s="773">
        <v>9</v>
      </c>
      <c r="W3021" s="773" t="s">
        <v>410</v>
      </c>
    </row>
    <row r="3022" spans="19:23">
      <c r="S3022" s="27">
        <v>44681</v>
      </c>
      <c r="T3022" s="773" t="s">
        <v>132</v>
      </c>
      <c r="U3022" s="773">
        <v>232</v>
      </c>
      <c r="V3022" s="773">
        <v>4</v>
      </c>
      <c r="W3022" s="773" t="s">
        <v>410</v>
      </c>
    </row>
    <row r="3023" spans="19:23">
      <c r="S3023" s="27">
        <v>44316</v>
      </c>
      <c r="T3023" s="773" t="s">
        <v>132</v>
      </c>
      <c r="U3023" s="773">
        <v>311</v>
      </c>
      <c r="V3023" s="773">
        <v>2280</v>
      </c>
      <c r="W3023" s="773" t="s">
        <v>390</v>
      </c>
    </row>
    <row r="3024" spans="19:23">
      <c r="S3024" s="27">
        <v>44681</v>
      </c>
      <c r="T3024" s="773" t="s">
        <v>132</v>
      </c>
      <c r="U3024" s="773">
        <v>523</v>
      </c>
      <c r="V3024" s="773">
        <v>1</v>
      </c>
      <c r="W3024" s="773" t="s">
        <v>410</v>
      </c>
    </row>
    <row r="3025" spans="19:23">
      <c r="S3025" s="27">
        <v>44681</v>
      </c>
      <c r="T3025" s="773" t="s">
        <v>132</v>
      </c>
      <c r="U3025" s="773">
        <v>265</v>
      </c>
      <c r="V3025" s="773">
        <v>1376</v>
      </c>
      <c r="W3025" s="773" t="s">
        <v>390</v>
      </c>
    </row>
    <row r="3026" spans="19:23">
      <c r="S3026" s="27">
        <v>44681</v>
      </c>
      <c r="T3026" s="773" t="s">
        <v>132</v>
      </c>
      <c r="U3026" s="773">
        <v>150</v>
      </c>
      <c r="V3026" s="773">
        <v>349</v>
      </c>
      <c r="W3026" s="773" t="s">
        <v>390</v>
      </c>
    </row>
    <row r="3027" spans="19:23">
      <c r="S3027" s="27">
        <v>44316</v>
      </c>
      <c r="T3027" s="773" t="s">
        <v>132</v>
      </c>
      <c r="U3027" s="773">
        <v>265</v>
      </c>
      <c r="V3027" s="773">
        <v>1638</v>
      </c>
      <c r="W3027" s="773" t="s">
        <v>390</v>
      </c>
    </row>
    <row r="3028" spans="19:23">
      <c r="S3028" s="27">
        <v>44681</v>
      </c>
      <c r="T3028" s="773" t="s">
        <v>132</v>
      </c>
      <c r="U3028" s="773">
        <v>697</v>
      </c>
      <c r="V3028" s="773">
        <v>1440</v>
      </c>
      <c r="W3028" s="773" t="s">
        <v>390</v>
      </c>
    </row>
    <row r="3029" spans="19:23">
      <c r="S3029" s="27">
        <v>44681</v>
      </c>
      <c r="T3029" s="773" t="s">
        <v>132</v>
      </c>
      <c r="U3029" s="773">
        <v>231</v>
      </c>
      <c r="V3029" s="773">
        <v>2</v>
      </c>
      <c r="W3029" s="773" t="s">
        <v>410</v>
      </c>
    </row>
    <row r="3030" spans="19:23">
      <c r="S3030" s="27">
        <v>44681</v>
      </c>
      <c r="T3030" s="773" t="s">
        <v>132</v>
      </c>
      <c r="U3030" s="773">
        <v>292</v>
      </c>
      <c r="V3030" s="773">
        <v>4</v>
      </c>
      <c r="W3030" s="773" t="s">
        <v>410</v>
      </c>
    </row>
    <row r="3031" spans="19:23">
      <c r="S3031" s="27">
        <v>44681</v>
      </c>
      <c r="T3031" s="773" t="s">
        <v>132</v>
      </c>
      <c r="U3031" s="773">
        <v>230</v>
      </c>
      <c r="V3031" s="773">
        <v>1</v>
      </c>
      <c r="W3031" s="773" t="s">
        <v>410</v>
      </c>
    </row>
    <row r="3032" spans="19:23">
      <c r="S3032" s="27">
        <v>44316</v>
      </c>
      <c r="T3032" s="773" t="s">
        <v>132</v>
      </c>
      <c r="U3032" s="773">
        <v>182</v>
      </c>
      <c r="V3032" s="773">
        <v>929</v>
      </c>
      <c r="W3032" s="773" t="s">
        <v>390</v>
      </c>
    </row>
    <row r="3033" spans="19:23">
      <c r="S3033" s="27">
        <v>44316</v>
      </c>
      <c r="T3033" s="773" t="s">
        <v>132</v>
      </c>
      <c r="U3033" s="773">
        <v>305</v>
      </c>
      <c r="V3033" s="773">
        <v>3869</v>
      </c>
      <c r="W3033" s="773" t="s">
        <v>390</v>
      </c>
    </row>
    <row r="3034" spans="19:23">
      <c r="S3034" s="27">
        <v>44316</v>
      </c>
      <c r="T3034" s="773" t="s">
        <v>132</v>
      </c>
      <c r="U3034" s="773">
        <v>132</v>
      </c>
      <c r="V3034" s="773">
        <v>2666</v>
      </c>
      <c r="W3034" s="773" t="s">
        <v>390</v>
      </c>
    </row>
    <row r="3035" spans="19:23">
      <c r="S3035" s="27">
        <v>44316</v>
      </c>
      <c r="T3035" s="773" t="s">
        <v>132</v>
      </c>
      <c r="U3035" s="773">
        <v>102</v>
      </c>
      <c r="V3035" s="773">
        <v>2</v>
      </c>
      <c r="W3035" s="773" t="s">
        <v>410</v>
      </c>
    </row>
    <row r="3036" spans="19:23">
      <c r="S3036" s="27">
        <v>44316</v>
      </c>
      <c r="T3036" s="773" t="s">
        <v>132</v>
      </c>
      <c r="U3036" s="773">
        <v>668</v>
      </c>
      <c r="V3036" s="773">
        <v>9</v>
      </c>
      <c r="W3036" s="773" t="s">
        <v>410</v>
      </c>
    </row>
    <row r="3037" spans="19:23">
      <c r="S3037" s="27">
        <v>44681</v>
      </c>
      <c r="T3037" s="773" t="s">
        <v>132</v>
      </c>
      <c r="U3037" s="773">
        <v>182</v>
      </c>
      <c r="V3037" s="773">
        <v>180</v>
      </c>
      <c r="W3037" s="773" t="s">
        <v>390</v>
      </c>
    </row>
    <row r="3038" spans="19:23">
      <c r="S3038" s="27">
        <v>44316</v>
      </c>
      <c r="T3038" s="773" t="s">
        <v>132</v>
      </c>
      <c r="U3038" s="773">
        <v>264</v>
      </c>
      <c r="V3038" s="773">
        <v>946</v>
      </c>
      <c r="W3038" s="773" t="s">
        <v>390</v>
      </c>
    </row>
    <row r="3039" spans="19:23">
      <c r="S3039" s="27">
        <v>44681</v>
      </c>
      <c r="T3039" s="773" t="s">
        <v>132</v>
      </c>
      <c r="U3039" s="773">
        <v>672</v>
      </c>
      <c r="V3039" s="773">
        <v>2398</v>
      </c>
      <c r="W3039" s="773" t="s">
        <v>390</v>
      </c>
    </row>
    <row r="3040" spans="19:23">
      <c r="S3040" s="27">
        <v>44316</v>
      </c>
      <c r="T3040" s="773" t="s">
        <v>132</v>
      </c>
      <c r="U3040" s="773">
        <v>322</v>
      </c>
      <c r="V3040" s="773">
        <v>2058</v>
      </c>
      <c r="W3040" s="773" t="s">
        <v>390</v>
      </c>
    </row>
    <row r="3041" spans="19:23">
      <c r="S3041" s="27">
        <v>44681</v>
      </c>
      <c r="T3041" s="773" t="s">
        <v>132</v>
      </c>
      <c r="U3041" s="773">
        <v>87</v>
      </c>
      <c r="V3041" s="773">
        <v>1</v>
      </c>
      <c r="W3041" s="773" t="s">
        <v>410</v>
      </c>
    </row>
    <row r="3042" spans="19:23">
      <c r="S3042" s="27">
        <v>44681</v>
      </c>
      <c r="T3042" s="773" t="s">
        <v>132</v>
      </c>
      <c r="U3042" s="773">
        <v>240</v>
      </c>
      <c r="V3042" s="773">
        <v>3</v>
      </c>
      <c r="W3042" s="773" t="s">
        <v>410</v>
      </c>
    </row>
    <row r="3043" spans="19:23">
      <c r="S3043" s="27">
        <v>44316</v>
      </c>
      <c r="T3043" s="773" t="s">
        <v>132</v>
      </c>
      <c r="U3043" s="773">
        <v>691</v>
      </c>
      <c r="V3043" s="773">
        <v>2320</v>
      </c>
      <c r="W3043" s="773" t="s">
        <v>390</v>
      </c>
    </row>
    <row r="3044" spans="19:23">
      <c r="S3044" s="27">
        <v>44316</v>
      </c>
      <c r="T3044" s="773" t="s">
        <v>132</v>
      </c>
      <c r="U3044" s="773">
        <v>145</v>
      </c>
      <c r="V3044" s="773">
        <v>2</v>
      </c>
      <c r="W3044" s="773" t="s">
        <v>410</v>
      </c>
    </row>
    <row r="3045" spans="19:23">
      <c r="S3045" s="27">
        <v>44316</v>
      </c>
      <c r="T3045" s="773" t="s">
        <v>132</v>
      </c>
      <c r="U3045" s="773">
        <v>150</v>
      </c>
      <c r="V3045" s="773">
        <v>764</v>
      </c>
      <c r="W3045" s="773" t="s">
        <v>390</v>
      </c>
    </row>
    <row r="3046" spans="19:23">
      <c r="S3046" s="27">
        <v>44681</v>
      </c>
      <c r="T3046" s="773" t="s">
        <v>132</v>
      </c>
      <c r="U3046" s="773">
        <v>264</v>
      </c>
      <c r="V3046" s="773">
        <v>334</v>
      </c>
      <c r="W3046" s="773" t="s">
        <v>390</v>
      </c>
    </row>
    <row r="3047" spans="19:23">
      <c r="S3047" s="27">
        <v>44316</v>
      </c>
      <c r="T3047" s="773" t="s">
        <v>132</v>
      </c>
      <c r="U3047" s="773">
        <v>100</v>
      </c>
      <c r="V3047" s="773">
        <v>3</v>
      </c>
      <c r="W3047" s="773" t="s">
        <v>410</v>
      </c>
    </row>
    <row r="3048" spans="19:23">
      <c r="S3048" s="27">
        <v>44681</v>
      </c>
      <c r="T3048" s="773" t="s">
        <v>132</v>
      </c>
      <c r="U3048" s="773">
        <v>48</v>
      </c>
      <c r="V3048" s="773">
        <v>661</v>
      </c>
      <c r="W3048" s="773" t="s">
        <v>390</v>
      </c>
    </row>
    <row r="3049" spans="19:23">
      <c r="S3049" s="27">
        <v>44681</v>
      </c>
      <c r="T3049" s="773" t="s">
        <v>132</v>
      </c>
      <c r="U3049" s="773">
        <v>212</v>
      </c>
      <c r="V3049" s="773">
        <v>3573</v>
      </c>
      <c r="W3049" s="773" t="s">
        <v>390</v>
      </c>
    </row>
    <row r="3050" spans="19:23">
      <c r="S3050" s="27">
        <v>44681</v>
      </c>
      <c r="T3050" s="773" t="s">
        <v>132</v>
      </c>
      <c r="U3050" s="773">
        <v>325</v>
      </c>
      <c r="V3050" s="773">
        <v>2010</v>
      </c>
      <c r="W3050" s="773" t="s">
        <v>390</v>
      </c>
    </row>
    <row r="3051" spans="19:23">
      <c r="S3051" s="27">
        <v>44681</v>
      </c>
      <c r="T3051" s="773" t="s">
        <v>132</v>
      </c>
      <c r="U3051" s="773">
        <v>203</v>
      </c>
      <c r="V3051" s="773">
        <v>2703</v>
      </c>
      <c r="W3051" s="773" t="s">
        <v>390</v>
      </c>
    </row>
    <row r="3052" spans="19:23">
      <c r="S3052" s="27">
        <v>44681</v>
      </c>
      <c r="T3052" s="773" t="s">
        <v>132</v>
      </c>
      <c r="U3052" s="773">
        <v>43</v>
      </c>
      <c r="V3052" s="773">
        <v>1059</v>
      </c>
      <c r="W3052" s="773" t="s">
        <v>390</v>
      </c>
    </row>
    <row r="3053" spans="19:23">
      <c r="S3053" s="27">
        <v>44681</v>
      </c>
      <c r="T3053" s="773" t="s">
        <v>132</v>
      </c>
      <c r="U3053" s="773">
        <v>245</v>
      </c>
      <c r="V3053" s="773">
        <v>3328</v>
      </c>
      <c r="W3053" s="773" t="s">
        <v>390</v>
      </c>
    </row>
    <row r="3054" spans="19:23">
      <c r="S3054" s="27">
        <v>44681</v>
      </c>
      <c r="T3054" s="773" t="s">
        <v>132</v>
      </c>
      <c r="U3054" s="773">
        <v>694</v>
      </c>
      <c r="V3054" s="773">
        <v>1</v>
      </c>
      <c r="W3054" s="773" t="s">
        <v>410</v>
      </c>
    </row>
    <row r="3055" spans="19:23">
      <c r="S3055" s="27">
        <v>44681</v>
      </c>
      <c r="T3055" s="773" t="s">
        <v>132</v>
      </c>
      <c r="U3055" s="773">
        <v>318</v>
      </c>
      <c r="V3055" s="773">
        <v>2423</v>
      </c>
      <c r="W3055" s="773" t="s">
        <v>390</v>
      </c>
    </row>
    <row r="3056" spans="19:23">
      <c r="S3056" s="27">
        <v>44316</v>
      </c>
      <c r="T3056" s="773" t="s">
        <v>132</v>
      </c>
      <c r="U3056" s="773">
        <v>247</v>
      </c>
      <c r="V3056" s="773">
        <v>22</v>
      </c>
      <c r="W3056" s="773" t="s">
        <v>410</v>
      </c>
    </row>
    <row r="3057" spans="19:23">
      <c r="S3057" s="27">
        <v>44316</v>
      </c>
      <c r="T3057" s="773" t="s">
        <v>132</v>
      </c>
      <c r="U3057" s="773">
        <v>269</v>
      </c>
      <c r="V3057" s="773">
        <v>1</v>
      </c>
      <c r="W3057" s="773" t="s">
        <v>410</v>
      </c>
    </row>
    <row r="3058" spans="19:23">
      <c r="S3058" s="27">
        <v>44316</v>
      </c>
      <c r="T3058" s="773" t="s">
        <v>132</v>
      </c>
      <c r="U3058" s="773">
        <v>308</v>
      </c>
      <c r="V3058" s="773">
        <v>570</v>
      </c>
      <c r="W3058" s="773" t="s">
        <v>390</v>
      </c>
    </row>
    <row r="3059" spans="19:23">
      <c r="S3059" s="27">
        <v>44316</v>
      </c>
      <c r="T3059" s="773" t="s">
        <v>132</v>
      </c>
      <c r="U3059" s="773">
        <v>159</v>
      </c>
      <c r="V3059" s="773">
        <v>6</v>
      </c>
      <c r="W3059" s="773" t="s">
        <v>410</v>
      </c>
    </row>
    <row r="3060" spans="19:23">
      <c r="S3060" s="27">
        <v>44681</v>
      </c>
      <c r="T3060" s="773" t="s">
        <v>132</v>
      </c>
      <c r="U3060" s="773">
        <v>86</v>
      </c>
      <c r="V3060" s="773">
        <v>3</v>
      </c>
      <c r="W3060" s="773" t="s">
        <v>410</v>
      </c>
    </row>
    <row r="3061" spans="19:23">
      <c r="S3061" s="27">
        <v>44316</v>
      </c>
      <c r="T3061" s="773" t="s">
        <v>132</v>
      </c>
      <c r="U3061" s="773">
        <v>262</v>
      </c>
      <c r="V3061" s="773">
        <v>88</v>
      </c>
      <c r="W3061" s="773" t="s">
        <v>410</v>
      </c>
    </row>
    <row r="3062" spans="19:23">
      <c r="S3062" s="27">
        <v>44681</v>
      </c>
      <c r="T3062" s="773" t="s">
        <v>132</v>
      </c>
      <c r="U3062" s="773">
        <v>220</v>
      </c>
      <c r="V3062" s="773">
        <v>62</v>
      </c>
      <c r="W3062" s="773" t="s">
        <v>410</v>
      </c>
    </row>
    <row r="3063" spans="19:23">
      <c r="S3063" s="27">
        <v>44316</v>
      </c>
      <c r="T3063" s="773" t="s">
        <v>132</v>
      </c>
      <c r="U3063" s="773">
        <v>295</v>
      </c>
      <c r="V3063" s="773">
        <v>4</v>
      </c>
      <c r="W3063" s="773" t="s">
        <v>410</v>
      </c>
    </row>
    <row r="3064" spans="19:23">
      <c r="S3064" s="27">
        <v>44316</v>
      </c>
      <c r="T3064" s="773" t="s">
        <v>132</v>
      </c>
      <c r="U3064" s="773">
        <v>120</v>
      </c>
      <c r="V3064" s="773">
        <v>3</v>
      </c>
      <c r="W3064" s="773" t="s">
        <v>410</v>
      </c>
    </row>
    <row r="3065" spans="19:23">
      <c r="S3065" s="27">
        <v>44316</v>
      </c>
      <c r="T3065" s="773" t="s">
        <v>132</v>
      </c>
      <c r="U3065" s="773">
        <v>108</v>
      </c>
      <c r="V3065" s="773">
        <v>1</v>
      </c>
      <c r="W3065" s="773" t="s">
        <v>410</v>
      </c>
    </row>
    <row r="3066" spans="19:23">
      <c r="S3066" s="27">
        <v>44316</v>
      </c>
      <c r="T3066" s="773" t="s">
        <v>132</v>
      </c>
      <c r="U3066" s="773">
        <v>252</v>
      </c>
      <c r="V3066" s="773">
        <v>1257</v>
      </c>
      <c r="W3066" s="773" t="s">
        <v>390</v>
      </c>
    </row>
    <row r="3067" spans="19:23">
      <c r="S3067" s="27">
        <v>44316</v>
      </c>
      <c r="T3067" s="773" t="s">
        <v>132</v>
      </c>
      <c r="U3067" s="773">
        <v>139</v>
      </c>
      <c r="V3067" s="773">
        <v>2682</v>
      </c>
      <c r="W3067" s="773" t="s">
        <v>390</v>
      </c>
    </row>
    <row r="3068" spans="19:23">
      <c r="S3068" s="27">
        <v>44316</v>
      </c>
      <c r="T3068" s="773" t="s">
        <v>132</v>
      </c>
      <c r="U3068" s="773">
        <v>69</v>
      </c>
      <c r="V3068" s="773">
        <v>1</v>
      </c>
      <c r="W3068" s="773" t="s">
        <v>410</v>
      </c>
    </row>
    <row r="3069" spans="19:23">
      <c r="S3069" s="27">
        <v>44316</v>
      </c>
      <c r="T3069" s="773" t="s">
        <v>132</v>
      </c>
      <c r="U3069" s="773">
        <v>176</v>
      </c>
      <c r="V3069" s="773">
        <v>1</v>
      </c>
      <c r="W3069" s="773" t="s">
        <v>410</v>
      </c>
    </row>
    <row r="3070" spans="19:23">
      <c r="S3070" s="27">
        <v>44681</v>
      </c>
      <c r="T3070" s="773" t="s">
        <v>132</v>
      </c>
      <c r="U3070" s="773">
        <v>654</v>
      </c>
      <c r="V3070" s="773">
        <v>1119</v>
      </c>
      <c r="W3070" s="773" t="s">
        <v>390</v>
      </c>
    </row>
    <row r="3071" spans="19:23">
      <c r="S3071" s="27">
        <v>44681</v>
      </c>
      <c r="T3071" s="773" t="s">
        <v>132</v>
      </c>
      <c r="U3071" s="773">
        <v>294</v>
      </c>
      <c r="V3071" s="773">
        <v>3</v>
      </c>
      <c r="W3071" s="773" t="s">
        <v>410</v>
      </c>
    </row>
    <row r="3072" spans="19:23">
      <c r="S3072" s="27">
        <v>44316</v>
      </c>
      <c r="T3072" s="773" t="s">
        <v>132</v>
      </c>
      <c r="U3072" s="773">
        <v>681</v>
      </c>
      <c r="V3072" s="773">
        <v>836</v>
      </c>
      <c r="W3072" s="773" t="s">
        <v>390</v>
      </c>
    </row>
    <row r="3073" spans="19:23">
      <c r="S3073" s="27">
        <v>44681</v>
      </c>
      <c r="T3073" s="773" t="s">
        <v>132</v>
      </c>
      <c r="U3073" s="773">
        <v>681</v>
      </c>
      <c r="V3073" s="773">
        <v>678</v>
      </c>
      <c r="W3073" s="773" t="s">
        <v>390</v>
      </c>
    </row>
    <row r="3074" spans="19:23">
      <c r="S3074" s="27">
        <v>44681</v>
      </c>
      <c r="T3074" s="773" t="s">
        <v>132</v>
      </c>
      <c r="U3074" s="773">
        <v>52</v>
      </c>
      <c r="V3074" s="773">
        <v>3</v>
      </c>
      <c r="W3074" s="773" t="s">
        <v>410</v>
      </c>
    </row>
    <row r="3075" spans="19:23">
      <c r="S3075" s="27">
        <v>44681</v>
      </c>
      <c r="T3075" s="773" t="s">
        <v>132</v>
      </c>
      <c r="U3075" s="773">
        <v>79</v>
      </c>
      <c r="V3075" s="773">
        <v>4</v>
      </c>
      <c r="W3075" s="773" t="s">
        <v>410</v>
      </c>
    </row>
    <row r="3076" spans="19:23">
      <c r="S3076" s="27">
        <v>44681</v>
      </c>
      <c r="T3076" s="773" t="s">
        <v>132</v>
      </c>
      <c r="U3076" s="773">
        <v>77</v>
      </c>
      <c r="V3076" s="773">
        <v>3572</v>
      </c>
      <c r="W3076" s="773" t="s">
        <v>390</v>
      </c>
    </row>
    <row r="3077" spans="19:23">
      <c r="S3077" s="27">
        <v>44681</v>
      </c>
      <c r="T3077" s="773" t="s">
        <v>132</v>
      </c>
      <c r="U3077" s="773">
        <v>636</v>
      </c>
      <c r="V3077" s="773">
        <v>3</v>
      </c>
      <c r="W3077" s="773" t="s">
        <v>410</v>
      </c>
    </row>
    <row r="3078" spans="19:23">
      <c r="S3078" s="27">
        <v>44316</v>
      </c>
      <c r="T3078" s="773" t="s">
        <v>132</v>
      </c>
      <c r="U3078" s="773">
        <v>58</v>
      </c>
      <c r="V3078" s="773">
        <v>3</v>
      </c>
      <c r="W3078" s="773" t="s">
        <v>410</v>
      </c>
    </row>
    <row r="3079" spans="19:23">
      <c r="S3079" s="27">
        <v>44316</v>
      </c>
      <c r="T3079" s="773" t="s">
        <v>132</v>
      </c>
      <c r="U3079" s="773">
        <v>658</v>
      </c>
      <c r="V3079" s="773">
        <v>2879</v>
      </c>
      <c r="W3079" s="773" t="s">
        <v>390</v>
      </c>
    </row>
    <row r="3080" spans="19:23">
      <c r="S3080" s="27">
        <v>44681</v>
      </c>
      <c r="T3080" s="773" t="s">
        <v>132</v>
      </c>
      <c r="U3080" s="773">
        <v>129</v>
      </c>
      <c r="V3080" s="773">
        <v>1</v>
      </c>
      <c r="W3080" s="773" t="s">
        <v>410</v>
      </c>
    </row>
    <row r="3081" spans="19:23">
      <c r="S3081" s="27">
        <v>44681</v>
      </c>
      <c r="T3081" s="773" t="s">
        <v>132</v>
      </c>
      <c r="U3081" s="773">
        <v>679</v>
      </c>
      <c r="V3081" s="773">
        <v>1</v>
      </c>
      <c r="W3081" s="773" t="s">
        <v>410</v>
      </c>
    </row>
    <row r="3082" spans="19:23">
      <c r="S3082" s="27">
        <v>44316</v>
      </c>
      <c r="T3082" s="773" t="s">
        <v>132</v>
      </c>
      <c r="U3082" s="773">
        <v>318</v>
      </c>
      <c r="V3082" s="773">
        <v>1971</v>
      </c>
      <c r="W3082" s="773" t="s">
        <v>390</v>
      </c>
    </row>
    <row r="3083" spans="19:23">
      <c r="S3083" s="27">
        <v>44316</v>
      </c>
      <c r="T3083" s="773" t="s">
        <v>132</v>
      </c>
      <c r="U3083" s="773">
        <v>43</v>
      </c>
      <c r="V3083" s="773">
        <v>3027</v>
      </c>
      <c r="W3083" s="773" t="s">
        <v>390</v>
      </c>
    </row>
    <row r="3084" spans="19:23">
      <c r="S3084" s="27">
        <v>44681</v>
      </c>
      <c r="T3084" s="773" t="s">
        <v>132</v>
      </c>
      <c r="U3084" s="773">
        <v>329</v>
      </c>
      <c r="V3084" s="773">
        <v>4237</v>
      </c>
      <c r="W3084" s="773" t="s">
        <v>390</v>
      </c>
    </row>
    <row r="3085" spans="19:23">
      <c r="S3085" s="27">
        <v>44316</v>
      </c>
      <c r="T3085" s="773" t="s">
        <v>132</v>
      </c>
      <c r="U3085" s="773">
        <v>672</v>
      </c>
      <c r="V3085" s="773">
        <v>2284</v>
      </c>
      <c r="W3085" s="773" t="s">
        <v>390</v>
      </c>
    </row>
    <row r="3086" spans="19:23">
      <c r="S3086" s="27">
        <v>44681</v>
      </c>
      <c r="T3086" s="773" t="s">
        <v>132</v>
      </c>
      <c r="U3086" s="773">
        <v>680</v>
      </c>
      <c r="V3086" s="773">
        <v>3087</v>
      </c>
      <c r="W3086" s="773" t="s">
        <v>390</v>
      </c>
    </row>
    <row r="3087" spans="19:23">
      <c r="S3087" s="27">
        <v>44316</v>
      </c>
      <c r="T3087" s="773" t="s">
        <v>132</v>
      </c>
      <c r="U3087" s="773">
        <v>279</v>
      </c>
      <c r="V3087" s="773">
        <v>3967</v>
      </c>
      <c r="W3087" s="773" t="s">
        <v>390</v>
      </c>
    </row>
    <row r="3088" spans="19:23">
      <c r="S3088" s="27">
        <v>44316</v>
      </c>
      <c r="T3088" s="773" t="s">
        <v>132</v>
      </c>
      <c r="U3088" s="773">
        <v>66</v>
      </c>
      <c r="V3088" s="773">
        <v>5</v>
      </c>
      <c r="W3088" s="773" t="s">
        <v>410</v>
      </c>
    </row>
    <row r="3089" spans="19:23">
      <c r="S3089" s="27">
        <v>44316</v>
      </c>
      <c r="T3089" s="773" t="s">
        <v>132</v>
      </c>
      <c r="U3089" s="773">
        <v>293</v>
      </c>
      <c r="V3089" s="773">
        <v>524</v>
      </c>
      <c r="W3089" s="773" t="s">
        <v>390</v>
      </c>
    </row>
    <row r="3090" spans="19:23">
      <c r="S3090" s="27">
        <v>44681</v>
      </c>
      <c r="T3090" s="773" t="s">
        <v>132</v>
      </c>
      <c r="U3090" s="773">
        <v>279</v>
      </c>
      <c r="V3090" s="773">
        <v>14</v>
      </c>
      <c r="W3090" s="773" t="s">
        <v>410</v>
      </c>
    </row>
    <row r="3091" spans="19:23">
      <c r="S3091" s="27">
        <v>44316</v>
      </c>
      <c r="T3091" s="773" t="s">
        <v>132</v>
      </c>
      <c r="U3091" s="773">
        <v>674</v>
      </c>
      <c r="V3091" s="773">
        <v>13</v>
      </c>
      <c r="W3091" s="773" t="s">
        <v>410</v>
      </c>
    </row>
    <row r="3092" spans="19:23">
      <c r="S3092" s="27">
        <v>44681</v>
      </c>
      <c r="T3092" s="773" t="s">
        <v>132</v>
      </c>
      <c r="U3092" s="773">
        <v>266</v>
      </c>
      <c r="V3092" s="773">
        <v>2627</v>
      </c>
      <c r="W3092" s="773" t="s">
        <v>390</v>
      </c>
    </row>
    <row r="3093" spans="19:23">
      <c r="S3093" s="27">
        <v>44681</v>
      </c>
      <c r="T3093" s="773" t="s">
        <v>132</v>
      </c>
      <c r="U3093" s="773">
        <v>108</v>
      </c>
      <c r="V3093" s="773">
        <v>1</v>
      </c>
      <c r="W3093" s="773" t="s">
        <v>410</v>
      </c>
    </row>
    <row r="3094" spans="19:23">
      <c r="S3094" s="27">
        <v>44681</v>
      </c>
      <c r="T3094" s="773" t="s">
        <v>132</v>
      </c>
      <c r="U3094" s="773">
        <v>306</v>
      </c>
      <c r="V3094" s="773">
        <v>2406</v>
      </c>
      <c r="W3094" s="773" t="s">
        <v>390</v>
      </c>
    </row>
    <row r="3095" spans="19:23">
      <c r="S3095" s="27">
        <v>44316</v>
      </c>
      <c r="T3095" s="773" t="s">
        <v>132</v>
      </c>
      <c r="U3095" s="773">
        <v>149</v>
      </c>
      <c r="V3095" s="773">
        <v>2</v>
      </c>
      <c r="W3095" s="773" t="s">
        <v>410</v>
      </c>
    </row>
    <row r="3096" spans="19:23">
      <c r="S3096" s="27">
        <v>44316</v>
      </c>
      <c r="T3096" s="773" t="s">
        <v>132</v>
      </c>
      <c r="U3096" s="773">
        <v>664</v>
      </c>
      <c r="V3096" s="773">
        <v>2108</v>
      </c>
      <c r="W3096" s="773" t="s">
        <v>390</v>
      </c>
    </row>
    <row r="3097" spans="19:23">
      <c r="S3097" s="27">
        <v>44316</v>
      </c>
      <c r="T3097" s="773" t="s">
        <v>132</v>
      </c>
      <c r="U3097" s="773">
        <v>528</v>
      </c>
      <c r="V3097" s="773">
        <v>712</v>
      </c>
      <c r="W3097" s="773" t="s">
        <v>390</v>
      </c>
    </row>
    <row r="3098" spans="19:23">
      <c r="S3098" s="27">
        <v>44681</v>
      </c>
      <c r="T3098" s="773" t="s">
        <v>132</v>
      </c>
      <c r="U3098" s="773">
        <v>687</v>
      </c>
      <c r="V3098" s="773">
        <v>2953</v>
      </c>
      <c r="W3098" s="773" t="s">
        <v>390</v>
      </c>
    </row>
    <row r="3099" spans="19:23">
      <c r="S3099" s="27">
        <v>44316</v>
      </c>
      <c r="T3099" s="773" t="s">
        <v>132</v>
      </c>
      <c r="U3099" s="773">
        <v>181</v>
      </c>
      <c r="V3099" s="773">
        <v>1</v>
      </c>
      <c r="W3099" s="773" t="s">
        <v>410</v>
      </c>
    </row>
    <row r="3100" spans="19:23">
      <c r="S3100" s="27">
        <v>44681</v>
      </c>
      <c r="T3100" s="773" t="s">
        <v>132</v>
      </c>
      <c r="U3100" s="773">
        <v>670</v>
      </c>
      <c r="V3100" s="773">
        <v>2656</v>
      </c>
      <c r="W3100" s="773" t="s">
        <v>390</v>
      </c>
    </row>
    <row r="3101" spans="19:23">
      <c r="S3101" s="27">
        <v>44316</v>
      </c>
      <c r="T3101" s="773" t="s">
        <v>132</v>
      </c>
      <c r="U3101" s="773">
        <v>319</v>
      </c>
      <c r="V3101" s="773">
        <v>1739</v>
      </c>
      <c r="W3101" s="773" t="s">
        <v>390</v>
      </c>
    </row>
    <row r="3102" spans="19:23">
      <c r="S3102" s="27">
        <v>44681</v>
      </c>
      <c r="T3102" s="773" t="s">
        <v>132</v>
      </c>
      <c r="U3102" s="773">
        <v>666</v>
      </c>
      <c r="V3102" s="773">
        <v>1539</v>
      </c>
      <c r="W3102" s="773" t="s">
        <v>390</v>
      </c>
    </row>
    <row r="3103" spans="19:23">
      <c r="S3103" s="27">
        <v>44316</v>
      </c>
      <c r="T3103" s="773" t="s">
        <v>132</v>
      </c>
      <c r="U3103" s="773">
        <v>158</v>
      </c>
      <c r="V3103" s="773">
        <v>62</v>
      </c>
      <c r="W3103" s="773" t="s">
        <v>410</v>
      </c>
    </row>
    <row r="3104" spans="19:23">
      <c r="S3104" s="27">
        <v>44681</v>
      </c>
      <c r="T3104" s="773" t="s">
        <v>132</v>
      </c>
      <c r="U3104" s="773">
        <v>257</v>
      </c>
      <c r="V3104" s="773">
        <v>3223</v>
      </c>
      <c r="W3104" s="773" t="s">
        <v>390</v>
      </c>
    </row>
    <row r="3105" spans="19:23">
      <c r="S3105" s="27">
        <v>44316</v>
      </c>
      <c r="T3105" s="773" t="s">
        <v>132</v>
      </c>
      <c r="U3105" s="773">
        <v>231</v>
      </c>
      <c r="V3105" s="773">
        <v>5</v>
      </c>
      <c r="W3105" s="773" t="s">
        <v>410</v>
      </c>
    </row>
    <row r="3106" spans="19:23">
      <c r="S3106" s="27">
        <v>44316</v>
      </c>
      <c r="T3106" s="773" t="s">
        <v>132</v>
      </c>
      <c r="U3106" s="773">
        <v>148</v>
      </c>
      <c r="V3106" s="773">
        <v>1</v>
      </c>
      <c r="W3106" s="773" t="s">
        <v>410</v>
      </c>
    </row>
    <row r="3107" spans="19:23">
      <c r="S3107" s="27">
        <v>44681</v>
      </c>
      <c r="T3107" s="773" t="s">
        <v>132</v>
      </c>
      <c r="U3107" s="773">
        <v>641</v>
      </c>
      <c r="V3107" s="773">
        <v>2345</v>
      </c>
      <c r="W3107" s="773" t="s">
        <v>390</v>
      </c>
    </row>
    <row r="3108" spans="19:23">
      <c r="S3108" s="27">
        <v>44316</v>
      </c>
      <c r="T3108" s="773" t="s">
        <v>132</v>
      </c>
      <c r="U3108" s="773">
        <v>698</v>
      </c>
      <c r="V3108" s="773">
        <v>2515</v>
      </c>
      <c r="W3108" s="773" t="s">
        <v>390</v>
      </c>
    </row>
    <row r="3109" spans="19:23">
      <c r="S3109" s="27">
        <v>44681</v>
      </c>
      <c r="T3109" s="773" t="s">
        <v>132</v>
      </c>
      <c r="U3109" s="773">
        <v>621</v>
      </c>
      <c r="V3109" s="773">
        <v>2457</v>
      </c>
      <c r="W3109" s="773" t="s">
        <v>390</v>
      </c>
    </row>
    <row r="3110" spans="19:23">
      <c r="S3110" s="27">
        <v>44316</v>
      </c>
      <c r="T3110" s="773" t="s">
        <v>132</v>
      </c>
      <c r="U3110" s="773">
        <v>204</v>
      </c>
      <c r="V3110" s="773">
        <v>20</v>
      </c>
      <c r="W3110" s="773" t="s">
        <v>410</v>
      </c>
    </row>
    <row r="3111" spans="19:23">
      <c r="S3111" s="27">
        <v>44316</v>
      </c>
      <c r="T3111" s="773" t="s">
        <v>132</v>
      </c>
      <c r="U3111" s="773">
        <v>191</v>
      </c>
      <c r="V3111" s="773">
        <v>1985</v>
      </c>
      <c r="W3111" s="773" t="s">
        <v>390</v>
      </c>
    </row>
    <row r="3112" spans="19:23">
      <c r="S3112" s="27">
        <v>44681</v>
      </c>
      <c r="T3112" s="773" t="s">
        <v>132</v>
      </c>
      <c r="U3112" s="773">
        <v>324</v>
      </c>
      <c r="V3112" s="773">
        <v>1758</v>
      </c>
      <c r="W3112" s="773" t="s">
        <v>390</v>
      </c>
    </row>
    <row r="3113" spans="19:23">
      <c r="S3113" s="27">
        <v>44681</v>
      </c>
      <c r="T3113" s="773" t="s">
        <v>132</v>
      </c>
      <c r="U3113" s="773">
        <v>660</v>
      </c>
      <c r="V3113" s="773">
        <v>1</v>
      </c>
      <c r="W3113" s="773" t="s">
        <v>410</v>
      </c>
    </row>
    <row r="3114" spans="19:23">
      <c r="S3114" s="27">
        <v>44681</v>
      </c>
      <c r="T3114" s="773" t="s">
        <v>132</v>
      </c>
      <c r="U3114" s="773">
        <v>64</v>
      </c>
      <c r="V3114" s="773">
        <v>1</v>
      </c>
      <c r="W3114" s="773" t="s">
        <v>410</v>
      </c>
    </row>
    <row r="3115" spans="19:23">
      <c r="S3115" s="27">
        <v>44681</v>
      </c>
      <c r="T3115" s="773" t="s">
        <v>132</v>
      </c>
      <c r="U3115" s="773">
        <v>296</v>
      </c>
      <c r="V3115" s="773">
        <v>2472</v>
      </c>
      <c r="W3115" s="773" t="s">
        <v>390</v>
      </c>
    </row>
    <row r="3116" spans="19:23">
      <c r="S3116" s="27">
        <v>44316</v>
      </c>
      <c r="T3116" s="773" t="s">
        <v>132</v>
      </c>
      <c r="U3116" s="773">
        <v>652</v>
      </c>
      <c r="V3116" s="773">
        <v>2598</v>
      </c>
      <c r="W3116" s="773" t="s">
        <v>390</v>
      </c>
    </row>
    <row r="3117" spans="19:23">
      <c r="S3117" s="27">
        <v>44316</v>
      </c>
      <c r="T3117" s="773" t="s">
        <v>132</v>
      </c>
      <c r="U3117" s="773">
        <v>237</v>
      </c>
      <c r="V3117" s="773">
        <v>30</v>
      </c>
      <c r="W3117" s="773" t="s">
        <v>410</v>
      </c>
    </row>
    <row r="3118" spans="19:23">
      <c r="S3118" s="27">
        <v>44316</v>
      </c>
      <c r="T3118" s="773" t="s">
        <v>132</v>
      </c>
      <c r="U3118" s="773">
        <v>195</v>
      </c>
      <c r="V3118" s="773">
        <v>1</v>
      </c>
      <c r="W3118" s="773" t="s">
        <v>410</v>
      </c>
    </row>
    <row r="3119" spans="19:23">
      <c r="S3119" s="27">
        <v>44681</v>
      </c>
      <c r="T3119" s="773" t="s">
        <v>132</v>
      </c>
      <c r="U3119" s="773">
        <v>275</v>
      </c>
      <c r="V3119" s="773">
        <v>11</v>
      </c>
      <c r="W3119" s="773" t="s">
        <v>410</v>
      </c>
    </row>
    <row r="3120" spans="19:23">
      <c r="S3120" s="27">
        <v>44681</v>
      </c>
      <c r="T3120" s="773" t="s">
        <v>132</v>
      </c>
      <c r="U3120" s="773">
        <v>304</v>
      </c>
      <c r="V3120" s="773">
        <v>103</v>
      </c>
      <c r="W3120" s="773" t="s">
        <v>390</v>
      </c>
    </row>
    <row r="3121" spans="19:23">
      <c r="S3121" s="27">
        <v>44681</v>
      </c>
      <c r="T3121" s="773" t="s">
        <v>132</v>
      </c>
      <c r="U3121" s="773">
        <v>297</v>
      </c>
      <c r="V3121" s="773">
        <v>731</v>
      </c>
      <c r="W3121" s="773" t="s">
        <v>390</v>
      </c>
    </row>
    <row r="3122" spans="19:23">
      <c r="S3122" s="27">
        <v>44316</v>
      </c>
      <c r="T3122" s="773" t="s">
        <v>132</v>
      </c>
      <c r="U3122" s="773">
        <v>367</v>
      </c>
      <c r="V3122" s="773">
        <v>7</v>
      </c>
      <c r="W3122" s="773" t="s">
        <v>410</v>
      </c>
    </row>
    <row r="3123" spans="19:23">
      <c r="S3123" s="27">
        <v>44316</v>
      </c>
      <c r="T3123" s="773" t="s">
        <v>132</v>
      </c>
      <c r="U3123" s="773">
        <v>239</v>
      </c>
      <c r="V3123" s="773">
        <v>3426</v>
      </c>
      <c r="W3123" s="773" t="s">
        <v>390</v>
      </c>
    </row>
    <row r="3124" spans="19:23">
      <c r="S3124" s="27">
        <v>44316</v>
      </c>
      <c r="T3124" s="773" t="s">
        <v>132</v>
      </c>
      <c r="U3124" s="773">
        <v>97</v>
      </c>
      <c r="V3124" s="773">
        <v>2</v>
      </c>
      <c r="W3124" s="773" t="s">
        <v>410</v>
      </c>
    </row>
    <row r="3125" spans="19:23">
      <c r="S3125" s="27">
        <v>44316</v>
      </c>
      <c r="T3125" s="773" t="s">
        <v>132</v>
      </c>
      <c r="U3125" s="773">
        <v>63</v>
      </c>
      <c r="V3125" s="773">
        <v>1</v>
      </c>
      <c r="W3125" s="773" t="s">
        <v>410</v>
      </c>
    </row>
    <row r="3126" spans="19:23">
      <c r="S3126" s="27">
        <v>44681</v>
      </c>
      <c r="T3126" s="773" t="s">
        <v>132</v>
      </c>
      <c r="U3126" s="773">
        <v>669</v>
      </c>
      <c r="V3126" s="773">
        <v>3059</v>
      </c>
      <c r="W3126" s="773" t="s">
        <v>390</v>
      </c>
    </row>
    <row r="3127" spans="19:23">
      <c r="S3127" s="27">
        <v>44316</v>
      </c>
      <c r="T3127" s="773" t="s">
        <v>132</v>
      </c>
      <c r="U3127" s="773">
        <v>686</v>
      </c>
      <c r="V3127" s="773">
        <v>2223</v>
      </c>
      <c r="W3127" s="773" t="s">
        <v>390</v>
      </c>
    </row>
    <row r="3128" spans="19:23">
      <c r="S3128" s="27">
        <v>44316</v>
      </c>
      <c r="T3128" s="773" t="s">
        <v>132</v>
      </c>
      <c r="U3128" s="773">
        <v>220</v>
      </c>
      <c r="V3128" s="773">
        <v>92</v>
      </c>
      <c r="W3128" s="773" t="s">
        <v>410</v>
      </c>
    </row>
    <row r="3129" spans="19:23">
      <c r="S3129" s="27">
        <v>44316</v>
      </c>
      <c r="T3129" s="773" t="s">
        <v>132</v>
      </c>
      <c r="U3129" s="773">
        <v>44</v>
      </c>
      <c r="V3129" s="773">
        <v>3101</v>
      </c>
      <c r="W3129" s="773" t="s">
        <v>390</v>
      </c>
    </row>
    <row r="3130" spans="19:23">
      <c r="S3130" s="27">
        <v>44681</v>
      </c>
      <c r="T3130" s="773" t="s">
        <v>132</v>
      </c>
      <c r="U3130" s="773">
        <v>243</v>
      </c>
      <c r="V3130" s="773">
        <v>353</v>
      </c>
      <c r="W3130" s="773" t="s">
        <v>390</v>
      </c>
    </row>
    <row r="3131" spans="19:23">
      <c r="S3131" s="27">
        <v>44681</v>
      </c>
      <c r="T3131" s="773" t="s">
        <v>132</v>
      </c>
      <c r="U3131" s="773">
        <v>13</v>
      </c>
      <c r="V3131" s="773">
        <v>2858</v>
      </c>
      <c r="W3131" s="773" t="s">
        <v>390</v>
      </c>
    </row>
    <row r="3132" spans="19:23">
      <c r="S3132" s="27">
        <v>44316</v>
      </c>
      <c r="T3132" s="773" t="s">
        <v>132</v>
      </c>
      <c r="U3132" s="773">
        <v>53</v>
      </c>
      <c r="V3132" s="773">
        <v>1</v>
      </c>
      <c r="W3132" s="773" t="s">
        <v>410</v>
      </c>
    </row>
    <row r="3133" spans="19:23">
      <c r="S3133" s="27">
        <v>44316</v>
      </c>
      <c r="T3133" s="773" t="s">
        <v>132</v>
      </c>
      <c r="U3133" s="773">
        <v>77</v>
      </c>
      <c r="V3133" s="773">
        <v>3303</v>
      </c>
      <c r="W3133" s="773" t="s">
        <v>390</v>
      </c>
    </row>
    <row r="3134" spans="19:23">
      <c r="S3134" s="27">
        <v>44316</v>
      </c>
      <c r="T3134" s="773" t="s">
        <v>132</v>
      </c>
      <c r="U3134" s="773">
        <v>94</v>
      </c>
      <c r="V3134" s="773">
        <v>50</v>
      </c>
      <c r="W3134" s="773" t="s">
        <v>410</v>
      </c>
    </row>
    <row r="3135" spans="19:23">
      <c r="S3135" s="27">
        <v>44316</v>
      </c>
      <c r="T3135" s="773" t="s">
        <v>132</v>
      </c>
      <c r="U3135" s="773">
        <v>266</v>
      </c>
      <c r="V3135" s="773">
        <v>2258</v>
      </c>
      <c r="W3135" s="773" t="s">
        <v>390</v>
      </c>
    </row>
    <row r="3136" spans="19:23">
      <c r="S3136" s="27">
        <v>44316</v>
      </c>
      <c r="T3136" s="773" t="s">
        <v>132</v>
      </c>
      <c r="U3136" s="773">
        <v>173</v>
      </c>
      <c r="V3136" s="773">
        <v>1</v>
      </c>
      <c r="W3136" s="773" t="s">
        <v>410</v>
      </c>
    </row>
    <row r="3137" spans="19:23">
      <c r="S3137" s="27">
        <v>44316</v>
      </c>
      <c r="T3137" s="773" t="s">
        <v>132</v>
      </c>
      <c r="U3137" s="773">
        <v>650</v>
      </c>
      <c r="V3137" s="773">
        <v>122</v>
      </c>
      <c r="W3137" s="773" t="s">
        <v>390</v>
      </c>
    </row>
    <row r="3138" spans="19:23">
      <c r="S3138" s="27">
        <v>44681</v>
      </c>
      <c r="T3138" s="773" t="s">
        <v>132</v>
      </c>
      <c r="U3138" s="773">
        <v>667</v>
      </c>
      <c r="V3138" s="773">
        <v>2</v>
      </c>
      <c r="W3138" s="773" t="s">
        <v>410</v>
      </c>
    </row>
    <row r="3139" spans="19:23">
      <c r="S3139" s="27">
        <v>44316</v>
      </c>
      <c r="T3139" s="773" t="s">
        <v>132</v>
      </c>
      <c r="U3139" s="773">
        <v>141</v>
      </c>
      <c r="V3139" s="773">
        <v>6</v>
      </c>
      <c r="W3139" s="773" t="s">
        <v>410</v>
      </c>
    </row>
    <row r="3140" spans="19:23">
      <c r="S3140" s="27">
        <v>44681</v>
      </c>
      <c r="T3140" s="773" t="s">
        <v>132</v>
      </c>
      <c r="U3140" s="773">
        <v>290</v>
      </c>
      <c r="V3140" s="773">
        <v>576</v>
      </c>
      <c r="W3140" s="773" t="s">
        <v>390</v>
      </c>
    </row>
    <row r="3141" spans="19:23">
      <c r="S3141" s="27">
        <v>44681</v>
      </c>
      <c r="T3141" s="773" t="s">
        <v>132</v>
      </c>
      <c r="U3141" s="773">
        <v>157</v>
      </c>
      <c r="V3141" s="773">
        <v>1</v>
      </c>
      <c r="W3141" s="773" t="s">
        <v>410</v>
      </c>
    </row>
    <row r="3142" spans="19:23">
      <c r="S3142" s="27">
        <v>44316</v>
      </c>
      <c r="T3142" s="773" t="s">
        <v>132</v>
      </c>
      <c r="U3142" s="773">
        <v>78</v>
      </c>
      <c r="V3142" s="773">
        <v>3</v>
      </c>
      <c r="W3142" s="773" t="s">
        <v>410</v>
      </c>
    </row>
    <row r="3143" spans="19:23">
      <c r="S3143" s="27">
        <v>44316</v>
      </c>
      <c r="T3143" s="773" t="s">
        <v>132</v>
      </c>
      <c r="U3143" s="773">
        <v>111</v>
      </c>
      <c r="V3143" s="773">
        <v>1</v>
      </c>
      <c r="W3143" s="773" t="s">
        <v>410</v>
      </c>
    </row>
    <row r="3144" spans="19:23">
      <c r="S3144" s="27">
        <v>44316</v>
      </c>
      <c r="T3144" s="773" t="s">
        <v>132</v>
      </c>
      <c r="U3144" s="773">
        <v>153</v>
      </c>
      <c r="V3144" s="773">
        <v>2148</v>
      </c>
      <c r="W3144" s="773" t="s">
        <v>390</v>
      </c>
    </row>
    <row r="3145" spans="19:23">
      <c r="S3145" s="27">
        <v>44681</v>
      </c>
      <c r="T3145" s="773" t="s">
        <v>132</v>
      </c>
      <c r="U3145" s="773">
        <v>308</v>
      </c>
      <c r="V3145" s="773">
        <v>2151</v>
      </c>
      <c r="W3145" s="773" t="s">
        <v>390</v>
      </c>
    </row>
    <row r="3146" spans="19:23">
      <c r="S3146" s="27">
        <v>44681</v>
      </c>
      <c r="T3146" s="773" t="s">
        <v>132</v>
      </c>
      <c r="U3146" s="773">
        <v>698</v>
      </c>
      <c r="V3146" s="773">
        <v>3090</v>
      </c>
      <c r="W3146" s="773" t="s">
        <v>390</v>
      </c>
    </row>
    <row r="3147" spans="19:23">
      <c r="S3147" s="27">
        <v>44316</v>
      </c>
      <c r="T3147" s="773" t="s">
        <v>132</v>
      </c>
      <c r="U3147" s="773">
        <v>250</v>
      </c>
      <c r="V3147" s="773">
        <v>2</v>
      </c>
      <c r="W3147" s="773" t="s">
        <v>410</v>
      </c>
    </row>
    <row r="3148" spans="19:23">
      <c r="S3148" s="27">
        <v>44681</v>
      </c>
      <c r="T3148" s="773" t="s">
        <v>132</v>
      </c>
      <c r="U3148" s="773">
        <v>103</v>
      </c>
      <c r="V3148" s="773">
        <v>3452</v>
      </c>
      <c r="W3148" s="773" t="s">
        <v>390</v>
      </c>
    </row>
    <row r="3149" spans="19:23">
      <c r="S3149" s="27">
        <v>44681</v>
      </c>
      <c r="T3149" s="773" t="s">
        <v>132</v>
      </c>
      <c r="U3149" s="773">
        <v>311</v>
      </c>
      <c r="V3149" s="773">
        <v>2500</v>
      </c>
      <c r="W3149" s="773" t="s">
        <v>390</v>
      </c>
    </row>
    <row r="3150" spans="19:23">
      <c r="S3150" s="27">
        <v>44316</v>
      </c>
      <c r="T3150" s="773" t="s">
        <v>132</v>
      </c>
      <c r="U3150" s="773">
        <v>79</v>
      </c>
      <c r="V3150" s="773">
        <v>4</v>
      </c>
      <c r="W3150" s="773" t="s">
        <v>410</v>
      </c>
    </row>
    <row r="3151" spans="19:23">
      <c r="S3151" s="27">
        <v>44316</v>
      </c>
      <c r="T3151" s="773" t="s">
        <v>132</v>
      </c>
      <c r="U3151" s="773">
        <v>245</v>
      </c>
      <c r="V3151" s="773">
        <v>2365</v>
      </c>
      <c r="W3151" s="773" t="s">
        <v>390</v>
      </c>
    </row>
    <row r="3152" spans="19:23">
      <c r="S3152" s="27">
        <v>44681</v>
      </c>
      <c r="T3152" s="773" t="s">
        <v>132</v>
      </c>
      <c r="U3152" s="773">
        <v>98</v>
      </c>
      <c r="V3152" s="773">
        <v>33</v>
      </c>
      <c r="W3152" s="773" t="s">
        <v>410</v>
      </c>
    </row>
    <row r="3153" spans="19:23">
      <c r="S3153" s="27">
        <v>44681</v>
      </c>
      <c r="T3153" s="773" t="s">
        <v>132</v>
      </c>
      <c r="U3153" s="773">
        <v>218</v>
      </c>
      <c r="V3153" s="773">
        <v>138</v>
      </c>
      <c r="W3153" s="773" t="s">
        <v>390</v>
      </c>
    </row>
    <row r="3154" spans="19:23">
      <c r="S3154" s="27">
        <v>44681</v>
      </c>
      <c r="T3154" s="773" t="s">
        <v>132</v>
      </c>
      <c r="U3154" s="773">
        <v>140</v>
      </c>
      <c r="V3154" s="773">
        <v>372</v>
      </c>
      <c r="W3154" s="773" t="s">
        <v>390</v>
      </c>
    </row>
    <row r="3155" spans="19:23">
      <c r="S3155" s="27">
        <v>44316</v>
      </c>
      <c r="T3155" s="773" t="s">
        <v>132</v>
      </c>
      <c r="U3155" s="773">
        <v>292</v>
      </c>
      <c r="V3155" s="773">
        <v>8</v>
      </c>
      <c r="W3155" s="773" t="s">
        <v>410</v>
      </c>
    </row>
    <row r="3156" spans="19:23">
      <c r="S3156" s="27">
        <v>44316</v>
      </c>
      <c r="T3156" s="773" t="s">
        <v>132</v>
      </c>
      <c r="U3156" s="773">
        <v>653</v>
      </c>
      <c r="V3156" s="773">
        <v>99</v>
      </c>
      <c r="W3156" s="773" t="s">
        <v>410</v>
      </c>
    </row>
    <row r="3157" spans="19:23">
      <c r="S3157" s="27">
        <v>44316</v>
      </c>
      <c r="T3157" s="773" t="s">
        <v>132</v>
      </c>
      <c r="U3157" s="773">
        <v>140</v>
      </c>
      <c r="V3157" s="773">
        <v>300</v>
      </c>
      <c r="W3157" s="773" t="s">
        <v>390</v>
      </c>
    </row>
    <row r="3158" spans="19:23">
      <c r="S3158" s="27">
        <v>44681</v>
      </c>
      <c r="T3158" s="773" t="s">
        <v>132</v>
      </c>
      <c r="U3158" s="773">
        <v>58</v>
      </c>
      <c r="V3158" s="773">
        <v>1</v>
      </c>
      <c r="W3158" s="773" t="s">
        <v>410</v>
      </c>
    </row>
    <row r="3159" spans="19:23">
      <c r="S3159" s="27">
        <v>44316</v>
      </c>
      <c r="T3159" s="773" t="s">
        <v>132</v>
      </c>
      <c r="U3159" s="773">
        <v>218</v>
      </c>
      <c r="V3159" s="773">
        <v>1019</v>
      </c>
      <c r="W3159" s="773" t="s">
        <v>390</v>
      </c>
    </row>
    <row r="3160" spans="19:23">
      <c r="S3160" s="27">
        <v>44316</v>
      </c>
      <c r="T3160" s="773" t="s">
        <v>132</v>
      </c>
      <c r="U3160" s="773">
        <v>306</v>
      </c>
      <c r="V3160" s="773">
        <v>2251</v>
      </c>
      <c r="W3160" s="773" t="s">
        <v>390</v>
      </c>
    </row>
    <row r="3161" spans="19:23">
      <c r="S3161" s="27">
        <v>44316</v>
      </c>
      <c r="T3161" s="773" t="s">
        <v>132</v>
      </c>
      <c r="U3161" s="773">
        <v>662</v>
      </c>
      <c r="V3161" s="773">
        <v>2825</v>
      </c>
      <c r="W3161" s="773" t="s">
        <v>390</v>
      </c>
    </row>
    <row r="3162" spans="19:23">
      <c r="S3162" s="27">
        <v>44316</v>
      </c>
      <c r="T3162" s="773" t="s">
        <v>132</v>
      </c>
      <c r="U3162" s="773">
        <v>98</v>
      </c>
      <c r="V3162" s="773">
        <v>104</v>
      </c>
      <c r="W3162" s="773" t="s">
        <v>390</v>
      </c>
    </row>
    <row r="3163" spans="19:23">
      <c r="S3163" s="27">
        <v>44681</v>
      </c>
      <c r="T3163" s="773" t="s">
        <v>132</v>
      </c>
      <c r="U3163" s="773">
        <v>69</v>
      </c>
      <c r="V3163" s="773">
        <v>1</v>
      </c>
      <c r="W3163" s="773" t="s">
        <v>410</v>
      </c>
    </row>
    <row r="3164" spans="19:23">
      <c r="S3164" s="27">
        <v>44316</v>
      </c>
      <c r="T3164" s="773" t="s">
        <v>132</v>
      </c>
      <c r="U3164" s="773">
        <v>696</v>
      </c>
      <c r="V3164" s="773">
        <v>2207</v>
      </c>
      <c r="W3164" s="773" t="s">
        <v>390</v>
      </c>
    </row>
    <row r="3165" spans="19:23">
      <c r="S3165" s="27">
        <v>44316</v>
      </c>
      <c r="T3165" s="773" t="s">
        <v>132</v>
      </c>
      <c r="U3165" s="773">
        <v>323</v>
      </c>
      <c r="V3165" s="773">
        <v>2768</v>
      </c>
      <c r="W3165" s="773" t="s">
        <v>390</v>
      </c>
    </row>
    <row r="3166" spans="19:23">
      <c r="S3166" s="27">
        <v>44681</v>
      </c>
      <c r="T3166" s="773" t="s">
        <v>132</v>
      </c>
      <c r="U3166" s="773">
        <v>229</v>
      </c>
      <c r="V3166" s="773">
        <v>1</v>
      </c>
      <c r="W3166" s="773" t="s">
        <v>410</v>
      </c>
    </row>
    <row r="3167" spans="19:23">
      <c r="S3167" s="27">
        <v>44316</v>
      </c>
      <c r="T3167" s="773" t="s">
        <v>132</v>
      </c>
      <c r="U3167" s="773">
        <v>243</v>
      </c>
      <c r="V3167" s="773">
        <v>649</v>
      </c>
      <c r="W3167" s="773" t="s">
        <v>390</v>
      </c>
    </row>
    <row r="3168" spans="19:23">
      <c r="S3168" s="27">
        <v>44316</v>
      </c>
      <c r="T3168" s="773" t="s">
        <v>132</v>
      </c>
      <c r="U3168" s="773">
        <v>200</v>
      </c>
      <c r="V3168" s="773">
        <v>4</v>
      </c>
      <c r="W3168" s="773" t="s">
        <v>410</v>
      </c>
    </row>
    <row r="3169" spans="19:23">
      <c r="S3169" s="27">
        <v>44316</v>
      </c>
      <c r="T3169" s="773" t="s">
        <v>132</v>
      </c>
      <c r="U3169" s="773">
        <v>81</v>
      </c>
      <c r="V3169" s="773">
        <v>4</v>
      </c>
      <c r="W3169" s="773" t="s">
        <v>410</v>
      </c>
    </row>
    <row r="3170" spans="19:23">
      <c r="S3170" s="27">
        <v>44681</v>
      </c>
      <c r="T3170" s="773" t="s">
        <v>132</v>
      </c>
      <c r="U3170" s="773">
        <v>136</v>
      </c>
      <c r="V3170" s="773">
        <v>9</v>
      </c>
      <c r="W3170" s="773" t="s">
        <v>410</v>
      </c>
    </row>
    <row r="3171" spans="19:23">
      <c r="S3171" s="27">
        <v>44681</v>
      </c>
      <c r="T3171" s="773" t="s">
        <v>132</v>
      </c>
      <c r="U3171" s="773">
        <v>650</v>
      </c>
      <c r="V3171" s="773">
        <v>21</v>
      </c>
      <c r="W3171" s="773" t="s">
        <v>410</v>
      </c>
    </row>
    <row r="3172" spans="19:23">
      <c r="S3172" s="27">
        <v>44681</v>
      </c>
      <c r="T3172" s="773" t="s">
        <v>132</v>
      </c>
      <c r="U3172" s="773">
        <v>645</v>
      </c>
      <c r="V3172" s="773">
        <v>2797</v>
      </c>
      <c r="W3172" s="773" t="s">
        <v>390</v>
      </c>
    </row>
    <row r="3173" spans="19:23">
      <c r="S3173" s="27">
        <v>44681</v>
      </c>
      <c r="T3173" s="773" t="s">
        <v>132</v>
      </c>
      <c r="U3173" s="773">
        <v>237</v>
      </c>
      <c r="V3173" s="773">
        <v>1</v>
      </c>
      <c r="W3173" s="773" t="s">
        <v>410</v>
      </c>
    </row>
    <row r="3174" spans="19:23">
      <c r="S3174" s="27">
        <v>44681</v>
      </c>
      <c r="T3174" s="773" t="s">
        <v>132</v>
      </c>
      <c r="U3174" s="773">
        <v>204</v>
      </c>
      <c r="V3174" s="773">
        <v>7</v>
      </c>
      <c r="W3174" s="773" t="s">
        <v>410</v>
      </c>
    </row>
    <row r="3175" spans="19:23">
      <c r="S3175" s="27">
        <v>44681</v>
      </c>
      <c r="T3175" s="773" t="s">
        <v>132</v>
      </c>
      <c r="U3175" s="773">
        <v>291</v>
      </c>
      <c r="V3175" s="773">
        <v>2062</v>
      </c>
      <c r="W3175" s="773" t="s">
        <v>390</v>
      </c>
    </row>
    <row r="3176" spans="19:23">
      <c r="S3176" s="27">
        <v>44316</v>
      </c>
      <c r="T3176" s="773" t="s">
        <v>132</v>
      </c>
      <c r="U3176" s="773">
        <v>670</v>
      </c>
      <c r="V3176" s="773">
        <v>3341</v>
      </c>
      <c r="W3176" s="773" t="s">
        <v>390</v>
      </c>
    </row>
    <row r="3177" spans="19:23">
      <c r="S3177" s="27">
        <v>44316</v>
      </c>
      <c r="T3177" s="773" t="s">
        <v>132</v>
      </c>
      <c r="U3177" s="773">
        <v>116</v>
      </c>
      <c r="V3177" s="773">
        <v>2</v>
      </c>
      <c r="W3177" s="773" t="s">
        <v>410</v>
      </c>
    </row>
    <row r="3178" spans="19:23">
      <c r="S3178" s="27">
        <v>44681</v>
      </c>
      <c r="T3178" s="773" t="s">
        <v>132</v>
      </c>
      <c r="U3178" s="773">
        <v>671</v>
      </c>
      <c r="V3178" s="773">
        <v>1859</v>
      </c>
      <c r="W3178" s="773" t="s">
        <v>390</v>
      </c>
    </row>
    <row r="3179" spans="19:23">
      <c r="S3179" s="27">
        <v>44681</v>
      </c>
      <c r="T3179" s="773" t="s">
        <v>132</v>
      </c>
      <c r="U3179" s="773">
        <v>159</v>
      </c>
      <c r="V3179" s="773">
        <v>6</v>
      </c>
      <c r="W3179" s="773" t="s">
        <v>410</v>
      </c>
    </row>
    <row r="3180" spans="19:23">
      <c r="S3180" s="27">
        <v>44681</v>
      </c>
      <c r="T3180" s="773" t="s">
        <v>132</v>
      </c>
      <c r="U3180" s="773">
        <v>255</v>
      </c>
      <c r="V3180" s="773">
        <v>116</v>
      </c>
      <c r="W3180" s="773" t="s">
        <v>390</v>
      </c>
    </row>
    <row r="3181" spans="19:23">
      <c r="S3181" s="27">
        <v>44681</v>
      </c>
      <c r="T3181" s="773" t="s">
        <v>132</v>
      </c>
      <c r="U3181" s="773">
        <v>139</v>
      </c>
      <c r="V3181" s="773">
        <v>2600</v>
      </c>
      <c r="W3181" s="773" t="s">
        <v>390</v>
      </c>
    </row>
    <row r="3182" spans="19:23">
      <c r="S3182" s="27">
        <v>44316</v>
      </c>
      <c r="T3182" s="773" t="s">
        <v>132</v>
      </c>
      <c r="U3182" s="773">
        <v>193</v>
      </c>
      <c r="V3182" s="773">
        <v>95</v>
      </c>
      <c r="W3182" s="773" t="s">
        <v>410</v>
      </c>
    </row>
    <row r="3183" spans="19:23">
      <c r="S3183" s="27">
        <v>44316</v>
      </c>
      <c r="T3183" s="773" t="s">
        <v>132</v>
      </c>
      <c r="U3183" s="773">
        <v>666</v>
      </c>
      <c r="V3183" s="773">
        <v>1359</v>
      </c>
      <c r="W3183" s="773" t="s">
        <v>390</v>
      </c>
    </row>
    <row r="3184" spans="19:23">
      <c r="S3184" s="27">
        <v>44681</v>
      </c>
      <c r="T3184" s="773" t="s">
        <v>132</v>
      </c>
      <c r="U3184" s="773">
        <v>327</v>
      </c>
      <c r="V3184" s="773">
        <v>2</v>
      </c>
      <c r="W3184" s="773" t="s">
        <v>410</v>
      </c>
    </row>
    <row r="3185" spans="19:23">
      <c r="S3185" s="27">
        <v>44316</v>
      </c>
      <c r="T3185" s="773" t="s">
        <v>132</v>
      </c>
      <c r="U3185" s="773">
        <v>14</v>
      </c>
      <c r="V3185" s="773">
        <v>2</v>
      </c>
      <c r="W3185" s="773" t="s">
        <v>410</v>
      </c>
    </row>
    <row r="3186" spans="19:23">
      <c r="S3186" s="27">
        <v>44316</v>
      </c>
      <c r="T3186" s="773" t="s">
        <v>132</v>
      </c>
      <c r="U3186" s="773">
        <v>155</v>
      </c>
      <c r="V3186" s="773">
        <v>2443</v>
      </c>
      <c r="W3186" s="773" t="s">
        <v>390</v>
      </c>
    </row>
    <row r="3187" spans="19:23">
      <c r="S3187" s="27">
        <v>44681</v>
      </c>
      <c r="T3187" s="773" t="s">
        <v>132</v>
      </c>
      <c r="U3187" s="773">
        <v>239</v>
      </c>
      <c r="V3187" s="773">
        <v>2</v>
      </c>
      <c r="W3187" s="773" t="s">
        <v>410</v>
      </c>
    </row>
    <row r="3188" spans="19:23">
      <c r="S3188" s="27">
        <v>44316</v>
      </c>
      <c r="T3188" s="773" t="s">
        <v>132</v>
      </c>
      <c r="U3188" s="773">
        <v>162</v>
      </c>
      <c r="V3188" s="773">
        <v>2445</v>
      </c>
      <c r="W3188" s="773" t="s">
        <v>390</v>
      </c>
    </row>
    <row r="3189" spans="19:23">
      <c r="S3189" s="27">
        <v>44316</v>
      </c>
      <c r="T3189" s="773" t="s">
        <v>132</v>
      </c>
      <c r="U3189" s="773">
        <v>161</v>
      </c>
      <c r="V3189" s="773">
        <v>8</v>
      </c>
      <c r="W3189" s="773" t="s">
        <v>410</v>
      </c>
    </row>
    <row r="3190" spans="19:23">
      <c r="S3190" s="27">
        <v>44316</v>
      </c>
      <c r="T3190" s="773" t="s">
        <v>132</v>
      </c>
      <c r="U3190" s="773">
        <v>272</v>
      </c>
      <c r="V3190" s="773">
        <v>1</v>
      </c>
      <c r="W3190" s="773" t="s">
        <v>410</v>
      </c>
    </row>
    <row r="3191" spans="19:23">
      <c r="S3191" s="27">
        <v>44316</v>
      </c>
      <c r="T3191" s="773" t="s">
        <v>132</v>
      </c>
      <c r="U3191" s="773">
        <v>113</v>
      </c>
      <c r="V3191" s="773">
        <v>2</v>
      </c>
      <c r="W3191" s="773" t="s">
        <v>410</v>
      </c>
    </row>
    <row r="3192" spans="19:23">
      <c r="S3192" s="27">
        <v>44681</v>
      </c>
      <c r="T3192" s="773" t="s">
        <v>132</v>
      </c>
      <c r="U3192" s="773">
        <v>709</v>
      </c>
      <c r="V3192" s="773">
        <v>2312</v>
      </c>
      <c r="W3192" s="773" t="s">
        <v>390</v>
      </c>
    </row>
    <row r="3193" spans="19:23">
      <c r="S3193" s="27">
        <v>44316</v>
      </c>
      <c r="T3193" s="773" t="s">
        <v>132</v>
      </c>
      <c r="U3193" s="773">
        <v>190</v>
      </c>
      <c r="V3193" s="773">
        <v>6</v>
      </c>
      <c r="W3193" s="773" t="s">
        <v>410</v>
      </c>
    </row>
    <row r="3194" spans="19:23">
      <c r="S3194" s="27">
        <v>44681</v>
      </c>
      <c r="T3194" s="773" t="s">
        <v>132</v>
      </c>
      <c r="U3194" s="773">
        <v>105</v>
      </c>
      <c r="V3194" s="773">
        <v>2</v>
      </c>
      <c r="W3194" s="773" t="s">
        <v>410</v>
      </c>
    </row>
    <row r="3195" spans="19:23">
      <c r="S3195" s="27">
        <v>44681</v>
      </c>
      <c r="T3195" s="773" t="s">
        <v>132</v>
      </c>
      <c r="U3195" s="773">
        <v>704</v>
      </c>
      <c r="V3195" s="773">
        <v>3405</v>
      </c>
      <c r="W3195" s="773" t="s">
        <v>390</v>
      </c>
    </row>
    <row r="3196" spans="19:23">
      <c r="S3196" s="27">
        <v>44681</v>
      </c>
      <c r="T3196" s="773" t="s">
        <v>132</v>
      </c>
      <c r="U3196" s="773">
        <v>691</v>
      </c>
      <c r="V3196" s="773">
        <v>3243</v>
      </c>
      <c r="W3196" s="773" t="s">
        <v>390</v>
      </c>
    </row>
    <row r="3197" spans="19:23">
      <c r="S3197" s="27">
        <v>44681</v>
      </c>
      <c r="T3197" s="773" t="s">
        <v>132</v>
      </c>
      <c r="U3197" s="773">
        <v>663</v>
      </c>
      <c r="V3197" s="773">
        <v>677</v>
      </c>
      <c r="W3197" s="773" t="s">
        <v>390</v>
      </c>
    </row>
    <row r="3198" spans="19:23">
      <c r="S3198" s="27">
        <v>44681</v>
      </c>
      <c r="T3198" s="773" t="s">
        <v>132</v>
      </c>
      <c r="U3198" s="773">
        <v>216</v>
      </c>
      <c r="V3198" s="773">
        <v>2470</v>
      </c>
      <c r="W3198" s="773" t="s">
        <v>390</v>
      </c>
    </row>
    <row r="3199" spans="19:23">
      <c r="S3199" s="27">
        <v>44681</v>
      </c>
      <c r="T3199" s="773" t="s">
        <v>132</v>
      </c>
      <c r="U3199" s="773">
        <v>158</v>
      </c>
      <c r="V3199" s="773">
        <v>110</v>
      </c>
      <c r="W3199" s="773" t="s">
        <v>390</v>
      </c>
    </row>
    <row r="3200" spans="19:23">
      <c r="S3200" s="27">
        <v>44316</v>
      </c>
      <c r="T3200" s="773" t="s">
        <v>132</v>
      </c>
      <c r="U3200" s="773">
        <v>213</v>
      </c>
      <c r="V3200" s="773">
        <v>2780</v>
      </c>
      <c r="W3200" s="773" t="s">
        <v>390</v>
      </c>
    </row>
    <row r="3201" spans="19:23">
      <c r="S3201" s="27">
        <v>44316</v>
      </c>
      <c r="T3201" s="773" t="s">
        <v>132</v>
      </c>
      <c r="U3201" s="773">
        <v>660</v>
      </c>
      <c r="V3201" s="773">
        <v>3</v>
      </c>
      <c r="W3201" s="773" t="s">
        <v>410</v>
      </c>
    </row>
    <row r="3202" spans="19:23">
      <c r="S3202" s="27">
        <v>44681</v>
      </c>
      <c r="T3202" s="773" t="s">
        <v>132</v>
      </c>
      <c r="U3202" s="773">
        <v>101</v>
      </c>
      <c r="V3202" s="773">
        <v>287</v>
      </c>
      <c r="W3202" s="773" t="s">
        <v>390</v>
      </c>
    </row>
    <row r="3203" spans="19:23">
      <c r="S3203" s="27">
        <v>44316</v>
      </c>
      <c r="T3203" s="773" t="s">
        <v>132</v>
      </c>
      <c r="U3203" s="773">
        <v>64</v>
      </c>
      <c r="V3203" s="773">
        <v>5</v>
      </c>
      <c r="W3203" s="773" t="s">
        <v>410</v>
      </c>
    </row>
    <row r="3204" spans="19:23">
      <c r="S3204" s="27">
        <v>44681</v>
      </c>
      <c r="T3204" s="773" t="s">
        <v>132</v>
      </c>
      <c r="U3204" s="773">
        <v>342</v>
      </c>
      <c r="V3204" s="773">
        <v>2600</v>
      </c>
      <c r="W3204" s="773" t="s">
        <v>390</v>
      </c>
    </row>
    <row r="3205" spans="19:23">
      <c r="S3205" s="27">
        <v>44681</v>
      </c>
      <c r="T3205" s="773" t="s">
        <v>132</v>
      </c>
      <c r="U3205" s="773">
        <v>295</v>
      </c>
      <c r="V3205" s="773">
        <v>2</v>
      </c>
      <c r="W3205" s="773" t="s">
        <v>410</v>
      </c>
    </row>
    <row r="3206" spans="19:23">
      <c r="S3206" s="27">
        <v>44681</v>
      </c>
      <c r="T3206" s="773" t="s">
        <v>132</v>
      </c>
      <c r="U3206" s="773">
        <v>271</v>
      </c>
      <c r="V3206" s="773">
        <v>2792</v>
      </c>
      <c r="W3206" s="773" t="s">
        <v>390</v>
      </c>
    </row>
    <row r="3207" spans="19:23">
      <c r="S3207" s="27">
        <v>44681</v>
      </c>
      <c r="T3207" s="773" t="s">
        <v>132</v>
      </c>
      <c r="U3207" s="773">
        <v>161</v>
      </c>
      <c r="V3207" s="773">
        <v>1</v>
      </c>
      <c r="W3207" s="773" t="s">
        <v>410</v>
      </c>
    </row>
    <row r="3208" spans="19:23">
      <c r="S3208" s="27">
        <v>44681</v>
      </c>
      <c r="T3208" s="773" t="s">
        <v>132</v>
      </c>
      <c r="U3208" s="773">
        <v>11</v>
      </c>
      <c r="V3208" s="773">
        <v>27</v>
      </c>
      <c r="W3208" s="773" t="s">
        <v>410</v>
      </c>
    </row>
    <row r="3209" spans="19:23">
      <c r="S3209" s="27">
        <v>44316</v>
      </c>
      <c r="T3209" s="773" t="s">
        <v>132</v>
      </c>
      <c r="U3209" s="773">
        <v>669</v>
      </c>
      <c r="V3209" s="773">
        <v>2411</v>
      </c>
      <c r="W3209" s="773" t="s">
        <v>390</v>
      </c>
    </row>
    <row r="3210" spans="19:23">
      <c r="S3210" s="27">
        <v>44681</v>
      </c>
      <c r="T3210" s="773" t="s">
        <v>132</v>
      </c>
      <c r="U3210" s="773">
        <v>528</v>
      </c>
      <c r="V3210" s="773">
        <v>64</v>
      </c>
      <c r="W3210" s="773" t="s">
        <v>410</v>
      </c>
    </row>
    <row r="3211" spans="19:23">
      <c r="S3211" s="27">
        <v>44316</v>
      </c>
      <c r="T3211" s="773" t="s">
        <v>132</v>
      </c>
      <c r="U3211" s="773">
        <v>136</v>
      </c>
      <c r="V3211" s="773">
        <v>87</v>
      </c>
      <c r="W3211" s="773" t="s">
        <v>410</v>
      </c>
    </row>
    <row r="3212" spans="19:23">
      <c r="S3212" s="27">
        <v>44681</v>
      </c>
      <c r="T3212" s="773" t="s">
        <v>132</v>
      </c>
      <c r="U3212" s="773">
        <v>320</v>
      </c>
      <c r="V3212" s="773">
        <v>1701</v>
      </c>
      <c r="W3212" s="773" t="s">
        <v>390</v>
      </c>
    </row>
    <row r="3213" spans="19:23">
      <c r="S3213" s="27">
        <v>44316</v>
      </c>
      <c r="T3213" s="773" t="s">
        <v>132</v>
      </c>
      <c r="U3213" s="773">
        <v>665</v>
      </c>
      <c r="V3213" s="773">
        <v>2555</v>
      </c>
      <c r="W3213" s="773" t="s">
        <v>390</v>
      </c>
    </row>
    <row r="3214" spans="19:23">
      <c r="S3214" s="27">
        <v>44316</v>
      </c>
      <c r="T3214" s="773" t="s">
        <v>132</v>
      </c>
      <c r="U3214" s="773">
        <v>680</v>
      </c>
      <c r="V3214" s="773">
        <v>2445</v>
      </c>
      <c r="W3214" s="773" t="s">
        <v>390</v>
      </c>
    </row>
    <row r="3215" spans="19:23">
      <c r="S3215" s="27">
        <v>44316</v>
      </c>
      <c r="T3215" s="773" t="s">
        <v>132</v>
      </c>
      <c r="U3215" s="773">
        <v>215</v>
      </c>
      <c r="V3215" s="773">
        <v>585</v>
      </c>
      <c r="W3215" s="773" t="s">
        <v>390</v>
      </c>
    </row>
    <row r="3216" spans="19:23">
      <c r="S3216" s="27">
        <v>44316</v>
      </c>
      <c r="T3216" s="773" t="s">
        <v>132</v>
      </c>
      <c r="U3216" s="773">
        <v>342</v>
      </c>
      <c r="V3216" s="773">
        <v>2719</v>
      </c>
      <c r="W3216" s="773" t="s">
        <v>390</v>
      </c>
    </row>
    <row r="3217" spans="19:23">
      <c r="S3217" s="27">
        <v>44681</v>
      </c>
      <c r="T3217" s="773" t="s">
        <v>132</v>
      </c>
      <c r="U3217" s="773">
        <v>76</v>
      </c>
      <c r="V3217" s="773">
        <v>2934</v>
      </c>
      <c r="W3217" s="773" t="s">
        <v>390</v>
      </c>
    </row>
    <row r="3218" spans="19:23">
      <c r="S3218" s="27">
        <v>44681</v>
      </c>
      <c r="T3218" s="773" t="s">
        <v>132</v>
      </c>
      <c r="U3218" s="773">
        <v>319</v>
      </c>
      <c r="V3218" s="773">
        <v>3286</v>
      </c>
      <c r="W3218" s="773" t="s">
        <v>390</v>
      </c>
    </row>
    <row r="3219" spans="19:23">
      <c r="S3219" s="27">
        <v>44316</v>
      </c>
      <c r="T3219" s="773" t="s">
        <v>132</v>
      </c>
      <c r="U3219" s="773">
        <v>93</v>
      </c>
      <c r="V3219" s="773">
        <v>12212</v>
      </c>
      <c r="W3219" s="773" t="s">
        <v>390</v>
      </c>
    </row>
    <row r="3220" spans="19:23">
      <c r="S3220" s="27">
        <v>44681</v>
      </c>
      <c r="T3220" s="773" t="s">
        <v>132</v>
      </c>
      <c r="U3220" s="773">
        <v>262</v>
      </c>
      <c r="V3220" s="773">
        <v>62</v>
      </c>
      <c r="W3220" s="773" t="s">
        <v>410</v>
      </c>
    </row>
    <row r="3221" spans="19:23">
      <c r="S3221" s="27">
        <v>44681</v>
      </c>
      <c r="T3221" s="773" t="s">
        <v>132</v>
      </c>
      <c r="U3221" s="773">
        <v>699</v>
      </c>
      <c r="V3221" s="773">
        <v>2192</v>
      </c>
      <c r="W3221" s="773" t="s">
        <v>390</v>
      </c>
    </row>
    <row r="3222" spans="19:23">
      <c r="S3222" s="27">
        <v>44316</v>
      </c>
      <c r="T3222" s="773" t="s">
        <v>132</v>
      </c>
      <c r="U3222" s="773">
        <v>271</v>
      </c>
      <c r="V3222" s="773">
        <v>2215</v>
      </c>
      <c r="W3222" s="773" t="s">
        <v>390</v>
      </c>
    </row>
    <row r="3223" spans="19:23">
      <c r="S3223" s="27">
        <v>44316</v>
      </c>
      <c r="T3223" s="773" t="s">
        <v>132</v>
      </c>
      <c r="U3223" s="773">
        <v>27</v>
      </c>
      <c r="V3223" s="773">
        <v>1</v>
      </c>
      <c r="W3223" s="773" t="s">
        <v>410</v>
      </c>
    </row>
    <row r="3224" spans="19:23">
      <c r="S3224" s="27">
        <v>44681</v>
      </c>
      <c r="T3224" s="773" t="s">
        <v>132</v>
      </c>
      <c r="U3224" s="773">
        <v>664</v>
      </c>
      <c r="V3224" s="773">
        <v>2088</v>
      </c>
      <c r="W3224" s="773" t="s">
        <v>390</v>
      </c>
    </row>
    <row r="3225" spans="19:23">
      <c r="S3225" s="27">
        <v>44316</v>
      </c>
      <c r="T3225" s="773" t="s">
        <v>132</v>
      </c>
      <c r="U3225" s="773">
        <v>654</v>
      </c>
      <c r="V3225" s="773">
        <v>2476</v>
      </c>
      <c r="W3225" s="773" t="s">
        <v>390</v>
      </c>
    </row>
    <row r="3226" spans="19:23">
      <c r="S3226" s="27">
        <v>44316</v>
      </c>
      <c r="T3226" s="773" t="s">
        <v>132</v>
      </c>
      <c r="U3226" s="773">
        <v>290</v>
      </c>
      <c r="V3226" s="773">
        <v>2384</v>
      </c>
      <c r="W3226" s="773" t="s">
        <v>390</v>
      </c>
    </row>
    <row r="3227" spans="19:23">
      <c r="S3227" s="27">
        <v>44316</v>
      </c>
      <c r="T3227" s="773" t="s">
        <v>132</v>
      </c>
      <c r="U3227" s="773">
        <v>114</v>
      </c>
      <c r="V3227" s="773">
        <v>1</v>
      </c>
      <c r="W3227" s="773" t="s">
        <v>410</v>
      </c>
    </row>
    <row r="3228" spans="19:23">
      <c r="S3228" s="27">
        <v>44681</v>
      </c>
      <c r="T3228" s="773" t="s">
        <v>132</v>
      </c>
      <c r="U3228" s="773">
        <v>92</v>
      </c>
      <c r="V3228" s="773">
        <v>3062</v>
      </c>
      <c r="W3228" s="773" t="s">
        <v>390</v>
      </c>
    </row>
    <row r="3229" spans="19:23">
      <c r="S3229" s="27">
        <v>44681</v>
      </c>
      <c r="T3229" s="773" t="s">
        <v>132</v>
      </c>
      <c r="U3229" s="773">
        <v>46</v>
      </c>
      <c r="V3229" s="773">
        <v>3646</v>
      </c>
      <c r="W3229" s="773" t="s">
        <v>390</v>
      </c>
    </row>
    <row r="3230" spans="19:23">
      <c r="S3230" s="27">
        <v>44316</v>
      </c>
      <c r="T3230" s="773" t="s">
        <v>132</v>
      </c>
      <c r="U3230" s="773">
        <v>294</v>
      </c>
      <c r="V3230" s="773">
        <v>10</v>
      </c>
      <c r="W3230" s="773" t="s">
        <v>410</v>
      </c>
    </row>
    <row r="3231" spans="19:23">
      <c r="S3231" s="27">
        <v>44316</v>
      </c>
      <c r="T3231" s="773" t="s">
        <v>132</v>
      </c>
      <c r="U3231" s="773">
        <v>291</v>
      </c>
      <c r="V3231" s="773">
        <v>2103</v>
      </c>
      <c r="W3231" s="773" t="s">
        <v>390</v>
      </c>
    </row>
    <row r="3232" spans="19:23">
      <c r="S3232" s="27">
        <v>44316</v>
      </c>
      <c r="T3232" s="773" t="s">
        <v>132</v>
      </c>
      <c r="U3232" s="773">
        <v>46</v>
      </c>
      <c r="V3232" s="773">
        <v>2704</v>
      </c>
      <c r="W3232" s="773" t="s">
        <v>390</v>
      </c>
    </row>
    <row r="3233" spans="19:23">
      <c r="S3233" s="27">
        <v>44681</v>
      </c>
      <c r="T3233" s="773" t="s">
        <v>132</v>
      </c>
      <c r="U3233" s="773">
        <v>684</v>
      </c>
      <c r="V3233" s="773">
        <v>3350</v>
      </c>
      <c r="W3233" s="773" t="s">
        <v>390</v>
      </c>
    </row>
    <row r="3234" spans="19:23">
      <c r="S3234" s="27">
        <v>44316</v>
      </c>
      <c r="T3234" s="773" t="s">
        <v>132</v>
      </c>
      <c r="U3234" s="773">
        <v>216</v>
      </c>
      <c r="V3234" s="773">
        <v>2159</v>
      </c>
      <c r="W3234" s="773" t="s">
        <v>390</v>
      </c>
    </row>
    <row r="3235" spans="19:23">
      <c r="S3235" s="27">
        <v>44681</v>
      </c>
      <c r="T3235" s="773" t="s">
        <v>132</v>
      </c>
      <c r="U3235" s="773">
        <v>678</v>
      </c>
      <c r="V3235" s="773">
        <v>2970</v>
      </c>
      <c r="W3235" s="773" t="s">
        <v>390</v>
      </c>
    </row>
    <row r="3236" spans="19:23">
      <c r="S3236" s="27">
        <v>44316</v>
      </c>
      <c r="T3236" s="773" t="s">
        <v>132</v>
      </c>
      <c r="U3236" s="773">
        <v>641</v>
      </c>
      <c r="V3236" s="773">
        <v>3235</v>
      </c>
      <c r="W3236" s="773" t="s">
        <v>390</v>
      </c>
    </row>
    <row r="3237" spans="19:23">
      <c r="S3237" s="27">
        <v>44681</v>
      </c>
      <c r="T3237" s="773" t="s">
        <v>132</v>
      </c>
      <c r="U3237" s="773">
        <v>652</v>
      </c>
      <c r="V3237" s="773">
        <v>3762</v>
      </c>
      <c r="W3237" s="773" t="s">
        <v>390</v>
      </c>
    </row>
    <row r="3238" spans="19:23">
      <c r="S3238" s="27">
        <v>44316</v>
      </c>
      <c r="T3238" s="773" t="s">
        <v>132</v>
      </c>
      <c r="U3238" s="773">
        <v>621</v>
      </c>
      <c r="V3238" s="773">
        <v>2419</v>
      </c>
      <c r="W3238" s="773" t="s">
        <v>390</v>
      </c>
    </row>
    <row r="3239" spans="19:23">
      <c r="S3239" s="27">
        <v>44316</v>
      </c>
      <c r="T3239" s="773" t="s">
        <v>132</v>
      </c>
      <c r="U3239" s="773">
        <v>40</v>
      </c>
      <c r="V3239" s="773">
        <v>3</v>
      </c>
      <c r="W3239" s="773" t="s">
        <v>410</v>
      </c>
    </row>
    <row r="3240" spans="19:23">
      <c r="S3240" s="27">
        <v>44681</v>
      </c>
      <c r="T3240" s="773" t="s">
        <v>132</v>
      </c>
      <c r="U3240" s="773">
        <v>94</v>
      </c>
      <c r="V3240" s="773">
        <v>127</v>
      </c>
      <c r="W3240" s="773" t="s">
        <v>390</v>
      </c>
    </row>
    <row r="3241" spans="19:23">
      <c r="S3241" s="27">
        <v>44316</v>
      </c>
      <c r="T3241" s="773" t="s">
        <v>132</v>
      </c>
      <c r="U3241" s="773">
        <v>39</v>
      </c>
      <c r="V3241" s="773">
        <v>1</v>
      </c>
      <c r="W3241" s="773" t="s">
        <v>410</v>
      </c>
    </row>
    <row r="3242" spans="19:23">
      <c r="S3242" s="27">
        <v>44681</v>
      </c>
      <c r="T3242" s="773" t="s">
        <v>132</v>
      </c>
      <c r="U3242" s="773">
        <v>133</v>
      </c>
      <c r="V3242" s="773">
        <v>3</v>
      </c>
      <c r="W3242" s="773" t="s">
        <v>410</v>
      </c>
    </row>
    <row r="3243" spans="19:23">
      <c r="S3243" s="27">
        <v>44681</v>
      </c>
      <c r="T3243" s="773" t="s">
        <v>132</v>
      </c>
      <c r="U3243" s="773">
        <v>73</v>
      </c>
      <c r="V3243" s="773">
        <v>2</v>
      </c>
      <c r="W3243" s="773" t="s">
        <v>410</v>
      </c>
    </row>
    <row r="3244" spans="19:23">
      <c r="S3244" s="27">
        <v>44316</v>
      </c>
      <c r="T3244" s="773" t="s">
        <v>132</v>
      </c>
      <c r="U3244" s="773">
        <v>103</v>
      </c>
      <c r="V3244" s="773">
        <v>3216</v>
      </c>
      <c r="W3244" s="773" t="s">
        <v>390</v>
      </c>
    </row>
    <row r="3245" spans="19:23">
      <c r="S3245" s="27">
        <v>44316</v>
      </c>
      <c r="T3245" s="773" t="s">
        <v>132</v>
      </c>
      <c r="U3245" s="773">
        <v>222</v>
      </c>
      <c r="V3245" s="773">
        <v>2</v>
      </c>
      <c r="W3245" s="773" t="s">
        <v>410</v>
      </c>
    </row>
    <row r="3246" spans="19:23">
      <c r="S3246" s="27">
        <v>44681</v>
      </c>
      <c r="T3246" s="773" t="s">
        <v>132</v>
      </c>
      <c r="U3246" s="773">
        <v>222</v>
      </c>
      <c r="V3246" s="773">
        <v>1</v>
      </c>
      <c r="W3246" s="773" t="s">
        <v>410</v>
      </c>
    </row>
    <row r="3247" spans="19:23">
      <c r="S3247" s="27">
        <v>44681</v>
      </c>
      <c r="T3247" s="773" t="s">
        <v>132</v>
      </c>
      <c r="U3247" s="773">
        <v>254</v>
      </c>
      <c r="V3247" s="773">
        <v>3</v>
      </c>
      <c r="W3247" s="773" t="s">
        <v>410</v>
      </c>
    </row>
    <row r="3248" spans="19:23">
      <c r="S3248" s="27">
        <v>44681</v>
      </c>
      <c r="T3248" s="773" t="s">
        <v>132</v>
      </c>
      <c r="U3248" s="773">
        <v>169</v>
      </c>
      <c r="V3248" s="773">
        <v>3202</v>
      </c>
      <c r="W3248" s="773" t="s">
        <v>390</v>
      </c>
    </row>
    <row r="3249" spans="19:23">
      <c r="S3249" s="27">
        <v>44681</v>
      </c>
      <c r="T3249" s="773" t="s">
        <v>132</v>
      </c>
      <c r="U3249" s="773">
        <v>96</v>
      </c>
      <c r="V3249" s="773">
        <v>1</v>
      </c>
      <c r="W3249" s="773" t="s">
        <v>410</v>
      </c>
    </row>
    <row r="3250" spans="19:23">
      <c r="S3250" s="27">
        <v>44316</v>
      </c>
      <c r="T3250" s="773" t="s">
        <v>132</v>
      </c>
      <c r="U3250" s="773">
        <v>254</v>
      </c>
      <c r="V3250" s="773">
        <v>8</v>
      </c>
      <c r="W3250" s="773" t="s">
        <v>410</v>
      </c>
    </row>
    <row r="3251" spans="19:23">
      <c r="S3251" s="27">
        <v>44316</v>
      </c>
      <c r="T3251" s="773" t="s">
        <v>132</v>
      </c>
      <c r="U3251" s="773">
        <v>663</v>
      </c>
      <c r="V3251" s="773">
        <v>1130</v>
      </c>
      <c r="W3251" s="773" t="s">
        <v>390</v>
      </c>
    </row>
    <row r="3252" spans="19:23">
      <c r="S3252" s="27">
        <v>44316</v>
      </c>
      <c r="T3252" s="773" t="s">
        <v>132</v>
      </c>
      <c r="U3252" s="773">
        <v>253</v>
      </c>
      <c r="V3252" s="773">
        <v>3804</v>
      </c>
      <c r="W3252" s="773" t="s">
        <v>390</v>
      </c>
    </row>
    <row r="3253" spans="19:23">
      <c r="S3253" s="27">
        <v>44316</v>
      </c>
      <c r="T3253" s="773" t="s">
        <v>132</v>
      </c>
      <c r="U3253" s="773">
        <v>169</v>
      </c>
      <c r="V3253" s="773">
        <v>2381</v>
      </c>
      <c r="W3253" s="773" t="s">
        <v>390</v>
      </c>
    </row>
    <row r="3254" spans="19:23">
      <c r="S3254" s="27">
        <v>44316</v>
      </c>
      <c r="T3254" s="773" t="s">
        <v>132</v>
      </c>
      <c r="U3254" s="773">
        <v>317</v>
      </c>
      <c r="V3254" s="773">
        <v>93</v>
      </c>
      <c r="W3254" s="773" t="s">
        <v>410</v>
      </c>
    </row>
    <row r="3255" spans="19:23">
      <c r="S3255" s="27">
        <v>44681</v>
      </c>
      <c r="T3255" s="773" t="s">
        <v>132</v>
      </c>
      <c r="U3255" s="773">
        <v>81</v>
      </c>
      <c r="V3255" s="773">
        <v>4</v>
      </c>
      <c r="W3255" s="773" t="s">
        <v>410</v>
      </c>
    </row>
    <row r="3256" spans="19:23">
      <c r="S3256" s="27">
        <v>44681</v>
      </c>
      <c r="T3256" s="773" t="s">
        <v>132</v>
      </c>
      <c r="U3256" s="773">
        <v>665</v>
      </c>
      <c r="V3256" s="773">
        <v>3378</v>
      </c>
      <c r="W3256" s="773" t="s">
        <v>390</v>
      </c>
    </row>
    <row r="3257" spans="19:23">
      <c r="S3257" s="27">
        <v>44316</v>
      </c>
      <c r="T3257" s="773" t="s">
        <v>132</v>
      </c>
      <c r="U3257" s="773">
        <v>76</v>
      </c>
      <c r="V3257" s="773">
        <v>2644</v>
      </c>
      <c r="W3257" s="773" t="s">
        <v>390</v>
      </c>
    </row>
    <row r="3258" spans="19:23">
      <c r="S3258" s="27">
        <v>44316</v>
      </c>
      <c r="T3258" s="773" t="s">
        <v>132</v>
      </c>
      <c r="U3258" s="773">
        <v>699</v>
      </c>
      <c r="V3258" s="773">
        <v>2164</v>
      </c>
      <c r="W3258" s="773" t="s">
        <v>390</v>
      </c>
    </row>
    <row r="3259" spans="19:23">
      <c r="S3259" s="27">
        <v>44681</v>
      </c>
      <c r="T3259" s="773" t="s">
        <v>132</v>
      </c>
      <c r="U3259" s="773">
        <v>686</v>
      </c>
      <c r="V3259" s="773">
        <v>2938</v>
      </c>
      <c r="W3259" s="773" t="s">
        <v>390</v>
      </c>
    </row>
    <row r="3260" spans="19:23">
      <c r="S3260" s="27">
        <v>44681</v>
      </c>
      <c r="T3260" s="773" t="s">
        <v>132</v>
      </c>
      <c r="U3260" s="773">
        <v>59</v>
      </c>
      <c r="V3260" s="773">
        <v>2</v>
      </c>
      <c r="W3260" s="773" t="s">
        <v>410</v>
      </c>
    </row>
    <row r="3261" spans="19:23">
      <c r="S3261" s="27">
        <v>44316</v>
      </c>
      <c r="T3261" s="773" t="s">
        <v>132</v>
      </c>
      <c r="U3261" s="773">
        <v>667</v>
      </c>
      <c r="V3261" s="773">
        <v>1</v>
      </c>
      <c r="W3261" s="773" t="s">
        <v>410</v>
      </c>
    </row>
    <row r="3262" spans="19:23">
      <c r="S3262" s="27">
        <v>44681</v>
      </c>
      <c r="T3262" s="773" t="s">
        <v>132</v>
      </c>
      <c r="U3262" s="773">
        <v>256</v>
      </c>
      <c r="V3262" s="773">
        <v>294</v>
      </c>
      <c r="W3262" s="773" t="s">
        <v>390</v>
      </c>
    </row>
    <row r="3263" spans="19:23">
      <c r="S3263" s="27">
        <v>44316</v>
      </c>
      <c r="T3263" s="773" t="s">
        <v>132</v>
      </c>
      <c r="U3263" s="773">
        <v>324</v>
      </c>
      <c r="V3263" s="773">
        <v>77</v>
      </c>
      <c r="W3263" s="773" t="s">
        <v>410</v>
      </c>
    </row>
    <row r="3264" spans="19:23">
      <c r="S3264" s="27">
        <v>44316</v>
      </c>
      <c r="T3264" s="773" t="s">
        <v>132</v>
      </c>
      <c r="U3264" s="773">
        <v>701</v>
      </c>
      <c r="V3264" s="773">
        <v>2214</v>
      </c>
      <c r="W3264" s="773" t="s">
        <v>390</v>
      </c>
    </row>
    <row r="3265" spans="19:23">
      <c r="S3265" s="27">
        <v>44681</v>
      </c>
      <c r="T3265" s="773" t="s">
        <v>132</v>
      </c>
      <c r="U3265" s="773">
        <v>241</v>
      </c>
      <c r="V3265" s="773">
        <v>3</v>
      </c>
      <c r="W3265" s="773" t="s">
        <v>410</v>
      </c>
    </row>
    <row r="3266" spans="19:23">
      <c r="S3266" s="27">
        <v>44316</v>
      </c>
      <c r="T3266" s="773" t="s">
        <v>132</v>
      </c>
      <c r="U3266" s="773">
        <v>68</v>
      </c>
      <c r="V3266" s="773">
        <v>313</v>
      </c>
      <c r="W3266" s="773" t="s">
        <v>390</v>
      </c>
    </row>
    <row r="3267" spans="19:23">
      <c r="S3267" s="27">
        <v>44316</v>
      </c>
      <c r="T3267" s="773" t="s">
        <v>132</v>
      </c>
      <c r="U3267" s="773">
        <v>241</v>
      </c>
      <c r="V3267" s="773">
        <v>20</v>
      </c>
      <c r="W3267" s="773" t="s">
        <v>410</v>
      </c>
    </row>
    <row r="3268" spans="19:23">
      <c r="S3268" s="27">
        <v>44316</v>
      </c>
      <c r="T3268" s="773" t="s">
        <v>132</v>
      </c>
      <c r="U3268" s="773">
        <v>73</v>
      </c>
      <c r="V3268" s="773">
        <v>2</v>
      </c>
      <c r="W3268" s="773" t="s">
        <v>410</v>
      </c>
    </row>
    <row r="3269" spans="19:23">
      <c r="S3269" s="27">
        <v>44316</v>
      </c>
      <c r="T3269" s="773" t="s">
        <v>132</v>
      </c>
      <c r="U3269" s="773">
        <v>325</v>
      </c>
      <c r="V3269" s="773">
        <v>2930</v>
      </c>
      <c r="W3269" s="773" t="s">
        <v>390</v>
      </c>
    </row>
    <row r="3270" spans="19:23">
      <c r="S3270" s="27">
        <v>44316</v>
      </c>
      <c r="T3270" s="773" t="s">
        <v>132</v>
      </c>
      <c r="U3270" s="773">
        <v>671</v>
      </c>
      <c r="V3270" s="773">
        <v>2108</v>
      </c>
      <c r="W3270" s="773" t="s">
        <v>390</v>
      </c>
    </row>
    <row r="3271" spans="19:23">
      <c r="S3271" s="27">
        <v>44316</v>
      </c>
      <c r="T3271" s="773" t="s">
        <v>132</v>
      </c>
      <c r="U3271" s="773">
        <v>645</v>
      </c>
      <c r="V3271" s="773">
        <v>2400</v>
      </c>
      <c r="W3271" s="773" t="s">
        <v>390</v>
      </c>
    </row>
    <row r="3272" spans="19:23">
      <c r="S3272" s="27">
        <v>44316</v>
      </c>
      <c r="T3272" s="773" t="s">
        <v>132</v>
      </c>
      <c r="U3272" s="773">
        <v>679</v>
      </c>
      <c r="V3272" s="773">
        <v>4</v>
      </c>
      <c r="W3272" s="773" t="s">
        <v>410</v>
      </c>
    </row>
    <row r="3273" spans="19:23">
      <c r="S3273" s="27">
        <v>44681</v>
      </c>
      <c r="T3273" s="773" t="s">
        <v>132</v>
      </c>
      <c r="U3273" s="773">
        <v>233</v>
      </c>
      <c r="V3273" s="773">
        <v>3069</v>
      </c>
      <c r="W3273" s="773" t="s">
        <v>390</v>
      </c>
    </row>
    <row r="3274" spans="19:23">
      <c r="S3274" s="27">
        <v>44681</v>
      </c>
      <c r="T3274" s="773" t="s">
        <v>132</v>
      </c>
      <c r="U3274" s="773">
        <v>183</v>
      </c>
      <c r="V3274" s="773">
        <v>622</v>
      </c>
      <c r="W3274" s="773" t="s">
        <v>390</v>
      </c>
    </row>
    <row r="3275" spans="19:23">
      <c r="S3275" s="27">
        <v>44316</v>
      </c>
      <c r="T3275" s="773" t="s">
        <v>132</v>
      </c>
      <c r="U3275" s="773">
        <v>249</v>
      </c>
      <c r="V3275" s="773">
        <v>2573</v>
      </c>
      <c r="W3275" s="773" t="s">
        <v>390</v>
      </c>
    </row>
    <row r="3276" spans="19:23">
      <c r="S3276" s="27">
        <v>44316</v>
      </c>
      <c r="T3276" s="773" t="s">
        <v>132</v>
      </c>
      <c r="U3276" s="773">
        <v>183</v>
      </c>
      <c r="V3276" s="773">
        <v>2302</v>
      </c>
      <c r="W3276" s="773" t="s">
        <v>390</v>
      </c>
    </row>
    <row r="3277" spans="19:23">
      <c r="S3277" s="27">
        <v>44347</v>
      </c>
      <c r="T3277" s="773" t="s">
        <v>132</v>
      </c>
      <c r="U3277" s="773">
        <v>311</v>
      </c>
      <c r="V3277" s="773">
        <v>2285</v>
      </c>
      <c r="W3277" s="773" t="s">
        <v>390</v>
      </c>
    </row>
    <row r="3278" spans="19:23">
      <c r="S3278" s="27">
        <v>44347</v>
      </c>
      <c r="T3278" s="773" t="s">
        <v>132</v>
      </c>
      <c r="U3278" s="773">
        <v>262</v>
      </c>
      <c r="V3278" s="773">
        <v>88</v>
      </c>
      <c r="W3278" s="773" t="s">
        <v>410</v>
      </c>
    </row>
    <row r="3279" spans="19:23">
      <c r="S3279" s="27">
        <v>44347</v>
      </c>
      <c r="T3279" s="773" t="s">
        <v>132</v>
      </c>
      <c r="U3279" s="773">
        <v>139</v>
      </c>
      <c r="V3279" s="773">
        <v>2720</v>
      </c>
      <c r="W3279" s="773" t="s">
        <v>390</v>
      </c>
    </row>
    <row r="3280" spans="19:23">
      <c r="S3280" s="27">
        <v>44712</v>
      </c>
      <c r="T3280" s="773" t="s">
        <v>132</v>
      </c>
      <c r="U3280" s="773">
        <v>78</v>
      </c>
      <c r="V3280" s="773">
        <v>1</v>
      </c>
      <c r="W3280" s="773" t="s">
        <v>410</v>
      </c>
    </row>
    <row r="3281" spans="19:23">
      <c r="S3281" s="27">
        <v>44712</v>
      </c>
      <c r="T3281" s="773" t="s">
        <v>132</v>
      </c>
      <c r="U3281" s="773">
        <v>658</v>
      </c>
      <c r="V3281" s="773">
        <v>3685</v>
      </c>
      <c r="W3281" s="773" t="s">
        <v>390</v>
      </c>
    </row>
    <row r="3282" spans="19:23">
      <c r="S3282" s="27">
        <v>44712</v>
      </c>
      <c r="T3282" s="773" t="s">
        <v>132</v>
      </c>
      <c r="U3282" s="773">
        <v>92</v>
      </c>
      <c r="V3282" s="773">
        <v>3055</v>
      </c>
      <c r="W3282" s="773" t="s">
        <v>390</v>
      </c>
    </row>
    <row r="3283" spans="19:23">
      <c r="S3283" s="27">
        <v>44712</v>
      </c>
      <c r="T3283" s="773" t="s">
        <v>132</v>
      </c>
      <c r="U3283" s="773">
        <v>83</v>
      </c>
      <c r="V3283" s="773">
        <v>2470</v>
      </c>
      <c r="W3283" s="773" t="s">
        <v>390</v>
      </c>
    </row>
    <row r="3284" spans="19:23">
      <c r="S3284" s="27">
        <v>44347</v>
      </c>
      <c r="T3284" s="773" t="s">
        <v>132</v>
      </c>
      <c r="U3284" s="773">
        <v>320</v>
      </c>
      <c r="V3284" s="773">
        <v>89</v>
      </c>
      <c r="W3284" s="773" t="s">
        <v>410</v>
      </c>
    </row>
    <row r="3285" spans="19:23">
      <c r="S3285" s="27">
        <v>44347</v>
      </c>
      <c r="T3285" s="773" t="s">
        <v>132</v>
      </c>
      <c r="U3285" s="773">
        <v>697</v>
      </c>
      <c r="V3285" s="773">
        <v>2743</v>
      </c>
      <c r="W3285" s="773" t="s">
        <v>390</v>
      </c>
    </row>
    <row r="3286" spans="19:23">
      <c r="S3286" s="27">
        <v>44347</v>
      </c>
      <c r="T3286" s="773" t="s">
        <v>132</v>
      </c>
      <c r="U3286" s="773">
        <v>11</v>
      </c>
      <c r="V3286" s="773">
        <v>29</v>
      </c>
      <c r="W3286" s="773" t="s">
        <v>410</v>
      </c>
    </row>
    <row r="3287" spans="19:23">
      <c r="S3287" s="27">
        <v>44712</v>
      </c>
      <c r="T3287" s="773" t="s">
        <v>132</v>
      </c>
      <c r="U3287" s="773">
        <v>303</v>
      </c>
      <c r="V3287" s="773">
        <v>2565</v>
      </c>
      <c r="W3287" s="773" t="s">
        <v>390</v>
      </c>
    </row>
    <row r="3288" spans="19:23">
      <c r="S3288" s="27">
        <v>44712</v>
      </c>
      <c r="T3288" s="773" t="s">
        <v>132</v>
      </c>
      <c r="U3288" s="773">
        <v>621</v>
      </c>
      <c r="V3288" s="773">
        <v>2423</v>
      </c>
      <c r="W3288" s="773" t="s">
        <v>390</v>
      </c>
    </row>
    <row r="3289" spans="19:23">
      <c r="S3289" s="27">
        <v>44347</v>
      </c>
      <c r="T3289" s="773" t="s">
        <v>132</v>
      </c>
      <c r="U3289" s="773">
        <v>321</v>
      </c>
      <c r="V3289" s="773">
        <v>69</v>
      </c>
      <c r="W3289" s="773" t="s">
        <v>410</v>
      </c>
    </row>
    <row r="3290" spans="19:23">
      <c r="S3290" s="27">
        <v>44347</v>
      </c>
      <c r="T3290" s="773" t="s">
        <v>132</v>
      </c>
      <c r="U3290" s="773">
        <v>684</v>
      </c>
      <c r="V3290" s="773">
        <v>2619</v>
      </c>
      <c r="W3290" s="773" t="s">
        <v>390</v>
      </c>
    </row>
    <row r="3291" spans="19:23">
      <c r="S3291" s="27">
        <v>44347</v>
      </c>
      <c r="T3291" s="773" t="s">
        <v>132</v>
      </c>
      <c r="U3291" s="773">
        <v>241</v>
      </c>
      <c r="V3291" s="773">
        <v>22</v>
      </c>
      <c r="W3291" s="773" t="s">
        <v>410</v>
      </c>
    </row>
    <row r="3292" spans="19:23">
      <c r="S3292" s="27">
        <v>44712</v>
      </c>
      <c r="T3292" s="773" t="s">
        <v>132</v>
      </c>
      <c r="U3292" s="773">
        <v>329</v>
      </c>
      <c r="V3292" s="773">
        <v>4214</v>
      </c>
      <c r="W3292" s="773" t="s">
        <v>390</v>
      </c>
    </row>
    <row r="3293" spans="19:23">
      <c r="S3293" s="27">
        <v>44712</v>
      </c>
      <c r="T3293" s="773" t="s">
        <v>132</v>
      </c>
      <c r="U3293" s="773">
        <v>328</v>
      </c>
      <c r="V3293" s="773">
        <v>1560</v>
      </c>
      <c r="W3293" s="773" t="s">
        <v>390</v>
      </c>
    </row>
    <row r="3294" spans="19:23">
      <c r="S3294" s="27">
        <v>44712</v>
      </c>
      <c r="T3294" s="773" t="s">
        <v>132</v>
      </c>
      <c r="U3294" s="773">
        <v>276</v>
      </c>
      <c r="V3294" s="773">
        <v>1</v>
      </c>
      <c r="W3294" s="773" t="s">
        <v>410</v>
      </c>
    </row>
    <row r="3295" spans="19:23">
      <c r="S3295" s="27">
        <v>44347</v>
      </c>
      <c r="T3295" s="773" t="s">
        <v>132</v>
      </c>
      <c r="U3295" s="773">
        <v>636</v>
      </c>
      <c r="V3295" s="773">
        <v>17</v>
      </c>
      <c r="W3295" s="773" t="s">
        <v>410</v>
      </c>
    </row>
    <row r="3296" spans="19:23">
      <c r="S3296" s="27">
        <v>44347</v>
      </c>
      <c r="T3296" s="773" t="s">
        <v>132</v>
      </c>
      <c r="U3296" s="773">
        <v>523</v>
      </c>
      <c r="V3296" s="773">
        <v>13</v>
      </c>
      <c r="W3296" s="773" t="s">
        <v>410</v>
      </c>
    </row>
    <row r="3297" spans="19:23">
      <c r="S3297" s="27">
        <v>44347</v>
      </c>
      <c r="T3297" s="773" t="s">
        <v>132</v>
      </c>
      <c r="U3297" s="773">
        <v>66</v>
      </c>
      <c r="V3297" s="773">
        <v>5</v>
      </c>
      <c r="W3297" s="773" t="s">
        <v>410</v>
      </c>
    </row>
    <row r="3298" spans="19:23">
      <c r="S3298" s="27">
        <v>44347</v>
      </c>
      <c r="T3298" s="773" t="s">
        <v>132</v>
      </c>
      <c r="U3298" s="773">
        <v>41</v>
      </c>
      <c r="V3298" s="773">
        <v>1</v>
      </c>
      <c r="W3298" s="773" t="s">
        <v>410</v>
      </c>
    </row>
    <row r="3299" spans="19:23">
      <c r="S3299" s="27">
        <v>44347</v>
      </c>
      <c r="T3299" s="773" t="s">
        <v>132</v>
      </c>
      <c r="U3299" s="773">
        <v>293</v>
      </c>
      <c r="V3299" s="773">
        <v>523</v>
      </c>
      <c r="W3299" s="773" t="s">
        <v>390</v>
      </c>
    </row>
    <row r="3300" spans="19:23">
      <c r="S3300" s="27">
        <v>44347</v>
      </c>
      <c r="T3300" s="773" t="s">
        <v>132</v>
      </c>
      <c r="U3300" s="773">
        <v>667</v>
      </c>
      <c r="V3300" s="773">
        <v>1</v>
      </c>
      <c r="W3300" s="773" t="s">
        <v>410</v>
      </c>
    </row>
    <row r="3301" spans="19:23">
      <c r="S3301" s="27">
        <v>44347</v>
      </c>
      <c r="T3301" s="773" t="s">
        <v>132</v>
      </c>
      <c r="U3301" s="773">
        <v>240</v>
      </c>
      <c r="V3301" s="773">
        <v>3</v>
      </c>
      <c r="W3301" s="773" t="s">
        <v>410</v>
      </c>
    </row>
    <row r="3302" spans="19:23">
      <c r="S3302" s="27">
        <v>44712</v>
      </c>
      <c r="T3302" s="773" t="s">
        <v>132</v>
      </c>
      <c r="U3302" s="773">
        <v>680</v>
      </c>
      <c r="V3302" s="773">
        <v>3105</v>
      </c>
      <c r="W3302" s="773" t="s">
        <v>390</v>
      </c>
    </row>
    <row r="3303" spans="19:23">
      <c r="S3303" s="27">
        <v>44347</v>
      </c>
      <c r="T3303" s="773" t="s">
        <v>132</v>
      </c>
      <c r="U3303" s="773">
        <v>158</v>
      </c>
      <c r="V3303" s="773">
        <v>63</v>
      </c>
      <c r="W3303" s="773" t="s">
        <v>410</v>
      </c>
    </row>
    <row r="3304" spans="19:23">
      <c r="S3304" s="27">
        <v>44347</v>
      </c>
      <c r="T3304" s="773" t="s">
        <v>132</v>
      </c>
      <c r="U3304" s="773">
        <v>78</v>
      </c>
      <c r="V3304" s="773">
        <v>3</v>
      </c>
      <c r="W3304" s="773" t="s">
        <v>410</v>
      </c>
    </row>
    <row r="3305" spans="19:23">
      <c r="S3305" s="27">
        <v>44712</v>
      </c>
      <c r="T3305" s="773" t="s">
        <v>132</v>
      </c>
      <c r="U3305" s="773">
        <v>93</v>
      </c>
      <c r="V3305" s="773">
        <v>3149</v>
      </c>
      <c r="W3305" s="773" t="s">
        <v>390</v>
      </c>
    </row>
    <row r="3306" spans="19:23">
      <c r="S3306" s="27">
        <v>44712</v>
      </c>
      <c r="T3306" s="773" t="s">
        <v>132</v>
      </c>
      <c r="U3306" s="773">
        <v>79</v>
      </c>
      <c r="V3306" s="773">
        <v>4</v>
      </c>
      <c r="W3306" s="773" t="s">
        <v>410</v>
      </c>
    </row>
    <row r="3307" spans="19:23">
      <c r="S3307" s="27">
        <v>44712</v>
      </c>
      <c r="T3307" s="773" t="s">
        <v>132</v>
      </c>
      <c r="U3307" s="773">
        <v>52</v>
      </c>
      <c r="V3307" s="773">
        <v>5</v>
      </c>
      <c r="W3307" s="773" t="s">
        <v>410</v>
      </c>
    </row>
    <row r="3308" spans="19:23">
      <c r="S3308" s="27">
        <v>44712</v>
      </c>
      <c r="T3308" s="773" t="s">
        <v>132</v>
      </c>
      <c r="U3308" s="773">
        <v>116</v>
      </c>
      <c r="V3308" s="773">
        <v>2</v>
      </c>
      <c r="W3308" s="773" t="s">
        <v>410</v>
      </c>
    </row>
    <row r="3309" spans="19:23">
      <c r="S3309" s="27">
        <v>44347</v>
      </c>
      <c r="T3309" s="773" t="s">
        <v>132</v>
      </c>
      <c r="U3309" s="773">
        <v>272</v>
      </c>
      <c r="V3309" s="773">
        <v>1</v>
      </c>
      <c r="W3309" s="773" t="s">
        <v>410</v>
      </c>
    </row>
    <row r="3310" spans="19:23">
      <c r="S3310" s="27">
        <v>44347</v>
      </c>
      <c r="T3310" s="773" t="s">
        <v>132</v>
      </c>
      <c r="U3310" s="773">
        <v>190</v>
      </c>
      <c r="V3310" s="773">
        <v>6</v>
      </c>
      <c r="W3310" s="773" t="s">
        <v>410</v>
      </c>
    </row>
    <row r="3311" spans="19:23">
      <c r="S3311" s="27">
        <v>44712</v>
      </c>
      <c r="T3311" s="773" t="s">
        <v>132</v>
      </c>
      <c r="U3311" s="773">
        <v>295</v>
      </c>
      <c r="V3311" s="773">
        <v>2</v>
      </c>
      <c r="W3311" s="773" t="s">
        <v>410</v>
      </c>
    </row>
    <row r="3312" spans="19:23">
      <c r="S3312" s="27">
        <v>44347</v>
      </c>
      <c r="T3312" s="773" t="s">
        <v>132</v>
      </c>
      <c r="U3312" s="773">
        <v>213</v>
      </c>
      <c r="V3312" s="773">
        <v>2802</v>
      </c>
      <c r="W3312" s="773" t="s">
        <v>390</v>
      </c>
    </row>
    <row r="3313" spans="19:23">
      <c r="S3313" s="27">
        <v>44347</v>
      </c>
      <c r="T3313" s="773" t="s">
        <v>132</v>
      </c>
      <c r="U3313" s="773">
        <v>105</v>
      </c>
      <c r="V3313" s="773">
        <v>1</v>
      </c>
      <c r="W3313" s="773" t="s">
        <v>410</v>
      </c>
    </row>
    <row r="3314" spans="19:23">
      <c r="S3314" s="27">
        <v>44712</v>
      </c>
      <c r="T3314" s="773" t="s">
        <v>132</v>
      </c>
      <c r="U3314" s="773">
        <v>173</v>
      </c>
      <c r="V3314" s="773">
        <v>2</v>
      </c>
      <c r="W3314" s="773" t="s">
        <v>410</v>
      </c>
    </row>
    <row r="3315" spans="19:23">
      <c r="S3315" s="27">
        <v>44712</v>
      </c>
      <c r="T3315" s="773" t="s">
        <v>132</v>
      </c>
      <c r="U3315" s="773">
        <v>183</v>
      </c>
      <c r="V3315" s="773">
        <v>616</v>
      </c>
      <c r="W3315" s="773" t="s">
        <v>390</v>
      </c>
    </row>
    <row r="3316" spans="19:23">
      <c r="S3316" s="27">
        <v>44712</v>
      </c>
      <c r="T3316" s="773" t="s">
        <v>132</v>
      </c>
      <c r="U3316" s="773">
        <v>257</v>
      </c>
      <c r="V3316" s="773">
        <v>3194</v>
      </c>
      <c r="W3316" s="773" t="s">
        <v>390</v>
      </c>
    </row>
    <row r="3317" spans="19:23">
      <c r="S3317" s="27">
        <v>44347</v>
      </c>
      <c r="T3317" s="773" t="s">
        <v>132</v>
      </c>
      <c r="U3317" s="773">
        <v>668</v>
      </c>
      <c r="V3317" s="773">
        <v>9</v>
      </c>
      <c r="W3317" s="773" t="s">
        <v>410</v>
      </c>
    </row>
    <row r="3318" spans="19:23">
      <c r="S3318" s="27">
        <v>44712</v>
      </c>
      <c r="T3318" s="773" t="s">
        <v>132</v>
      </c>
      <c r="U3318" s="773">
        <v>523</v>
      </c>
      <c r="V3318" s="773">
        <v>1</v>
      </c>
      <c r="W3318" s="773" t="s">
        <v>410</v>
      </c>
    </row>
    <row r="3319" spans="19:23">
      <c r="S3319" s="27">
        <v>44712</v>
      </c>
      <c r="T3319" s="773" t="s">
        <v>132</v>
      </c>
      <c r="U3319" s="773">
        <v>283</v>
      </c>
      <c r="V3319" s="773">
        <v>1</v>
      </c>
      <c r="W3319" s="773" t="s">
        <v>410</v>
      </c>
    </row>
    <row r="3320" spans="19:23">
      <c r="S3320" s="27">
        <v>44347</v>
      </c>
      <c r="T3320" s="773" t="s">
        <v>132</v>
      </c>
      <c r="U3320" s="773">
        <v>251</v>
      </c>
      <c r="V3320" s="773">
        <v>2521</v>
      </c>
      <c r="W3320" s="773" t="s">
        <v>390</v>
      </c>
    </row>
    <row r="3321" spans="19:23">
      <c r="S3321" s="27">
        <v>44347</v>
      </c>
      <c r="T3321" s="773" t="s">
        <v>132</v>
      </c>
      <c r="U3321" s="773">
        <v>318</v>
      </c>
      <c r="V3321" s="773">
        <v>1998</v>
      </c>
      <c r="W3321" s="773" t="s">
        <v>390</v>
      </c>
    </row>
    <row r="3322" spans="19:23">
      <c r="S3322" s="27">
        <v>44347</v>
      </c>
      <c r="T3322" s="773" t="s">
        <v>132</v>
      </c>
      <c r="U3322" s="773">
        <v>58</v>
      </c>
      <c r="V3322" s="773">
        <v>3</v>
      </c>
      <c r="W3322" s="773" t="s">
        <v>410</v>
      </c>
    </row>
    <row r="3323" spans="19:23">
      <c r="S3323" s="27">
        <v>44347</v>
      </c>
      <c r="T3323" s="773" t="s">
        <v>132</v>
      </c>
      <c r="U3323" s="773">
        <v>195</v>
      </c>
      <c r="V3323" s="773">
        <v>1</v>
      </c>
      <c r="W3323" s="773" t="s">
        <v>410</v>
      </c>
    </row>
    <row r="3324" spans="19:23">
      <c r="S3324" s="27">
        <v>44712</v>
      </c>
      <c r="T3324" s="773" t="s">
        <v>132</v>
      </c>
      <c r="U3324" s="773">
        <v>651</v>
      </c>
      <c r="V3324" s="773">
        <v>61</v>
      </c>
      <c r="W3324" s="773" t="s">
        <v>410</v>
      </c>
    </row>
    <row r="3325" spans="19:23">
      <c r="S3325" s="27">
        <v>44712</v>
      </c>
      <c r="T3325" s="773" t="s">
        <v>132</v>
      </c>
      <c r="U3325" s="773">
        <v>671</v>
      </c>
      <c r="V3325" s="773">
        <v>1882</v>
      </c>
      <c r="W3325" s="773" t="s">
        <v>390</v>
      </c>
    </row>
    <row r="3326" spans="19:23">
      <c r="S3326" s="27">
        <v>44712</v>
      </c>
      <c r="T3326" s="773" t="s">
        <v>132</v>
      </c>
      <c r="U3326" s="773">
        <v>232</v>
      </c>
      <c r="V3326" s="773">
        <v>4</v>
      </c>
      <c r="W3326" s="773" t="s">
        <v>410</v>
      </c>
    </row>
    <row r="3327" spans="19:23">
      <c r="S3327" s="27">
        <v>44347</v>
      </c>
      <c r="T3327" s="773" t="s">
        <v>132</v>
      </c>
      <c r="U3327" s="773">
        <v>662</v>
      </c>
      <c r="V3327" s="773">
        <v>2853</v>
      </c>
      <c r="W3327" s="773" t="s">
        <v>390</v>
      </c>
    </row>
    <row r="3328" spans="19:23">
      <c r="S3328" s="27">
        <v>44712</v>
      </c>
      <c r="T3328" s="773" t="s">
        <v>132</v>
      </c>
      <c r="U3328" s="773">
        <v>94</v>
      </c>
      <c r="V3328" s="773">
        <v>167</v>
      </c>
      <c r="W3328" s="773" t="s">
        <v>390</v>
      </c>
    </row>
    <row r="3329" spans="19:23">
      <c r="S3329" s="27">
        <v>44712</v>
      </c>
      <c r="T3329" s="773" t="s">
        <v>132</v>
      </c>
      <c r="U3329" s="773">
        <v>155</v>
      </c>
      <c r="V3329" s="773">
        <v>2676</v>
      </c>
      <c r="W3329" s="773" t="s">
        <v>390</v>
      </c>
    </row>
    <row r="3330" spans="19:23">
      <c r="S3330" s="27">
        <v>44347</v>
      </c>
      <c r="T3330" s="773" t="s">
        <v>132</v>
      </c>
      <c r="U3330" s="773">
        <v>257</v>
      </c>
      <c r="V3330" s="773">
        <v>2497</v>
      </c>
      <c r="W3330" s="773" t="s">
        <v>390</v>
      </c>
    </row>
    <row r="3331" spans="19:23">
      <c r="S3331" s="27">
        <v>44712</v>
      </c>
      <c r="T3331" s="773" t="s">
        <v>132</v>
      </c>
      <c r="U3331" s="773">
        <v>662</v>
      </c>
      <c r="V3331" s="773">
        <v>687</v>
      </c>
      <c r="W3331" s="773" t="s">
        <v>390</v>
      </c>
    </row>
    <row r="3332" spans="19:23">
      <c r="S3332" s="27">
        <v>44347</v>
      </c>
      <c r="T3332" s="773" t="s">
        <v>132</v>
      </c>
      <c r="U3332" s="773">
        <v>650</v>
      </c>
      <c r="V3332" s="773">
        <v>119</v>
      </c>
      <c r="W3332" s="773" t="s">
        <v>390</v>
      </c>
    </row>
    <row r="3333" spans="19:23">
      <c r="S3333" s="27">
        <v>44712</v>
      </c>
      <c r="T3333" s="773" t="s">
        <v>132</v>
      </c>
      <c r="U3333" s="773">
        <v>140</v>
      </c>
      <c r="V3333" s="773">
        <v>375</v>
      </c>
      <c r="W3333" s="773" t="s">
        <v>390</v>
      </c>
    </row>
    <row r="3334" spans="19:23">
      <c r="S3334" s="27">
        <v>44347</v>
      </c>
      <c r="T3334" s="773" t="s">
        <v>132</v>
      </c>
      <c r="U3334" s="773">
        <v>342</v>
      </c>
      <c r="V3334" s="773">
        <v>2737</v>
      </c>
      <c r="W3334" s="773" t="s">
        <v>390</v>
      </c>
    </row>
    <row r="3335" spans="19:23">
      <c r="S3335" s="27">
        <v>44712</v>
      </c>
      <c r="T3335" s="773" t="s">
        <v>132</v>
      </c>
      <c r="U3335" s="773">
        <v>193</v>
      </c>
      <c r="V3335" s="773">
        <v>436</v>
      </c>
      <c r="W3335" s="773" t="s">
        <v>390</v>
      </c>
    </row>
    <row r="3336" spans="19:23">
      <c r="S3336" s="27">
        <v>44347</v>
      </c>
      <c r="T3336" s="773" t="s">
        <v>132</v>
      </c>
      <c r="U3336" s="773">
        <v>176</v>
      </c>
      <c r="V3336" s="773">
        <v>1</v>
      </c>
      <c r="W3336" s="773" t="s">
        <v>410</v>
      </c>
    </row>
    <row r="3337" spans="19:23">
      <c r="S3337" s="27">
        <v>44347</v>
      </c>
      <c r="T3337" s="773" t="s">
        <v>132</v>
      </c>
      <c r="U3337" s="773">
        <v>231</v>
      </c>
      <c r="V3337" s="773">
        <v>5</v>
      </c>
      <c r="W3337" s="773" t="s">
        <v>410</v>
      </c>
    </row>
    <row r="3338" spans="19:23">
      <c r="S3338" s="27">
        <v>44347</v>
      </c>
      <c r="T3338" s="773" t="s">
        <v>132</v>
      </c>
      <c r="U3338" s="773">
        <v>701</v>
      </c>
      <c r="V3338" s="773">
        <v>2284</v>
      </c>
      <c r="W3338" s="773" t="s">
        <v>390</v>
      </c>
    </row>
    <row r="3339" spans="19:23">
      <c r="S3339" s="27">
        <v>44347</v>
      </c>
      <c r="T3339" s="773" t="s">
        <v>132</v>
      </c>
      <c r="U3339" s="773">
        <v>101</v>
      </c>
      <c r="V3339" s="773">
        <v>798</v>
      </c>
      <c r="W3339" s="773" t="s">
        <v>390</v>
      </c>
    </row>
    <row r="3340" spans="19:23">
      <c r="S3340" s="27">
        <v>44347</v>
      </c>
      <c r="T3340" s="773" t="s">
        <v>132</v>
      </c>
      <c r="U3340" s="773">
        <v>247</v>
      </c>
      <c r="V3340" s="773">
        <v>29</v>
      </c>
      <c r="W3340" s="773" t="s">
        <v>410</v>
      </c>
    </row>
    <row r="3341" spans="19:23">
      <c r="S3341" s="27">
        <v>44347</v>
      </c>
      <c r="T3341" s="773" t="s">
        <v>132</v>
      </c>
      <c r="U3341" s="773">
        <v>116</v>
      </c>
      <c r="V3341" s="773">
        <v>2</v>
      </c>
      <c r="W3341" s="773" t="s">
        <v>410</v>
      </c>
    </row>
    <row r="3342" spans="19:23">
      <c r="S3342" s="27">
        <v>44712</v>
      </c>
      <c r="T3342" s="773" t="s">
        <v>132</v>
      </c>
      <c r="U3342" s="773">
        <v>254</v>
      </c>
      <c r="V3342" s="773">
        <v>3</v>
      </c>
      <c r="W3342" s="773" t="s">
        <v>410</v>
      </c>
    </row>
    <row r="3343" spans="19:23">
      <c r="S3343" s="27">
        <v>44347</v>
      </c>
      <c r="T3343" s="773" t="s">
        <v>132</v>
      </c>
      <c r="U3343" s="773">
        <v>161</v>
      </c>
      <c r="V3343" s="773">
        <v>7</v>
      </c>
      <c r="W3343" s="773" t="s">
        <v>410</v>
      </c>
    </row>
    <row r="3344" spans="19:23">
      <c r="S3344" s="27">
        <v>44347</v>
      </c>
      <c r="T3344" s="773" t="s">
        <v>132</v>
      </c>
      <c r="U3344" s="773">
        <v>323</v>
      </c>
      <c r="V3344" s="773">
        <v>2788</v>
      </c>
      <c r="W3344" s="773" t="s">
        <v>390</v>
      </c>
    </row>
    <row r="3345" spans="19:23">
      <c r="S3345" s="27">
        <v>44347</v>
      </c>
      <c r="T3345" s="773" t="s">
        <v>132</v>
      </c>
      <c r="U3345" s="773">
        <v>669</v>
      </c>
      <c r="V3345" s="773">
        <v>2428</v>
      </c>
      <c r="W3345" s="773" t="s">
        <v>390</v>
      </c>
    </row>
    <row r="3346" spans="19:23">
      <c r="S3346" s="27">
        <v>44712</v>
      </c>
      <c r="T3346" s="773" t="s">
        <v>132</v>
      </c>
      <c r="U3346" s="773">
        <v>709</v>
      </c>
      <c r="V3346" s="773">
        <v>2286</v>
      </c>
      <c r="W3346" s="773" t="s">
        <v>390</v>
      </c>
    </row>
    <row r="3347" spans="19:23">
      <c r="S3347" s="27">
        <v>44712</v>
      </c>
      <c r="T3347" s="773" t="s">
        <v>132</v>
      </c>
      <c r="U3347" s="773">
        <v>82</v>
      </c>
      <c r="V3347" s="773">
        <v>2447</v>
      </c>
      <c r="W3347" s="773" t="s">
        <v>390</v>
      </c>
    </row>
    <row r="3348" spans="19:23">
      <c r="S3348" s="27">
        <v>44347</v>
      </c>
      <c r="T3348" s="773" t="s">
        <v>132</v>
      </c>
      <c r="U3348" s="773">
        <v>141</v>
      </c>
      <c r="V3348" s="773">
        <v>10</v>
      </c>
      <c r="W3348" s="773" t="s">
        <v>410</v>
      </c>
    </row>
    <row r="3349" spans="19:23">
      <c r="S3349" s="27">
        <v>44712</v>
      </c>
      <c r="T3349" s="773" t="s">
        <v>132</v>
      </c>
      <c r="U3349" s="773">
        <v>220</v>
      </c>
      <c r="V3349" s="773">
        <v>66</v>
      </c>
      <c r="W3349" s="773" t="s">
        <v>410</v>
      </c>
    </row>
    <row r="3350" spans="19:23">
      <c r="S3350" s="27">
        <v>44347</v>
      </c>
      <c r="T3350" s="773" t="s">
        <v>132</v>
      </c>
      <c r="U3350" s="773">
        <v>56</v>
      </c>
      <c r="V3350" s="773">
        <v>44</v>
      </c>
      <c r="W3350" s="773" t="s">
        <v>410</v>
      </c>
    </row>
    <row r="3351" spans="19:23">
      <c r="S3351" s="27">
        <v>44347</v>
      </c>
      <c r="T3351" s="773" t="s">
        <v>132</v>
      </c>
      <c r="U3351" s="773">
        <v>191</v>
      </c>
      <c r="V3351" s="773">
        <v>1952</v>
      </c>
      <c r="W3351" s="773" t="s">
        <v>390</v>
      </c>
    </row>
    <row r="3352" spans="19:23">
      <c r="S3352" s="27">
        <v>44712</v>
      </c>
      <c r="T3352" s="773" t="s">
        <v>132</v>
      </c>
      <c r="U3352" s="773">
        <v>666</v>
      </c>
      <c r="V3352" s="773">
        <v>1546</v>
      </c>
      <c r="W3352" s="773" t="s">
        <v>390</v>
      </c>
    </row>
    <row r="3353" spans="19:23">
      <c r="S3353" s="27">
        <v>44712</v>
      </c>
      <c r="T3353" s="773" t="s">
        <v>132</v>
      </c>
      <c r="U3353" s="773">
        <v>669</v>
      </c>
      <c r="V3353" s="773">
        <v>3063</v>
      </c>
      <c r="W3353" s="773" t="s">
        <v>390</v>
      </c>
    </row>
    <row r="3354" spans="19:23">
      <c r="S3354" s="27">
        <v>44712</v>
      </c>
      <c r="T3354" s="773" t="s">
        <v>132</v>
      </c>
      <c r="U3354" s="773">
        <v>246</v>
      </c>
      <c r="V3354" s="773">
        <v>2</v>
      </c>
      <c r="W3354" s="773" t="s">
        <v>410</v>
      </c>
    </row>
    <row r="3355" spans="19:23">
      <c r="S3355" s="27">
        <v>44712</v>
      </c>
      <c r="T3355" s="773" t="s">
        <v>132</v>
      </c>
      <c r="U3355" s="773">
        <v>698</v>
      </c>
      <c r="V3355" s="773">
        <v>3118</v>
      </c>
      <c r="W3355" s="773" t="s">
        <v>390</v>
      </c>
    </row>
    <row r="3356" spans="19:23">
      <c r="S3356" s="27">
        <v>44712</v>
      </c>
      <c r="T3356" s="773" t="s">
        <v>132</v>
      </c>
      <c r="U3356" s="773">
        <v>158</v>
      </c>
      <c r="V3356" s="773">
        <v>115</v>
      </c>
      <c r="W3356" s="773" t="s">
        <v>390</v>
      </c>
    </row>
    <row r="3357" spans="19:23">
      <c r="S3357" s="27">
        <v>44347</v>
      </c>
      <c r="T3357" s="773" t="s">
        <v>132</v>
      </c>
      <c r="U3357" s="773">
        <v>79</v>
      </c>
      <c r="V3357" s="773">
        <v>4</v>
      </c>
      <c r="W3357" s="773" t="s">
        <v>410</v>
      </c>
    </row>
    <row r="3358" spans="19:23">
      <c r="S3358" s="27">
        <v>44712</v>
      </c>
      <c r="T3358" s="773" t="s">
        <v>132</v>
      </c>
      <c r="U3358" s="773">
        <v>317</v>
      </c>
      <c r="V3358" s="773">
        <v>3572</v>
      </c>
      <c r="W3358" s="773" t="s">
        <v>390</v>
      </c>
    </row>
    <row r="3359" spans="19:23">
      <c r="S3359" s="27">
        <v>44347</v>
      </c>
      <c r="T3359" s="773" t="s">
        <v>132</v>
      </c>
      <c r="U3359" s="773">
        <v>44</v>
      </c>
      <c r="V3359" s="773">
        <v>3098</v>
      </c>
      <c r="W3359" s="773" t="s">
        <v>390</v>
      </c>
    </row>
    <row r="3360" spans="19:23">
      <c r="S3360" s="27">
        <v>44712</v>
      </c>
      <c r="T3360" s="773" t="s">
        <v>132</v>
      </c>
      <c r="U3360" s="773">
        <v>687</v>
      </c>
      <c r="V3360" s="773">
        <v>2980</v>
      </c>
      <c r="W3360" s="773" t="s">
        <v>390</v>
      </c>
    </row>
    <row r="3361" spans="19:23">
      <c r="S3361" s="27">
        <v>44712</v>
      </c>
      <c r="T3361" s="773" t="s">
        <v>132</v>
      </c>
      <c r="U3361" s="773">
        <v>308</v>
      </c>
      <c r="V3361" s="773">
        <v>2151</v>
      </c>
      <c r="W3361" s="773" t="s">
        <v>390</v>
      </c>
    </row>
    <row r="3362" spans="19:23">
      <c r="S3362" s="27">
        <v>44712</v>
      </c>
      <c r="T3362" s="773" t="s">
        <v>132</v>
      </c>
      <c r="U3362" s="773">
        <v>63</v>
      </c>
      <c r="V3362" s="773">
        <v>1</v>
      </c>
      <c r="W3362" s="773" t="s">
        <v>410</v>
      </c>
    </row>
    <row r="3363" spans="19:23">
      <c r="S3363" s="27">
        <v>44712</v>
      </c>
      <c r="T3363" s="773" t="s">
        <v>132</v>
      </c>
      <c r="U3363" s="773">
        <v>694</v>
      </c>
      <c r="V3363" s="773">
        <v>1</v>
      </c>
      <c r="W3363" s="773" t="s">
        <v>410</v>
      </c>
    </row>
    <row r="3364" spans="19:23">
      <c r="S3364" s="27">
        <v>44712</v>
      </c>
      <c r="T3364" s="773" t="s">
        <v>132</v>
      </c>
      <c r="U3364" s="773">
        <v>247</v>
      </c>
      <c r="V3364" s="773">
        <v>2834</v>
      </c>
      <c r="W3364" s="773" t="s">
        <v>390</v>
      </c>
    </row>
    <row r="3365" spans="19:23">
      <c r="S3365" s="27">
        <v>44347</v>
      </c>
      <c r="T3365" s="773" t="s">
        <v>132</v>
      </c>
      <c r="U3365" s="773">
        <v>292</v>
      </c>
      <c r="V3365" s="773">
        <v>8</v>
      </c>
      <c r="W3365" s="773" t="s">
        <v>410</v>
      </c>
    </row>
    <row r="3366" spans="19:23">
      <c r="S3366" s="27">
        <v>44712</v>
      </c>
      <c r="T3366" s="773" t="s">
        <v>132</v>
      </c>
      <c r="U3366" s="773">
        <v>653</v>
      </c>
      <c r="V3366" s="773">
        <v>3</v>
      </c>
      <c r="W3366" s="773" t="s">
        <v>410</v>
      </c>
    </row>
    <row r="3367" spans="19:23">
      <c r="S3367" s="27">
        <v>44347</v>
      </c>
      <c r="T3367" s="773" t="s">
        <v>132</v>
      </c>
      <c r="U3367" s="773">
        <v>671</v>
      </c>
      <c r="V3367" s="773">
        <v>2178</v>
      </c>
      <c r="W3367" s="773" t="s">
        <v>390</v>
      </c>
    </row>
    <row r="3368" spans="19:23">
      <c r="S3368" s="27">
        <v>44347</v>
      </c>
      <c r="T3368" s="773" t="s">
        <v>132</v>
      </c>
      <c r="U3368" s="773">
        <v>181</v>
      </c>
      <c r="V3368" s="773">
        <v>1</v>
      </c>
      <c r="W3368" s="773" t="s">
        <v>410</v>
      </c>
    </row>
    <row r="3369" spans="19:23">
      <c r="S3369" s="27">
        <v>44712</v>
      </c>
      <c r="T3369" s="773" t="s">
        <v>132</v>
      </c>
      <c r="U3369" s="773">
        <v>101</v>
      </c>
      <c r="V3369" s="773">
        <v>287</v>
      </c>
      <c r="W3369" s="773" t="s">
        <v>390</v>
      </c>
    </row>
    <row r="3370" spans="19:23">
      <c r="S3370" s="27">
        <v>44347</v>
      </c>
      <c r="T3370" s="773" t="s">
        <v>132</v>
      </c>
      <c r="U3370" s="773">
        <v>238</v>
      </c>
      <c r="V3370" s="773">
        <v>5</v>
      </c>
      <c r="W3370" s="773" t="s">
        <v>410</v>
      </c>
    </row>
    <row r="3371" spans="19:23">
      <c r="S3371" s="27">
        <v>44347</v>
      </c>
      <c r="T3371" s="773" t="s">
        <v>132</v>
      </c>
      <c r="U3371" s="773">
        <v>679</v>
      </c>
      <c r="V3371" s="773">
        <v>4</v>
      </c>
      <c r="W3371" s="773" t="s">
        <v>410</v>
      </c>
    </row>
    <row r="3372" spans="19:23">
      <c r="S3372" s="27">
        <v>44712</v>
      </c>
      <c r="T3372" s="773" t="s">
        <v>132</v>
      </c>
      <c r="U3372" s="773">
        <v>320</v>
      </c>
      <c r="V3372" s="773">
        <v>1695</v>
      </c>
      <c r="W3372" s="773" t="s">
        <v>390</v>
      </c>
    </row>
    <row r="3373" spans="19:23">
      <c r="S3373" s="27">
        <v>44347</v>
      </c>
      <c r="T3373" s="773" t="s">
        <v>132</v>
      </c>
      <c r="U3373" s="773">
        <v>149</v>
      </c>
      <c r="V3373" s="773">
        <v>2</v>
      </c>
      <c r="W3373" s="773" t="s">
        <v>410</v>
      </c>
    </row>
    <row r="3374" spans="19:23">
      <c r="S3374" s="27">
        <v>44347</v>
      </c>
      <c r="T3374" s="773" t="s">
        <v>132</v>
      </c>
      <c r="U3374" s="773">
        <v>148</v>
      </c>
      <c r="V3374" s="773">
        <v>1</v>
      </c>
      <c r="W3374" s="773" t="s">
        <v>410</v>
      </c>
    </row>
    <row r="3375" spans="19:23">
      <c r="S3375" s="27">
        <v>44347</v>
      </c>
      <c r="T3375" s="773" t="s">
        <v>132</v>
      </c>
      <c r="U3375" s="773">
        <v>94</v>
      </c>
      <c r="V3375" s="773">
        <v>81</v>
      </c>
      <c r="W3375" s="773" t="s">
        <v>410</v>
      </c>
    </row>
    <row r="3376" spans="19:23">
      <c r="S3376" s="27">
        <v>44712</v>
      </c>
      <c r="T3376" s="773" t="s">
        <v>132</v>
      </c>
      <c r="U3376" s="773">
        <v>188</v>
      </c>
      <c r="V3376" s="773">
        <v>691</v>
      </c>
      <c r="W3376" s="773" t="s">
        <v>390</v>
      </c>
    </row>
    <row r="3377" spans="19:23">
      <c r="S3377" s="27">
        <v>44347</v>
      </c>
      <c r="T3377" s="773" t="s">
        <v>132</v>
      </c>
      <c r="U3377" s="773">
        <v>312</v>
      </c>
      <c r="V3377" s="773">
        <v>2233</v>
      </c>
      <c r="W3377" s="773" t="s">
        <v>390</v>
      </c>
    </row>
    <row r="3378" spans="19:23">
      <c r="S3378" s="27">
        <v>44712</v>
      </c>
      <c r="T3378" s="773" t="s">
        <v>132</v>
      </c>
      <c r="U3378" s="773">
        <v>312</v>
      </c>
      <c r="V3378" s="773">
        <v>2878</v>
      </c>
      <c r="W3378" s="773" t="s">
        <v>390</v>
      </c>
    </row>
    <row r="3379" spans="19:23">
      <c r="S3379" s="27">
        <v>44712</v>
      </c>
      <c r="T3379" s="773" t="s">
        <v>132</v>
      </c>
      <c r="U3379" s="773">
        <v>240</v>
      </c>
      <c r="V3379" s="773">
        <v>3</v>
      </c>
      <c r="W3379" s="773" t="s">
        <v>410</v>
      </c>
    </row>
    <row r="3380" spans="19:23">
      <c r="S3380" s="27">
        <v>44347</v>
      </c>
      <c r="T3380" s="773" t="s">
        <v>132</v>
      </c>
      <c r="U3380" s="773">
        <v>113</v>
      </c>
      <c r="V3380" s="773">
        <v>2</v>
      </c>
      <c r="W3380" s="773" t="s">
        <v>410</v>
      </c>
    </row>
    <row r="3381" spans="19:23">
      <c r="S3381" s="27">
        <v>44712</v>
      </c>
      <c r="T3381" s="773" t="s">
        <v>132</v>
      </c>
      <c r="U3381" s="773">
        <v>275</v>
      </c>
      <c r="V3381" s="773">
        <v>22</v>
      </c>
      <c r="W3381" s="773" t="s">
        <v>410</v>
      </c>
    </row>
    <row r="3382" spans="19:23">
      <c r="S3382" s="27">
        <v>44712</v>
      </c>
      <c r="T3382" s="773" t="s">
        <v>132</v>
      </c>
      <c r="U3382" s="773">
        <v>672</v>
      </c>
      <c r="V3382" s="773">
        <v>2406</v>
      </c>
      <c r="W3382" s="773" t="s">
        <v>390</v>
      </c>
    </row>
    <row r="3383" spans="19:23">
      <c r="S3383" s="27">
        <v>44347</v>
      </c>
      <c r="T3383" s="773" t="s">
        <v>132</v>
      </c>
      <c r="U3383" s="773">
        <v>220</v>
      </c>
      <c r="V3383" s="773">
        <v>165</v>
      </c>
      <c r="W3383" s="773" t="s">
        <v>390</v>
      </c>
    </row>
    <row r="3384" spans="19:23">
      <c r="S3384" s="27">
        <v>44347</v>
      </c>
      <c r="T3384" s="773" t="s">
        <v>132</v>
      </c>
      <c r="U3384" s="773">
        <v>14</v>
      </c>
      <c r="V3384" s="773">
        <v>2</v>
      </c>
      <c r="W3384" s="773" t="s">
        <v>410</v>
      </c>
    </row>
    <row r="3385" spans="19:23">
      <c r="S3385" s="27">
        <v>44347</v>
      </c>
      <c r="T3385" s="773" t="s">
        <v>132</v>
      </c>
      <c r="U3385" s="773">
        <v>319</v>
      </c>
      <c r="V3385" s="773">
        <v>1769</v>
      </c>
      <c r="W3385" s="773" t="s">
        <v>390</v>
      </c>
    </row>
    <row r="3386" spans="19:23">
      <c r="S3386" s="27">
        <v>44347</v>
      </c>
      <c r="T3386" s="773" t="s">
        <v>132</v>
      </c>
      <c r="U3386" s="773">
        <v>243</v>
      </c>
      <c r="V3386" s="773">
        <v>652</v>
      </c>
      <c r="W3386" s="773" t="s">
        <v>390</v>
      </c>
    </row>
    <row r="3387" spans="19:23">
      <c r="S3387" s="27">
        <v>44347</v>
      </c>
      <c r="T3387" s="773" t="s">
        <v>132</v>
      </c>
      <c r="U3387" s="773">
        <v>97</v>
      </c>
      <c r="V3387" s="773">
        <v>2</v>
      </c>
      <c r="W3387" s="773" t="s">
        <v>410</v>
      </c>
    </row>
    <row r="3388" spans="19:23">
      <c r="S3388" s="27">
        <v>44712</v>
      </c>
      <c r="T3388" s="773" t="s">
        <v>132</v>
      </c>
      <c r="U3388" s="773">
        <v>130</v>
      </c>
      <c r="V3388" s="773">
        <v>1</v>
      </c>
      <c r="W3388" s="773" t="s">
        <v>410</v>
      </c>
    </row>
    <row r="3389" spans="19:23">
      <c r="S3389" s="27">
        <v>44347</v>
      </c>
      <c r="T3389" s="773" t="s">
        <v>132</v>
      </c>
      <c r="U3389" s="773">
        <v>666</v>
      </c>
      <c r="V3389" s="773">
        <v>1365</v>
      </c>
      <c r="W3389" s="773" t="s">
        <v>390</v>
      </c>
    </row>
    <row r="3390" spans="19:23">
      <c r="S3390" s="27">
        <v>44712</v>
      </c>
      <c r="T3390" s="773" t="s">
        <v>132</v>
      </c>
      <c r="U3390" s="773">
        <v>704</v>
      </c>
      <c r="V3390" s="773">
        <v>3397</v>
      </c>
      <c r="W3390" s="773" t="s">
        <v>390</v>
      </c>
    </row>
    <row r="3391" spans="19:23">
      <c r="S3391" s="27">
        <v>44347</v>
      </c>
      <c r="T3391" s="773" t="s">
        <v>132</v>
      </c>
      <c r="U3391" s="773">
        <v>317</v>
      </c>
      <c r="V3391" s="773">
        <v>132</v>
      </c>
      <c r="W3391" s="773" t="s">
        <v>390</v>
      </c>
    </row>
    <row r="3392" spans="19:23">
      <c r="S3392" s="27">
        <v>44712</v>
      </c>
      <c r="T3392" s="773" t="s">
        <v>132</v>
      </c>
      <c r="U3392" s="773">
        <v>139</v>
      </c>
      <c r="V3392" s="773">
        <v>2574</v>
      </c>
      <c r="W3392" s="773" t="s">
        <v>390</v>
      </c>
    </row>
    <row r="3393" spans="19:23">
      <c r="S3393" s="27">
        <v>44347</v>
      </c>
      <c r="T3393" s="773" t="s">
        <v>132</v>
      </c>
      <c r="U3393" s="773">
        <v>254</v>
      </c>
      <c r="V3393" s="773">
        <v>7</v>
      </c>
      <c r="W3393" s="773" t="s">
        <v>410</v>
      </c>
    </row>
    <row r="3394" spans="19:23">
      <c r="S3394" s="27">
        <v>44712</v>
      </c>
      <c r="T3394" s="773" t="s">
        <v>132</v>
      </c>
      <c r="U3394" s="773">
        <v>664</v>
      </c>
      <c r="V3394" s="773">
        <v>2100</v>
      </c>
      <c r="W3394" s="773" t="s">
        <v>390</v>
      </c>
    </row>
    <row r="3395" spans="19:23">
      <c r="S3395" s="27">
        <v>44347</v>
      </c>
      <c r="T3395" s="773" t="s">
        <v>132</v>
      </c>
      <c r="U3395" s="773">
        <v>169</v>
      </c>
      <c r="V3395" s="773">
        <v>2416</v>
      </c>
      <c r="W3395" s="773" t="s">
        <v>390</v>
      </c>
    </row>
    <row r="3396" spans="19:23">
      <c r="S3396" s="27">
        <v>44347</v>
      </c>
      <c r="T3396" s="773" t="s">
        <v>132</v>
      </c>
      <c r="U3396" s="773">
        <v>155</v>
      </c>
      <c r="V3396" s="773">
        <v>2446</v>
      </c>
      <c r="W3396" s="773" t="s">
        <v>390</v>
      </c>
    </row>
    <row r="3397" spans="19:23">
      <c r="S3397" s="27">
        <v>44347</v>
      </c>
      <c r="T3397" s="773" t="s">
        <v>132</v>
      </c>
      <c r="U3397" s="773">
        <v>188</v>
      </c>
      <c r="V3397" s="773">
        <v>420</v>
      </c>
      <c r="W3397" s="773" t="s">
        <v>390</v>
      </c>
    </row>
    <row r="3398" spans="19:23">
      <c r="S3398" s="27">
        <v>44347</v>
      </c>
      <c r="T3398" s="773" t="s">
        <v>132</v>
      </c>
      <c r="U3398" s="773">
        <v>193</v>
      </c>
      <c r="V3398" s="773">
        <v>51</v>
      </c>
      <c r="W3398" s="773" t="s">
        <v>410</v>
      </c>
    </row>
    <row r="3399" spans="19:23">
      <c r="S3399" s="27">
        <v>44712</v>
      </c>
      <c r="T3399" s="773" t="s">
        <v>132</v>
      </c>
      <c r="U3399" s="773">
        <v>159</v>
      </c>
      <c r="V3399" s="773">
        <v>10</v>
      </c>
      <c r="W3399" s="773" t="s">
        <v>410</v>
      </c>
    </row>
    <row r="3400" spans="19:23">
      <c r="S3400" s="27">
        <v>44347</v>
      </c>
      <c r="T3400" s="773" t="s">
        <v>132</v>
      </c>
      <c r="U3400" s="773">
        <v>52</v>
      </c>
      <c r="V3400" s="773">
        <v>2</v>
      </c>
      <c r="W3400" s="773" t="s">
        <v>410</v>
      </c>
    </row>
    <row r="3401" spans="19:23">
      <c r="S3401" s="27">
        <v>44712</v>
      </c>
      <c r="T3401" s="773" t="s">
        <v>132</v>
      </c>
      <c r="U3401" s="773">
        <v>322</v>
      </c>
      <c r="V3401" s="773">
        <v>2758</v>
      </c>
      <c r="W3401" s="773" t="s">
        <v>390</v>
      </c>
    </row>
    <row r="3402" spans="19:23">
      <c r="S3402" s="27">
        <v>44712</v>
      </c>
      <c r="T3402" s="773" t="s">
        <v>132</v>
      </c>
      <c r="U3402" s="773">
        <v>66</v>
      </c>
      <c r="V3402" s="773">
        <v>1</v>
      </c>
      <c r="W3402" s="773" t="s">
        <v>410</v>
      </c>
    </row>
    <row r="3403" spans="19:23">
      <c r="S3403" s="27">
        <v>44712</v>
      </c>
      <c r="T3403" s="773" t="s">
        <v>132</v>
      </c>
      <c r="U3403" s="773">
        <v>701</v>
      </c>
      <c r="V3403" s="773">
        <v>2483</v>
      </c>
      <c r="W3403" s="773" t="s">
        <v>390</v>
      </c>
    </row>
    <row r="3404" spans="19:23">
      <c r="S3404" s="27">
        <v>44347</v>
      </c>
      <c r="T3404" s="773" t="s">
        <v>132</v>
      </c>
      <c r="U3404" s="773">
        <v>40</v>
      </c>
      <c r="V3404" s="773">
        <v>3</v>
      </c>
      <c r="W3404" s="773" t="s">
        <v>410</v>
      </c>
    </row>
    <row r="3405" spans="19:23">
      <c r="S3405" s="27">
        <v>44712</v>
      </c>
      <c r="T3405" s="773" t="s">
        <v>132</v>
      </c>
      <c r="U3405" s="773">
        <v>251</v>
      </c>
      <c r="V3405" s="773">
        <v>1905</v>
      </c>
      <c r="W3405" s="773" t="s">
        <v>390</v>
      </c>
    </row>
    <row r="3406" spans="19:23">
      <c r="S3406" s="27">
        <v>44712</v>
      </c>
      <c r="T3406" s="773" t="s">
        <v>132</v>
      </c>
      <c r="U3406" s="773">
        <v>718</v>
      </c>
      <c r="V3406" s="773">
        <v>3</v>
      </c>
      <c r="W3406" s="773" t="s">
        <v>410</v>
      </c>
    </row>
    <row r="3407" spans="19:23">
      <c r="S3407" s="27">
        <v>44347</v>
      </c>
      <c r="T3407" s="773" t="s">
        <v>132</v>
      </c>
      <c r="U3407" s="773">
        <v>621</v>
      </c>
      <c r="V3407" s="773">
        <v>2449</v>
      </c>
      <c r="W3407" s="773" t="s">
        <v>390</v>
      </c>
    </row>
    <row r="3408" spans="19:23">
      <c r="S3408" s="27">
        <v>44347</v>
      </c>
      <c r="T3408" s="773" t="s">
        <v>132</v>
      </c>
      <c r="U3408" s="773">
        <v>265</v>
      </c>
      <c r="V3408" s="773">
        <v>1638</v>
      </c>
      <c r="W3408" s="773" t="s">
        <v>390</v>
      </c>
    </row>
    <row r="3409" spans="19:23">
      <c r="S3409" s="27">
        <v>44347</v>
      </c>
      <c r="T3409" s="773" t="s">
        <v>132</v>
      </c>
      <c r="U3409" s="773">
        <v>93</v>
      </c>
      <c r="V3409" s="773">
        <v>12172</v>
      </c>
      <c r="W3409" s="773" t="s">
        <v>390</v>
      </c>
    </row>
    <row r="3410" spans="19:23">
      <c r="S3410" s="27">
        <v>44712</v>
      </c>
      <c r="T3410" s="773" t="s">
        <v>132</v>
      </c>
      <c r="U3410" s="773">
        <v>262</v>
      </c>
      <c r="V3410" s="773">
        <v>58</v>
      </c>
      <c r="W3410" s="773" t="s">
        <v>410</v>
      </c>
    </row>
    <row r="3411" spans="19:23">
      <c r="S3411" s="27">
        <v>44347</v>
      </c>
      <c r="T3411" s="773" t="s">
        <v>132</v>
      </c>
      <c r="U3411" s="773">
        <v>276</v>
      </c>
      <c r="V3411" s="773">
        <v>1</v>
      </c>
      <c r="W3411" s="773" t="s">
        <v>410</v>
      </c>
    </row>
    <row r="3412" spans="19:23">
      <c r="S3412" s="27">
        <v>44347</v>
      </c>
      <c r="T3412" s="773" t="s">
        <v>132</v>
      </c>
      <c r="U3412" s="773">
        <v>89</v>
      </c>
      <c r="V3412" s="773">
        <v>1168</v>
      </c>
      <c r="W3412" s="773" t="s">
        <v>390</v>
      </c>
    </row>
    <row r="3413" spans="19:23">
      <c r="S3413" s="27">
        <v>44712</v>
      </c>
      <c r="T3413" s="773" t="s">
        <v>132</v>
      </c>
      <c r="U3413" s="773">
        <v>215</v>
      </c>
      <c r="V3413" s="773">
        <v>712</v>
      </c>
      <c r="W3413" s="773" t="s">
        <v>390</v>
      </c>
    </row>
    <row r="3414" spans="19:23">
      <c r="S3414" s="27">
        <v>44347</v>
      </c>
      <c r="T3414" s="773" t="s">
        <v>132</v>
      </c>
      <c r="U3414" s="773">
        <v>124</v>
      </c>
      <c r="V3414" s="773">
        <v>9</v>
      </c>
      <c r="W3414" s="773" t="s">
        <v>410</v>
      </c>
    </row>
    <row r="3415" spans="19:23">
      <c r="S3415" s="27">
        <v>44712</v>
      </c>
      <c r="T3415" s="773" t="s">
        <v>132</v>
      </c>
      <c r="U3415" s="773">
        <v>40</v>
      </c>
      <c r="V3415" s="773">
        <v>2</v>
      </c>
      <c r="W3415" s="773" t="s">
        <v>410</v>
      </c>
    </row>
    <row r="3416" spans="19:23">
      <c r="S3416" s="27">
        <v>44347</v>
      </c>
      <c r="T3416" s="773" t="s">
        <v>132</v>
      </c>
      <c r="U3416" s="773">
        <v>653</v>
      </c>
      <c r="V3416" s="773">
        <v>98</v>
      </c>
      <c r="W3416" s="773" t="s">
        <v>410</v>
      </c>
    </row>
    <row r="3417" spans="19:23">
      <c r="S3417" s="27">
        <v>44347</v>
      </c>
      <c r="T3417" s="773" t="s">
        <v>132</v>
      </c>
      <c r="U3417" s="773">
        <v>253</v>
      </c>
      <c r="V3417" s="773">
        <v>3804</v>
      </c>
      <c r="W3417" s="773" t="s">
        <v>390</v>
      </c>
    </row>
    <row r="3418" spans="19:23">
      <c r="S3418" s="27">
        <v>44347</v>
      </c>
      <c r="T3418" s="773" t="s">
        <v>132</v>
      </c>
      <c r="U3418" s="773">
        <v>216</v>
      </c>
      <c r="V3418" s="773">
        <v>2163</v>
      </c>
      <c r="W3418" s="773" t="s">
        <v>390</v>
      </c>
    </row>
    <row r="3419" spans="19:23">
      <c r="S3419" s="27">
        <v>44712</v>
      </c>
      <c r="T3419" s="773" t="s">
        <v>132</v>
      </c>
      <c r="U3419" s="773">
        <v>663</v>
      </c>
      <c r="V3419" s="773">
        <v>676</v>
      </c>
      <c r="W3419" s="773" t="s">
        <v>390</v>
      </c>
    </row>
    <row r="3420" spans="19:23">
      <c r="S3420" s="27">
        <v>44347</v>
      </c>
      <c r="T3420" s="773" t="s">
        <v>132</v>
      </c>
      <c r="U3420" s="773">
        <v>699</v>
      </c>
      <c r="V3420" s="773">
        <v>2177</v>
      </c>
      <c r="W3420" s="773" t="s">
        <v>390</v>
      </c>
    </row>
    <row r="3421" spans="19:23">
      <c r="S3421" s="27">
        <v>44347</v>
      </c>
      <c r="T3421" s="773" t="s">
        <v>132</v>
      </c>
      <c r="U3421" s="773">
        <v>698</v>
      </c>
      <c r="V3421" s="773">
        <v>2554</v>
      </c>
      <c r="W3421" s="773" t="s">
        <v>390</v>
      </c>
    </row>
    <row r="3422" spans="19:23">
      <c r="S3422" s="27">
        <v>44347</v>
      </c>
      <c r="T3422" s="773" t="s">
        <v>132</v>
      </c>
      <c r="U3422" s="773">
        <v>672</v>
      </c>
      <c r="V3422" s="773">
        <v>2297</v>
      </c>
      <c r="W3422" s="773" t="s">
        <v>390</v>
      </c>
    </row>
    <row r="3423" spans="19:23">
      <c r="S3423" s="27">
        <v>44347</v>
      </c>
      <c r="T3423" s="773" t="s">
        <v>132</v>
      </c>
      <c r="U3423" s="773">
        <v>325</v>
      </c>
      <c r="V3423" s="773">
        <v>2943</v>
      </c>
      <c r="W3423" s="773" t="s">
        <v>390</v>
      </c>
    </row>
    <row r="3424" spans="19:23">
      <c r="S3424" s="27">
        <v>44347</v>
      </c>
      <c r="T3424" s="773" t="s">
        <v>132</v>
      </c>
      <c r="U3424" s="773">
        <v>267</v>
      </c>
      <c r="V3424" s="773">
        <v>1</v>
      </c>
      <c r="W3424" s="773" t="s">
        <v>410</v>
      </c>
    </row>
    <row r="3425" spans="19:23">
      <c r="S3425" s="27">
        <v>44712</v>
      </c>
      <c r="T3425" s="773" t="s">
        <v>132</v>
      </c>
      <c r="U3425" s="773">
        <v>294</v>
      </c>
      <c r="V3425" s="773">
        <v>3</v>
      </c>
      <c r="W3425" s="773" t="s">
        <v>410</v>
      </c>
    </row>
    <row r="3426" spans="19:23">
      <c r="S3426" s="27">
        <v>44712</v>
      </c>
      <c r="T3426" s="773" t="s">
        <v>132</v>
      </c>
      <c r="U3426" s="773">
        <v>652</v>
      </c>
      <c r="V3426" s="773">
        <v>3789</v>
      </c>
      <c r="W3426" s="773" t="s">
        <v>390</v>
      </c>
    </row>
    <row r="3427" spans="19:23">
      <c r="S3427" s="27">
        <v>44712</v>
      </c>
      <c r="T3427" s="773" t="s">
        <v>132</v>
      </c>
      <c r="U3427" s="773">
        <v>667</v>
      </c>
      <c r="V3427" s="773">
        <v>2</v>
      </c>
      <c r="W3427" s="773" t="s">
        <v>410</v>
      </c>
    </row>
    <row r="3428" spans="19:23">
      <c r="S3428" s="27">
        <v>44347</v>
      </c>
      <c r="T3428" s="773" t="s">
        <v>132</v>
      </c>
      <c r="U3428" s="773">
        <v>218</v>
      </c>
      <c r="V3428" s="773">
        <v>1023</v>
      </c>
      <c r="W3428" s="773" t="s">
        <v>390</v>
      </c>
    </row>
    <row r="3429" spans="19:23">
      <c r="S3429" s="27">
        <v>44712</v>
      </c>
      <c r="T3429" s="773" t="s">
        <v>132</v>
      </c>
      <c r="U3429" s="773">
        <v>327</v>
      </c>
      <c r="V3429" s="773">
        <v>2</v>
      </c>
      <c r="W3429" s="773" t="s">
        <v>410</v>
      </c>
    </row>
    <row r="3430" spans="19:23">
      <c r="S3430" s="27">
        <v>44347</v>
      </c>
      <c r="T3430" s="773" t="s">
        <v>132</v>
      </c>
      <c r="U3430" s="773">
        <v>999</v>
      </c>
      <c r="V3430" s="773">
        <v>1</v>
      </c>
      <c r="W3430" s="773" t="s">
        <v>410</v>
      </c>
    </row>
    <row r="3431" spans="19:23">
      <c r="S3431" s="27">
        <v>44712</v>
      </c>
      <c r="T3431" s="773" t="s">
        <v>132</v>
      </c>
      <c r="U3431" s="773">
        <v>153</v>
      </c>
      <c r="V3431" s="773">
        <v>2357</v>
      </c>
      <c r="W3431" s="773" t="s">
        <v>390</v>
      </c>
    </row>
    <row r="3432" spans="19:23">
      <c r="S3432" s="27">
        <v>44712</v>
      </c>
      <c r="T3432" s="773" t="s">
        <v>132</v>
      </c>
      <c r="U3432" s="773">
        <v>325</v>
      </c>
      <c r="V3432" s="773">
        <v>2017</v>
      </c>
      <c r="W3432" s="773" t="s">
        <v>390</v>
      </c>
    </row>
    <row r="3433" spans="19:23">
      <c r="S3433" s="27">
        <v>44712</v>
      </c>
      <c r="T3433" s="773" t="s">
        <v>132</v>
      </c>
      <c r="U3433" s="773">
        <v>243</v>
      </c>
      <c r="V3433" s="773">
        <v>353</v>
      </c>
      <c r="W3433" s="773" t="s">
        <v>390</v>
      </c>
    </row>
    <row r="3434" spans="19:23">
      <c r="S3434" s="27">
        <v>44347</v>
      </c>
      <c r="T3434" s="773" t="s">
        <v>132</v>
      </c>
      <c r="U3434" s="773">
        <v>173</v>
      </c>
      <c r="V3434" s="773">
        <v>1</v>
      </c>
      <c r="W3434" s="773" t="s">
        <v>410</v>
      </c>
    </row>
    <row r="3435" spans="19:23">
      <c r="S3435" s="27">
        <v>44712</v>
      </c>
      <c r="T3435" s="773" t="s">
        <v>132</v>
      </c>
      <c r="U3435" s="773">
        <v>678</v>
      </c>
      <c r="V3435" s="773">
        <v>2972</v>
      </c>
      <c r="W3435" s="773" t="s">
        <v>390</v>
      </c>
    </row>
    <row r="3436" spans="19:23">
      <c r="S3436" s="27">
        <v>44347</v>
      </c>
      <c r="T3436" s="773" t="s">
        <v>132</v>
      </c>
      <c r="U3436" s="773">
        <v>269</v>
      </c>
      <c r="V3436" s="773">
        <v>1</v>
      </c>
      <c r="W3436" s="773" t="s">
        <v>410</v>
      </c>
    </row>
    <row r="3437" spans="19:23">
      <c r="S3437" s="27">
        <v>44712</v>
      </c>
      <c r="T3437" s="773" t="s">
        <v>132</v>
      </c>
      <c r="U3437" s="773">
        <v>296</v>
      </c>
      <c r="V3437" s="773">
        <v>2463</v>
      </c>
      <c r="W3437" s="773" t="s">
        <v>390</v>
      </c>
    </row>
    <row r="3438" spans="19:23">
      <c r="S3438" s="27">
        <v>44347</v>
      </c>
      <c r="T3438" s="773" t="s">
        <v>132</v>
      </c>
      <c r="U3438" s="773">
        <v>303</v>
      </c>
      <c r="V3438" s="773">
        <v>2463</v>
      </c>
      <c r="W3438" s="773" t="s">
        <v>390</v>
      </c>
    </row>
    <row r="3439" spans="19:23">
      <c r="S3439" s="27">
        <v>44712</v>
      </c>
      <c r="T3439" s="773" t="s">
        <v>132</v>
      </c>
      <c r="U3439" s="773">
        <v>84</v>
      </c>
      <c r="V3439" s="773">
        <v>2530</v>
      </c>
      <c r="W3439" s="773" t="s">
        <v>390</v>
      </c>
    </row>
    <row r="3440" spans="19:23">
      <c r="S3440" s="27">
        <v>44712</v>
      </c>
      <c r="T3440" s="773" t="s">
        <v>132</v>
      </c>
      <c r="U3440" s="773">
        <v>76</v>
      </c>
      <c r="V3440" s="773">
        <v>2942</v>
      </c>
      <c r="W3440" s="773" t="s">
        <v>390</v>
      </c>
    </row>
    <row r="3441" spans="19:23">
      <c r="S3441" s="27">
        <v>44712</v>
      </c>
      <c r="T3441" s="773" t="s">
        <v>132</v>
      </c>
      <c r="U3441" s="773">
        <v>148</v>
      </c>
      <c r="V3441" s="773">
        <v>1</v>
      </c>
      <c r="W3441" s="773" t="s">
        <v>410</v>
      </c>
    </row>
    <row r="3442" spans="19:23">
      <c r="S3442" s="27">
        <v>44712</v>
      </c>
      <c r="T3442" s="773" t="s">
        <v>132</v>
      </c>
      <c r="U3442" s="773">
        <v>636</v>
      </c>
      <c r="V3442" s="773">
        <v>3</v>
      </c>
      <c r="W3442" s="773" t="s">
        <v>410</v>
      </c>
    </row>
    <row r="3443" spans="19:23">
      <c r="S3443" s="27">
        <v>44712</v>
      </c>
      <c r="T3443" s="773" t="s">
        <v>132</v>
      </c>
      <c r="U3443" s="773">
        <v>645</v>
      </c>
      <c r="V3443" s="773">
        <v>2792</v>
      </c>
      <c r="W3443" s="773" t="s">
        <v>390</v>
      </c>
    </row>
    <row r="3444" spans="19:23">
      <c r="S3444" s="27">
        <v>44712</v>
      </c>
      <c r="T3444" s="773" t="s">
        <v>132</v>
      </c>
      <c r="U3444" s="773">
        <v>157</v>
      </c>
      <c r="V3444" s="773">
        <v>4</v>
      </c>
      <c r="W3444" s="773" t="s">
        <v>410</v>
      </c>
    </row>
    <row r="3445" spans="19:23">
      <c r="S3445" s="27">
        <v>44712</v>
      </c>
      <c r="T3445" s="773" t="s">
        <v>132</v>
      </c>
      <c r="U3445" s="773">
        <v>700</v>
      </c>
      <c r="V3445" s="773">
        <v>2774</v>
      </c>
      <c r="W3445" s="773" t="s">
        <v>390</v>
      </c>
    </row>
    <row r="3446" spans="19:23">
      <c r="S3446" s="27">
        <v>44712</v>
      </c>
      <c r="T3446" s="773" t="s">
        <v>132</v>
      </c>
      <c r="U3446" s="773">
        <v>318</v>
      </c>
      <c r="V3446" s="773">
        <v>2417</v>
      </c>
      <c r="W3446" s="773" t="s">
        <v>390</v>
      </c>
    </row>
    <row r="3447" spans="19:23">
      <c r="S3447" s="27">
        <v>44347</v>
      </c>
      <c r="T3447" s="773" t="s">
        <v>132</v>
      </c>
      <c r="U3447" s="773">
        <v>153</v>
      </c>
      <c r="V3447" s="773">
        <v>2159</v>
      </c>
      <c r="W3447" s="773" t="s">
        <v>390</v>
      </c>
    </row>
    <row r="3448" spans="19:23">
      <c r="S3448" s="27">
        <v>44712</v>
      </c>
      <c r="T3448" s="773" t="s">
        <v>132</v>
      </c>
      <c r="U3448" s="773">
        <v>305</v>
      </c>
      <c r="V3448" s="773">
        <v>5159</v>
      </c>
      <c r="W3448" s="773" t="s">
        <v>390</v>
      </c>
    </row>
    <row r="3449" spans="19:23">
      <c r="S3449" s="27">
        <v>44712</v>
      </c>
      <c r="T3449" s="773" t="s">
        <v>132</v>
      </c>
      <c r="U3449" s="773">
        <v>105</v>
      </c>
      <c r="V3449" s="773">
        <v>2</v>
      </c>
      <c r="W3449" s="773" t="s">
        <v>410</v>
      </c>
    </row>
    <row r="3450" spans="19:23">
      <c r="S3450" s="27">
        <v>44347</v>
      </c>
      <c r="T3450" s="773" t="s">
        <v>132</v>
      </c>
      <c r="U3450" s="773">
        <v>77</v>
      </c>
      <c r="V3450" s="773">
        <v>3343</v>
      </c>
      <c r="W3450" s="773" t="s">
        <v>390</v>
      </c>
    </row>
    <row r="3451" spans="19:23">
      <c r="S3451" s="27">
        <v>44712</v>
      </c>
      <c r="T3451" s="773" t="s">
        <v>132</v>
      </c>
      <c r="U3451" s="773">
        <v>60</v>
      </c>
      <c r="V3451" s="773">
        <v>1</v>
      </c>
      <c r="W3451" s="773" t="s">
        <v>410</v>
      </c>
    </row>
    <row r="3452" spans="19:23">
      <c r="S3452" s="27">
        <v>44347</v>
      </c>
      <c r="T3452" s="773" t="s">
        <v>132</v>
      </c>
      <c r="U3452" s="773">
        <v>152</v>
      </c>
      <c r="V3452" s="773">
        <v>2</v>
      </c>
      <c r="W3452" s="773" t="s">
        <v>410</v>
      </c>
    </row>
    <row r="3453" spans="19:23">
      <c r="S3453" s="27">
        <v>44347</v>
      </c>
      <c r="T3453" s="773" t="s">
        <v>132</v>
      </c>
      <c r="U3453" s="773">
        <v>271</v>
      </c>
      <c r="V3453" s="773">
        <v>2268</v>
      </c>
      <c r="W3453" s="773" t="s">
        <v>390</v>
      </c>
    </row>
    <row r="3454" spans="19:23">
      <c r="S3454" s="27">
        <v>44712</v>
      </c>
      <c r="T3454" s="773" t="s">
        <v>132</v>
      </c>
      <c r="U3454" s="773">
        <v>132</v>
      </c>
      <c r="V3454" s="773">
        <v>2689</v>
      </c>
      <c r="W3454" s="773" t="s">
        <v>390</v>
      </c>
    </row>
    <row r="3455" spans="19:23">
      <c r="S3455" s="27">
        <v>44712</v>
      </c>
      <c r="T3455" s="773" t="s">
        <v>132</v>
      </c>
      <c r="U3455" s="773">
        <v>48</v>
      </c>
      <c r="V3455" s="773">
        <v>666</v>
      </c>
      <c r="W3455" s="773" t="s">
        <v>390</v>
      </c>
    </row>
    <row r="3456" spans="19:23">
      <c r="S3456" s="27">
        <v>44712</v>
      </c>
      <c r="T3456" s="773" t="s">
        <v>132</v>
      </c>
      <c r="U3456" s="773">
        <v>204</v>
      </c>
      <c r="V3456" s="773">
        <v>8</v>
      </c>
      <c r="W3456" s="773" t="s">
        <v>410</v>
      </c>
    </row>
    <row r="3457" spans="19:23">
      <c r="S3457" s="27">
        <v>44347</v>
      </c>
      <c r="T3457" s="773" t="s">
        <v>132</v>
      </c>
      <c r="U3457" s="773">
        <v>103</v>
      </c>
      <c r="V3457" s="773">
        <v>3214</v>
      </c>
      <c r="W3457" s="773" t="s">
        <v>390</v>
      </c>
    </row>
    <row r="3458" spans="19:23">
      <c r="S3458" s="27">
        <v>44712</v>
      </c>
      <c r="T3458" s="773" t="s">
        <v>132</v>
      </c>
      <c r="U3458" s="773">
        <v>256</v>
      </c>
      <c r="V3458" s="773">
        <v>293</v>
      </c>
      <c r="W3458" s="773" t="s">
        <v>390</v>
      </c>
    </row>
    <row r="3459" spans="19:23">
      <c r="S3459" s="27">
        <v>44712</v>
      </c>
      <c r="T3459" s="773" t="s">
        <v>132</v>
      </c>
      <c r="U3459" s="773">
        <v>56</v>
      </c>
      <c r="V3459" s="773">
        <v>3</v>
      </c>
      <c r="W3459" s="773" t="s">
        <v>410</v>
      </c>
    </row>
    <row r="3460" spans="19:23">
      <c r="S3460" s="27">
        <v>44347</v>
      </c>
      <c r="T3460" s="773" t="s">
        <v>132</v>
      </c>
      <c r="U3460" s="773">
        <v>678</v>
      </c>
      <c r="V3460" s="773">
        <v>2549</v>
      </c>
      <c r="W3460" s="773" t="s">
        <v>390</v>
      </c>
    </row>
    <row r="3461" spans="19:23">
      <c r="S3461" s="27">
        <v>44347</v>
      </c>
      <c r="T3461" s="773" t="s">
        <v>132</v>
      </c>
      <c r="U3461" s="773">
        <v>294</v>
      </c>
      <c r="V3461" s="773">
        <v>10</v>
      </c>
      <c r="W3461" s="773" t="s">
        <v>410</v>
      </c>
    </row>
    <row r="3462" spans="19:23">
      <c r="S3462" s="27">
        <v>44712</v>
      </c>
      <c r="T3462" s="773" t="s">
        <v>132</v>
      </c>
      <c r="U3462" s="773">
        <v>323</v>
      </c>
      <c r="V3462" s="773">
        <v>3121</v>
      </c>
      <c r="W3462" s="773" t="s">
        <v>390</v>
      </c>
    </row>
    <row r="3463" spans="19:23">
      <c r="S3463" s="27">
        <v>44347</v>
      </c>
      <c r="T3463" s="773" t="s">
        <v>132</v>
      </c>
      <c r="U3463" s="773">
        <v>39</v>
      </c>
      <c r="V3463" s="773">
        <v>1</v>
      </c>
      <c r="W3463" s="773" t="s">
        <v>410</v>
      </c>
    </row>
    <row r="3464" spans="19:23">
      <c r="S3464" s="27">
        <v>44712</v>
      </c>
      <c r="T3464" s="773" t="s">
        <v>132</v>
      </c>
      <c r="U3464" s="773">
        <v>699</v>
      </c>
      <c r="V3464" s="773">
        <v>2203</v>
      </c>
      <c r="W3464" s="773" t="s">
        <v>390</v>
      </c>
    </row>
    <row r="3465" spans="19:23">
      <c r="S3465" s="27">
        <v>44712</v>
      </c>
      <c r="T3465" s="773" t="s">
        <v>132</v>
      </c>
      <c r="U3465" s="773">
        <v>324</v>
      </c>
      <c r="V3465" s="773">
        <v>1751</v>
      </c>
      <c r="W3465" s="773" t="s">
        <v>390</v>
      </c>
    </row>
    <row r="3466" spans="19:23">
      <c r="S3466" s="27">
        <v>44712</v>
      </c>
      <c r="T3466" s="773" t="s">
        <v>132</v>
      </c>
      <c r="U3466" s="773">
        <v>321</v>
      </c>
      <c r="V3466" s="773">
        <v>1897</v>
      </c>
      <c r="W3466" s="773" t="s">
        <v>390</v>
      </c>
    </row>
    <row r="3467" spans="19:23">
      <c r="S3467" s="27">
        <v>44712</v>
      </c>
      <c r="T3467" s="773" t="s">
        <v>132</v>
      </c>
      <c r="U3467" s="773">
        <v>59</v>
      </c>
      <c r="V3467" s="773">
        <v>2</v>
      </c>
      <c r="W3467" s="773" t="s">
        <v>410</v>
      </c>
    </row>
    <row r="3468" spans="19:23">
      <c r="S3468" s="27">
        <v>44712</v>
      </c>
      <c r="T3468" s="773" t="s">
        <v>132</v>
      </c>
      <c r="U3468" s="773">
        <v>164</v>
      </c>
      <c r="V3468" s="773">
        <v>2</v>
      </c>
      <c r="W3468" s="773" t="s">
        <v>410</v>
      </c>
    </row>
    <row r="3469" spans="19:23">
      <c r="S3469" s="27">
        <v>44712</v>
      </c>
      <c r="T3469" s="773" t="s">
        <v>132</v>
      </c>
      <c r="U3469" s="773">
        <v>58</v>
      </c>
      <c r="V3469" s="773">
        <v>1</v>
      </c>
      <c r="W3469" s="773" t="s">
        <v>410</v>
      </c>
    </row>
    <row r="3470" spans="19:23">
      <c r="S3470" s="27">
        <v>44347</v>
      </c>
      <c r="T3470" s="773" t="s">
        <v>132</v>
      </c>
      <c r="U3470" s="773">
        <v>87</v>
      </c>
      <c r="V3470" s="773">
        <v>12</v>
      </c>
      <c r="W3470" s="773" t="s">
        <v>410</v>
      </c>
    </row>
    <row r="3471" spans="19:23">
      <c r="S3471" s="27">
        <v>44712</v>
      </c>
      <c r="T3471" s="773" t="s">
        <v>132</v>
      </c>
      <c r="U3471" s="773">
        <v>86</v>
      </c>
      <c r="V3471" s="773">
        <v>3</v>
      </c>
      <c r="W3471" s="773" t="s">
        <v>410</v>
      </c>
    </row>
    <row r="3472" spans="19:23">
      <c r="S3472" s="27">
        <v>44712</v>
      </c>
      <c r="T3472" s="773" t="s">
        <v>132</v>
      </c>
      <c r="U3472" s="773">
        <v>650</v>
      </c>
      <c r="V3472" s="773">
        <v>23</v>
      </c>
      <c r="W3472" s="773" t="s">
        <v>410</v>
      </c>
    </row>
    <row r="3473" spans="19:23">
      <c r="S3473" s="27">
        <v>44712</v>
      </c>
      <c r="T3473" s="773" t="s">
        <v>132</v>
      </c>
      <c r="U3473" s="773">
        <v>245</v>
      </c>
      <c r="V3473" s="773">
        <v>3324</v>
      </c>
      <c r="W3473" s="773" t="s">
        <v>390</v>
      </c>
    </row>
    <row r="3474" spans="19:23">
      <c r="S3474" s="27">
        <v>44347</v>
      </c>
      <c r="T3474" s="773" t="s">
        <v>132</v>
      </c>
      <c r="U3474" s="773">
        <v>256</v>
      </c>
      <c r="V3474" s="773">
        <v>756</v>
      </c>
      <c r="W3474" s="773" t="s">
        <v>390</v>
      </c>
    </row>
    <row r="3475" spans="19:23">
      <c r="S3475" s="27">
        <v>44347</v>
      </c>
      <c r="T3475" s="773" t="s">
        <v>132</v>
      </c>
      <c r="U3475" s="773">
        <v>233</v>
      </c>
      <c r="V3475" s="773">
        <v>11806</v>
      </c>
      <c r="W3475" s="773" t="s">
        <v>390</v>
      </c>
    </row>
    <row r="3476" spans="19:23">
      <c r="S3476" s="27">
        <v>44347</v>
      </c>
      <c r="T3476" s="773" t="s">
        <v>132</v>
      </c>
      <c r="U3476" s="773">
        <v>296</v>
      </c>
      <c r="V3476" s="773">
        <v>2319</v>
      </c>
      <c r="W3476" s="773" t="s">
        <v>390</v>
      </c>
    </row>
    <row r="3477" spans="19:23">
      <c r="S3477" s="27">
        <v>44347</v>
      </c>
      <c r="T3477" s="773" t="s">
        <v>132</v>
      </c>
      <c r="U3477" s="773">
        <v>76</v>
      </c>
      <c r="V3477" s="773">
        <v>2658</v>
      </c>
      <c r="W3477" s="773" t="s">
        <v>390</v>
      </c>
    </row>
    <row r="3478" spans="19:23">
      <c r="S3478" s="27">
        <v>44712</v>
      </c>
      <c r="T3478" s="773" t="s">
        <v>132</v>
      </c>
      <c r="U3478" s="773">
        <v>676</v>
      </c>
      <c r="V3478" s="773">
        <v>1</v>
      </c>
      <c r="W3478" s="773" t="s">
        <v>410</v>
      </c>
    </row>
    <row r="3479" spans="19:23">
      <c r="S3479" s="27">
        <v>44712</v>
      </c>
      <c r="T3479" s="773" t="s">
        <v>132</v>
      </c>
      <c r="U3479" s="773">
        <v>218</v>
      </c>
      <c r="V3479" s="773">
        <v>138</v>
      </c>
      <c r="W3479" s="773" t="s">
        <v>390</v>
      </c>
    </row>
    <row r="3480" spans="19:23">
      <c r="S3480" s="27">
        <v>44347</v>
      </c>
      <c r="T3480" s="773" t="s">
        <v>132</v>
      </c>
      <c r="U3480" s="773">
        <v>658</v>
      </c>
      <c r="V3480" s="773">
        <v>2908</v>
      </c>
      <c r="W3480" s="773" t="s">
        <v>390</v>
      </c>
    </row>
    <row r="3481" spans="19:23">
      <c r="S3481" s="27">
        <v>44347</v>
      </c>
      <c r="T3481" s="773" t="s">
        <v>132</v>
      </c>
      <c r="U3481" s="773">
        <v>309</v>
      </c>
      <c r="V3481" s="773">
        <v>16</v>
      </c>
      <c r="W3481" s="773" t="s">
        <v>410</v>
      </c>
    </row>
    <row r="3482" spans="19:23">
      <c r="S3482" s="27">
        <v>44347</v>
      </c>
      <c r="T3482" s="773" t="s">
        <v>132</v>
      </c>
      <c r="U3482" s="773">
        <v>691</v>
      </c>
      <c r="V3482" s="773">
        <v>2332</v>
      </c>
      <c r="W3482" s="773" t="s">
        <v>390</v>
      </c>
    </row>
    <row r="3483" spans="19:23">
      <c r="S3483" s="27">
        <v>44712</v>
      </c>
      <c r="T3483" s="773" t="s">
        <v>132</v>
      </c>
      <c r="U3483" s="773">
        <v>681</v>
      </c>
      <c r="V3483" s="773">
        <v>675</v>
      </c>
      <c r="W3483" s="773" t="s">
        <v>390</v>
      </c>
    </row>
    <row r="3484" spans="19:23">
      <c r="S3484" s="27">
        <v>44712</v>
      </c>
      <c r="T3484" s="773" t="s">
        <v>132</v>
      </c>
      <c r="U3484" s="773">
        <v>241</v>
      </c>
      <c r="V3484" s="773">
        <v>4</v>
      </c>
      <c r="W3484" s="773" t="s">
        <v>410</v>
      </c>
    </row>
    <row r="3485" spans="19:23">
      <c r="S3485" s="27">
        <v>44347</v>
      </c>
      <c r="T3485" s="773" t="s">
        <v>132</v>
      </c>
      <c r="U3485" s="773">
        <v>674</v>
      </c>
      <c r="V3485" s="773">
        <v>13</v>
      </c>
      <c r="W3485" s="773" t="s">
        <v>410</v>
      </c>
    </row>
    <row r="3486" spans="19:23">
      <c r="S3486" s="27">
        <v>44712</v>
      </c>
      <c r="T3486" s="773" t="s">
        <v>132</v>
      </c>
      <c r="U3486" s="773">
        <v>266</v>
      </c>
      <c r="V3486" s="773">
        <v>2611</v>
      </c>
      <c r="W3486" s="773" t="s">
        <v>390</v>
      </c>
    </row>
    <row r="3487" spans="19:23">
      <c r="S3487" s="27">
        <v>44712</v>
      </c>
      <c r="T3487" s="773" t="s">
        <v>132</v>
      </c>
      <c r="U3487" s="773">
        <v>202</v>
      </c>
      <c r="V3487" s="773">
        <v>2</v>
      </c>
      <c r="W3487" s="773" t="s">
        <v>410</v>
      </c>
    </row>
    <row r="3488" spans="19:23">
      <c r="S3488" s="27">
        <v>44347</v>
      </c>
      <c r="T3488" s="773" t="s">
        <v>132</v>
      </c>
      <c r="U3488" s="773">
        <v>275</v>
      </c>
      <c r="V3488" s="773">
        <v>1287</v>
      </c>
      <c r="W3488" s="773" t="s">
        <v>390</v>
      </c>
    </row>
    <row r="3489" spans="19:23">
      <c r="S3489" s="27">
        <v>44712</v>
      </c>
      <c r="T3489" s="773" t="s">
        <v>132</v>
      </c>
      <c r="U3489" s="773">
        <v>292</v>
      </c>
      <c r="V3489" s="773">
        <v>4</v>
      </c>
      <c r="W3489" s="773" t="s">
        <v>410</v>
      </c>
    </row>
    <row r="3490" spans="19:23">
      <c r="S3490" s="27">
        <v>44347</v>
      </c>
      <c r="T3490" s="773" t="s">
        <v>132</v>
      </c>
      <c r="U3490" s="773">
        <v>308</v>
      </c>
      <c r="V3490" s="773">
        <v>598</v>
      </c>
      <c r="W3490" s="773" t="s">
        <v>390</v>
      </c>
    </row>
    <row r="3491" spans="19:23">
      <c r="S3491" s="27">
        <v>44712</v>
      </c>
      <c r="T3491" s="773" t="s">
        <v>132</v>
      </c>
      <c r="U3491" s="773">
        <v>191</v>
      </c>
      <c r="V3491" s="773">
        <v>726</v>
      </c>
      <c r="W3491" s="773" t="s">
        <v>390</v>
      </c>
    </row>
    <row r="3492" spans="19:23">
      <c r="S3492" s="27">
        <v>44347</v>
      </c>
      <c r="T3492" s="773" t="s">
        <v>132</v>
      </c>
      <c r="U3492" s="773">
        <v>664</v>
      </c>
      <c r="V3492" s="773">
        <v>2123</v>
      </c>
      <c r="W3492" s="773" t="s">
        <v>390</v>
      </c>
    </row>
    <row r="3493" spans="19:23">
      <c r="S3493" s="27">
        <v>44347</v>
      </c>
      <c r="T3493" s="773" t="s">
        <v>132</v>
      </c>
      <c r="U3493" s="773">
        <v>255</v>
      </c>
      <c r="V3493" s="773">
        <v>2678</v>
      </c>
      <c r="W3493" s="773" t="s">
        <v>390</v>
      </c>
    </row>
    <row r="3494" spans="19:23">
      <c r="S3494" s="27">
        <v>44347</v>
      </c>
      <c r="T3494" s="773" t="s">
        <v>132</v>
      </c>
      <c r="U3494" s="773">
        <v>164</v>
      </c>
      <c r="V3494" s="773">
        <v>9</v>
      </c>
      <c r="W3494" s="773" t="s">
        <v>410</v>
      </c>
    </row>
    <row r="3495" spans="19:23">
      <c r="S3495" s="27">
        <v>44347</v>
      </c>
      <c r="T3495" s="773" t="s">
        <v>132</v>
      </c>
      <c r="U3495" s="773">
        <v>215</v>
      </c>
      <c r="V3495" s="773">
        <v>592</v>
      </c>
      <c r="W3495" s="773" t="s">
        <v>390</v>
      </c>
    </row>
    <row r="3496" spans="19:23">
      <c r="S3496" s="27">
        <v>44712</v>
      </c>
      <c r="T3496" s="773" t="s">
        <v>132</v>
      </c>
      <c r="U3496" s="773">
        <v>103</v>
      </c>
      <c r="V3496" s="773">
        <v>3433</v>
      </c>
      <c r="W3496" s="773" t="s">
        <v>390</v>
      </c>
    </row>
    <row r="3497" spans="19:23">
      <c r="S3497" s="27">
        <v>44347</v>
      </c>
      <c r="T3497" s="773" t="s">
        <v>132</v>
      </c>
      <c r="U3497" s="773">
        <v>304</v>
      </c>
      <c r="V3497" s="773">
        <v>102</v>
      </c>
      <c r="W3497" s="773" t="s">
        <v>390</v>
      </c>
    </row>
    <row r="3498" spans="19:23">
      <c r="S3498" s="27">
        <v>44347</v>
      </c>
      <c r="T3498" s="773" t="s">
        <v>132</v>
      </c>
      <c r="U3498" s="773">
        <v>136</v>
      </c>
      <c r="V3498" s="773">
        <v>89</v>
      </c>
      <c r="W3498" s="773" t="s">
        <v>410</v>
      </c>
    </row>
    <row r="3499" spans="19:23">
      <c r="S3499" s="27">
        <v>44347</v>
      </c>
      <c r="T3499" s="773" t="s">
        <v>132</v>
      </c>
      <c r="U3499" s="773">
        <v>82</v>
      </c>
      <c r="V3499" s="773">
        <v>2192</v>
      </c>
      <c r="W3499" s="773" t="s">
        <v>390</v>
      </c>
    </row>
    <row r="3500" spans="19:23">
      <c r="S3500" s="27">
        <v>44712</v>
      </c>
      <c r="T3500" s="773" t="s">
        <v>132</v>
      </c>
      <c r="U3500" s="773">
        <v>136</v>
      </c>
      <c r="V3500" s="773">
        <v>9</v>
      </c>
      <c r="W3500" s="773" t="s">
        <v>410</v>
      </c>
    </row>
    <row r="3501" spans="19:23">
      <c r="S3501" s="27">
        <v>44347</v>
      </c>
      <c r="T3501" s="773" t="s">
        <v>132</v>
      </c>
      <c r="U3501" s="773">
        <v>239</v>
      </c>
      <c r="V3501" s="773">
        <v>3443</v>
      </c>
      <c r="W3501" s="773" t="s">
        <v>390</v>
      </c>
    </row>
    <row r="3502" spans="19:23">
      <c r="S3502" s="27">
        <v>44347</v>
      </c>
      <c r="T3502" s="773" t="s">
        <v>132</v>
      </c>
      <c r="U3502" s="773">
        <v>133</v>
      </c>
      <c r="V3502" s="773">
        <v>1</v>
      </c>
      <c r="W3502" s="773" t="s">
        <v>410</v>
      </c>
    </row>
    <row r="3503" spans="19:23">
      <c r="S3503" s="27">
        <v>44347</v>
      </c>
      <c r="T3503" s="773" t="s">
        <v>132</v>
      </c>
      <c r="U3503" s="773">
        <v>111</v>
      </c>
      <c r="V3503" s="773">
        <v>2</v>
      </c>
      <c r="W3503" s="773" t="s">
        <v>410</v>
      </c>
    </row>
    <row r="3504" spans="19:23">
      <c r="S3504" s="27">
        <v>44712</v>
      </c>
      <c r="T3504" s="773" t="s">
        <v>132</v>
      </c>
      <c r="U3504" s="773">
        <v>171</v>
      </c>
      <c r="V3504" s="773">
        <v>20</v>
      </c>
      <c r="W3504" s="773" t="s">
        <v>410</v>
      </c>
    </row>
    <row r="3505" spans="19:23">
      <c r="S3505" s="27">
        <v>44712</v>
      </c>
      <c r="T3505" s="773" t="s">
        <v>132</v>
      </c>
      <c r="U3505" s="773">
        <v>212</v>
      </c>
      <c r="V3505" s="773">
        <v>3563</v>
      </c>
      <c r="W3505" s="773" t="s">
        <v>390</v>
      </c>
    </row>
    <row r="3506" spans="19:23">
      <c r="S3506" s="27">
        <v>44347</v>
      </c>
      <c r="T3506" s="773" t="s">
        <v>132</v>
      </c>
      <c r="U3506" s="773">
        <v>53</v>
      </c>
      <c r="V3506" s="773">
        <v>1</v>
      </c>
      <c r="W3506" s="773" t="s">
        <v>410</v>
      </c>
    </row>
    <row r="3507" spans="19:23">
      <c r="S3507" s="27">
        <v>44712</v>
      </c>
      <c r="T3507" s="773" t="s">
        <v>132</v>
      </c>
      <c r="U3507" s="773">
        <v>46</v>
      </c>
      <c r="V3507" s="773">
        <v>3648</v>
      </c>
      <c r="W3507" s="773" t="s">
        <v>390</v>
      </c>
    </row>
    <row r="3508" spans="19:23">
      <c r="S3508" s="27">
        <v>44347</v>
      </c>
      <c r="T3508" s="773" t="s">
        <v>132</v>
      </c>
      <c r="U3508" s="773">
        <v>528</v>
      </c>
      <c r="V3508" s="773">
        <v>610</v>
      </c>
      <c r="W3508" s="773" t="s">
        <v>390</v>
      </c>
    </row>
    <row r="3509" spans="19:23">
      <c r="S3509" s="27">
        <v>44712</v>
      </c>
      <c r="T3509" s="773" t="s">
        <v>132</v>
      </c>
      <c r="U3509" s="773">
        <v>77</v>
      </c>
      <c r="V3509" s="773">
        <v>3542</v>
      </c>
      <c r="W3509" s="773" t="s">
        <v>390</v>
      </c>
    </row>
    <row r="3510" spans="19:23">
      <c r="S3510" s="27">
        <v>44347</v>
      </c>
      <c r="T3510" s="773" t="s">
        <v>132</v>
      </c>
      <c r="U3510" s="773">
        <v>64</v>
      </c>
      <c r="V3510" s="773">
        <v>5</v>
      </c>
      <c r="W3510" s="773" t="s">
        <v>410</v>
      </c>
    </row>
    <row r="3511" spans="19:23">
      <c r="S3511" s="27">
        <v>44347</v>
      </c>
      <c r="T3511" s="773" t="s">
        <v>132</v>
      </c>
      <c r="U3511" s="773">
        <v>35</v>
      </c>
      <c r="V3511" s="773">
        <v>884</v>
      </c>
      <c r="W3511" s="773" t="s">
        <v>390</v>
      </c>
    </row>
    <row r="3512" spans="19:23">
      <c r="S3512" s="27">
        <v>44347</v>
      </c>
      <c r="T3512" s="773" t="s">
        <v>132</v>
      </c>
      <c r="U3512" s="773">
        <v>203</v>
      </c>
      <c r="V3512" s="773">
        <v>3082</v>
      </c>
      <c r="W3512" s="773" t="s">
        <v>390</v>
      </c>
    </row>
    <row r="3513" spans="19:23">
      <c r="S3513" s="27">
        <v>44712</v>
      </c>
      <c r="T3513" s="773" t="s">
        <v>132</v>
      </c>
      <c r="U3513" s="773">
        <v>161</v>
      </c>
      <c r="V3513" s="773">
        <v>1</v>
      </c>
      <c r="W3513" s="773" t="s">
        <v>410</v>
      </c>
    </row>
    <row r="3514" spans="19:23">
      <c r="S3514" s="27">
        <v>44712</v>
      </c>
      <c r="T3514" s="773" t="s">
        <v>132</v>
      </c>
      <c r="U3514" s="773">
        <v>96</v>
      </c>
      <c r="V3514" s="773">
        <v>1</v>
      </c>
      <c r="W3514" s="773" t="s">
        <v>410</v>
      </c>
    </row>
    <row r="3515" spans="19:23">
      <c r="S3515" s="27">
        <v>44347</v>
      </c>
      <c r="T3515" s="773" t="s">
        <v>132</v>
      </c>
      <c r="U3515" s="773">
        <v>290</v>
      </c>
      <c r="V3515" s="773">
        <v>2378</v>
      </c>
      <c r="W3515" s="773" t="s">
        <v>390</v>
      </c>
    </row>
    <row r="3516" spans="19:23">
      <c r="S3516" s="27">
        <v>44712</v>
      </c>
      <c r="T3516" s="773" t="s">
        <v>132</v>
      </c>
      <c r="U3516" s="773">
        <v>691</v>
      </c>
      <c r="V3516" s="773">
        <v>3227</v>
      </c>
      <c r="W3516" s="773" t="s">
        <v>390</v>
      </c>
    </row>
    <row r="3517" spans="19:23">
      <c r="S3517" s="27">
        <v>44347</v>
      </c>
      <c r="T3517" s="773" t="s">
        <v>132</v>
      </c>
      <c r="U3517" s="773">
        <v>159</v>
      </c>
      <c r="V3517" s="773">
        <v>6</v>
      </c>
      <c r="W3517" s="773" t="s">
        <v>410</v>
      </c>
    </row>
    <row r="3518" spans="19:23">
      <c r="S3518" s="27">
        <v>44712</v>
      </c>
      <c r="T3518" s="773" t="s">
        <v>132</v>
      </c>
      <c r="U3518" s="773">
        <v>342</v>
      </c>
      <c r="V3518" s="773">
        <v>2628</v>
      </c>
      <c r="W3518" s="773" t="s">
        <v>390</v>
      </c>
    </row>
    <row r="3519" spans="19:23">
      <c r="S3519" s="27">
        <v>44712</v>
      </c>
      <c r="T3519" s="773" t="s">
        <v>132</v>
      </c>
      <c r="U3519" s="773">
        <v>707</v>
      </c>
      <c r="V3519" s="773">
        <v>142</v>
      </c>
      <c r="W3519" s="773" t="s">
        <v>390</v>
      </c>
    </row>
    <row r="3520" spans="19:23">
      <c r="S3520" s="27">
        <v>44712</v>
      </c>
      <c r="T3520" s="773" t="s">
        <v>132</v>
      </c>
      <c r="U3520" s="773">
        <v>233</v>
      </c>
      <c r="V3520" s="773">
        <v>3033</v>
      </c>
      <c r="W3520" s="773" t="s">
        <v>390</v>
      </c>
    </row>
    <row r="3521" spans="19:23">
      <c r="S3521" s="27">
        <v>44712</v>
      </c>
      <c r="T3521" s="773" t="s">
        <v>132</v>
      </c>
      <c r="U3521" s="773">
        <v>70</v>
      </c>
      <c r="V3521" s="773">
        <v>216</v>
      </c>
      <c r="W3521" s="773" t="s">
        <v>390</v>
      </c>
    </row>
    <row r="3522" spans="19:23">
      <c r="S3522" s="27">
        <v>44347</v>
      </c>
      <c r="T3522" s="773" t="s">
        <v>132</v>
      </c>
      <c r="U3522" s="773">
        <v>83</v>
      </c>
      <c r="V3522" s="773">
        <v>2161</v>
      </c>
      <c r="W3522" s="773" t="s">
        <v>390</v>
      </c>
    </row>
    <row r="3523" spans="19:23">
      <c r="S3523" s="27">
        <v>44347</v>
      </c>
      <c r="T3523" s="773" t="s">
        <v>132</v>
      </c>
      <c r="U3523" s="773">
        <v>250</v>
      </c>
      <c r="V3523" s="773">
        <v>2</v>
      </c>
      <c r="W3523" s="773" t="s">
        <v>410</v>
      </c>
    </row>
    <row r="3524" spans="19:23">
      <c r="S3524" s="27">
        <v>44347</v>
      </c>
      <c r="T3524" s="773" t="s">
        <v>132</v>
      </c>
      <c r="U3524" s="773">
        <v>0</v>
      </c>
      <c r="V3524" s="773">
        <v>38</v>
      </c>
      <c r="W3524" s="773" t="s">
        <v>410</v>
      </c>
    </row>
    <row r="3525" spans="19:23">
      <c r="S3525" s="27">
        <v>44347</v>
      </c>
      <c r="T3525" s="773" t="s">
        <v>132</v>
      </c>
      <c r="U3525" s="773">
        <v>92</v>
      </c>
      <c r="V3525" s="773">
        <v>2467</v>
      </c>
      <c r="W3525" s="773" t="s">
        <v>390</v>
      </c>
    </row>
    <row r="3526" spans="19:23">
      <c r="S3526" s="27">
        <v>44347</v>
      </c>
      <c r="T3526" s="773" t="s">
        <v>132</v>
      </c>
      <c r="U3526" s="773">
        <v>694</v>
      </c>
      <c r="V3526" s="773">
        <v>1</v>
      </c>
      <c r="W3526" s="773" t="s">
        <v>410</v>
      </c>
    </row>
    <row r="3527" spans="19:23">
      <c r="S3527" s="27">
        <v>44347</v>
      </c>
      <c r="T3527" s="773" t="s">
        <v>132</v>
      </c>
      <c r="U3527" s="773">
        <v>660</v>
      </c>
      <c r="V3527" s="773">
        <v>3</v>
      </c>
      <c r="W3527" s="773" t="s">
        <v>410</v>
      </c>
    </row>
    <row r="3528" spans="19:23">
      <c r="S3528" s="27">
        <v>44712</v>
      </c>
      <c r="T3528" s="773" t="s">
        <v>132</v>
      </c>
      <c r="U3528" s="773">
        <v>674</v>
      </c>
      <c r="V3528" s="773">
        <v>3930</v>
      </c>
      <c r="W3528" s="773" t="s">
        <v>390</v>
      </c>
    </row>
    <row r="3529" spans="19:23">
      <c r="S3529" s="27">
        <v>44712</v>
      </c>
      <c r="T3529" s="773" t="s">
        <v>132</v>
      </c>
      <c r="U3529" s="773">
        <v>311</v>
      </c>
      <c r="V3529" s="773">
        <v>2514</v>
      </c>
      <c r="W3529" s="773" t="s">
        <v>390</v>
      </c>
    </row>
    <row r="3530" spans="19:23">
      <c r="S3530" s="27">
        <v>44712</v>
      </c>
      <c r="T3530" s="773" t="s">
        <v>132</v>
      </c>
      <c r="U3530" s="773">
        <v>98</v>
      </c>
      <c r="V3530" s="773">
        <v>33</v>
      </c>
      <c r="W3530" s="773" t="s">
        <v>410</v>
      </c>
    </row>
    <row r="3531" spans="19:23">
      <c r="S3531" s="27">
        <v>44347</v>
      </c>
      <c r="T3531" s="773" t="s">
        <v>132</v>
      </c>
      <c r="U3531" s="773">
        <v>150</v>
      </c>
      <c r="V3531" s="773">
        <v>771</v>
      </c>
      <c r="W3531" s="773" t="s">
        <v>390</v>
      </c>
    </row>
    <row r="3532" spans="19:23">
      <c r="S3532" s="27">
        <v>44347</v>
      </c>
      <c r="T3532" s="773" t="s">
        <v>132</v>
      </c>
      <c r="U3532" s="773">
        <v>120</v>
      </c>
      <c r="V3532" s="773">
        <v>3</v>
      </c>
      <c r="W3532" s="773" t="s">
        <v>410</v>
      </c>
    </row>
    <row r="3533" spans="19:23">
      <c r="S3533" s="27">
        <v>44347</v>
      </c>
      <c r="T3533" s="773" t="s">
        <v>132</v>
      </c>
      <c r="U3533" s="773">
        <v>645</v>
      </c>
      <c r="V3533" s="773">
        <v>2413</v>
      </c>
      <c r="W3533" s="773" t="s">
        <v>390</v>
      </c>
    </row>
    <row r="3534" spans="19:23">
      <c r="S3534" s="27">
        <v>44347</v>
      </c>
      <c r="T3534" s="773" t="s">
        <v>132</v>
      </c>
      <c r="U3534" s="773">
        <v>654</v>
      </c>
      <c r="V3534" s="773">
        <v>2435</v>
      </c>
      <c r="W3534" s="773" t="s">
        <v>390</v>
      </c>
    </row>
    <row r="3535" spans="19:23">
      <c r="S3535" s="27">
        <v>44347</v>
      </c>
      <c r="T3535" s="773" t="s">
        <v>132</v>
      </c>
      <c r="U3535" s="773">
        <v>295</v>
      </c>
      <c r="V3535" s="773">
        <v>5</v>
      </c>
      <c r="W3535" s="773" t="s">
        <v>410</v>
      </c>
    </row>
    <row r="3536" spans="19:23">
      <c r="S3536" s="27">
        <v>44347</v>
      </c>
      <c r="T3536" s="773" t="s">
        <v>132</v>
      </c>
      <c r="U3536" s="773">
        <v>59</v>
      </c>
      <c r="V3536" s="773">
        <v>85</v>
      </c>
      <c r="W3536" s="773" t="s">
        <v>410</v>
      </c>
    </row>
    <row r="3537" spans="19:23">
      <c r="S3537" s="27">
        <v>44712</v>
      </c>
      <c r="T3537" s="773" t="s">
        <v>132</v>
      </c>
      <c r="U3537" s="773">
        <v>271</v>
      </c>
      <c r="V3537" s="773">
        <v>2801</v>
      </c>
      <c r="W3537" s="773" t="s">
        <v>390</v>
      </c>
    </row>
    <row r="3538" spans="19:23">
      <c r="S3538" s="27">
        <v>44347</v>
      </c>
      <c r="T3538" s="773" t="s">
        <v>132</v>
      </c>
      <c r="U3538" s="773">
        <v>27</v>
      </c>
      <c r="V3538" s="773">
        <v>1</v>
      </c>
      <c r="W3538" s="773" t="s">
        <v>410</v>
      </c>
    </row>
    <row r="3539" spans="19:23">
      <c r="S3539" s="27">
        <v>44712</v>
      </c>
      <c r="T3539" s="773" t="s">
        <v>132</v>
      </c>
      <c r="U3539" s="773">
        <v>133</v>
      </c>
      <c r="V3539" s="773">
        <v>5</v>
      </c>
      <c r="W3539" s="773" t="s">
        <v>410</v>
      </c>
    </row>
    <row r="3540" spans="19:23">
      <c r="S3540" s="27">
        <v>44712</v>
      </c>
      <c r="T3540" s="773" t="s">
        <v>132</v>
      </c>
      <c r="U3540" s="773">
        <v>686</v>
      </c>
      <c r="V3540" s="773">
        <v>2932</v>
      </c>
      <c r="W3540" s="773" t="s">
        <v>390</v>
      </c>
    </row>
    <row r="3541" spans="19:23">
      <c r="S3541" s="27">
        <v>44712</v>
      </c>
      <c r="T3541" s="773" t="s">
        <v>132</v>
      </c>
      <c r="U3541" s="773">
        <v>239</v>
      </c>
      <c r="V3541" s="773">
        <v>4</v>
      </c>
      <c r="W3541" s="773" t="s">
        <v>410</v>
      </c>
    </row>
    <row r="3542" spans="19:23">
      <c r="S3542" s="27">
        <v>44347</v>
      </c>
      <c r="T3542" s="773" t="s">
        <v>132</v>
      </c>
      <c r="U3542" s="773">
        <v>299</v>
      </c>
      <c r="V3542" s="773">
        <v>1</v>
      </c>
      <c r="W3542" s="773" t="s">
        <v>410</v>
      </c>
    </row>
    <row r="3543" spans="19:23">
      <c r="S3543" s="27">
        <v>44712</v>
      </c>
      <c r="T3543" s="773" t="s">
        <v>132</v>
      </c>
      <c r="U3543" s="773">
        <v>249</v>
      </c>
      <c r="V3543" s="773">
        <v>3593</v>
      </c>
      <c r="W3543" s="773" t="s">
        <v>390</v>
      </c>
    </row>
    <row r="3544" spans="19:23">
      <c r="S3544" s="27">
        <v>44347</v>
      </c>
      <c r="T3544" s="773" t="s">
        <v>132</v>
      </c>
      <c r="U3544" s="773">
        <v>63</v>
      </c>
      <c r="V3544" s="773">
        <v>1</v>
      </c>
      <c r="W3544" s="773" t="s">
        <v>410</v>
      </c>
    </row>
    <row r="3545" spans="19:23">
      <c r="S3545" s="27">
        <v>44712</v>
      </c>
      <c r="T3545" s="773" t="s">
        <v>132</v>
      </c>
      <c r="U3545" s="773">
        <v>660</v>
      </c>
      <c r="V3545" s="773">
        <v>1</v>
      </c>
      <c r="W3545" s="773" t="s">
        <v>410</v>
      </c>
    </row>
    <row r="3546" spans="19:23">
      <c r="S3546" s="27">
        <v>44347</v>
      </c>
      <c r="T3546" s="773" t="s">
        <v>132</v>
      </c>
      <c r="U3546" s="773">
        <v>68</v>
      </c>
      <c r="V3546" s="773">
        <v>319</v>
      </c>
      <c r="W3546" s="773" t="s">
        <v>390</v>
      </c>
    </row>
    <row r="3547" spans="19:23">
      <c r="S3547" s="27">
        <v>44347</v>
      </c>
      <c r="T3547" s="773" t="s">
        <v>132</v>
      </c>
      <c r="U3547" s="773">
        <v>324</v>
      </c>
      <c r="V3547" s="773">
        <v>102</v>
      </c>
      <c r="W3547" s="773" t="s">
        <v>390</v>
      </c>
    </row>
    <row r="3548" spans="19:23">
      <c r="S3548" s="27">
        <v>44712</v>
      </c>
      <c r="T3548" s="773" t="s">
        <v>132</v>
      </c>
      <c r="U3548" s="773">
        <v>684</v>
      </c>
      <c r="V3548" s="773">
        <v>3346</v>
      </c>
      <c r="W3548" s="773" t="s">
        <v>390</v>
      </c>
    </row>
    <row r="3549" spans="19:23">
      <c r="S3549" s="27">
        <v>44712</v>
      </c>
      <c r="T3549" s="773" t="s">
        <v>132</v>
      </c>
      <c r="U3549" s="773">
        <v>203</v>
      </c>
      <c r="V3549" s="773">
        <v>2706</v>
      </c>
      <c r="W3549" s="773" t="s">
        <v>390</v>
      </c>
    </row>
    <row r="3550" spans="19:23">
      <c r="S3550" s="27">
        <v>44712</v>
      </c>
      <c r="T3550" s="773" t="s">
        <v>132</v>
      </c>
      <c r="U3550" s="773">
        <v>231</v>
      </c>
      <c r="V3550" s="773">
        <v>2</v>
      </c>
      <c r="W3550" s="773" t="s">
        <v>410</v>
      </c>
    </row>
    <row r="3551" spans="19:23">
      <c r="S3551" s="27">
        <v>44347</v>
      </c>
      <c r="T3551" s="773" t="s">
        <v>132</v>
      </c>
      <c r="U3551" s="773">
        <v>61</v>
      </c>
      <c r="V3551" s="773">
        <v>1</v>
      </c>
      <c r="W3551" s="773" t="s">
        <v>410</v>
      </c>
    </row>
    <row r="3552" spans="19:23">
      <c r="S3552" s="27">
        <v>44347</v>
      </c>
      <c r="T3552" s="773" t="s">
        <v>132</v>
      </c>
      <c r="U3552" s="773">
        <v>102</v>
      </c>
      <c r="V3552" s="773">
        <v>3</v>
      </c>
      <c r="W3552" s="773" t="s">
        <v>410</v>
      </c>
    </row>
    <row r="3553" spans="19:23">
      <c r="S3553" s="27">
        <v>44347</v>
      </c>
      <c r="T3553" s="773" t="s">
        <v>132</v>
      </c>
      <c r="U3553" s="773">
        <v>651</v>
      </c>
      <c r="V3553" s="773">
        <v>318</v>
      </c>
      <c r="W3553" s="773" t="s">
        <v>390</v>
      </c>
    </row>
    <row r="3554" spans="19:23">
      <c r="S3554" s="27">
        <v>44347</v>
      </c>
      <c r="T3554" s="773" t="s">
        <v>132</v>
      </c>
      <c r="U3554" s="773">
        <v>183</v>
      </c>
      <c r="V3554" s="773">
        <v>2300</v>
      </c>
      <c r="W3554" s="773" t="s">
        <v>390</v>
      </c>
    </row>
    <row r="3555" spans="19:23">
      <c r="S3555" s="27">
        <v>44347</v>
      </c>
      <c r="T3555" s="773" t="s">
        <v>132</v>
      </c>
      <c r="U3555" s="773">
        <v>264</v>
      </c>
      <c r="V3555" s="773">
        <v>936</v>
      </c>
      <c r="W3555" s="773" t="s">
        <v>390</v>
      </c>
    </row>
    <row r="3556" spans="19:23">
      <c r="S3556" s="27">
        <v>44712</v>
      </c>
      <c r="T3556" s="773" t="s">
        <v>132</v>
      </c>
      <c r="U3556" s="773">
        <v>670</v>
      </c>
      <c r="V3556" s="773">
        <v>2640</v>
      </c>
      <c r="W3556" s="773" t="s">
        <v>390</v>
      </c>
    </row>
    <row r="3557" spans="19:23">
      <c r="S3557" s="27">
        <v>44712</v>
      </c>
      <c r="T3557" s="773" t="s">
        <v>132</v>
      </c>
      <c r="U3557" s="773">
        <v>44</v>
      </c>
      <c r="V3557" s="773">
        <v>2272</v>
      </c>
      <c r="W3557" s="773" t="s">
        <v>390</v>
      </c>
    </row>
    <row r="3558" spans="19:23">
      <c r="S3558" s="27">
        <v>44712</v>
      </c>
      <c r="T3558" s="773" t="s">
        <v>132</v>
      </c>
      <c r="U3558" s="773">
        <v>654</v>
      </c>
      <c r="V3558" s="773">
        <v>1133</v>
      </c>
      <c r="W3558" s="773" t="s">
        <v>390</v>
      </c>
    </row>
    <row r="3559" spans="19:23">
      <c r="S3559" s="27">
        <v>44347</v>
      </c>
      <c r="T3559" s="773" t="s">
        <v>132</v>
      </c>
      <c r="U3559" s="773">
        <v>132</v>
      </c>
      <c r="V3559" s="773">
        <v>2701</v>
      </c>
      <c r="W3559" s="773" t="s">
        <v>390</v>
      </c>
    </row>
    <row r="3560" spans="19:23">
      <c r="S3560" s="27">
        <v>44712</v>
      </c>
      <c r="T3560" s="773" t="s">
        <v>132</v>
      </c>
      <c r="U3560" s="773">
        <v>293</v>
      </c>
      <c r="V3560" s="773">
        <v>327</v>
      </c>
      <c r="W3560" s="773" t="s">
        <v>390</v>
      </c>
    </row>
    <row r="3561" spans="19:23">
      <c r="S3561" s="27">
        <v>44347</v>
      </c>
      <c r="T3561" s="773" t="s">
        <v>132</v>
      </c>
      <c r="U3561" s="773">
        <v>204</v>
      </c>
      <c r="V3561" s="773">
        <v>22</v>
      </c>
      <c r="W3561" s="773" t="s">
        <v>410</v>
      </c>
    </row>
    <row r="3562" spans="19:23">
      <c r="S3562" s="27">
        <v>44712</v>
      </c>
      <c r="T3562" s="773" t="s">
        <v>132</v>
      </c>
      <c r="U3562" s="773">
        <v>11</v>
      </c>
      <c r="V3562" s="773">
        <v>27</v>
      </c>
      <c r="W3562" s="773" t="s">
        <v>410</v>
      </c>
    </row>
    <row r="3563" spans="19:23">
      <c r="S3563" s="27">
        <v>44347</v>
      </c>
      <c r="T3563" s="773" t="s">
        <v>132</v>
      </c>
      <c r="U3563" s="773">
        <v>688</v>
      </c>
      <c r="V3563" s="773">
        <v>2340</v>
      </c>
      <c r="W3563" s="773" t="s">
        <v>390</v>
      </c>
    </row>
    <row r="3564" spans="19:23">
      <c r="S3564" s="27">
        <v>44347</v>
      </c>
      <c r="T3564" s="773" t="s">
        <v>132</v>
      </c>
      <c r="U3564" s="773">
        <v>297</v>
      </c>
      <c r="V3564" s="773">
        <v>64</v>
      </c>
      <c r="W3564" s="773" t="s">
        <v>410</v>
      </c>
    </row>
    <row r="3565" spans="19:23">
      <c r="S3565" s="27">
        <v>44712</v>
      </c>
      <c r="T3565" s="773" t="s">
        <v>132</v>
      </c>
      <c r="U3565" s="773">
        <v>253</v>
      </c>
      <c r="V3565" s="773">
        <v>11</v>
      </c>
      <c r="W3565" s="773" t="s">
        <v>410</v>
      </c>
    </row>
    <row r="3566" spans="19:23">
      <c r="S3566" s="27">
        <v>44347</v>
      </c>
      <c r="T3566" s="773" t="s">
        <v>132</v>
      </c>
      <c r="U3566" s="773">
        <v>48</v>
      </c>
      <c r="V3566" s="773">
        <v>728</v>
      </c>
      <c r="W3566" s="773" t="s">
        <v>390</v>
      </c>
    </row>
    <row r="3567" spans="19:23">
      <c r="S3567" s="27">
        <v>44347</v>
      </c>
      <c r="T3567" s="773" t="s">
        <v>132</v>
      </c>
      <c r="U3567" s="773">
        <v>665</v>
      </c>
      <c r="V3567" s="773">
        <v>2575</v>
      </c>
      <c r="W3567" s="773" t="s">
        <v>390</v>
      </c>
    </row>
    <row r="3568" spans="19:23">
      <c r="S3568" s="27">
        <v>44347</v>
      </c>
      <c r="T3568" s="773" t="s">
        <v>132</v>
      </c>
      <c r="U3568" s="773">
        <v>98</v>
      </c>
      <c r="V3568" s="773">
        <v>102</v>
      </c>
      <c r="W3568" s="773" t="s">
        <v>390</v>
      </c>
    </row>
    <row r="3569" spans="19:23">
      <c r="S3569" s="27">
        <v>44712</v>
      </c>
      <c r="T3569" s="773" t="s">
        <v>132</v>
      </c>
      <c r="U3569" s="773">
        <v>291</v>
      </c>
      <c r="V3569" s="773">
        <v>2022</v>
      </c>
      <c r="W3569" s="773" t="s">
        <v>390</v>
      </c>
    </row>
    <row r="3570" spans="19:23">
      <c r="S3570" s="27">
        <v>44712</v>
      </c>
      <c r="T3570" s="773" t="s">
        <v>132</v>
      </c>
      <c r="U3570" s="773">
        <v>81</v>
      </c>
      <c r="V3570" s="773">
        <v>5</v>
      </c>
      <c r="W3570" s="773" t="s">
        <v>410</v>
      </c>
    </row>
    <row r="3571" spans="19:23">
      <c r="S3571" s="27">
        <v>44347</v>
      </c>
      <c r="T3571" s="773" t="s">
        <v>132</v>
      </c>
      <c r="U3571" s="773">
        <v>13</v>
      </c>
      <c r="V3571" s="773">
        <v>3612</v>
      </c>
      <c r="W3571" s="773" t="s">
        <v>390</v>
      </c>
    </row>
    <row r="3572" spans="19:23">
      <c r="S3572" s="27">
        <v>44712</v>
      </c>
      <c r="T3572" s="773" t="s">
        <v>132</v>
      </c>
      <c r="U3572" s="773">
        <v>252</v>
      </c>
      <c r="V3572" s="773">
        <v>838</v>
      </c>
      <c r="W3572" s="773" t="s">
        <v>390</v>
      </c>
    </row>
    <row r="3573" spans="19:23">
      <c r="S3573" s="27">
        <v>44712</v>
      </c>
      <c r="T3573" s="773" t="s">
        <v>132</v>
      </c>
      <c r="U3573" s="773">
        <v>195</v>
      </c>
      <c r="V3573" s="773">
        <v>1</v>
      </c>
      <c r="W3573" s="773" t="s">
        <v>410</v>
      </c>
    </row>
    <row r="3574" spans="19:23">
      <c r="S3574" s="27">
        <v>44347</v>
      </c>
      <c r="T3574" s="773" t="s">
        <v>132</v>
      </c>
      <c r="U3574" s="773">
        <v>279</v>
      </c>
      <c r="V3574" s="773">
        <v>3963</v>
      </c>
      <c r="W3574" s="773" t="s">
        <v>390</v>
      </c>
    </row>
    <row r="3575" spans="19:23">
      <c r="S3575" s="27">
        <v>44347</v>
      </c>
      <c r="T3575" s="773" t="s">
        <v>132</v>
      </c>
      <c r="U3575" s="773">
        <v>114</v>
      </c>
      <c r="V3575" s="773">
        <v>1</v>
      </c>
      <c r="W3575" s="773" t="s">
        <v>410</v>
      </c>
    </row>
    <row r="3576" spans="19:23">
      <c r="S3576" s="27">
        <v>44712</v>
      </c>
      <c r="T3576" s="773" t="s">
        <v>132</v>
      </c>
      <c r="U3576" s="773">
        <v>73</v>
      </c>
      <c r="V3576" s="773">
        <v>2</v>
      </c>
      <c r="W3576" s="773" t="s">
        <v>410</v>
      </c>
    </row>
    <row r="3577" spans="19:23">
      <c r="S3577" s="27">
        <v>44347</v>
      </c>
      <c r="T3577" s="773" t="s">
        <v>132</v>
      </c>
      <c r="U3577" s="773">
        <v>202</v>
      </c>
      <c r="V3577" s="773">
        <v>1</v>
      </c>
      <c r="W3577" s="773" t="s">
        <v>410</v>
      </c>
    </row>
    <row r="3578" spans="19:23">
      <c r="S3578" s="27">
        <v>44347</v>
      </c>
      <c r="T3578" s="773" t="s">
        <v>132</v>
      </c>
      <c r="U3578" s="773">
        <v>222</v>
      </c>
      <c r="V3578" s="773">
        <v>2</v>
      </c>
      <c r="W3578" s="773" t="s">
        <v>410</v>
      </c>
    </row>
    <row r="3579" spans="19:23">
      <c r="S3579" s="27">
        <v>44712</v>
      </c>
      <c r="T3579" s="773" t="s">
        <v>132</v>
      </c>
      <c r="U3579" s="773">
        <v>150</v>
      </c>
      <c r="V3579" s="773">
        <v>344</v>
      </c>
      <c r="W3579" s="773" t="s">
        <v>390</v>
      </c>
    </row>
    <row r="3580" spans="19:23">
      <c r="S3580" s="27">
        <v>44347</v>
      </c>
      <c r="T3580" s="773" t="s">
        <v>132</v>
      </c>
      <c r="U3580" s="773">
        <v>46</v>
      </c>
      <c r="V3580" s="773">
        <v>2725</v>
      </c>
      <c r="W3580" s="773" t="s">
        <v>390</v>
      </c>
    </row>
    <row r="3581" spans="19:23">
      <c r="S3581" s="27">
        <v>44347</v>
      </c>
      <c r="T3581" s="773" t="s">
        <v>132</v>
      </c>
      <c r="U3581" s="773">
        <v>84</v>
      </c>
      <c r="V3581" s="773">
        <v>2327</v>
      </c>
      <c r="W3581" s="773" t="s">
        <v>390</v>
      </c>
    </row>
    <row r="3582" spans="19:23">
      <c r="S3582" s="27">
        <v>44347</v>
      </c>
      <c r="T3582" s="773" t="s">
        <v>132</v>
      </c>
      <c r="U3582" s="773">
        <v>670</v>
      </c>
      <c r="V3582" s="773">
        <v>3390</v>
      </c>
      <c r="W3582" s="773" t="s">
        <v>390</v>
      </c>
    </row>
    <row r="3583" spans="19:23">
      <c r="S3583" s="27">
        <v>44347</v>
      </c>
      <c r="T3583" s="773" t="s">
        <v>132</v>
      </c>
      <c r="U3583" s="773">
        <v>182</v>
      </c>
      <c r="V3583" s="773">
        <v>919</v>
      </c>
      <c r="W3583" s="773" t="s">
        <v>390</v>
      </c>
    </row>
    <row r="3584" spans="19:23">
      <c r="S3584" s="27">
        <v>44712</v>
      </c>
      <c r="T3584" s="773" t="s">
        <v>132</v>
      </c>
      <c r="U3584" s="773">
        <v>230</v>
      </c>
      <c r="V3584" s="773">
        <v>1</v>
      </c>
      <c r="W3584" s="773" t="s">
        <v>410</v>
      </c>
    </row>
    <row r="3585" spans="19:23">
      <c r="S3585" s="27">
        <v>44712</v>
      </c>
      <c r="T3585" s="773" t="s">
        <v>132</v>
      </c>
      <c r="U3585" s="773">
        <v>194</v>
      </c>
      <c r="V3585" s="773">
        <v>3925</v>
      </c>
      <c r="W3585" s="773" t="s">
        <v>390</v>
      </c>
    </row>
    <row r="3586" spans="19:23">
      <c r="S3586" s="27">
        <v>44347</v>
      </c>
      <c r="T3586" s="773" t="s">
        <v>132</v>
      </c>
      <c r="U3586" s="773">
        <v>676</v>
      </c>
      <c r="V3586" s="773">
        <v>1</v>
      </c>
      <c r="W3586" s="773" t="s">
        <v>410</v>
      </c>
    </row>
    <row r="3587" spans="19:23">
      <c r="S3587" s="27">
        <v>44347</v>
      </c>
      <c r="T3587" s="773" t="s">
        <v>132</v>
      </c>
      <c r="U3587" s="773">
        <v>69</v>
      </c>
      <c r="V3587" s="773">
        <v>1</v>
      </c>
      <c r="W3587" s="773" t="s">
        <v>410</v>
      </c>
    </row>
    <row r="3588" spans="19:23">
      <c r="S3588" s="27">
        <v>44347</v>
      </c>
      <c r="T3588" s="773" t="s">
        <v>132</v>
      </c>
      <c r="U3588" s="773">
        <v>237</v>
      </c>
      <c r="V3588" s="773">
        <v>32</v>
      </c>
      <c r="W3588" s="773" t="s">
        <v>410</v>
      </c>
    </row>
    <row r="3589" spans="19:23">
      <c r="S3589" s="27">
        <v>44347</v>
      </c>
      <c r="T3589" s="773" t="s">
        <v>132</v>
      </c>
      <c r="U3589" s="773">
        <v>249</v>
      </c>
      <c r="V3589" s="773">
        <v>2596</v>
      </c>
      <c r="W3589" s="773" t="s">
        <v>390</v>
      </c>
    </row>
    <row r="3590" spans="19:23">
      <c r="S3590" s="27">
        <v>44347</v>
      </c>
      <c r="T3590" s="773" t="s">
        <v>132</v>
      </c>
      <c r="U3590" s="773">
        <v>140</v>
      </c>
      <c r="V3590" s="773">
        <v>308</v>
      </c>
      <c r="W3590" s="773" t="s">
        <v>390</v>
      </c>
    </row>
    <row r="3591" spans="19:23">
      <c r="S3591" s="27">
        <v>44347</v>
      </c>
      <c r="T3591" s="773" t="s">
        <v>132</v>
      </c>
      <c r="U3591" s="773">
        <v>246</v>
      </c>
      <c r="V3591" s="773">
        <v>3</v>
      </c>
      <c r="W3591" s="773" t="s">
        <v>410</v>
      </c>
    </row>
    <row r="3592" spans="19:23">
      <c r="S3592" s="27">
        <v>44712</v>
      </c>
      <c r="T3592" s="773" t="s">
        <v>132</v>
      </c>
      <c r="U3592" s="773">
        <v>706</v>
      </c>
      <c r="V3592" s="773">
        <v>1227</v>
      </c>
      <c r="W3592" s="773" t="s">
        <v>390</v>
      </c>
    </row>
    <row r="3593" spans="19:23">
      <c r="S3593" s="27">
        <v>44347</v>
      </c>
      <c r="T3593" s="773" t="s">
        <v>132</v>
      </c>
      <c r="U3593" s="773">
        <v>232</v>
      </c>
      <c r="V3593" s="773">
        <v>138</v>
      </c>
      <c r="W3593" s="773" t="s">
        <v>390</v>
      </c>
    </row>
    <row r="3594" spans="19:23">
      <c r="S3594" s="27">
        <v>44712</v>
      </c>
      <c r="T3594" s="773" t="s">
        <v>132</v>
      </c>
      <c r="U3594" s="773">
        <v>679</v>
      </c>
      <c r="V3594" s="773">
        <v>1</v>
      </c>
      <c r="W3594" s="773" t="s">
        <v>410</v>
      </c>
    </row>
    <row r="3595" spans="19:23">
      <c r="S3595" s="27">
        <v>44712</v>
      </c>
      <c r="T3595" s="773" t="s">
        <v>132</v>
      </c>
      <c r="U3595" s="773">
        <v>69</v>
      </c>
      <c r="V3595" s="773">
        <v>1</v>
      </c>
      <c r="W3595" s="773" t="s">
        <v>410</v>
      </c>
    </row>
    <row r="3596" spans="19:23">
      <c r="S3596" s="27">
        <v>44712</v>
      </c>
      <c r="T3596" s="773" t="s">
        <v>132</v>
      </c>
      <c r="U3596" s="773">
        <v>216</v>
      </c>
      <c r="V3596" s="773">
        <v>2456</v>
      </c>
      <c r="W3596" s="773" t="s">
        <v>390</v>
      </c>
    </row>
    <row r="3597" spans="19:23">
      <c r="S3597" s="27">
        <v>44712</v>
      </c>
      <c r="T3597" s="773" t="s">
        <v>132</v>
      </c>
      <c r="U3597" s="773">
        <v>41</v>
      </c>
      <c r="V3597" s="773">
        <v>1</v>
      </c>
      <c r="W3597" s="773" t="s">
        <v>410</v>
      </c>
    </row>
    <row r="3598" spans="19:23">
      <c r="S3598" s="27">
        <v>44712</v>
      </c>
      <c r="T3598" s="773" t="s">
        <v>132</v>
      </c>
      <c r="U3598" s="773">
        <v>528</v>
      </c>
      <c r="V3598" s="773">
        <v>71</v>
      </c>
      <c r="W3598" s="773" t="s">
        <v>410</v>
      </c>
    </row>
    <row r="3599" spans="19:23">
      <c r="S3599" s="27">
        <v>44712</v>
      </c>
      <c r="T3599" s="773" t="s">
        <v>132</v>
      </c>
      <c r="U3599" s="773">
        <v>222</v>
      </c>
      <c r="V3599" s="773">
        <v>1</v>
      </c>
      <c r="W3599" s="773" t="s">
        <v>410</v>
      </c>
    </row>
    <row r="3600" spans="19:23">
      <c r="S3600" s="27">
        <v>44347</v>
      </c>
      <c r="T3600" s="773" t="s">
        <v>132</v>
      </c>
      <c r="U3600" s="773">
        <v>245</v>
      </c>
      <c r="V3600" s="773">
        <v>2403</v>
      </c>
      <c r="W3600" s="773" t="s">
        <v>390</v>
      </c>
    </row>
    <row r="3601" spans="19:23">
      <c r="S3601" s="27">
        <v>44712</v>
      </c>
      <c r="T3601" s="773" t="s">
        <v>132</v>
      </c>
      <c r="U3601" s="773">
        <v>169</v>
      </c>
      <c r="V3601" s="773">
        <v>3192</v>
      </c>
      <c r="W3601" s="773" t="s">
        <v>390</v>
      </c>
    </row>
    <row r="3602" spans="19:23">
      <c r="S3602" s="27">
        <v>44347</v>
      </c>
      <c r="T3602" s="773" t="s">
        <v>132</v>
      </c>
      <c r="U3602" s="773">
        <v>652</v>
      </c>
      <c r="V3602" s="773">
        <v>2616</v>
      </c>
      <c r="W3602" s="773" t="s">
        <v>390</v>
      </c>
    </row>
    <row r="3603" spans="19:23">
      <c r="S3603" s="27">
        <v>44712</v>
      </c>
      <c r="T3603" s="773" t="s">
        <v>132</v>
      </c>
      <c r="U3603" s="773">
        <v>641</v>
      </c>
      <c r="V3603" s="773">
        <v>2313</v>
      </c>
      <c r="W3603" s="773" t="s">
        <v>390</v>
      </c>
    </row>
    <row r="3604" spans="19:23">
      <c r="S3604" s="27">
        <v>44712</v>
      </c>
      <c r="T3604" s="773" t="s">
        <v>132</v>
      </c>
      <c r="U3604" s="773">
        <v>255</v>
      </c>
      <c r="V3604" s="773">
        <v>139</v>
      </c>
      <c r="W3604" s="773" t="s">
        <v>390</v>
      </c>
    </row>
    <row r="3605" spans="19:23">
      <c r="S3605" s="27">
        <v>44347</v>
      </c>
      <c r="T3605" s="773" t="s">
        <v>132</v>
      </c>
      <c r="U3605" s="773">
        <v>145</v>
      </c>
      <c r="V3605" s="773">
        <v>2</v>
      </c>
      <c r="W3605" s="773" t="s">
        <v>410</v>
      </c>
    </row>
    <row r="3606" spans="19:23">
      <c r="S3606" s="27">
        <v>44712</v>
      </c>
      <c r="T3606" s="773" t="s">
        <v>132</v>
      </c>
      <c r="U3606" s="773">
        <v>316</v>
      </c>
      <c r="V3606" s="773">
        <v>5</v>
      </c>
      <c r="W3606" s="773" t="s">
        <v>410</v>
      </c>
    </row>
    <row r="3607" spans="19:23">
      <c r="S3607" s="27">
        <v>44347</v>
      </c>
      <c r="T3607" s="773" t="s">
        <v>132</v>
      </c>
      <c r="U3607" s="773">
        <v>91</v>
      </c>
      <c r="V3607" s="773">
        <v>2</v>
      </c>
      <c r="W3607" s="773" t="s">
        <v>410</v>
      </c>
    </row>
    <row r="3608" spans="19:23">
      <c r="S3608" s="27">
        <v>44712</v>
      </c>
      <c r="T3608" s="773" t="s">
        <v>132</v>
      </c>
      <c r="U3608" s="773">
        <v>367</v>
      </c>
      <c r="V3608" s="773">
        <v>1</v>
      </c>
      <c r="W3608" s="773" t="s">
        <v>410</v>
      </c>
    </row>
    <row r="3609" spans="19:23">
      <c r="S3609" s="27">
        <v>44712</v>
      </c>
      <c r="T3609" s="773" t="s">
        <v>132</v>
      </c>
      <c r="U3609" s="773">
        <v>35</v>
      </c>
      <c r="V3609" s="773">
        <v>885</v>
      </c>
      <c r="W3609" s="773" t="s">
        <v>390</v>
      </c>
    </row>
    <row r="3610" spans="19:23">
      <c r="S3610" s="27">
        <v>44347</v>
      </c>
      <c r="T3610" s="773" t="s">
        <v>132</v>
      </c>
      <c r="U3610" s="773">
        <v>322</v>
      </c>
      <c r="V3610" s="773">
        <v>2083</v>
      </c>
      <c r="W3610" s="773" t="s">
        <v>390</v>
      </c>
    </row>
    <row r="3611" spans="19:23">
      <c r="S3611" s="27">
        <v>44712</v>
      </c>
      <c r="T3611" s="773" t="s">
        <v>132</v>
      </c>
      <c r="U3611" s="773">
        <v>68</v>
      </c>
      <c r="V3611" s="773">
        <v>604</v>
      </c>
      <c r="W3611" s="773" t="s">
        <v>390</v>
      </c>
    </row>
    <row r="3612" spans="19:23">
      <c r="S3612" s="27">
        <v>44347</v>
      </c>
      <c r="T3612" s="773" t="s">
        <v>132</v>
      </c>
      <c r="U3612" s="773">
        <v>252</v>
      </c>
      <c r="V3612" s="773">
        <v>1261</v>
      </c>
      <c r="W3612" s="773" t="s">
        <v>390</v>
      </c>
    </row>
    <row r="3613" spans="19:23">
      <c r="S3613" s="27">
        <v>44712</v>
      </c>
      <c r="T3613" s="773" t="s">
        <v>132</v>
      </c>
      <c r="U3613" s="773">
        <v>290</v>
      </c>
      <c r="V3613" s="773">
        <v>573</v>
      </c>
      <c r="W3613" s="773" t="s">
        <v>390</v>
      </c>
    </row>
    <row r="3614" spans="19:23">
      <c r="S3614" s="27">
        <v>44347</v>
      </c>
      <c r="T3614" s="773" t="s">
        <v>132</v>
      </c>
      <c r="U3614" s="773">
        <v>73</v>
      </c>
      <c r="V3614" s="773">
        <v>2</v>
      </c>
      <c r="W3614" s="773" t="s">
        <v>410</v>
      </c>
    </row>
    <row r="3615" spans="19:23">
      <c r="S3615" s="27">
        <v>44712</v>
      </c>
      <c r="T3615" s="773" t="s">
        <v>132</v>
      </c>
      <c r="U3615" s="773">
        <v>315</v>
      </c>
      <c r="V3615" s="773">
        <v>1949</v>
      </c>
      <c r="W3615" s="773" t="s">
        <v>390</v>
      </c>
    </row>
    <row r="3616" spans="19:23">
      <c r="S3616" s="27">
        <v>44712</v>
      </c>
      <c r="T3616" s="773" t="s">
        <v>132</v>
      </c>
      <c r="U3616" s="773">
        <v>703</v>
      </c>
      <c r="V3616" s="773">
        <v>3401</v>
      </c>
      <c r="W3616" s="773" t="s">
        <v>390</v>
      </c>
    </row>
    <row r="3617" spans="19:23">
      <c r="S3617" s="27">
        <v>44712</v>
      </c>
      <c r="T3617" s="773" t="s">
        <v>132</v>
      </c>
      <c r="U3617" s="773">
        <v>710</v>
      </c>
      <c r="V3617" s="773">
        <v>211</v>
      </c>
      <c r="W3617" s="773" t="s">
        <v>390</v>
      </c>
    </row>
    <row r="3618" spans="19:23">
      <c r="S3618" s="27">
        <v>44712</v>
      </c>
      <c r="T3618" s="773" t="s">
        <v>132</v>
      </c>
      <c r="U3618" s="773">
        <v>264</v>
      </c>
      <c r="V3618" s="773">
        <v>330</v>
      </c>
      <c r="W3618" s="773" t="s">
        <v>390</v>
      </c>
    </row>
    <row r="3619" spans="19:23">
      <c r="S3619" s="27">
        <v>44347</v>
      </c>
      <c r="T3619" s="773" t="s">
        <v>132</v>
      </c>
      <c r="U3619" s="773">
        <v>305</v>
      </c>
      <c r="V3619" s="773">
        <v>3877</v>
      </c>
      <c r="W3619" s="773" t="s">
        <v>390</v>
      </c>
    </row>
    <row r="3620" spans="19:23">
      <c r="S3620" s="27">
        <v>44712</v>
      </c>
      <c r="T3620" s="773" t="s">
        <v>132</v>
      </c>
      <c r="U3620" s="773">
        <v>665</v>
      </c>
      <c r="V3620" s="773">
        <v>3389</v>
      </c>
      <c r="W3620" s="773" t="s">
        <v>390</v>
      </c>
    </row>
    <row r="3621" spans="19:23">
      <c r="S3621" s="27">
        <v>44347</v>
      </c>
      <c r="T3621" s="773" t="s">
        <v>132</v>
      </c>
      <c r="U3621" s="773">
        <v>72</v>
      </c>
      <c r="V3621" s="773">
        <v>3</v>
      </c>
      <c r="W3621" s="773" t="s">
        <v>410</v>
      </c>
    </row>
    <row r="3622" spans="19:23">
      <c r="S3622" s="27">
        <v>44347</v>
      </c>
      <c r="T3622" s="773" t="s">
        <v>132</v>
      </c>
      <c r="U3622" s="773">
        <v>100</v>
      </c>
      <c r="V3622" s="773">
        <v>3</v>
      </c>
      <c r="W3622" s="773" t="s">
        <v>410</v>
      </c>
    </row>
    <row r="3623" spans="19:23">
      <c r="S3623" s="27">
        <v>44347</v>
      </c>
      <c r="T3623" s="773" t="s">
        <v>132</v>
      </c>
      <c r="U3623" s="773">
        <v>315</v>
      </c>
      <c r="V3623" s="773">
        <v>111</v>
      </c>
      <c r="W3623" s="773" t="s">
        <v>390</v>
      </c>
    </row>
    <row r="3624" spans="19:23">
      <c r="S3624" s="27">
        <v>44347</v>
      </c>
      <c r="T3624" s="773" t="s">
        <v>132</v>
      </c>
      <c r="U3624" s="773">
        <v>686</v>
      </c>
      <c r="V3624" s="773">
        <v>2242</v>
      </c>
      <c r="W3624" s="773" t="s">
        <v>390</v>
      </c>
    </row>
    <row r="3625" spans="19:23">
      <c r="S3625" s="27">
        <v>44712</v>
      </c>
      <c r="T3625" s="773" t="s">
        <v>132</v>
      </c>
      <c r="U3625" s="773">
        <v>326</v>
      </c>
      <c r="V3625" s="773">
        <v>2784</v>
      </c>
      <c r="W3625" s="773" t="s">
        <v>390</v>
      </c>
    </row>
    <row r="3626" spans="19:23">
      <c r="S3626" s="27">
        <v>44347</v>
      </c>
      <c r="T3626" s="773" t="s">
        <v>132</v>
      </c>
      <c r="U3626" s="773">
        <v>663</v>
      </c>
      <c r="V3626" s="773">
        <v>1127</v>
      </c>
      <c r="W3626" s="773" t="s">
        <v>390</v>
      </c>
    </row>
    <row r="3627" spans="19:23">
      <c r="S3627" s="27">
        <v>44347</v>
      </c>
      <c r="T3627" s="773" t="s">
        <v>132</v>
      </c>
      <c r="U3627" s="773">
        <v>681</v>
      </c>
      <c r="V3627" s="773">
        <v>836</v>
      </c>
      <c r="W3627" s="773" t="s">
        <v>390</v>
      </c>
    </row>
    <row r="3628" spans="19:23">
      <c r="S3628" s="27">
        <v>44712</v>
      </c>
      <c r="T3628" s="773" t="s">
        <v>132</v>
      </c>
      <c r="U3628" s="773">
        <v>89</v>
      </c>
      <c r="V3628" s="773">
        <v>1135</v>
      </c>
      <c r="W3628" s="773" t="s">
        <v>390</v>
      </c>
    </row>
    <row r="3629" spans="19:23">
      <c r="S3629" s="27">
        <v>44712</v>
      </c>
      <c r="T3629" s="773" t="s">
        <v>132</v>
      </c>
      <c r="U3629" s="773">
        <v>279</v>
      </c>
      <c r="V3629" s="773">
        <v>3</v>
      </c>
      <c r="W3629" s="773" t="s">
        <v>410</v>
      </c>
    </row>
    <row r="3630" spans="19:23">
      <c r="S3630" s="27">
        <v>44347</v>
      </c>
      <c r="T3630" s="773" t="s">
        <v>132</v>
      </c>
      <c r="U3630" s="773">
        <v>212</v>
      </c>
      <c r="V3630" s="773">
        <v>3347</v>
      </c>
      <c r="W3630" s="773" t="s">
        <v>390</v>
      </c>
    </row>
    <row r="3631" spans="19:23">
      <c r="S3631" s="27">
        <v>44347</v>
      </c>
      <c r="T3631" s="773" t="s">
        <v>132</v>
      </c>
      <c r="U3631" s="773">
        <v>110</v>
      </c>
      <c r="V3631" s="773">
        <v>1</v>
      </c>
      <c r="W3631" s="773" t="s">
        <v>410</v>
      </c>
    </row>
    <row r="3632" spans="19:23">
      <c r="S3632" s="27">
        <v>44347</v>
      </c>
      <c r="T3632" s="773" t="s">
        <v>132</v>
      </c>
      <c r="U3632" s="773">
        <v>626</v>
      </c>
      <c r="V3632" s="773">
        <v>4</v>
      </c>
      <c r="W3632" s="773" t="s">
        <v>410</v>
      </c>
    </row>
    <row r="3633" spans="19:23">
      <c r="S3633" s="27">
        <v>44347</v>
      </c>
      <c r="T3633" s="773" t="s">
        <v>132</v>
      </c>
      <c r="U3633" s="773">
        <v>200</v>
      </c>
      <c r="V3633" s="773">
        <v>4</v>
      </c>
      <c r="W3633" s="773" t="s">
        <v>410</v>
      </c>
    </row>
    <row r="3634" spans="19:23">
      <c r="S3634" s="27">
        <v>44712</v>
      </c>
      <c r="T3634" s="773" t="s">
        <v>132</v>
      </c>
      <c r="U3634" s="773">
        <v>53</v>
      </c>
      <c r="V3634" s="773">
        <v>1</v>
      </c>
      <c r="W3634" s="773" t="s">
        <v>410</v>
      </c>
    </row>
    <row r="3635" spans="19:23">
      <c r="S3635" s="27">
        <v>44347</v>
      </c>
      <c r="T3635" s="773" t="s">
        <v>132</v>
      </c>
      <c r="U3635" s="773">
        <v>108</v>
      </c>
      <c r="V3635" s="773">
        <v>1</v>
      </c>
      <c r="W3635" s="773" t="s">
        <v>410</v>
      </c>
    </row>
    <row r="3636" spans="19:23">
      <c r="S3636" s="27">
        <v>44347</v>
      </c>
      <c r="T3636" s="773" t="s">
        <v>132</v>
      </c>
      <c r="U3636" s="773">
        <v>81</v>
      </c>
      <c r="V3636" s="773">
        <v>4</v>
      </c>
      <c r="W3636" s="773" t="s">
        <v>410</v>
      </c>
    </row>
    <row r="3637" spans="19:23">
      <c r="S3637" s="27">
        <v>44712</v>
      </c>
      <c r="T3637" s="773" t="s">
        <v>132</v>
      </c>
      <c r="U3637" s="773">
        <v>162</v>
      </c>
      <c r="V3637" s="773">
        <v>2370</v>
      </c>
      <c r="W3637" s="773" t="s">
        <v>390</v>
      </c>
    </row>
    <row r="3638" spans="19:23">
      <c r="S3638" s="27">
        <v>44712</v>
      </c>
      <c r="T3638" s="773" t="s">
        <v>132</v>
      </c>
      <c r="U3638" s="773">
        <v>39</v>
      </c>
      <c r="V3638" s="773">
        <v>1</v>
      </c>
      <c r="W3638" s="773" t="s">
        <v>410</v>
      </c>
    </row>
    <row r="3639" spans="19:23">
      <c r="S3639" s="27">
        <v>44347</v>
      </c>
      <c r="T3639" s="773" t="s">
        <v>132</v>
      </c>
      <c r="U3639" s="773">
        <v>194</v>
      </c>
      <c r="V3639" s="773">
        <v>3187</v>
      </c>
      <c r="W3639" s="773" t="s">
        <v>390</v>
      </c>
    </row>
    <row r="3640" spans="19:23">
      <c r="S3640" s="27">
        <v>44712</v>
      </c>
      <c r="T3640" s="773" t="s">
        <v>132</v>
      </c>
      <c r="U3640" s="773">
        <v>306</v>
      </c>
      <c r="V3640" s="773">
        <v>2390</v>
      </c>
      <c r="W3640" s="773" t="s">
        <v>390</v>
      </c>
    </row>
    <row r="3641" spans="19:23">
      <c r="S3641" s="27">
        <v>44712</v>
      </c>
      <c r="T3641" s="773" t="s">
        <v>132</v>
      </c>
      <c r="U3641" s="773">
        <v>688</v>
      </c>
      <c r="V3641" s="773">
        <v>3656</v>
      </c>
      <c r="W3641" s="773" t="s">
        <v>390</v>
      </c>
    </row>
    <row r="3642" spans="19:23">
      <c r="S3642" s="27">
        <v>44712</v>
      </c>
      <c r="T3642" s="773" t="s">
        <v>132</v>
      </c>
      <c r="U3642" s="773">
        <v>265</v>
      </c>
      <c r="V3642" s="773">
        <v>1335</v>
      </c>
      <c r="W3642" s="773" t="s">
        <v>390</v>
      </c>
    </row>
    <row r="3643" spans="19:23">
      <c r="S3643" s="27">
        <v>44712</v>
      </c>
      <c r="T3643" s="773" t="s">
        <v>132</v>
      </c>
      <c r="U3643" s="773">
        <v>696</v>
      </c>
      <c r="V3643" s="773">
        <v>2104</v>
      </c>
      <c r="W3643" s="773" t="s">
        <v>390</v>
      </c>
    </row>
    <row r="3644" spans="19:23">
      <c r="S3644" s="27">
        <v>44712</v>
      </c>
      <c r="T3644" s="773" t="s">
        <v>132</v>
      </c>
      <c r="U3644" s="773">
        <v>13</v>
      </c>
      <c r="V3644" s="773">
        <v>2855</v>
      </c>
      <c r="W3644" s="773" t="s">
        <v>390</v>
      </c>
    </row>
    <row r="3645" spans="19:23">
      <c r="S3645" s="27">
        <v>44347</v>
      </c>
      <c r="T3645" s="773" t="s">
        <v>132</v>
      </c>
      <c r="U3645" s="773">
        <v>130</v>
      </c>
      <c r="V3645" s="773">
        <v>1</v>
      </c>
      <c r="W3645" s="773" t="s">
        <v>410</v>
      </c>
    </row>
    <row r="3646" spans="19:23">
      <c r="S3646" s="27">
        <v>44712</v>
      </c>
      <c r="T3646" s="773" t="s">
        <v>132</v>
      </c>
      <c r="U3646" s="773">
        <v>64</v>
      </c>
      <c r="V3646" s="773">
        <v>1</v>
      </c>
      <c r="W3646" s="773" t="s">
        <v>410</v>
      </c>
    </row>
    <row r="3647" spans="19:23">
      <c r="S3647" s="27">
        <v>44712</v>
      </c>
      <c r="T3647" s="773" t="s">
        <v>132</v>
      </c>
      <c r="U3647" s="773">
        <v>697</v>
      </c>
      <c r="V3647" s="773">
        <v>1436</v>
      </c>
      <c r="W3647" s="773" t="s">
        <v>390</v>
      </c>
    </row>
    <row r="3648" spans="19:23">
      <c r="S3648" s="27">
        <v>44712</v>
      </c>
      <c r="T3648" s="773" t="s">
        <v>132</v>
      </c>
      <c r="U3648" s="773">
        <v>129</v>
      </c>
      <c r="V3648" s="773">
        <v>1</v>
      </c>
      <c r="W3648" s="773" t="s">
        <v>410</v>
      </c>
    </row>
    <row r="3649" spans="19:23">
      <c r="S3649" s="27">
        <v>44712</v>
      </c>
      <c r="T3649" s="773" t="s">
        <v>132</v>
      </c>
      <c r="U3649" s="773">
        <v>0</v>
      </c>
      <c r="V3649" s="773">
        <v>39</v>
      </c>
      <c r="W3649" s="773" t="s">
        <v>410</v>
      </c>
    </row>
    <row r="3650" spans="19:23">
      <c r="S3650" s="27">
        <v>44712</v>
      </c>
      <c r="T3650" s="773" t="s">
        <v>132</v>
      </c>
      <c r="U3650" s="773">
        <v>237</v>
      </c>
      <c r="V3650" s="773">
        <v>1</v>
      </c>
      <c r="W3650" s="773" t="s">
        <v>410</v>
      </c>
    </row>
    <row r="3651" spans="19:23">
      <c r="S3651" s="27">
        <v>44347</v>
      </c>
      <c r="T3651" s="773" t="s">
        <v>132</v>
      </c>
      <c r="U3651" s="773">
        <v>641</v>
      </c>
      <c r="V3651" s="773">
        <v>3103</v>
      </c>
      <c r="W3651" s="773" t="s">
        <v>390</v>
      </c>
    </row>
    <row r="3652" spans="19:23">
      <c r="S3652" s="27">
        <v>44347</v>
      </c>
      <c r="T3652" s="773" t="s">
        <v>132</v>
      </c>
      <c r="U3652" s="773">
        <v>680</v>
      </c>
      <c r="V3652" s="773">
        <v>2460</v>
      </c>
      <c r="W3652" s="773" t="s">
        <v>390</v>
      </c>
    </row>
    <row r="3653" spans="19:23">
      <c r="S3653" s="27">
        <v>44712</v>
      </c>
      <c r="T3653" s="773" t="s">
        <v>132</v>
      </c>
      <c r="U3653" s="773">
        <v>319</v>
      </c>
      <c r="V3653" s="773">
        <v>3297</v>
      </c>
      <c r="W3653" s="773" t="s">
        <v>390</v>
      </c>
    </row>
    <row r="3654" spans="19:23">
      <c r="S3654" s="27">
        <v>44712</v>
      </c>
      <c r="T3654" s="773" t="s">
        <v>132</v>
      </c>
      <c r="U3654" s="773">
        <v>182</v>
      </c>
      <c r="V3654" s="773">
        <v>178</v>
      </c>
      <c r="W3654" s="773" t="s">
        <v>390</v>
      </c>
    </row>
    <row r="3655" spans="19:23">
      <c r="S3655" s="27">
        <v>44712</v>
      </c>
      <c r="T3655" s="773" t="s">
        <v>132</v>
      </c>
      <c r="U3655" s="773">
        <v>229</v>
      </c>
      <c r="V3655" s="773">
        <v>1</v>
      </c>
      <c r="W3655" s="773" t="s">
        <v>410</v>
      </c>
    </row>
    <row r="3656" spans="19:23">
      <c r="S3656" s="27">
        <v>44712</v>
      </c>
      <c r="T3656" s="773" t="s">
        <v>132</v>
      </c>
      <c r="U3656" s="773">
        <v>304</v>
      </c>
      <c r="V3656" s="773">
        <v>108</v>
      </c>
      <c r="W3656" s="773" t="s">
        <v>390</v>
      </c>
    </row>
    <row r="3657" spans="19:23">
      <c r="S3657" s="27">
        <v>44347</v>
      </c>
      <c r="T3657" s="773" t="s">
        <v>132</v>
      </c>
      <c r="U3657" s="773">
        <v>306</v>
      </c>
      <c r="V3657" s="773">
        <v>2255</v>
      </c>
      <c r="W3657" s="773" t="s">
        <v>390</v>
      </c>
    </row>
    <row r="3658" spans="19:23">
      <c r="S3658" s="27">
        <v>44347</v>
      </c>
      <c r="T3658" s="773" t="s">
        <v>132</v>
      </c>
      <c r="U3658" s="773">
        <v>291</v>
      </c>
      <c r="V3658" s="773">
        <v>2111</v>
      </c>
      <c r="W3658" s="773" t="s">
        <v>390</v>
      </c>
    </row>
    <row r="3659" spans="19:23">
      <c r="S3659" s="27">
        <v>44347</v>
      </c>
      <c r="T3659" s="773" t="s">
        <v>132</v>
      </c>
      <c r="U3659" s="773">
        <v>266</v>
      </c>
      <c r="V3659" s="773">
        <v>2269</v>
      </c>
      <c r="W3659" s="773" t="s">
        <v>390</v>
      </c>
    </row>
    <row r="3660" spans="19:23">
      <c r="S3660" s="27">
        <v>44347</v>
      </c>
      <c r="T3660" s="773" t="s">
        <v>132</v>
      </c>
      <c r="U3660" s="773">
        <v>696</v>
      </c>
      <c r="V3660" s="773">
        <v>2218</v>
      </c>
      <c r="W3660" s="773" t="s">
        <v>390</v>
      </c>
    </row>
    <row r="3661" spans="19:23">
      <c r="S3661" s="27">
        <v>44347</v>
      </c>
      <c r="T3661" s="773" t="s">
        <v>132</v>
      </c>
      <c r="U3661" s="773">
        <v>43</v>
      </c>
      <c r="V3661" s="773">
        <v>3023</v>
      </c>
      <c r="W3661" s="773" t="s">
        <v>390</v>
      </c>
    </row>
    <row r="3662" spans="19:23">
      <c r="S3662" s="27">
        <v>44712</v>
      </c>
      <c r="T3662" s="773" t="s">
        <v>132</v>
      </c>
      <c r="U3662" s="773">
        <v>43</v>
      </c>
      <c r="V3662" s="773">
        <v>1042</v>
      </c>
      <c r="W3662" s="773" t="s">
        <v>390</v>
      </c>
    </row>
    <row r="3663" spans="19:23">
      <c r="S3663" s="27">
        <v>44712</v>
      </c>
      <c r="T3663" s="773" t="s">
        <v>132</v>
      </c>
      <c r="U3663" s="773">
        <v>716</v>
      </c>
      <c r="V3663" s="773">
        <v>66</v>
      </c>
      <c r="W3663" s="773" t="s">
        <v>410</v>
      </c>
    </row>
    <row r="3664" spans="19:23">
      <c r="S3664" s="27">
        <v>44347</v>
      </c>
      <c r="T3664" s="773" t="s">
        <v>132</v>
      </c>
      <c r="U3664" s="773">
        <v>367</v>
      </c>
      <c r="V3664" s="773">
        <v>9</v>
      </c>
      <c r="W3664" s="773" t="s">
        <v>410</v>
      </c>
    </row>
    <row r="3665" spans="19:23">
      <c r="S3665" s="27">
        <v>44347</v>
      </c>
      <c r="T3665" s="773" t="s">
        <v>132</v>
      </c>
      <c r="U3665" s="773">
        <v>162</v>
      </c>
      <c r="V3665" s="773">
        <v>2456</v>
      </c>
      <c r="W3665" s="773" t="s">
        <v>390</v>
      </c>
    </row>
    <row r="3666" spans="19:23">
      <c r="S3666" s="27">
        <v>44347</v>
      </c>
      <c r="T3666" s="773" t="s">
        <v>132</v>
      </c>
      <c r="U3666" s="773">
        <v>700</v>
      </c>
      <c r="V3666" s="773">
        <v>1269</v>
      </c>
      <c r="W3666" s="773" t="s">
        <v>390</v>
      </c>
    </row>
    <row r="3667" spans="19:23">
      <c r="S3667" s="27">
        <v>44712</v>
      </c>
      <c r="T3667" s="773" t="s">
        <v>132</v>
      </c>
      <c r="U3667" s="773">
        <v>87</v>
      </c>
      <c r="V3667" s="773">
        <v>1</v>
      </c>
      <c r="W3667" s="773" t="s">
        <v>410</v>
      </c>
    </row>
    <row r="3668" spans="19:23">
      <c r="S3668" s="27">
        <v>44712</v>
      </c>
      <c r="T3668" s="773" t="s">
        <v>132</v>
      </c>
      <c r="U3668" s="773">
        <v>297</v>
      </c>
      <c r="V3668" s="773">
        <v>738</v>
      </c>
      <c r="W3668" s="773" t="s">
        <v>390</v>
      </c>
    </row>
    <row r="3669" spans="19:23">
      <c r="S3669" s="27">
        <v>44347</v>
      </c>
      <c r="T3669" s="773" t="s">
        <v>132</v>
      </c>
      <c r="U3669" s="773">
        <v>687</v>
      </c>
      <c r="V3669" s="773">
        <v>587</v>
      </c>
      <c r="W3669" s="773" t="s">
        <v>390</v>
      </c>
    </row>
    <row r="3670" spans="19:23">
      <c r="S3670" s="27">
        <v>44347</v>
      </c>
      <c r="T3670" s="773" t="s">
        <v>132</v>
      </c>
      <c r="U3670" s="773">
        <v>70</v>
      </c>
      <c r="V3670" s="773">
        <v>238</v>
      </c>
      <c r="W3670" s="773" t="s">
        <v>390</v>
      </c>
    </row>
    <row r="3671" spans="19:23">
      <c r="S3671" s="27">
        <v>44712</v>
      </c>
      <c r="T3671" s="773" t="s">
        <v>132</v>
      </c>
      <c r="U3671" s="773">
        <v>61</v>
      </c>
      <c r="V3671" s="773">
        <v>1</v>
      </c>
      <c r="W3671" s="773" t="s">
        <v>410</v>
      </c>
    </row>
    <row r="3672" spans="19:23">
      <c r="S3672" s="27">
        <v>44712</v>
      </c>
      <c r="T3672" s="773" t="s">
        <v>132</v>
      </c>
      <c r="U3672" s="773">
        <v>108</v>
      </c>
      <c r="V3672" s="773">
        <v>2</v>
      </c>
      <c r="W3672" s="773" t="s">
        <v>410</v>
      </c>
    </row>
    <row r="3673" spans="19:23">
      <c r="S3673" s="27">
        <v>44347</v>
      </c>
      <c r="T3673" s="773" t="s">
        <v>132</v>
      </c>
      <c r="U3673" s="773">
        <v>171</v>
      </c>
      <c r="V3673" s="773">
        <v>156</v>
      </c>
      <c r="W3673" s="773" t="s">
        <v>390</v>
      </c>
    </row>
    <row r="3674" spans="19:23">
      <c r="S3674" s="27">
        <v>44712</v>
      </c>
      <c r="T3674" s="773" t="s">
        <v>132</v>
      </c>
      <c r="U3674" s="773">
        <v>124</v>
      </c>
      <c r="V3674" s="773">
        <v>5</v>
      </c>
      <c r="W3674" s="773" t="s">
        <v>410</v>
      </c>
    </row>
    <row r="3675" spans="19:23">
      <c r="S3675" s="27">
        <v>44377</v>
      </c>
      <c r="T3675" s="773" t="s">
        <v>132</v>
      </c>
      <c r="U3675" s="773">
        <v>294</v>
      </c>
      <c r="V3675" s="773">
        <v>10</v>
      </c>
      <c r="W3675" s="773" t="s">
        <v>410</v>
      </c>
    </row>
    <row r="3676" spans="19:23">
      <c r="S3676" s="27">
        <v>44377</v>
      </c>
      <c r="T3676" s="773" t="s">
        <v>132</v>
      </c>
      <c r="U3676" s="773">
        <v>238</v>
      </c>
      <c r="V3676" s="773">
        <v>5</v>
      </c>
      <c r="W3676" s="773" t="s">
        <v>410</v>
      </c>
    </row>
    <row r="3677" spans="19:23">
      <c r="S3677" s="27">
        <v>44742</v>
      </c>
      <c r="T3677" s="773" t="s">
        <v>132</v>
      </c>
      <c r="U3677" s="773">
        <v>173</v>
      </c>
      <c r="V3677" s="773">
        <v>7</v>
      </c>
      <c r="W3677" s="773" t="s">
        <v>410</v>
      </c>
    </row>
    <row r="3678" spans="19:23">
      <c r="S3678" s="27">
        <v>44377</v>
      </c>
      <c r="T3678" s="773" t="s">
        <v>132</v>
      </c>
      <c r="U3678" s="773">
        <v>669</v>
      </c>
      <c r="V3678" s="773">
        <v>2397</v>
      </c>
      <c r="W3678" s="773" t="s">
        <v>390</v>
      </c>
    </row>
    <row r="3679" spans="19:23">
      <c r="S3679" s="27">
        <v>44377</v>
      </c>
      <c r="T3679" s="773" t="s">
        <v>132</v>
      </c>
      <c r="U3679" s="773">
        <v>139</v>
      </c>
      <c r="V3679" s="773">
        <v>2710</v>
      </c>
      <c r="W3679" s="773" t="s">
        <v>390</v>
      </c>
    </row>
    <row r="3680" spans="19:23">
      <c r="S3680" s="27">
        <v>44377</v>
      </c>
      <c r="T3680" s="773" t="s">
        <v>132</v>
      </c>
      <c r="U3680" s="773">
        <v>190</v>
      </c>
      <c r="V3680" s="773">
        <v>6</v>
      </c>
      <c r="W3680" s="773" t="s">
        <v>410</v>
      </c>
    </row>
    <row r="3681" spans="19:23">
      <c r="S3681" s="27">
        <v>44742</v>
      </c>
      <c r="T3681" s="773" t="s">
        <v>132</v>
      </c>
      <c r="U3681" s="773">
        <v>161</v>
      </c>
      <c r="V3681" s="773">
        <v>1</v>
      </c>
      <c r="W3681" s="773" t="s">
        <v>410</v>
      </c>
    </row>
    <row r="3682" spans="19:23">
      <c r="S3682" s="27">
        <v>44377</v>
      </c>
      <c r="T3682" s="773" t="s">
        <v>132</v>
      </c>
      <c r="U3682" s="773">
        <v>701</v>
      </c>
      <c r="V3682" s="773">
        <v>2140</v>
      </c>
      <c r="W3682" s="773" t="s">
        <v>390</v>
      </c>
    </row>
    <row r="3683" spans="19:23">
      <c r="S3683" s="27">
        <v>44742</v>
      </c>
      <c r="T3683" s="773" t="s">
        <v>132</v>
      </c>
      <c r="U3683" s="773">
        <v>233</v>
      </c>
      <c r="V3683" s="773">
        <v>3003</v>
      </c>
      <c r="W3683" s="773" t="s">
        <v>390</v>
      </c>
    </row>
    <row r="3684" spans="19:23">
      <c r="S3684" s="27">
        <v>44742</v>
      </c>
      <c r="T3684" s="773" t="s">
        <v>132</v>
      </c>
      <c r="U3684" s="773">
        <v>342</v>
      </c>
      <c r="V3684" s="773">
        <v>2614</v>
      </c>
      <c r="W3684" s="773" t="s">
        <v>390</v>
      </c>
    </row>
    <row r="3685" spans="19:23">
      <c r="S3685" s="27">
        <v>44377</v>
      </c>
      <c r="T3685" s="773" t="s">
        <v>132</v>
      </c>
      <c r="U3685" s="773">
        <v>216</v>
      </c>
      <c r="V3685" s="773">
        <v>2136</v>
      </c>
      <c r="W3685" s="773" t="s">
        <v>390</v>
      </c>
    </row>
    <row r="3686" spans="19:23">
      <c r="S3686" s="27">
        <v>44377</v>
      </c>
      <c r="T3686" s="773" t="s">
        <v>132</v>
      </c>
      <c r="U3686" s="773">
        <v>665</v>
      </c>
      <c r="V3686" s="773">
        <v>2527</v>
      </c>
      <c r="W3686" s="773" t="s">
        <v>390</v>
      </c>
    </row>
    <row r="3687" spans="19:23">
      <c r="S3687" s="27">
        <v>44377</v>
      </c>
      <c r="T3687" s="773" t="s">
        <v>132</v>
      </c>
      <c r="U3687" s="773">
        <v>173</v>
      </c>
      <c r="V3687" s="773">
        <v>1</v>
      </c>
      <c r="W3687" s="773" t="s">
        <v>410</v>
      </c>
    </row>
    <row r="3688" spans="19:23">
      <c r="S3688" s="27">
        <v>44377</v>
      </c>
      <c r="T3688" s="773" t="s">
        <v>132</v>
      </c>
      <c r="U3688" s="773">
        <v>153</v>
      </c>
      <c r="V3688" s="773">
        <v>2127</v>
      </c>
      <c r="W3688" s="773" t="s">
        <v>390</v>
      </c>
    </row>
    <row r="3689" spans="19:23">
      <c r="S3689" s="27">
        <v>44742</v>
      </c>
      <c r="T3689" s="773" t="s">
        <v>132</v>
      </c>
      <c r="U3689" s="773">
        <v>321</v>
      </c>
      <c r="V3689" s="773">
        <v>2008</v>
      </c>
      <c r="W3689" s="773" t="s">
        <v>390</v>
      </c>
    </row>
    <row r="3690" spans="19:23">
      <c r="S3690" s="27">
        <v>44377</v>
      </c>
      <c r="T3690" s="773" t="s">
        <v>132</v>
      </c>
      <c r="U3690" s="773">
        <v>674</v>
      </c>
      <c r="V3690" s="773">
        <v>13</v>
      </c>
      <c r="W3690" s="773" t="s">
        <v>410</v>
      </c>
    </row>
    <row r="3691" spans="19:23">
      <c r="S3691" s="27">
        <v>44742</v>
      </c>
      <c r="T3691" s="773" t="s">
        <v>132</v>
      </c>
      <c r="U3691" s="773">
        <v>79</v>
      </c>
      <c r="V3691" s="773">
        <v>4</v>
      </c>
      <c r="W3691" s="773" t="s">
        <v>410</v>
      </c>
    </row>
    <row r="3692" spans="19:23">
      <c r="S3692" s="27">
        <v>44377</v>
      </c>
      <c r="T3692" s="773" t="s">
        <v>132</v>
      </c>
      <c r="U3692" s="773">
        <v>999</v>
      </c>
      <c r="V3692" s="773">
        <v>1</v>
      </c>
      <c r="W3692" s="773" t="s">
        <v>410</v>
      </c>
    </row>
    <row r="3693" spans="19:23">
      <c r="S3693" s="27">
        <v>44377</v>
      </c>
      <c r="T3693" s="773" t="s">
        <v>132</v>
      </c>
      <c r="U3693" s="773">
        <v>367</v>
      </c>
      <c r="V3693" s="773">
        <v>10</v>
      </c>
      <c r="W3693" s="773" t="s">
        <v>410</v>
      </c>
    </row>
    <row r="3694" spans="19:23">
      <c r="S3694" s="27">
        <v>44742</v>
      </c>
      <c r="T3694" s="773" t="s">
        <v>132</v>
      </c>
      <c r="U3694" s="773">
        <v>139</v>
      </c>
      <c r="V3694" s="773">
        <v>2598</v>
      </c>
      <c r="W3694" s="773" t="s">
        <v>390</v>
      </c>
    </row>
    <row r="3695" spans="19:23">
      <c r="S3695" s="27">
        <v>44742</v>
      </c>
      <c r="T3695" s="773" t="s">
        <v>132</v>
      </c>
      <c r="U3695" s="773">
        <v>159</v>
      </c>
      <c r="V3695" s="773">
        <v>30</v>
      </c>
      <c r="W3695" s="773" t="s">
        <v>410</v>
      </c>
    </row>
    <row r="3696" spans="19:23">
      <c r="S3696" s="27">
        <v>44742</v>
      </c>
      <c r="T3696" s="773" t="s">
        <v>132</v>
      </c>
      <c r="U3696" s="773">
        <v>701</v>
      </c>
      <c r="V3696" s="773">
        <v>2467</v>
      </c>
      <c r="W3696" s="773" t="s">
        <v>390</v>
      </c>
    </row>
    <row r="3697" spans="19:23">
      <c r="S3697" s="27">
        <v>44377</v>
      </c>
      <c r="T3697" s="773" t="s">
        <v>132</v>
      </c>
      <c r="U3697" s="773">
        <v>528</v>
      </c>
      <c r="V3697" s="773">
        <v>573</v>
      </c>
      <c r="W3697" s="773" t="s">
        <v>390</v>
      </c>
    </row>
    <row r="3698" spans="19:23">
      <c r="S3698" s="27">
        <v>44377</v>
      </c>
      <c r="T3698" s="773" t="s">
        <v>132</v>
      </c>
      <c r="U3698" s="773">
        <v>653</v>
      </c>
      <c r="V3698" s="773">
        <v>98</v>
      </c>
      <c r="W3698" s="773" t="s">
        <v>410</v>
      </c>
    </row>
    <row r="3699" spans="19:23">
      <c r="S3699" s="27">
        <v>44377</v>
      </c>
      <c r="T3699" s="773" t="s">
        <v>132</v>
      </c>
      <c r="U3699" s="773">
        <v>255</v>
      </c>
      <c r="V3699" s="773">
        <v>2667</v>
      </c>
      <c r="W3699" s="773" t="s">
        <v>390</v>
      </c>
    </row>
    <row r="3700" spans="19:23">
      <c r="S3700" s="27">
        <v>44742</v>
      </c>
      <c r="T3700" s="773" t="s">
        <v>132</v>
      </c>
      <c r="U3700" s="773">
        <v>687</v>
      </c>
      <c r="V3700" s="773">
        <v>3056</v>
      </c>
      <c r="W3700" s="773" t="s">
        <v>390</v>
      </c>
    </row>
    <row r="3701" spans="19:23">
      <c r="S3701" s="27">
        <v>44377</v>
      </c>
      <c r="T3701" s="773" t="s">
        <v>132</v>
      </c>
      <c r="U3701" s="773">
        <v>249</v>
      </c>
      <c r="V3701" s="773">
        <v>2568</v>
      </c>
      <c r="W3701" s="773" t="s">
        <v>390</v>
      </c>
    </row>
    <row r="3702" spans="19:23">
      <c r="S3702" s="27">
        <v>44742</v>
      </c>
      <c r="T3702" s="773" t="s">
        <v>132</v>
      </c>
      <c r="U3702" s="773">
        <v>66</v>
      </c>
      <c r="V3702" s="773">
        <v>1</v>
      </c>
      <c r="W3702" s="773" t="s">
        <v>410</v>
      </c>
    </row>
    <row r="3703" spans="19:23">
      <c r="S3703" s="27">
        <v>44742</v>
      </c>
      <c r="T3703" s="773" t="s">
        <v>132</v>
      </c>
      <c r="U3703" s="773">
        <v>670</v>
      </c>
      <c r="V3703" s="773">
        <v>2625</v>
      </c>
      <c r="W3703" s="773" t="s">
        <v>390</v>
      </c>
    </row>
    <row r="3704" spans="19:23">
      <c r="S3704" s="27">
        <v>44377</v>
      </c>
      <c r="T3704" s="773" t="s">
        <v>132</v>
      </c>
      <c r="U3704" s="773">
        <v>254</v>
      </c>
      <c r="V3704" s="773">
        <v>7</v>
      </c>
      <c r="W3704" s="773" t="s">
        <v>410</v>
      </c>
    </row>
    <row r="3705" spans="19:23">
      <c r="S3705" s="27">
        <v>44377</v>
      </c>
      <c r="T3705" s="773" t="s">
        <v>132</v>
      </c>
      <c r="U3705" s="773">
        <v>93</v>
      </c>
      <c r="V3705" s="773">
        <v>11906</v>
      </c>
      <c r="W3705" s="773" t="s">
        <v>390</v>
      </c>
    </row>
    <row r="3706" spans="19:23">
      <c r="S3706" s="27">
        <v>44377</v>
      </c>
      <c r="T3706" s="773" t="s">
        <v>132</v>
      </c>
      <c r="U3706" s="773">
        <v>680</v>
      </c>
      <c r="V3706" s="773">
        <v>2434</v>
      </c>
      <c r="W3706" s="773" t="s">
        <v>390</v>
      </c>
    </row>
    <row r="3707" spans="19:23">
      <c r="S3707" s="27">
        <v>44377</v>
      </c>
      <c r="T3707" s="773" t="s">
        <v>132</v>
      </c>
      <c r="U3707" s="773">
        <v>44</v>
      </c>
      <c r="V3707" s="773">
        <v>3030</v>
      </c>
      <c r="W3707" s="773" t="s">
        <v>390</v>
      </c>
    </row>
    <row r="3708" spans="19:23">
      <c r="S3708" s="27">
        <v>44742</v>
      </c>
      <c r="T3708" s="773" t="s">
        <v>132</v>
      </c>
      <c r="U3708" s="773">
        <v>82</v>
      </c>
      <c r="V3708" s="773">
        <v>2411</v>
      </c>
      <c r="W3708" s="773" t="s">
        <v>390</v>
      </c>
    </row>
    <row r="3709" spans="19:23">
      <c r="S3709" s="27">
        <v>44742</v>
      </c>
      <c r="T3709" s="773" t="s">
        <v>132</v>
      </c>
      <c r="U3709" s="773">
        <v>684</v>
      </c>
      <c r="V3709" s="773">
        <v>3339</v>
      </c>
      <c r="W3709" s="773" t="s">
        <v>390</v>
      </c>
    </row>
    <row r="3710" spans="19:23">
      <c r="S3710" s="27">
        <v>44377</v>
      </c>
      <c r="T3710" s="773" t="s">
        <v>132</v>
      </c>
      <c r="U3710" s="773">
        <v>257</v>
      </c>
      <c r="V3710" s="773">
        <v>2510</v>
      </c>
      <c r="W3710" s="773" t="s">
        <v>390</v>
      </c>
    </row>
    <row r="3711" spans="19:23">
      <c r="S3711" s="27">
        <v>44742</v>
      </c>
      <c r="T3711" s="773" t="s">
        <v>132</v>
      </c>
      <c r="U3711" s="773">
        <v>700</v>
      </c>
      <c r="V3711" s="773">
        <v>2766</v>
      </c>
      <c r="W3711" s="773" t="s">
        <v>390</v>
      </c>
    </row>
    <row r="3712" spans="19:23">
      <c r="S3712" s="27">
        <v>44742</v>
      </c>
      <c r="T3712" s="773" t="s">
        <v>132</v>
      </c>
      <c r="U3712" s="773">
        <v>686</v>
      </c>
      <c r="V3712" s="773">
        <v>2958</v>
      </c>
      <c r="W3712" s="773" t="s">
        <v>390</v>
      </c>
    </row>
    <row r="3713" spans="19:23">
      <c r="S3713" s="27">
        <v>44742</v>
      </c>
      <c r="T3713" s="773" t="s">
        <v>132</v>
      </c>
      <c r="U3713" s="773">
        <v>129</v>
      </c>
      <c r="V3713" s="773">
        <v>2</v>
      </c>
      <c r="W3713" s="773" t="s">
        <v>410</v>
      </c>
    </row>
    <row r="3714" spans="19:23">
      <c r="S3714" s="27">
        <v>44742</v>
      </c>
      <c r="T3714" s="773" t="s">
        <v>132</v>
      </c>
      <c r="U3714" s="773">
        <v>325</v>
      </c>
      <c r="V3714" s="773">
        <v>2013</v>
      </c>
      <c r="W3714" s="773" t="s">
        <v>390</v>
      </c>
    </row>
    <row r="3715" spans="19:23">
      <c r="S3715" s="27">
        <v>44377</v>
      </c>
      <c r="T3715" s="773" t="s">
        <v>132</v>
      </c>
      <c r="U3715" s="773">
        <v>264</v>
      </c>
      <c r="V3715" s="773">
        <v>954</v>
      </c>
      <c r="W3715" s="773" t="s">
        <v>390</v>
      </c>
    </row>
    <row r="3716" spans="19:23">
      <c r="S3716" s="27">
        <v>44742</v>
      </c>
      <c r="T3716" s="773" t="s">
        <v>132</v>
      </c>
      <c r="U3716" s="773">
        <v>315</v>
      </c>
      <c r="V3716" s="773">
        <v>1955</v>
      </c>
      <c r="W3716" s="773" t="s">
        <v>390</v>
      </c>
    </row>
    <row r="3717" spans="19:23">
      <c r="S3717" s="27">
        <v>44377</v>
      </c>
      <c r="T3717" s="773" t="s">
        <v>132</v>
      </c>
      <c r="U3717" s="773">
        <v>312</v>
      </c>
      <c r="V3717" s="773">
        <v>2224</v>
      </c>
      <c r="W3717" s="773" t="s">
        <v>390</v>
      </c>
    </row>
    <row r="3718" spans="19:23">
      <c r="S3718" s="27">
        <v>44377</v>
      </c>
      <c r="T3718" s="773" t="s">
        <v>132</v>
      </c>
      <c r="U3718" s="773">
        <v>291</v>
      </c>
      <c r="V3718" s="773">
        <v>2068</v>
      </c>
      <c r="W3718" s="773" t="s">
        <v>390</v>
      </c>
    </row>
    <row r="3719" spans="19:23">
      <c r="S3719" s="27">
        <v>44742</v>
      </c>
      <c r="T3719" s="773" t="s">
        <v>132</v>
      </c>
      <c r="U3719" s="773">
        <v>324</v>
      </c>
      <c r="V3719" s="773">
        <v>1732</v>
      </c>
      <c r="W3719" s="773" t="s">
        <v>390</v>
      </c>
    </row>
    <row r="3720" spans="19:23">
      <c r="S3720" s="27">
        <v>44742</v>
      </c>
      <c r="T3720" s="773" t="s">
        <v>132</v>
      </c>
      <c r="U3720" s="773">
        <v>202</v>
      </c>
      <c r="V3720" s="773">
        <v>1</v>
      </c>
      <c r="W3720" s="773" t="s">
        <v>410</v>
      </c>
    </row>
    <row r="3721" spans="19:23">
      <c r="S3721" s="27">
        <v>44742</v>
      </c>
      <c r="T3721" s="773" t="s">
        <v>132</v>
      </c>
      <c r="U3721" s="773">
        <v>215</v>
      </c>
      <c r="V3721" s="773">
        <v>696</v>
      </c>
      <c r="W3721" s="773" t="s">
        <v>390</v>
      </c>
    </row>
    <row r="3722" spans="19:23">
      <c r="S3722" s="27">
        <v>44377</v>
      </c>
      <c r="T3722" s="773" t="s">
        <v>132</v>
      </c>
      <c r="U3722" s="773">
        <v>164</v>
      </c>
      <c r="V3722" s="773">
        <v>8</v>
      </c>
      <c r="W3722" s="773" t="s">
        <v>410</v>
      </c>
    </row>
    <row r="3723" spans="19:23">
      <c r="S3723" s="27">
        <v>44742</v>
      </c>
      <c r="T3723" s="773" t="s">
        <v>132</v>
      </c>
      <c r="U3723" s="773">
        <v>275</v>
      </c>
      <c r="V3723" s="773">
        <v>21</v>
      </c>
      <c r="W3723" s="773" t="s">
        <v>410</v>
      </c>
    </row>
    <row r="3724" spans="19:23">
      <c r="S3724" s="27">
        <v>44742</v>
      </c>
      <c r="T3724" s="773" t="s">
        <v>132</v>
      </c>
      <c r="U3724" s="773">
        <v>96</v>
      </c>
      <c r="V3724" s="773">
        <v>1</v>
      </c>
      <c r="W3724" s="773" t="s">
        <v>410</v>
      </c>
    </row>
    <row r="3725" spans="19:23">
      <c r="S3725" s="27">
        <v>44742</v>
      </c>
      <c r="T3725" s="773" t="s">
        <v>132</v>
      </c>
      <c r="U3725" s="773">
        <v>247</v>
      </c>
      <c r="V3725" s="773">
        <v>2794</v>
      </c>
      <c r="W3725" s="773" t="s">
        <v>390</v>
      </c>
    </row>
    <row r="3726" spans="19:23">
      <c r="S3726" s="27">
        <v>44742</v>
      </c>
      <c r="T3726" s="773" t="s">
        <v>132</v>
      </c>
      <c r="U3726" s="773">
        <v>148</v>
      </c>
      <c r="V3726" s="773">
        <v>1</v>
      </c>
      <c r="W3726" s="773" t="s">
        <v>410</v>
      </c>
    </row>
    <row r="3727" spans="19:23">
      <c r="S3727" s="27">
        <v>44742</v>
      </c>
      <c r="T3727" s="773" t="s">
        <v>132</v>
      </c>
      <c r="U3727" s="773">
        <v>306</v>
      </c>
      <c r="V3727" s="773">
        <v>2343</v>
      </c>
      <c r="W3727" s="773" t="s">
        <v>390</v>
      </c>
    </row>
    <row r="3728" spans="19:23">
      <c r="S3728" s="27">
        <v>44742</v>
      </c>
      <c r="T3728" s="773" t="s">
        <v>132</v>
      </c>
      <c r="U3728" s="773">
        <v>103</v>
      </c>
      <c r="V3728" s="773">
        <v>3409</v>
      </c>
      <c r="W3728" s="773" t="s">
        <v>390</v>
      </c>
    </row>
    <row r="3729" spans="19:23">
      <c r="S3729" s="27">
        <v>44742</v>
      </c>
      <c r="T3729" s="773" t="s">
        <v>132</v>
      </c>
      <c r="U3729" s="773">
        <v>295</v>
      </c>
      <c r="V3729" s="773">
        <v>1</v>
      </c>
      <c r="W3729" s="773" t="s">
        <v>410</v>
      </c>
    </row>
    <row r="3730" spans="19:23">
      <c r="S3730" s="27">
        <v>44742</v>
      </c>
      <c r="T3730" s="773" t="s">
        <v>132</v>
      </c>
      <c r="U3730" s="773">
        <v>130</v>
      </c>
      <c r="V3730" s="773">
        <v>1</v>
      </c>
      <c r="W3730" s="773" t="s">
        <v>410</v>
      </c>
    </row>
    <row r="3731" spans="19:23">
      <c r="S3731" s="27">
        <v>44377</v>
      </c>
      <c r="T3731" s="773" t="s">
        <v>132</v>
      </c>
      <c r="U3731" s="773">
        <v>246</v>
      </c>
      <c r="V3731" s="773">
        <v>3</v>
      </c>
      <c r="W3731" s="773" t="s">
        <v>410</v>
      </c>
    </row>
    <row r="3732" spans="19:23">
      <c r="S3732" s="27">
        <v>44377</v>
      </c>
      <c r="T3732" s="773" t="s">
        <v>132</v>
      </c>
      <c r="U3732" s="773">
        <v>686</v>
      </c>
      <c r="V3732" s="773">
        <v>2222</v>
      </c>
      <c r="W3732" s="773" t="s">
        <v>390</v>
      </c>
    </row>
    <row r="3733" spans="19:23">
      <c r="S3733" s="27">
        <v>44742</v>
      </c>
      <c r="T3733" s="773" t="s">
        <v>132</v>
      </c>
      <c r="U3733" s="773">
        <v>328</v>
      </c>
      <c r="V3733" s="773">
        <v>1520</v>
      </c>
      <c r="W3733" s="773" t="s">
        <v>390</v>
      </c>
    </row>
    <row r="3734" spans="19:23">
      <c r="S3734" s="27">
        <v>44742</v>
      </c>
      <c r="T3734" s="773" t="s">
        <v>132</v>
      </c>
      <c r="U3734" s="773">
        <v>283</v>
      </c>
      <c r="V3734" s="773">
        <v>1</v>
      </c>
      <c r="W3734" s="773" t="s">
        <v>410</v>
      </c>
    </row>
    <row r="3735" spans="19:23">
      <c r="S3735" s="27">
        <v>44377</v>
      </c>
      <c r="T3735" s="773" t="s">
        <v>132</v>
      </c>
      <c r="U3735" s="773">
        <v>116</v>
      </c>
      <c r="V3735" s="773">
        <v>3</v>
      </c>
      <c r="W3735" s="773" t="s">
        <v>410</v>
      </c>
    </row>
    <row r="3736" spans="19:23">
      <c r="S3736" s="27">
        <v>44742</v>
      </c>
      <c r="T3736" s="773" t="s">
        <v>132</v>
      </c>
      <c r="U3736" s="773">
        <v>262</v>
      </c>
      <c r="V3736" s="773">
        <v>52</v>
      </c>
      <c r="W3736" s="773" t="s">
        <v>410</v>
      </c>
    </row>
    <row r="3737" spans="19:23">
      <c r="S3737" s="27">
        <v>44742</v>
      </c>
      <c r="T3737" s="773" t="s">
        <v>132</v>
      </c>
      <c r="U3737" s="773">
        <v>312</v>
      </c>
      <c r="V3737" s="773">
        <v>2852</v>
      </c>
      <c r="W3737" s="773" t="s">
        <v>390</v>
      </c>
    </row>
    <row r="3738" spans="19:23">
      <c r="S3738" s="27">
        <v>44742</v>
      </c>
      <c r="T3738" s="773" t="s">
        <v>132</v>
      </c>
      <c r="U3738" s="773">
        <v>718</v>
      </c>
      <c r="V3738" s="773">
        <v>1394</v>
      </c>
      <c r="W3738" s="773" t="s">
        <v>390</v>
      </c>
    </row>
    <row r="3739" spans="19:23">
      <c r="S3739" s="27">
        <v>44742</v>
      </c>
      <c r="T3739" s="773" t="s">
        <v>132</v>
      </c>
      <c r="U3739" s="773">
        <v>76</v>
      </c>
      <c r="V3739" s="773">
        <v>2916</v>
      </c>
      <c r="W3739" s="773" t="s">
        <v>390</v>
      </c>
    </row>
    <row r="3740" spans="19:23">
      <c r="S3740" s="27">
        <v>44742</v>
      </c>
      <c r="T3740" s="773" t="s">
        <v>132</v>
      </c>
      <c r="U3740" s="773">
        <v>663</v>
      </c>
      <c r="V3740" s="773">
        <v>681</v>
      </c>
      <c r="W3740" s="773" t="s">
        <v>390</v>
      </c>
    </row>
    <row r="3741" spans="19:23">
      <c r="S3741" s="27">
        <v>44377</v>
      </c>
      <c r="T3741" s="773" t="s">
        <v>132</v>
      </c>
      <c r="U3741" s="773">
        <v>276</v>
      </c>
      <c r="V3741" s="773">
        <v>1</v>
      </c>
      <c r="W3741" s="773" t="s">
        <v>410</v>
      </c>
    </row>
    <row r="3742" spans="19:23">
      <c r="S3742" s="27">
        <v>44742</v>
      </c>
      <c r="T3742" s="773" t="s">
        <v>132</v>
      </c>
      <c r="U3742" s="773">
        <v>169</v>
      </c>
      <c r="V3742" s="773">
        <v>3158</v>
      </c>
      <c r="W3742" s="773" t="s">
        <v>390</v>
      </c>
    </row>
    <row r="3743" spans="19:23">
      <c r="S3743" s="27">
        <v>44377</v>
      </c>
      <c r="T3743" s="773" t="s">
        <v>132</v>
      </c>
      <c r="U3743" s="773">
        <v>660</v>
      </c>
      <c r="V3743" s="773">
        <v>4</v>
      </c>
      <c r="W3743" s="773" t="s">
        <v>410</v>
      </c>
    </row>
    <row r="3744" spans="19:23">
      <c r="S3744" s="27">
        <v>44742</v>
      </c>
      <c r="T3744" s="773" t="s">
        <v>132</v>
      </c>
      <c r="U3744" s="773">
        <v>311</v>
      </c>
      <c r="V3744" s="773">
        <v>2515</v>
      </c>
      <c r="W3744" s="773" t="s">
        <v>390</v>
      </c>
    </row>
    <row r="3745" spans="19:23">
      <c r="S3745" s="27">
        <v>44377</v>
      </c>
      <c r="T3745" s="773" t="s">
        <v>132</v>
      </c>
      <c r="U3745" s="773">
        <v>684</v>
      </c>
      <c r="V3745" s="773">
        <v>2616</v>
      </c>
      <c r="W3745" s="773" t="s">
        <v>390</v>
      </c>
    </row>
    <row r="3746" spans="19:23">
      <c r="S3746" s="27">
        <v>44377</v>
      </c>
      <c r="T3746" s="773" t="s">
        <v>132</v>
      </c>
      <c r="U3746" s="773">
        <v>120</v>
      </c>
      <c r="V3746" s="773">
        <v>3</v>
      </c>
      <c r="W3746" s="773" t="s">
        <v>410</v>
      </c>
    </row>
    <row r="3747" spans="19:23">
      <c r="S3747" s="27">
        <v>44377</v>
      </c>
      <c r="T3747" s="773" t="s">
        <v>132</v>
      </c>
      <c r="U3747" s="773">
        <v>664</v>
      </c>
      <c r="V3747" s="773">
        <v>2114</v>
      </c>
      <c r="W3747" s="773" t="s">
        <v>390</v>
      </c>
    </row>
    <row r="3748" spans="19:23">
      <c r="S3748" s="27">
        <v>44742</v>
      </c>
      <c r="T3748" s="773" t="s">
        <v>132</v>
      </c>
      <c r="U3748" s="773">
        <v>212</v>
      </c>
      <c r="V3748" s="773">
        <v>3528</v>
      </c>
      <c r="W3748" s="773" t="s">
        <v>390</v>
      </c>
    </row>
    <row r="3749" spans="19:23">
      <c r="S3749" s="27">
        <v>44742</v>
      </c>
      <c r="T3749" s="773" t="s">
        <v>132</v>
      </c>
      <c r="U3749" s="773">
        <v>200</v>
      </c>
      <c r="V3749" s="773">
        <v>1</v>
      </c>
      <c r="W3749" s="773" t="s">
        <v>410</v>
      </c>
    </row>
    <row r="3750" spans="19:23">
      <c r="S3750" s="27">
        <v>44377</v>
      </c>
      <c r="T3750" s="773" t="s">
        <v>132</v>
      </c>
      <c r="U3750" s="773">
        <v>700</v>
      </c>
      <c r="V3750" s="773">
        <v>1285</v>
      </c>
      <c r="W3750" s="773" t="s">
        <v>390</v>
      </c>
    </row>
    <row r="3751" spans="19:23">
      <c r="S3751" s="27">
        <v>44742</v>
      </c>
      <c r="T3751" s="773" t="s">
        <v>132</v>
      </c>
      <c r="U3751" s="773">
        <v>11</v>
      </c>
      <c r="V3751" s="773">
        <v>27</v>
      </c>
      <c r="W3751" s="773" t="s">
        <v>410</v>
      </c>
    </row>
    <row r="3752" spans="19:23">
      <c r="S3752" s="27">
        <v>44377</v>
      </c>
      <c r="T3752" s="773" t="s">
        <v>132</v>
      </c>
      <c r="U3752" s="773">
        <v>101</v>
      </c>
      <c r="V3752" s="773">
        <v>774</v>
      </c>
      <c r="W3752" s="773" t="s">
        <v>390</v>
      </c>
    </row>
    <row r="3753" spans="19:23">
      <c r="S3753" s="27">
        <v>44742</v>
      </c>
      <c r="T3753" s="773" t="s">
        <v>132</v>
      </c>
      <c r="U3753" s="773">
        <v>264</v>
      </c>
      <c r="V3753" s="773">
        <v>331</v>
      </c>
      <c r="W3753" s="773" t="s">
        <v>390</v>
      </c>
    </row>
    <row r="3754" spans="19:23">
      <c r="S3754" s="27">
        <v>44742</v>
      </c>
      <c r="T3754" s="773" t="s">
        <v>132</v>
      </c>
      <c r="U3754" s="773">
        <v>704</v>
      </c>
      <c r="V3754" s="773">
        <v>3381</v>
      </c>
      <c r="W3754" s="773" t="s">
        <v>390</v>
      </c>
    </row>
    <row r="3755" spans="19:23">
      <c r="S3755" s="27">
        <v>44742</v>
      </c>
      <c r="T3755" s="773" t="s">
        <v>132</v>
      </c>
      <c r="U3755" s="773">
        <v>254</v>
      </c>
      <c r="V3755" s="773">
        <v>3</v>
      </c>
      <c r="W3755" s="773" t="s">
        <v>410</v>
      </c>
    </row>
    <row r="3756" spans="19:23">
      <c r="S3756" s="27">
        <v>44377</v>
      </c>
      <c r="T3756" s="773" t="s">
        <v>132</v>
      </c>
      <c r="U3756" s="773">
        <v>293</v>
      </c>
      <c r="V3756" s="773">
        <v>514</v>
      </c>
      <c r="W3756" s="773" t="s">
        <v>390</v>
      </c>
    </row>
    <row r="3757" spans="19:23">
      <c r="S3757" s="27">
        <v>44377</v>
      </c>
      <c r="T3757" s="773" t="s">
        <v>132</v>
      </c>
      <c r="U3757" s="773">
        <v>159</v>
      </c>
      <c r="V3757" s="773">
        <v>7</v>
      </c>
      <c r="W3757" s="773" t="s">
        <v>410</v>
      </c>
    </row>
    <row r="3758" spans="19:23">
      <c r="S3758" s="27">
        <v>44742</v>
      </c>
      <c r="T3758" s="773" t="s">
        <v>132</v>
      </c>
      <c r="U3758" s="773">
        <v>645</v>
      </c>
      <c r="V3758" s="773">
        <v>2774</v>
      </c>
      <c r="W3758" s="773" t="s">
        <v>390</v>
      </c>
    </row>
    <row r="3759" spans="19:23">
      <c r="S3759" s="27">
        <v>44377</v>
      </c>
      <c r="T3759" s="773" t="s">
        <v>132</v>
      </c>
      <c r="U3759" s="773">
        <v>247</v>
      </c>
      <c r="V3759" s="773">
        <v>30</v>
      </c>
      <c r="W3759" s="773" t="s">
        <v>410</v>
      </c>
    </row>
    <row r="3760" spans="19:23">
      <c r="S3760" s="27">
        <v>44742</v>
      </c>
      <c r="T3760" s="773" t="s">
        <v>132</v>
      </c>
      <c r="U3760" s="773">
        <v>46</v>
      </c>
      <c r="V3760" s="773">
        <v>3607</v>
      </c>
      <c r="W3760" s="773" t="s">
        <v>390</v>
      </c>
    </row>
    <row r="3761" spans="19:23">
      <c r="S3761" s="27">
        <v>44742</v>
      </c>
      <c r="T3761" s="773" t="s">
        <v>132</v>
      </c>
      <c r="U3761" s="773">
        <v>162</v>
      </c>
      <c r="V3761" s="773">
        <v>2351</v>
      </c>
      <c r="W3761" s="773" t="s">
        <v>390</v>
      </c>
    </row>
    <row r="3762" spans="19:23">
      <c r="S3762" s="27">
        <v>44377</v>
      </c>
      <c r="T3762" s="773" t="s">
        <v>132</v>
      </c>
      <c r="U3762" s="773">
        <v>251</v>
      </c>
      <c r="V3762" s="773">
        <v>2448</v>
      </c>
      <c r="W3762" s="773" t="s">
        <v>390</v>
      </c>
    </row>
    <row r="3763" spans="19:23">
      <c r="S3763" s="27">
        <v>44377</v>
      </c>
      <c r="T3763" s="773" t="s">
        <v>132</v>
      </c>
      <c r="U3763" s="773">
        <v>318</v>
      </c>
      <c r="V3763" s="773">
        <v>2004</v>
      </c>
      <c r="W3763" s="773" t="s">
        <v>390</v>
      </c>
    </row>
    <row r="3764" spans="19:23">
      <c r="S3764" s="27">
        <v>44377</v>
      </c>
      <c r="T3764" s="773" t="s">
        <v>132</v>
      </c>
      <c r="U3764" s="773">
        <v>103</v>
      </c>
      <c r="V3764" s="773">
        <v>3234</v>
      </c>
      <c r="W3764" s="773" t="s">
        <v>390</v>
      </c>
    </row>
    <row r="3765" spans="19:23">
      <c r="S3765" s="27">
        <v>44377</v>
      </c>
      <c r="T3765" s="773" t="s">
        <v>132</v>
      </c>
      <c r="U3765" s="773">
        <v>245</v>
      </c>
      <c r="V3765" s="773">
        <v>2327</v>
      </c>
      <c r="W3765" s="773" t="s">
        <v>390</v>
      </c>
    </row>
    <row r="3766" spans="19:23">
      <c r="S3766" s="27">
        <v>44742</v>
      </c>
      <c r="T3766" s="773" t="s">
        <v>132</v>
      </c>
      <c r="U3766" s="773">
        <v>329</v>
      </c>
      <c r="V3766" s="773">
        <v>4171</v>
      </c>
      <c r="W3766" s="773" t="s">
        <v>390</v>
      </c>
    </row>
    <row r="3767" spans="19:23">
      <c r="S3767" s="27">
        <v>44742</v>
      </c>
      <c r="T3767" s="773" t="s">
        <v>132</v>
      </c>
      <c r="U3767" s="773">
        <v>188</v>
      </c>
      <c r="V3767" s="773">
        <v>690</v>
      </c>
      <c r="W3767" s="773" t="s">
        <v>390</v>
      </c>
    </row>
    <row r="3768" spans="19:23">
      <c r="S3768" s="27">
        <v>44377</v>
      </c>
      <c r="T3768" s="773" t="s">
        <v>132</v>
      </c>
      <c r="U3768" s="773">
        <v>241</v>
      </c>
      <c r="V3768" s="773">
        <v>22</v>
      </c>
      <c r="W3768" s="773" t="s">
        <v>410</v>
      </c>
    </row>
    <row r="3769" spans="19:23">
      <c r="S3769" s="27">
        <v>44377</v>
      </c>
      <c r="T3769" s="773" t="s">
        <v>132</v>
      </c>
      <c r="U3769" s="773">
        <v>82</v>
      </c>
      <c r="V3769" s="773">
        <v>2142</v>
      </c>
      <c r="W3769" s="773" t="s">
        <v>390</v>
      </c>
    </row>
    <row r="3770" spans="19:23">
      <c r="S3770" s="27">
        <v>44742</v>
      </c>
      <c r="T3770" s="773" t="s">
        <v>132</v>
      </c>
      <c r="U3770" s="773">
        <v>257</v>
      </c>
      <c r="V3770" s="773">
        <v>3141</v>
      </c>
      <c r="W3770" s="773" t="s">
        <v>390</v>
      </c>
    </row>
    <row r="3771" spans="19:23">
      <c r="S3771" s="27">
        <v>44377</v>
      </c>
      <c r="T3771" s="773" t="s">
        <v>132</v>
      </c>
      <c r="U3771" s="773">
        <v>133</v>
      </c>
      <c r="V3771" s="773">
        <v>1</v>
      </c>
      <c r="W3771" s="773" t="s">
        <v>410</v>
      </c>
    </row>
    <row r="3772" spans="19:23">
      <c r="S3772" s="27">
        <v>44377</v>
      </c>
      <c r="T3772" s="773" t="s">
        <v>132</v>
      </c>
      <c r="U3772" s="773">
        <v>105</v>
      </c>
      <c r="V3772" s="773">
        <v>1</v>
      </c>
      <c r="W3772" s="773" t="s">
        <v>410</v>
      </c>
    </row>
    <row r="3773" spans="19:23">
      <c r="S3773" s="27">
        <v>44742</v>
      </c>
      <c r="T3773" s="773" t="s">
        <v>132</v>
      </c>
      <c r="U3773" s="773">
        <v>101</v>
      </c>
      <c r="V3773" s="773">
        <v>285</v>
      </c>
      <c r="W3773" s="773" t="s">
        <v>390</v>
      </c>
    </row>
    <row r="3774" spans="19:23">
      <c r="S3774" s="27">
        <v>44377</v>
      </c>
      <c r="T3774" s="773" t="s">
        <v>132</v>
      </c>
      <c r="U3774" s="773">
        <v>141</v>
      </c>
      <c r="V3774" s="773">
        <v>10</v>
      </c>
      <c r="W3774" s="773" t="s">
        <v>410</v>
      </c>
    </row>
    <row r="3775" spans="19:23">
      <c r="S3775" s="27">
        <v>44377</v>
      </c>
      <c r="T3775" s="773" t="s">
        <v>132</v>
      </c>
      <c r="U3775" s="773">
        <v>231</v>
      </c>
      <c r="V3775" s="773">
        <v>5</v>
      </c>
      <c r="W3775" s="773" t="s">
        <v>410</v>
      </c>
    </row>
    <row r="3776" spans="19:23">
      <c r="S3776" s="27">
        <v>44377</v>
      </c>
      <c r="T3776" s="773" t="s">
        <v>132</v>
      </c>
      <c r="U3776" s="773">
        <v>652</v>
      </c>
      <c r="V3776" s="773">
        <v>2607</v>
      </c>
      <c r="W3776" s="773" t="s">
        <v>390</v>
      </c>
    </row>
    <row r="3777" spans="19:23">
      <c r="S3777" s="27">
        <v>44742</v>
      </c>
      <c r="T3777" s="773" t="s">
        <v>132</v>
      </c>
      <c r="U3777" s="773">
        <v>58</v>
      </c>
      <c r="V3777" s="773">
        <v>1</v>
      </c>
      <c r="W3777" s="773" t="s">
        <v>410</v>
      </c>
    </row>
    <row r="3778" spans="19:23">
      <c r="S3778" s="27">
        <v>44377</v>
      </c>
      <c r="T3778" s="773" t="s">
        <v>132</v>
      </c>
      <c r="U3778" s="773">
        <v>698</v>
      </c>
      <c r="V3778" s="773">
        <v>2544</v>
      </c>
      <c r="W3778" s="773" t="s">
        <v>390</v>
      </c>
    </row>
    <row r="3779" spans="19:23">
      <c r="S3779" s="27">
        <v>44742</v>
      </c>
      <c r="T3779" s="773" t="s">
        <v>132</v>
      </c>
      <c r="U3779" s="773">
        <v>698</v>
      </c>
      <c r="V3779" s="773">
        <v>3095</v>
      </c>
      <c r="W3779" s="773" t="s">
        <v>390</v>
      </c>
    </row>
    <row r="3780" spans="19:23">
      <c r="S3780" s="27">
        <v>44377</v>
      </c>
      <c r="T3780" s="773" t="s">
        <v>132</v>
      </c>
      <c r="U3780" s="773">
        <v>100</v>
      </c>
      <c r="V3780" s="773">
        <v>3</v>
      </c>
      <c r="W3780" s="773" t="s">
        <v>410</v>
      </c>
    </row>
    <row r="3781" spans="19:23">
      <c r="S3781" s="27">
        <v>44742</v>
      </c>
      <c r="T3781" s="773" t="s">
        <v>132</v>
      </c>
      <c r="U3781" s="773">
        <v>664</v>
      </c>
      <c r="V3781" s="773">
        <v>2098</v>
      </c>
      <c r="W3781" s="773" t="s">
        <v>390</v>
      </c>
    </row>
    <row r="3782" spans="19:23">
      <c r="S3782" s="27">
        <v>44377</v>
      </c>
      <c r="T3782" s="773" t="s">
        <v>132</v>
      </c>
      <c r="U3782" s="773">
        <v>523</v>
      </c>
      <c r="V3782" s="773">
        <v>13</v>
      </c>
      <c r="W3782" s="773" t="s">
        <v>410</v>
      </c>
    </row>
    <row r="3783" spans="19:23">
      <c r="S3783" s="27">
        <v>44742</v>
      </c>
      <c r="T3783" s="773" t="s">
        <v>132</v>
      </c>
      <c r="U3783" s="773">
        <v>672</v>
      </c>
      <c r="V3783" s="773">
        <v>2374</v>
      </c>
      <c r="W3783" s="773" t="s">
        <v>390</v>
      </c>
    </row>
    <row r="3784" spans="19:23">
      <c r="S3784" s="27">
        <v>44377</v>
      </c>
      <c r="T3784" s="773" t="s">
        <v>132</v>
      </c>
      <c r="U3784" s="773">
        <v>52</v>
      </c>
      <c r="V3784" s="773">
        <v>2</v>
      </c>
      <c r="W3784" s="773" t="s">
        <v>410</v>
      </c>
    </row>
    <row r="3785" spans="19:23">
      <c r="S3785" s="27">
        <v>44377</v>
      </c>
      <c r="T3785" s="773" t="s">
        <v>132</v>
      </c>
      <c r="U3785" s="773">
        <v>66</v>
      </c>
      <c r="V3785" s="773">
        <v>5</v>
      </c>
      <c r="W3785" s="773" t="s">
        <v>410</v>
      </c>
    </row>
    <row r="3786" spans="19:23">
      <c r="S3786" s="27">
        <v>44377</v>
      </c>
      <c r="T3786" s="773" t="s">
        <v>132</v>
      </c>
      <c r="U3786" s="773">
        <v>212</v>
      </c>
      <c r="V3786" s="773">
        <v>3359</v>
      </c>
      <c r="W3786" s="773" t="s">
        <v>390</v>
      </c>
    </row>
    <row r="3787" spans="19:23">
      <c r="S3787" s="27">
        <v>44377</v>
      </c>
      <c r="T3787" s="773" t="s">
        <v>132</v>
      </c>
      <c r="U3787" s="773">
        <v>97</v>
      </c>
      <c r="V3787" s="773">
        <v>2</v>
      </c>
      <c r="W3787" s="773" t="s">
        <v>410</v>
      </c>
    </row>
    <row r="3788" spans="19:23">
      <c r="S3788" s="27">
        <v>44742</v>
      </c>
      <c r="T3788" s="773" t="s">
        <v>132</v>
      </c>
      <c r="U3788" s="773">
        <v>158</v>
      </c>
      <c r="V3788" s="773">
        <v>117</v>
      </c>
      <c r="W3788" s="773" t="s">
        <v>390</v>
      </c>
    </row>
    <row r="3789" spans="19:23">
      <c r="S3789" s="27">
        <v>44377</v>
      </c>
      <c r="T3789" s="773" t="s">
        <v>132</v>
      </c>
      <c r="U3789" s="773">
        <v>111</v>
      </c>
      <c r="V3789" s="773">
        <v>2</v>
      </c>
      <c r="W3789" s="773" t="s">
        <v>410</v>
      </c>
    </row>
    <row r="3790" spans="19:23">
      <c r="S3790" s="27">
        <v>44377</v>
      </c>
      <c r="T3790" s="773" t="s">
        <v>132</v>
      </c>
      <c r="U3790" s="773">
        <v>672</v>
      </c>
      <c r="V3790" s="773">
        <v>2264</v>
      </c>
      <c r="W3790" s="773" t="s">
        <v>390</v>
      </c>
    </row>
    <row r="3791" spans="19:23">
      <c r="S3791" s="27">
        <v>44377</v>
      </c>
      <c r="T3791" s="773" t="s">
        <v>132</v>
      </c>
      <c r="U3791" s="773">
        <v>239</v>
      </c>
      <c r="V3791" s="773">
        <v>3383</v>
      </c>
      <c r="W3791" s="773" t="s">
        <v>390</v>
      </c>
    </row>
    <row r="3792" spans="19:23">
      <c r="S3792" s="27">
        <v>44377</v>
      </c>
      <c r="T3792" s="773" t="s">
        <v>132</v>
      </c>
      <c r="U3792" s="773">
        <v>176</v>
      </c>
      <c r="V3792" s="773">
        <v>1</v>
      </c>
      <c r="W3792" s="773" t="s">
        <v>410</v>
      </c>
    </row>
    <row r="3793" spans="19:23">
      <c r="S3793" s="27">
        <v>44377</v>
      </c>
      <c r="T3793" s="773" t="s">
        <v>132</v>
      </c>
      <c r="U3793" s="773">
        <v>114</v>
      </c>
      <c r="V3793" s="773">
        <v>1</v>
      </c>
      <c r="W3793" s="773" t="s">
        <v>410</v>
      </c>
    </row>
    <row r="3794" spans="19:23">
      <c r="S3794" s="27">
        <v>44742</v>
      </c>
      <c r="T3794" s="773" t="s">
        <v>132</v>
      </c>
      <c r="U3794" s="773">
        <v>666</v>
      </c>
      <c r="V3794" s="773">
        <v>1533</v>
      </c>
      <c r="W3794" s="773" t="s">
        <v>390</v>
      </c>
    </row>
    <row r="3795" spans="19:23">
      <c r="S3795" s="27">
        <v>44742</v>
      </c>
      <c r="T3795" s="773" t="s">
        <v>132</v>
      </c>
      <c r="U3795" s="773">
        <v>296</v>
      </c>
      <c r="V3795" s="773">
        <v>2458</v>
      </c>
      <c r="W3795" s="773" t="s">
        <v>390</v>
      </c>
    </row>
    <row r="3796" spans="19:23">
      <c r="S3796" s="27">
        <v>44742</v>
      </c>
      <c r="T3796" s="773" t="s">
        <v>132</v>
      </c>
      <c r="U3796" s="773">
        <v>675</v>
      </c>
      <c r="V3796" s="773">
        <v>2</v>
      </c>
      <c r="W3796" s="773" t="s">
        <v>410</v>
      </c>
    </row>
    <row r="3797" spans="19:23">
      <c r="S3797" s="27">
        <v>44742</v>
      </c>
      <c r="T3797" s="773" t="s">
        <v>132</v>
      </c>
      <c r="U3797" s="773">
        <v>654</v>
      </c>
      <c r="V3797" s="773">
        <v>1059</v>
      </c>
      <c r="W3797" s="773" t="s">
        <v>390</v>
      </c>
    </row>
    <row r="3798" spans="19:23">
      <c r="S3798" s="27">
        <v>44377</v>
      </c>
      <c r="T3798" s="773" t="s">
        <v>132</v>
      </c>
      <c r="U3798" s="773">
        <v>171</v>
      </c>
      <c r="V3798" s="773">
        <v>165</v>
      </c>
      <c r="W3798" s="773" t="s">
        <v>390</v>
      </c>
    </row>
    <row r="3799" spans="19:23">
      <c r="S3799" s="27">
        <v>44742</v>
      </c>
      <c r="T3799" s="773" t="s">
        <v>132</v>
      </c>
      <c r="U3799" s="773">
        <v>78</v>
      </c>
      <c r="V3799" s="773">
        <v>3</v>
      </c>
      <c r="W3799" s="773" t="s">
        <v>410</v>
      </c>
    </row>
    <row r="3800" spans="19:23">
      <c r="S3800" s="27">
        <v>44377</v>
      </c>
      <c r="T3800" s="773" t="s">
        <v>132</v>
      </c>
      <c r="U3800" s="773">
        <v>295</v>
      </c>
      <c r="V3800" s="773">
        <v>6</v>
      </c>
      <c r="W3800" s="773" t="s">
        <v>410</v>
      </c>
    </row>
    <row r="3801" spans="19:23">
      <c r="S3801" s="27">
        <v>44742</v>
      </c>
      <c r="T3801" s="773" t="s">
        <v>132</v>
      </c>
      <c r="U3801" s="773">
        <v>193</v>
      </c>
      <c r="V3801" s="773">
        <v>434</v>
      </c>
      <c r="W3801" s="773" t="s">
        <v>390</v>
      </c>
    </row>
    <row r="3802" spans="19:23">
      <c r="S3802" s="27">
        <v>44742</v>
      </c>
      <c r="T3802" s="773" t="s">
        <v>132</v>
      </c>
      <c r="U3802" s="773">
        <v>164</v>
      </c>
      <c r="V3802" s="773">
        <v>3</v>
      </c>
      <c r="W3802" s="773" t="s">
        <v>410</v>
      </c>
    </row>
    <row r="3803" spans="19:23">
      <c r="S3803" s="27">
        <v>44742</v>
      </c>
      <c r="T3803" s="773" t="s">
        <v>132</v>
      </c>
      <c r="U3803" s="773">
        <v>52</v>
      </c>
      <c r="V3803" s="773">
        <v>9</v>
      </c>
      <c r="W3803" s="773" t="s">
        <v>410</v>
      </c>
    </row>
    <row r="3804" spans="19:23">
      <c r="S3804" s="27">
        <v>44377</v>
      </c>
      <c r="T3804" s="773" t="s">
        <v>132</v>
      </c>
      <c r="U3804" s="773">
        <v>667</v>
      </c>
      <c r="V3804" s="773">
        <v>1</v>
      </c>
      <c r="W3804" s="773" t="s">
        <v>410</v>
      </c>
    </row>
    <row r="3805" spans="19:23">
      <c r="S3805" s="27">
        <v>44377</v>
      </c>
      <c r="T3805" s="773" t="s">
        <v>132</v>
      </c>
      <c r="U3805" s="773">
        <v>94</v>
      </c>
      <c r="V3805" s="773">
        <v>68</v>
      </c>
      <c r="W3805" s="773" t="s">
        <v>410</v>
      </c>
    </row>
    <row r="3806" spans="19:23">
      <c r="S3806" s="27">
        <v>44742</v>
      </c>
      <c r="T3806" s="773" t="s">
        <v>132</v>
      </c>
      <c r="U3806" s="773">
        <v>251</v>
      </c>
      <c r="V3806" s="773">
        <v>1907</v>
      </c>
      <c r="W3806" s="773" t="s">
        <v>390</v>
      </c>
    </row>
    <row r="3807" spans="19:23">
      <c r="S3807" s="27">
        <v>44377</v>
      </c>
      <c r="T3807" s="773" t="s">
        <v>132</v>
      </c>
      <c r="U3807" s="773">
        <v>78</v>
      </c>
      <c r="V3807" s="773">
        <v>1</v>
      </c>
      <c r="W3807" s="773" t="s">
        <v>410</v>
      </c>
    </row>
    <row r="3808" spans="19:23">
      <c r="S3808" s="27">
        <v>44742</v>
      </c>
      <c r="T3808" s="773" t="s">
        <v>132</v>
      </c>
      <c r="U3808" s="773">
        <v>318</v>
      </c>
      <c r="V3808" s="773">
        <v>2423</v>
      </c>
      <c r="W3808" s="773" t="s">
        <v>390</v>
      </c>
    </row>
    <row r="3809" spans="19:23">
      <c r="S3809" s="27">
        <v>44377</v>
      </c>
      <c r="T3809" s="773" t="s">
        <v>132</v>
      </c>
      <c r="U3809" s="773">
        <v>240</v>
      </c>
      <c r="V3809" s="773">
        <v>4</v>
      </c>
      <c r="W3809" s="773" t="s">
        <v>410</v>
      </c>
    </row>
    <row r="3810" spans="19:23">
      <c r="S3810" s="27">
        <v>44742</v>
      </c>
      <c r="T3810" s="773" t="s">
        <v>132</v>
      </c>
      <c r="U3810" s="773">
        <v>255</v>
      </c>
      <c r="V3810" s="773">
        <v>185</v>
      </c>
      <c r="W3810" s="773" t="s">
        <v>390</v>
      </c>
    </row>
    <row r="3811" spans="19:23">
      <c r="S3811" s="27">
        <v>44742</v>
      </c>
      <c r="T3811" s="773" t="s">
        <v>132</v>
      </c>
      <c r="U3811" s="773">
        <v>680</v>
      </c>
      <c r="V3811" s="773">
        <v>3115</v>
      </c>
      <c r="W3811" s="773" t="s">
        <v>390</v>
      </c>
    </row>
    <row r="3812" spans="19:23">
      <c r="S3812" s="27">
        <v>44377</v>
      </c>
      <c r="T3812" s="773" t="s">
        <v>132</v>
      </c>
      <c r="U3812" s="773">
        <v>694</v>
      </c>
      <c r="V3812" s="773">
        <v>2</v>
      </c>
      <c r="W3812" s="773" t="s">
        <v>410</v>
      </c>
    </row>
    <row r="3813" spans="19:23">
      <c r="S3813" s="27">
        <v>44377</v>
      </c>
      <c r="T3813" s="773" t="s">
        <v>132</v>
      </c>
      <c r="U3813" s="773">
        <v>181</v>
      </c>
      <c r="V3813" s="773">
        <v>1</v>
      </c>
      <c r="W3813" s="773" t="s">
        <v>410</v>
      </c>
    </row>
    <row r="3814" spans="19:23">
      <c r="S3814" s="27">
        <v>44742</v>
      </c>
      <c r="T3814" s="773" t="s">
        <v>132</v>
      </c>
      <c r="U3814" s="773">
        <v>294</v>
      </c>
      <c r="V3814" s="773">
        <v>3</v>
      </c>
      <c r="W3814" s="773" t="s">
        <v>410</v>
      </c>
    </row>
    <row r="3815" spans="19:23">
      <c r="S3815" s="27">
        <v>44742</v>
      </c>
      <c r="T3815" s="773" t="s">
        <v>132</v>
      </c>
      <c r="U3815" s="773">
        <v>216</v>
      </c>
      <c r="V3815" s="773">
        <v>2419</v>
      </c>
      <c r="W3815" s="773" t="s">
        <v>390</v>
      </c>
    </row>
    <row r="3816" spans="19:23">
      <c r="S3816" s="27">
        <v>44742</v>
      </c>
      <c r="T3816" s="773" t="s">
        <v>132</v>
      </c>
      <c r="U3816" s="773">
        <v>94</v>
      </c>
      <c r="V3816" s="773">
        <v>258</v>
      </c>
      <c r="W3816" s="773" t="s">
        <v>390</v>
      </c>
    </row>
    <row r="3817" spans="19:23">
      <c r="S3817" s="27">
        <v>44377</v>
      </c>
      <c r="T3817" s="773" t="s">
        <v>132</v>
      </c>
      <c r="U3817" s="773">
        <v>275</v>
      </c>
      <c r="V3817" s="773">
        <v>1229</v>
      </c>
      <c r="W3817" s="773" t="s">
        <v>390</v>
      </c>
    </row>
    <row r="3818" spans="19:23">
      <c r="S3818" s="27">
        <v>44742</v>
      </c>
      <c r="T3818" s="773" t="s">
        <v>132</v>
      </c>
      <c r="U3818" s="773">
        <v>222</v>
      </c>
      <c r="V3818" s="773">
        <v>1</v>
      </c>
      <c r="W3818" s="773" t="s">
        <v>410</v>
      </c>
    </row>
    <row r="3819" spans="19:23">
      <c r="S3819" s="27">
        <v>44742</v>
      </c>
      <c r="T3819" s="773" t="s">
        <v>132</v>
      </c>
      <c r="U3819" s="773">
        <v>92</v>
      </c>
      <c r="V3819" s="773">
        <v>3009</v>
      </c>
      <c r="W3819" s="773" t="s">
        <v>390</v>
      </c>
    </row>
    <row r="3820" spans="19:23">
      <c r="S3820" s="27">
        <v>44742</v>
      </c>
      <c r="T3820" s="773" t="s">
        <v>132</v>
      </c>
      <c r="U3820" s="773">
        <v>316</v>
      </c>
      <c r="V3820" s="773">
        <v>6</v>
      </c>
      <c r="W3820" s="773" t="s">
        <v>410</v>
      </c>
    </row>
    <row r="3821" spans="19:23">
      <c r="S3821" s="27">
        <v>44742</v>
      </c>
      <c r="T3821" s="773" t="s">
        <v>132</v>
      </c>
      <c r="U3821" s="773">
        <v>669</v>
      </c>
      <c r="V3821" s="773">
        <v>3041</v>
      </c>
      <c r="W3821" s="773" t="s">
        <v>390</v>
      </c>
    </row>
    <row r="3822" spans="19:23">
      <c r="S3822" s="27">
        <v>44742</v>
      </c>
      <c r="T3822" s="773" t="s">
        <v>132</v>
      </c>
      <c r="U3822" s="773">
        <v>276</v>
      </c>
      <c r="V3822" s="773">
        <v>1</v>
      </c>
      <c r="W3822" s="773" t="s">
        <v>410</v>
      </c>
    </row>
    <row r="3823" spans="19:23">
      <c r="S3823" s="27">
        <v>44377</v>
      </c>
      <c r="T3823" s="773" t="s">
        <v>132</v>
      </c>
      <c r="U3823" s="773">
        <v>48</v>
      </c>
      <c r="V3823" s="773">
        <v>744</v>
      </c>
      <c r="W3823" s="773" t="s">
        <v>390</v>
      </c>
    </row>
    <row r="3824" spans="19:23">
      <c r="S3824" s="27">
        <v>44377</v>
      </c>
      <c r="T3824" s="773" t="s">
        <v>132</v>
      </c>
      <c r="U3824" s="773">
        <v>203</v>
      </c>
      <c r="V3824" s="773">
        <v>3031</v>
      </c>
      <c r="W3824" s="773" t="s">
        <v>390</v>
      </c>
    </row>
    <row r="3825" spans="19:23">
      <c r="S3825" s="27">
        <v>44377</v>
      </c>
      <c r="T3825" s="773" t="s">
        <v>132</v>
      </c>
      <c r="U3825" s="773">
        <v>279</v>
      </c>
      <c r="V3825" s="773">
        <v>3852</v>
      </c>
      <c r="W3825" s="773" t="s">
        <v>390</v>
      </c>
    </row>
    <row r="3826" spans="19:23">
      <c r="S3826" s="27">
        <v>44742</v>
      </c>
      <c r="T3826" s="773" t="s">
        <v>132</v>
      </c>
      <c r="U3826" s="773">
        <v>621</v>
      </c>
      <c r="V3826" s="773">
        <v>2489</v>
      </c>
      <c r="W3826" s="773" t="s">
        <v>390</v>
      </c>
    </row>
    <row r="3827" spans="19:23">
      <c r="S3827" s="27">
        <v>44742</v>
      </c>
      <c r="T3827" s="773" t="s">
        <v>132</v>
      </c>
      <c r="U3827" s="773">
        <v>691</v>
      </c>
      <c r="V3827" s="773">
        <v>3215</v>
      </c>
      <c r="W3827" s="773" t="s">
        <v>390</v>
      </c>
    </row>
    <row r="3828" spans="19:23">
      <c r="S3828" s="27">
        <v>44742</v>
      </c>
      <c r="T3828" s="773" t="s">
        <v>132</v>
      </c>
      <c r="U3828" s="773">
        <v>150</v>
      </c>
      <c r="V3828" s="773">
        <v>341</v>
      </c>
      <c r="W3828" s="773" t="s">
        <v>390</v>
      </c>
    </row>
    <row r="3829" spans="19:23">
      <c r="S3829" s="27">
        <v>44742</v>
      </c>
      <c r="T3829" s="773" t="s">
        <v>132</v>
      </c>
      <c r="U3829" s="773">
        <v>653</v>
      </c>
      <c r="V3829" s="773">
        <v>3</v>
      </c>
      <c r="W3829" s="773" t="s">
        <v>410</v>
      </c>
    </row>
    <row r="3830" spans="19:23">
      <c r="S3830" s="27">
        <v>44742</v>
      </c>
      <c r="T3830" s="773" t="s">
        <v>132</v>
      </c>
      <c r="U3830" s="773">
        <v>665</v>
      </c>
      <c r="V3830" s="773">
        <v>3401</v>
      </c>
      <c r="W3830" s="773" t="s">
        <v>390</v>
      </c>
    </row>
    <row r="3831" spans="19:23">
      <c r="S3831" s="27">
        <v>44377</v>
      </c>
      <c r="T3831" s="773" t="s">
        <v>132</v>
      </c>
      <c r="U3831" s="773">
        <v>158</v>
      </c>
      <c r="V3831" s="773">
        <v>65</v>
      </c>
      <c r="W3831" s="773" t="s">
        <v>410</v>
      </c>
    </row>
    <row r="3832" spans="19:23">
      <c r="S3832" s="27">
        <v>44377</v>
      </c>
      <c r="T3832" s="773" t="s">
        <v>132</v>
      </c>
      <c r="U3832" s="773">
        <v>262</v>
      </c>
      <c r="V3832" s="773">
        <v>87</v>
      </c>
      <c r="W3832" s="773" t="s">
        <v>410</v>
      </c>
    </row>
    <row r="3833" spans="19:23">
      <c r="S3833" s="27">
        <v>44377</v>
      </c>
      <c r="T3833" s="773" t="s">
        <v>132</v>
      </c>
      <c r="U3833" s="773">
        <v>148</v>
      </c>
      <c r="V3833" s="773">
        <v>1</v>
      </c>
      <c r="W3833" s="773" t="s">
        <v>410</v>
      </c>
    </row>
    <row r="3834" spans="19:23">
      <c r="S3834" s="27">
        <v>44377</v>
      </c>
      <c r="T3834" s="773" t="s">
        <v>132</v>
      </c>
      <c r="U3834" s="773">
        <v>113</v>
      </c>
      <c r="V3834" s="773">
        <v>2</v>
      </c>
      <c r="W3834" s="773" t="s">
        <v>410</v>
      </c>
    </row>
    <row r="3835" spans="19:23">
      <c r="S3835" s="27">
        <v>44742</v>
      </c>
      <c r="T3835" s="773" t="s">
        <v>132</v>
      </c>
      <c r="U3835" s="773">
        <v>240</v>
      </c>
      <c r="V3835" s="773">
        <v>3</v>
      </c>
      <c r="W3835" s="773" t="s">
        <v>410</v>
      </c>
    </row>
    <row r="3836" spans="19:23">
      <c r="S3836" s="27">
        <v>44742</v>
      </c>
      <c r="T3836" s="773" t="s">
        <v>132</v>
      </c>
      <c r="U3836" s="773">
        <v>671</v>
      </c>
      <c r="V3836" s="773">
        <v>1892</v>
      </c>
      <c r="W3836" s="773" t="s">
        <v>390</v>
      </c>
    </row>
    <row r="3837" spans="19:23">
      <c r="S3837" s="27">
        <v>44742</v>
      </c>
      <c r="T3837" s="773" t="s">
        <v>132</v>
      </c>
      <c r="U3837" s="773">
        <v>709</v>
      </c>
      <c r="V3837" s="773">
        <v>2274</v>
      </c>
      <c r="W3837" s="773" t="s">
        <v>390</v>
      </c>
    </row>
    <row r="3838" spans="19:23">
      <c r="S3838" s="27">
        <v>44742</v>
      </c>
      <c r="T3838" s="773" t="s">
        <v>132</v>
      </c>
      <c r="U3838" s="773">
        <v>63</v>
      </c>
      <c r="V3838" s="773">
        <v>1</v>
      </c>
      <c r="W3838" s="773" t="s">
        <v>410</v>
      </c>
    </row>
    <row r="3839" spans="19:23">
      <c r="S3839" s="27">
        <v>44377</v>
      </c>
      <c r="T3839" s="773" t="s">
        <v>132</v>
      </c>
      <c r="U3839" s="773">
        <v>11</v>
      </c>
      <c r="V3839" s="773">
        <v>28</v>
      </c>
      <c r="W3839" s="773" t="s">
        <v>410</v>
      </c>
    </row>
    <row r="3840" spans="19:23">
      <c r="S3840" s="27">
        <v>44377</v>
      </c>
      <c r="T3840" s="773" t="s">
        <v>132</v>
      </c>
      <c r="U3840" s="773">
        <v>290</v>
      </c>
      <c r="V3840" s="773">
        <v>2356</v>
      </c>
      <c r="W3840" s="773" t="s">
        <v>390</v>
      </c>
    </row>
    <row r="3841" spans="19:23">
      <c r="S3841" s="27">
        <v>44742</v>
      </c>
      <c r="T3841" s="773" t="s">
        <v>132</v>
      </c>
      <c r="U3841" s="773">
        <v>241</v>
      </c>
      <c r="V3841" s="773">
        <v>6</v>
      </c>
      <c r="W3841" s="773" t="s">
        <v>410</v>
      </c>
    </row>
    <row r="3842" spans="19:23">
      <c r="S3842" s="27">
        <v>44377</v>
      </c>
      <c r="T3842" s="773" t="s">
        <v>132</v>
      </c>
      <c r="U3842" s="773">
        <v>237</v>
      </c>
      <c r="V3842" s="773">
        <v>29</v>
      </c>
      <c r="W3842" s="773" t="s">
        <v>410</v>
      </c>
    </row>
    <row r="3843" spans="19:23">
      <c r="S3843" s="27">
        <v>44377</v>
      </c>
      <c r="T3843" s="773" t="s">
        <v>132</v>
      </c>
      <c r="U3843" s="773">
        <v>311</v>
      </c>
      <c r="V3843" s="773">
        <v>2266</v>
      </c>
      <c r="W3843" s="773" t="s">
        <v>390</v>
      </c>
    </row>
    <row r="3844" spans="19:23">
      <c r="S3844" s="27">
        <v>44377</v>
      </c>
      <c r="T3844" s="773" t="s">
        <v>132</v>
      </c>
      <c r="U3844" s="773">
        <v>145</v>
      </c>
      <c r="V3844" s="773">
        <v>2</v>
      </c>
      <c r="W3844" s="773" t="s">
        <v>410</v>
      </c>
    </row>
    <row r="3845" spans="19:23">
      <c r="S3845" s="27">
        <v>44377</v>
      </c>
      <c r="T3845" s="773" t="s">
        <v>132</v>
      </c>
      <c r="U3845" s="773">
        <v>136</v>
      </c>
      <c r="V3845" s="773">
        <v>91</v>
      </c>
      <c r="W3845" s="773" t="s">
        <v>410</v>
      </c>
    </row>
    <row r="3846" spans="19:23">
      <c r="S3846" s="27">
        <v>44742</v>
      </c>
      <c r="T3846" s="773" t="s">
        <v>132</v>
      </c>
      <c r="U3846" s="773">
        <v>322</v>
      </c>
      <c r="V3846" s="773">
        <v>2743</v>
      </c>
      <c r="W3846" s="773" t="s">
        <v>390</v>
      </c>
    </row>
    <row r="3847" spans="19:23">
      <c r="S3847" s="27">
        <v>44742</v>
      </c>
      <c r="T3847" s="773" t="s">
        <v>132</v>
      </c>
      <c r="U3847" s="773">
        <v>245</v>
      </c>
      <c r="V3847" s="773">
        <v>3315</v>
      </c>
      <c r="W3847" s="773" t="s">
        <v>390</v>
      </c>
    </row>
    <row r="3848" spans="19:23">
      <c r="S3848" s="27">
        <v>44742</v>
      </c>
      <c r="T3848" s="773" t="s">
        <v>132</v>
      </c>
      <c r="U3848" s="773">
        <v>56</v>
      </c>
      <c r="V3848" s="773">
        <v>3</v>
      </c>
      <c r="W3848" s="773" t="s">
        <v>410</v>
      </c>
    </row>
    <row r="3849" spans="19:23">
      <c r="S3849" s="27">
        <v>44377</v>
      </c>
      <c r="T3849" s="773" t="s">
        <v>132</v>
      </c>
      <c r="U3849" s="773">
        <v>79</v>
      </c>
      <c r="V3849" s="773">
        <v>4</v>
      </c>
      <c r="W3849" s="773" t="s">
        <v>410</v>
      </c>
    </row>
    <row r="3850" spans="19:23">
      <c r="S3850" s="27">
        <v>44742</v>
      </c>
      <c r="T3850" s="773" t="s">
        <v>132</v>
      </c>
      <c r="U3850" s="773">
        <v>43</v>
      </c>
      <c r="V3850" s="773">
        <v>1037</v>
      </c>
      <c r="W3850" s="773" t="s">
        <v>390</v>
      </c>
    </row>
    <row r="3851" spans="19:23">
      <c r="S3851" s="27">
        <v>44377</v>
      </c>
      <c r="T3851" s="773" t="s">
        <v>132</v>
      </c>
      <c r="U3851" s="773">
        <v>161</v>
      </c>
      <c r="V3851" s="773">
        <v>7</v>
      </c>
      <c r="W3851" s="773" t="s">
        <v>410</v>
      </c>
    </row>
    <row r="3852" spans="19:23">
      <c r="S3852" s="27">
        <v>44742</v>
      </c>
      <c r="T3852" s="773" t="s">
        <v>132</v>
      </c>
      <c r="U3852" s="773">
        <v>53</v>
      </c>
      <c r="V3852" s="773">
        <v>2</v>
      </c>
      <c r="W3852" s="773" t="s">
        <v>410</v>
      </c>
    </row>
    <row r="3853" spans="19:23">
      <c r="S3853" s="27">
        <v>44742</v>
      </c>
      <c r="T3853" s="773" t="s">
        <v>132</v>
      </c>
      <c r="U3853" s="773">
        <v>293</v>
      </c>
      <c r="V3853" s="773">
        <v>323</v>
      </c>
      <c r="W3853" s="773" t="s">
        <v>390</v>
      </c>
    </row>
    <row r="3854" spans="19:23">
      <c r="S3854" s="27">
        <v>44742</v>
      </c>
      <c r="T3854" s="773" t="s">
        <v>132</v>
      </c>
      <c r="U3854" s="773">
        <v>116</v>
      </c>
      <c r="V3854" s="773">
        <v>3</v>
      </c>
      <c r="W3854" s="773" t="s">
        <v>410</v>
      </c>
    </row>
    <row r="3855" spans="19:23">
      <c r="S3855" s="27">
        <v>44742</v>
      </c>
      <c r="T3855" s="773" t="s">
        <v>132</v>
      </c>
      <c r="U3855" s="773">
        <v>39</v>
      </c>
      <c r="V3855" s="773">
        <v>1</v>
      </c>
      <c r="W3855" s="773" t="s">
        <v>410</v>
      </c>
    </row>
    <row r="3856" spans="19:23">
      <c r="S3856" s="27">
        <v>44377</v>
      </c>
      <c r="T3856" s="773" t="s">
        <v>132</v>
      </c>
      <c r="U3856" s="773">
        <v>303</v>
      </c>
      <c r="V3856" s="773">
        <v>2449</v>
      </c>
      <c r="W3856" s="773" t="s">
        <v>390</v>
      </c>
    </row>
    <row r="3857" spans="19:23">
      <c r="S3857" s="27">
        <v>44377</v>
      </c>
      <c r="T3857" s="773" t="s">
        <v>132</v>
      </c>
      <c r="U3857" s="773">
        <v>215</v>
      </c>
      <c r="V3857" s="773">
        <v>690</v>
      </c>
      <c r="W3857" s="773" t="s">
        <v>390</v>
      </c>
    </row>
    <row r="3858" spans="19:23">
      <c r="S3858" s="27">
        <v>44742</v>
      </c>
      <c r="T3858" s="773" t="s">
        <v>132</v>
      </c>
      <c r="U3858" s="773">
        <v>679</v>
      </c>
      <c r="V3858" s="773">
        <v>1</v>
      </c>
      <c r="W3858" s="773" t="s">
        <v>410</v>
      </c>
    </row>
    <row r="3859" spans="19:23">
      <c r="S3859" s="27">
        <v>44377</v>
      </c>
      <c r="T3859" s="773" t="s">
        <v>132</v>
      </c>
      <c r="U3859" s="773">
        <v>40</v>
      </c>
      <c r="V3859" s="773">
        <v>3</v>
      </c>
      <c r="W3859" s="773" t="s">
        <v>410</v>
      </c>
    </row>
    <row r="3860" spans="19:23">
      <c r="S3860" s="27">
        <v>44742</v>
      </c>
      <c r="T3860" s="773" t="s">
        <v>132</v>
      </c>
      <c r="U3860" s="773">
        <v>256</v>
      </c>
      <c r="V3860" s="773">
        <v>291</v>
      </c>
      <c r="W3860" s="773" t="s">
        <v>390</v>
      </c>
    </row>
    <row r="3861" spans="19:23">
      <c r="S3861" s="27">
        <v>44742</v>
      </c>
      <c r="T3861" s="773" t="s">
        <v>132</v>
      </c>
      <c r="U3861" s="773">
        <v>61</v>
      </c>
      <c r="V3861" s="773">
        <v>1</v>
      </c>
      <c r="W3861" s="773" t="s">
        <v>410</v>
      </c>
    </row>
    <row r="3862" spans="19:23">
      <c r="S3862" s="27">
        <v>44742</v>
      </c>
      <c r="T3862" s="773" t="s">
        <v>132</v>
      </c>
      <c r="U3862" s="773">
        <v>696</v>
      </c>
      <c r="V3862" s="773">
        <v>2087</v>
      </c>
      <c r="W3862" s="773" t="s">
        <v>390</v>
      </c>
    </row>
    <row r="3863" spans="19:23">
      <c r="S3863" s="27">
        <v>44742</v>
      </c>
      <c r="T3863" s="773" t="s">
        <v>132</v>
      </c>
      <c r="U3863" s="773">
        <v>155</v>
      </c>
      <c r="V3863" s="773">
        <v>2655</v>
      </c>
      <c r="W3863" s="773" t="s">
        <v>390</v>
      </c>
    </row>
    <row r="3864" spans="19:23">
      <c r="S3864" s="27">
        <v>44742</v>
      </c>
      <c r="T3864" s="773" t="s">
        <v>132</v>
      </c>
      <c r="U3864" s="773">
        <v>77</v>
      </c>
      <c r="V3864" s="773">
        <v>3502</v>
      </c>
      <c r="W3864" s="773" t="s">
        <v>390</v>
      </c>
    </row>
    <row r="3865" spans="19:23">
      <c r="S3865" s="27">
        <v>44377</v>
      </c>
      <c r="T3865" s="773" t="s">
        <v>132</v>
      </c>
      <c r="U3865" s="773">
        <v>272</v>
      </c>
      <c r="V3865" s="773">
        <v>1</v>
      </c>
      <c r="W3865" s="773" t="s">
        <v>410</v>
      </c>
    </row>
    <row r="3866" spans="19:23">
      <c r="S3866" s="27">
        <v>44377</v>
      </c>
      <c r="T3866" s="773" t="s">
        <v>132</v>
      </c>
      <c r="U3866" s="773">
        <v>194</v>
      </c>
      <c r="V3866" s="773">
        <v>3060</v>
      </c>
      <c r="W3866" s="773" t="s">
        <v>390</v>
      </c>
    </row>
    <row r="3867" spans="19:23">
      <c r="S3867" s="27">
        <v>44377</v>
      </c>
      <c r="T3867" s="773" t="s">
        <v>132</v>
      </c>
      <c r="U3867" s="773">
        <v>39</v>
      </c>
      <c r="V3867" s="773">
        <v>1</v>
      </c>
      <c r="W3867" s="773" t="s">
        <v>410</v>
      </c>
    </row>
    <row r="3868" spans="19:23">
      <c r="S3868" s="27">
        <v>44377</v>
      </c>
      <c r="T3868" s="773" t="s">
        <v>132</v>
      </c>
      <c r="U3868" s="773">
        <v>292</v>
      </c>
      <c r="V3868" s="773">
        <v>7</v>
      </c>
      <c r="W3868" s="773" t="s">
        <v>410</v>
      </c>
    </row>
    <row r="3869" spans="19:23">
      <c r="S3869" s="27">
        <v>44742</v>
      </c>
      <c r="T3869" s="773" t="s">
        <v>132</v>
      </c>
      <c r="U3869" s="773">
        <v>651</v>
      </c>
      <c r="V3869" s="773">
        <v>58</v>
      </c>
      <c r="W3869" s="773" t="s">
        <v>410</v>
      </c>
    </row>
    <row r="3870" spans="19:23">
      <c r="S3870" s="27">
        <v>44377</v>
      </c>
      <c r="T3870" s="773" t="s">
        <v>132</v>
      </c>
      <c r="U3870" s="773">
        <v>69</v>
      </c>
      <c r="V3870" s="773">
        <v>1</v>
      </c>
      <c r="W3870" s="773" t="s">
        <v>410</v>
      </c>
    </row>
    <row r="3871" spans="19:23">
      <c r="S3871" s="27">
        <v>44742</v>
      </c>
      <c r="T3871" s="773" t="s">
        <v>132</v>
      </c>
      <c r="U3871" s="773">
        <v>171</v>
      </c>
      <c r="V3871" s="773">
        <v>36</v>
      </c>
      <c r="W3871" s="773" t="s">
        <v>410</v>
      </c>
    </row>
    <row r="3872" spans="19:23">
      <c r="S3872" s="27">
        <v>44742</v>
      </c>
      <c r="T3872" s="773" t="s">
        <v>132</v>
      </c>
      <c r="U3872" s="773">
        <v>291</v>
      </c>
      <c r="V3872" s="773">
        <v>1991</v>
      </c>
      <c r="W3872" s="773" t="s">
        <v>390</v>
      </c>
    </row>
    <row r="3873" spans="19:23">
      <c r="S3873" s="27">
        <v>44742</v>
      </c>
      <c r="T3873" s="773" t="s">
        <v>132</v>
      </c>
      <c r="U3873" s="773">
        <v>290</v>
      </c>
      <c r="V3873" s="773">
        <v>566</v>
      </c>
      <c r="W3873" s="773" t="s">
        <v>390</v>
      </c>
    </row>
    <row r="3874" spans="19:23">
      <c r="S3874" s="27">
        <v>44377</v>
      </c>
      <c r="T3874" s="773" t="s">
        <v>132</v>
      </c>
      <c r="U3874" s="773">
        <v>691</v>
      </c>
      <c r="V3874" s="773">
        <v>2277</v>
      </c>
      <c r="W3874" s="773" t="s">
        <v>390</v>
      </c>
    </row>
    <row r="3875" spans="19:23">
      <c r="S3875" s="27">
        <v>44742</v>
      </c>
      <c r="T3875" s="773" t="s">
        <v>132</v>
      </c>
      <c r="U3875" s="773">
        <v>153</v>
      </c>
      <c r="V3875" s="773">
        <v>2326</v>
      </c>
      <c r="W3875" s="773" t="s">
        <v>390</v>
      </c>
    </row>
    <row r="3876" spans="19:23">
      <c r="S3876" s="27">
        <v>44742</v>
      </c>
      <c r="T3876" s="773" t="s">
        <v>132</v>
      </c>
      <c r="U3876" s="773">
        <v>231</v>
      </c>
      <c r="V3876" s="773">
        <v>2</v>
      </c>
      <c r="W3876" s="773" t="s">
        <v>410</v>
      </c>
    </row>
    <row r="3877" spans="19:23">
      <c r="S3877" s="27">
        <v>44377</v>
      </c>
      <c r="T3877" s="773" t="s">
        <v>132</v>
      </c>
      <c r="U3877" s="773">
        <v>53</v>
      </c>
      <c r="V3877" s="773">
        <v>1</v>
      </c>
      <c r="W3877" s="773" t="s">
        <v>410</v>
      </c>
    </row>
    <row r="3878" spans="19:23">
      <c r="S3878" s="27">
        <v>44742</v>
      </c>
      <c r="T3878" s="773" t="s">
        <v>132</v>
      </c>
      <c r="U3878" s="773">
        <v>305</v>
      </c>
      <c r="V3878" s="773">
        <v>5141</v>
      </c>
      <c r="W3878" s="773" t="s">
        <v>390</v>
      </c>
    </row>
    <row r="3879" spans="19:23">
      <c r="S3879" s="27">
        <v>44742</v>
      </c>
      <c r="T3879" s="773" t="s">
        <v>132</v>
      </c>
      <c r="U3879" s="773">
        <v>699</v>
      </c>
      <c r="V3879" s="773">
        <v>2204</v>
      </c>
      <c r="W3879" s="773" t="s">
        <v>390</v>
      </c>
    </row>
    <row r="3880" spans="19:23">
      <c r="S3880" s="27">
        <v>44377</v>
      </c>
      <c r="T3880" s="773" t="s">
        <v>132</v>
      </c>
      <c r="U3880" s="773">
        <v>155</v>
      </c>
      <c r="V3880" s="773">
        <v>2380</v>
      </c>
      <c r="W3880" s="773" t="s">
        <v>390</v>
      </c>
    </row>
    <row r="3881" spans="19:23">
      <c r="S3881" s="27">
        <v>44742</v>
      </c>
      <c r="T3881" s="773" t="s">
        <v>132</v>
      </c>
      <c r="U3881" s="773">
        <v>688</v>
      </c>
      <c r="V3881" s="773">
        <v>3633</v>
      </c>
      <c r="W3881" s="773" t="s">
        <v>390</v>
      </c>
    </row>
    <row r="3882" spans="19:23">
      <c r="S3882" s="27">
        <v>44377</v>
      </c>
      <c r="T3882" s="773" t="s">
        <v>132</v>
      </c>
      <c r="U3882" s="773">
        <v>252</v>
      </c>
      <c r="V3882" s="773">
        <v>1256</v>
      </c>
      <c r="W3882" s="773" t="s">
        <v>390</v>
      </c>
    </row>
    <row r="3883" spans="19:23">
      <c r="S3883" s="27">
        <v>44742</v>
      </c>
      <c r="T3883" s="773" t="s">
        <v>132</v>
      </c>
      <c r="U3883" s="773">
        <v>697</v>
      </c>
      <c r="V3883" s="773">
        <v>1415</v>
      </c>
      <c r="W3883" s="773" t="s">
        <v>390</v>
      </c>
    </row>
    <row r="3884" spans="19:23">
      <c r="S3884" s="27">
        <v>44742</v>
      </c>
      <c r="T3884" s="773" t="s">
        <v>132</v>
      </c>
      <c r="U3884" s="773">
        <v>136</v>
      </c>
      <c r="V3884" s="773">
        <v>9</v>
      </c>
      <c r="W3884" s="773" t="s">
        <v>410</v>
      </c>
    </row>
    <row r="3885" spans="19:23">
      <c r="S3885" s="27">
        <v>44377</v>
      </c>
      <c r="T3885" s="773" t="s">
        <v>132</v>
      </c>
      <c r="U3885" s="773">
        <v>256</v>
      </c>
      <c r="V3885" s="773">
        <v>746</v>
      </c>
      <c r="W3885" s="773" t="s">
        <v>390</v>
      </c>
    </row>
    <row r="3886" spans="19:23">
      <c r="S3886" s="27">
        <v>44377</v>
      </c>
      <c r="T3886" s="773" t="s">
        <v>132</v>
      </c>
      <c r="U3886" s="773">
        <v>58</v>
      </c>
      <c r="V3886" s="773">
        <v>3</v>
      </c>
      <c r="W3886" s="773" t="s">
        <v>410</v>
      </c>
    </row>
    <row r="3887" spans="19:23">
      <c r="S3887" s="27">
        <v>44742</v>
      </c>
      <c r="T3887" s="773" t="s">
        <v>132</v>
      </c>
      <c r="U3887" s="773">
        <v>81</v>
      </c>
      <c r="V3887" s="773">
        <v>6</v>
      </c>
      <c r="W3887" s="773" t="s">
        <v>410</v>
      </c>
    </row>
    <row r="3888" spans="19:23">
      <c r="S3888" s="27">
        <v>44377</v>
      </c>
      <c r="T3888" s="773" t="s">
        <v>132</v>
      </c>
      <c r="U3888" s="773">
        <v>232</v>
      </c>
      <c r="V3888" s="773">
        <v>136</v>
      </c>
      <c r="W3888" s="773" t="s">
        <v>390</v>
      </c>
    </row>
    <row r="3889" spans="19:23">
      <c r="S3889" s="27">
        <v>44742</v>
      </c>
      <c r="T3889" s="773" t="s">
        <v>132</v>
      </c>
      <c r="U3889" s="773">
        <v>710</v>
      </c>
      <c r="V3889" s="773">
        <v>285</v>
      </c>
      <c r="W3889" s="773" t="s">
        <v>390</v>
      </c>
    </row>
    <row r="3890" spans="19:23">
      <c r="S3890" s="27">
        <v>44742</v>
      </c>
      <c r="T3890" s="773" t="s">
        <v>132</v>
      </c>
      <c r="U3890" s="773">
        <v>40</v>
      </c>
      <c r="V3890" s="773">
        <v>10</v>
      </c>
      <c r="W3890" s="773" t="s">
        <v>410</v>
      </c>
    </row>
    <row r="3891" spans="19:23">
      <c r="S3891" s="27">
        <v>44377</v>
      </c>
      <c r="T3891" s="773" t="s">
        <v>132</v>
      </c>
      <c r="U3891" s="773">
        <v>253</v>
      </c>
      <c r="V3891" s="773">
        <v>3725</v>
      </c>
      <c r="W3891" s="773" t="s">
        <v>390</v>
      </c>
    </row>
    <row r="3892" spans="19:23">
      <c r="S3892" s="27">
        <v>44377</v>
      </c>
      <c r="T3892" s="773" t="s">
        <v>132</v>
      </c>
      <c r="U3892" s="773">
        <v>98</v>
      </c>
      <c r="V3892" s="773">
        <v>100</v>
      </c>
      <c r="W3892" s="773" t="s">
        <v>390</v>
      </c>
    </row>
    <row r="3893" spans="19:23">
      <c r="S3893" s="27">
        <v>44377</v>
      </c>
      <c r="T3893" s="773" t="s">
        <v>132</v>
      </c>
      <c r="U3893" s="773">
        <v>323</v>
      </c>
      <c r="V3893" s="773">
        <v>2685</v>
      </c>
      <c r="W3893" s="773" t="s">
        <v>390</v>
      </c>
    </row>
    <row r="3894" spans="19:23">
      <c r="S3894" s="27">
        <v>44377</v>
      </c>
      <c r="T3894" s="773" t="s">
        <v>132</v>
      </c>
      <c r="U3894" s="773">
        <v>87</v>
      </c>
      <c r="V3894" s="773">
        <v>12</v>
      </c>
      <c r="W3894" s="773" t="s">
        <v>410</v>
      </c>
    </row>
    <row r="3895" spans="19:23">
      <c r="S3895" s="27">
        <v>44742</v>
      </c>
      <c r="T3895" s="773" t="s">
        <v>132</v>
      </c>
      <c r="U3895" s="773">
        <v>320</v>
      </c>
      <c r="V3895" s="773">
        <v>1718</v>
      </c>
      <c r="W3895" s="773" t="s">
        <v>390</v>
      </c>
    </row>
    <row r="3896" spans="19:23">
      <c r="S3896" s="27">
        <v>44742</v>
      </c>
      <c r="T3896" s="773" t="s">
        <v>132</v>
      </c>
      <c r="U3896" s="773">
        <v>68</v>
      </c>
      <c r="V3896" s="773">
        <v>627</v>
      </c>
      <c r="W3896" s="773" t="s">
        <v>390</v>
      </c>
    </row>
    <row r="3897" spans="19:23">
      <c r="S3897" s="27">
        <v>44742</v>
      </c>
      <c r="T3897" s="773" t="s">
        <v>132</v>
      </c>
      <c r="U3897" s="773">
        <v>674</v>
      </c>
      <c r="V3897" s="773">
        <v>3917</v>
      </c>
      <c r="W3897" s="773" t="s">
        <v>390</v>
      </c>
    </row>
    <row r="3898" spans="19:23">
      <c r="S3898" s="27">
        <v>44377</v>
      </c>
      <c r="T3898" s="773" t="s">
        <v>132</v>
      </c>
      <c r="U3898" s="773">
        <v>342</v>
      </c>
      <c r="V3898" s="773">
        <v>2722</v>
      </c>
      <c r="W3898" s="773" t="s">
        <v>390</v>
      </c>
    </row>
    <row r="3899" spans="19:23">
      <c r="S3899" s="27">
        <v>44377</v>
      </c>
      <c r="T3899" s="773" t="s">
        <v>132</v>
      </c>
      <c r="U3899" s="773">
        <v>662</v>
      </c>
      <c r="V3899" s="773">
        <v>2799</v>
      </c>
      <c r="W3899" s="773" t="s">
        <v>390</v>
      </c>
    </row>
    <row r="3900" spans="19:23">
      <c r="S3900" s="27">
        <v>44742</v>
      </c>
      <c r="T3900" s="773" t="s">
        <v>132</v>
      </c>
      <c r="U3900" s="773">
        <v>83</v>
      </c>
      <c r="V3900" s="773">
        <v>2438</v>
      </c>
      <c r="W3900" s="773" t="s">
        <v>390</v>
      </c>
    </row>
    <row r="3901" spans="19:23">
      <c r="S3901" s="27">
        <v>44742</v>
      </c>
      <c r="T3901" s="773" t="s">
        <v>132</v>
      </c>
      <c r="U3901" s="773">
        <v>194</v>
      </c>
      <c r="V3901" s="773">
        <v>3954</v>
      </c>
      <c r="W3901" s="773" t="s">
        <v>390</v>
      </c>
    </row>
    <row r="3902" spans="19:23">
      <c r="S3902" s="27">
        <v>44377</v>
      </c>
      <c r="T3902" s="773" t="s">
        <v>132</v>
      </c>
      <c r="U3902" s="773">
        <v>41</v>
      </c>
      <c r="V3902" s="773">
        <v>1</v>
      </c>
      <c r="W3902" s="773" t="s">
        <v>410</v>
      </c>
    </row>
    <row r="3903" spans="19:23">
      <c r="S3903" s="27">
        <v>44377</v>
      </c>
      <c r="T3903" s="773" t="s">
        <v>132</v>
      </c>
      <c r="U3903" s="773">
        <v>699</v>
      </c>
      <c r="V3903" s="773">
        <v>2154</v>
      </c>
      <c r="W3903" s="773" t="s">
        <v>390</v>
      </c>
    </row>
    <row r="3904" spans="19:23">
      <c r="S3904" s="27">
        <v>44377</v>
      </c>
      <c r="T3904" s="773" t="s">
        <v>132</v>
      </c>
      <c r="U3904" s="773">
        <v>650</v>
      </c>
      <c r="V3904" s="773">
        <v>124</v>
      </c>
      <c r="W3904" s="773" t="s">
        <v>390</v>
      </c>
    </row>
    <row r="3905" spans="19:23">
      <c r="S3905" s="27">
        <v>44742</v>
      </c>
      <c r="T3905" s="773" t="s">
        <v>132</v>
      </c>
      <c r="U3905" s="773">
        <v>93</v>
      </c>
      <c r="V3905" s="773">
        <v>3105</v>
      </c>
      <c r="W3905" s="773" t="s">
        <v>390</v>
      </c>
    </row>
    <row r="3906" spans="19:23">
      <c r="S3906" s="27">
        <v>44742</v>
      </c>
      <c r="T3906" s="773" t="s">
        <v>132</v>
      </c>
      <c r="U3906" s="773">
        <v>35</v>
      </c>
      <c r="V3906" s="773">
        <v>883</v>
      </c>
      <c r="W3906" s="773" t="s">
        <v>390</v>
      </c>
    </row>
    <row r="3907" spans="19:23">
      <c r="S3907" s="27">
        <v>44742</v>
      </c>
      <c r="T3907" s="773" t="s">
        <v>132</v>
      </c>
      <c r="U3907" s="773">
        <v>60</v>
      </c>
      <c r="V3907" s="773">
        <v>1</v>
      </c>
      <c r="W3907" s="773" t="s">
        <v>410</v>
      </c>
    </row>
    <row r="3908" spans="19:23">
      <c r="S3908" s="27">
        <v>44742</v>
      </c>
      <c r="T3908" s="773" t="s">
        <v>132</v>
      </c>
      <c r="U3908" s="773">
        <v>243</v>
      </c>
      <c r="V3908" s="773">
        <v>354</v>
      </c>
      <c r="W3908" s="773" t="s">
        <v>390</v>
      </c>
    </row>
    <row r="3909" spans="19:23">
      <c r="S3909" s="27">
        <v>44377</v>
      </c>
      <c r="T3909" s="773" t="s">
        <v>132</v>
      </c>
      <c r="U3909" s="773">
        <v>697</v>
      </c>
      <c r="V3909" s="773">
        <v>2730</v>
      </c>
      <c r="W3909" s="773" t="s">
        <v>390</v>
      </c>
    </row>
    <row r="3910" spans="19:23">
      <c r="S3910" s="27">
        <v>44377</v>
      </c>
      <c r="T3910" s="773" t="s">
        <v>132</v>
      </c>
      <c r="U3910" s="773">
        <v>220</v>
      </c>
      <c r="V3910" s="773">
        <v>174</v>
      </c>
      <c r="W3910" s="773" t="s">
        <v>390</v>
      </c>
    </row>
    <row r="3911" spans="19:23">
      <c r="S3911" s="27">
        <v>44377</v>
      </c>
      <c r="T3911" s="773" t="s">
        <v>132</v>
      </c>
      <c r="U3911" s="773">
        <v>63</v>
      </c>
      <c r="V3911" s="773">
        <v>1</v>
      </c>
      <c r="W3911" s="773" t="s">
        <v>410</v>
      </c>
    </row>
    <row r="3912" spans="19:23">
      <c r="S3912" s="27">
        <v>44377</v>
      </c>
      <c r="T3912" s="773" t="s">
        <v>132</v>
      </c>
      <c r="U3912" s="773">
        <v>233</v>
      </c>
      <c r="V3912" s="773">
        <v>11606</v>
      </c>
      <c r="W3912" s="773" t="s">
        <v>390</v>
      </c>
    </row>
    <row r="3913" spans="19:23">
      <c r="S3913" s="27">
        <v>44742</v>
      </c>
      <c r="T3913" s="773" t="s">
        <v>132</v>
      </c>
      <c r="U3913" s="773">
        <v>650</v>
      </c>
      <c r="V3913" s="773">
        <v>21</v>
      </c>
      <c r="W3913" s="773" t="s">
        <v>410</v>
      </c>
    </row>
    <row r="3914" spans="19:23">
      <c r="S3914" s="27">
        <v>44377</v>
      </c>
      <c r="T3914" s="773" t="s">
        <v>132</v>
      </c>
      <c r="U3914" s="773">
        <v>296</v>
      </c>
      <c r="V3914" s="773">
        <v>2299</v>
      </c>
      <c r="W3914" s="773" t="s">
        <v>390</v>
      </c>
    </row>
    <row r="3915" spans="19:23">
      <c r="S3915" s="27">
        <v>44742</v>
      </c>
      <c r="T3915" s="773" t="s">
        <v>132</v>
      </c>
      <c r="U3915" s="773">
        <v>266</v>
      </c>
      <c r="V3915" s="773">
        <v>2598</v>
      </c>
      <c r="W3915" s="773" t="s">
        <v>390</v>
      </c>
    </row>
    <row r="3916" spans="19:23">
      <c r="S3916" s="27">
        <v>44377</v>
      </c>
      <c r="T3916" s="773" t="s">
        <v>132</v>
      </c>
      <c r="U3916" s="773">
        <v>269</v>
      </c>
      <c r="V3916" s="773">
        <v>1</v>
      </c>
      <c r="W3916" s="773" t="s">
        <v>410</v>
      </c>
    </row>
    <row r="3917" spans="19:23">
      <c r="S3917" s="27">
        <v>44377</v>
      </c>
      <c r="T3917" s="773" t="s">
        <v>132</v>
      </c>
      <c r="U3917" s="773">
        <v>297</v>
      </c>
      <c r="V3917" s="773">
        <v>77</v>
      </c>
      <c r="W3917" s="773" t="s">
        <v>410</v>
      </c>
    </row>
    <row r="3918" spans="19:23">
      <c r="S3918" s="27">
        <v>44742</v>
      </c>
      <c r="T3918" s="773" t="s">
        <v>132</v>
      </c>
      <c r="U3918" s="773">
        <v>667</v>
      </c>
      <c r="V3918" s="773">
        <v>2</v>
      </c>
      <c r="W3918" s="773" t="s">
        <v>410</v>
      </c>
    </row>
    <row r="3919" spans="19:23">
      <c r="S3919" s="27">
        <v>44377</v>
      </c>
      <c r="T3919" s="773" t="s">
        <v>132</v>
      </c>
      <c r="U3919" s="773">
        <v>204</v>
      </c>
      <c r="V3919" s="773">
        <v>22</v>
      </c>
      <c r="W3919" s="773" t="s">
        <v>410</v>
      </c>
    </row>
    <row r="3920" spans="19:23">
      <c r="S3920" s="27">
        <v>44742</v>
      </c>
      <c r="T3920" s="773" t="s">
        <v>132</v>
      </c>
      <c r="U3920" s="773">
        <v>191</v>
      </c>
      <c r="V3920" s="773">
        <v>697</v>
      </c>
      <c r="W3920" s="773" t="s">
        <v>390</v>
      </c>
    </row>
    <row r="3921" spans="19:23">
      <c r="S3921" s="27">
        <v>44377</v>
      </c>
      <c r="T3921" s="773" t="s">
        <v>132</v>
      </c>
      <c r="U3921" s="773">
        <v>102</v>
      </c>
      <c r="V3921" s="773">
        <v>4</v>
      </c>
      <c r="W3921" s="773" t="s">
        <v>410</v>
      </c>
    </row>
    <row r="3922" spans="19:23">
      <c r="S3922" s="27">
        <v>44377</v>
      </c>
      <c r="T3922" s="773" t="s">
        <v>132</v>
      </c>
      <c r="U3922" s="773">
        <v>130</v>
      </c>
      <c r="V3922" s="773">
        <v>1</v>
      </c>
      <c r="W3922" s="773" t="s">
        <v>410</v>
      </c>
    </row>
    <row r="3923" spans="19:23">
      <c r="S3923" s="27">
        <v>44742</v>
      </c>
      <c r="T3923" s="773" t="s">
        <v>132</v>
      </c>
      <c r="U3923" s="773">
        <v>319</v>
      </c>
      <c r="V3923" s="773">
        <v>3301</v>
      </c>
      <c r="W3923" s="773" t="s">
        <v>390</v>
      </c>
    </row>
    <row r="3924" spans="19:23">
      <c r="S3924" s="27">
        <v>44742</v>
      </c>
      <c r="T3924" s="773" t="s">
        <v>132</v>
      </c>
      <c r="U3924" s="773">
        <v>716</v>
      </c>
      <c r="V3924" s="773">
        <v>134</v>
      </c>
      <c r="W3924" s="773" t="s">
        <v>390</v>
      </c>
    </row>
    <row r="3925" spans="19:23">
      <c r="S3925" s="27">
        <v>44377</v>
      </c>
      <c r="T3925" s="773" t="s">
        <v>132</v>
      </c>
      <c r="U3925" s="773">
        <v>696</v>
      </c>
      <c r="V3925" s="773">
        <v>2198</v>
      </c>
      <c r="W3925" s="773" t="s">
        <v>390</v>
      </c>
    </row>
    <row r="3926" spans="19:23">
      <c r="S3926" s="27">
        <v>44377</v>
      </c>
      <c r="T3926" s="773" t="s">
        <v>132</v>
      </c>
      <c r="U3926" s="773">
        <v>266</v>
      </c>
      <c r="V3926" s="773">
        <v>2273</v>
      </c>
      <c r="W3926" s="773" t="s">
        <v>390</v>
      </c>
    </row>
    <row r="3927" spans="19:23">
      <c r="S3927" s="27">
        <v>44742</v>
      </c>
      <c r="T3927" s="773" t="s">
        <v>132</v>
      </c>
      <c r="U3927" s="773">
        <v>528</v>
      </c>
      <c r="V3927" s="773">
        <v>29</v>
      </c>
      <c r="W3927" s="773" t="s">
        <v>410</v>
      </c>
    </row>
    <row r="3928" spans="19:23">
      <c r="S3928" s="27">
        <v>44377</v>
      </c>
      <c r="T3928" s="773" t="s">
        <v>132</v>
      </c>
      <c r="U3928" s="773">
        <v>668</v>
      </c>
      <c r="V3928" s="773">
        <v>9</v>
      </c>
      <c r="W3928" s="773" t="s">
        <v>410</v>
      </c>
    </row>
    <row r="3929" spans="19:23">
      <c r="S3929" s="27">
        <v>44742</v>
      </c>
      <c r="T3929" s="773" t="s">
        <v>132</v>
      </c>
      <c r="U3929" s="773">
        <v>681</v>
      </c>
      <c r="V3929" s="773">
        <v>673</v>
      </c>
      <c r="W3929" s="773" t="s">
        <v>390</v>
      </c>
    </row>
    <row r="3930" spans="19:23">
      <c r="S3930" s="27">
        <v>44377</v>
      </c>
      <c r="T3930" s="773" t="s">
        <v>132</v>
      </c>
      <c r="U3930" s="773">
        <v>321</v>
      </c>
      <c r="V3930" s="773">
        <v>211</v>
      </c>
      <c r="W3930" s="773" t="s">
        <v>390</v>
      </c>
    </row>
    <row r="3931" spans="19:23">
      <c r="S3931" s="27">
        <v>44377</v>
      </c>
      <c r="T3931" s="773" t="s">
        <v>132</v>
      </c>
      <c r="U3931" s="773">
        <v>77</v>
      </c>
      <c r="V3931" s="773">
        <v>3294</v>
      </c>
      <c r="W3931" s="773" t="s">
        <v>390</v>
      </c>
    </row>
    <row r="3932" spans="19:23">
      <c r="S3932" s="27">
        <v>44377</v>
      </c>
      <c r="T3932" s="773" t="s">
        <v>132</v>
      </c>
      <c r="U3932" s="773">
        <v>666</v>
      </c>
      <c r="V3932" s="773">
        <v>1378</v>
      </c>
      <c r="W3932" s="773" t="s">
        <v>390</v>
      </c>
    </row>
    <row r="3933" spans="19:23">
      <c r="S3933" s="27">
        <v>44742</v>
      </c>
      <c r="T3933" s="773" t="s">
        <v>132</v>
      </c>
      <c r="U3933" s="773">
        <v>652</v>
      </c>
      <c r="V3933" s="773">
        <v>3750</v>
      </c>
      <c r="W3933" s="773" t="s">
        <v>390</v>
      </c>
    </row>
    <row r="3934" spans="19:23">
      <c r="S3934" s="27">
        <v>44742</v>
      </c>
      <c r="T3934" s="773" t="s">
        <v>132</v>
      </c>
      <c r="U3934" s="773">
        <v>694</v>
      </c>
      <c r="V3934" s="773">
        <v>1</v>
      </c>
      <c r="W3934" s="773" t="s">
        <v>410</v>
      </c>
    </row>
    <row r="3935" spans="19:23">
      <c r="S3935" s="27">
        <v>44377</v>
      </c>
      <c r="T3935" s="773" t="s">
        <v>132</v>
      </c>
      <c r="U3935" s="773">
        <v>658</v>
      </c>
      <c r="V3935" s="773">
        <v>2800</v>
      </c>
      <c r="W3935" s="773" t="s">
        <v>390</v>
      </c>
    </row>
    <row r="3936" spans="19:23">
      <c r="S3936" s="27">
        <v>44377</v>
      </c>
      <c r="T3936" s="773" t="s">
        <v>132</v>
      </c>
      <c r="U3936" s="773">
        <v>124</v>
      </c>
      <c r="V3936" s="773">
        <v>9</v>
      </c>
      <c r="W3936" s="773" t="s">
        <v>410</v>
      </c>
    </row>
    <row r="3937" spans="19:23">
      <c r="S3937" s="27">
        <v>44377</v>
      </c>
      <c r="T3937" s="773" t="s">
        <v>132</v>
      </c>
      <c r="U3937" s="773">
        <v>162</v>
      </c>
      <c r="V3937" s="773">
        <v>2442</v>
      </c>
      <c r="W3937" s="773" t="s">
        <v>390</v>
      </c>
    </row>
    <row r="3938" spans="19:23">
      <c r="S3938" s="27">
        <v>44742</v>
      </c>
      <c r="T3938" s="773" t="s">
        <v>132</v>
      </c>
      <c r="U3938" s="773">
        <v>237</v>
      </c>
      <c r="V3938" s="773">
        <v>1</v>
      </c>
      <c r="W3938" s="773" t="s">
        <v>410</v>
      </c>
    </row>
    <row r="3939" spans="19:23">
      <c r="S3939" s="27">
        <v>44377</v>
      </c>
      <c r="T3939" s="773" t="s">
        <v>132</v>
      </c>
      <c r="U3939" s="773">
        <v>183</v>
      </c>
      <c r="V3939" s="773">
        <v>2263</v>
      </c>
      <c r="W3939" s="773" t="s">
        <v>390</v>
      </c>
    </row>
    <row r="3940" spans="19:23">
      <c r="S3940" s="27">
        <v>44742</v>
      </c>
      <c r="T3940" s="773" t="s">
        <v>132</v>
      </c>
      <c r="U3940" s="773">
        <v>292</v>
      </c>
      <c r="V3940" s="773">
        <v>4</v>
      </c>
      <c r="W3940" s="773" t="s">
        <v>410</v>
      </c>
    </row>
    <row r="3941" spans="19:23">
      <c r="S3941" s="27">
        <v>44742</v>
      </c>
      <c r="T3941" s="773" t="s">
        <v>132</v>
      </c>
      <c r="U3941" s="773">
        <v>279</v>
      </c>
      <c r="V3941" s="773">
        <v>3</v>
      </c>
      <c r="W3941" s="773" t="s">
        <v>410</v>
      </c>
    </row>
    <row r="3942" spans="19:23">
      <c r="S3942" s="27">
        <v>44377</v>
      </c>
      <c r="T3942" s="773" t="s">
        <v>132</v>
      </c>
      <c r="U3942" s="773">
        <v>324</v>
      </c>
      <c r="V3942" s="773">
        <v>135</v>
      </c>
      <c r="W3942" s="773" t="s">
        <v>390</v>
      </c>
    </row>
    <row r="3943" spans="19:23">
      <c r="S3943" s="27">
        <v>44377</v>
      </c>
      <c r="T3943" s="773" t="s">
        <v>132</v>
      </c>
      <c r="U3943" s="773">
        <v>110</v>
      </c>
      <c r="V3943" s="773">
        <v>1</v>
      </c>
      <c r="W3943" s="773" t="s">
        <v>410</v>
      </c>
    </row>
    <row r="3944" spans="19:23">
      <c r="S3944" s="27">
        <v>44377</v>
      </c>
      <c r="T3944" s="773" t="s">
        <v>132</v>
      </c>
      <c r="U3944" s="773">
        <v>68</v>
      </c>
      <c r="V3944" s="773">
        <v>349</v>
      </c>
      <c r="W3944" s="773" t="s">
        <v>390</v>
      </c>
    </row>
    <row r="3945" spans="19:23">
      <c r="S3945" s="27">
        <v>44377</v>
      </c>
      <c r="T3945" s="773" t="s">
        <v>132</v>
      </c>
      <c r="U3945" s="773">
        <v>222</v>
      </c>
      <c r="V3945" s="773">
        <v>2</v>
      </c>
      <c r="W3945" s="773" t="s">
        <v>410</v>
      </c>
    </row>
    <row r="3946" spans="19:23">
      <c r="S3946" s="27">
        <v>44742</v>
      </c>
      <c r="T3946" s="773" t="s">
        <v>132</v>
      </c>
      <c r="U3946" s="773">
        <v>89</v>
      </c>
      <c r="V3946" s="773">
        <v>1119</v>
      </c>
      <c r="W3946" s="773" t="s">
        <v>390</v>
      </c>
    </row>
    <row r="3947" spans="19:23">
      <c r="S3947" s="27">
        <v>44742</v>
      </c>
      <c r="T3947" s="773" t="s">
        <v>132</v>
      </c>
      <c r="U3947" s="773">
        <v>678</v>
      </c>
      <c r="V3947" s="773">
        <v>2965</v>
      </c>
      <c r="W3947" s="773" t="s">
        <v>390</v>
      </c>
    </row>
    <row r="3948" spans="19:23">
      <c r="S3948" s="27">
        <v>44742</v>
      </c>
      <c r="T3948" s="773" t="s">
        <v>132</v>
      </c>
      <c r="U3948" s="773">
        <v>308</v>
      </c>
      <c r="V3948" s="773">
        <v>2133</v>
      </c>
      <c r="W3948" s="773" t="s">
        <v>390</v>
      </c>
    </row>
    <row r="3949" spans="19:23">
      <c r="S3949" s="27">
        <v>44742</v>
      </c>
      <c r="T3949" s="773" t="s">
        <v>132</v>
      </c>
      <c r="U3949" s="773">
        <v>230</v>
      </c>
      <c r="V3949" s="773">
        <v>1</v>
      </c>
      <c r="W3949" s="773" t="s">
        <v>410</v>
      </c>
    </row>
    <row r="3950" spans="19:23">
      <c r="S3950" s="27">
        <v>44377</v>
      </c>
      <c r="T3950" s="773" t="s">
        <v>132</v>
      </c>
      <c r="U3950" s="773">
        <v>188</v>
      </c>
      <c r="V3950" s="773">
        <v>429</v>
      </c>
      <c r="W3950" s="773" t="s">
        <v>390</v>
      </c>
    </row>
    <row r="3951" spans="19:23">
      <c r="S3951" s="27">
        <v>44377</v>
      </c>
      <c r="T3951" s="773" t="s">
        <v>132</v>
      </c>
      <c r="U3951" s="773">
        <v>76</v>
      </c>
      <c r="V3951" s="773">
        <v>2658</v>
      </c>
      <c r="W3951" s="773" t="s">
        <v>390</v>
      </c>
    </row>
    <row r="3952" spans="19:23">
      <c r="S3952" s="27">
        <v>44742</v>
      </c>
      <c r="T3952" s="773" t="s">
        <v>132</v>
      </c>
      <c r="U3952" s="773">
        <v>69</v>
      </c>
      <c r="V3952" s="773">
        <v>1</v>
      </c>
      <c r="W3952" s="773" t="s">
        <v>410</v>
      </c>
    </row>
    <row r="3953" spans="19:23">
      <c r="S3953" s="27">
        <v>44377</v>
      </c>
      <c r="T3953" s="773" t="s">
        <v>132</v>
      </c>
      <c r="U3953" s="773">
        <v>663</v>
      </c>
      <c r="V3953" s="773">
        <v>1127</v>
      </c>
      <c r="W3953" s="773" t="s">
        <v>390</v>
      </c>
    </row>
    <row r="3954" spans="19:23">
      <c r="S3954" s="27">
        <v>44742</v>
      </c>
      <c r="T3954" s="773" t="s">
        <v>132</v>
      </c>
      <c r="U3954" s="773">
        <v>327</v>
      </c>
      <c r="V3954" s="773">
        <v>2</v>
      </c>
      <c r="W3954" s="773" t="s">
        <v>410</v>
      </c>
    </row>
    <row r="3955" spans="19:23">
      <c r="S3955" s="27">
        <v>44377</v>
      </c>
      <c r="T3955" s="773" t="s">
        <v>132</v>
      </c>
      <c r="U3955" s="773">
        <v>83</v>
      </c>
      <c r="V3955" s="773">
        <v>2114</v>
      </c>
      <c r="W3955" s="773" t="s">
        <v>390</v>
      </c>
    </row>
    <row r="3956" spans="19:23">
      <c r="S3956" s="27">
        <v>44377</v>
      </c>
      <c r="T3956" s="773" t="s">
        <v>132</v>
      </c>
      <c r="U3956" s="773">
        <v>169</v>
      </c>
      <c r="V3956" s="773">
        <v>2451</v>
      </c>
      <c r="W3956" s="773" t="s">
        <v>390</v>
      </c>
    </row>
    <row r="3957" spans="19:23">
      <c r="S3957" s="27">
        <v>44377</v>
      </c>
      <c r="T3957" s="773" t="s">
        <v>132</v>
      </c>
      <c r="U3957" s="773">
        <v>621</v>
      </c>
      <c r="V3957" s="773">
        <v>2395</v>
      </c>
      <c r="W3957" s="773" t="s">
        <v>390</v>
      </c>
    </row>
    <row r="3958" spans="19:23">
      <c r="S3958" s="27">
        <v>44377</v>
      </c>
      <c r="T3958" s="773" t="s">
        <v>132</v>
      </c>
      <c r="U3958" s="773">
        <v>150</v>
      </c>
      <c r="V3958" s="773">
        <v>776</v>
      </c>
      <c r="W3958" s="773" t="s">
        <v>390</v>
      </c>
    </row>
    <row r="3959" spans="19:23">
      <c r="S3959" s="27">
        <v>44742</v>
      </c>
      <c r="T3959" s="773" t="s">
        <v>132</v>
      </c>
      <c r="U3959" s="773">
        <v>229</v>
      </c>
      <c r="V3959" s="773">
        <v>1</v>
      </c>
      <c r="W3959" s="773" t="s">
        <v>410</v>
      </c>
    </row>
    <row r="3960" spans="19:23">
      <c r="S3960" s="27">
        <v>44377</v>
      </c>
      <c r="T3960" s="773" t="s">
        <v>132</v>
      </c>
      <c r="U3960" s="773">
        <v>250</v>
      </c>
      <c r="V3960" s="773">
        <v>2</v>
      </c>
      <c r="W3960" s="773" t="s">
        <v>410</v>
      </c>
    </row>
    <row r="3961" spans="19:23">
      <c r="S3961" s="27">
        <v>44742</v>
      </c>
      <c r="T3961" s="773" t="s">
        <v>132</v>
      </c>
      <c r="U3961" s="773">
        <v>249</v>
      </c>
      <c r="V3961" s="773">
        <v>3607</v>
      </c>
      <c r="W3961" s="773" t="s">
        <v>390</v>
      </c>
    </row>
    <row r="3962" spans="19:23">
      <c r="S3962" s="27">
        <v>44377</v>
      </c>
      <c r="T3962" s="773" t="s">
        <v>132</v>
      </c>
      <c r="U3962" s="773">
        <v>56</v>
      </c>
      <c r="V3962" s="773">
        <v>43</v>
      </c>
      <c r="W3962" s="773" t="s">
        <v>410</v>
      </c>
    </row>
    <row r="3963" spans="19:23">
      <c r="S3963" s="27">
        <v>44742</v>
      </c>
      <c r="T3963" s="773" t="s">
        <v>132</v>
      </c>
      <c r="U3963" s="773">
        <v>59</v>
      </c>
      <c r="V3963" s="773">
        <v>2</v>
      </c>
      <c r="W3963" s="773" t="s">
        <v>410</v>
      </c>
    </row>
    <row r="3964" spans="19:23">
      <c r="S3964" s="27">
        <v>44742</v>
      </c>
      <c r="T3964" s="773" t="s">
        <v>132</v>
      </c>
      <c r="U3964" s="773">
        <v>108</v>
      </c>
      <c r="V3964" s="773">
        <v>6</v>
      </c>
      <c r="W3964" s="773" t="s">
        <v>410</v>
      </c>
    </row>
    <row r="3965" spans="19:23">
      <c r="S3965" s="27">
        <v>44742</v>
      </c>
      <c r="T3965" s="773" t="s">
        <v>132</v>
      </c>
      <c r="U3965" s="773">
        <v>204</v>
      </c>
      <c r="V3965" s="773">
        <v>8</v>
      </c>
      <c r="W3965" s="773" t="s">
        <v>410</v>
      </c>
    </row>
    <row r="3966" spans="19:23">
      <c r="S3966" s="27">
        <v>44742</v>
      </c>
      <c r="T3966" s="773" t="s">
        <v>132</v>
      </c>
      <c r="U3966" s="773">
        <v>246</v>
      </c>
      <c r="V3966" s="773">
        <v>2</v>
      </c>
      <c r="W3966" s="773" t="s">
        <v>410</v>
      </c>
    </row>
    <row r="3967" spans="19:23">
      <c r="S3967" s="27">
        <v>44377</v>
      </c>
      <c r="T3967" s="773" t="s">
        <v>132</v>
      </c>
      <c r="U3967" s="773">
        <v>92</v>
      </c>
      <c r="V3967" s="773">
        <v>2489</v>
      </c>
      <c r="W3967" s="773" t="s">
        <v>390</v>
      </c>
    </row>
    <row r="3968" spans="19:23">
      <c r="S3968" s="27">
        <v>44377</v>
      </c>
      <c r="T3968" s="773" t="s">
        <v>132</v>
      </c>
      <c r="U3968" s="773">
        <v>89</v>
      </c>
      <c r="V3968" s="773">
        <v>1144</v>
      </c>
      <c r="W3968" s="773" t="s">
        <v>390</v>
      </c>
    </row>
    <row r="3969" spans="19:23">
      <c r="S3969" s="27">
        <v>44742</v>
      </c>
      <c r="T3969" s="773" t="s">
        <v>132</v>
      </c>
      <c r="U3969" s="773">
        <v>232</v>
      </c>
      <c r="V3969" s="773">
        <v>3</v>
      </c>
      <c r="W3969" s="773" t="s">
        <v>410</v>
      </c>
    </row>
    <row r="3970" spans="19:23">
      <c r="S3970" s="27">
        <v>44377</v>
      </c>
      <c r="T3970" s="773" t="s">
        <v>132</v>
      </c>
      <c r="U3970" s="773">
        <v>191</v>
      </c>
      <c r="V3970" s="773">
        <v>1929</v>
      </c>
      <c r="W3970" s="773" t="s">
        <v>390</v>
      </c>
    </row>
    <row r="3971" spans="19:23">
      <c r="S3971" s="27">
        <v>44377</v>
      </c>
      <c r="T3971" s="773" t="s">
        <v>132</v>
      </c>
      <c r="U3971" s="773">
        <v>64</v>
      </c>
      <c r="V3971" s="773">
        <v>5</v>
      </c>
      <c r="W3971" s="773" t="s">
        <v>410</v>
      </c>
    </row>
    <row r="3972" spans="19:23">
      <c r="S3972" s="27">
        <v>44377</v>
      </c>
      <c r="T3972" s="773" t="s">
        <v>132</v>
      </c>
      <c r="U3972" s="773">
        <v>309</v>
      </c>
      <c r="V3972" s="773">
        <v>15</v>
      </c>
      <c r="W3972" s="773" t="s">
        <v>410</v>
      </c>
    </row>
    <row r="3973" spans="19:23">
      <c r="S3973" s="27">
        <v>44377</v>
      </c>
      <c r="T3973" s="773" t="s">
        <v>132</v>
      </c>
      <c r="U3973" s="773">
        <v>195</v>
      </c>
      <c r="V3973" s="773">
        <v>1</v>
      </c>
      <c r="W3973" s="773" t="s">
        <v>410</v>
      </c>
    </row>
    <row r="3974" spans="19:23">
      <c r="S3974" s="27">
        <v>44742</v>
      </c>
      <c r="T3974" s="773" t="s">
        <v>132</v>
      </c>
      <c r="U3974" s="773">
        <v>44</v>
      </c>
      <c r="V3974" s="773">
        <v>2222</v>
      </c>
      <c r="W3974" s="773" t="s">
        <v>390</v>
      </c>
    </row>
    <row r="3975" spans="19:23">
      <c r="S3975" s="27">
        <v>44377</v>
      </c>
      <c r="T3975" s="773" t="s">
        <v>132</v>
      </c>
      <c r="U3975" s="773">
        <v>193</v>
      </c>
      <c r="V3975" s="773">
        <v>380</v>
      </c>
      <c r="W3975" s="773" t="s">
        <v>390</v>
      </c>
    </row>
    <row r="3976" spans="19:23">
      <c r="S3976" s="27">
        <v>44742</v>
      </c>
      <c r="T3976" s="773" t="s">
        <v>132</v>
      </c>
      <c r="U3976" s="773">
        <v>239</v>
      </c>
      <c r="V3976" s="773">
        <v>7</v>
      </c>
      <c r="W3976" s="773" t="s">
        <v>410</v>
      </c>
    </row>
    <row r="3977" spans="19:23">
      <c r="S3977" s="27">
        <v>44377</v>
      </c>
      <c r="T3977" s="773" t="s">
        <v>132</v>
      </c>
      <c r="U3977" s="773">
        <v>108</v>
      </c>
      <c r="V3977" s="773">
        <v>1</v>
      </c>
      <c r="W3977" s="773" t="s">
        <v>410</v>
      </c>
    </row>
    <row r="3978" spans="19:23">
      <c r="S3978" s="27">
        <v>44377</v>
      </c>
      <c r="T3978" s="773" t="s">
        <v>132</v>
      </c>
      <c r="U3978" s="773">
        <v>59</v>
      </c>
      <c r="V3978" s="773">
        <v>84</v>
      </c>
      <c r="W3978" s="773" t="s">
        <v>410</v>
      </c>
    </row>
    <row r="3979" spans="19:23">
      <c r="S3979" s="27">
        <v>44377</v>
      </c>
      <c r="T3979" s="773" t="s">
        <v>132</v>
      </c>
      <c r="U3979" s="773">
        <v>688</v>
      </c>
      <c r="V3979" s="773">
        <v>2339</v>
      </c>
      <c r="W3979" s="773" t="s">
        <v>390</v>
      </c>
    </row>
    <row r="3980" spans="19:23">
      <c r="S3980" s="27">
        <v>44742</v>
      </c>
      <c r="T3980" s="773" t="s">
        <v>132</v>
      </c>
      <c r="U3980" s="773">
        <v>641</v>
      </c>
      <c r="V3980" s="773">
        <v>2275</v>
      </c>
      <c r="W3980" s="773" t="s">
        <v>390</v>
      </c>
    </row>
    <row r="3981" spans="19:23">
      <c r="S3981" s="27">
        <v>44377</v>
      </c>
      <c r="T3981" s="773" t="s">
        <v>132</v>
      </c>
      <c r="U3981" s="773">
        <v>202</v>
      </c>
      <c r="V3981" s="773">
        <v>1</v>
      </c>
      <c r="W3981" s="773" t="s">
        <v>410</v>
      </c>
    </row>
    <row r="3982" spans="19:23">
      <c r="S3982" s="27">
        <v>44377</v>
      </c>
      <c r="T3982" s="773" t="s">
        <v>132</v>
      </c>
      <c r="U3982" s="773">
        <v>322</v>
      </c>
      <c r="V3982" s="773">
        <v>2080</v>
      </c>
      <c r="W3982" s="773" t="s">
        <v>390</v>
      </c>
    </row>
    <row r="3983" spans="19:23">
      <c r="S3983" s="27">
        <v>44742</v>
      </c>
      <c r="T3983" s="773" t="s">
        <v>132</v>
      </c>
      <c r="U3983" s="773">
        <v>124</v>
      </c>
      <c r="V3983" s="773">
        <v>5</v>
      </c>
      <c r="W3983" s="773" t="s">
        <v>410</v>
      </c>
    </row>
    <row r="3984" spans="19:23">
      <c r="S3984" s="27">
        <v>44742</v>
      </c>
      <c r="T3984" s="773" t="s">
        <v>132</v>
      </c>
      <c r="U3984" s="773">
        <v>0</v>
      </c>
      <c r="V3984" s="773">
        <v>43</v>
      </c>
      <c r="W3984" s="773" t="s">
        <v>410</v>
      </c>
    </row>
    <row r="3985" spans="19:23">
      <c r="S3985" s="27">
        <v>44742</v>
      </c>
      <c r="T3985" s="773" t="s">
        <v>132</v>
      </c>
      <c r="U3985" s="773">
        <v>326</v>
      </c>
      <c r="V3985" s="773">
        <v>2799</v>
      </c>
      <c r="W3985" s="773" t="s">
        <v>390</v>
      </c>
    </row>
    <row r="3986" spans="19:23">
      <c r="S3986" s="27">
        <v>44742</v>
      </c>
      <c r="T3986" s="773" t="s">
        <v>132</v>
      </c>
      <c r="U3986" s="773">
        <v>140</v>
      </c>
      <c r="V3986" s="773">
        <v>405</v>
      </c>
      <c r="W3986" s="773" t="s">
        <v>390</v>
      </c>
    </row>
    <row r="3987" spans="19:23">
      <c r="S3987" s="27">
        <v>44377</v>
      </c>
      <c r="T3987" s="773" t="s">
        <v>132</v>
      </c>
      <c r="U3987" s="773">
        <v>218</v>
      </c>
      <c r="V3987" s="773">
        <v>1019</v>
      </c>
      <c r="W3987" s="773" t="s">
        <v>390</v>
      </c>
    </row>
    <row r="3988" spans="19:23">
      <c r="S3988" s="27">
        <v>44742</v>
      </c>
      <c r="T3988" s="773" t="s">
        <v>132</v>
      </c>
      <c r="U3988" s="773">
        <v>367</v>
      </c>
      <c r="V3988" s="773">
        <v>1</v>
      </c>
      <c r="W3988" s="773" t="s">
        <v>410</v>
      </c>
    </row>
    <row r="3989" spans="19:23">
      <c r="S3989" s="27">
        <v>44742</v>
      </c>
      <c r="T3989" s="773" t="s">
        <v>132</v>
      </c>
      <c r="U3989" s="773">
        <v>195</v>
      </c>
      <c r="V3989" s="773">
        <v>1</v>
      </c>
      <c r="W3989" s="773" t="s">
        <v>410</v>
      </c>
    </row>
    <row r="3990" spans="19:23">
      <c r="S3990" s="27">
        <v>44377</v>
      </c>
      <c r="T3990" s="773" t="s">
        <v>132</v>
      </c>
      <c r="U3990" s="773">
        <v>319</v>
      </c>
      <c r="V3990" s="773">
        <v>1763</v>
      </c>
      <c r="W3990" s="773" t="s">
        <v>390</v>
      </c>
    </row>
    <row r="3991" spans="19:23">
      <c r="S3991" s="27">
        <v>44377</v>
      </c>
      <c r="T3991" s="773" t="s">
        <v>132</v>
      </c>
      <c r="U3991" s="773">
        <v>681</v>
      </c>
      <c r="V3991" s="773">
        <v>840</v>
      </c>
      <c r="W3991" s="773" t="s">
        <v>390</v>
      </c>
    </row>
    <row r="3992" spans="19:23">
      <c r="S3992" s="27">
        <v>44742</v>
      </c>
      <c r="T3992" s="773" t="s">
        <v>132</v>
      </c>
      <c r="U3992" s="773">
        <v>218</v>
      </c>
      <c r="V3992" s="773">
        <v>141</v>
      </c>
      <c r="W3992" s="773" t="s">
        <v>390</v>
      </c>
    </row>
    <row r="3993" spans="19:23">
      <c r="S3993" s="27">
        <v>44742</v>
      </c>
      <c r="T3993" s="773" t="s">
        <v>132</v>
      </c>
      <c r="U3993" s="773">
        <v>706</v>
      </c>
      <c r="V3993" s="773">
        <v>1211</v>
      </c>
      <c r="W3993" s="773" t="s">
        <v>390</v>
      </c>
    </row>
    <row r="3994" spans="19:23">
      <c r="S3994" s="27">
        <v>44377</v>
      </c>
      <c r="T3994" s="773" t="s">
        <v>132</v>
      </c>
      <c r="U3994" s="773">
        <v>308</v>
      </c>
      <c r="V3994" s="773">
        <v>643</v>
      </c>
      <c r="W3994" s="773" t="s">
        <v>390</v>
      </c>
    </row>
    <row r="3995" spans="19:23">
      <c r="S3995" s="27">
        <v>44377</v>
      </c>
      <c r="T3995" s="773" t="s">
        <v>132</v>
      </c>
      <c r="U3995" s="773">
        <v>679</v>
      </c>
      <c r="V3995" s="773">
        <v>4</v>
      </c>
      <c r="W3995" s="773" t="s">
        <v>410</v>
      </c>
    </row>
    <row r="3996" spans="19:23">
      <c r="S3996" s="27">
        <v>44377</v>
      </c>
      <c r="T3996" s="773" t="s">
        <v>132</v>
      </c>
      <c r="U3996" s="773">
        <v>91</v>
      </c>
      <c r="V3996" s="773">
        <v>2</v>
      </c>
      <c r="W3996" s="773" t="s">
        <v>410</v>
      </c>
    </row>
    <row r="3997" spans="19:23">
      <c r="S3997" s="27">
        <v>44742</v>
      </c>
      <c r="T3997" s="773" t="s">
        <v>132</v>
      </c>
      <c r="U3997" s="773">
        <v>105</v>
      </c>
      <c r="V3997" s="773">
        <v>2</v>
      </c>
      <c r="W3997" s="773" t="s">
        <v>410</v>
      </c>
    </row>
    <row r="3998" spans="19:23">
      <c r="S3998" s="27">
        <v>44742</v>
      </c>
      <c r="T3998" s="773" t="s">
        <v>132</v>
      </c>
      <c r="U3998" s="773">
        <v>703</v>
      </c>
      <c r="V3998" s="773">
        <v>3387</v>
      </c>
      <c r="W3998" s="773" t="s">
        <v>390</v>
      </c>
    </row>
    <row r="3999" spans="19:23">
      <c r="S3999" s="27">
        <v>44742</v>
      </c>
      <c r="T3999" s="773" t="s">
        <v>132</v>
      </c>
      <c r="U3999" s="773">
        <v>84</v>
      </c>
      <c r="V3999" s="773">
        <v>2528</v>
      </c>
      <c r="W3999" s="773" t="s">
        <v>390</v>
      </c>
    </row>
    <row r="4000" spans="19:23">
      <c r="S4000" s="27">
        <v>44377</v>
      </c>
      <c r="T4000" s="773" t="s">
        <v>132</v>
      </c>
      <c r="U4000" s="773">
        <v>317</v>
      </c>
      <c r="V4000" s="773">
        <v>148</v>
      </c>
      <c r="W4000" s="773" t="s">
        <v>390</v>
      </c>
    </row>
    <row r="4001" spans="19:23">
      <c r="S4001" s="27">
        <v>44742</v>
      </c>
      <c r="T4001" s="773" t="s">
        <v>132</v>
      </c>
      <c r="U4001" s="773">
        <v>220</v>
      </c>
      <c r="V4001" s="773">
        <v>71</v>
      </c>
      <c r="W4001" s="773" t="s">
        <v>410</v>
      </c>
    </row>
    <row r="4002" spans="19:23">
      <c r="S4002" s="27">
        <v>44377</v>
      </c>
      <c r="T4002" s="773" t="s">
        <v>132</v>
      </c>
      <c r="U4002" s="773">
        <v>213</v>
      </c>
      <c r="V4002" s="773">
        <v>2813</v>
      </c>
      <c r="W4002" s="773" t="s">
        <v>390</v>
      </c>
    </row>
    <row r="4003" spans="19:23">
      <c r="S4003" s="27">
        <v>44377</v>
      </c>
      <c r="T4003" s="773" t="s">
        <v>132</v>
      </c>
      <c r="U4003" s="773">
        <v>622</v>
      </c>
      <c r="V4003" s="773">
        <v>1</v>
      </c>
      <c r="W4003" s="773" t="s">
        <v>410</v>
      </c>
    </row>
    <row r="4004" spans="19:23">
      <c r="S4004" s="27">
        <v>44742</v>
      </c>
      <c r="T4004" s="773" t="s">
        <v>132</v>
      </c>
      <c r="U4004" s="773">
        <v>523</v>
      </c>
      <c r="V4004" s="773">
        <v>1</v>
      </c>
      <c r="W4004" s="773" t="s">
        <v>410</v>
      </c>
    </row>
    <row r="4005" spans="19:23">
      <c r="S4005" s="27">
        <v>44377</v>
      </c>
      <c r="T4005" s="773" t="s">
        <v>132</v>
      </c>
      <c r="U4005" s="773">
        <v>304</v>
      </c>
      <c r="V4005" s="773">
        <v>103</v>
      </c>
      <c r="W4005" s="773" t="s">
        <v>390</v>
      </c>
    </row>
    <row r="4006" spans="19:23">
      <c r="S4006" s="27">
        <v>44377</v>
      </c>
      <c r="T4006" s="773" t="s">
        <v>132</v>
      </c>
      <c r="U4006" s="773">
        <v>243</v>
      </c>
      <c r="V4006" s="773">
        <v>654</v>
      </c>
      <c r="W4006" s="773" t="s">
        <v>390</v>
      </c>
    </row>
    <row r="4007" spans="19:23">
      <c r="S4007" s="27">
        <v>44377</v>
      </c>
      <c r="T4007" s="773" t="s">
        <v>132</v>
      </c>
      <c r="U4007" s="773">
        <v>267</v>
      </c>
      <c r="V4007" s="773">
        <v>1</v>
      </c>
      <c r="W4007" s="773" t="s">
        <v>410</v>
      </c>
    </row>
    <row r="4008" spans="19:23">
      <c r="S4008" s="27">
        <v>44742</v>
      </c>
      <c r="T4008" s="773" t="s">
        <v>132</v>
      </c>
      <c r="U4008" s="773">
        <v>87</v>
      </c>
      <c r="V4008" s="773">
        <v>2</v>
      </c>
      <c r="W4008" s="773" t="s">
        <v>410</v>
      </c>
    </row>
    <row r="4009" spans="19:23">
      <c r="S4009" s="27">
        <v>44377</v>
      </c>
      <c r="T4009" s="773" t="s">
        <v>132</v>
      </c>
      <c r="U4009" s="773">
        <v>671</v>
      </c>
      <c r="V4009" s="773">
        <v>2189</v>
      </c>
      <c r="W4009" s="773" t="s">
        <v>390</v>
      </c>
    </row>
    <row r="4010" spans="19:23">
      <c r="S4010" s="27">
        <v>44742</v>
      </c>
      <c r="T4010" s="773" t="s">
        <v>132</v>
      </c>
      <c r="U4010" s="773">
        <v>73</v>
      </c>
      <c r="V4010" s="773">
        <v>2</v>
      </c>
      <c r="W4010" s="773" t="s">
        <v>410</v>
      </c>
    </row>
    <row r="4011" spans="19:23">
      <c r="S4011" s="27">
        <v>44377</v>
      </c>
      <c r="T4011" s="773" t="s">
        <v>132</v>
      </c>
      <c r="U4011" s="773">
        <v>676</v>
      </c>
      <c r="V4011" s="773">
        <v>1</v>
      </c>
      <c r="W4011" s="773" t="s">
        <v>410</v>
      </c>
    </row>
    <row r="4012" spans="19:23">
      <c r="S4012" s="27">
        <v>44377</v>
      </c>
      <c r="T4012" s="773" t="s">
        <v>132</v>
      </c>
      <c r="U4012" s="773">
        <v>320</v>
      </c>
      <c r="V4012" s="773">
        <v>131</v>
      </c>
      <c r="W4012" s="773" t="s">
        <v>390</v>
      </c>
    </row>
    <row r="4013" spans="19:23">
      <c r="S4013" s="27">
        <v>44377</v>
      </c>
      <c r="T4013" s="773" t="s">
        <v>132</v>
      </c>
      <c r="U4013" s="773">
        <v>14</v>
      </c>
      <c r="V4013" s="773">
        <v>2</v>
      </c>
      <c r="W4013" s="773" t="s">
        <v>410</v>
      </c>
    </row>
    <row r="4014" spans="19:23">
      <c r="S4014" s="27">
        <v>44377</v>
      </c>
      <c r="T4014" s="773" t="s">
        <v>132</v>
      </c>
      <c r="U4014" s="773">
        <v>315</v>
      </c>
      <c r="V4014" s="773">
        <v>116</v>
      </c>
      <c r="W4014" s="773" t="s">
        <v>390</v>
      </c>
    </row>
    <row r="4015" spans="19:23">
      <c r="S4015" s="27">
        <v>44377</v>
      </c>
      <c r="T4015" s="773" t="s">
        <v>132</v>
      </c>
      <c r="U4015" s="773">
        <v>81</v>
      </c>
      <c r="V4015" s="773">
        <v>4</v>
      </c>
      <c r="W4015" s="773" t="s">
        <v>410</v>
      </c>
    </row>
    <row r="4016" spans="19:23">
      <c r="S4016" s="27">
        <v>44377</v>
      </c>
      <c r="T4016" s="773" t="s">
        <v>132</v>
      </c>
      <c r="U4016" s="773">
        <v>265</v>
      </c>
      <c r="V4016" s="773">
        <v>1621</v>
      </c>
      <c r="W4016" s="773" t="s">
        <v>390</v>
      </c>
    </row>
    <row r="4017" spans="19:23">
      <c r="S4017" s="27">
        <v>44377</v>
      </c>
      <c r="T4017" s="773" t="s">
        <v>132</v>
      </c>
      <c r="U4017" s="773">
        <v>132</v>
      </c>
      <c r="V4017" s="773">
        <v>2660</v>
      </c>
      <c r="W4017" s="773" t="s">
        <v>390</v>
      </c>
    </row>
    <row r="4018" spans="19:23">
      <c r="S4018" s="27">
        <v>44377</v>
      </c>
      <c r="T4018" s="773" t="s">
        <v>132</v>
      </c>
      <c r="U4018" s="773">
        <v>271</v>
      </c>
      <c r="V4018" s="773">
        <v>2304</v>
      </c>
      <c r="W4018" s="773" t="s">
        <v>390</v>
      </c>
    </row>
    <row r="4019" spans="19:23">
      <c r="S4019" s="27">
        <v>44377</v>
      </c>
      <c r="T4019" s="773" t="s">
        <v>132</v>
      </c>
      <c r="U4019" s="773">
        <v>35</v>
      </c>
      <c r="V4019" s="773">
        <v>883</v>
      </c>
      <c r="W4019" s="773" t="s">
        <v>390</v>
      </c>
    </row>
    <row r="4020" spans="19:23">
      <c r="S4020" s="27">
        <v>44742</v>
      </c>
      <c r="T4020" s="773" t="s">
        <v>132</v>
      </c>
      <c r="U4020" s="773">
        <v>323</v>
      </c>
      <c r="V4020" s="773">
        <v>3110</v>
      </c>
      <c r="W4020" s="773" t="s">
        <v>390</v>
      </c>
    </row>
    <row r="4021" spans="19:23">
      <c r="S4021" s="27">
        <v>44742</v>
      </c>
      <c r="T4021" s="773" t="s">
        <v>132</v>
      </c>
      <c r="U4021" s="773">
        <v>157</v>
      </c>
      <c r="V4021" s="773">
        <v>7</v>
      </c>
      <c r="W4021" s="773" t="s">
        <v>410</v>
      </c>
    </row>
    <row r="4022" spans="19:23">
      <c r="S4022" s="27">
        <v>44742</v>
      </c>
      <c r="T4022" s="773" t="s">
        <v>132</v>
      </c>
      <c r="U4022" s="773">
        <v>253</v>
      </c>
      <c r="V4022" s="773">
        <v>10</v>
      </c>
      <c r="W4022" s="773" t="s">
        <v>410</v>
      </c>
    </row>
    <row r="4023" spans="19:23">
      <c r="S4023" s="27">
        <v>44377</v>
      </c>
      <c r="T4023" s="773" t="s">
        <v>132</v>
      </c>
      <c r="U4023" s="773">
        <v>43</v>
      </c>
      <c r="V4023" s="773">
        <v>2993</v>
      </c>
      <c r="W4023" s="773" t="s">
        <v>390</v>
      </c>
    </row>
    <row r="4024" spans="19:23">
      <c r="S4024" s="27">
        <v>44377</v>
      </c>
      <c r="T4024" s="773" t="s">
        <v>132</v>
      </c>
      <c r="U4024" s="773">
        <v>645</v>
      </c>
      <c r="V4024" s="773">
        <v>2387</v>
      </c>
      <c r="W4024" s="773" t="s">
        <v>390</v>
      </c>
    </row>
    <row r="4025" spans="19:23">
      <c r="S4025" s="27">
        <v>44377</v>
      </c>
      <c r="T4025" s="773" t="s">
        <v>132</v>
      </c>
      <c r="U4025" s="773">
        <v>149</v>
      </c>
      <c r="V4025" s="773">
        <v>2</v>
      </c>
      <c r="W4025" s="773" t="s">
        <v>410</v>
      </c>
    </row>
    <row r="4026" spans="19:23">
      <c r="S4026" s="27">
        <v>44377</v>
      </c>
      <c r="T4026" s="773" t="s">
        <v>132</v>
      </c>
      <c r="U4026" s="773">
        <v>299</v>
      </c>
      <c r="V4026" s="773">
        <v>1</v>
      </c>
      <c r="W4026" s="773" t="s">
        <v>410</v>
      </c>
    </row>
    <row r="4027" spans="19:23">
      <c r="S4027" s="27">
        <v>44742</v>
      </c>
      <c r="T4027" s="773" t="s">
        <v>132</v>
      </c>
      <c r="U4027" s="773">
        <v>707</v>
      </c>
      <c r="V4027" s="773">
        <v>176</v>
      </c>
      <c r="W4027" s="773" t="s">
        <v>390</v>
      </c>
    </row>
    <row r="4028" spans="19:23">
      <c r="S4028" s="27">
        <v>44377</v>
      </c>
      <c r="T4028" s="773" t="s">
        <v>132</v>
      </c>
      <c r="U4028" s="773">
        <v>84</v>
      </c>
      <c r="V4028" s="773">
        <v>2354</v>
      </c>
      <c r="W4028" s="773" t="s">
        <v>390</v>
      </c>
    </row>
    <row r="4029" spans="19:23">
      <c r="S4029" s="27">
        <v>44742</v>
      </c>
      <c r="T4029" s="773" t="s">
        <v>132</v>
      </c>
      <c r="U4029" s="773">
        <v>271</v>
      </c>
      <c r="V4029" s="773">
        <v>2765</v>
      </c>
      <c r="W4029" s="773" t="s">
        <v>390</v>
      </c>
    </row>
    <row r="4030" spans="19:23">
      <c r="S4030" s="27">
        <v>44742</v>
      </c>
      <c r="T4030" s="773" t="s">
        <v>132</v>
      </c>
      <c r="U4030" s="773">
        <v>304</v>
      </c>
      <c r="V4030" s="773">
        <v>111</v>
      </c>
      <c r="W4030" s="773" t="s">
        <v>390</v>
      </c>
    </row>
    <row r="4031" spans="19:23">
      <c r="S4031" s="27">
        <v>44377</v>
      </c>
      <c r="T4031" s="773" t="s">
        <v>132</v>
      </c>
      <c r="U4031" s="773">
        <v>46</v>
      </c>
      <c r="V4031" s="773">
        <v>2716</v>
      </c>
      <c r="W4031" s="773" t="s">
        <v>390</v>
      </c>
    </row>
    <row r="4032" spans="19:23">
      <c r="S4032" s="27">
        <v>44742</v>
      </c>
      <c r="T4032" s="773" t="s">
        <v>132</v>
      </c>
      <c r="U4032" s="773">
        <v>658</v>
      </c>
      <c r="V4032" s="773">
        <v>3641</v>
      </c>
      <c r="W4032" s="773" t="s">
        <v>390</v>
      </c>
    </row>
    <row r="4033" spans="19:23">
      <c r="S4033" s="27">
        <v>44377</v>
      </c>
      <c r="T4033" s="773" t="s">
        <v>132</v>
      </c>
      <c r="U4033" s="773">
        <v>687</v>
      </c>
      <c r="V4033" s="773">
        <v>630</v>
      </c>
      <c r="W4033" s="773" t="s">
        <v>390</v>
      </c>
    </row>
    <row r="4034" spans="19:23">
      <c r="S4034" s="27">
        <v>44742</v>
      </c>
      <c r="T4034" s="773" t="s">
        <v>132</v>
      </c>
      <c r="U4034" s="773">
        <v>133</v>
      </c>
      <c r="V4034" s="773">
        <v>5</v>
      </c>
      <c r="W4034" s="773" t="s">
        <v>410</v>
      </c>
    </row>
    <row r="4035" spans="19:23">
      <c r="S4035" s="27">
        <v>44377</v>
      </c>
      <c r="T4035" s="773" t="s">
        <v>132</v>
      </c>
      <c r="U4035" s="773">
        <v>654</v>
      </c>
      <c r="V4035" s="773">
        <v>2387</v>
      </c>
      <c r="W4035" s="773" t="s">
        <v>390</v>
      </c>
    </row>
    <row r="4036" spans="19:23">
      <c r="S4036" s="27">
        <v>44742</v>
      </c>
      <c r="T4036" s="773" t="s">
        <v>132</v>
      </c>
      <c r="U4036" s="773">
        <v>203</v>
      </c>
      <c r="V4036" s="773">
        <v>2700</v>
      </c>
      <c r="W4036" s="773" t="s">
        <v>390</v>
      </c>
    </row>
    <row r="4037" spans="19:23">
      <c r="S4037" s="27">
        <v>44377</v>
      </c>
      <c r="T4037" s="773" t="s">
        <v>132</v>
      </c>
      <c r="U4037" s="773">
        <v>305</v>
      </c>
      <c r="V4037" s="773">
        <v>3838</v>
      </c>
      <c r="W4037" s="773" t="s">
        <v>390</v>
      </c>
    </row>
    <row r="4038" spans="19:23">
      <c r="S4038" s="27">
        <v>44377</v>
      </c>
      <c r="T4038" s="773" t="s">
        <v>132</v>
      </c>
      <c r="U4038" s="773">
        <v>70</v>
      </c>
      <c r="V4038" s="773">
        <v>239</v>
      </c>
      <c r="W4038" s="773" t="s">
        <v>390</v>
      </c>
    </row>
    <row r="4039" spans="19:23">
      <c r="S4039" s="27">
        <v>44377</v>
      </c>
      <c r="T4039" s="773" t="s">
        <v>132</v>
      </c>
      <c r="U4039" s="773">
        <v>641</v>
      </c>
      <c r="V4039" s="773">
        <v>3210</v>
      </c>
      <c r="W4039" s="773" t="s">
        <v>390</v>
      </c>
    </row>
    <row r="4040" spans="19:23">
      <c r="S4040" s="27">
        <v>44377</v>
      </c>
      <c r="T4040" s="773" t="s">
        <v>132</v>
      </c>
      <c r="U4040" s="773">
        <v>651</v>
      </c>
      <c r="V4040" s="773">
        <v>331</v>
      </c>
      <c r="W4040" s="773" t="s">
        <v>390</v>
      </c>
    </row>
    <row r="4041" spans="19:23">
      <c r="S4041" s="27">
        <v>44742</v>
      </c>
      <c r="T4041" s="773" t="s">
        <v>132</v>
      </c>
      <c r="U4041" s="773">
        <v>70</v>
      </c>
      <c r="V4041" s="773">
        <v>216</v>
      </c>
      <c r="W4041" s="773" t="s">
        <v>390</v>
      </c>
    </row>
    <row r="4042" spans="19:23">
      <c r="S4042" s="27">
        <v>44742</v>
      </c>
      <c r="T4042" s="773" t="s">
        <v>132</v>
      </c>
      <c r="U4042" s="773">
        <v>64</v>
      </c>
      <c r="V4042" s="773">
        <v>1</v>
      </c>
      <c r="W4042" s="773" t="s">
        <v>410</v>
      </c>
    </row>
    <row r="4043" spans="19:23">
      <c r="S4043" s="27">
        <v>44742</v>
      </c>
      <c r="T4043" s="773" t="s">
        <v>132</v>
      </c>
      <c r="U4043" s="773">
        <v>660</v>
      </c>
      <c r="V4043" s="773">
        <v>1</v>
      </c>
      <c r="W4043" s="773" t="s">
        <v>410</v>
      </c>
    </row>
    <row r="4044" spans="19:23">
      <c r="S4044" s="27">
        <v>44742</v>
      </c>
      <c r="T4044" s="773" t="s">
        <v>132</v>
      </c>
      <c r="U4044" s="773">
        <v>132</v>
      </c>
      <c r="V4044" s="773">
        <v>2684</v>
      </c>
      <c r="W4044" s="773" t="s">
        <v>390</v>
      </c>
    </row>
    <row r="4045" spans="19:23">
      <c r="S4045" s="27">
        <v>44377</v>
      </c>
      <c r="T4045" s="773" t="s">
        <v>132</v>
      </c>
      <c r="U4045" s="773">
        <v>61</v>
      </c>
      <c r="V4045" s="773">
        <v>1</v>
      </c>
      <c r="W4045" s="773" t="s">
        <v>410</v>
      </c>
    </row>
    <row r="4046" spans="19:23">
      <c r="S4046" s="27">
        <v>44742</v>
      </c>
      <c r="T4046" s="773" t="s">
        <v>132</v>
      </c>
      <c r="U4046" s="773">
        <v>41</v>
      </c>
      <c r="V4046" s="773">
        <v>1</v>
      </c>
      <c r="W4046" s="773" t="s">
        <v>410</v>
      </c>
    </row>
    <row r="4047" spans="19:23">
      <c r="S4047" s="27">
        <v>44377</v>
      </c>
      <c r="T4047" s="773" t="s">
        <v>132</v>
      </c>
      <c r="U4047" s="773">
        <v>200</v>
      </c>
      <c r="V4047" s="773">
        <v>4</v>
      </c>
      <c r="W4047" s="773" t="s">
        <v>410</v>
      </c>
    </row>
    <row r="4048" spans="19:23">
      <c r="S4048" s="27">
        <v>44377</v>
      </c>
      <c r="T4048" s="773" t="s">
        <v>132</v>
      </c>
      <c r="U4048" s="773">
        <v>626</v>
      </c>
      <c r="V4048" s="773">
        <v>4</v>
      </c>
      <c r="W4048" s="773" t="s">
        <v>410</v>
      </c>
    </row>
    <row r="4049" spans="19:23">
      <c r="S4049" s="27">
        <v>44742</v>
      </c>
      <c r="T4049" s="773" t="s">
        <v>132</v>
      </c>
      <c r="U4049" s="773">
        <v>662</v>
      </c>
      <c r="V4049" s="773">
        <v>685</v>
      </c>
      <c r="W4049" s="773" t="s">
        <v>390</v>
      </c>
    </row>
    <row r="4050" spans="19:23">
      <c r="S4050" s="27">
        <v>44742</v>
      </c>
      <c r="T4050" s="773" t="s">
        <v>132</v>
      </c>
      <c r="U4050" s="773">
        <v>303</v>
      </c>
      <c r="V4050" s="773">
        <v>2551</v>
      </c>
      <c r="W4050" s="773" t="s">
        <v>390</v>
      </c>
    </row>
    <row r="4051" spans="19:23">
      <c r="S4051" s="27">
        <v>44377</v>
      </c>
      <c r="T4051" s="773" t="s">
        <v>132</v>
      </c>
      <c r="U4051" s="773">
        <v>182</v>
      </c>
      <c r="V4051" s="773">
        <v>916</v>
      </c>
      <c r="W4051" s="773" t="s">
        <v>390</v>
      </c>
    </row>
    <row r="4052" spans="19:23">
      <c r="S4052" s="27">
        <v>44377</v>
      </c>
      <c r="T4052" s="773" t="s">
        <v>132</v>
      </c>
      <c r="U4052" s="773">
        <v>0</v>
      </c>
      <c r="V4052" s="773">
        <v>38</v>
      </c>
      <c r="W4052" s="773" t="s">
        <v>410</v>
      </c>
    </row>
    <row r="4053" spans="19:23">
      <c r="S4053" s="27">
        <v>44742</v>
      </c>
      <c r="T4053" s="773" t="s">
        <v>132</v>
      </c>
      <c r="U4053" s="773">
        <v>317</v>
      </c>
      <c r="V4053" s="773">
        <v>3563</v>
      </c>
      <c r="W4053" s="773" t="s">
        <v>390</v>
      </c>
    </row>
    <row r="4054" spans="19:23">
      <c r="S4054" s="27">
        <v>44377</v>
      </c>
      <c r="T4054" s="773" t="s">
        <v>132</v>
      </c>
      <c r="U4054" s="773">
        <v>678</v>
      </c>
      <c r="V4054" s="773">
        <v>2541</v>
      </c>
      <c r="W4054" s="773" t="s">
        <v>390</v>
      </c>
    </row>
    <row r="4055" spans="19:23">
      <c r="S4055" s="27">
        <v>44742</v>
      </c>
      <c r="T4055" s="773" t="s">
        <v>132</v>
      </c>
      <c r="U4055" s="773">
        <v>48</v>
      </c>
      <c r="V4055" s="773">
        <v>654</v>
      </c>
      <c r="W4055" s="773" t="s">
        <v>390</v>
      </c>
    </row>
    <row r="4056" spans="19:23">
      <c r="S4056" s="27">
        <v>44742</v>
      </c>
      <c r="T4056" s="773" t="s">
        <v>132</v>
      </c>
      <c r="U4056" s="773">
        <v>98</v>
      </c>
      <c r="V4056" s="773">
        <v>33</v>
      </c>
      <c r="W4056" s="773" t="s">
        <v>410</v>
      </c>
    </row>
    <row r="4057" spans="19:23">
      <c r="S4057" s="27">
        <v>44742</v>
      </c>
      <c r="T4057" s="773" t="s">
        <v>132</v>
      </c>
      <c r="U4057" s="773">
        <v>252</v>
      </c>
      <c r="V4057" s="773">
        <v>869</v>
      </c>
      <c r="W4057" s="773" t="s">
        <v>390</v>
      </c>
    </row>
    <row r="4058" spans="19:23">
      <c r="S4058" s="27">
        <v>44377</v>
      </c>
      <c r="T4058" s="773" t="s">
        <v>132</v>
      </c>
      <c r="U4058" s="773">
        <v>140</v>
      </c>
      <c r="V4058" s="773">
        <v>320</v>
      </c>
      <c r="W4058" s="773" t="s">
        <v>390</v>
      </c>
    </row>
    <row r="4059" spans="19:23">
      <c r="S4059" s="27">
        <v>44742</v>
      </c>
      <c r="T4059" s="773" t="s">
        <v>132</v>
      </c>
      <c r="U4059" s="773">
        <v>183</v>
      </c>
      <c r="V4059" s="773">
        <v>611</v>
      </c>
      <c r="W4059" s="773" t="s">
        <v>390</v>
      </c>
    </row>
    <row r="4060" spans="19:23">
      <c r="S4060" s="27">
        <v>44742</v>
      </c>
      <c r="T4060" s="773" t="s">
        <v>132</v>
      </c>
      <c r="U4060" s="773">
        <v>265</v>
      </c>
      <c r="V4060" s="773">
        <v>21</v>
      </c>
      <c r="W4060" s="773" t="s">
        <v>410</v>
      </c>
    </row>
    <row r="4061" spans="19:23">
      <c r="S4061" s="27">
        <v>44742</v>
      </c>
      <c r="T4061" s="773" t="s">
        <v>132</v>
      </c>
      <c r="U4061" s="773">
        <v>72</v>
      </c>
      <c r="V4061" s="773">
        <v>7</v>
      </c>
      <c r="W4061" s="773" t="s">
        <v>410</v>
      </c>
    </row>
    <row r="4062" spans="19:23">
      <c r="S4062" s="27">
        <v>44377</v>
      </c>
      <c r="T4062" s="773" t="s">
        <v>132</v>
      </c>
      <c r="U4062" s="773">
        <v>152</v>
      </c>
      <c r="V4062" s="773">
        <v>2</v>
      </c>
      <c r="W4062" s="773" t="s">
        <v>410</v>
      </c>
    </row>
    <row r="4063" spans="19:23">
      <c r="S4063" s="27">
        <v>44742</v>
      </c>
      <c r="T4063" s="773" t="s">
        <v>132</v>
      </c>
      <c r="U4063" s="773">
        <v>182</v>
      </c>
      <c r="V4063" s="773">
        <v>176</v>
      </c>
      <c r="W4063" s="773" t="s">
        <v>390</v>
      </c>
    </row>
    <row r="4064" spans="19:23">
      <c r="S4064" s="27">
        <v>44377</v>
      </c>
      <c r="T4064" s="773" t="s">
        <v>132</v>
      </c>
      <c r="U4064" s="773">
        <v>636</v>
      </c>
      <c r="V4064" s="773">
        <v>17</v>
      </c>
      <c r="W4064" s="773" t="s">
        <v>410</v>
      </c>
    </row>
    <row r="4065" spans="19:23">
      <c r="S4065" s="27">
        <v>44377</v>
      </c>
      <c r="T4065" s="773" t="s">
        <v>132</v>
      </c>
      <c r="U4065" s="773">
        <v>306</v>
      </c>
      <c r="V4065" s="773">
        <v>2271</v>
      </c>
      <c r="W4065" s="773" t="s">
        <v>390</v>
      </c>
    </row>
    <row r="4066" spans="19:23">
      <c r="S4066" s="27">
        <v>44377</v>
      </c>
      <c r="T4066" s="773" t="s">
        <v>132</v>
      </c>
      <c r="U4066" s="773">
        <v>13</v>
      </c>
      <c r="V4066" s="773">
        <v>3583</v>
      </c>
      <c r="W4066" s="773" t="s">
        <v>390</v>
      </c>
    </row>
    <row r="4067" spans="19:23">
      <c r="S4067" s="27">
        <v>44377</v>
      </c>
      <c r="T4067" s="773" t="s">
        <v>132</v>
      </c>
      <c r="U4067" s="773">
        <v>73</v>
      </c>
      <c r="V4067" s="773">
        <v>2</v>
      </c>
      <c r="W4067" s="773" t="s">
        <v>410</v>
      </c>
    </row>
    <row r="4068" spans="19:23">
      <c r="S4068" s="27">
        <v>44377</v>
      </c>
      <c r="T4068" s="773" t="s">
        <v>132</v>
      </c>
      <c r="U4068" s="773">
        <v>670</v>
      </c>
      <c r="V4068" s="773">
        <v>3342</v>
      </c>
      <c r="W4068" s="773" t="s">
        <v>390</v>
      </c>
    </row>
    <row r="4069" spans="19:23">
      <c r="S4069" s="27">
        <v>44742</v>
      </c>
      <c r="T4069" s="773" t="s">
        <v>132</v>
      </c>
      <c r="U4069" s="773">
        <v>13</v>
      </c>
      <c r="V4069" s="773">
        <v>2795</v>
      </c>
      <c r="W4069" s="773" t="s">
        <v>390</v>
      </c>
    </row>
    <row r="4070" spans="19:23">
      <c r="S4070" s="27">
        <v>44377</v>
      </c>
      <c r="T4070" s="773" t="s">
        <v>132</v>
      </c>
      <c r="U4070" s="773">
        <v>72</v>
      </c>
      <c r="V4070" s="773">
        <v>3</v>
      </c>
      <c r="W4070" s="773" t="s">
        <v>410</v>
      </c>
    </row>
    <row r="4071" spans="19:23">
      <c r="S4071" s="27">
        <v>44742</v>
      </c>
      <c r="T4071" s="773" t="s">
        <v>132</v>
      </c>
      <c r="U4071" s="773">
        <v>676</v>
      </c>
      <c r="V4071" s="773">
        <v>1</v>
      </c>
      <c r="W4071" s="773" t="s">
        <v>410</v>
      </c>
    </row>
    <row r="4072" spans="19:23">
      <c r="S4072" s="27">
        <v>44377</v>
      </c>
      <c r="T4072" s="773" t="s">
        <v>132</v>
      </c>
      <c r="U4072" s="773">
        <v>325</v>
      </c>
      <c r="V4072" s="773">
        <v>2868</v>
      </c>
      <c r="W4072" s="773" t="s">
        <v>390</v>
      </c>
    </row>
    <row r="4073" spans="19:23">
      <c r="S4073" s="27">
        <v>44742</v>
      </c>
      <c r="T4073" s="773" t="s">
        <v>132</v>
      </c>
      <c r="U4073" s="773">
        <v>297</v>
      </c>
      <c r="V4073" s="773">
        <v>696</v>
      </c>
      <c r="W4073" s="773" t="s">
        <v>390</v>
      </c>
    </row>
    <row r="4074" spans="19:23">
      <c r="S4074" s="27">
        <v>44742</v>
      </c>
      <c r="T4074" s="773" t="s">
        <v>132</v>
      </c>
      <c r="U4074" s="773">
        <v>86</v>
      </c>
      <c r="V4074" s="773">
        <v>3</v>
      </c>
      <c r="W4074" s="773" t="s">
        <v>410</v>
      </c>
    </row>
    <row r="4075" spans="19:23">
      <c r="S4075" s="27">
        <v>44408</v>
      </c>
      <c r="T4075" s="773" t="s">
        <v>132</v>
      </c>
      <c r="U4075" s="773">
        <v>158</v>
      </c>
      <c r="V4075" s="773">
        <v>74</v>
      </c>
      <c r="W4075" s="773" t="s">
        <v>410</v>
      </c>
    </row>
    <row r="4076" spans="19:23">
      <c r="S4076" s="27">
        <v>44408</v>
      </c>
      <c r="T4076" s="773" t="s">
        <v>132</v>
      </c>
      <c r="U4076" s="773">
        <v>636</v>
      </c>
      <c r="V4076" s="773">
        <v>18</v>
      </c>
      <c r="W4076" s="773" t="s">
        <v>410</v>
      </c>
    </row>
    <row r="4077" spans="19:23">
      <c r="S4077" s="27">
        <v>44408</v>
      </c>
      <c r="T4077" s="773" t="s">
        <v>132</v>
      </c>
      <c r="U4077" s="773">
        <v>91</v>
      </c>
      <c r="V4077" s="773">
        <v>2</v>
      </c>
      <c r="W4077" s="773" t="s">
        <v>410</v>
      </c>
    </row>
    <row r="4078" spans="19:23">
      <c r="S4078" s="27">
        <v>44773</v>
      </c>
      <c r="T4078" s="773" t="s">
        <v>132</v>
      </c>
      <c r="U4078" s="773">
        <v>98</v>
      </c>
      <c r="V4078" s="773">
        <v>32</v>
      </c>
      <c r="W4078" s="773" t="s">
        <v>410</v>
      </c>
    </row>
    <row r="4079" spans="19:23">
      <c r="S4079" s="27">
        <v>44408</v>
      </c>
      <c r="T4079" s="773" t="s">
        <v>132</v>
      </c>
      <c r="U4079" s="773">
        <v>292</v>
      </c>
      <c r="V4079" s="773">
        <v>7</v>
      </c>
      <c r="W4079" s="773" t="s">
        <v>410</v>
      </c>
    </row>
    <row r="4080" spans="19:23">
      <c r="S4080" s="27">
        <v>44773</v>
      </c>
      <c r="T4080" s="773" t="s">
        <v>132</v>
      </c>
      <c r="U4080" s="773">
        <v>658</v>
      </c>
      <c r="V4080" s="773">
        <v>3623</v>
      </c>
      <c r="W4080" s="773" t="s">
        <v>390</v>
      </c>
    </row>
    <row r="4081" spans="19:23">
      <c r="S4081" s="27">
        <v>44773</v>
      </c>
      <c r="T4081" s="773" t="s">
        <v>132</v>
      </c>
      <c r="U4081" s="773">
        <v>291</v>
      </c>
      <c r="V4081" s="773">
        <v>1962</v>
      </c>
      <c r="W4081" s="773" t="s">
        <v>390</v>
      </c>
    </row>
    <row r="4082" spans="19:23">
      <c r="S4082" s="27">
        <v>44773</v>
      </c>
      <c r="T4082" s="773" t="s">
        <v>132</v>
      </c>
      <c r="U4082" s="773">
        <v>183</v>
      </c>
      <c r="V4082" s="773">
        <v>606</v>
      </c>
      <c r="W4082" s="773" t="s">
        <v>390</v>
      </c>
    </row>
    <row r="4083" spans="19:23">
      <c r="S4083" s="27">
        <v>44773</v>
      </c>
      <c r="T4083" s="773" t="s">
        <v>132</v>
      </c>
      <c r="U4083" s="773">
        <v>700</v>
      </c>
      <c r="V4083" s="773">
        <v>2792</v>
      </c>
      <c r="W4083" s="773" t="s">
        <v>390</v>
      </c>
    </row>
    <row r="4084" spans="19:23">
      <c r="S4084" s="27">
        <v>44773</v>
      </c>
      <c r="T4084" s="773" t="s">
        <v>132</v>
      </c>
      <c r="U4084" s="773">
        <v>82</v>
      </c>
      <c r="V4084" s="773">
        <v>2405</v>
      </c>
      <c r="W4084" s="773" t="s">
        <v>390</v>
      </c>
    </row>
    <row r="4085" spans="19:23">
      <c r="S4085" s="27">
        <v>44773</v>
      </c>
      <c r="T4085" s="773" t="s">
        <v>132</v>
      </c>
      <c r="U4085" s="773">
        <v>159</v>
      </c>
      <c r="V4085" s="773">
        <v>9</v>
      </c>
      <c r="W4085" s="773" t="s">
        <v>410</v>
      </c>
    </row>
    <row r="4086" spans="19:23">
      <c r="S4086" s="27">
        <v>44408</v>
      </c>
      <c r="T4086" s="773" t="s">
        <v>132</v>
      </c>
      <c r="U4086" s="773">
        <v>267</v>
      </c>
      <c r="V4086" s="773">
        <v>1</v>
      </c>
      <c r="W4086" s="773" t="s">
        <v>410</v>
      </c>
    </row>
    <row r="4087" spans="19:23">
      <c r="S4087" s="27">
        <v>44408</v>
      </c>
      <c r="T4087" s="773" t="s">
        <v>132</v>
      </c>
      <c r="U4087" s="773">
        <v>145</v>
      </c>
      <c r="V4087" s="773">
        <v>2</v>
      </c>
      <c r="W4087" s="773" t="s">
        <v>410</v>
      </c>
    </row>
    <row r="4088" spans="19:23">
      <c r="S4088" s="27">
        <v>44773</v>
      </c>
      <c r="T4088" s="773" t="s">
        <v>132</v>
      </c>
      <c r="U4088" s="773">
        <v>78</v>
      </c>
      <c r="V4088" s="773">
        <v>3</v>
      </c>
      <c r="W4088" s="773" t="s">
        <v>410</v>
      </c>
    </row>
    <row r="4089" spans="19:23">
      <c r="S4089" s="27">
        <v>44408</v>
      </c>
      <c r="T4089" s="773" t="s">
        <v>132</v>
      </c>
      <c r="U4089" s="773">
        <v>306</v>
      </c>
      <c r="V4089" s="773">
        <v>2290</v>
      </c>
      <c r="W4089" s="773" t="s">
        <v>390</v>
      </c>
    </row>
    <row r="4090" spans="19:23">
      <c r="S4090" s="27">
        <v>44408</v>
      </c>
      <c r="T4090" s="773" t="s">
        <v>132</v>
      </c>
      <c r="U4090" s="773">
        <v>317</v>
      </c>
      <c r="V4090" s="773">
        <v>160</v>
      </c>
      <c r="W4090" s="773" t="s">
        <v>390</v>
      </c>
    </row>
    <row r="4091" spans="19:23">
      <c r="S4091" s="27">
        <v>44773</v>
      </c>
      <c r="T4091" s="773" t="s">
        <v>132</v>
      </c>
      <c r="U4091" s="773">
        <v>158</v>
      </c>
      <c r="V4091" s="773">
        <v>119</v>
      </c>
      <c r="W4091" s="773" t="s">
        <v>390</v>
      </c>
    </row>
    <row r="4092" spans="19:23">
      <c r="S4092" s="27">
        <v>44773</v>
      </c>
      <c r="T4092" s="773" t="s">
        <v>132</v>
      </c>
      <c r="U4092" s="773">
        <v>153</v>
      </c>
      <c r="V4092" s="773">
        <v>2333</v>
      </c>
      <c r="W4092" s="773" t="s">
        <v>390</v>
      </c>
    </row>
    <row r="4093" spans="19:23">
      <c r="S4093" s="27">
        <v>44408</v>
      </c>
      <c r="T4093" s="773" t="s">
        <v>132</v>
      </c>
      <c r="U4093" s="773">
        <v>13</v>
      </c>
      <c r="V4093" s="773">
        <v>3482</v>
      </c>
      <c r="W4093" s="773" t="s">
        <v>390</v>
      </c>
    </row>
    <row r="4094" spans="19:23">
      <c r="S4094" s="27">
        <v>44408</v>
      </c>
      <c r="T4094" s="773" t="s">
        <v>132</v>
      </c>
      <c r="U4094" s="773">
        <v>246</v>
      </c>
      <c r="V4094" s="773">
        <v>4</v>
      </c>
      <c r="W4094" s="773" t="s">
        <v>410</v>
      </c>
    </row>
    <row r="4095" spans="19:23">
      <c r="S4095" s="27">
        <v>44773</v>
      </c>
      <c r="T4095" s="773" t="s">
        <v>132</v>
      </c>
      <c r="U4095" s="773">
        <v>653</v>
      </c>
      <c r="V4095" s="773">
        <v>2</v>
      </c>
      <c r="W4095" s="773" t="s">
        <v>410</v>
      </c>
    </row>
    <row r="4096" spans="19:23">
      <c r="S4096" s="27">
        <v>44408</v>
      </c>
      <c r="T4096" s="773" t="s">
        <v>132</v>
      </c>
      <c r="U4096" s="773">
        <v>658</v>
      </c>
      <c r="V4096" s="773">
        <v>3008</v>
      </c>
      <c r="W4096" s="773" t="s">
        <v>390</v>
      </c>
    </row>
    <row r="4097" spans="19:23">
      <c r="S4097" s="27">
        <v>44408</v>
      </c>
      <c r="T4097" s="773" t="s">
        <v>132</v>
      </c>
      <c r="U4097" s="773">
        <v>70</v>
      </c>
      <c r="V4097" s="773">
        <v>239</v>
      </c>
      <c r="W4097" s="773" t="s">
        <v>390</v>
      </c>
    </row>
    <row r="4098" spans="19:23">
      <c r="S4098" s="27">
        <v>44408</v>
      </c>
      <c r="T4098" s="773" t="s">
        <v>132</v>
      </c>
      <c r="U4098" s="773">
        <v>294</v>
      </c>
      <c r="V4098" s="773">
        <v>10</v>
      </c>
      <c r="W4098" s="773" t="s">
        <v>410</v>
      </c>
    </row>
    <row r="4099" spans="19:23">
      <c r="S4099" s="27">
        <v>44408</v>
      </c>
      <c r="T4099" s="773" t="s">
        <v>132</v>
      </c>
      <c r="U4099" s="773">
        <v>271</v>
      </c>
      <c r="V4099" s="773">
        <v>2510</v>
      </c>
      <c r="W4099" s="773" t="s">
        <v>390</v>
      </c>
    </row>
    <row r="4100" spans="19:23">
      <c r="S4100" s="27">
        <v>44408</v>
      </c>
      <c r="T4100" s="773" t="s">
        <v>132</v>
      </c>
      <c r="U4100" s="773">
        <v>89</v>
      </c>
      <c r="V4100" s="773">
        <v>1153</v>
      </c>
      <c r="W4100" s="773" t="s">
        <v>390</v>
      </c>
    </row>
    <row r="4101" spans="19:23">
      <c r="S4101" s="27">
        <v>44773</v>
      </c>
      <c r="T4101" s="773" t="s">
        <v>132</v>
      </c>
      <c r="U4101" s="773">
        <v>249</v>
      </c>
      <c r="V4101" s="773">
        <v>3563</v>
      </c>
      <c r="W4101" s="773" t="s">
        <v>390</v>
      </c>
    </row>
    <row r="4102" spans="19:23">
      <c r="S4102" s="27">
        <v>44408</v>
      </c>
      <c r="T4102" s="773" t="s">
        <v>132</v>
      </c>
      <c r="U4102" s="773">
        <v>72</v>
      </c>
      <c r="V4102" s="773">
        <v>3</v>
      </c>
      <c r="W4102" s="773" t="s">
        <v>410</v>
      </c>
    </row>
    <row r="4103" spans="19:23">
      <c r="S4103" s="27">
        <v>44773</v>
      </c>
      <c r="T4103" s="773" t="s">
        <v>132</v>
      </c>
      <c r="U4103" s="773">
        <v>262</v>
      </c>
      <c r="V4103" s="773">
        <v>52</v>
      </c>
      <c r="W4103" s="773" t="s">
        <v>410</v>
      </c>
    </row>
    <row r="4104" spans="19:23">
      <c r="S4104" s="27">
        <v>44773</v>
      </c>
      <c r="T4104" s="773" t="s">
        <v>132</v>
      </c>
      <c r="U4104" s="773">
        <v>246</v>
      </c>
      <c r="V4104" s="773">
        <v>2</v>
      </c>
      <c r="W4104" s="773" t="s">
        <v>410</v>
      </c>
    </row>
    <row r="4105" spans="19:23">
      <c r="S4105" s="27">
        <v>44408</v>
      </c>
      <c r="T4105" s="773" t="s">
        <v>132</v>
      </c>
      <c r="U4105" s="773">
        <v>679</v>
      </c>
      <c r="V4105" s="773">
        <v>4</v>
      </c>
      <c r="W4105" s="773" t="s">
        <v>410</v>
      </c>
    </row>
    <row r="4106" spans="19:23">
      <c r="S4106" s="27">
        <v>44408</v>
      </c>
      <c r="T4106" s="773" t="s">
        <v>132</v>
      </c>
      <c r="U4106" s="773">
        <v>253</v>
      </c>
      <c r="V4106" s="773">
        <v>3882</v>
      </c>
      <c r="W4106" s="773" t="s">
        <v>390</v>
      </c>
    </row>
    <row r="4107" spans="19:23">
      <c r="S4107" s="27">
        <v>44408</v>
      </c>
      <c r="T4107" s="773" t="s">
        <v>132</v>
      </c>
      <c r="U4107" s="773">
        <v>83</v>
      </c>
      <c r="V4107" s="773">
        <v>2132</v>
      </c>
      <c r="W4107" s="773" t="s">
        <v>390</v>
      </c>
    </row>
    <row r="4108" spans="19:23">
      <c r="S4108" s="27">
        <v>44773</v>
      </c>
      <c r="T4108" s="773" t="s">
        <v>132</v>
      </c>
      <c r="U4108" s="773">
        <v>203</v>
      </c>
      <c r="V4108" s="773">
        <v>2692</v>
      </c>
      <c r="W4108" s="773" t="s">
        <v>390</v>
      </c>
    </row>
    <row r="4109" spans="19:23">
      <c r="S4109" s="27">
        <v>44408</v>
      </c>
      <c r="T4109" s="773" t="s">
        <v>132</v>
      </c>
      <c r="U4109" s="773">
        <v>191</v>
      </c>
      <c r="V4109" s="773">
        <v>1929</v>
      </c>
      <c r="W4109" s="773" t="s">
        <v>390</v>
      </c>
    </row>
    <row r="4110" spans="19:23">
      <c r="S4110" s="27">
        <v>44408</v>
      </c>
      <c r="T4110" s="773" t="s">
        <v>132</v>
      </c>
      <c r="U4110" s="773">
        <v>251</v>
      </c>
      <c r="V4110" s="773">
        <v>2453</v>
      </c>
      <c r="W4110" s="773" t="s">
        <v>390</v>
      </c>
    </row>
    <row r="4111" spans="19:23">
      <c r="S4111" s="27">
        <v>44773</v>
      </c>
      <c r="T4111" s="773" t="s">
        <v>132</v>
      </c>
      <c r="U4111" s="773">
        <v>694</v>
      </c>
      <c r="V4111" s="773">
        <v>1</v>
      </c>
      <c r="W4111" s="773" t="s">
        <v>410</v>
      </c>
    </row>
    <row r="4112" spans="19:23">
      <c r="S4112" s="27">
        <v>44408</v>
      </c>
      <c r="T4112" s="773" t="s">
        <v>132</v>
      </c>
      <c r="U4112" s="773">
        <v>688</v>
      </c>
      <c r="V4112" s="773">
        <v>2336</v>
      </c>
      <c r="W4112" s="773" t="s">
        <v>390</v>
      </c>
    </row>
    <row r="4113" spans="19:23">
      <c r="S4113" s="27">
        <v>44773</v>
      </c>
      <c r="T4113" s="773" t="s">
        <v>132</v>
      </c>
      <c r="U4113" s="773">
        <v>164</v>
      </c>
      <c r="V4113" s="773">
        <v>4</v>
      </c>
      <c r="W4113" s="773" t="s">
        <v>410</v>
      </c>
    </row>
    <row r="4114" spans="19:23">
      <c r="S4114" s="27">
        <v>44408</v>
      </c>
      <c r="T4114" s="773" t="s">
        <v>132</v>
      </c>
      <c r="U4114" s="773">
        <v>315</v>
      </c>
      <c r="V4114" s="773">
        <v>137</v>
      </c>
      <c r="W4114" s="773" t="s">
        <v>390</v>
      </c>
    </row>
    <row r="4115" spans="19:23">
      <c r="S4115" s="27">
        <v>44773</v>
      </c>
      <c r="T4115" s="773" t="s">
        <v>132</v>
      </c>
      <c r="U4115" s="773">
        <v>222</v>
      </c>
      <c r="V4115" s="773">
        <v>1</v>
      </c>
      <c r="W4115" s="773" t="s">
        <v>410</v>
      </c>
    </row>
    <row r="4116" spans="19:23">
      <c r="S4116" s="27">
        <v>44773</v>
      </c>
      <c r="T4116" s="773" t="s">
        <v>132</v>
      </c>
      <c r="U4116" s="773">
        <v>296</v>
      </c>
      <c r="V4116" s="773">
        <v>2498</v>
      </c>
      <c r="W4116" s="773" t="s">
        <v>390</v>
      </c>
    </row>
    <row r="4117" spans="19:23">
      <c r="S4117" s="27">
        <v>44773</v>
      </c>
      <c r="T4117" s="773" t="s">
        <v>132</v>
      </c>
      <c r="U4117" s="773">
        <v>200</v>
      </c>
      <c r="V4117" s="773">
        <v>1</v>
      </c>
      <c r="W4117" s="773" t="s">
        <v>410</v>
      </c>
    </row>
    <row r="4118" spans="19:23">
      <c r="S4118" s="27">
        <v>44773</v>
      </c>
      <c r="T4118" s="773" t="s">
        <v>132</v>
      </c>
      <c r="U4118" s="773">
        <v>316</v>
      </c>
      <c r="V4118" s="773">
        <v>6</v>
      </c>
      <c r="W4118" s="773" t="s">
        <v>410</v>
      </c>
    </row>
    <row r="4119" spans="19:23">
      <c r="S4119" s="27">
        <v>44773</v>
      </c>
      <c r="T4119" s="773" t="s">
        <v>132</v>
      </c>
      <c r="U4119" s="773">
        <v>162</v>
      </c>
      <c r="V4119" s="773">
        <v>2333</v>
      </c>
      <c r="W4119" s="773" t="s">
        <v>390</v>
      </c>
    </row>
    <row r="4120" spans="19:23">
      <c r="S4120" s="27">
        <v>44773</v>
      </c>
      <c r="T4120" s="773" t="s">
        <v>132</v>
      </c>
      <c r="U4120" s="773">
        <v>171</v>
      </c>
      <c r="V4120" s="773">
        <v>38</v>
      </c>
      <c r="W4120" s="773" t="s">
        <v>410</v>
      </c>
    </row>
    <row r="4121" spans="19:23">
      <c r="S4121" s="27">
        <v>44773</v>
      </c>
      <c r="T4121" s="773" t="s">
        <v>132</v>
      </c>
      <c r="U4121" s="773">
        <v>256</v>
      </c>
      <c r="V4121" s="773">
        <v>285</v>
      </c>
      <c r="W4121" s="773" t="s">
        <v>390</v>
      </c>
    </row>
    <row r="4122" spans="19:23">
      <c r="S4122" s="27">
        <v>44408</v>
      </c>
      <c r="T4122" s="773" t="s">
        <v>132</v>
      </c>
      <c r="U4122" s="773">
        <v>150</v>
      </c>
      <c r="V4122" s="773">
        <v>784</v>
      </c>
      <c r="W4122" s="773" t="s">
        <v>390</v>
      </c>
    </row>
    <row r="4123" spans="19:23">
      <c r="S4123" s="27">
        <v>44408</v>
      </c>
      <c r="T4123" s="773" t="s">
        <v>132</v>
      </c>
      <c r="U4123" s="773">
        <v>98</v>
      </c>
      <c r="V4123" s="773">
        <v>98</v>
      </c>
      <c r="W4123" s="773" t="s">
        <v>410</v>
      </c>
    </row>
    <row r="4124" spans="19:23">
      <c r="S4124" s="27">
        <v>44408</v>
      </c>
      <c r="T4124" s="773" t="s">
        <v>132</v>
      </c>
      <c r="U4124" s="773">
        <v>59</v>
      </c>
      <c r="V4124" s="773">
        <v>84</v>
      </c>
      <c r="W4124" s="773" t="s">
        <v>410</v>
      </c>
    </row>
    <row r="4125" spans="19:23">
      <c r="S4125" s="27">
        <v>44773</v>
      </c>
      <c r="T4125" s="773" t="s">
        <v>132</v>
      </c>
      <c r="U4125" s="773">
        <v>662</v>
      </c>
      <c r="V4125" s="773">
        <v>673</v>
      </c>
      <c r="W4125" s="773" t="s">
        <v>390</v>
      </c>
    </row>
    <row r="4126" spans="19:23">
      <c r="S4126" s="27">
        <v>44773</v>
      </c>
      <c r="T4126" s="773" t="s">
        <v>132</v>
      </c>
      <c r="U4126" s="773">
        <v>311</v>
      </c>
      <c r="V4126" s="773">
        <v>2538</v>
      </c>
      <c r="W4126" s="773" t="s">
        <v>390</v>
      </c>
    </row>
    <row r="4127" spans="19:23">
      <c r="S4127" s="27">
        <v>44408</v>
      </c>
      <c r="T4127" s="773" t="s">
        <v>132</v>
      </c>
      <c r="U4127" s="773">
        <v>668</v>
      </c>
      <c r="V4127" s="773">
        <v>9</v>
      </c>
      <c r="W4127" s="773" t="s">
        <v>410</v>
      </c>
    </row>
    <row r="4128" spans="19:23">
      <c r="S4128" s="27">
        <v>44408</v>
      </c>
      <c r="T4128" s="773" t="s">
        <v>132</v>
      </c>
      <c r="U4128" s="773">
        <v>681</v>
      </c>
      <c r="V4128" s="773">
        <v>841</v>
      </c>
      <c r="W4128" s="773" t="s">
        <v>390</v>
      </c>
    </row>
    <row r="4129" spans="19:23">
      <c r="S4129" s="27">
        <v>44773</v>
      </c>
      <c r="T4129" s="773" t="s">
        <v>132</v>
      </c>
      <c r="U4129" s="773">
        <v>722</v>
      </c>
      <c r="V4129" s="773">
        <v>1</v>
      </c>
      <c r="W4129" s="773" t="s">
        <v>410</v>
      </c>
    </row>
    <row r="4130" spans="19:23">
      <c r="S4130" s="27">
        <v>44408</v>
      </c>
      <c r="T4130" s="773" t="s">
        <v>132</v>
      </c>
      <c r="U4130" s="773">
        <v>309</v>
      </c>
      <c r="V4130" s="773">
        <v>21</v>
      </c>
      <c r="W4130" s="773" t="s">
        <v>410</v>
      </c>
    </row>
    <row r="4131" spans="19:23">
      <c r="S4131" s="27">
        <v>44773</v>
      </c>
      <c r="T4131" s="773" t="s">
        <v>132</v>
      </c>
      <c r="U4131" s="773">
        <v>155</v>
      </c>
      <c r="V4131" s="773">
        <v>2643</v>
      </c>
      <c r="W4131" s="773" t="s">
        <v>390</v>
      </c>
    </row>
    <row r="4132" spans="19:23">
      <c r="S4132" s="27">
        <v>44408</v>
      </c>
      <c r="T4132" s="773" t="s">
        <v>132</v>
      </c>
      <c r="U4132" s="773">
        <v>694</v>
      </c>
      <c r="V4132" s="773">
        <v>2</v>
      </c>
      <c r="W4132" s="773" t="s">
        <v>410</v>
      </c>
    </row>
    <row r="4133" spans="19:23">
      <c r="S4133" s="27">
        <v>44408</v>
      </c>
      <c r="T4133" s="773" t="s">
        <v>132</v>
      </c>
      <c r="U4133" s="773">
        <v>108</v>
      </c>
      <c r="V4133" s="773">
        <v>1</v>
      </c>
      <c r="W4133" s="773" t="s">
        <v>410</v>
      </c>
    </row>
    <row r="4134" spans="19:23">
      <c r="S4134" s="27">
        <v>44773</v>
      </c>
      <c r="T4134" s="773" t="s">
        <v>132</v>
      </c>
      <c r="U4134" s="773">
        <v>48</v>
      </c>
      <c r="V4134" s="773">
        <v>636</v>
      </c>
      <c r="W4134" s="773" t="s">
        <v>390</v>
      </c>
    </row>
    <row r="4135" spans="19:23">
      <c r="S4135" s="27">
        <v>44408</v>
      </c>
      <c r="T4135" s="773" t="s">
        <v>132</v>
      </c>
      <c r="U4135" s="773">
        <v>0</v>
      </c>
      <c r="V4135" s="773">
        <v>41</v>
      </c>
      <c r="W4135" s="773" t="s">
        <v>410</v>
      </c>
    </row>
    <row r="4136" spans="19:23">
      <c r="S4136" s="27">
        <v>44408</v>
      </c>
      <c r="T4136" s="773" t="s">
        <v>132</v>
      </c>
      <c r="U4136" s="773">
        <v>231</v>
      </c>
      <c r="V4136" s="773">
        <v>5</v>
      </c>
      <c r="W4136" s="773" t="s">
        <v>410</v>
      </c>
    </row>
    <row r="4137" spans="19:23">
      <c r="S4137" s="27">
        <v>44773</v>
      </c>
      <c r="T4137" s="773" t="s">
        <v>132</v>
      </c>
      <c r="U4137" s="773">
        <v>716</v>
      </c>
      <c r="V4137" s="773">
        <v>142</v>
      </c>
      <c r="W4137" s="773" t="s">
        <v>390</v>
      </c>
    </row>
    <row r="4138" spans="19:23">
      <c r="S4138" s="27">
        <v>44773</v>
      </c>
      <c r="T4138" s="773" t="s">
        <v>132</v>
      </c>
      <c r="U4138" s="773">
        <v>191</v>
      </c>
      <c r="V4138" s="773">
        <v>328</v>
      </c>
      <c r="W4138" s="773" t="s">
        <v>390</v>
      </c>
    </row>
    <row r="4139" spans="19:23">
      <c r="S4139" s="27">
        <v>44773</v>
      </c>
      <c r="T4139" s="773" t="s">
        <v>132</v>
      </c>
      <c r="U4139" s="773">
        <v>681</v>
      </c>
      <c r="V4139" s="773">
        <v>665</v>
      </c>
      <c r="W4139" s="773" t="s">
        <v>390</v>
      </c>
    </row>
    <row r="4140" spans="19:23">
      <c r="S4140" s="27">
        <v>44408</v>
      </c>
      <c r="T4140" s="773" t="s">
        <v>132</v>
      </c>
      <c r="U4140" s="773">
        <v>696</v>
      </c>
      <c r="V4140" s="773">
        <v>2234</v>
      </c>
      <c r="W4140" s="773" t="s">
        <v>390</v>
      </c>
    </row>
    <row r="4141" spans="19:23">
      <c r="S4141" s="27">
        <v>44773</v>
      </c>
      <c r="T4141" s="773" t="s">
        <v>132</v>
      </c>
      <c r="U4141" s="773">
        <v>710</v>
      </c>
      <c r="V4141" s="773">
        <v>308</v>
      </c>
      <c r="W4141" s="773" t="s">
        <v>390</v>
      </c>
    </row>
    <row r="4142" spans="19:23">
      <c r="S4142" s="27">
        <v>44773</v>
      </c>
      <c r="T4142" s="773" t="s">
        <v>132</v>
      </c>
      <c r="U4142" s="773">
        <v>92</v>
      </c>
      <c r="V4142" s="773">
        <v>3047</v>
      </c>
      <c r="W4142" s="773" t="s">
        <v>390</v>
      </c>
    </row>
    <row r="4143" spans="19:23">
      <c r="S4143" s="27">
        <v>44408</v>
      </c>
      <c r="T4143" s="773" t="s">
        <v>132</v>
      </c>
      <c r="U4143" s="773">
        <v>68</v>
      </c>
      <c r="V4143" s="773">
        <v>378</v>
      </c>
      <c r="W4143" s="773" t="s">
        <v>390</v>
      </c>
    </row>
    <row r="4144" spans="19:23">
      <c r="S4144" s="27">
        <v>44408</v>
      </c>
      <c r="T4144" s="773" t="s">
        <v>132</v>
      </c>
      <c r="U4144" s="773">
        <v>200</v>
      </c>
      <c r="V4144" s="773">
        <v>4</v>
      </c>
      <c r="W4144" s="773" t="s">
        <v>410</v>
      </c>
    </row>
    <row r="4145" spans="19:23">
      <c r="S4145" s="27">
        <v>44408</v>
      </c>
      <c r="T4145" s="773" t="s">
        <v>132</v>
      </c>
      <c r="U4145" s="773">
        <v>265</v>
      </c>
      <c r="V4145" s="773">
        <v>1576</v>
      </c>
      <c r="W4145" s="773" t="s">
        <v>390</v>
      </c>
    </row>
    <row r="4146" spans="19:23">
      <c r="S4146" s="27">
        <v>44408</v>
      </c>
      <c r="T4146" s="773" t="s">
        <v>132</v>
      </c>
      <c r="U4146" s="773">
        <v>136</v>
      </c>
      <c r="V4146" s="773">
        <v>92</v>
      </c>
      <c r="W4146" s="773" t="s">
        <v>410</v>
      </c>
    </row>
    <row r="4147" spans="19:23">
      <c r="S4147" s="27">
        <v>44773</v>
      </c>
      <c r="T4147" s="773" t="s">
        <v>132</v>
      </c>
      <c r="U4147" s="773">
        <v>264</v>
      </c>
      <c r="V4147" s="773">
        <v>328</v>
      </c>
      <c r="W4147" s="773" t="s">
        <v>390</v>
      </c>
    </row>
    <row r="4148" spans="19:23">
      <c r="S4148" s="27">
        <v>44773</v>
      </c>
      <c r="T4148" s="773" t="s">
        <v>132</v>
      </c>
      <c r="U4148" s="773">
        <v>257</v>
      </c>
      <c r="V4148" s="773">
        <v>3139</v>
      </c>
      <c r="W4148" s="773" t="s">
        <v>390</v>
      </c>
    </row>
    <row r="4149" spans="19:23">
      <c r="S4149" s="27">
        <v>44773</v>
      </c>
      <c r="T4149" s="773" t="s">
        <v>132</v>
      </c>
      <c r="U4149" s="773">
        <v>305</v>
      </c>
      <c r="V4149" s="773">
        <v>5132</v>
      </c>
      <c r="W4149" s="773" t="s">
        <v>390</v>
      </c>
    </row>
    <row r="4150" spans="19:23">
      <c r="S4150" s="27">
        <v>44408</v>
      </c>
      <c r="T4150" s="773" t="s">
        <v>132</v>
      </c>
      <c r="U4150" s="773">
        <v>276</v>
      </c>
      <c r="V4150" s="773">
        <v>1</v>
      </c>
      <c r="W4150" s="773" t="s">
        <v>410</v>
      </c>
    </row>
    <row r="4151" spans="19:23">
      <c r="S4151" s="27">
        <v>44408</v>
      </c>
      <c r="T4151" s="773" t="s">
        <v>132</v>
      </c>
      <c r="U4151" s="773">
        <v>660</v>
      </c>
      <c r="V4151" s="773">
        <v>4</v>
      </c>
      <c r="W4151" s="773" t="s">
        <v>410</v>
      </c>
    </row>
    <row r="4152" spans="19:23">
      <c r="S4152" s="27">
        <v>44408</v>
      </c>
      <c r="T4152" s="773" t="s">
        <v>132</v>
      </c>
      <c r="U4152" s="773">
        <v>101</v>
      </c>
      <c r="V4152" s="773">
        <v>857</v>
      </c>
      <c r="W4152" s="773" t="s">
        <v>390</v>
      </c>
    </row>
    <row r="4153" spans="19:23">
      <c r="S4153" s="27">
        <v>44773</v>
      </c>
      <c r="T4153" s="773" t="s">
        <v>132</v>
      </c>
      <c r="U4153" s="773">
        <v>318</v>
      </c>
      <c r="V4153" s="773">
        <v>2426</v>
      </c>
      <c r="W4153" s="773" t="s">
        <v>390</v>
      </c>
    </row>
    <row r="4154" spans="19:23">
      <c r="S4154" s="27">
        <v>44773</v>
      </c>
      <c r="T4154" s="773" t="s">
        <v>132</v>
      </c>
      <c r="U4154" s="773">
        <v>161</v>
      </c>
      <c r="V4154" s="773">
        <v>1</v>
      </c>
      <c r="W4154" s="773" t="s">
        <v>410</v>
      </c>
    </row>
    <row r="4155" spans="19:23">
      <c r="S4155" s="27">
        <v>44408</v>
      </c>
      <c r="T4155" s="773" t="s">
        <v>132</v>
      </c>
      <c r="U4155" s="773">
        <v>250</v>
      </c>
      <c r="V4155" s="773">
        <v>2</v>
      </c>
      <c r="W4155" s="773" t="s">
        <v>410</v>
      </c>
    </row>
    <row r="4156" spans="19:23">
      <c r="S4156" s="27">
        <v>44773</v>
      </c>
      <c r="T4156" s="773" t="s">
        <v>132</v>
      </c>
      <c r="U4156" s="773">
        <v>202</v>
      </c>
      <c r="V4156" s="773">
        <v>1</v>
      </c>
      <c r="W4156" s="773" t="s">
        <v>410</v>
      </c>
    </row>
    <row r="4157" spans="19:23">
      <c r="S4157" s="27">
        <v>44773</v>
      </c>
      <c r="T4157" s="773" t="s">
        <v>132</v>
      </c>
      <c r="U4157" s="773">
        <v>84</v>
      </c>
      <c r="V4157" s="773">
        <v>2552</v>
      </c>
      <c r="W4157" s="773" t="s">
        <v>390</v>
      </c>
    </row>
    <row r="4158" spans="19:23">
      <c r="S4158" s="27">
        <v>44773</v>
      </c>
      <c r="T4158" s="773" t="s">
        <v>132</v>
      </c>
      <c r="U4158" s="773">
        <v>150</v>
      </c>
      <c r="V4158" s="773">
        <v>339</v>
      </c>
      <c r="W4158" s="773" t="s">
        <v>390</v>
      </c>
    </row>
    <row r="4159" spans="19:23">
      <c r="S4159" s="27">
        <v>44408</v>
      </c>
      <c r="T4159" s="773" t="s">
        <v>132</v>
      </c>
      <c r="U4159" s="773">
        <v>111</v>
      </c>
      <c r="V4159" s="773">
        <v>2</v>
      </c>
      <c r="W4159" s="773" t="s">
        <v>410</v>
      </c>
    </row>
    <row r="4160" spans="19:23">
      <c r="S4160" s="27">
        <v>44408</v>
      </c>
      <c r="T4160" s="773" t="s">
        <v>132</v>
      </c>
      <c r="U4160" s="773">
        <v>61</v>
      </c>
      <c r="V4160" s="773">
        <v>1</v>
      </c>
      <c r="W4160" s="773" t="s">
        <v>410</v>
      </c>
    </row>
    <row r="4161" spans="19:23">
      <c r="S4161" s="27">
        <v>44773</v>
      </c>
      <c r="T4161" s="773" t="s">
        <v>132</v>
      </c>
      <c r="U4161" s="773">
        <v>279</v>
      </c>
      <c r="V4161" s="773">
        <v>3</v>
      </c>
      <c r="W4161" s="773" t="s">
        <v>410</v>
      </c>
    </row>
    <row r="4162" spans="19:23">
      <c r="S4162" s="27">
        <v>44408</v>
      </c>
      <c r="T4162" s="773" t="s">
        <v>132</v>
      </c>
      <c r="U4162" s="773">
        <v>272</v>
      </c>
      <c r="V4162" s="773">
        <v>1</v>
      </c>
      <c r="W4162" s="773" t="s">
        <v>410</v>
      </c>
    </row>
    <row r="4163" spans="19:23">
      <c r="S4163" s="27">
        <v>44773</v>
      </c>
      <c r="T4163" s="773" t="s">
        <v>132</v>
      </c>
      <c r="U4163" s="773">
        <v>253</v>
      </c>
      <c r="V4163" s="773">
        <v>11</v>
      </c>
      <c r="W4163" s="773" t="s">
        <v>410</v>
      </c>
    </row>
    <row r="4164" spans="19:23">
      <c r="S4164" s="27">
        <v>44408</v>
      </c>
      <c r="T4164" s="773" t="s">
        <v>132</v>
      </c>
      <c r="U4164" s="773">
        <v>35</v>
      </c>
      <c r="V4164" s="773">
        <v>883</v>
      </c>
      <c r="W4164" s="773" t="s">
        <v>390</v>
      </c>
    </row>
    <row r="4165" spans="19:23">
      <c r="S4165" s="27">
        <v>44773</v>
      </c>
      <c r="T4165" s="773" t="s">
        <v>132</v>
      </c>
      <c r="U4165" s="773">
        <v>679</v>
      </c>
      <c r="V4165" s="773">
        <v>1</v>
      </c>
      <c r="W4165" s="773" t="s">
        <v>410</v>
      </c>
    </row>
    <row r="4166" spans="19:23">
      <c r="S4166" s="27">
        <v>44773</v>
      </c>
      <c r="T4166" s="773" t="s">
        <v>132</v>
      </c>
      <c r="U4166" s="773">
        <v>696</v>
      </c>
      <c r="V4166" s="773">
        <v>2087</v>
      </c>
      <c r="W4166" s="773" t="s">
        <v>390</v>
      </c>
    </row>
    <row r="4167" spans="19:23">
      <c r="S4167" s="27">
        <v>44773</v>
      </c>
      <c r="T4167" s="773" t="s">
        <v>132</v>
      </c>
      <c r="U4167" s="773">
        <v>247</v>
      </c>
      <c r="V4167" s="773">
        <v>2772</v>
      </c>
      <c r="W4167" s="773" t="s">
        <v>390</v>
      </c>
    </row>
    <row r="4168" spans="19:23">
      <c r="S4168" s="27">
        <v>44773</v>
      </c>
      <c r="T4168" s="773" t="s">
        <v>132</v>
      </c>
      <c r="U4168" s="773">
        <v>52</v>
      </c>
      <c r="V4168" s="773">
        <v>9</v>
      </c>
      <c r="W4168" s="773" t="s">
        <v>410</v>
      </c>
    </row>
    <row r="4169" spans="19:23">
      <c r="S4169" s="27">
        <v>44773</v>
      </c>
      <c r="T4169" s="773" t="s">
        <v>132</v>
      </c>
      <c r="U4169" s="773">
        <v>528</v>
      </c>
      <c r="V4169" s="773">
        <v>39</v>
      </c>
      <c r="W4169" s="773" t="s">
        <v>410</v>
      </c>
    </row>
    <row r="4170" spans="19:23">
      <c r="S4170" s="27">
        <v>44408</v>
      </c>
      <c r="T4170" s="773" t="s">
        <v>132</v>
      </c>
      <c r="U4170" s="773">
        <v>232</v>
      </c>
      <c r="V4170" s="773">
        <v>133</v>
      </c>
      <c r="W4170" s="773" t="s">
        <v>390</v>
      </c>
    </row>
    <row r="4171" spans="19:23">
      <c r="S4171" s="27">
        <v>44408</v>
      </c>
      <c r="T4171" s="773" t="s">
        <v>132</v>
      </c>
      <c r="U4171" s="773">
        <v>233</v>
      </c>
      <c r="V4171" s="773">
        <v>11732</v>
      </c>
      <c r="W4171" s="773" t="s">
        <v>390</v>
      </c>
    </row>
    <row r="4172" spans="19:23">
      <c r="S4172" s="27">
        <v>44408</v>
      </c>
      <c r="T4172" s="773" t="s">
        <v>132</v>
      </c>
      <c r="U4172" s="773">
        <v>238</v>
      </c>
      <c r="V4172" s="773">
        <v>5</v>
      </c>
      <c r="W4172" s="773" t="s">
        <v>410</v>
      </c>
    </row>
    <row r="4173" spans="19:23">
      <c r="S4173" s="27">
        <v>44773</v>
      </c>
      <c r="T4173" s="773" t="s">
        <v>132</v>
      </c>
      <c r="U4173" s="773">
        <v>294</v>
      </c>
      <c r="V4173" s="773">
        <v>3</v>
      </c>
      <c r="W4173" s="773" t="s">
        <v>410</v>
      </c>
    </row>
    <row r="4174" spans="19:23">
      <c r="S4174" s="27">
        <v>44408</v>
      </c>
      <c r="T4174" s="773" t="s">
        <v>132</v>
      </c>
      <c r="U4174" s="773">
        <v>133</v>
      </c>
      <c r="V4174" s="773">
        <v>1</v>
      </c>
      <c r="W4174" s="773" t="s">
        <v>410</v>
      </c>
    </row>
    <row r="4175" spans="19:23">
      <c r="S4175" s="27">
        <v>44408</v>
      </c>
      <c r="T4175" s="773" t="s">
        <v>132</v>
      </c>
      <c r="U4175" s="773">
        <v>43</v>
      </c>
      <c r="V4175" s="773">
        <v>3124</v>
      </c>
      <c r="W4175" s="773" t="s">
        <v>390</v>
      </c>
    </row>
    <row r="4176" spans="19:23">
      <c r="S4176" s="27">
        <v>44773</v>
      </c>
      <c r="T4176" s="773" t="s">
        <v>132</v>
      </c>
      <c r="U4176" s="773">
        <v>69</v>
      </c>
      <c r="V4176" s="773">
        <v>1</v>
      </c>
      <c r="W4176" s="773" t="s">
        <v>410</v>
      </c>
    </row>
    <row r="4177" spans="19:23">
      <c r="S4177" s="27">
        <v>44408</v>
      </c>
      <c r="T4177" s="773" t="s">
        <v>132</v>
      </c>
      <c r="U4177" s="773">
        <v>73</v>
      </c>
      <c r="V4177" s="773">
        <v>2</v>
      </c>
      <c r="W4177" s="773" t="s">
        <v>410</v>
      </c>
    </row>
    <row r="4178" spans="19:23">
      <c r="S4178" s="27">
        <v>44408</v>
      </c>
      <c r="T4178" s="773" t="s">
        <v>132</v>
      </c>
      <c r="U4178" s="773">
        <v>319</v>
      </c>
      <c r="V4178" s="773">
        <v>1848</v>
      </c>
      <c r="W4178" s="773" t="s">
        <v>390</v>
      </c>
    </row>
    <row r="4179" spans="19:23">
      <c r="S4179" s="27">
        <v>44408</v>
      </c>
      <c r="T4179" s="773" t="s">
        <v>132</v>
      </c>
      <c r="U4179" s="773">
        <v>676</v>
      </c>
      <c r="V4179" s="773">
        <v>1</v>
      </c>
      <c r="W4179" s="773" t="s">
        <v>410</v>
      </c>
    </row>
    <row r="4180" spans="19:23">
      <c r="S4180" s="27">
        <v>44773</v>
      </c>
      <c r="T4180" s="773" t="s">
        <v>132</v>
      </c>
      <c r="U4180" s="773">
        <v>295</v>
      </c>
      <c r="V4180" s="773">
        <v>1</v>
      </c>
      <c r="W4180" s="773" t="s">
        <v>410</v>
      </c>
    </row>
    <row r="4181" spans="19:23">
      <c r="S4181" s="27">
        <v>44773</v>
      </c>
      <c r="T4181" s="773" t="s">
        <v>132</v>
      </c>
      <c r="U4181" s="773">
        <v>132</v>
      </c>
      <c r="V4181" s="773">
        <v>2680</v>
      </c>
      <c r="W4181" s="773" t="s">
        <v>390</v>
      </c>
    </row>
    <row r="4182" spans="19:23">
      <c r="S4182" s="27">
        <v>44408</v>
      </c>
      <c r="T4182" s="773" t="s">
        <v>132</v>
      </c>
      <c r="U4182" s="773">
        <v>164</v>
      </c>
      <c r="V4182" s="773">
        <v>8</v>
      </c>
      <c r="W4182" s="773" t="s">
        <v>410</v>
      </c>
    </row>
    <row r="4183" spans="19:23">
      <c r="S4183" s="27">
        <v>44408</v>
      </c>
      <c r="T4183" s="773" t="s">
        <v>132</v>
      </c>
      <c r="U4183" s="773">
        <v>367</v>
      </c>
      <c r="V4183" s="773">
        <v>10</v>
      </c>
      <c r="W4183" s="773" t="s">
        <v>410</v>
      </c>
    </row>
    <row r="4184" spans="19:23">
      <c r="S4184" s="27">
        <v>44773</v>
      </c>
      <c r="T4184" s="773" t="s">
        <v>132</v>
      </c>
      <c r="U4184" s="773">
        <v>218</v>
      </c>
      <c r="V4184" s="773">
        <v>139</v>
      </c>
      <c r="W4184" s="773" t="s">
        <v>390</v>
      </c>
    </row>
    <row r="4185" spans="19:23">
      <c r="S4185" s="27">
        <v>44408</v>
      </c>
      <c r="T4185" s="773" t="s">
        <v>132</v>
      </c>
      <c r="U4185" s="773">
        <v>92</v>
      </c>
      <c r="V4185" s="773">
        <v>2563</v>
      </c>
      <c r="W4185" s="773" t="s">
        <v>390</v>
      </c>
    </row>
    <row r="4186" spans="19:23">
      <c r="S4186" s="27">
        <v>44773</v>
      </c>
      <c r="T4186" s="773" t="s">
        <v>132</v>
      </c>
      <c r="U4186" s="773">
        <v>182</v>
      </c>
      <c r="V4186" s="773">
        <v>176</v>
      </c>
      <c r="W4186" s="773" t="s">
        <v>390</v>
      </c>
    </row>
    <row r="4187" spans="19:23">
      <c r="S4187" s="27">
        <v>44773</v>
      </c>
      <c r="T4187" s="773" t="s">
        <v>132</v>
      </c>
      <c r="U4187" s="773">
        <v>11</v>
      </c>
      <c r="V4187" s="773">
        <v>27</v>
      </c>
      <c r="W4187" s="773" t="s">
        <v>410</v>
      </c>
    </row>
    <row r="4188" spans="19:23">
      <c r="S4188" s="27">
        <v>44773</v>
      </c>
      <c r="T4188" s="773" t="s">
        <v>132</v>
      </c>
      <c r="U4188" s="773">
        <v>303</v>
      </c>
      <c r="V4188" s="773">
        <v>2546</v>
      </c>
      <c r="W4188" s="773" t="s">
        <v>390</v>
      </c>
    </row>
    <row r="4189" spans="19:23">
      <c r="S4189" s="27">
        <v>44773</v>
      </c>
      <c r="T4189" s="773" t="s">
        <v>132</v>
      </c>
      <c r="U4189" s="773">
        <v>43</v>
      </c>
      <c r="V4189" s="773">
        <v>1029</v>
      </c>
      <c r="W4189" s="773" t="s">
        <v>390</v>
      </c>
    </row>
    <row r="4190" spans="19:23">
      <c r="S4190" s="27">
        <v>44408</v>
      </c>
      <c r="T4190" s="773" t="s">
        <v>132</v>
      </c>
      <c r="U4190" s="773">
        <v>69</v>
      </c>
      <c r="V4190" s="773">
        <v>1</v>
      </c>
      <c r="W4190" s="773" t="s">
        <v>410</v>
      </c>
    </row>
    <row r="4191" spans="19:23">
      <c r="S4191" s="27">
        <v>44408</v>
      </c>
      <c r="T4191" s="773" t="s">
        <v>132</v>
      </c>
      <c r="U4191" s="773">
        <v>662</v>
      </c>
      <c r="V4191" s="773">
        <v>2994</v>
      </c>
      <c r="W4191" s="773" t="s">
        <v>390</v>
      </c>
    </row>
    <row r="4192" spans="19:23">
      <c r="S4192" s="27">
        <v>44408</v>
      </c>
      <c r="T4192" s="773" t="s">
        <v>132</v>
      </c>
      <c r="U4192" s="773">
        <v>132</v>
      </c>
      <c r="V4192" s="773">
        <v>2870</v>
      </c>
      <c r="W4192" s="773" t="s">
        <v>390</v>
      </c>
    </row>
    <row r="4193" spans="19:23">
      <c r="S4193" s="27">
        <v>44408</v>
      </c>
      <c r="T4193" s="773" t="s">
        <v>132</v>
      </c>
      <c r="U4193" s="773">
        <v>305</v>
      </c>
      <c r="V4193" s="773">
        <v>3867</v>
      </c>
      <c r="W4193" s="773" t="s">
        <v>390</v>
      </c>
    </row>
    <row r="4194" spans="19:23">
      <c r="S4194" s="27">
        <v>44408</v>
      </c>
      <c r="T4194" s="773" t="s">
        <v>132</v>
      </c>
      <c r="U4194" s="773">
        <v>218</v>
      </c>
      <c r="V4194" s="773">
        <v>1028</v>
      </c>
      <c r="W4194" s="773" t="s">
        <v>390</v>
      </c>
    </row>
    <row r="4195" spans="19:23">
      <c r="S4195" s="27">
        <v>44773</v>
      </c>
      <c r="T4195" s="773" t="s">
        <v>132</v>
      </c>
      <c r="U4195" s="773">
        <v>651</v>
      </c>
      <c r="V4195" s="773">
        <v>67</v>
      </c>
      <c r="W4195" s="773" t="s">
        <v>410</v>
      </c>
    </row>
    <row r="4196" spans="19:23">
      <c r="S4196" s="27">
        <v>44408</v>
      </c>
      <c r="T4196" s="773" t="s">
        <v>132</v>
      </c>
      <c r="U4196" s="773">
        <v>56</v>
      </c>
      <c r="V4196" s="773">
        <v>43</v>
      </c>
      <c r="W4196" s="773" t="s">
        <v>410</v>
      </c>
    </row>
    <row r="4197" spans="19:23">
      <c r="S4197" s="27">
        <v>44773</v>
      </c>
      <c r="T4197" s="773" t="s">
        <v>132</v>
      </c>
      <c r="U4197" s="773">
        <v>322</v>
      </c>
      <c r="V4197" s="773">
        <v>2734</v>
      </c>
      <c r="W4197" s="773" t="s">
        <v>390</v>
      </c>
    </row>
    <row r="4198" spans="19:23">
      <c r="S4198" s="27">
        <v>44408</v>
      </c>
      <c r="T4198" s="773" t="s">
        <v>132</v>
      </c>
      <c r="U4198" s="773">
        <v>256</v>
      </c>
      <c r="V4198" s="773">
        <v>755</v>
      </c>
      <c r="W4198" s="773" t="s">
        <v>390</v>
      </c>
    </row>
    <row r="4199" spans="19:23">
      <c r="S4199" s="27">
        <v>44773</v>
      </c>
      <c r="T4199" s="773" t="s">
        <v>132</v>
      </c>
      <c r="U4199" s="773">
        <v>35</v>
      </c>
      <c r="V4199" s="773">
        <v>887</v>
      </c>
      <c r="W4199" s="773" t="s">
        <v>390</v>
      </c>
    </row>
    <row r="4200" spans="19:23">
      <c r="S4200" s="27">
        <v>44773</v>
      </c>
      <c r="T4200" s="773" t="s">
        <v>132</v>
      </c>
      <c r="U4200" s="773">
        <v>233</v>
      </c>
      <c r="V4200" s="773">
        <v>2982</v>
      </c>
      <c r="W4200" s="773" t="s">
        <v>390</v>
      </c>
    </row>
    <row r="4201" spans="19:23">
      <c r="S4201" s="27">
        <v>44408</v>
      </c>
      <c r="T4201" s="773" t="s">
        <v>132</v>
      </c>
      <c r="U4201" s="773">
        <v>304</v>
      </c>
      <c r="V4201" s="773">
        <v>107</v>
      </c>
      <c r="W4201" s="773" t="s">
        <v>390</v>
      </c>
    </row>
    <row r="4202" spans="19:23">
      <c r="S4202" s="27">
        <v>44773</v>
      </c>
      <c r="T4202" s="773" t="s">
        <v>132</v>
      </c>
      <c r="U4202" s="773">
        <v>13</v>
      </c>
      <c r="V4202" s="773">
        <v>2741</v>
      </c>
      <c r="W4202" s="773" t="s">
        <v>390</v>
      </c>
    </row>
    <row r="4203" spans="19:23">
      <c r="S4203" s="27">
        <v>44408</v>
      </c>
      <c r="T4203" s="773" t="s">
        <v>132</v>
      </c>
      <c r="U4203" s="773">
        <v>312</v>
      </c>
      <c r="V4203" s="773">
        <v>2300</v>
      </c>
      <c r="W4203" s="773" t="s">
        <v>390</v>
      </c>
    </row>
    <row r="4204" spans="19:23">
      <c r="S4204" s="27">
        <v>44773</v>
      </c>
      <c r="T4204" s="773" t="s">
        <v>132</v>
      </c>
      <c r="U4204" s="773">
        <v>703</v>
      </c>
      <c r="V4204" s="773">
        <v>3386</v>
      </c>
      <c r="W4204" s="773" t="s">
        <v>390</v>
      </c>
    </row>
    <row r="4205" spans="19:23">
      <c r="S4205" s="27">
        <v>44408</v>
      </c>
      <c r="T4205" s="773" t="s">
        <v>132</v>
      </c>
      <c r="U4205" s="773">
        <v>322</v>
      </c>
      <c r="V4205" s="773">
        <v>2128</v>
      </c>
      <c r="W4205" s="773" t="s">
        <v>390</v>
      </c>
    </row>
    <row r="4206" spans="19:23">
      <c r="S4206" s="27">
        <v>44773</v>
      </c>
      <c r="T4206" s="773" t="s">
        <v>132</v>
      </c>
      <c r="U4206" s="773">
        <v>326</v>
      </c>
      <c r="V4206" s="773">
        <v>2841</v>
      </c>
      <c r="W4206" s="773" t="s">
        <v>390</v>
      </c>
    </row>
    <row r="4207" spans="19:23">
      <c r="S4207" s="27">
        <v>44773</v>
      </c>
      <c r="T4207" s="773" t="s">
        <v>132</v>
      </c>
      <c r="U4207" s="773">
        <v>265</v>
      </c>
      <c r="V4207" s="773">
        <v>22</v>
      </c>
      <c r="W4207" s="773" t="s">
        <v>410</v>
      </c>
    </row>
    <row r="4208" spans="19:23">
      <c r="S4208" s="27">
        <v>44773</v>
      </c>
      <c r="T4208" s="773" t="s">
        <v>132</v>
      </c>
      <c r="U4208" s="773">
        <v>89</v>
      </c>
      <c r="V4208" s="773">
        <v>1112</v>
      </c>
      <c r="W4208" s="773" t="s">
        <v>390</v>
      </c>
    </row>
    <row r="4209" spans="19:23">
      <c r="S4209" s="27">
        <v>44773</v>
      </c>
      <c r="T4209" s="773" t="s">
        <v>132</v>
      </c>
      <c r="U4209" s="773">
        <v>64</v>
      </c>
      <c r="V4209" s="773">
        <v>1</v>
      </c>
      <c r="W4209" s="773" t="s">
        <v>410</v>
      </c>
    </row>
    <row r="4210" spans="19:23">
      <c r="S4210" s="27">
        <v>44408</v>
      </c>
      <c r="T4210" s="773" t="s">
        <v>132</v>
      </c>
      <c r="U4210" s="773">
        <v>81</v>
      </c>
      <c r="V4210" s="773">
        <v>4</v>
      </c>
      <c r="W4210" s="773" t="s">
        <v>410</v>
      </c>
    </row>
    <row r="4211" spans="19:23">
      <c r="S4211" s="27">
        <v>44773</v>
      </c>
      <c r="T4211" s="773" t="s">
        <v>132</v>
      </c>
      <c r="U4211" s="773">
        <v>706</v>
      </c>
      <c r="V4211" s="773">
        <v>1199</v>
      </c>
      <c r="W4211" s="773" t="s">
        <v>390</v>
      </c>
    </row>
    <row r="4212" spans="19:23">
      <c r="S4212" s="27">
        <v>44773</v>
      </c>
      <c r="T4212" s="773" t="s">
        <v>132</v>
      </c>
      <c r="U4212" s="773">
        <v>68</v>
      </c>
      <c r="V4212" s="773">
        <v>647</v>
      </c>
      <c r="W4212" s="773" t="s">
        <v>390</v>
      </c>
    </row>
    <row r="4213" spans="19:23">
      <c r="S4213" s="27">
        <v>44408</v>
      </c>
      <c r="T4213" s="773" t="s">
        <v>132</v>
      </c>
      <c r="U4213" s="773">
        <v>279</v>
      </c>
      <c r="V4213" s="773">
        <v>4133</v>
      </c>
      <c r="W4213" s="773" t="s">
        <v>390</v>
      </c>
    </row>
    <row r="4214" spans="19:23">
      <c r="S4214" s="27">
        <v>44773</v>
      </c>
      <c r="T4214" s="773" t="s">
        <v>132</v>
      </c>
      <c r="U4214" s="773">
        <v>312</v>
      </c>
      <c r="V4214" s="773">
        <v>2859</v>
      </c>
      <c r="W4214" s="773" t="s">
        <v>390</v>
      </c>
    </row>
    <row r="4215" spans="19:23">
      <c r="S4215" s="27">
        <v>44773</v>
      </c>
      <c r="T4215" s="773" t="s">
        <v>132</v>
      </c>
      <c r="U4215" s="773">
        <v>315</v>
      </c>
      <c r="V4215" s="773">
        <v>1969</v>
      </c>
      <c r="W4215" s="773" t="s">
        <v>390</v>
      </c>
    </row>
    <row r="4216" spans="19:23">
      <c r="S4216" s="27">
        <v>44773</v>
      </c>
      <c r="T4216" s="773" t="s">
        <v>132</v>
      </c>
      <c r="U4216" s="773">
        <v>39</v>
      </c>
      <c r="V4216" s="773">
        <v>1</v>
      </c>
      <c r="W4216" s="773" t="s">
        <v>410</v>
      </c>
    </row>
    <row r="4217" spans="19:23">
      <c r="S4217" s="27">
        <v>44773</v>
      </c>
      <c r="T4217" s="773" t="s">
        <v>132</v>
      </c>
      <c r="U4217" s="773">
        <v>680</v>
      </c>
      <c r="V4217" s="773">
        <v>3127</v>
      </c>
      <c r="W4217" s="773" t="s">
        <v>390</v>
      </c>
    </row>
    <row r="4218" spans="19:23">
      <c r="S4218" s="27">
        <v>44408</v>
      </c>
      <c r="T4218" s="773" t="s">
        <v>132</v>
      </c>
      <c r="U4218" s="773">
        <v>162</v>
      </c>
      <c r="V4218" s="773">
        <v>2560</v>
      </c>
      <c r="W4218" s="773" t="s">
        <v>390</v>
      </c>
    </row>
    <row r="4219" spans="19:23">
      <c r="S4219" s="27">
        <v>44773</v>
      </c>
      <c r="T4219" s="773" t="s">
        <v>132</v>
      </c>
      <c r="U4219" s="773">
        <v>699</v>
      </c>
      <c r="V4219" s="773">
        <v>2242</v>
      </c>
      <c r="W4219" s="773" t="s">
        <v>390</v>
      </c>
    </row>
    <row r="4220" spans="19:23">
      <c r="S4220" s="27">
        <v>44773</v>
      </c>
      <c r="T4220" s="773" t="s">
        <v>132</v>
      </c>
      <c r="U4220" s="773">
        <v>63</v>
      </c>
      <c r="V4220" s="773">
        <v>1</v>
      </c>
      <c r="W4220" s="773" t="s">
        <v>410</v>
      </c>
    </row>
    <row r="4221" spans="19:23">
      <c r="S4221" s="27">
        <v>44773</v>
      </c>
      <c r="T4221" s="773" t="s">
        <v>132</v>
      </c>
      <c r="U4221" s="773">
        <v>251</v>
      </c>
      <c r="V4221" s="773">
        <v>1927</v>
      </c>
      <c r="W4221" s="773" t="s">
        <v>390</v>
      </c>
    </row>
    <row r="4222" spans="19:23">
      <c r="S4222" s="27">
        <v>44773</v>
      </c>
      <c r="T4222" s="773" t="s">
        <v>132</v>
      </c>
      <c r="U4222" s="773">
        <v>232</v>
      </c>
      <c r="V4222" s="773">
        <v>2</v>
      </c>
      <c r="W4222" s="773" t="s">
        <v>410</v>
      </c>
    </row>
    <row r="4223" spans="19:23">
      <c r="S4223" s="27">
        <v>44408</v>
      </c>
      <c r="T4223" s="773" t="s">
        <v>132</v>
      </c>
      <c r="U4223" s="773">
        <v>296</v>
      </c>
      <c r="V4223" s="773">
        <v>2340</v>
      </c>
      <c r="W4223" s="773" t="s">
        <v>390</v>
      </c>
    </row>
    <row r="4224" spans="19:23">
      <c r="S4224" s="27">
        <v>44773</v>
      </c>
      <c r="T4224" s="773" t="s">
        <v>132</v>
      </c>
      <c r="U4224" s="773">
        <v>241</v>
      </c>
      <c r="V4224" s="773">
        <v>7</v>
      </c>
      <c r="W4224" s="773" t="s">
        <v>410</v>
      </c>
    </row>
    <row r="4225" spans="19:23">
      <c r="S4225" s="27">
        <v>44408</v>
      </c>
      <c r="T4225" s="773" t="s">
        <v>132</v>
      </c>
      <c r="U4225" s="773">
        <v>94</v>
      </c>
      <c r="V4225" s="773">
        <v>112</v>
      </c>
      <c r="W4225" s="773" t="s">
        <v>390</v>
      </c>
    </row>
    <row r="4226" spans="19:23">
      <c r="S4226" s="27">
        <v>44408</v>
      </c>
      <c r="T4226" s="773" t="s">
        <v>132</v>
      </c>
      <c r="U4226" s="773">
        <v>249</v>
      </c>
      <c r="V4226" s="773">
        <v>2683</v>
      </c>
      <c r="W4226" s="773" t="s">
        <v>390</v>
      </c>
    </row>
    <row r="4227" spans="19:23">
      <c r="S4227" s="27">
        <v>44408</v>
      </c>
      <c r="T4227" s="773" t="s">
        <v>132</v>
      </c>
      <c r="U4227" s="773">
        <v>651</v>
      </c>
      <c r="V4227" s="773">
        <v>332</v>
      </c>
      <c r="W4227" s="773" t="s">
        <v>390</v>
      </c>
    </row>
    <row r="4228" spans="19:23">
      <c r="S4228" s="27">
        <v>44773</v>
      </c>
      <c r="T4228" s="773" t="s">
        <v>132</v>
      </c>
      <c r="U4228" s="773">
        <v>46</v>
      </c>
      <c r="V4228" s="773">
        <v>3583</v>
      </c>
      <c r="W4228" s="773" t="s">
        <v>390</v>
      </c>
    </row>
    <row r="4229" spans="19:23">
      <c r="S4229" s="27">
        <v>44773</v>
      </c>
      <c r="T4229" s="773" t="s">
        <v>132</v>
      </c>
      <c r="U4229" s="773">
        <v>704</v>
      </c>
      <c r="V4229" s="773">
        <v>3392</v>
      </c>
      <c r="W4229" s="773" t="s">
        <v>390</v>
      </c>
    </row>
    <row r="4230" spans="19:23">
      <c r="S4230" s="27">
        <v>44408</v>
      </c>
      <c r="T4230" s="773" t="s">
        <v>132</v>
      </c>
      <c r="U4230" s="773">
        <v>41</v>
      </c>
      <c r="V4230" s="773">
        <v>1</v>
      </c>
      <c r="W4230" s="773" t="s">
        <v>410</v>
      </c>
    </row>
    <row r="4231" spans="19:23">
      <c r="S4231" s="27">
        <v>44408</v>
      </c>
      <c r="T4231" s="773" t="s">
        <v>132</v>
      </c>
      <c r="U4231" s="773">
        <v>171</v>
      </c>
      <c r="V4231" s="773">
        <v>168</v>
      </c>
      <c r="W4231" s="773" t="s">
        <v>390</v>
      </c>
    </row>
    <row r="4232" spans="19:23">
      <c r="S4232" s="27">
        <v>44773</v>
      </c>
      <c r="T4232" s="773" t="s">
        <v>132</v>
      </c>
      <c r="U4232" s="773">
        <v>697</v>
      </c>
      <c r="V4232" s="773">
        <v>1412</v>
      </c>
      <c r="W4232" s="773" t="s">
        <v>390</v>
      </c>
    </row>
    <row r="4233" spans="19:23">
      <c r="S4233" s="27">
        <v>44408</v>
      </c>
      <c r="T4233" s="773" t="s">
        <v>132</v>
      </c>
      <c r="U4233" s="773">
        <v>183</v>
      </c>
      <c r="V4233" s="773">
        <v>2328</v>
      </c>
      <c r="W4233" s="773" t="s">
        <v>390</v>
      </c>
    </row>
    <row r="4234" spans="19:23">
      <c r="S4234" s="27">
        <v>44773</v>
      </c>
      <c r="T4234" s="773" t="s">
        <v>132</v>
      </c>
      <c r="U4234" s="773">
        <v>674</v>
      </c>
      <c r="V4234" s="773">
        <v>3853</v>
      </c>
      <c r="W4234" s="773" t="s">
        <v>390</v>
      </c>
    </row>
    <row r="4235" spans="19:23">
      <c r="S4235" s="27">
        <v>44408</v>
      </c>
      <c r="T4235" s="773" t="s">
        <v>132</v>
      </c>
      <c r="U4235" s="773">
        <v>102</v>
      </c>
      <c r="V4235" s="773">
        <v>4</v>
      </c>
      <c r="W4235" s="773" t="s">
        <v>410</v>
      </c>
    </row>
    <row r="4236" spans="19:23">
      <c r="S4236" s="27">
        <v>44773</v>
      </c>
      <c r="T4236" s="773" t="s">
        <v>132</v>
      </c>
      <c r="U4236" s="773">
        <v>676</v>
      </c>
      <c r="V4236" s="773">
        <v>1</v>
      </c>
      <c r="W4236" s="773" t="s">
        <v>410</v>
      </c>
    </row>
    <row r="4237" spans="19:23">
      <c r="S4237" s="27">
        <v>44773</v>
      </c>
      <c r="T4237" s="773" t="s">
        <v>132</v>
      </c>
      <c r="U4237" s="773">
        <v>61</v>
      </c>
      <c r="V4237" s="773">
        <v>1</v>
      </c>
      <c r="W4237" s="773" t="s">
        <v>410</v>
      </c>
    </row>
    <row r="4238" spans="19:23">
      <c r="S4238" s="27">
        <v>44408</v>
      </c>
      <c r="T4238" s="773" t="s">
        <v>132</v>
      </c>
      <c r="U4238" s="773">
        <v>320</v>
      </c>
      <c r="V4238" s="773">
        <v>158</v>
      </c>
      <c r="W4238" s="773" t="s">
        <v>390</v>
      </c>
    </row>
    <row r="4239" spans="19:23">
      <c r="S4239" s="27">
        <v>44773</v>
      </c>
      <c r="T4239" s="773" t="s">
        <v>132</v>
      </c>
      <c r="U4239" s="773">
        <v>319</v>
      </c>
      <c r="V4239" s="773">
        <v>3267</v>
      </c>
      <c r="W4239" s="773" t="s">
        <v>390</v>
      </c>
    </row>
    <row r="4240" spans="19:23">
      <c r="S4240" s="27">
        <v>44773</v>
      </c>
      <c r="T4240" s="773" t="s">
        <v>132</v>
      </c>
      <c r="U4240" s="773">
        <v>271</v>
      </c>
      <c r="V4240" s="773">
        <v>2807</v>
      </c>
      <c r="W4240" s="773" t="s">
        <v>390</v>
      </c>
    </row>
    <row r="4241" spans="19:23">
      <c r="S4241" s="27">
        <v>44408</v>
      </c>
      <c r="T4241" s="773" t="s">
        <v>132</v>
      </c>
      <c r="U4241" s="773">
        <v>621</v>
      </c>
      <c r="V4241" s="773">
        <v>2391</v>
      </c>
      <c r="W4241" s="773" t="s">
        <v>390</v>
      </c>
    </row>
    <row r="4242" spans="19:23">
      <c r="S4242" s="27">
        <v>44773</v>
      </c>
      <c r="T4242" s="773" t="s">
        <v>132</v>
      </c>
      <c r="U4242" s="773">
        <v>654</v>
      </c>
      <c r="V4242" s="773">
        <v>1064</v>
      </c>
      <c r="W4242" s="773" t="s">
        <v>390</v>
      </c>
    </row>
    <row r="4243" spans="19:23">
      <c r="S4243" s="27">
        <v>44408</v>
      </c>
      <c r="T4243" s="773" t="s">
        <v>132</v>
      </c>
      <c r="U4243" s="773">
        <v>252</v>
      </c>
      <c r="V4243" s="773">
        <v>1268</v>
      </c>
      <c r="W4243" s="773" t="s">
        <v>390</v>
      </c>
    </row>
    <row r="4244" spans="19:23">
      <c r="S4244" s="27">
        <v>44408</v>
      </c>
      <c r="T4244" s="773" t="s">
        <v>132</v>
      </c>
      <c r="U4244" s="773">
        <v>52</v>
      </c>
      <c r="V4244" s="773">
        <v>2</v>
      </c>
      <c r="W4244" s="773" t="s">
        <v>410</v>
      </c>
    </row>
    <row r="4245" spans="19:23">
      <c r="S4245" s="27">
        <v>44773</v>
      </c>
      <c r="T4245" s="773" t="s">
        <v>132</v>
      </c>
      <c r="U4245" s="773">
        <v>72</v>
      </c>
      <c r="V4245" s="773">
        <v>7</v>
      </c>
      <c r="W4245" s="773" t="s">
        <v>410</v>
      </c>
    </row>
    <row r="4246" spans="19:23">
      <c r="S4246" s="27">
        <v>44773</v>
      </c>
      <c r="T4246" s="773" t="s">
        <v>132</v>
      </c>
      <c r="U4246" s="773">
        <v>321</v>
      </c>
      <c r="V4246" s="773">
        <v>2010</v>
      </c>
      <c r="W4246" s="773" t="s">
        <v>390</v>
      </c>
    </row>
    <row r="4247" spans="19:23">
      <c r="S4247" s="27">
        <v>44773</v>
      </c>
      <c r="T4247" s="773" t="s">
        <v>132</v>
      </c>
      <c r="U4247" s="773">
        <v>276</v>
      </c>
      <c r="V4247" s="773">
        <v>1</v>
      </c>
      <c r="W4247" s="773" t="s">
        <v>410</v>
      </c>
    </row>
    <row r="4248" spans="19:23">
      <c r="S4248" s="27">
        <v>44773</v>
      </c>
      <c r="T4248" s="773" t="s">
        <v>132</v>
      </c>
      <c r="U4248" s="773">
        <v>671</v>
      </c>
      <c r="V4248" s="773">
        <v>1929</v>
      </c>
      <c r="W4248" s="773" t="s">
        <v>390</v>
      </c>
    </row>
    <row r="4249" spans="19:23">
      <c r="S4249" s="27">
        <v>44773</v>
      </c>
      <c r="T4249" s="773" t="s">
        <v>132</v>
      </c>
      <c r="U4249" s="773">
        <v>320</v>
      </c>
      <c r="V4249" s="773">
        <v>1723</v>
      </c>
      <c r="W4249" s="773" t="s">
        <v>390</v>
      </c>
    </row>
    <row r="4250" spans="19:23">
      <c r="S4250" s="27">
        <v>44408</v>
      </c>
      <c r="T4250" s="773" t="s">
        <v>132</v>
      </c>
      <c r="U4250" s="773">
        <v>264</v>
      </c>
      <c r="V4250" s="773">
        <v>948</v>
      </c>
      <c r="W4250" s="773" t="s">
        <v>390</v>
      </c>
    </row>
    <row r="4251" spans="19:23">
      <c r="S4251" s="27">
        <v>44773</v>
      </c>
      <c r="T4251" s="773" t="s">
        <v>132</v>
      </c>
      <c r="U4251" s="773">
        <v>290</v>
      </c>
      <c r="V4251" s="773">
        <v>573</v>
      </c>
      <c r="W4251" s="773" t="s">
        <v>390</v>
      </c>
    </row>
    <row r="4252" spans="19:23">
      <c r="S4252" s="27">
        <v>44408</v>
      </c>
      <c r="T4252" s="773" t="s">
        <v>132</v>
      </c>
      <c r="U4252" s="773">
        <v>664</v>
      </c>
      <c r="V4252" s="773">
        <v>2160</v>
      </c>
      <c r="W4252" s="773" t="s">
        <v>390</v>
      </c>
    </row>
    <row r="4253" spans="19:23">
      <c r="S4253" s="27">
        <v>44773</v>
      </c>
      <c r="T4253" s="773" t="s">
        <v>132</v>
      </c>
      <c r="U4253" s="773">
        <v>266</v>
      </c>
      <c r="V4253" s="773">
        <v>2594</v>
      </c>
      <c r="W4253" s="773" t="s">
        <v>390</v>
      </c>
    </row>
    <row r="4254" spans="19:23">
      <c r="S4254" s="27">
        <v>44408</v>
      </c>
      <c r="T4254" s="773" t="s">
        <v>132</v>
      </c>
      <c r="U4254" s="773">
        <v>93</v>
      </c>
      <c r="V4254" s="773">
        <v>12099</v>
      </c>
      <c r="W4254" s="773" t="s">
        <v>390</v>
      </c>
    </row>
    <row r="4255" spans="19:23">
      <c r="S4255" s="27">
        <v>44773</v>
      </c>
      <c r="T4255" s="773" t="s">
        <v>132</v>
      </c>
      <c r="U4255" s="773">
        <v>124</v>
      </c>
      <c r="V4255" s="773">
        <v>6</v>
      </c>
      <c r="W4255" s="773" t="s">
        <v>410</v>
      </c>
    </row>
    <row r="4256" spans="19:23">
      <c r="S4256" s="27">
        <v>44773</v>
      </c>
      <c r="T4256" s="773" t="s">
        <v>132</v>
      </c>
      <c r="U4256" s="773">
        <v>157</v>
      </c>
      <c r="V4256" s="773">
        <v>7</v>
      </c>
      <c r="W4256" s="773" t="s">
        <v>410</v>
      </c>
    </row>
    <row r="4257" spans="19:23">
      <c r="S4257" s="27">
        <v>44408</v>
      </c>
      <c r="T4257" s="773" t="s">
        <v>132</v>
      </c>
      <c r="U4257" s="773">
        <v>82</v>
      </c>
      <c r="V4257" s="773">
        <v>2168</v>
      </c>
      <c r="W4257" s="773" t="s">
        <v>390</v>
      </c>
    </row>
    <row r="4258" spans="19:23">
      <c r="S4258" s="27">
        <v>44773</v>
      </c>
      <c r="T4258" s="773" t="s">
        <v>132</v>
      </c>
      <c r="U4258" s="773">
        <v>297</v>
      </c>
      <c r="V4258" s="773">
        <v>684</v>
      </c>
      <c r="W4258" s="773" t="s">
        <v>390</v>
      </c>
    </row>
    <row r="4259" spans="19:23">
      <c r="S4259" s="27">
        <v>44773</v>
      </c>
      <c r="T4259" s="773" t="s">
        <v>132</v>
      </c>
      <c r="U4259" s="773">
        <v>58</v>
      </c>
      <c r="V4259" s="773">
        <v>1</v>
      </c>
      <c r="W4259" s="773" t="s">
        <v>410</v>
      </c>
    </row>
    <row r="4260" spans="19:23">
      <c r="S4260" s="27">
        <v>44408</v>
      </c>
      <c r="T4260" s="773" t="s">
        <v>132</v>
      </c>
      <c r="U4260" s="773">
        <v>181</v>
      </c>
      <c r="V4260" s="773">
        <v>1</v>
      </c>
      <c r="W4260" s="773" t="s">
        <v>410</v>
      </c>
    </row>
    <row r="4261" spans="19:23">
      <c r="S4261" s="27">
        <v>44773</v>
      </c>
      <c r="T4261" s="773" t="s">
        <v>132</v>
      </c>
      <c r="U4261" s="773">
        <v>684</v>
      </c>
      <c r="V4261" s="773">
        <v>3359</v>
      </c>
      <c r="W4261" s="773" t="s">
        <v>390</v>
      </c>
    </row>
    <row r="4262" spans="19:23">
      <c r="S4262" s="27">
        <v>44408</v>
      </c>
      <c r="T4262" s="773" t="s">
        <v>132</v>
      </c>
      <c r="U4262" s="773">
        <v>153</v>
      </c>
      <c r="V4262" s="773">
        <v>2178</v>
      </c>
      <c r="W4262" s="773" t="s">
        <v>390</v>
      </c>
    </row>
    <row r="4263" spans="19:23">
      <c r="S4263" s="27">
        <v>44408</v>
      </c>
      <c r="T4263" s="773" t="s">
        <v>132</v>
      </c>
      <c r="U4263" s="773">
        <v>63</v>
      </c>
      <c r="V4263" s="773">
        <v>1</v>
      </c>
      <c r="W4263" s="773" t="s">
        <v>410</v>
      </c>
    </row>
    <row r="4264" spans="19:23">
      <c r="S4264" s="27">
        <v>44408</v>
      </c>
      <c r="T4264" s="773" t="s">
        <v>132</v>
      </c>
      <c r="U4264" s="773">
        <v>230</v>
      </c>
      <c r="V4264" s="773">
        <v>1</v>
      </c>
      <c r="W4264" s="773" t="s">
        <v>410</v>
      </c>
    </row>
    <row r="4265" spans="19:23">
      <c r="S4265" s="27">
        <v>44773</v>
      </c>
      <c r="T4265" s="773" t="s">
        <v>132</v>
      </c>
      <c r="U4265" s="773">
        <v>245</v>
      </c>
      <c r="V4265" s="773">
        <v>3301</v>
      </c>
      <c r="W4265" s="773" t="s">
        <v>390</v>
      </c>
    </row>
    <row r="4266" spans="19:23">
      <c r="S4266" s="27">
        <v>44408</v>
      </c>
      <c r="T4266" s="773" t="s">
        <v>132</v>
      </c>
      <c r="U4266" s="773">
        <v>641</v>
      </c>
      <c r="V4266" s="773">
        <v>2918</v>
      </c>
      <c r="W4266" s="773" t="s">
        <v>390</v>
      </c>
    </row>
    <row r="4267" spans="19:23">
      <c r="S4267" s="27">
        <v>44408</v>
      </c>
      <c r="T4267" s="773" t="s">
        <v>132</v>
      </c>
      <c r="U4267" s="773">
        <v>48</v>
      </c>
      <c r="V4267" s="773">
        <v>748</v>
      </c>
      <c r="W4267" s="773" t="s">
        <v>390</v>
      </c>
    </row>
    <row r="4268" spans="19:23">
      <c r="S4268" s="27">
        <v>44408</v>
      </c>
      <c r="T4268" s="773" t="s">
        <v>132</v>
      </c>
      <c r="U4268" s="773">
        <v>46</v>
      </c>
      <c r="V4268" s="773">
        <v>2825</v>
      </c>
      <c r="W4268" s="773" t="s">
        <v>390</v>
      </c>
    </row>
    <row r="4269" spans="19:23">
      <c r="S4269" s="27">
        <v>44408</v>
      </c>
      <c r="T4269" s="773" t="s">
        <v>132</v>
      </c>
      <c r="U4269" s="773">
        <v>266</v>
      </c>
      <c r="V4269" s="773">
        <v>2287</v>
      </c>
      <c r="W4269" s="773" t="s">
        <v>390</v>
      </c>
    </row>
    <row r="4270" spans="19:23">
      <c r="S4270" s="27">
        <v>44408</v>
      </c>
      <c r="T4270" s="773" t="s">
        <v>132</v>
      </c>
      <c r="U4270" s="773">
        <v>245</v>
      </c>
      <c r="V4270" s="773">
        <v>2680</v>
      </c>
      <c r="W4270" s="773" t="s">
        <v>390</v>
      </c>
    </row>
    <row r="4271" spans="19:23">
      <c r="S4271" s="27">
        <v>44773</v>
      </c>
      <c r="T4271" s="773" t="s">
        <v>132</v>
      </c>
      <c r="U4271" s="773">
        <v>133</v>
      </c>
      <c r="V4271" s="773">
        <v>5</v>
      </c>
      <c r="W4271" s="773" t="s">
        <v>410</v>
      </c>
    </row>
    <row r="4272" spans="19:23">
      <c r="S4272" s="27">
        <v>44773</v>
      </c>
      <c r="T4272" s="773" t="s">
        <v>132</v>
      </c>
      <c r="U4272" s="773">
        <v>40</v>
      </c>
      <c r="V4272" s="773">
        <v>10</v>
      </c>
      <c r="W4272" s="773" t="s">
        <v>410</v>
      </c>
    </row>
    <row r="4273" spans="19:23">
      <c r="S4273" s="27">
        <v>44408</v>
      </c>
      <c r="T4273" s="773" t="s">
        <v>132</v>
      </c>
      <c r="U4273" s="773">
        <v>654</v>
      </c>
      <c r="V4273" s="773">
        <v>2442</v>
      </c>
      <c r="W4273" s="773" t="s">
        <v>390</v>
      </c>
    </row>
    <row r="4274" spans="19:23">
      <c r="S4274" s="27">
        <v>44408</v>
      </c>
      <c r="T4274" s="773" t="s">
        <v>132</v>
      </c>
      <c r="U4274" s="773">
        <v>318</v>
      </c>
      <c r="V4274" s="773">
        <v>2040</v>
      </c>
      <c r="W4274" s="773" t="s">
        <v>390</v>
      </c>
    </row>
    <row r="4275" spans="19:23">
      <c r="S4275" s="27">
        <v>44408</v>
      </c>
      <c r="T4275" s="773" t="s">
        <v>132</v>
      </c>
      <c r="U4275" s="773">
        <v>653</v>
      </c>
      <c r="V4275" s="773">
        <v>102</v>
      </c>
      <c r="W4275" s="773" t="s">
        <v>390</v>
      </c>
    </row>
    <row r="4276" spans="19:23">
      <c r="S4276" s="27">
        <v>44408</v>
      </c>
      <c r="T4276" s="773" t="s">
        <v>132</v>
      </c>
      <c r="U4276" s="773">
        <v>687</v>
      </c>
      <c r="V4276" s="773">
        <v>675</v>
      </c>
      <c r="W4276" s="773" t="s">
        <v>390</v>
      </c>
    </row>
    <row r="4277" spans="19:23">
      <c r="S4277" s="27">
        <v>44408</v>
      </c>
      <c r="T4277" s="773" t="s">
        <v>132</v>
      </c>
      <c r="U4277" s="773">
        <v>622</v>
      </c>
      <c r="V4277" s="773">
        <v>1</v>
      </c>
      <c r="W4277" s="773" t="s">
        <v>410</v>
      </c>
    </row>
    <row r="4278" spans="19:23">
      <c r="S4278" s="27">
        <v>44408</v>
      </c>
      <c r="T4278" s="773" t="s">
        <v>132</v>
      </c>
      <c r="U4278" s="773">
        <v>40</v>
      </c>
      <c r="V4278" s="773">
        <v>3</v>
      </c>
      <c r="W4278" s="773" t="s">
        <v>410</v>
      </c>
    </row>
    <row r="4279" spans="19:23">
      <c r="S4279" s="27">
        <v>44408</v>
      </c>
      <c r="T4279" s="773" t="s">
        <v>132</v>
      </c>
      <c r="U4279" s="773">
        <v>652</v>
      </c>
      <c r="V4279" s="773">
        <v>2717</v>
      </c>
      <c r="W4279" s="773" t="s">
        <v>390</v>
      </c>
    </row>
    <row r="4280" spans="19:23">
      <c r="S4280" s="27">
        <v>44408</v>
      </c>
      <c r="T4280" s="773" t="s">
        <v>132</v>
      </c>
      <c r="U4280" s="773">
        <v>255</v>
      </c>
      <c r="V4280" s="773">
        <v>2796</v>
      </c>
      <c r="W4280" s="773" t="s">
        <v>390</v>
      </c>
    </row>
    <row r="4281" spans="19:23">
      <c r="S4281" s="27">
        <v>44773</v>
      </c>
      <c r="T4281" s="773" t="s">
        <v>132</v>
      </c>
      <c r="U4281" s="773">
        <v>641</v>
      </c>
      <c r="V4281" s="773">
        <v>2213</v>
      </c>
      <c r="W4281" s="773" t="s">
        <v>390</v>
      </c>
    </row>
    <row r="4282" spans="19:23">
      <c r="S4282" s="27">
        <v>44408</v>
      </c>
      <c r="T4282" s="773" t="s">
        <v>132</v>
      </c>
      <c r="U4282" s="773">
        <v>291</v>
      </c>
      <c r="V4282" s="773">
        <v>2104</v>
      </c>
      <c r="W4282" s="773" t="s">
        <v>390</v>
      </c>
    </row>
    <row r="4283" spans="19:23">
      <c r="S4283" s="27">
        <v>44408</v>
      </c>
      <c r="T4283" s="773" t="s">
        <v>132</v>
      </c>
      <c r="U4283" s="773">
        <v>105</v>
      </c>
      <c r="V4283" s="773">
        <v>1</v>
      </c>
      <c r="W4283" s="773" t="s">
        <v>410</v>
      </c>
    </row>
    <row r="4284" spans="19:23">
      <c r="S4284" s="27">
        <v>44773</v>
      </c>
      <c r="T4284" s="773" t="s">
        <v>132</v>
      </c>
      <c r="U4284" s="773">
        <v>720</v>
      </c>
      <c r="V4284" s="773">
        <v>2678</v>
      </c>
      <c r="W4284" s="773" t="s">
        <v>390</v>
      </c>
    </row>
    <row r="4285" spans="19:23">
      <c r="S4285" s="27">
        <v>44408</v>
      </c>
      <c r="T4285" s="773" t="s">
        <v>132</v>
      </c>
      <c r="U4285" s="773">
        <v>130</v>
      </c>
      <c r="V4285" s="773">
        <v>1</v>
      </c>
      <c r="W4285" s="773" t="s">
        <v>410</v>
      </c>
    </row>
    <row r="4286" spans="19:23">
      <c r="S4286" s="27">
        <v>44408</v>
      </c>
      <c r="T4286" s="773" t="s">
        <v>132</v>
      </c>
      <c r="U4286" s="773">
        <v>269</v>
      </c>
      <c r="V4286" s="773">
        <v>1</v>
      </c>
      <c r="W4286" s="773" t="s">
        <v>410</v>
      </c>
    </row>
    <row r="4287" spans="19:23">
      <c r="S4287" s="27">
        <v>44408</v>
      </c>
      <c r="T4287" s="773" t="s">
        <v>132</v>
      </c>
      <c r="U4287" s="773">
        <v>220</v>
      </c>
      <c r="V4287" s="773">
        <v>182</v>
      </c>
      <c r="W4287" s="773" t="s">
        <v>390</v>
      </c>
    </row>
    <row r="4288" spans="19:23">
      <c r="S4288" s="27">
        <v>44408</v>
      </c>
      <c r="T4288" s="773" t="s">
        <v>132</v>
      </c>
      <c r="U4288" s="773">
        <v>100</v>
      </c>
      <c r="V4288" s="773">
        <v>3</v>
      </c>
      <c r="W4288" s="773" t="s">
        <v>410</v>
      </c>
    </row>
    <row r="4289" spans="19:23">
      <c r="S4289" s="27">
        <v>44773</v>
      </c>
      <c r="T4289" s="773" t="s">
        <v>132</v>
      </c>
      <c r="U4289" s="773">
        <v>101</v>
      </c>
      <c r="V4289" s="773">
        <v>287</v>
      </c>
      <c r="W4289" s="773" t="s">
        <v>390</v>
      </c>
    </row>
    <row r="4290" spans="19:23">
      <c r="S4290" s="27">
        <v>44773</v>
      </c>
      <c r="T4290" s="773" t="s">
        <v>132</v>
      </c>
      <c r="U4290" s="773">
        <v>523</v>
      </c>
      <c r="V4290" s="773">
        <v>1</v>
      </c>
      <c r="W4290" s="773" t="s">
        <v>410</v>
      </c>
    </row>
    <row r="4291" spans="19:23">
      <c r="S4291" s="27">
        <v>44408</v>
      </c>
      <c r="T4291" s="773" t="s">
        <v>132</v>
      </c>
      <c r="U4291" s="773">
        <v>667</v>
      </c>
      <c r="V4291" s="773">
        <v>1</v>
      </c>
      <c r="W4291" s="773" t="s">
        <v>410</v>
      </c>
    </row>
    <row r="4292" spans="19:23">
      <c r="S4292" s="27">
        <v>44773</v>
      </c>
      <c r="T4292" s="773" t="s">
        <v>132</v>
      </c>
      <c r="U4292" s="773">
        <v>283</v>
      </c>
      <c r="V4292" s="773">
        <v>1</v>
      </c>
      <c r="W4292" s="773" t="s">
        <v>410</v>
      </c>
    </row>
    <row r="4293" spans="19:23">
      <c r="S4293" s="27">
        <v>44408</v>
      </c>
      <c r="T4293" s="773" t="s">
        <v>132</v>
      </c>
      <c r="U4293" s="773">
        <v>193</v>
      </c>
      <c r="V4293" s="773">
        <v>394</v>
      </c>
      <c r="W4293" s="773" t="s">
        <v>390</v>
      </c>
    </row>
    <row r="4294" spans="19:23">
      <c r="S4294" s="27">
        <v>44773</v>
      </c>
      <c r="T4294" s="773" t="s">
        <v>132</v>
      </c>
      <c r="U4294" s="773">
        <v>148</v>
      </c>
      <c r="V4294" s="773">
        <v>1</v>
      </c>
      <c r="W4294" s="773" t="s">
        <v>410</v>
      </c>
    </row>
    <row r="4295" spans="19:23">
      <c r="S4295" s="27">
        <v>44408</v>
      </c>
      <c r="T4295" s="773" t="s">
        <v>132</v>
      </c>
      <c r="U4295" s="773">
        <v>666</v>
      </c>
      <c r="V4295" s="773">
        <v>1390</v>
      </c>
      <c r="W4295" s="773" t="s">
        <v>390</v>
      </c>
    </row>
    <row r="4296" spans="19:23">
      <c r="S4296" s="27">
        <v>44408</v>
      </c>
      <c r="T4296" s="773" t="s">
        <v>132</v>
      </c>
      <c r="U4296" s="773">
        <v>159</v>
      </c>
      <c r="V4296" s="773">
        <v>12</v>
      </c>
      <c r="W4296" s="773" t="s">
        <v>410</v>
      </c>
    </row>
    <row r="4297" spans="19:23">
      <c r="S4297" s="27">
        <v>44773</v>
      </c>
      <c r="T4297" s="773" t="s">
        <v>132</v>
      </c>
      <c r="U4297" s="773">
        <v>108</v>
      </c>
      <c r="V4297" s="773">
        <v>6</v>
      </c>
      <c r="W4297" s="773" t="s">
        <v>410</v>
      </c>
    </row>
    <row r="4298" spans="19:23">
      <c r="S4298" s="27">
        <v>44773</v>
      </c>
      <c r="T4298" s="773" t="s">
        <v>132</v>
      </c>
      <c r="U4298" s="773">
        <v>215</v>
      </c>
      <c r="V4298" s="773">
        <v>710</v>
      </c>
      <c r="W4298" s="773" t="s">
        <v>390</v>
      </c>
    </row>
    <row r="4299" spans="19:23">
      <c r="S4299" s="27">
        <v>44408</v>
      </c>
      <c r="T4299" s="773" t="s">
        <v>132</v>
      </c>
      <c r="U4299" s="773">
        <v>684</v>
      </c>
      <c r="V4299" s="773">
        <v>2670</v>
      </c>
      <c r="W4299" s="773" t="s">
        <v>390</v>
      </c>
    </row>
    <row r="4300" spans="19:23">
      <c r="S4300" s="27">
        <v>44773</v>
      </c>
      <c r="T4300" s="773" t="s">
        <v>132</v>
      </c>
      <c r="U4300" s="773">
        <v>669</v>
      </c>
      <c r="V4300" s="773">
        <v>3056</v>
      </c>
      <c r="W4300" s="773" t="s">
        <v>390</v>
      </c>
    </row>
    <row r="4301" spans="19:23">
      <c r="S4301" s="27">
        <v>44408</v>
      </c>
      <c r="T4301" s="773" t="s">
        <v>132</v>
      </c>
      <c r="U4301" s="773">
        <v>678</v>
      </c>
      <c r="V4301" s="773">
        <v>2737</v>
      </c>
      <c r="W4301" s="773" t="s">
        <v>390</v>
      </c>
    </row>
    <row r="4302" spans="19:23">
      <c r="S4302" s="27">
        <v>44408</v>
      </c>
      <c r="T4302" s="773" t="s">
        <v>132</v>
      </c>
      <c r="U4302" s="773">
        <v>295</v>
      </c>
      <c r="V4302" s="773">
        <v>6</v>
      </c>
      <c r="W4302" s="773" t="s">
        <v>410</v>
      </c>
    </row>
    <row r="4303" spans="19:23">
      <c r="S4303" s="27">
        <v>44408</v>
      </c>
      <c r="T4303" s="773" t="s">
        <v>132</v>
      </c>
      <c r="U4303" s="773">
        <v>194</v>
      </c>
      <c r="V4303" s="773">
        <v>3377</v>
      </c>
      <c r="W4303" s="773" t="s">
        <v>390</v>
      </c>
    </row>
    <row r="4304" spans="19:23">
      <c r="S4304" s="27">
        <v>44773</v>
      </c>
      <c r="T4304" s="773" t="s">
        <v>132</v>
      </c>
      <c r="U4304" s="773">
        <v>230</v>
      </c>
      <c r="V4304" s="773">
        <v>1</v>
      </c>
      <c r="W4304" s="773" t="s">
        <v>410</v>
      </c>
    </row>
    <row r="4305" spans="19:23">
      <c r="S4305" s="27">
        <v>44408</v>
      </c>
      <c r="T4305" s="773" t="s">
        <v>132</v>
      </c>
      <c r="U4305" s="773">
        <v>243</v>
      </c>
      <c r="V4305" s="773">
        <v>656</v>
      </c>
      <c r="W4305" s="773" t="s">
        <v>390</v>
      </c>
    </row>
    <row r="4306" spans="19:23">
      <c r="S4306" s="27">
        <v>44773</v>
      </c>
      <c r="T4306" s="773" t="s">
        <v>132</v>
      </c>
      <c r="U4306" s="773">
        <v>44</v>
      </c>
      <c r="V4306" s="773">
        <v>2217</v>
      </c>
      <c r="W4306" s="773" t="s">
        <v>390</v>
      </c>
    </row>
    <row r="4307" spans="19:23">
      <c r="S4307" s="27">
        <v>44773</v>
      </c>
      <c r="T4307" s="773" t="s">
        <v>132</v>
      </c>
      <c r="U4307" s="773">
        <v>718</v>
      </c>
      <c r="V4307" s="773">
        <v>1376</v>
      </c>
      <c r="W4307" s="773" t="s">
        <v>390</v>
      </c>
    </row>
    <row r="4308" spans="19:23">
      <c r="S4308" s="27">
        <v>44773</v>
      </c>
      <c r="T4308" s="773" t="s">
        <v>132</v>
      </c>
      <c r="U4308" s="773">
        <v>212</v>
      </c>
      <c r="V4308" s="773">
        <v>3533</v>
      </c>
      <c r="W4308" s="773" t="s">
        <v>390</v>
      </c>
    </row>
    <row r="4309" spans="19:23">
      <c r="S4309" s="27">
        <v>44773</v>
      </c>
      <c r="T4309" s="773" t="s">
        <v>132</v>
      </c>
      <c r="U4309" s="773">
        <v>130</v>
      </c>
      <c r="V4309" s="773">
        <v>1</v>
      </c>
      <c r="W4309" s="773" t="s">
        <v>410</v>
      </c>
    </row>
    <row r="4310" spans="19:23">
      <c r="S4310" s="27">
        <v>44773</v>
      </c>
      <c r="T4310" s="773" t="s">
        <v>132</v>
      </c>
      <c r="U4310" s="773">
        <v>670</v>
      </c>
      <c r="V4310" s="773">
        <v>2615</v>
      </c>
      <c r="W4310" s="773" t="s">
        <v>390</v>
      </c>
    </row>
    <row r="4311" spans="19:23">
      <c r="S4311" s="27">
        <v>44408</v>
      </c>
      <c r="T4311" s="773" t="s">
        <v>132</v>
      </c>
      <c r="U4311" s="773">
        <v>303</v>
      </c>
      <c r="V4311" s="773">
        <v>2455</v>
      </c>
      <c r="W4311" s="773" t="s">
        <v>390</v>
      </c>
    </row>
    <row r="4312" spans="19:23">
      <c r="S4312" s="27">
        <v>44408</v>
      </c>
      <c r="T4312" s="773" t="s">
        <v>132</v>
      </c>
      <c r="U4312" s="773">
        <v>139</v>
      </c>
      <c r="V4312" s="773">
        <v>2936</v>
      </c>
      <c r="W4312" s="773" t="s">
        <v>390</v>
      </c>
    </row>
    <row r="4313" spans="19:23">
      <c r="S4313" s="27">
        <v>44408</v>
      </c>
      <c r="T4313" s="773" t="s">
        <v>132</v>
      </c>
      <c r="U4313" s="773">
        <v>523</v>
      </c>
      <c r="V4313" s="773">
        <v>13</v>
      </c>
      <c r="W4313" s="773" t="s">
        <v>410</v>
      </c>
    </row>
    <row r="4314" spans="19:23">
      <c r="S4314" s="27">
        <v>44773</v>
      </c>
      <c r="T4314" s="773" t="s">
        <v>132</v>
      </c>
      <c r="U4314" s="773">
        <v>698</v>
      </c>
      <c r="V4314" s="773">
        <v>3087</v>
      </c>
      <c r="W4314" s="773" t="s">
        <v>390</v>
      </c>
    </row>
    <row r="4315" spans="19:23">
      <c r="S4315" s="27">
        <v>44773</v>
      </c>
      <c r="T4315" s="773" t="s">
        <v>132</v>
      </c>
      <c r="U4315" s="773">
        <v>193</v>
      </c>
      <c r="V4315" s="773">
        <v>434</v>
      </c>
      <c r="W4315" s="773" t="s">
        <v>390</v>
      </c>
    </row>
    <row r="4316" spans="19:23">
      <c r="S4316" s="27">
        <v>44773</v>
      </c>
      <c r="T4316" s="773" t="s">
        <v>132</v>
      </c>
      <c r="U4316" s="773">
        <v>239</v>
      </c>
      <c r="V4316" s="773">
        <v>7</v>
      </c>
      <c r="W4316" s="773" t="s">
        <v>410</v>
      </c>
    </row>
    <row r="4317" spans="19:23">
      <c r="S4317" s="27">
        <v>44773</v>
      </c>
      <c r="T4317" s="773" t="s">
        <v>132</v>
      </c>
      <c r="U4317" s="773">
        <v>240</v>
      </c>
      <c r="V4317" s="773">
        <v>3</v>
      </c>
      <c r="W4317" s="773" t="s">
        <v>410</v>
      </c>
    </row>
    <row r="4318" spans="19:23">
      <c r="S4318" s="27">
        <v>44408</v>
      </c>
      <c r="T4318" s="773" t="s">
        <v>132</v>
      </c>
      <c r="U4318" s="773">
        <v>113</v>
      </c>
      <c r="V4318" s="773">
        <v>2</v>
      </c>
      <c r="W4318" s="773" t="s">
        <v>410</v>
      </c>
    </row>
    <row r="4319" spans="19:23">
      <c r="S4319" s="27">
        <v>44773</v>
      </c>
      <c r="T4319" s="773" t="s">
        <v>132</v>
      </c>
      <c r="U4319" s="773">
        <v>60</v>
      </c>
      <c r="V4319" s="773">
        <v>1</v>
      </c>
      <c r="W4319" s="773" t="s">
        <v>410</v>
      </c>
    </row>
    <row r="4320" spans="19:23">
      <c r="S4320" s="27">
        <v>44408</v>
      </c>
      <c r="T4320" s="773" t="s">
        <v>132</v>
      </c>
      <c r="U4320" s="773">
        <v>297</v>
      </c>
      <c r="V4320" s="773">
        <v>96</v>
      </c>
      <c r="W4320" s="773" t="s">
        <v>410</v>
      </c>
    </row>
    <row r="4321" spans="19:23">
      <c r="S4321" s="27">
        <v>44773</v>
      </c>
      <c r="T4321" s="773" t="s">
        <v>132</v>
      </c>
      <c r="U4321" s="773">
        <v>328</v>
      </c>
      <c r="V4321" s="773">
        <v>1491</v>
      </c>
      <c r="W4321" s="773" t="s">
        <v>390</v>
      </c>
    </row>
    <row r="4322" spans="19:23">
      <c r="S4322" s="27">
        <v>44773</v>
      </c>
      <c r="T4322" s="773" t="s">
        <v>132</v>
      </c>
      <c r="U4322" s="773">
        <v>645</v>
      </c>
      <c r="V4322" s="773">
        <v>764</v>
      </c>
      <c r="W4322" s="773" t="s">
        <v>390</v>
      </c>
    </row>
    <row r="4323" spans="19:23">
      <c r="S4323" s="27">
        <v>44773</v>
      </c>
      <c r="T4323" s="773" t="s">
        <v>132</v>
      </c>
      <c r="U4323" s="773">
        <v>292</v>
      </c>
      <c r="V4323" s="773">
        <v>4</v>
      </c>
      <c r="W4323" s="773" t="s">
        <v>410</v>
      </c>
    </row>
    <row r="4324" spans="19:23">
      <c r="S4324" s="27">
        <v>44408</v>
      </c>
      <c r="T4324" s="773" t="s">
        <v>132</v>
      </c>
      <c r="U4324" s="773">
        <v>44</v>
      </c>
      <c r="V4324" s="773">
        <v>3051</v>
      </c>
      <c r="W4324" s="773" t="s">
        <v>390</v>
      </c>
    </row>
    <row r="4325" spans="19:23">
      <c r="S4325" s="27">
        <v>44773</v>
      </c>
      <c r="T4325" s="773" t="s">
        <v>132</v>
      </c>
      <c r="U4325" s="773">
        <v>665</v>
      </c>
      <c r="V4325" s="773">
        <v>3409</v>
      </c>
      <c r="W4325" s="773" t="s">
        <v>390</v>
      </c>
    </row>
    <row r="4326" spans="19:23">
      <c r="S4326" s="27">
        <v>44773</v>
      </c>
      <c r="T4326" s="773" t="s">
        <v>132</v>
      </c>
      <c r="U4326" s="773">
        <v>252</v>
      </c>
      <c r="V4326" s="773">
        <v>893</v>
      </c>
      <c r="W4326" s="773" t="s">
        <v>390</v>
      </c>
    </row>
    <row r="4327" spans="19:23">
      <c r="S4327" s="27">
        <v>44408</v>
      </c>
      <c r="T4327" s="773" t="s">
        <v>132</v>
      </c>
      <c r="U4327" s="773">
        <v>124</v>
      </c>
      <c r="V4327" s="773">
        <v>10</v>
      </c>
      <c r="W4327" s="773" t="s">
        <v>410</v>
      </c>
    </row>
    <row r="4328" spans="19:23">
      <c r="S4328" s="27">
        <v>44773</v>
      </c>
      <c r="T4328" s="773" t="s">
        <v>132</v>
      </c>
      <c r="U4328" s="773">
        <v>169</v>
      </c>
      <c r="V4328" s="773">
        <v>3165</v>
      </c>
      <c r="W4328" s="773" t="s">
        <v>390</v>
      </c>
    </row>
    <row r="4329" spans="19:23">
      <c r="S4329" s="27">
        <v>44408</v>
      </c>
      <c r="T4329" s="773" t="s">
        <v>132</v>
      </c>
      <c r="U4329" s="773">
        <v>247</v>
      </c>
      <c r="V4329" s="773">
        <v>32</v>
      </c>
      <c r="W4329" s="773" t="s">
        <v>410</v>
      </c>
    </row>
    <row r="4330" spans="19:23">
      <c r="S4330" s="27">
        <v>44408</v>
      </c>
      <c r="T4330" s="773" t="s">
        <v>132</v>
      </c>
      <c r="U4330" s="773">
        <v>293</v>
      </c>
      <c r="V4330" s="773">
        <v>521</v>
      </c>
      <c r="W4330" s="773" t="s">
        <v>390</v>
      </c>
    </row>
    <row r="4331" spans="19:23">
      <c r="S4331" s="27">
        <v>44773</v>
      </c>
      <c r="T4331" s="773" t="s">
        <v>132</v>
      </c>
      <c r="U4331" s="773">
        <v>306</v>
      </c>
      <c r="V4331" s="773">
        <v>2341</v>
      </c>
      <c r="W4331" s="773" t="s">
        <v>390</v>
      </c>
    </row>
    <row r="4332" spans="19:23">
      <c r="S4332" s="27">
        <v>44773</v>
      </c>
      <c r="T4332" s="773" t="s">
        <v>132</v>
      </c>
      <c r="U4332" s="773">
        <v>70</v>
      </c>
      <c r="V4332" s="773">
        <v>214</v>
      </c>
      <c r="W4332" s="773" t="s">
        <v>390</v>
      </c>
    </row>
    <row r="4333" spans="19:23">
      <c r="S4333" s="27">
        <v>44408</v>
      </c>
      <c r="T4333" s="773" t="s">
        <v>132</v>
      </c>
      <c r="U4333" s="773">
        <v>202</v>
      </c>
      <c r="V4333" s="773">
        <v>1</v>
      </c>
      <c r="W4333" s="773" t="s">
        <v>410</v>
      </c>
    </row>
    <row r="4334" spans="19:23">
      <c r="S4334" s="27">
        <v>44408</v>
      </c>
      <c r="T4334" s="773" t="s">
        <v>132</v>
      </c>
      <c r="U4334" s="773">
        <v>114</v>
      </c>
      <c r="V4334" s="773">
        <v>1</v>
      </c>
      <c r="W4334" s="773" t="s">
        <v>410</v>
      </c>
    </row>
    <row r="4335" spans="19:23">
      <c r="S4335" s="27">
        <v>44773</v>
      </c>
      <c r="T4335" s="773" t="s">
        <v>132</v>
      </c>
      <c r="U4335" s="773">
        <v>686</v>
      </c>
      <c r="V4335" s="773">
        <v>2942</v>
      </c>
      <c r="W4335" s="773" t="s">
        <v>390</v>
      </c>
    </row>
    <row r="4336" spans="19:23">
      <c r="S4336" s="27">
        <v>44773</v>
      </c>
      <c r="T4336" s="773" t="s">
        <v>132</v>
      </c>
      <c r="U4336" s="773">
        <v>41</v>
      </c>
      <c r="V4336" s="773">
        <v>1</v>
      </c>
      <c r="W4336" s="773" t="s">
        <v>410</v>
      </c>
    </row>
    <row r="4337" spans="19:23">
      <c r="S4337" s="27">
        <v>44773</v>
      </c>
      <c r="T4337" s="773" t="s">
        <v>132</v>
      </c>
      <c r="U4337" s="773">
        <v>229</v>
      </c>
      <c r="V4337" s="773">
        <v>1</v>
      </c>
      <c r="W4337" s="773" t="s">
        <v>410</v>
      </c>
    </row>
    <row r="4338" spans="19:23">
      <c r="S4338" s="27">
        <v>44773</v>
      </c>
      <c r="T4338" s="773" t="s">
        <v>132</v>
      </c>
      <c r="U4338" s="773">
        <v>0</v>
      </c>
      <c r="V4338" s="773">
        <v>41</v>
      </c>
      <c r="W4338" s="773" t="s">
        <v>410</v>
      </c>
    </row>
    <row r="4339" spans="19:23">
      <c r="S4339" s="27">
        <v>44408</v>
      </c>
      <c r="T4339" s="773" t="s">
        <v>132</v>
      </c>
      <c r="U4339" s="773">
        <v>182</v>
      </c>
      <c r="V4339" s="773">
        <v>931</v>
      </c>
      <c r="W4339" s="773" t="s">
        <v>390</v>
      </c>
    </row>
    <row r="4340" spans="19:23">
      <c r="S4340" s="27">
        <v>44408</v>
      </c>
      <c r="T4340" s="773" t="s">
        <v>132</v>
      </c>
      <c r="U4340" s="773">
        <v>84</v>
      </c>
      <c r="V4340" s="773">
        <v>2398</v>
      </c>
      <c r="W4340" s="773" t="s">
        <v>390</v>
      </c>
    </row>
    <row r="4341" spans="19:23">
      <c r="S4341" s="27">
        <v>44408</v>
      </c>
      <c r="T4341" s="773" t="s">
        <v>132</v>
      </c>
      <c r="U4341" s="773">
        <v>152</v>
      </c>
      <c r="V4341" s="773">
        <v>2</v>
      </c>
      <c r="W4341" s="773" t="s">
        <v>410</v>
      </c>
    </row>
    <row r="4342" spans="19:23">
      <c r="S4342" s="27">
        <v>44408</v>
      </c>
      <c r="T4342" s="773" t="s">
        <v>132</v>
      </c>
      <c r="U4342" s="773">
        <v>188</v>
      </c>
      <c r="V4342" s="773">
        <v>466</v>
      </c>
      <c r="W4342" s="773" t="s">
        <v>390</v>
      </c>
    </row>
    <row r="4343" spans="19:23">
      <c r="S4343" s="27">
        <v>44408</v>
      </c>
      <c r="T4343" s="773" t="s">
        <v>132</v>
      </c>
      <c r="U4343" s="773">
        <v>701</v>
      </c>
      <c r="V4343" s="773">
        <v>2164</v>
      </c>
      <c r="W4343" s="773" t="s">
        <v>390</v>
      </c>
    </row>
    <row r="4344" spans="19:23">
      <c r="S4344" s="27">
        <v>44773</v>
      </c>
      <c r="T4344" s="773" t="s">
        <v>132</v>
      </c>
      <c r="U4344" s="773">
        <v>304</v>
      </c>
      <c r="V4344" s="773">
        <v>113</v>
      </c>
      <c r="W4344" s="773" t="s">
        <v>390</v>
      </c>
    </row>
    <row r="4345" spans="19:23">
      <c r="S4345" s="27">
        <v>44773</v>
      </c>
      <c r="T4345" s="773" t="s">
        <v>132</v>
      </c>
      <c r="U4345" s="773">
        <v>139</v>
      </c>
      <c r="V4345" s="773">
        <v>2586</v>
      </c>
      <c r="W4345" s="773" t="s">
        <v>390</v>
      </c>
    </row>
    <row r="4346" spans="19:23">
      <c r="S4346" s="27">
        <v>44773</v>
      </c>
      <c r="T4346" s="773" t="s">
        <v>132</v>
      </c>
      <c r="U4346" s="773">
        <v>93</v>
      </c>
      <c r="V4346" s="773">
        <v>3087</v>
      </c>
      <c r="W4346" s="773" t="s">
        <v>390</v>
      </c>
    </row>
    <row r="4347" spans="19:23">
      <c r="S4347" s="27">
        <v>44408</v>
      </c>
      <c r="T4347" s="773" t="s">
        <v>132</v>
      </c>
      <c r="U4347" s="773">
        <v>77</v>
      </c>
      <c r="V4347" s="773">
        <v>3357</v>
      </c>
      <c r="W4347" s="773" t="s">
        <v>390</v>
      </c>
    </row>
    <row r="4348" spans="19:23">
      <c r="S4348" s="27">
        <v>44408</v>
      </c>
      <c r="T4348" s="773" t="s">
        <v>132</v>
      </c>
      <c r="U4348" s="773">
        <v>79</v>
      </c>
      <c r="V4348" s="773">
        <v>4</v>
      </c>
      <c r="W4348" s="773" t="s">
        <v>410</v>
      </c>
    </row>
    <row r="4349" spans="19:23">
      <c r="S4349" s="27">
        <v>44408</v>
      </c>
      <c r="T4349" s="773" t="s">
        <v>132</v>
      </c>
      <c r="U4349" s="773">
        <v>14</v>
      </c>
      <c r="V4349" s="773">
        <v>2</v>
      </c>
      <c r="W4349" s="773" t="s">
        <v>410</v>
      </c>
    </row>
    <row r="4350" spans="19:23">
      <c r="S4350" s="27">
        <v>44773</v>
      </c>
      <c r="T4350" s="773" t="s">
        <v>132</v>
      </c>
      <c r="U4350" s="773">
        <v>666</v>
      </c>
      <c r="V4350" s="773">
        <v>1543</v>
      </c>
      <c r="W4350" s="773" t="s">
        <v>390</v>
      </c>
    </row>
    <row r="4351" spans="19:23">
      <c r="S4351" s="27">
        <v>44408</v>
      </c>
      <c r="T4351" s="773" t="s">
        <v>132</v>
      </c>
      <c r="U4351" s="773">
        <v>262</v>
      </c>
      <c r="V4351" s="773">
        <v>85</v>
      </c>
      <c r="W4351" s="773" t="s">
        <v>410</v>
      </c>
    </row>
    <row r="4352" spans="19:23">
      <c r="S4352" s="27">
        <v>44773</v>
      </c>
      <c r="T4352" s="773" t="s">
        <v>132</v>
      </c>
      <c r="U4352" s="773">
        <v>188</v>
      </c>
      <c r="V4352" s="773">
        <v>713</v>
      </c>
      <c r="W4352" s="773" t="s">
        <v>390</v>
      </c>
    </row>
    <row r="4353" spans="19:23">
      <c r="S4353" s="27">
        <v>44408</v>
      </c>
      <c r="T4353" s="773" t="s">
        <v>132</v>
      </c>
      <c r="U4353" s="773">
        <v>212</v>
      </c>
      <c r="V4353" s="773">
        <v>3444</v>
      </c>
      <c r="W4353" s="773" t="s">
        <v>390</v>
      </c>
    </row>
    <row r="4354" spans="19:23">
      <c r="S4354" s="27">
        <v>44408</v>
      </c>
      <c r="T4354" s="773" t="s">
        <v>132</v>
      </c>
      <c r="U4354" s="773">
        <v>674</v>
      </c>
      <c r="V4354" s="773">
        <v>13</v>
      </c>
      <c r="W4354" s="773" t="s">
        <v>410</v>
      </c>
    </row>
    <row r="4355" spans="19:23">
      <c r="S4355" s="27">
        <v>44408</v>
      </c>
      <c r="T4355" s="773" t="s">
        <v>132</v>
      </c>
      <c r="U4355" s="773">
        <v>700</v>
      </c>
      <c r="V4355" s="773">
        <v>1380</v>
      </c>
      <c r="W4355" s="773" t="s">
        <v>390</v>
      </c>
    </row>
    <row r="4356" spans="19:23">
      <c r="S4356" s="27">
        <v>44408</v>
      </c>
      <c r="T4356" s="773" t="s">
        <v>132</v>
      </c>
      <c r="U4356" s="773">
        <v>626</v>
      </c>
      <c r="V4356" s="773">
        <v>4</v>
      </c>
      <c r="W4356" s="773" t="s">
        <v>410</v>
      </c>
    </row>
    <row r="4357" spans="19:23">
      <c r="S4357" s="27">
        <v>44773</v>
      </c>
      <c r="T4357" s="773" t="s">
        <v>132</v>
      </c>
      <c r="U4357" s="773">
        <v>707</v>
      </c>
      <c r="V4357" s="773">
        <v>222</v>
      </c>
      <c r="W4357" s="773" t="s">
        <v>390</v>
      </c>
    </row>
    <row r="4358" spans="19:23">
      <c r="S4358" s="27">
        <v>44408</v>
      </c>
      <c r="T4358" s="773" t="s">
        <v>132</v>
      </c>
      <c r="U4358" s="773">
        <v>999</v>
      </c>
      <c r="V4358" s="773">
        <v>1</v>
      </c>
      <c r="W4358" s="773" t="s">
        <v>410</v>
      </c>
    </row>
    <row r="4359" spans="19:23">
      <c r="S4359" s="27">
        <v>44773</v>
      </c>
      <c r="T4359" s="773" t="s">
        <v>132</v>
      </c>
      <c r="U4359" s="773">
        <v>53</v>
      </c>
      <c r="V4359" s="773">
        <v>2</v>
      </c>
      <c r="W4359" s="773" t="s">
        <v>410</v>
      </c>
    </row>
    <row r="4360" spans="19:23">
      <c r="S4360" s="27">
        <v>44773</v>
      </c>
      <c r="T4360" s="773" t="s">
        <v>132</v>
      </c>
      <c r="U4360" s="773">
        <v>324</v>
      </c>
      <c r="V4360" s="773">
        <v>1727</v>
      </c>
      <c r="W4360" s="773" t="s">
        <v>390</v>
      </c>
    </row>
    <row r="4361" spans="19:23">
      <c r="S4361" s="27">
        <v>44773</v>
      </c>
      <c r="T4361" s="773" t="s">
        <v>132</v>
      </c>
      <c r="U4361" s="773">
        <v>220</v>
      </c>
      <c r="V4361" s="773">
        <v>75</v>
      </c>
      <c r="W4361" s="773" t="s">
        <v>410</v>
      </c>
    </row>
    <row r="4362" spans="19:23">
      <c r="S4362" s="27">
        <v>44773</v>
      </c>
      <c r="T4362" s="773" t="s">
        <v>132</v>
      </c>
      <c r="U4362" s="773">
        <v>59</v>
      </c>
      <c r="V4362" s="773">
        <v>2</v>
      </c>
      <c r="W4362" s="773" t="s">
        <v>410</v>
      </c>
    </row>
    <row r="4363" spans="19:23">
      <c r="S4363" s="27">
        <v>44408</v>
      </c>
      <c r="T4363" s="773" t="s">
        <v>132</v>
      </c>
      <c r="U4363" s="773">
        <v>237</v>
      </c>
      <c r="V4363" s="773">
        <v>28</v>
      </c>
      <c r="W4363" s="773" t="s">
        <v>410</v>
      </c>
    </row>
    <row r="4364" spans="19:23">
      <c r="S4364" s="27">
        <v>44773</v>
      </c>
      <c r="T4364" s="773" t="s">
        <v>132</v>
      </c>
      <c r="U4364" s="773">
        <v>667</v>
      </c>
      <c r="V4364" s="773">
        <v>2</v>
      </c>
      <c r="W4364" s="773" t="s">
        <v>410</v>
      </c>
    </row>
    <row r="4365" spans="19:23">
      <c r="S4365" s="27">
        <v>44773</v>
      </c>
      <c r="T4365" s="773" t="s">
        <v>132</v>
      </c>
      <c r="U4365" s="773">
        <v>79</v>
      </c>
      <c r="V4365" s="773">
        <v>4</v>
      </c>
      <c r="W4365" s="773" t="s">
        <v>410</v>
      </c>
    </row>
    <row r="4366" spans="19:23">
      <c r="S4366" s="27">
        <v>44408</v>
      </c>
      <c r="T4366" s="773" t="s">
        <v>132</v>
      </c>
      <c r="U4366" s="773">
        <v>161</v>
      </c>
      <c r="V4366" s="773">
        <v>6</v>
      </c>
      <c r="W4366" s="773" t="s">
        <v>410</v>
      </c>
    </row>
    <row r="4367" spans="19:23">
      <c r="S4367" s="27">
        <v>44773</v>
      </c>
      <c r="T4367" s="773" t="s">
        <v>132</v>
      </c>
      <c r="U4367" s="773">
        <v>254</v>
      </c>
      <c r="V4367" s="773">
        <v>3</v>
      </c>
      <c r="W4367" s="773" t="s">
        <v>410</v>
      </c>
    </row>
    <row r="4368" spans="19:23">
      <c r="S4368" s="27">
        <v>44408</v>
      </c>
      <c r="T4368" s="773" t="s">
        <v>132</v>
      </c>
      <c r="U4368" s="773">
        <v>699</v>
      </c>
      <c r="V4368" s="773">
        <v>2224</v>
      </c>
      <c r="W4368" s="773" t="s">
        <v>390</v>
      </c>
    </row>
    <row r="4369" spans="19:23">
      <c r="S4369" s="27">
        <v>44773</v>
      </c>
      <c r="T4369" s="773" t="s">
        <v>132</v>
      </c>
      <c r="U4369" s="773">
        <v>86</v>
      </c>
      <c r="V4369" s="773">
        <v>3</v>
      </c>
      <c r="W4369" s="773" t="s">
        <v>410</v>
      </c>
    </row>
    <row r="4370" spans="19:23">
      <c r="S4370" s="27">
        <v>44773</v>
      </c>
      <c r="T4370" s="773" t="s">
        <v>132</v>
      </c>
      <c r="U4370" s="773">
        <v>216</v>
      </c>
      <c r="V4370" s="773">
        <v>2432</v>
      </c>
      <c r="W4370" s="773" t="s">
        <v>390</v>
      </c>
    </row>
    <row r="4371" spans="19:23">
      <c r="S4371" s="27">
        <v>44773</v>
      </c>
      <c r="T4371" s="773" t="s">
        <v>132</v>
      </c>
      <c r="U4371" s="773">
        <v>76</v>
      </c>
      <c r="V4371" s="773">
        <v>2924</v>
      </c>
      <c r="W4371" s="773" t="s">
        <v>390</v>
      </c>
    </row>
    <row r="4372" spans="19:23">
      <c r="S4372" s="27">
        <v>44773</v>
      </c>
      <c r="T4372" s="773" t="s">
        <v>132</v>
      </c>
      <c r="U4372" s="773">
        <v>709</v>
      </c>
      <c r="V4372" s="773">
        <v>2247</v>
      </c>
      <c r="W4372" s="773" t="s">
        <v>390</v>
      </c>
    </row>
    <row r="4373" spans="19:23">
      <c r="S4373" s="27">
        <v>44408</v>
      </c>
      <c r="T4373" s="773" t="s">
        <v>132</v>
      </c>
      <c r="U4373" s="773">
        <v>686</v>
      </c>
      <c r="V4373" s="773">
        <v>2421</v>
      </c>
      <c r="W4373" s="773" t="s">
        <v>390</v>
      </c>
    </row>
    <row r="4374" spans="19:23">
      <c r="S4374" s="27">
        <v>44773</v>
      </c>
      <c r="T4374" s="773" t="s">
        <v>132</v>
      </c>
      <c r="U4374" s="773">
        <v>103</v>
      </c>
      <c r="V4374" s="773">
        <v>3434</v>
      </c>
      <c r="W4374" s="773" t="s">
        <v>390</v>
      </c>
    </row>
    <row r="4375" spans="19:23">
      <c r="S4375" s="27">
        <v>44408</v>
      </c>
      <c r="T4375" s="773" t="s">
        <v>132</v>
      </c>
      <c r="U4375" s="773">
        <v>671</v>
      </c>
      <c r="V4375" s="773">
        <v>2194</v>
      </c>
      <c r="W4375" s="773" t="s">
        <v>390</v>
      </c>
    </row>
    <row r="4376" spans="19:23">
      <c r="S4376" s="27">
        <v>44408</v>
      </c>
      <c r="T4376" s="773" t="s">
        <v>132</v>
      </c>
      <c r="U4376" s="773">
        <v>169</v>
      </c>
      <c r="V4376" s="773">
        <v>2492</v>
      </c>
      <c r="W4376" s="773" t="s">
        <v>390</v>
      </c>
    </row>
    <row r="4377" spans="19:23">
      <c r="S4377" s="27">
        <v>44773</v>
      </c>
      <c r="T4377" s="773" t="s">
        <v>132</v>
      </c>
      <c r="U4377" s="773">
        <v>204</v>
      </c>
      <c r="V4377" s="773">
        <v>8</v>
      </c>
      <c r="W4377" s="773" t="s">
        <v>410</v>
      </c>
    </row>
    <row r="4378" spans="19:23">
      <c r="S4378" s="27">
        <v>44408</v>
      </c>
      <c r="T4378" s="773" t="s">
        <v>132</v>
      </c>
      <c r="U4378" s="773">
        <v>116</v>
      </c>
      <c r="V4378" s="773">
        <v>4</v>
      </c>
      <c r="W4378" s="773" t="s">
        <v>410</v>
      </c>
    </row>
    <row r="4379" spans="19:23">
      <c r="S4379" s="27">
        <v>44408</v>
      </c>
      <c r="T4379" s="773" t="s">
        <v>132</v>
      </c>
      <c r="U4379" s="773">
        <v>290</v>
      </c>
      <c r="V4379" s="773">
        <v>2408</v>
      </c>
      <c r="W4379" s="773" t="s">
        <v>390</v>
      </c>
    </row>
    <row r="4380" spans="19:23">
      <c r="S4380" s="27">
        <v>44408</v>
      </c>
      <c r="T4380" s="773" t="s">
        <v>132</v>
      </c>
      <c r="U4380" s="773">
        <v>53</v>
      </c>
      <c r="V4380" s="773">
        <v>1</v>
      </c>
      <c r="W4380" s="773" t="s">
        <v>410</v>
      </c>
    </row>
    <row r="4381" spans="19:23">
      <c r="S4381" s="27">
        <v>44773</v>
      </c>
      <c r="T4381" s="773" t="s">
        <v>132</v>
      </c>
      <c r="U4381" s="773">
        <v>323</v>
      </c>
      <c r="V4381" s="773">
        <v>3120</v>
      </c>
      <c r="W4381" s="773" t="s">
        <v>390</v>
      </c>
    </row>
    <row r="4382" spans="19:23">
      <c r="S4382" s="27">
        <v>44408</v>
      </c>
      <c r="T4382" s="773" t="s">
        <v>132</v>
      </c>
      <c r="U4382" s="773">
        <v>680</v>
      </c>
      <c r="V4382" s="773">
        <v>2626</v>
      </c>
      <c r="W4382" s="773" t="s">
        <v>390</v>
      </c>
    </row>
    <row r="4383" spans="19:23">
      <c r="S4383" s="27">
        <v>44773</v>
      </c>
      <c r="T4383" s="773" t="s">
        <v>132</v>
      </c>
      <c r="U4383" s="773">
        <v>231</v>
      </c>
      <c r="V4383" s="773">
        <v>3</v>
      </c>
      <c r="W4383" s="773" t="s">
        <v>410</v>
      </c>
    </row>
    <row r="4384" spans="19:23">
      <c r="S4384" s="27">
        <v>44773</v>
      </c>
      <c r="T4384" s="773" t="s">
        <v>132</v>
      </c>
      <c r="U4384" s="773">
        <v>136</v>
      </c>
      <c r="V4384" s="773">
        <v>9</v>
      </c>
      <c r="W4384" s="773" t="s">
        <v>410</v>
      </c>
    </row>
    <row r="4385" spans="19:23">
      <c r="S4385" s="27">
        <v>44773</v>
      </c>
      <c r="T4385" s="773" t="s">
        <v>132</v>
      </c>
      <c r="U4385" s="773">
        <v>723</v>
      </c>
      <c r="V4385" s="773">
        <v>7</v>
      </c>
      <c r="W4385" s="773" t="s">
        <v>410</v>
      </c>
    </row>
    <row r="4386" spans="19:23">
      <c r="S4386" s="27">
        <v>44408</v>
      </c>
      <c r="T4386" s="773" t="s">
        <v>132</v>
      </c>
      <c r="U4386" s="773">
        <v>672</v>
      </c>
      <c r="V4386" s="773">
        <v>2324</v>
      </c>
      <c r="W4386" s="773" t="s">
        <v>390</v>
      </c>
    </row>
    <row r="4387" spans="19:23">
      <c r="S4387" s="27">
        <v>44773</v>
      </c>
      <c r="T4387" s="773" t="s">
        <v>132</v>
      </c>
      <c r="U4387" s="773">
        <v>672</v>
      </c>
      <c r="V4387" s="773">
        <v>2370</v>
      </c>
      <c r="W4387" s="773" t="s">
        <v>390</v>
      </c>
    </row>
    <row r="4388" spans="19:23">
      <c r="S4388" s="27">
        <v>44773</v>
      </c>
      <c r="T4388" s="773" t="s">
        <v>132</v>
      </c>
      <c r="U4388" s="773">
        <v>650</v>
      </c>
      <c r="V4388" s="773">
        <v>22</v>
      </c>
      <c r="W4388" s="773" t="s">
        <v>410</v>
      </c>
    </row>
    <row r="4389" spans="19:23">
      <c r="S4389" s="27">
        <v>44408</v>
      </c>
      <c r="T4389" s="773" t="s">
        <v>132</v>
      </c>
      <c r="U4389" s="773">
        <v>64</v>
      </c>
      <c r="V4389" s="773">
        <v>5</v>
      </c>
      <c r="W4389" s="773" t="s">
        <v>410</v>
      </c>
    </row>
    <row r="4390" spans="19:23">
      <c r="S4390" s="27">
        <v>44408</v>
      </c>
      <c r="T4390" s="773" t="s">
        <v>132</v>
      </c>
      <c r="U4390" s="773">
        <v>698</v>
      </c>
      <c r="V4390" s="773">
        <v>2615</v>
      </c>
      <c r="W4390" s="773" t="s">
        <v>390</v>
      </c>
    </row>
    <row r="4391" spans="19:23">
      <c r="S4391" s="27">
        <v>44773</v>
      </c>
      <c r="T4391" s="773" t="s">
        <v>132</v>
      </c>
      <c r="U4391" s="773">
        <v>687</v>
      </c>
      <c r="V4391" s="773">
        <v>3083</v>
      </c>
      <c r="W4391" s="773" t="s">
        <v>390</v>
      </c>
    </row>
    <row r="4392" spans="19:23">
      <c r="S4392" s="27">
        <v>44773</v>
      </c>
      <c r="T4392" s="773" t="s">
        <v>132</v>
      </c>
      <c r="U4392" s="773">
        <v>77</v>
      </c>
      <c r="V4392" s="773">
        <v>3518</v>
      </c>
      <c r="W4392" s="773" t="s">
        <v>390</v>
      </c>
    </row>
    <row r="4393" spans="19:23">
      <c r="S4393" s="27">
        <v>44408</v>
      </c>
      <c r="T4393" s="773" t="s">
        <v>132</v>
      </c>
      <c r="U4393" s="773">
        <v>195</v>
      </c>
      <c r="V4393" s="773">
        <v>1</v>
      </c>
      <c r="W4393" s="773" t="s">
        <v>410</v>
      </c>
    </row>
    <row r="4394" spans="19:23">
      <c r="S4394" s="27">
        <v>44408</v>
      </c>
      <c r="T4394" s="773" t="s">
        <v>132</v>
      </c>
      <c r="U4394" s="773">
        <v>311</v>
      </c>
      <c r="V4394" s="773">
        <v>2380</v>
      </c>
      <c r="W4394" s="773" t="s">
        <v>390</v>
      </c>
    </row>
    <row r="4395" spans="19:23">
      <c r="S4395" s="27">
        <v>44773</v>
      </c>
      <c r="T4395" s="773" t="s">
        <v>132</v>
      </c>
      <c r="U4395" s="773">
        <v>96</v>
      </c>
      <c r="V4395" s="773">
        <v>1</v>
      </c>
      <c r="W4395" s="773" t="s">
        <v>410</v>
      </c>
    </row>
    <row r="4396" spans="19:23">
      <c r="S4396" s="27">
        <v>44408</v>
      </c>
      <c r="T4396" s="773" t="s">
        <v>132</v>
      </c>
      <c r="U4396" s="773">
        <v>308</v>
      </c>
      <c r="V4396" s="773">
        <v>682</v>
      </c>
      <c r="W4396" s="773" t="s">
        <v>390</v>
      </c>
    </row>
    <row r="4397" spans="19:23">
      <c r="S4397" s="27">
        <v>44408</v>
      </c>
      <c r="T4397" s="773" t="s">
        <v>132</v>
      </c>
      <c r="U4397" s="773">
        <v>141</v>
      </c>
      <c r="V4397" s="773">
        <v>10</v>
      </c>
      <c r="W4397" s="773" t="s">
        <v>410</v>
      </c>
    </row>
    <row r="4398" spans="19:23">
      <c r="S4398" s="27">
        <v>44773</v>
      </c>
      <c r="T4398" s="773" t="s">
        <v>132</v>
      </c>
      <c r="U4398" s="773">
        <v>342</v>
      </c>
      <c r="V4398" s="773">
        <v>2623</v>
      </c>
      <c r="W4398" s="773" t="s">
        <v>390</v>
      </c>
    </row>
    <row r="4399" spans="19:23">
      <c r="S4399" s="27">
        <v>44773</v>
      </c>
      <c r="T4399" s="773" t="s">
        <v>132</v>
      </c>
      <c r="U4399" s="773">
        <v>94</v>
      </c>
      <c r="V4399" s="773">
        <v>284</v>
      </c>
      <c r="W4399" s="773" t="s">
        <v>390</v>
      </c>
    </row>
    <row r="4400" spans="19:23">
      <c r="S4400" s="27">
        <v>44408</v>
      </c>
      <c r="T4400" s="773" t="s">
        <v>132</v>
      </c>
      <c r="U4400" s="773">
        <v>66</v>
      </c>
      <c r="V4400" s="773">
        <v>8</v>
      </c>
      <c r="W4400" s="773" t="s">
        <v>410</v>
      </c>
    </row>
    <row r="4401" spans="19:23">
      <c r="S4401" s="27">
        <v>44773</v>
      </c>
      <c r="T4401" s="773" t="s">
        <v>132</v>
      </c>
      <c r="U4401" s="773">
        <v>194</v>
      </c>
      <c r="V4401" s="773">
        <v>3966</v>
      </c>
      <c r="W4401" s="773" t="s">
        <v>390</v>
      </c>
    </row>
    <row r="4402" spans="19:23">
      <c r="S4402" s="27">
        <v>44773</v>
      </c>
      <c r="T4402" s="773" t="s">
        <v>132</v>
      </c>
      <c r="U4402" s="773">
        <v>663</v>
      </c>
      <c r="V4402" s="773">
        <v>670</v>
      </c>
      <c r="W4402" s="773" t="s">
        <v>390</v>
      </c>
    </row>
    <row r="4403" spans="19:23">
      <c r="S4403" s="27">
        <v>44408</v>
      </c>
      <c r="T4403" s="773" t="s">
        <v>132</v>
      </c>
      <c r="U4403" s="773">
        <v>11</v>
      </c>
      <c r="V4403" s="773">
        <v>27</v>
      </c>
      <c r="W4403" s="773" t="s">
        <v>410</v>
      </c>
    </row>
    <row r="4404" spans="19:23">
      <c r="S4404" s="27">
        <v>44408</v>
      </c>
      <c r="T4404" s="773" t="s">
        <v>132</v>
      </c>
      <c r="U4404" s="773">
        <v>254</v>
      </c>
      <c r="V4404" s="773">
        <v>7</v>
      </c>
      <c r="W4404" s="773" t="s">
        <v>410</v>
      </c>
    </row>
    <row r="4405" spans="19:23">
      <c r="S4405" s="27">
        <v>44773</v>
      </c>
      <c r="T4405" s="773" t="s">
        <v>132</v>
      </c>
      <c r="U4405" s="773">
        <v>73</v>
      </c>
      <c r="V4405" s="773">
        <v>2</v>
      </c>
      <c r="W4405" s="773" t="s">
        <v>410</v>
      </c>
    </row>
    <row r="4406" spans="19:23">
      <c r="S4406" s="27">
        <v>44773</v>
      </c>
      <c r="T4406" s="773" t="s">
        <v>132</v>
      </c>
      <c r="U4406" s="773">
        <v>325</v>
      </c>
      <c r="V4406" s="773">
        <v>2028</v>
      </c>
      <c r="W4406" s="773" t="s">
        <v>390</v>
      </c>
    </row>
    <row r="4407" spans="19:23">
      <c r="S4407" s="27">
        <v>44408</v>
      </c>
      <c r="T4407" s="773" t="s">
        <v>132</v>
      </c>
      <c r="U4407" s="773">
        <v>240</v>
      </c>
      <c r="V4407" s="773">
        <v>4</v>
      </c>
      <c r="W4407" s="773" t="s">
        <v>410</v>
      </c>
    </row>
    <row r="4408" spans="19:23">
      <c r="S4408" s="27">
        <v>44773</v>
      </c>
      <c r="T4408" s="773" t="s">
        <v>132</v>
      </c>
      <c r="U4408" s="773">
        <v>116</v>
      </c>
      <c r="V4408" s="773">
        <v>3</v>
      </c>
      <c r="W4408" s="773" t="s">
        <v>410</v>
      </c>
    </row>
    <row r="4409" spans="19:23">
      <c r="S4409" s="27">
        <v>44408</v>
      </c>
      <c r="T4409" s="773" t="s">
        <v>132</v>
      </c>
      <c r="U4409" s="773">
        <v>103</v>
      </c>
      <c r="V4409" s="773">
        <v>3350</v>
      </c>
      <c r="W4409" s="773" t="s">
        <v>390</v>
      </c>
    </row>
    <row r="4410" spans="19:23">
      <c r="S4410" s="27">
        <v>44408</v>
      </c>
      <c r="T4410" s="773" t="s">
        <v>132</v>
      </c>
      <c r="U4410" s="773">
        <v>324</v>
      </c>
      <c r="V4410" s="773">
        <v>170</v>
      </c>
      <c r="W4410" s="773" t="s">
        <v>390</v>
      </c>
    </row>
    <row r="4411" spans="19:23">
      <c r="S4411" s="27">
        <v>44773</v>
      </c>
      <c r="T4411" s="773" t="s">
        <v>132</v>
      </c>
      <c r="U4411" s="773">
        <v>83</v>
      </c>
      <c r="V4411" s="773">
        <v>2449</v>
      </c>
      <c r="W4411" s="773" t="s">
        <v>390</v>
      </c>
    </row>
    <row r="4412" spans="19:23">
      <c r="S4412" s="27">
        <v>44773</v>
      </c>
      <c r="T4412" s="773" t="s">
        <v>132</v>
      </c>
      <c r="U4412" s="773">
        <v>87</v>
      </c>
      <c r="V4412" s="773">
        <v>2</v>
      </c>
      <c r="W4412" s="773" t="s">
        <v>410</v>
      </c>
    </row>
    <row r="4413" spans="19:23">
      <c r="S4413" s="27">
        <v>44408</v>
      </c>
      <c r="T4413" s="773" t="s">
        <v>132</v>
      </c>
      <c r="U4413" s="773">
        <v>97</v>
      </c>
      <c r="V4413" s="773">
        <v>2</v>
      </c>
      <c r="W4413" s="773" t="s">
        <v>410</v>
      </c>
    </row>
    <row r="4414" spans="19:23">
      <c r="S4414" s="27">
        <v>44408</v>
      </c>
      <c r="T4414" s="773" t="s">
        <v>132</v>
      </c>
      <c r="U4414" s="773">
        <v>669</v>
      </c>
      <c r="V4414" s="773">
        <v>2584</v>
      </c>
      <c r="W4414" s="773" t="s">
        <v>390</v>
      </c>
    </row>
    <row r="4415" spans="19:23">
      <c r="S4415" s="27">
        <v>44408</v>
      </c>
      <c r="T4415" s="773" t="s">
        <v>132</v>
      </c>
      <c r="U4415" s="773">
        <v>140</v>
      </c>
      <c r="V4415" s="773">
        <v>338</v>
      </c>
      <c r="W4415" s="773" t="s">
        <v>390</v>
      </c>
    </row>
    <row r="4416" spans="19:23">
      <c r="S4416" s="27">
        <v>44773</v>
      </c>
      <c r="T4416" s="773" t="s">
        <v>132</v>
      </c>
      <c r="U4416" s="773">
        <v>195</v>
      </c>
      <c r="V4416" s="773">
        <v>1</v>
      </c>
      <c r="W4416" s="773" t="s">
        <v>410</v>
      </c>
    </row>
    <row r="4417" spans="19:23">
      <c r="S4417" s="27">
        <v>44408</v>
      </c>
      <c r="T4417" s="773" t="s">
        <v>132</v>
      </c>
      <c r="U4417" s="773">
        <v>203</v>
      </c>
      <c r="V4417" s="773">
        <v>3205</v>
      </c>
      <c r="W4417" s="773" t="s">
        <v>390</v>
      </c>
    </row>
    <row r="4418" spans="19:23">
      <c r="S4418" s="27">
        <v>44408</v>
      </c>
      <c r="T4418" s="773" t="s">
        <v>132</v>
      </c>
      <c r="U4418" s="773">
        <v>173</v>
      </c>
      <c r="V4418" s="773">
        <v>2</v>
      </c>
      <c r="W4418" s="773" t="s">
        <v>410</v>
      </c>
    </row>
    <row r="4419" spans="19:23">
      <c r="S4419" s="27">
        <v>44408</v>
      </c>
      <c r="T4419" s="773" t="s">
        <v>132</v>
      </c>
      <c r="U4419" s="773">
        <v>155</v>
      </c>
      <c r="V4419" s="773">
        <v>2428</v>
      </c>
      <c r="W4419" s="773" t="s">
        <v>390</v>
      </c>
    </row>
    <row r="4420" spans="19:23">
      <c r="S4420" s="27">
        <v>44773</v>
      </c>
      <c r="T4420" s="773" t="s">
        <v>132</v>
      </c>
      <c r="U4420" s="773">
        <v>327</v>
      </c>
      <c r="V4420" s="773">
        <v>2</v>
      </c>
      <c r="W4420" s="773" t="s">
        <v>410</v>
      </c>
    </row>
    <row r="4421" spans="19:23">
      <c r="S4421" s="27">
        <v>44773</v>
      </c>
      <c r="T4421" s="773" t="s">
        <v>132</v>
      </c>
      <c r="U4421" s="773">
        <v>664</v>
      </c>
      <c r="V4421" s="773">
        <v>2095</v>
      </c>
      <c r="W4421" s="773" t="s">
        <v>390</v>
      </c>
    </row>
    <row r="4422" spans="19:23">
      <c r="S4422" s="27">
        <v>44773</v>
      </c>
      <c r="T4422" s="773" t="s">
        <v>132</v>
      </c>
      <c r="U4422" s="773">
        <v>317</v>
      </c>
      <c r="V4422" s="773">
        <v>3573</v>
      </c>
      <c r="W4422" s="773" t="s">
        <v>390</v>
      </c>
    </row>
    <row r="4423" spans="19:23">
      <c r="S4423" s="27">
        <v>44408</v>
      </c>
      <c r="T4423" s="773" t="s">
        <v>132</v>
      </c>
      <c r="U4423" s="773">
        <v>665</v>
      </c>
      <c r="V4423" s="773">
        <v>2766</v>
      </c>
      <c r="W4423" s="773" t="s">
        <v>390</v>
      </c>
    </row>
    <row r="4424" spans="19:23">
      <c r="S4424" s="27">
        <v>44773</v>
      </c>
      <c r="T4424" s="773" t="s">
        <v>132</v>
      </c>
      <c r="U4424" s="773">
        <v>701</v>
      </c>
      <c r="V4424" s="773">
        <v>2465</v>
      </c>
      <c r="W4424" s="773" t="s">
        <v>390</v>
      </c>
    </row>
    <row r="4425" spans="19:23">
      <c r="S4425" s="27">
        <v>44408</v>
      </c>
      <c r="T4425" s="773" t="s">
        <v>132</v>
      </c>
      <c r="U4425" s="773">
        <v>87</v>
      </c>
      <c r="V4425" s="773">
        <v>12</v>
      </c>
      <c r="W4425" s="773" t="s">
        <v>410</v>
      </c>
    </row>
    <row r="4426" spans="19:23">
      <c r="S4426" s="27">
        <v>44773</v>
      </c>
      <c r="T4426" s="773" t="s">
        <v>132</v>
      </c>
      <c r="U4426" s="773">
        <v>675</v>
      </c>
      <c r="V4426" s="773">
        <v>2</v>
      </c>
      <c r="W4426" s="773" t="s">
        <v>410</v>
      </c>
    </row>
    <row r="4427" spans="19:23">
      <c r="S4427" s="27">
        <v>44408</v>
      </c>
      <c r="T4427" s="773" t="s">
        <v>132</v>
      </c>
      <c r="U4427" s="773">
        <v>321</v>
      </c>
      <c r="V4427" s="773">
        <v>482</v>
      </c>
      <c r="W4427" s="773" t="s">
        <v>390</v>
      </c>
    </row>
    <row r="4428" spans="19:23">
      <c r="S4428" s="27">
        <v>44408</v>
      </c>
      <c r="T4428" s="773" t="s">
        <v>132</v>
      </c>
      <c r="U4428" s="773">
        <v>275</v>
      </c>
      <c r="V4428" s="773">
        <v>1079</v>
      </c>
      <c r="W4428" s="773" t="s">
        <v>390</v>
      </c>
    </row>
    <row r="4429" spans="19:23">
      <c r="S4429" s="27">
        <v>44773</v>
      </c>
      <c r="T4429" s="773" t="s">
        <v>132</v>
      </c>
      <c r="U4429" s="773">
        <v>243</v>
      </c>
      <c r="V4429" s="773">
        <v>351</v>
      </c>
      <c r="W4429" s="773" t="s">
        <v>390</v>
      </c>
    </row>
    <row r="4430" spans="19:23">
      <c r="S4430" s="27">
        <v>44408</v>
      </c>
      <c r="T4430" s="773" t="s">
        <v>132</v>
      </c>
      <c r="U4430" s="773">
        <v>650</v>
      </c>
      <c r="V4430" s="773">
        <v>124</v>
      </c>
      <c r="W4430" s="773" t="s">
        <v>390</v>
      </c>
    </row>
    <row r="4431" spans="19:23">
      <c r="S4431" s="27">
        <v>44773</v>
      </c>
      <c r="T4431" s="773" t="s">
        <v>132</v>
      </c>
      <c r="U4431" s="773">
        <v>652</v>
      </c>
      <c r="V4431" s="773">
        <v>3703</v>
      </c>
      <c r="W4431" s="773" t="s">
        <v>390</v>
      </c>
    </row>
    <row r="4432" spans="19:23">
      <c r="S4432" s="27">
        <v>44408</v>
      </c>
      <c r="T4432" s="773" t="s">
        <v>132</v>
      </c>
      <c r="U4432" s="773">
        <v>120</v>
      </c>
      <c r="V4432" s="773">
        <v>3</v>
      </c>
      <c r="W4432" s="773" t="s">
        <v>410</v>
      </c>
    </row>
    <row r="4433" spans="19:23">
      <c r="S4433" s="27">
        <v>44408</v>
      </c>
      <c r="T4433" s="773" t="s">
        <v>132</v>
      </c>
      <c r="U4433" s="773">
        <v>216</v>
      </c>
      <c r="V4433" s="773">
        <v>2155</v>
      </c>
      <c r="W4433" s="773" t="s">
        <v>390</v>
      </c>
    </row>
    <row r="4434" spans="19:23">
      <c r="S4434" s="27">
        <v>44773</v>
      </c>
      <c r="T4434" s="773" t="s">
        <v>132</v>
      </c>
      <c r="U4434" s="773">
        <v>691</v>
      </c>
      <c r="V4434" s="773">
        <v>3215</v>
      </c>
      <c r="W4434" s="773" t="s">
        <v>390</v>
      </c>
    </row>
    <row r="4435" spans="19:23">
      <c r="S4435" s="27">
        <v>44773</v>
      </c>
      <c r="T4435" s="773" t="s">
        <v>132</v>
      </c>
      <c r="U4435" s="773">
        <v>129</v>
      </c>
      <c r="V4435" s="773">
        <v>2</v>
      </c>
      <c r="W4435" s="773" t="s">
        <v>410</v>
      </c>
    </row>
    <row r="4436" spans="19:23">
      <c r="S4436" s="27">
        <v>44773</v>
      </c>
      <c r="T4436" s="773" t="s">
        <v>132</v>
      </c>
      <c r="U4436" s="773">
        <v>255</v>
      </c>
      <c r="V4436" s="773">
        <v>218</v>
      </c>
      <c r="W4436" s="773" t="s">
        <v>390</v>
      </c>
    </row>
    <row r="4437" spans="19:23">
      <c r="S4437" s="27">
        <v>44408</v>
      </c>
      <c r="T4437" s="773" t="s">
        <v>132</v>
      </c>
      <c r="U4437" s="773">
        <v>176</v>
      </c>
      <c r="V4437" s="773">
        <v>1</v>
      </c>
      <c r="W4437" s="773" t="s">
        <v>410</v>
      </c>
    </row>
    <row r="4438" spans="19:23">
      <c r="S4438" s="27">
        <v>44408</v>
      </c>
      <c r="T4438" s="773" t="s">
        <v>132</v>
      </c>
      <c r="U4438" s="773">
        <v>670</v>
      </c>
      <c r="V4438" s="773">
        <v>3772</v>
      </c>
      <c r="W4438" s="773" t="s">
        <v>390</v>
      </c>
    </row>
    <row r="4439" spans="19:23">
      <c r="S4439" s="27">
        <v>44773</v>
      </c>
      <c r="T4439" s="773" t="s">
        <v>132</v>
      </c>
      <c r="U4439" s="773">
        <v>66</v>
      </c>
      <c r="V4439" s="773">
        <v>1</v>
      </c>
      <c r="W4439" s="773" t="s">
        <v>410</v>
      </c>
    </row>
    <row r="4440" spans="19:23">
      <c r="S4440" s="27">
        <v>44773</v>
      </c>
      <c r="T4440" s="773" t="s">
        <v>132</v>
      </c>
      <c r="U4440" s="773">
        <v>329</v>
      </c>
      <c r="V4440" s="773">
        <v>4140</v>
      </c>
      <c r="W4440" s="773" t="s">
        <v>390</v>
      </c>
    </row>
    <row r="4441" spans="19:23">
      <c r="S4441" s="27">
        <v>44408</v>
      </c>
      <c r="T4441" s="773" t="s">
        <v>132</v>
      </c>
      <c r="U4441" s="773">
        <v>204</v>
      </c>
      <c r="V4441" s="773">
        <v>23</v>
      </c>
      <c r="W4441" s="773" t="s">
        <v>410</v>
      </c>
    </row>
    <row r="4442" spans="19:23">
      <c r="S4442" s="27">
        <v>44773</v>
      </c>
      <c r="T4442" s="773" t="s">
        <v>132</v>
      </c>
      <c r="U4442" s="773">
        <v>688</v>
      </c>
      <c r="V4442" s="773">
        <v>3640</v>
      </c>
      <c r="W4442" s="773" t="s">
        <v>390</v>
      </c>
    </row>
    <row r="4443" spans="19:23">
      <c r="S4443" s="27">
        <v>44408</v>
      </c>
      <c r="T4443" s="773" t="s">
        <v>132</v>
      </c>
      <c r="U4443" s="773">
        <v>257</v>
      </c>
      <c r="V4443" s="773">
        <v>2579</v>
      </c>
      <c r="W4443" s="773" t="s">
        <v>390</v>
      </c>
    </row>
    <row r="4444" spans="19:23">
      <c r="S4444" s="27">
        <v>44408</v>
      </c>
      <c r="T4444" s="773" t="s">
        <v>132</v>
      </c>
      <c r="U4444" s="773">
        <v>222</v>
      </c>
      <c r="V4444" s="773">
        <v>2</v>
      </c>
      <c r="W4444" s="773" t="s">
        <v>410</v>
      </c>
    </row>
    <row r="4445" spans="19:23">
      <c r="S4445" s="27">
        <v>44408</v>
      </c>
      <c r="T4445" s="773" t="s">
        <v>132</v>
      </c>
      <c r="U4445" s="773">
        <v>239</v>
      </c>
      <c r="V4445" s="773">
        <v>3423</v>
      </c>
      <c r="W4445" s="773" t="s">
        <v>390</v>
      </c>
    </row>
    <row r="4446" spans="19:23">
      <c r="S4446" s="27">
        <v>44773</v>
      </c>
      <c r="T4446" s="773" t="s">
        <v>132</v>
      </c>
      <c r="U4446" s="773">
        <v>237</v>
      </c>
      <c r="V4446" s="773">
        <v>1</v>
      </c>
      <c r="W4446" s="773" t="s">
        <v>410</v>
      </c>
    </row>
    <row r="4447" spans="19:23">
      <c r="S4447" s="27">
        <v>44773</v>
      </c>
      <c r="T4447" s="773" t="s">
        <v>132</v>
      </c>
      <c r="U4447" s="773">
        <v>678</v>
      </c>
      <c r="V4447" s="773">
        <v>2958</v>
      </c>
      <c r="W4447" s="773" t="s">
        <v>390</v>
      </c>
    </row>
    <row r="4448" spans="19:23">
      <c r="S4448" s="27">
        <v>44408</v>
      </c>
      <c r="T4448" s="773" t="s">
        <v>132</v>
      </c>
      <c r="U4448" s="773">
        <v>76</v>
      </c>
      <c r="V4448" s="773">
        <v>2892</v>
      </c>
      <c r="W4448" s="773" t="s">
        <v>390</v>
      </c>
    </row>
    <row r="4449" spans="19:23">
      <c r="S4449" s="27">
        <v>44408</v>
      </c>
      <c r="T4449" s="773" t="s">
        <v>132</v>
      </c>
      <c r="U4449" s="773">
        <v>148</v>
      </c>
      <c r="V4449" s="773">
        <v>1</v>
      </c>
      <c r="W4449" s="773" t="s">
        <v>410</v>
      </c>
    </row>
    <row r="4450" spans="19:23">
      <c r="S4450" s="27">
        <v>44408</v>
      </c>
      <c r="T4450" s="773" t="s">
        <v>132</v>
      </c>
      <c r="U4450" s="773">
        <v>323</v>
      </c>
      <c r="V4450" s="773">
        <v>2849</v>
      </c>
      <c r="W4450" s="773" t="s">
        <v>390</v>
      </c>
    </row>
    <row r="4451" spans="19:23">
      <c r="S4451" s="27">
        <v>44408</v>
      </c>
      <c r="T4451" s="773" t="s">
        <v>132</v>
      </c>
      <c r="U4451" s="773">
        <v>299</v>
      </c>
      <c r="V4451" s="773">
        <v>1</v>
      </c>
      <c r="W4451" s="773" t="s">
        <v>410</v>
      </c>
    </row>
    <row r="4452" spans="19:23">
      <c r="S4452" s="27">
        <v>44773</v>
      </c>
      <c r="T4452" s="773" t="s">
        <v>132</v>
      </c>
      <c r="U4452" s="773">
        <v>140</v>
      </c>
      <c r="V4452" s="773">
        <v>431</v>
      </c>
      <c r="W4452" s="773" t="s">
        <v>390</v>
      </c>
    </row>
    <row r="4453" spans="19:23">
      <c r="S4453" s="27">
        <v>44408</v>
      </c>
      <c r="T4453" s="773" t="s">
        <v>132</v>
      </c>
      <c r="U4453" s="773">
        <v>190</v>
      </c>
      <c r="V4453" s="773">
        <v>6</v>
      </c>
      <c r="W4453" s="773" t="s">
        <v>410</v>
      </c>
    </row>
    <row r="4454" spans="19:23">
      <c r="S4454" s="27">
        <v>44773</v>
      </c>
      <c r="T4454" s="773" t="s">
        <v>132</v>
      </c>
      <c r="U4454" s="773">
        <v>56</v>
      </c>
      <c r="V4454" s="773">
        <v>3</v>
      </c>
      <c r="W4454" s="773" t="s">
        <v>410</v>
      </c>
    </row>
    <row r="4455" spans="19:23">
      <c r="S4455" s="27">
        <v>44408</v>
      </c>
      <c r="T4455" s="773" t="s">
        <v>132</v>
      </c>
      <c r="U4455" s="773">
        <v>241</v>
      </c>
      <c r="V4455" s="773">
        <v>26</v>
      </c>
      <c r="W4455" s="773" t="s">
        <v>410</v>
      </c>
    </row>
    <row r="4456" spans="19:23">
      <c r="S4456" s="27">
        <v>44408</v>
      </c>
      <c r="T4456" s="773" t="s">
        <v>132</v>
      </c>
      <c r="U4456" s="773">
        <v>697</v>
      </c>
      <c r="V4456" s="773">
        <v>2815</v>
      </c>
      <c r="W4456" s="773" t="s">
        <v>390</v>
      </c>
    </row>
    <row r="4457" spans="19:23">
      <c r="S4457" s="27">
        <v>44773</v>
      </c>
      <c r="T4457" s="773" t="s">
        <v>132</v>
      </c>
      <c r="U4457" s="773">
        <v>105</v>
      </c>
      <c r="V4457" s="773">
        <v>2</v>
      </c>
      <c r="W4457" s="773" t="s">
        <v>410</v>
      </c>
    </row>
    <row r="4458" spans="19:23">
      <c r="S4458" s="27">
        <v>44408</v>
      </c>
      <c r="T4458" s="773" t="s">
        <v>132</v>
      </c>
      <c r="U4458" s="773">
        <v>149</v>
      </c>
      <c r="V4458" s="773">
        <v>2</v>
      </c>
      <c r="W4458" s="773" t="s">
        <v>410</v>
      </c>
    </row>
    <row r="4459" spans="19:23">
      <c r="S4459" s="27">
        <v>44773</v>
      </c>
      <c r="T4459" s="773" t="s">
        <v>132</v>
      </c>
      <c r="U4459" s="773">
        <v>81</v>
      </c>
      <c r="V4459" s="773">
        <v>6</v>
      </c>
      <c r="W4459" s="773" t="s">
        <v>410</v>
      </c>
    </row>
    <row r="4460" spans="19:23">
      <c r="S4460" s="27">
        <v>44408</v>
      </c>
      <c r="T4460" s="773" t="s">
        <v>132</v>
      </c>
      <c r="U4460" s="773">
        <v>528</v>
      </c>
      <c r="V4460" s="773">
        <v>577</v>
      </c>
      <c r="W4460" s="773" t="s">
        <v>390</v>
      </c>
    </row>
    <row r="4461" spans="19:23">
      <c r="S4461" s="27">
        <v>44773</v>
      </c>
      <c r="T4461" s="773" t="s">
        <v>132</v>
      </c>
      <c r="U4461" s="773">
        <v>275</v>
      </c>
      <c r="V4461" s="773">
        <v>21</v>
      </c>
      <c r="W4461" s="773" t="s">
        <v>410</v>
      </c>
    </row>
    <row r="4462" spans="19:23">
      <c r="S4462" s="27">
        <v>44408</v>
      </c>
      <c r="T4462" s="773" t="s">
        <v>132</v>
      </c>
      <c r="U4462" s="773">
        <v>58</v>
      </c>
      <c r="V4462" s="773">
        <v>3</v>
      </c>
      <c r="W4462" s="773" t="s">
        <v>410</v>
      </c>
    </row>
    <row r="4463" spans="19:23">
      <c r="S4463" s="27">
        <v>44773</v>
      </c>
      <c r="T4463" s="773" t="s">
        <v>132</v>
      </c>
      <c r="U4463" s="773">
        <v>621</v>
      </c>
      <c r="V4463" s="773">
        <v>2487</v>
      </c>
      <c r="W4463" s="773" t="s">
        <v>390</v>
      </c>
    </row>
    <row r="4464" spans="19:23">
      <c r="S4464" s="27">
        <v>44408</v>
      </c>
      <c r="T4464" s="773" t="s">
        <v>132</v>
      </c>
      <c r="U4464" s="773">
        <v>213</v>
      </c>
      <c r="V4464" s="773">
        <v>2859</v>
      </c>
      <c r="W4464" s="773" t="s">
        <v>390</v>
      </c>
    </row>
    <row r="4465" spans="19:23">
      <c r="S4465" s="27">
        <v>44408</v>
      </c>
      <c r="T4465" s="773" t="s">
        <v>132</v>
      </c>
      <c r="U4465" s="773">
        <v>663</v>
      </c>
      <c r="V4465" s="773">
        <v>1132</v>
      </c>
      <c r="W4465" s="773" t="s">
        <v>390</v>
      </c>
    </row>
    <row r="4466" spans="19:23">
      <c r="S4466" s="27">
        <v>44773</v>
      </c>
      <c r="T4466" s="773" t="s">
        <v>132</v>
      </c>
      <c r="U4466" s="773">
        <v>173</v>
      </c>
      <c r="V4466" s="773">
        <v>7</v>
      </c>
      <c r="W4466" s="773" t="s">
        <v>410</v>
      </c>
    </row>
    <row r="4467" spans="19:23">
      <c r="S4467" s="27">
        <v>44408</v>
      </c>
      <c r="T4467" s="773" t="s">
        <v>132</v>
      </c>
      <c r="U4467" s="773">
        <v>78</v>
      </c>
      <c r="V4467" s="773">
        <v>1</v>
      </c>
      <c r="W4467" s="773" t="s">
        <v>410</v>
      </c>
    </row>
    <row r="4468" spans="19:23">
      <c r="S4468" s="27">
        <v>44408</v>
      </c>
      <c r="T4468" s="773" t="s">
        <v>132</v>
      </c>
      <c r="U4468" s="773">
        <v>691</v>
      </c>
      <c r="V4468" s="773">
        <v>2374</v>
      </c>
      <c r="W4468" s="773" t="s">
        <v>390</v>
      </c>
    </row>
    <row r="4469" spans="19:23">
      <c r="S4469" s="27">
        <v>44408</v>
      </c>
      <c r="T4469" s="773" t="s">
        <v>132</v>
      </c>
      <c r="U4469" s="773">
        <v>110</v>
      </c>
      <c r="V4469" s="773">
        <v>1</v>
      </c>
      <c r="W4469" s="773" t="s">
        <v>410</v>
      </c>
    </row>
    <row r="4470" spans="19:23">
      <c r="S4470" s="27">
        <v>44773</v>
      </c>
      <c r="T4470" s="773" t="s">
        <v>132</v>
      </c>
      <c r="U4470" s="773">
        <v>308</v>
      </c>
      <c r="V4470" s="773">
        <v>2168</v>
      </c>
      <c r="W4470" s="773" t="s">
        <v>390</v>
      </c>
    </row>
    <row r="4471" spans="19:23">
      <c r="S4471" s="27">
        <v>44408</v>
      </c>
      <c r="T4471" s="773" t="s">
        <v>132</v>
      </c>
      <c r="U4471" s="773">
        <v>342</v>
      </c>
      <c r="V4471" s="773">
        <v>2813</v>
      </c>
      <c r="W4471" s="773" t="s">
        <v>390</v>
      </c>
    </row>
    <row r="4472" spans="19:23">
      <c r="S4472" s="27">
        <v>44408</v>
      </c>
      <c r="T4472" s="773" t="s">
        <v>132</v>
      </c>
      <c r="U4472" s="773">
        <v>645</v>
      </c>
      <c r="V4472" s="773">
        <v>2682</v>
      </c>
      <c r="W4472" s="773" t="s">
        <v>390</v>
      </c>
    </row>
    <row r="4473" spans="19:23">
      <c r="S4473" s="27">
        <v>44408</v>
      </c>
      <c r="T4473" s="773" t="s">
        <v>132</v>
      </c>
      <c r="U4473" s="773">
        <v>215</v>
      </c>
      <c r="V4473" s="773">
        <v>719</v>
      </c>
      <c r="W4473" s="773" t="s">
        <v>390</v>
      </c>
    </row>
    <row r="4474" spans="19:23">
      <c r="S4474" s="27">
        <v>44408</v>
      </c>
      <c r="T4474" s="773" t="s">
        <v>132</v>
      </c>
      <c r="U4474" s="773">
        <v>39</v>
      </c>
      <c r="V4474" s="773">
        <v>1</v>
      </c>
      <c r="W4474" s="773" t="s">
        <v>410</v>
      </c>
    </row>
    <row r="4475" spans="19:23">
      <c r="S4475" s="27">
        <v>44408</v>
      </c>
      <c r="T4475" s="773" t="s">
        <v>132</v>
      </c>
      <c r="U4475" s="773">
        <v>325</v>
      </c>
      <c r="V4475" s="773">
        <v>2904</v>
      </c>
      <c r="W4475" s="773" t="s">
        <v>390</v>
      </c>
    </row>
    <row r="4476" spans="19:23">
      <c r="S4476" s="27">
        <v>44439</v>
      </c>
      <c r="T4476" s="773" t="s">
        <v>132</v>
      </c>
      <c r="U4476" s="773">
        <v>663</v>
      </c>
      <c r="V4476" s="773">
        <v>1134</v>
      </c>
      <c r="W4476" s="773" t="s">
        <v>390</v>
      </c>
    </row>
    <row r="4477" spans="19:23">
      <c r="S4477" s="27">
        <v>44439</v>
      </c>
      <c r="T4477" s="773" t="s">
        <v>132</v>
      </c>
      <c r="U4477" s="773">
        <v>237</v>
      </c>
      <c r="V4477" s="773">
        <v>27</v>
      </c>
      <c r="W4477" s="773" t="s">
        <v>410</v>
      </c>
    </row>
    <row r="4478" spans="19:23">
      <c r="S4478" s="27">
        <v>44439</v>
      </c>
      <c r="T4478" s="773" t="s">
        <v>132</v>
      </c>
      <c r="U4478" s="773">
        <v>40</v>
      </c>
      <c r="V4478" s="773">
        <v>2</v>
      </c>
      <c r="W4478" s="773" t="s">
        <v>410</v>
      </c>
    </row>
    <row r="4479" spans="19:23">
      <c r="S4479" s="27">
        <v>44439</v>
      </c>
      <c r="T4479" s="773" t="s">
        <v>132</v>
      </c>
      <c r="U4479" s="773">
        <v>14</v>
      </c>
      <c r="V4479" s="773">
        <v>2</v>
      </c>
      <c r="W4479" s="773" t="s">
        <v>410</v>
      </c>
    </row>
    <row r="4480" spans="19:23">
      <c r="S4480" s="27">
        <v>44439</v>
      </c>
      <c r="T4480" s="773" t="s">
        <v>132</v>
      </c>
      <c r="U4480" s="773">
        <v>35</v>
      </c>
      <c r="V4480" s="773">
        <v>884</v>
      </c>
      <c r="W4480" s="773" t="s">
        <v>390</v>
      </c>
    </row>
    <row r="4481" spans="19:23">
      <c r="S4481" s="27">
        <v>44439</v>
      </c>
      <c r="T4481" s="773" t="s">
        <v>132</v>
      </c>
      <c r="U4481" s="773">
        <v>265</v>
      </c>
      <c r="V4481" s="773">
        <v>1619</v>
      </c>
      <c r="W4481" s="773" t="s">
        <v>390</v>
      </c>
    </row>
    <row r="4482" spans="19:23">
      <c r="S4482" s="27">
        <v>44439</v>
      </c>
      <c r="T4482" s="773" t="s">
        <v>132</v>
      </c>
      <c r="U4482" s="773">
        <v>621</v>
      </c>
      <c r="V4482" s="773">
        <v>2472</v>
      </c>
      <c r="W4482" s="773" t="s">
        <v>390</v>
      </c>
    </row>
    <row r="4483" spans="19:23">
      <c r="S4483" s="27">
        <v>44439</v>
      </c>
      <c r="T4483" s="773" t="s">
        <v>132</v>
      </c>
      <c r="U4483" s="773">
        <v>61</v>
      </c>
      <c r="V4483" s="773">
        <v>1</v>
      </c>
      <c r="W4483" s="773" t="s">
        <v>410</v>
      </c>
    </row>
    <row r="4484" spans="19:23">
      <c r="S4484" s="27">
        <v>44804</v>
      </c>
      <c r="T4484" s="773" t="s">
        <v>132</v>
      </c>
      <c r="U4484" s="773">
        <v>663</v>
      </c>
      <c r="V4484" s="773">
        <v>670</v>
      </c>
      <c r="W4484" s="773" t="s">
        <v>390</v>
      </c>
    </row>
    <row r="4485" spans="19:23">
      <c r="S4485" s="27">
        <v>44439</v>
      </c>
      <c r="T4485" s="773" t="s">
        <v>132</v>
      </c>
      <c r="U4485" s="773">
        <v>233</v>
      </c>
      <c r="V4485" s="773">
        <v>11546</v>
      </c>
      <c r="W4485" s="773" t="s">
        <v>390</v>
      </c>
    </row>
    <row r="4486" spans="19:23">
      <c r="S4486" s="27">
        <v>44439</v>
      </c>
      <c r="T4486" s="773" t="s">
        <v>132</v>
      </c>
      <c r="U4486" s="773">
        <v>687</v>
      </c>
      <c r="V4486" s="773">
        <v>708</v>
      </c>
      <c r="W4486" s="773" t="s">
        <v>390</v>
      </c>
    </row>
    <row r="4487" spans="19:23">
      <c r="S4487" s="27">
        <v>44439</v>
      </c>
      <c r="T4487" s="773" t="s">
        <v>132</v>
      </c>
      <c r="U4487" s="773">
        <v>213</v>
      </c>
      <c r="V4487" s="773">
        <v>2831</v>
      </c>
      <c r="W4487" s="773" t="s">
        <v>390</v>
      </c>
    </row>
    <row r="4488" spans="19:23">
      <c r="S4488" s="27">
        <v>44804</v>
      </c>
      <c r="T4488" s="773" t="s">
        <v>132</v>
      </c>
      <c r="U4488" s="773">
        <v>216</v>
      </c>
      <c r="V4488" s="773">
        <v>2405</v>
      </c>
      <c r="W4488" s="773" t="s">
        <v>390</v>
      </c>
    </row>
    <row r="4489" spans="19:23">
      <c r="S4489" s="27">
        <v>44804</v>
      </c>
      <c r="T4489" s="773" t="s">
        <v>132</v>
      </c>
      <c r="U4489" s="773">
        <v>621</v>
      </c>
      <c r="V4489" s="773">
        <v>2372</v>
      </c>
      <c r="W4489" s="773" t="s">
        <v>390</v>
      </c>
    </row>
    <row r="4490" spans="19:23">
      <c r="S4490" s="27">
        <v>44804</v>
      </c>
      <c r="T4490" s="773" t="s">
        <v>132</v>
      </c>
      <c r="U4490" s="773">
        <v>266</v>
      </c>
      <c r="V4490" s="773">
        <v>2555</v>
      </c>
      <c r="W4490" s="773" t="s">
        <v>390</v>
      </c>
    </row>
    <row r="4491" spans="19:23">
      <c r="S4491" s="27">
        <v>44439</v>
      </c>
      <c r="T4491" s="773" t="s">
        <v>132</v>
      </c>
      <c r="U4491" s="773">
        <v>169</v>
      </c>
      <c r="V4491" s="773">
        <v>2509</v>
      </c>
      <c r="W4491" s="773" t="s">
        <v>390</v>
      </c>
    </row>
    <row r="4492" spans="19:23">
      <c r="S4492" s="27">
        <v>44439</v>
      </c>
      <c r="T4492" s="773" t="s">
        <v>132</v>
      </c>
      <c r="U4492" s="773">
        <v>202</v>
      </c>
      <c r="V4492" s="773">
        <v>1</v>
      </c>
      <c r="W4492" s="773" t="s">
        <v>410</v>
      </c>
    </row>
    <row r="4493" spans="19:23">
      <c r="S4493" s="27">
        <v>44439</v>
      </c>
      <c r="T4493" s="773" t="s">
        <v>132</v>
      </c>
      <c r="U4493" s="773">
        <v>52</v>
      </c>
      <c r="V4493" s="773">
        <v>2</v>
      </c>
      <c r="W4493" s="773" t="s">
        <v>410</v>
      </c>
    </row>
    <row r="4494" spans="19:23">
      <c r="S4494" s="27">
        <v>44439</v>
      </c>
      <c r="T4494" s="773" t="s">
        <v>132</v>
      </c>
      <c r="U4494" s="773">
        <v>304</v>
      </c>
      <c r="V4494" s="773">
        <v>107</v>
      </c>
      <c r="W4494" s="773" t="s">
        <v>390</v>
      </c>
    </row>
    <row r="4495" spans="19:23">
      <c r="S4495" s="27">
        <v>44439</v>
      </c>
      <c r="T4495" s="773" t="s">
        <v>132</v>
      </c>
      <c r="U4495" s="773">
        <v>93</v>
      </c>
      <c r="V4495" s="773">
        <v>11937</v>
      </c>
      <c r="W4495" s="773" t="s">
        <v>390</v>
      </c>
    </row>
    <row r="4496" spans="19:23">
      <c r="S4496" s="27">
        <v>44804</v>
      </c>
      <c r="T4496" s="773" t="s">
        <v>132</v>
      </c>
      <c r="U4496" s="773">
        <v>204</v>
      </c>
      <c r="V4496" s="773">
        <v>8</v>
      </c>
      <c r="W4496" s="773" t="s">
        <v>410</v>
      </c>
    </row>
    <row r="4497" spans="19:23">
      <c r="S4497" s="27">
        <v>44439</v>
      </c>
      <c r="T4497" s="773" t="s">
        <v>132</v>
      </c>
      <c r="U4497" s="773">
        <v>79</v>
      </c>
      <c r="V4497" s="773">
        <v>4</v>
      </c>
      <c r="W4497" s="773" t="s">
        <v>410</v>
      </c>
    </row>
    <row r="4498" spans="19:23">
      <c r="S4498" s="27">
        <v>44804</v>
      </c>
      <c r="T4498" s="773" t="s">
        <v>132</v>
      </c>
      <c r="U4498" s="773">
        <v>76</v>
      </c>
      <c r="V4498" s="773">
        <v>2918</v>
      </c>
      <c r="W4498" s="773" t="s">
        <v>390</v>
      </c>
    </row>
    <row r="4499" spans="19:23">
      <c r="S4499" s="27">
        <v>44804</v>
      </c>
      <c r="T4499" s="773" t="s">
        <v>132</v>
      </c>
      <c r="U4499" s="773">
        <v>233</v>
      </c>
      <c r="V4499" s="773">
        <v>2966</v>
      </c>
      <c r="W4499" s="773" t="s">
        <v>390</v>
      </c>
    </row>
    <row r="4500" spans="19:23">
      <c r="S4500" s="27">
        <v>44439</v>
      </c>
      <c r="T4500" s="773" t="s">
        <v>132</v>
      </c>
      <c r="U4500" s="773">
        <v>694</v>
      </c>
      <c r="V4500" s="773">
        <v>2</v>
      </c>
      <c r="W4500" s="773" t="s">
        <v>410</v>
      </c>
    </row>
    <row r="4501" spans="19:23">
      <c r="S4501" s="27">
        <v>44804</v>
      </c>
      <c r="T4501" s="773" t="s">
        <v>132</v>
      </c>
      <c r="U4501" s="773">
        <v>707</v>
      </c>
      <c r="V4501" s="773">
        <v>240</v>
      </c>
      <c r="W4501" s="773" t="s">
        <v>390</v>
      </c>
    </row>
    <row r="4502" spans="19:23">
      <c r="S4502" s="27">
        <v>44804</v>
      </c>
      <c r="T4502" s="773" t="s">
        <v>132</v>
      </c>
      <c r="U4502" s="773">
        <v>230</v>
      </c>
      <c r="V4502" s="773">
        <v>1</v>
      </c>
      <c r="W4502" s="773" t="s">
        <v>410</v>
      </c>
    </row>
    <row r="4503" spans="19:23">
      <c r="S4503" s="27">
        <v>44804</v>
      </c>
      <c r="T4503" s="773" t="s">
        <v>132</v>
      </c>
      <c r="U4503" s="773">
        <v>105</v>
      </c>
      <c r="V4503" s="773">
        <v>2</v>
      </c>
      <c r="W4503" s="773" t="s">
        <v>410</v>
      </c>
    </row>
    <row r="4504" spans="19:23">
      <c r="S4504" s="27">
        <v>44439</v>
      </c>
      <c r="T4504" s="773" t="s">
        <v>132</v>
      </c>
      <c r="U4504" s="773">
        <v>279</v>
      </c>
      <c r="V4504" s="773">
        <v>4092</v>
      </c>
      <c r="W4504" s="773" t="s">
        <v>390</v>
      </c>
    </row>
    <row r="4505" spans="19:23">
      <c r="S4505" s="27">
        <v>44804</v>
      </c>
      <c r="T4505" s="773" t="s">
        <v>132</v>
      </c>
      <c r="U4505" s="773">
        <v>681</v>
      </c>
      <c r="V4505" s="773">
        <v>662</v>
      </c>
      <c r="W4505" s="773" t="s">
        <v>390</v>
      </c>
    </row>
    <row r="4506" spans="19:23">
      <c r="S4506" s="27">
        <v>44439</v>
      </c>
      <c r="T4506" s="773" t="s">
        <v>132</v>
      </c>
      <c r="U4506" s="773">
        <v>81</v>
      </c>
      <c r="V4506" s="773">
        <v>4</v>
      </c>
      <c r="W4506" s="773" t="s">
        <v>410</v>
      </c>
    </row>
    <row r="4507" spans="19:23">
      <c r="S4507" s="27">
        <v>44439</v>
      </c>
      <c r="T4507" s="773" t="s">
        <v>132</v>
      </c>
      <c r="U4507" s="773">
        <v>60</v>
      </c>
      <c r="V4507" s="773">
        <v>1</v>
      </c>
      <c r="W4507" s="773" t="s">
        <v>410</v>
      </c>
    </row>
    <row r="4508" spans="19:23">
      <c r="S4508" s="27">
        <v>44804</v>
      </c>
      <c r="T4508" s="773" t="s">
        <v>132</v>
      </c>
      <c r="U4508" s="773">
        <v>648</v>
      </c>
      <c r="V4508" s="773">
        <v>1</v>
      </c>
      <c r="W4508" s="773" t="s">
        <v>410</v>
      </c>
    </row>
    <row r="4509" spans="19:23">
      <c r="S4509" s="27">
        <v>44439</v>
      </c>
      <c r="T4509" s="773" t="s">
        <v>132</v>
      </c>
      <c r="U4509" s="773">
        <v>141</v>
      </c>
      <c r="V4509" s="773">
        <v>10</v>
      </c>
      <c r="W4509" s="773" t="s">
        <v>410</v>
      </c>
    </row>
    <row r="4510" spans="19:23">
      <c r="S4510" s="27">
        <v>44804</v>
      </c>
      <c r="T4510" s="773" t="s">
        <v>132</v>
      </c>
      <c r="U4510" s="773">
        <v>155</v>
      </c>
      <c r="V4510" s="773">
        <v>2623</v>
      </c>
      <c r="W4510" s="773" t="s">
        <v>390</v>
      </c>
    </row>
    <row r="4511" spans="19:23">
      <c r="S4511" s="27">
        <v>44439</v>
      </c>
      <c r="T4511" s="773" t="s">
        <v>132</v>
      </c>
      <c r="U4511" s="773">
        <v>701</v>
      </c>
      <c r="V4511" s="773">
        <v>2133</v>
      </c>
      <c r="W4511" s="773" t="s">
        <v>390</v>
      </c>
    </row>
    <row r="4512" spans="19:23">
      <c r="S4512" s="27">
        <v>44804</v>
      </c>
      <c r="T4512" s="773" t="s">
        <v>132</v>
      </c>
      <c r="U4512" s="773">
        <v>108</v>
      </c>
      <c r="V4512" s="773">
        <v>6</v>
      </c>
      <c r="W4512" s="773" t="s">
        <v>410</v>
      </c>
    </row>
    <row r="4513" spans="19:23">
      <c r="S4513" s="27">
        <v>44804</v>
      </c>
      <c r="T4513" s="773" t="s">
        <v>132</v>
      </c>
      <c r="U4513" s="773">
        <v>645</v>
      </c>
      <c r="V4513" s="773">
        <v>746</v>
      </c>
      <c r="W4513" s="773" t="s">
        <v>390</v>
      </c>
    </row>
    <row r="4514" spans="19:23">
      <c r="S4514" s="27">
        <v>44439</v>
      </c>
      <c r="T4514" s="773" t="s">
        <v>132</v>
      </c>
      <c r="U4514" s="773">
        <v>43</v>
      </c>
      <c r="V4514" s="773">
        <v>3116</v>
      </c>
      <c r="W4514" s="773" t="s">
        <v>390</v>
      </c>
    </row>
    <row r="4515" spans="19:23">
      <c r="S4515" s="27">
        <v>44439</v>
      </c>
      <c r="T4515" s="773" t="s">
        <v>132</v>
      </c>
      <c r="U4515" s="773">
        <v>120</v>
      </c>
      <c r="V4515" s="773">
        <v>3</v>
      </c>
      <c r="W4515" s="773" t="s">
        <v>410</v>
      </c>
    </row>
    <row r="4516" spans="19:23">
      <c r="S4516" s="27">
        <v>44439</v>
      </c>
      <c r="T4516" s="773" t="s">
        <v>132</v>
      </c>
      <c r="U4516" s="773">
        <v>267</v>
      </c>
      <c r="V4516" s="773">
        <v>1</v>
      </c>
      <c r="W4516" s="773" t="s">
        <v>410</v>
      </c>
    </row>
    <row r="4517" spans="19:23">
      <c r="S4517" s="27">
        <v>44804</v>
      </c>
      <c r="T4517" s="773" t="s">
        <v>132</v>
      </c>
      <c r="U4517" s="773">
        <v>220</v>
      </c>
      <c r="V4517" s="773">
        <v>82</v>
      </c>
      <c r="W4517" s="773" t="s">
        <v>410</v>
      </c>
    </row>
    <row r="4518" spans="19:23">
      <c r="S4518" s="27">
        <v>44804</v>
      </c>
      <c r="T4518" s="773" t="s">
        <v>132</v>
      </c>
      <c r="U4518" s="773">
        <v>241</v>
      </c>
      <c r="V4518" s="773">
        <v>10</v>
      </c>
      <c r="W4518" s="773" t="s">
        <v>410</v>
      </c>
    </row>
    <row r="4519" spans="19:23">
      <c r="S4519" s="27">
        <v>44439</v>
      </c>
      <c r="T4519" s="773" t="s">
        <v>132</v>
      </c>
      <c r="U4519" s="773">
        <v>697</v>
      </c>
      <c r="V4519" s="773">
        <v>2818</v>
      </c>
      <c r="W4519" s="773" t="s">
        <v>390</v>
      </c>
    </row>
    <row r="4520" spans="19:23">
      <c r="S4520" s="27">
        <v>44804</v>
      </c>
      <c r="T4520" s="773" t="s">
        <v>132</v>
      </c>
      <c r="U4520" s="773">
        <v>671</v>
      </c>
      <c r="V4520" s="773">
        <v>1909</v>
      </c>
      <c r="W4520" s="773" t="s">
        <v>390</v>
      </c>
    </row>
    <row r="4521" spans="19:23">
      <c r="S4521" s="27">
        <v>44439</v>
      </c>
      <c r="T4521" s="773" t="s">
        <v>132</v>
      </c>
      <c r="U4521" s="773">
        <v>266</v>
      </c>
      <c r="V4521" s="773">
        <v>2290</v>
      </c>
      <c r="W4521" s="773" t="s">
        <v>390</v>
      </c>
    </row>
    <row r="4522" spans="19:23">
      <c r="S4522" s="27">
        <v>44439</v>
      </c>
      <c r="T4522" s="773" t="s">
        <v>132</v>
      </c>
      <c r="U4522" s="773">
        <v>204</v>
      </c>
      <c r="V4522" s="773">
        <v>24</v>
      </c>
      <c r="W4522" s="773" t="s">
        <v>410</v>
      </c>
    </row>
    <row r="4523" spans="19:23">
      <c r="S4523" s="27">
        <v>44439</v>
      </c>
      <c r="T4523" s="773" t="s">
        <v>132</v>
      </c>
      <c r="U4523" s="773">
        <v>155</v>
      </c>
      <c r="V4523" s="773">
        <v>2407</v>
      </c>
      <c r="W4523" s="773" t="s">
        <v>390</v>
      </c>
    </row>
    <row r="4524" spans="19:23">
      <c r="S4524" s="27">
        <v>44439</v>
      </c>
      <c r="T4524" s="773" t="s">
        <v>132</v>
      </c>
      <c r="U4524" s="773">
        <v>68</v>
      </c>
      <c r="V4524" s="773">
        <v>446</v>
      </c>
      <c r="W4524" s="773" t="s">
        <v>390</v>
      </c>
    </row>
    <row r="4525" spans="19:23">
      <c r="S4525" s="27">
        <v>44804</v>
      </c>
      <c r="T4525" s="773" t="s">
        <v>132</v>
      </c>
      <c r="U4525" s="773">
        <v>247</v>
      </c>
      <c r="V4525" s="773">
        <v>2734</v>
      </c>
      <c r="W4525" s="773" t="s">
        <v>390</v>
      </c>
    </row>
    <row r="4526" spans="19:23">
      <c r="S4526" s="27">
        <v>44439</v>
      </c>
      <c r="T4526" s="773" t="s">
        <v>132</v>
      </c>
      <c r="U4526" s="773">
        <v>203</v>
      </c>
      <c r="V4526" s="773">
        <v>3178</v>
      </c>
      <c r="W4526" s="773" t="s">
        <v>390</v>
      </c>
    </row>
    <row r="4527" spans="19:23">
      <c r="S4527" s="27">
        <v>44439</v>
      </c>
      <c r="T4527" s="773" t="s">
        <v>132</v>
      </c>
      <c r="U4527" s="773">
        <v>247</v>
      </c>
      <c r="V4527" s="773">
        <v>2372</v>
      </c>
      <c r="W4527" s="773" t="s">
        <v>390</v>
      </c>
    </row>
    <row r="4528" spans="19:23">
      <c r="S4528" s="27">
        <v>44804</v>
      </c>
      <c r="T4528" s="773" t="s">
        <v>132</v>
      </c>
      <c r="U4528" s="773">
        <v>723</v>
      </c>
      <c r="V4528" s="773">
        <v>81</v>
      </c>
      <c r="W4528" s="773" t="s">
        <v>410</v>
      </c>
    </row>
    <row r="4529" spans="19:23">
      <c r="S4529" s="27">
        <v>44439</v>
      </c>
      <c r="T4529" s="773" t="s">
        <v>132</v>
      </c>
      <c r="U4529" s="773">
        <v>290</v>
      </c>
      <c r="V4529" s="773">
        <v>2375</v>
      </c>
      <c r="W4529" s="773" t="s">
        <v>390</v>
      </c>
    </row>
    <row r="4530" spans="19:23">
      <c r="S4530" s="27">
        <v>44804</v>
      </c>
      <c r="T4530" s="773" t="s">
        <v>132</v>
      </c>
      <c r="U4530" s="773">
        <v>77</v>
      </c>
      <c r="V4530" s="773">
        <v>3526</v>
      </c>
      <c r="W4530" s="773" t="s">
        <v>390</v>
      </c>
    </row>
    <row r="4531" spans="19:23">
      <c r="S4531" s="27">
        <v>44804</v>
      </c>
      <c r="T4531" s="773" t="s">
        <v>132</v>
      </c>
      <c r="U4531" s="773">
        <v>318</v>
      </c>
      <c r="V4531" s="773">
        <v>2433</v>
      </c>
      <c r="W4531" s="773" t="s">
        <v>390</v>
      </c>
    </row>
    <row r="4532" spans="19:23">
      <c r="S4532" s="27">
        <v>44439</v>
      </c>
      <c r="T4532" s="773" t="s">
        <v>132</v>
      </c>
      <c r="U4532" s="773">
        <v>116</v>
      </c>
      <c r="V4532" s="773">
        <v>4</v>
      </c>
      <c r="W4532" s="773" t="s">
        <v>410</v>
      </c>
    </row>
    <row r="4533" spans="19:23">
      <c r="S4533" s="27">
        <v>44439</v>
      </c>
      <c r="T4533" s="773" t="s">
        <v>132</v>
      </c>
      <c r="U4533" s="773">
        <v>325</v>
      </c>
      <c r="V4533" s="773">
        <v>2874</v>
      </c>
      <c r="W4533" s="773" t="s">
        <v>390</v>
      </c>
    </row>
    <row r="4534" spans="19:23">
      <c r="S4534" s="27">
        <v>44439</v>
      </c>
      <c r="T4534" s="773" t="s">
        <v>132</v>
      </c>
      <c r="U4534" s="773">
        <v>190</v>
      </c>
      <c r="V4534" s="773">
        <v>1</v>
      </c>
      <c r="W4534" s="773" t="s">
        <v>410</v>
      </c>
    </row>
    <row r="4535" spans="19:23">
      <c r="S4535" s="27">
        <v>44804</v>
      </c>
      <c r="T4535" s="773" t="s">
        <v>132</v>
      </c>
      <c r="U4535" s="773">
        <v>132</v>
      </c>
      <c r="V4535" s="773">
        <v>2656</v>
      </c>
      <c r="W4535" s="773" t="s">
        <v>390</v>
      </c>
    </row>
    <row r="4536" spans="19:23">
      <c r="S4536" s="27">
        <v>44804</v>
      </c>
      <c r="T4536" s="773" t="s">
        <v>132</v>
      </c>
      <c r="U4536" s="773">
        <v>679</v>
      </c>
      <c r="V4536" s="773">
        <v>1</v>
      </c>
      <c r="W4536" s="773" t="s">
        <v>410</v>
      </c>
    </row>
    <row r="4537" spans="19:23">
      <c r="S4537" s="27">
        <v>44439</v>
      </c>
      <c r="T4537" s="773" t="s">
        <v>132</v>
      </c>
      <c r="U4537" s="773">
        <v>73</v>
      </c>
      <c r="V4537" s="773">
        <v>2</v>
      </c>
      <c r="W4537" s="773" t="s">
        <v>410</v>
      </c>
    </row>
    <row r="4538" spans="19:23">
      <c r="S4538" s="27">
        <v>44804</v>
      </c>
      <c r="T4538" s="773" t="s">
        <v>132</v>
      </c>
      <c r="U4538" s="773">
        <v>729</v>
      </c>
      <c r="V4538" s="773">
        <v>12</v>
      </c>
      <c r="W4538" s="773" t="s">
        <v>410</v>
      </c>
    </row>
    <row r="4539" spans="19:23">
      <c r="S4539" s="27">
        <v>44439</v>
      </c>
      <c r="T4539" s="773" t="s">
        <v>132</v>
      </c>
      <c r="U4539" s="773">
        <v>84</v>
      </c>
      <c r="V4539" s="773">
        <v>2453</v>
      </c>
      <c r="W4539" s="773" t="s">
        <v>390</v>
      </c>
    </row>
    <row r="4540" spans="19:23">
      <c r="S4540" s="27">
        <v>44439</v>
      </c>
      <c r="T4540" s="773" t="s">
        <v>132</v>
      </c>
      <c r="U4540" s="773">
        <v>140</v>
      </c>
      <c r="V4540" s="773">
        <v>377</v>
      </c>
      <c r="W4540" s="773" t="s">
        <v>390</v>
      </c>
    </row>
    <row r="4541" spans="19:23">
      <c r="S4541" s="27">
        <v>44439</v>
      </c>
      <c r="T4541" s="773" t="s">
        <v>132</v>
      </c>
      <c r="U4541" s="773">
        <v>58</v>
      </c>
      <c r="V4541" s="773">
        <v>3</v>
      </c>
      <c r="W4541" s="773" t="s">
        <v>410</v>
      </c>
    </row>
    <row r="4542" spans="19:23">
      <c r="S4542" s="27">
        <v>44439</v>
      </c>
      <c r="T4542" s="773" t="s">
        <v>132</v>
      </c>
      <c r="U4542" s="773">
        <v>257</v>
      </c>
      <c r="V4542" s="773">
        <v>2591</v>
      </c>
      <c r="W4542" s="773" t="s">
        <v>390</v>
      </c>
    </row>
    <row r="4543" spans="19:23">
      <c r="S4543" s="27">
        <v>44439</v>
      </c>
      <c r="T4543" s="773" t="s">
        <v>132</v>
      </c>
      <c r="U4543" s="773">
        <v>133</v>
      </c>
      <c r="V4543" s="773">
        <v>1</v>
      </c>
      <c r="W4543" s="773" t="s">
        <v>410</v>
      </c>
    </row>
    <row r="4544" spans="19:23">
      <c r="S4544" s="27">
        <v>44439</v>
      </c>
      <c r="T4544" s="773" t="s">
        <v>132</v>
      </c>
      <c r="U4544" s="773">
        <v>680</v>
      </c>
      <c r="V4544" s="773">
        <v>2614</v>
      </c>
      <c r="W4544" s="773" t="s">
        <v>390</v>
      </c>
    </row>
    <row r="4545" spans="19:23">
      <c r="S4545" s="27">
        <v>44804</v>
      </c>
      <c r="T4545" s="773" t="s">
        <v>132</v>
      </c>
      <c r="U4545" s="773">
        <v>669</v>
      </c>
      <c r="V4545" s="773">
        <v>3073</v>
      </c>
      <c r="W4545" s="773" t="s">
        <v>390</v>
      </c>
    </row>
    <row r="4546" spans="19:23">
      <c r="S4546" s="27">
        <v>44804</v>
      </c>
      <c r="T4546" s="773" t="s">
        <v>132</v>
      </c>
      <c r="U4546" s="773">
        <v>697</v>
      </c>
      <c r="V4546" s="773">
        <v>1434</v>
      </c>
      <c r="W4546" s="773" t="s">
        <v>390</v>
      </c>
    </row>
    <row r="4547" spans="19:23">
      <c r="S4547" s="27">
        <v>44439</v>
      </c>
      <c r="T4547" s="773" t="s">
        <v>132</v>
      </c>
      <c r="U4547" s="773">
        <v>654</v>
      </c>
      <c r="V4547" s="773">
        <v>2401</v>
      </c>
      <c r="W4547" s="773" t="s">
        <v>390</v>
      </c>
    </row>
    <row r="4548" spans="19:23">
      <c r="S4548" s="27">
        <v>44439</v>
      </c>
      <c r="T4548" s="773" t="s">
        <v>132</v>
      </c>
      <c r="U4548" s="773">
        <v>191</v>
      </c>
      <c r="V4548" s="773">
        <v>1902</v>
      </c>
      <c r="W4548" s="773" t="s">
        <v>390</v>
      </c>
    </row>
    <row r="4549" spans="19:23">
      <c r="S4549" s="27">
        <v>44439</v>
      </c>
      <c r="T4549" s="773" t="s">
        <v>132</v>
      </c>
      <c r="U4549" s="773">
        <v>666</v>
      </c>
      <c r="V4549" s="773">
        <v>1403</v>
      </c>
      <c r="W4549" s="773" t="s">
        <v>390</v>
      </c>
    </row>
    <row r="4550" spans="19:23">
      <c r="S4550" s="27">
        <v>44804</v>
      </c>
      <c r="T4550" s="773" t="s">
        <v>132</v>
      </c>
      <c r="U4550" s="773">
        <v>188</v>
      </c>
      <c r="V4550" s="773">
        <v>679</v>
      </c>
      <c r="W4550" s="773" t="s">
        <v>390</v>
      </c>
    </row>
    <row r="4551" spans="19:23">
      <c r="S4551" s="27">
        <v>44804</v>
      </c>
      <c r="T4551" s="773" t="s">
        <v>132</v>
      </c>
      <c r="U4551" s="773">
        <v>191</v>
      </c>
      <c r="V4551" s="773">
        <v>324</v>
      </c>
      <c r="W4551" s="773" t="s">
        <v>390</v>
      </c>
    </row>
    <row r="4552" spans="19:23">
      <c r="S4552" s="27">
        <v>44804</v>
      </c>
      <c r="T4552" s="773" t="s">
        <v>132</v>
      </c>
      <c r="U4552" s="773">
        <v>327</v>
      </c>
      <c r="V4552" s="773">
        <v>2</v>
      </c>
      <c r="W4552" s="773" t="s">
        <v>410</v>
      </c>
    </row>
    <row r="4553" spans="19:23">
      <c r="S4553" s="27">
        <v>44439</v>
      </c>
      <c r="T4553" s="773" t="s">
        <v>132</v>
      </c>
      <c r="U4553" s="773">
        <v>253</v>
      </c>
      <c r="V4553" s="773">
        <v>15</v>
      </c>
      <c r="W4553" s="773" t="s">
        <v>410</v>
      </c>
    </row>
    <row r="4554" spans="19:23">
      <c r="S4554" s="27">
        <v>44439</v>
      </c>
      <c r="T4554" s="773" t="s">
        <v>132</v>
      </c>
      <c r="U4554" s="773">
        <v>102</v>
      </c>
      <c r="V4554" s="773">
        <v>4</v>
      </c>
      <c r="W4554" s="773" t="s">
        <v>410</v>
      </c>
    </row>
    <row r="4555" spans="19:23">
      <c r="S4555" s="27">
        <v>44439</v>
      </c>
      <c r="T4555" s="773" t="s">
        <v>132</v>
      </c>
      <c r="U4555" s="773">
        <v>97</v>
      </c>
      <c r="V4555" s="773">
        <v>4</v>
      </c>
      <c r="W4555" s="773" t="s">
        <v>410</v>
      </c>
    </row>
    <row r="4556" spans="19:23">
      <c r="S4556" s="27">
        <v>44804</v>
      </c>
      <c r="T4556" s="773" t="s">
        <v>132</v>
      </c>
      <c r="U4556" s="773">
        <v>255</v>
      </c>
      <c r="V4556" s="773">
        <v>265</v>
      </c>
      <c r="W4556" s="773" t="s">
        <v>390</v>
      </c>
    </row>
    <row r="4557" spans="19:23">
      <c r="S4557" s="27">
        <v>44439</v>
      </c>
      <c r="T4557" s="773" t="s">
        <v>132</v>
      </c>
      <c r="U4557" s="773">
        <v>292</v>
      </c>
      <c r="V4557" s="773">
        <v>7</v>
      </c>
      <c r="W4557" s="773" t="s">
        <v>410</v>
      </c>
    </row>
    <row r="4558" spans="19:23">
      <c r="S4558" s="27">
        <v>44439</v>
      </c>
      <c r="T4558" s="773" t="s">
        <v>132</v>
      </c>
      <c r="U4558" s="773">
        <v>173</v>
      </c>
      <c r="V4558" s="773">
        <v>2</v>
      </c>
      <c r="W4558" s="773" t="s">
        <v>410</v>
      </c>
    </row>
    <row r="4559" spans="19:23">
      <c r="S4559" s="27">
        <v>44804</v>
      </c>
      <c r="T4559" s="773" t="s">
        <v>132</v>
      </c>
      <c r="U4559" s="773">
        <v>523</v>
      </c>
      <c r="V4559" s="773">
        <v>1</v>
      </c>
      <c r="W4559" s="773" t="s">
        <v>410</v>
      </c>
    </row>
    <row r="4560" spans="19:23">
      <c r="S4560" s="27">
        <v>44804</v>
      </c>
      <c r="T4560" s="773" t="s">
        <v>132</v>
      </c>
      <c r="U4560" s="773">
        <v>311</v>
      </c>
      <c r="V4560" s="773">
        <v>2528</v>
      </c>
      <c r="W4560" s="773" t="s">
        <v>390</v>
      </c>
    </row>
    <row r="4561" spans="19:23">
      <c r="S4561" s="27">
        <v>44804</v>
      </c>
      <c r="T4561" s="773" t="s">
        <v>132</v>
      </c>
      <c r="U4561" s="773">
        <v>222</v>
      </c>
      <c r="V4561" s="773">
        <v>1</v>
      </c>
      <c r="W4561" s="773" t="s">
        <v>410</v>
      </c>
    </row>
    <row r="4562" spans="19:23">
      <c r="S4562" s="27">
        <v>44439</v>
      </c>
      <c r="T4562" s="773" t="s">
        <v>132</v>
      </c>
      <c r="U4562" s="773">
        <v>276</v>
      </c>
      <c r="V4562" s="773">
        <v>1</v>
      </c>
      <c r="W4562" s="773" t="s">
        <v>410</v>
      </c>
    </row>
    <row r="4563" spans="19:23">
      <c r="S4563" s="27">
        <v>44804</v>
      </c>
      <c r="T4563" s="773" t="s">
        <v>132</v>
      </c>
      <c r="U4563" s="773">
        <v>691</v>
      </c>
      <c r="V4563" s="773">
        <v>3202</v>
      </c>
      <c r="W4563" s="773" t="s">
        <v>390</v>
      </c>
    </row>
    <row r="4564" spans="19:23">
      <c r="S4564" s="27">
        <v>44439</v>
      </c>
      <c r="T4564" s="773" t="s">
        <v>132</v>
      </c>
      <c r="U4564" s="773">
        <v>148</v>
      </c>
      <c r="V4564" s="773">
        <v>1</v>
      </c>
      <c r="W4564" s="773" t="s">
        <v>410</v>
      </c>
    </row>
    <row r="4565" spans="19:23">
      <c r="S4565" s="27">
        <v>44439</v>
      </c>
      <c r="T4565" s="773" t="s">
        <v>132</v>
      </c>
      <c r="U4565" s="773">
        <v>658</v>
      </c>
      <c r="V4565" s="773">
        <v>2993</v>
      </c>
      <c r="W4565" s="773" t="s">
        <v>390</v>
      </c>
    </row>
    <row r="4566" spans="19:23">
      <c r="S4566" s="27">
        <v>44804</v>
      </c>
      <c r="T4566" s="773" t="s">
        <v>132</v>
      </c>
      <c r="U4566" s="773">
        <v>664</v>
      </c>
      <c r="V4566" s="773">
        <v>2079</v>
      </c>
      <c r="W4566" s="773" t="s">
        <v>390</v>
      </c>
    </row>
    <row r="4567" spans="19:23">
      <c r="S4567" s="27">
        <v>44804</v>
      </c>
      <c r="T4567" s="773" t="s">
        <v>132</v>
      </c>
      <c r="U4567" s="773">
        <v>169</v>
      </c>
      <c r="V4567" s="773">
        <v>3156</v>
      </c>
      <c r="W4567" s="773" t="s">
        <v>390</v>
      </c>
    </row>
    <row r="4568" spans="19:23">
      <c r="S4568" s="27">
        <v>44804</v>
      </c>
      <c r="T4568" s="773" t="s">
        <v>132</v>
      </c>
      <c r="U4568" s="773">
        <v>203</v>
      </c>
      <c r="V4568" s="773">
        <v>2667</v>
      </c>
      <c r="W4568" s="773" t="s">
        <v>390</v>
      </c>
    </row>
    <row r="4569" spans="19:23">
      <c r="S4569" s="27">
        <v>44804</v>
      </c>
      <c r="T4569" s="773" t="s">
        <v>132</v>
      </c>
      <c r="U4569" s="773">
        <v>202</v>
      </c>
      <c r="V4569" s="773">
        <v>1</v>
      </c>
      <c r="W4569" s="773" t="s">
        <v>410</v>
      </c>
    </row>
    <row r="4570" spans="19:23">
      <c r="S4570" s="27">
        <v>44439</v>
      </c>
      <c r="T4570" s="773" t="s">
        <v>132</v>
      </c>
      <c r="U4570" s="773">
        <v>171</v>
      </c>
      <c r="V4570" s="773">
        <v>182</v>
      </c>
      <c r="W4570" s="773" t="s">
        <v>390</v>
      </c>
    </row>
    <row r="4571" spans="19:23">
      <c r="S4571" s="27">
        <v>44439</v>
      </c>
      <c r="T4571" s="773" t="s">
        <v>132</v>
      </c>
      <c r="U4571" s="773">
        <v>324</v>
      </c>
      <c r="V4571" s="773">
        <v>226</v>
      </c>
      <c r="W4571" s="773" t="s">
        <v>390</v>
      </c>
    </row>
    <row r="4572" spans="19:23">
      <c r="S4572" s="27">
        <v>44804</v>
      </c>
      <c r="T4572" s="773" t="s">
        <v>132</v>
      </c>
      <c r="U4572" s="773">
        <v>722</v>
      </c>
      <c r="V4572" s="773">
        <v>1</v>
      </c>
      <c r="W4572" s="773" t="s">
        <v>410</v>
      </c>
    </row>
    <row r="4573" spans="19:23">
      <c r="S4573" s="27">
        <v>44804</v>
      </c>
      <c r="T4573" s="773" t="s">
        <v>132</v>
      </c>
      <c r="U4573" s="773">
        <v>528</v>
      </c>
      <c r="V4573" s="773">
        <v>37</v>
      </c>
      <c r="W4573" s="773" t="s">
        <v>410</v>
      </c>
    </row>
    <row r="4574" spans="19:23">
      <c r="S4574" s="27">
        <v>44439</v>
      </c>
      <c r="T4574" s="773" t="s">
        <v>132</v>
      </c>
      <c r="U4574" s="773">
        <v>105</v>
      </c>
      <c r="V4574" s="773">
        <v>1</v>
      </c>
      <c r="W4574" s="773" t="s">
        <v>410</v>
      </c>
    </row>
    <row r="4575" spans="19:23">
      <c r="S4575" s="27">
        <v>44804</v>
      </c>
      <c r="T4575" s="773" t="s">
        <v>132</v>
      </c>
      <c r="U4575" s="773">
        <v>678</v>
      </c>
      <c r="V4575" s="773">
        <v>2946</v>
      </c>
      <c r="W4575" s="773" t="s">
        <v>390</v>
      </c>
    </row>
    <row r="4576" spans="19:23">
      <c r="S4576" s="27">
        <v>44804</v>
      </c>
      <c r="T4576" s="773" t="s">
        <v>132</v>
      </c>
      <c r="U4576" s="773">
        <v>315</v>
      </c>
      <c r="V4576" s="773">
        <v>1958</v>
      </c>
      <c r="W4576" s="773" t="s">
        <v>390</v>
      </c>
    </row>
    <row r="4577" spans="19:23">
      <c r="S4577" s="27">
        <v>44804</v>
      </c>
      <c r="T4577" s="773" t="s">
        <v>132</v>
      </c>
      <c r="U4577" s="773">
        <v>295</v>
      </c>
      <c r="V4577" s="773">
        <v>2</v>
      </c>
      <c r="W4577" s="773" t="s">
        <v>410</v>
      </c>
    </row>
    <row r="4578" spans="19:23">
      <c r="S4578" s="27">
        <v>44804</v>
      </c>
      <c r="T4578" s="773" t="s">
        <v>132</v>
      </c>
      <c r="U4578" s="773">
        <v>275</v>
      </c>
      <c r="V4578" s="773">
        <v>24</v>
      </c>
      <c r="W4578" s="773" t="s">
        <v>410</v>
      </c>
    </row>
    <row r="4579" spans="19:23">
      <c r="S4579" s="27">
        <v>44439</v>
      </c>
      <c r="T4579" s="773" t="s">
        <v>132</v>
      </c>
      <c r="U4579" s="773">
        <v>239</v>
      </c>
      <c r="V4579" s="773">
        <v>3383</v>
      </c>
      <c r="W4579" s="773" t="s">
        <v>390</v>
      </c>
    </row>
    <row r="4580" spans="19:23">
      <c r="S4580" s="27">
        <v>44439</v>
      </c>
      <c r="T4580" s="773" t="s">
        <v>132</v>
      </c>
      <c r="U4580" s="773">
        <v>94</v>
      </c>
      <c r="V4580" s="773">
        <v>135</v>
      </c>
      <c r="W4580" s="773" t="s">
        <v>390</v>
      </c>
    </row>
    <row r="4581" spans="19:23">
      <c r="S4581" s="27">
        <v>44439</v>
      </c>
      <c r="T4581" s="773" t="s">
        <v>132</v>
      </c>
      <c r="U4581" s="773">
        <v>321</v>
      </c>
      <c r="V4581" s="773">
        <v>549</v>
      </c>
      <c r="W4581" s="773" t="s">
        <v>390</v>
      </c>
    </row>
    <row r="4582" spans="19:23">
      <c r="S4582" s="27">
        <v>44804</v>
      </c>
      <c r="T4582" s="773" t="s">
        <v>132</v>
      </c>
      <c r="U4582" s="773">
        <v>92</v>
      </c>
      <c r="V4582" s="773">
        <v>3061</v>
      </c>
      <c r="W4582" s="773" t="s">
        <v>390</v>
      </c>
    </row>
    <row r="4583" spans="19:23">
      <c r="S4583" s="27">
        <v>44439</v>
      </c>
      <c r="T4583" s="773" t="s">
        <v>132</v>
      </c>
      <c r="U4583" s="773">
        <v>255</v>
      </c>
      <c r="V4583" s="773">
        <v>9</v>
      </c>
      <c r="W4583" s="773" t="s">
        <v>410</v>
      </c>
    </row>
    <row r="4584" spans="19:23">
      <c r="S4584" s="27">
        <v>44439</v>
      </c>
      <c r="T4584" s="773" t="s">
        <v>132</v>
      </c>
      <c r="U4584" s="773">
        <v>250</v>
      </c>
      <c r="V4584" s="773">
        <v>2</v>
      </c>
      <c r="W4584" s="773" t="s">
        <v>410</v>
      </c>
    </row>
    <row r="4585" spans="19:23">
      <c r="S4585" s="27">
        <v>44804</v>
      </c>
      <c r="T4585" s="773" t="s">
        <v>132</v>
      </c>
      <c r="U4585" s="773">
        <v>699</v>
      </c>
      <c r="V4585" s="773">
        <v>2211</v>
      </c>
      <c r="W4585" s="773" t="s">
        <v>390</v>
      </c>
    </row>
    <row r="4586" spans="19:23">
      <c r="S4586" s="27">
        <v>44804</v>
      </c>
      <c r="T4586" s="773" t="s">
        <v>132</v>
      </c>
      <c r="U4586" s="773">
        <v>326</v>
      </c>
      <c r="V4586" s="773">
        <v>2848</v>
      </c>
      <c r="W4586" s="773" t="s">
        <v>390</v>
      </c>
    </row>
    <row r="4587" spans="19:23">
      <c r="S4587" s="27">
        <v>44439</v>
      </c>
      <c r="T4587" s="773" t="s">
        <v>132</v>
      </c>
      <c r="U4587" s="773">
        <v>652</v>
      </c>
      <c r="V4587" s="773">
        <v>2703</v>
      </c>
      <c r="W4587" s="773" t="s">
        <v>390</v>
      </c>
    </row>
    <row r="4588" spans="19:23">
      <c r="S4588" s="27">
        <v>44439</v>
      </c>
      <c r="T4588" s="773" t="s">
        <v>132</v>
      </c>
      <c r="U4588" s="773">
        <v>110</v>
      </c>
      <c r="V4588" s="773">
        <v>1</v>
      </c>
      <c r="W4588" s="773" t="s">
        <v>410</v>
      </c>
    </row>
    <row r="4589" spans="19:23">
      <c r="S4589" s="27">
        <v>44804</v>
      </c>
      <c r="T4589" s="773" t="s">
        <v>132</v>
      </c>
      <c r="U4589" s="773">
        <v>249</v>
      </c>
      <c r="V4589" s="773">
        <v>3574</v>
      </c>
      <c r="W4589" s="773" t="s">
        <v>390</v>
      </c>
    </row>
    <row r="4590" spans="19:23">
      <c r="S4590" s="27">
        <v>44804</v>
      </c>
      <c r="T4590" s="773" t="s">
        <v>132</v>
      </c>
      <c r="U4590" s="773">
        <v>232</v>
      </c>
      <c r="V4590" s="773">
        <v>2</v>
      </c>
      <c r="W4590" s="773" t="s">
        <v>410</v>
      </c>
    </row>
    <row r="4591" spans="19:23">
      <c r="S4591" s="27">
        <v>44439</v>
      </c>
      <c r="T4591" s="773" t="s">
        <v>132</v>
      </c>
      <c r="U4591" s="773">
        <v>87</v>
      </c>
      <c r="V4591" s="773">
        <v>12</v>
      </c>
      <c r="W4591" s="773" t="s">
        <v>410</v>
      </c>
    </row>
    <row r="4592" spans="19:23">
      <c r="S4592" s="27">
        <v>44439</v>
      </c>
      <c r="T4592" s="773" t="s">
        <v>132</v>
      </c>
      <c r="U4592" s="773">
        <v>678</v>
      </c>
      <c r="V4592" s="773">
        <v>2755</v>
      </c>
      <c r="W4592" s="773" t="s">
        <v>390</v>
      </c>
    </row>
    <row r="4593" spans="19:23">
      <c r="S4593" s="27">
        <v>44804</v>
      </c>
      <c r="T4593" s="773" t="s">
        <v>132</v>
      </c>
      <c r="U4593" s="773">
        <v>651</v>
      </c>
      <c r="V4593" s="773">
        <v>64</v>
      </c>
      <c r="W4593" s="773" t="s">
        <v>410</v>
      </c>
    </row>
    <row r="4594" spans="19:23">
      <c r="S4594" s="27">
        <v>44439</v>
      </c>
      <c r="T4594" s="773" t="s">
        <v>132</v>
      </c>
      <c r="U4594" s="773">
        <v>63</v>
      </c>
      <c r="V4594" s="773">
        <v>1</v>
      </c>
      <c r="W4594" s="773" t="s">
        <v>410</v>
      </c>
    </row>
    <row r="4595" spans="19:23">
      <c r="S4595" s="27">
        <v>44804</v>
      </c>
      <c r="T4595" s="773" t="s">
        <v>132</v>
      </c>
      <c r="U4595" s="773">
        <v>254</v>
      </c>
      <c r="V4595" s="773">
        <v>3</v>
      </c>
      <c r="W4595" s="773" t="s">
        <v>410</v>
      </c>
    </row>
    <row r="4596" spans="19:23">
      <c r="S4596" s="27">
        <v>44804</v>
      </c>
      <c r="T4596" s="773" t="s">
        <v>132</v>
      </c>
      <c r="U4596" s="773">
        <v>240</v>
      </c>
      <c r="V4596" s="773">
        <v>3</v>
      </c>
      <c r="W4596" s="773" t="s">
        <v>410</v>
      </c>
    </row>
    <row r="4597" spans="19:23">
      <c r="S4597" s="27">
        <v>44804</v>
      </c>
      <c r="T4597" s="773" t="s">
        <v>132</v>
      </c>
      <c r="U4597" s="773">
        <v>93</v>
      </c>
      <c r="V4597" s="773">
        <v>3063</v>
      </c>
      <c r="W4597" s="773" t="s">
        <v>390</v>
      </c>
    </row>
    <row r="4598" spans="19:23">
      <c r="S4598" s="27">
        <v>44804</v>
      </c>
      <c r="T4598" s="773" t="s">
        <v>132</v>
      </c>
      <c r="U4598" s="773">
        <v>130</v>
      </c>
      <c r="V4598" s="773">
        <v>1</v>
      </c>
      <c r="W4598" s="773" t="s">
        <v>410</v>
      </c>
    </row>
    <row r="4599" spans="19:23">
      <c r="S4599" s="27">
        <v>44804</v>
      </c>
      <c r="T4599" s="773" t="s">
        <v>132</v>
      </c>
      <c r="U4599" s="773">
        <v>11</v>
      </c>
      <c r="V4599" s="773">
        <v>27</v>
      </c>
      <c r="W4599" s="773" t="s">
        <v>410</v>
      </c>
    </row>
    <row r="4600" spans="19:23">
      <c r="S4600" s="27">
        <v>44439</v>
      </c>
      <c r="T4600" s="773" t="s">
        <v>132</v>
      </c>
      <c r="U4600" s="773">
        <v>662</v>
      </c>
      <c r="V4600" s="773">
        <v>3000</v>
      </c>
      <c r="W4600" s="773" t="s">
        <v>390</v>
      </c>
    </row>
    <row r="4601" spans="19:23">
      <c r="S4601" s="27">
        <v>44439</v>
      </c>
      <c r="T4601" s="773" t="s">
        <v>132</v>
      </c>
      <c r="U4601" s="773">
        <v>305</v>
      </c>
      <c r="V4601" s="773">
        <v>3817</v>
      </c>
      <c r="W4601" s="773" t="s">
        <v>390</v>
      </c>
    </row>
    <row r="4602" spans="19:23">
      <c r="S4602" s="27">
        <v>44439</v>
      </c>
      <c r="T4602" s="773" t="s">
        <v>132</v>
      </c>
      <c r="U4602" s="773">
        <v>215</v>
      </c>
      <c r="V4602" s="773">
        <v>724</v>
      </c>
      <c r="W4602" s="773" t="s">
        <v>390</v>
      </c>
    </row>
    <row r="4603" spans="19:23">
      <c r="S4603" s="27">
        <v>44439</v>
      </c>
      <c r="T4603" s="773" t="s">
        <v>132</v>
      </c>
      <c r="U4603" s="773">
        <v>162</v>
      </c>
      <c r="V4603" s="773">
        <v>2521</v>
      </c>
      <c r="W4603" s="773" t="s">
        <v>390</v>
      </c>
    </row>
    <row r="4604" spans="19:23">
      <c r="S4604" s="27">
        <v>44804</v>
      </c>
      <c r="T4604" s="773" t="s">
        <v>132</v>
      </c>
      <c r="U4604" s="773">
        <v>63</v>
      </c>
      <c r="V4604" s="773">
        <v>1</v>
      </c>
      <c r="W4604" s="773" t="s">
        <v>410</v>
      </c>
    </row>
    <row r="4605" spans="19:23">
      <c r="S4605" s="27">
        <v>44804</v>
      </c>
      <c r="T4605" s="773" t="s">
        <v>132</v>
      </c>
      <c r="U4605" s="773">
        <v>103</v>
      </c>
      <c r="V4605" s="773">
        <v>3454</v>
      </c>
      <c r="W4605" s="773" t="s">
        <v>390</v>
      </c>
    </row>
    <row r="4606" spans="19:23">
      <c r="S4606" s="27">
        <v>44804</v>
      </c>
      <c r="T4606" s="773" t="s">
        <v>132</v>
      </c>
      <c r="U4606" s="773">
        <v>276</v>
      </c>
      <c r="V4606" s="773">
        <v>1</v>
      </c>
      <c r="W4606" s="773" t="s">
        <v>410</v>
      </c>
    </row>
    <row r="4607" spans="19:23">
      <c r="S4607" s="27">
        <v>44804</v>
      </c>
      <c r="T4607" s="773" t="s">
        <v>132</v>
      </c>
      <c r="U4607" s="773">
        <v>319</v>
      </c>
      <c r="V4607" s="773">
        <v>3285</v>
      </c>
      <c r="W4607" s="773" t="s">
        <v>390</v>
      </c>
    </row>
    <row r="4608" spans="19:23">
      <c r="S4608" s="27">
        <v>44439</v>
      </c>
      <c r="T4608" s="773" t="s">
        <v>132</v>
      </c>
      <c r="U4608" s="773">
        <v>691</v>
      </c>
      <c r="V4608" s="773">
        <v>2345</v>
      </c>
      <c r="W4608" s="773" t="s">
        <v>390</v>
      </c>
    </row>
    <row r="4609" spans="19:23">
      <c r="S4609" s="27">
        <v>44804</v>
      </c>
      <c r="T4609" s="773" t="s">
        <v>132</v>
      </c>
      <c r="U4609" s="773">
        <v>283</v>
      </c>
      <c r="V4609" s="773">
        <v>1</v>
      </c>
      <c r="W4609" s="773" t="s">
        <v>410</v>
      </c>
    </row>
    <row r="4610" spans="19:23">
      <c r="S4610" s="27">
        <v>44439</v>
      </c>
      <c r="T4610" s="773" t="s">
        <v>132</v>
      </c>
      <c r="U4610" s="773">
        <v>698</v>
      </c>
      <c r="V4610" s="773">
        <v>2630</v>
      </c>
      <c r="W4610" s="773" t="s">
        <v>390</v>
      </c>
    </row>
    <row r="4611" spans="19:23">
      <c r="S4611" s="27">
        <v>44439</v>
      </c>
      <c r="T4611" s="773" t="s">
        <v>132</v>
      </c>
      <c r="U4611" s="773">
        <v>679</v>
      </c>
      <c r="V4611" s="773">
        <v>3</v>
      </c>
      <c r="W4611" s="773" t="s">
        <v>410</v>
      </c>
    </row>
    <row r="4612" spans="19:23">
      <c r="S4612" s="27">
        <v>44439</v>
      </c>
      <c r="T4612" s="773" t="s">
        <v>132</v>
      </c>
      <c r="U4612" s="773">
        <v>100</v>
      </c>
      <c r="V4612" s="773">
        <v>3</v>
      </c>
      <c r="W4612" s="773" t="s">
        <v>410</v>
      </c>
    </row>
    <row r="4613" spans="19:23">
      <c r="S4613" s="27">
        <v>44804</v>
      </c>
      <c r="T4613" s="773" t="s">
        <v>132</v>
      </c>
      <c r="U4613" s="773">
        <v>60</v>
      </c>
      <c r="V4613" s="773">
        <v>1</v>
      </c>
      <c r="W4613" s="773" t="s">
        <v>410</v>
      </c>
    </row>
    <row r="4614" spans="19:23">
      <c r="S4614" s="27">
        <v>44439</v>
      </c>
      <c r="T4614" s="773" t="s">
        <v>132</v>
      </c>
      <c r="U4614" s="773">
        <v>0</v>
      </c>
      <c r="V4614" s="773">
        <v>39</v>
      </c>
      <c r="W4614" s="773" t="s">
        <v>410</v>
      </c>
    </row>
    <row r="4615" spans="19:23">
      <c r="S4615" s="27">
        <v>44439</v>
      </c>
      <c r="T4615" s="773" t="s">
        <v>132</v>
      </c>
      <c r="U4615" s="773">
        <v>59</v>
      </c>
      <c r="V4615" s="773">
        <v>83</v>
      </c>
      <c r="W4615" s="773" t="s">
        <v>410</v>
      </c>
    </row>
    <row r="4616" spans="19:23">
      <c r="S4616" s="27">
        <v>44804</v>
      </c>
      <c r="T4616" s="773" t="s">
        <v>132</v>
      </c>
      <c r="U4616" s="773">
        <v>665</v>
      </c>
      <c r="V4616" s="773">
        <v>3408</v>
      </c>
      <c r="W4616" s="773" t="s">
        <v>390</v>
      </c>
    </row>
    <row r="4617" spans="19:23">
      <c r="S4617" s="27">
        <v>44804</v>
      </c>
      <c r="T4617" s="773" t="s">
        <v>132</v>
      </c>
      <c r="U4617" s="773">
        <v>652</v>
      </c>
      <c r="V4617" s="773">
        <v>3714</v>
      </c>
      <c r="W4617" s="773" t="s">
        <v>390</v>
      </c>
    </row>
    <row r="4618" spans="19:23">
      <c r="S4618" s="27">
        <v>44439</v>
      </c>
      <c r="T4618" s="773" t="s">
        <v>132</v>
      </c>
      <c r="U4618" s="773">
        <v>665</v>
      </c>
      <c r="V4618" s="773">
        <v>2751</v>
      </c>
      <c r="W4618" s="773" t="s">
        <v>390</v>
      </c>
    </row>
    <row r="4619" spans="19:23">
      <c r="S4619" s="27">
        <v>44804</v>
      </c>
      <c r="T4619" s="773" t="s">
        <v>132</v>
      </c>
      <c r="U4619" s="773">
        <v>698</v>
      </c>
      <c r="V4619" s="773">
        <v>3016</v>
      </c>
      <c r="W4619" s="773" t="s">
        <v>390</v>
      </c>
    </row>
    <row r="4620" spans="19:23">
      <c r="S4620" s="27">
        <v>44804</v>
      </c>
      <c r="T4620" s="773" t="s">
        <v>132</v>
      </c>
      <c r="U4620" s="773">
        <v>161</v>
      </c>
      <c r="V4620" s="773">
        <v>1</v>
      </c>
      <c r="W4620" s="773" t="s">
        <v>410</v>
      </c>
    </row>
    <row r="4621" spans="19:23">
      <c r="S4621" s="27">
        <v>44439</v>
      </c>
      <c r="T4621" s="773" t="s">
        <v>132</v>
      </c>
      <c r="U4621" s="773">
        <v>220</v>
      </c>
      <c r="V4621" s="773">
        <v>183</v>
      </c>
      <c r="W4621" s="773" t="s">
        <v>390</v>
      </c>
    </row>
    <row r="4622" spans="19:23">
      <c r="S4622" s="27">
        <v>44804</v>
      </c>
      <c r="T4622" s="773" t="s">
        <v>132</v>
      </c>
      <c r="U4622" s="773">
        <v>329</v>
      </c>
      <c r="V4622" s="773">
        <v>4123</v>
      </c>
      <c r="W4622" s="773" t="s">
        <v>390</v>
      </c>
    </row>
    <row r="4623" spans="19:23">
      <c r="S4623" s="27">
        <v>44804</v>
      </c>
      <c r="T4623" s="773" t="s">
        <v>132</v>
      </c>
      <c r="U4623" s="773">
        <v>73</v>
      </c>
      <c r="V4623" s="773">
        <v>2</v>
      </c>
      <c r="W4623" s="773" t="s">
        <v>410</v>
      </c>
    </row>
    <row r="4624" spans="19:23">
      <c r="S4624" s="27">
        <v>44804</v>
      </c>
      <c r="T4624" s="773" t="s">
        <v>132</v>
      </c>
      <c r="U4624" s="773">
        <v>183</v>
      </c>
      <c r="V4624" s="773">
        <v>606</v>
      </c>
      <c r="W4624" s="773" t="s">
        <v>390</v>
      </c>
    </row>
    <row r="4625" spans="19:23">
      <c r="S4625" s="27">
        <v>44804</v>
      </c>
      <c r="T4625" s="773" t="s">
        <v>132</v>
      </c>
      <c r="U4625" s="773">
        <v>725</v>
      </c>
      <c r="V4625" s="773">
        <v>38</v>
      </c>
      <c r="W4625" s="773" t="s">
        <v>410</v>
      </c>
    </row>
    <row r="4626" spans="19:23">
      <c r="S4626" s="27">
        <v>44439</v>
      </c>
      <c r="T4626" s="773" t="s">
        <v>132</v>
      </c>
      <c r="U4626" s="773">
        <v>668</v>
      </c>
      <c r="V4626" s="773">
        <v>7</v>
      </c>
      <c r="W4626" s="773" t="s">
        <v>410</v>
      </c>
    </row>
    <row r="4627" spans="19:23">
      <c r="S4627" s="27">
        <v>44439</v>
      </c>
      <c r="T4627" s="773" t="s">
        <v>132</v>
      </c>
      <c r="U4627" s="773">
        <v>645</v>
      </c>
      <c r="V4627" s="773">
        <v>2701</v>
      </c>
      <c r="W4627" s="773" t="s">
        <v>390</v>
      </c>
    </row>
    <row r="4628" spans="19:23">
      <c r="S4628" s="27">
        <v>44439</v>
      </c>
      <c r="T4628" s="773" t="s">
        <v>132</v>
      </c>
      <c r="U4628" s="773">
        <v>311</v>
      </c>
      <c r="V4628" s="773">
        <v>2388</v>
      </c>
      <c r="W4628" s="773" t="s">
        <v>390</v>
      </c>
    </row>
    <row r="4629" spans="19:23">
      <c r="S4629" s="27">
        <v>44804</v>
      </c>
      <c r="T4629" s="773" t="s">
        <v>132</v>
      </c>
      <c r="U4629" s="773">
        <v>303</v>
      </c>
      <c r="V4629" s="773">
        <v>2516</v>
      </c>
      <c r="W4629" s="773" t="s">
        <v>390</v>
      </c>
    </row>
    <row r="4630" spans="19:23">
      <c r="S4630" s="27">
        <v>44439</v>
      </c>
      <c r="T4630" s="773" t="s">
        <v>132</v>
      </c>
      <c r="U4630" s="773">
        <v>132</v>
      </c>
      <c r="V4630" s="773">
        <v>2874</v>
      </c>
      <c r="W4630" s="773" t="s">
        <v>390</v>
      </c>
    </row>
    <row r="4631" spans="19:23">
      <c r="S4631" s="27">
        <v>44439</v>
      </c>
      <c r="T4631" s="773" t="s">
        <v>132</v>
      </c>
      <c r="U4631" s="773">
        <v>650</v>
      </c>
      <c r="V4631" s="773">
        <v>125</v>
      </c>
      <c r="W4631" s="773" t="s">
        <v>390</v>
      </c>
    </row>
    <row r="4632" spans="19:23">
      <c r="S4632" s="27">
        <v>44439</v>
      </c>
      <c r="T4632" s="773" t="s">
        <v>132</v>
      </c>
      <c r="U4632" s="773">
        <v>626</v>
      </c>
      <c r="V4632" s="773">
        <v>4</v>
      </c>
      <c r="W4632" s="773" t="s">
        <v>410</v>
      </c>
    </row>
    <row r="4633" spans="19:23">
      <c r="S4633" s="27">
        <v>44439</v>
      </c>
      <c r="T4633" s="773" t="s">
        <v>132</v>
      </c>
      <c r="U4633" s="773">
        <v>161</v>
      </c>
      <c r="V4633" s="773">
        <v>6</v>
      </c>
      <c r="W4633" s="773" t="s">
        <v>410</v>
      </c>
    </row>
    <row r="4634" spans="19:23">
      <c r="S4634" s="27">
        <v>44439</v>
      </c>
      <c r="T4634" s="773" t="s">
        <v>132</v>
      </c>
      <c r="U4634" s="773">
        <v>182</v>
      </c>
      <c r="V4634" s="773">
        <v>928</v>
      </c>
      <c r="W4634" s="773" t="s">
        <v>390</v>
      </c>
    </row>
    <row r="4635" spans="19:23">
      <c r="S4635" s="27">
        <v>44439</v>
      </c>
      <c r="T4635" s="773" t="s">
        <v>132</v>
      </c>
      <c r="U4635" s="773">
        <v>671</v>
      </c>
      <c r="V4635" s="773">
        <v>2204</v>
      </c>
      <c r="W4635" s="773" t="s">
        <v>390</v>
      </c>
    </row>
    <row r="4636" spans="19:23">
      <c r="S4636" s="27">
        <v>44804</v>
      </c>
      <c r="T4636" s="773" t="s">
        <v>132</v>
      </c>
      <c r="U4636" s="773">
        <v>726</v>
      </c>
      <c r="V4636" s="773">
        <v>4</v>
      </c>
      <c r="W4636" s="773" t="s">
        <v>410</v>
      </c>
    </row>
    <row r="4637" spans="19:23">
      <c r="S4637" s="27">
        <v>44804</v>
      </c>
      <c r="T4637" s="773" t="s">
        <v>132</v>
      </c>
      <c r="U4637" s="773">
        <v>70</v>
      </c>
      <c r="V4637" s="773">
        <v>211</v>
      </c>
      <c r="W4637" s="773" t="s">
        <v>390</v>
      </c>
    </row>
    <row r="4638" spans="19:23">
      <c r="S4638" s="27">
        <v>44804</v>
      </c>
      <c r="T4638" s="773" t="s">
        <v>132</v>
      </c>
      <c r="U4638" s="773">
        <v>164</v>
      </c>
      <c r="V4638" s="773">
        <v>6</v>
      </c>
      <c r="W4638" s="773" t="s">
        <v>410</v>
      </c>
    </row>
    <row r="4639" spans="19:23">
      <c r="S4639" s="27">
        <v>44804</v>
      </c>
      <c r="T4639" s="773" t="s">
        <v>132</v>
      </c>
      <c r="U4639" s="773">
        <v>59</v>
      </c>
      <c r="V4639" s="773">
        <v>2</v>
      </c>
      <c r="W4639" s="773" t="s">
        <v>410</v>
      </c>
    </row>
    <row r="4640" spans="19:23">
      <c r="S4640" s="27">
        <v>44439</v>
      </c>
      <c r="T4640" s="773" t="s">
        <v>132</v>
      </c>
      <c r="U4640" s="773">
        <v>319</v>
      </c>
      <c r="V4640" s="773">
        <v>1859</v>
      </c>
      <c r="W4640" s="773" t="s">
        <v>390</v>
      </c>
    </row>
    <row r="4641" spans="19:23">
      <c r="S4641" s="27">
        <v>44804</v>
      </c>
      <c r="T4641" s="773" t="s">
        <v>132</v>
      </c>
      <c r="U4641" s="773">
        <v>237</v>
      </c>
      <c r="V4641" s="773">
        <v>1</v>
      </c>
      <c r="W4641" s="773" t="s">
        <v>410</v>
      </c>
    </row>
    <row r="4642" spans="19:23">
      <c r="S4642" s="27">
        <v>44804</v>
      </c>
      <c r="T4642" s="773" t="s">
        <v>132</v>
      </c>
      <c r="U4642" s="773">
        <v>323</v>
      </c>
      <c r="V4642" s="773">
        <v>3157</v>
      </c>
      <c r="W4642" s="773" t="s">
        <v>390</v>
      </c>
    </row>
    <row r="4643" spans="19:23">
      <c r="S4643" s="27">
        <v>44804</v>
      </c>
      <c r="T4643" s="773" t="s">
        <v>132</v>
      </c>
      <c r="U4643" s="773">
        <v>133</v>
      </c>
      <c r="V4643" s="773">
        <v>4</v>
      </c>
      <c r="W4643" s="773" t="s">
        <v>410</v>
      </c>
    </row>
    <row r="4644" spans="19:23">
      <c r="S4644" s="27">
        <v>44804</v>
      </c>
      <c r="T4644" s="773" t="s">
        <v>132</v>
      </c>
      <c r="U4644" s="773">
        <v>257</v>
      </c>
      <c r="V4644" s="773">
        <v>3125</v>
      </c>
      <c r="W4644" s="773" t="s">
        <v>390</v>
      </c>
    </row>
    <row r="4645" spans="19:23">
      <c r="S4645" s="27">
        <v>44804</v>
      </c>
      <c r="T4645" s="773" t="s">
        <v>132</v>
      </c>
      <c r="U4645" s="773">
        <v>324</v>
      </c>
      <c r="V4645" s="773">
        <v>1712</v>
      </c>
      <c r="W4645" s="773" t="s">
        <v>390</v>
      </c>
    </row>
    <row r="4646" spans="19:23">
      <c r="S4646" s="27">
        <v>44804</v>
      </c>
      <c r="T4646" s="773" t="s">
        <v>132</v>
      </c>
      <c r="U4646" s="773">
        <v>658</v>
      </c>
      <c r="V4646" s="773">
        <v>3582</v>
      </c>
      <c r="W4646" s="773" t="s">
        <v>390</v>
      </c>
    </row>
    <row r="4647" spans="19:23">
      <c r="S4647" s="27">
        <v>44439</v>
      </c>
      <c r="T4647" s="773" t="s">
        <v>132</v>
      </c>
      <c r="U4647" s="773">
        <v>145</v>
      </c>
      <c r="V4647" s="773">
        <v>2</v>
      </c>
      <c r="W4647" s="773" t="s">
        <v>410</v>
      </c>
    </row>
    <row r="4648" spans="19:23">
      <c r="S4648" s="27">
        <v>44804</v>
      </c>
      <c r="T4648" s="773" t="s">
        <v>132</v>
      </c>
      <c r="U4648" s="773">
        <v>325</v>
      </c>
      <c r="V4648" s="773">
        <v>2032</v>
      </c>
      <c r="W4648" s="773" t="s">
        <v>390</v>
      </c>
    </row>
    <row r="4649" spans="19:23">
      <c r="S4649" s="27">
        <v>44439</v>
      </c>
      <c r="T4649" s="773" t="s">
        <v>132</v>
      </c>
      <c r="U4649" s="773">
        <v>294</v>
      </c>
      <c r="V4649" s="773">
        <v>10</v>
      </c>
      <c r="W4649" s="773" t="s">
        <v>410</v>
      </c>
    </row>
    <row r="4650" spans="19:23">
      <c r="S4650" s="27">
        <v>44804</v>
      </c>
      <c r="T4650" s="773" t="s">
        <v>132</v>
      </c>
      <c r="U4650" s="773">
        <v>688</v>
      </c>
      <c r="V4650" s="773">
        <v>3601</v>
      </c>
      <c r="W4650" s="773" t="s">
        <v>390</v>
      </c>
    </row>
    <row r="4651" spans="19:23">
      <c r="S4651" s="27">
        <v>44804</v>
      </c>
      <c r="T4651" s="773" t="s">
        <v>132</v>
      </c>
      <c r="U4651" s="773">
        <v>306</v>
      </c>
      <c r="V4651" s="773">
        <v>2322</v>
      </c>
      <c r="W4651" s="773" t="s">
        <v>390</v>
      </c>
    </row>
    <row r="4652" spans="19:23">
      <c r="S4652" s="27">
        <v>44439</v>
      </c>
      <c r="T4652" s="773" t="s">
        <v>132</v>
      </c>
      <c r="U4652" s="773">
        <v>64</v>
      </c>
      <c r="V4652" s="773">
        <v>5</v>
      </c>
      <c r="W4652" s="773" t="s">
        <v>410</v>
      </c>
    </row>
    <row r="4653" spans="19:23">
      <c r="S4653" s="27">
        <v>44804</v>
      </c>
      <c r="T4653" s="773" t="s">
        <v>132</v>
      </c>
      <c r="U4653" s="773">
        <v>666</v>
      </c>
      <c r="V4653" s="773">
        <v>1553</v>
      </c>
      <c r="W4653" s="773" t="s">
        <v>390</v>
      </c>
    </row>
    <row r="4654" spans="19:23">
      <c r="S4654" s="27">
        <v>44439</v>
      </c>
      <c r="T4654" s="773" t="s">
        <v>132</v>
      </c>
      <c r="U4654" s="773">
        <v>83</v>
      </c>
      <c r="V4654" s="773">
        <v>2130</v>
      </c>
      <c r="W4654" s="773" t="s">
        <v>390</v>
      </c>
    </row>
    <row r="4655" spans="19:23">
      <c r="S4655" s="27">
        <v>44804</v>
      </c>
      <c r="T4655" s="773" t="s">
        <v>132</v>
      </c>
      <c r="U4655" s="773">
        <v>140</v>
      </c>
      <c r="V4655" s="773">
        <v>441</v>
      </c>
      <c r="W4655" s="773" t="s">
        <v>390</v>
      </c>
    </row>
    <row r="4656" spans="19:23">
      <c r="S4656" s="27">
        <v>44439</v>
      </c>
      <c r="T4656" s="773" t="s">
        <v>132</v>
      </c>
      <c r="U4656" s="773">
        <v>676</v>
      </c>
      <c r="V4656" s="773">
        <v>1</v>
      </c>
      <c r="W4656" s="773" t="s">
        <v>410</v>
      </c>
    </row>
    <row r="4657" spans="19:23">
      <c r="S4657" s="27">
        <v>44804</v>
      </c>
      <c r="T4657" s="773" t="s">
        <v>132</v>
      </c>
      <c r="U4657" s="773">
        <v>96</v>
      </c>
      <c r="V4657" s="773">
        <v>1</v>
      </c>
      <c r="W4657" s="773" t="s">
        <v>410</v>
      </c>
    </row>
    <row r="4658" spans="19:23">
      <c r="S4658" s="27">
        <v>44804</v>
      </c>
      <c r="T4658" s="773" t="s">
        <v>132</v>
      </c>
      <c r="U4658" s="773">
        <v>294</v>
      </c>
      <c r="V4658" s="773">
        <v>3</v>
      </c>
      <c r="W4658" s="773" t="s">
        <v>410</v>
      </c>
    </row>
    <row r="4659" spans="19:23">
      <c r="S4659" s="27">
        <v>44804</v>
      </c>
      <c r="T4659" s="773" t="s">
        <v>132</v>
      </c>
      <c r="U4659" s="773">
        <v>81</v>
      </c>
      <c r="V4659" s="773">
        <v>6</v>
      </c>
      <c r="W4659" s="773" t="s">
        <v>410</v>
      </c>
    </row>
    <row r="4660" spans="19:23">
      <c r="S4660" s="27">
        <v>44804</v>
      </c>
      <c r="T4660" s="773" t="s">
        <v>132</v>
      </c>
      <c r="U4660" s="773">
        <v>83</v>
      </c>
      <c r="V4660" s="773">
        <v>2425</v>
      </c>
      <c r="W4660" s="773" t="s">
        <v>390</v>
      </c>
    </row>
    <row r="4661" spans="19:23">
      <c r="S4661" s="27">
        <v>44439</v>
      </c>
      <c r="T4661" s="773" t="s">
        <v>132</v>
      </c>
      <c r="U4661" s="773">
        <v>183</v>
      </c>
      <c r="V4661" s="773">
        <v>2288</v>
      </c>
      <c r="W4661" s="773" t="s">
        <v>390</v>
      </c>
    </row>
    <row r="4662" spans="19:23">
      <c r="S4662" s="27">
        <v>44439</v>
      </c>
      <c r="T4662" s="773" t="s">
        <v>132</v>
      </c>
      <c r="U4662" s="773">
        <v>696</v>
      </c>
      <c r="V4662" s="773">
        <v>2239</v>
      </c>
      <c r="W4662" s="773" t="s">
        <v>390</v>
      </c>
    </row>
    <row r="4663" spans="19:23">
      <c r="S4663" s="27">
        <v>44804</v>
      </c>
      <c r="T4663" s="773" t="s">
        <v>132</v>
      </c>
      <c r="U4663" s="773">
        <v>52</v>
      </c>
      <c r="V4663" s="773">
        <v>8</v>
      </c>
      <c r="W4663" s="773" t="s">
        <v>410</v>
      </c>
    </row>
    <row r="4664" spans="19:23">
      <c r="S4664" s="27">
        <v>44439</v>
      </c>
      <c r="T4664" s="773" t="s">
        <v>132</v>
      </c>
      <c r="U4664" s="773">
        <v>39</v>
      </c>
      <c r="V4664" s="773">
        <v>1</v>
      </c>
      <c r="W4664" s="773" t="s">
        <v>410</v>
      </c>
    </row>
    <row r="4665" spans="19:23">
      <c r="S4665" s="27">
        <v>44804</v>
      </c>
      <c r="T4665" s="773" t="s">
        <v>132</v>
      </c>
      <c r="U4665" s="773">
        <v>662</v>
      </c>
      <c r="V4665" s="773">
        <v>667</v>
      </c>
      <c r="W4665" s="773" t="s">
        <v>390</v>
      </c>
    </row>
    <row r="4666" spans="19:23">
      <c r="S4666" s="27">
        <v>44804</v>
      </c>
      <c r="T4666" s="773" t="s">
        <v>132</v>
      </c>
      <c r="U4666" s="773">
        <v>279</v>
      </c>
      <c r="V4666" s="773">
        <v>3</v>
      </c>
      <c r="W4666" s="773" t="s">
        <v>410</v>
      </c>
    </row>
    <row r="4667" spans="19:23">
      <c r="S4667" s="27">
        <v>44804</v>
      </c>
      <c r="T4667" s="773" t="s">
        <v>132</v>
      </c>
      <c r="U4667" s="773">
        <v>84</v>
      </c>
      <c r="V4667" s="773">
        <v>2591</v>
      </c>
      <c r="W4667" s="773" t="s">
        <v>390</v>
      </c>
    </row>
    <row r="4668" spans="19:23">
      <c r="S4668" s="27">
        <v>44804</v>
      </c>
      <c r="T4668" s="773" t="s">
        <v>132</v>
      </c>
      <c r="U4668" s="773">
        <v>732</v>
      </c>
      <c r="V4668" s="773">
        <v>3557</v>
      </c>
      <c r="W4668" s="773" t="s">
        <v>390</v>
      </c>
    </row>
    <row r="4669" spans="19:23">
      <c r="S4669" s="27">
        <v>44804</v>
      </c>
      <c r="T4669" s="773" t="s">
        <v>132</v>
      </c>
      <c r="U4669" s="773">
        <v>292</v>
      </c>
      <c r="V4669" s="773">
        <v>4</v>
      </c>
      <c r="W4669" s="773" t="s">
        <v>410</v>
      </c>
    </row>
    <row r="4670" spans="19:23">
      <c r="S4670" s="27">
        <v>44804</v>
      </c>
      <c r="T4670" s="773" t="s">
        <v>132</v>
      </c>
      <c r="U4670" s="773">
        <v>218</v>
      </c>
      <c r="V4670" s="773">
        <v>141</v>
      </c>
      <c r="W4670" s="773" t="s">
        <v>390</v>
      </c>
    </row>
    <row r="4671" spans="19:23">
      <c r="S4671" s="27">
        <v>44439</v>
      </c>
      <c r="T4671" s="773" t="s">
        <v>132</v>
      </c>
      <c r="U4671" s="773">
        <v>111</v>
      </c>
      <c r="V4671" s="773">
        <v>2</v>
      </c>
      <c r="W4671" s="773" t="s">
        <v>410</v>
      </c>
    </row>
    <row r="4672" spans="19:23">
      <c r="S4672" s="27">
        <v>44439</v>
      </c>
      <c r="T4672" s="773" t="s">
        <v>132</v>
      </c>
      <c r="U4672" s="773">
        <v>669</v>
      </c>
      <c r="V4672" s="773">
        <v>2576</v>
      </c>
      <c r="W4672" s="773" t="s">
        <v>390</v>
      </c>
    </row>
    <row r="4673" spans="19:23">
      <c r="S4673" s="27">
        <v>44804</v>
      </c>
      <c r="T4673" s="773" t="s">
        <v>132</v>
      </c>
      <c r="U4673" s="773">
        <v>724</v>
      </c>
      <c r="V4673" s="773">
        <v>10</v>
      </c>
      <c r="W4673" s="773" t="s">
        <v>410</v>
      </c>
    </row>
    <row r="4674" spans="19:23">
      <c r="S4674" s="27">
        <v>44439</v>
      </c>
      <c r="T4674" s="773" t="s">
        <v>132</v>
      </c>
      <c r="U4674" s="773">
        <v>136</v>
      </c>
      <c r="V4674" s="773">
        <v>93</v>
      </c>
      <c r="W4674" s="773" t="s">
        <v>410</v>
      </c>
    </row>
    <row r="4675" spans="19:23">
      <c r="S4675" s="27">
        <v>44439</v>
      </c>
      <c r="T4675" s="773" t="s">
        <v>132</v>
      </c>
      <c r="U4675" s="773">
        <v>674</v>
      </c>
      <c r="V4675" s="773">
        <v>3824</v>
      </c>
      <c r="W4675" s="773" t="s">
        <v>390</v>
      </c>
    </row>
    <row r="4676" spans="19:23">
      <c r="S4676" s="27">
        <v>44804</v>
      </c>
      <c r="T4676" s="773" t="s">
        <v>132</v>
      </c>
      <c r="U4676" s="773">
        <v>239</v>
      </c>
      <c r="V4676" s="773">
        <v>8</v>
      </c>
      <c r="W4676" s="773" t="s">
        <v>410</v>
      </c>
    </row>
    <row r="4677" spans="19:23">
      <c r="S4677" s="27">
        <v>44439</v>
      </c>
      <c r="T4677" s="773" t="s">
        <v>132</v>
      </c>
      <c r="U4677" s="773">
        <v>251</v>
      </c>
      <c r="V4677" s="773">
        <v>2477</v>
      </c>
      <c r="W4677" s="773" t="s">
        <v>390</v>
      </c>
    </row>
    <row r="4678" spans="19:23">
      <c r="S4678" s="27">
        <v>44804</v>
      </c>
      <c r="T4678" s="773" t="s">
        <v>132</v>
      </c>
      <c r="U4678" s="773">
        <v>680</v>
      </c>
      <c r="V4678" s="773">
        <v>3139</v>
      </c>
      <c r="W4678" s="773" t="s">
        <v>390</v>
      </c>
    </row>
    <row r="4679" spans="19:23">
      <c r="S4679" s="27">
        <v>44804</v>
      </c>
      <c r="T4679" s="773" t="s">
        <v>132</v>
      </c>
      <c r="U4679" s="773">
        <v>215</v>
      </c>
      <c r="V4679" s="773">
        <v>642</v>
      </c>
      <c r="W4679" s="773" t="s">
        <v>390</v>
      </c>
    </row>
    <row r="4680" spans="19:23">
      <c r="S4680" s="27">
        <v>44804</v>
      </c>
      <c r="T4680" s="773" t="s">
        <v>132</v>
      </c>
      <c r="U4680" s="773">
        <v>158</v>
      </c>
      <c r="V4680" s="773">
        <v>122</v>
      </c>
      <c r="W4680" s="773" t="s">
        <v>390</v>
      </c>
    </row>
    <row r="4681" spans="19:23">
      <c r="S4681" s="27">
        <v>44439</v>
      </c>
      <c r="T4681" s="773" t="s">
        <v>132</v>
      </c>
      <c r="U4681" s="773">
        <v>272</v>
      </c>
      <c r="V4681" s="773">
        <v>1</v>
      </c>
      <c r="W4681" s="773" t="s">
        <v>410</v>
      </c>
    </row>
    <row r="4682" spans="19:23">
      <c r="S4682" s="27">
        <v>44439</v>
      </c>
      <c r="T4682" s="773" t="s">
        <v>132</v>
      </c>
      <c r="U4682" s="773">
        <v>309</v>
      </c>
      <c r="V4682" s="773">
        <v>22</v>
      </c>
      <c r="W4682" s="773" t="s">
        <v>410</v>
      </c>
    </row>
    <row r="4683" spans="19:23">
      <c r="S4683" s="27">
        <v>44804</v>
      </c>
      <c r="T4683" s="773" t="s">
        <v>132</v>
      </c>
      <c r="U4683" s="773">
        <v>35</v>
      </c>
      <c r="V4683" s="773">
        <v>885</v>
      </c>
      <c r="W4683" s="773" t="s">
        <v>390</v>
      </c>
    </row>
    <row r="4684" spans="19:23">
      <c r="S4684" s="27">
        <v>44439</v>
      </c>
      <c r="T4684" s="773" t="s">
        <v>132</v>
      </c>
      <c r="U4684" s="773">
        <v>246</v>
      </c>
      <c r="V4684" s="773">
        <v>5</v>
      </c>
      <c r="W4684" s="773" t="s">
        <v>410</v>
      </c>
    </row>
    <row r="4685" spans="19:23">
      <c r="S4685" s="27">
        <v>44804</v>
      </c>
      <c r="T4685" s="773" t="s">
        <v>132</v>
      </c>
      <c r="U4685" s="773">
        <v>39</v>
      </c>
      <c r="V4685" s="773">
        <v>1</v>
      </c>
      <c r="W4685" s="773" t="s">
        <v>410</v>
      </c>
    </row>
    <row r="4686" spans="19:23">
      <c r="S4686" s="27">
        <v>44439</v>
      </c>
      <c r="T4686" s="773" t="s">
        <v>132</v>
      </c>
      <c r="U4686" s="773">
        <v>291</v>
      </c>
      <c r="V4686" s="773">
        <v>2068</v>
      </c>
      <c r="W4686" s="773" t="s">
        <v>390</v>
      </c>
    </row>
    <row r="4687" spans="19:23">
      <c r="S4687" s="27">
        <v>44804</v>
      </c>
      <c r="T4687" s="773" t="s">
        <v>132</v>
      </c>
      <c r="U4687" s="773">
        <v>296</v>
      </c>
      <c r="V4687" s="773">
        <v>2521</v>
      </c>
      <c r="W4687" s="773" t="s">
        <v>390</v>
      </c>
    </row>
    <row r="4688" spans="19:23">
      <c r="S4688" s="27">
        <v>44804</v>
      </c>
      <c r="T4688" s="773" t="s">
        <v>132</v>
      </c>
      <c r="U4688" s="773">
        <v>256</v>
      </c>
      <c r="V4688" s="773">
        <v>282</v>
      </c>
      <c r="W4688" s="773" t="s">
        <v>390</v>
      </c>
    </row>
    <row r="4689" spans="19:23">
      <c r="S4689" s="27">
        <v>44804</v>
      </c>
      <c r="T4689" s="773" t="s">
        <v>132</v>
      </c>
      <c r="U4689" s="773">
        <v>56</v>
      </c>
      <c r="V4689" s="773">
        <v>3</v>
      </c>
      <c r="W4689" s="773" t="s">
        <v>410</v>
      </c>
    </row>
    <row r="4690" spans="19:23">
      <c r="S4690" s="27">
        <v>44439</v>
      </c>
      <c r="T4690" s="773" t="s">
        <v>132</v>
      </c>
      <c r="U4690" s="773">
        <v>153</v>
      </c>
      <c r="V4690" s="773">
        <v>2191</v>
      </c>
      <c r="W4690" s="773" t="s">
        <v>390</v>
      </c>
    </row>
    <row r="4691" spans="19:23">
      <c r="S4691" s="27">
        <v>44439</v>
      </c>
      <c r="T4691" s="773" t="s">
        <v>132</v>
      </c>
      <c r="U4691" s="773">
        <v>315</v>
      </c>
      <c r="V4691" s="773">
        <v>151</v>
      </c>
      <c r="W4691" s="773" t="s">
        <v>390</v>
      </c>
    </row>
    <row r="4692" spans="19:23">
      <c r="S4692" s="27">
        <v>44439</v>
      </c>
      <c r="T4692" s="773" t="s">
        <v>132</v>
      </c>
      <c r="U4692" s="773">
        <v>249</v>
      </c>
      <c r="V4692" s="773">
        <v>2666</v>
      </c>
      <c r="W4692" s="773" t="s">
        <v>390</v>
      </c>
    </row>
    <row r="4693" spans="19:23">
      <c r="S4693" s="27">
        <v>44804</v>
      </c>
      <c r="T4693" s="773" t="s">
        <v>132</v>
      </c>
      <c r="U4693" s="773">
        <v>290</v>
      </c>
      <c r="V4693" s="773">
        <v>586</v>
      </c>
      <c r="W4693" s="773" t="s">
        <v>390</v>
      </c>
    </row>
    <row r="4694" spans="19:23">
      <c r="S4694" s="27">
        <v>44804</v>
      </c>
      <c r="T4694" s="773" t="s">
        <v>132</v>
      </c>
      <c r="U4694" s="773">
        <v>342</v>
      </c>
      <c r="V4694" s="773">
        <v>2631</v>
      </c>
      <c r="W4694" s="773" t="s">
        <v>390</v>
      </c>
    </row>
    <row r="4695" spans="19:23">
      <c r="S4695" s="27">
        <v>44439</v>
      </c>
      <c r="T4695" s="773" t="s">
        <v>132</v>
      </c>
      <c r="U4695" s="773">
        <v>159</v>
      </c>
      <c r="V4695" s="773">
        <v>16</v>
      </c>
      <c r="W4695" s="773" t="s">
        <v>410</v>
      </c>
    </row>
    <row r="4696" spans="19:23">
      <c r="S4696" s="27">
        <v>44804</v>
      </c>
      <c r="T4696" s="773" t="s">
        <v>132</v>
      </c>
      <c r="U4696" s="773">
        <v>193</v>
      </c>
      <c r="V4696" s="773">
        <v>443</v>
      </c>
      <c r="W4696" s="773" t="s">
        <v>390</v>
      </c>
    </row>
    <row r="4697" spans="19:23">
      <c r="S4697" s="27">
        <v>44439</v>
      </c>
      <c r="T4697" s="773" t="s">
        <v>132</v>
      </c>
      <c r="U4697" s="773">
        <v>271</v>
      </c>
      <c r="V4697" s="773">
        <v>2593</v>
      </c>
      <c r="W4697" s="773" t="s">
        <v>390</v>
      </c>
    </row>
    <row r="4698" spans="19:23">
      <c r="S4698" s="27">
        <v>44439</v>
      </c>
      <c r="T4698" s="773" t="s">
        <v>132</v>
      </c>
      <c r="U4698" s="773">
        <v>528</v>
      </c>
      <c r="V4698" s="773">
        <v>600</v>
      </c>
      <c r="W4698" s="773" t="s">
        <v>390</v>
      </c>
    </row>
    <row r="4699" spans="19:23">
      <c r="S4699" s="27">
        <v>44439</v>
      </c>
      <c r="T4699" s="773" t="s">
        <v>132</v>
      </c>
      <c r="U4699" s="773">
        <v>245</v>
      </c>
      <c r="V4699" s="773">
        <v>2697</v>
      </c>
      <c r="W4699" s="773" t="s">
        <v>390</v>
      </c>
    </row>
    <row r="4700" spans="19:23">
      <c r="S4700" s="27">
        <v>44804</v>
      </c>
      <c r="T4700" s="773" t="s">
        <v>132</v>
      </c>
      <c r="U4700" s="773">
        <v>317</v>
      </c>
      <c r="V4700" s="773">
        <v>3561</v>
      </c>
      <c r="W4700" s="773" t="s">
        <v>390</v>
      </c>
    </row>
    <row r="4701" spans="19:23">
      <c r="S4701" s="27">
        <v>44439</v>
      </c>
      <c r="T4701" s="773" t="s">
        <v>132</v>
      </c>
      <c r="U4701" s="773">
        <v>194</v>
      </c>
      <c r="V4701" s="773">
        <v>3373</v>
      </c>
      <c r="W4701" s="773" t="s">
        <v>390</v>
      </c>
    </row>
    <row r="4702" spans="19:23">
      <c r="S4702" s="27">
        <v>44804</v>
      </c>
      <c r="T4702" s="773" t="s">
        <v>132</v>
      </c>
      <c r="U4702" s="773">
        <v>710</v>
      </c>
      <c r="V4702" s="773">
        <v>785</v>
      </c>
      <c r="W4702" s="773" t="s">
        <v>390</v>
      </c>
    </row>
    <row r="4703" spans="19:23">
      <c r="S4703" s="27">
        <v>44439</v>
      </c>
      <c r="T4703" s="773" t="s">
        <v>132</v>
      </c>
      <c r="U4703" s="773">
        <v>69</v>
      </c>
      <c r="V4703" s="773">
        <v>1</v>
      </c>
      <c r="W4703" s="773" t="s">
        <v>410</v>
      </c>
    </row>
    <row r="4704" spans="19:23">
      <c r="S4704" s="27">
        <v>44804</v>
      </c>
      <c r="T4704" s="773" t="s">
        <v>132</v>
      </c>
      <c r="U4704" s="773">
        <v>94</v>
      </c>
      <c r="V4704" s="773">
        <v>343</v>
      </c>
      <c r="W4704" s="773" t="s">
        <v>390</v>
      </c>
    </row>
    <row r="4705" spans="19:23">
      <c r="S4705" s="27">
        <v>44804</v>
      </c>
      <c r="T4705" s="773" t="s">
        <v>132</v>
      </c>
      <c r="U4705" s="773">
        <v>246</v>
      </c>
      <c r="V4705" s="773">
        <v>2</v>
      </c>
      <c r="W4705" s="773" t="s">
        <v>410</v>
      </c>
    </row>
    <row r="4706" spans="19:23">
      <c r="S4706" s="27">
        <v>44804</v>
      </c>
      <c r="T4706" s="773" t="s">
        <v>132</v>
      </c>
      <c r="U4706" s="773">
        <v>58</v>
      </c>
      <c r="V4706" s="773">
        <v>1</v>
      </c>
      <c r="W4706" s="773" t="s">
        <v>410</v>
      </c>
    </row>
    <row r="4707" spans="19:23">
      <c r="S4707" s="27">
        <v>44804</v>
      </c>
      <c r="T4707" s="773" t="s">
        <v>132</v>
      </c>
      <c r="U4707" s="773">
        <v>139</v>
      </c>
      <c r="V4707" s="773">
        <v>2582</v>
      </c>
      <c r="W4707" s="773" t="s">
        <v>390</v>
      </c>
    </row>
    <row r="4708" spans="19:23">
      <c r="S4708" s="27">
        <v>44439</v>
      </c>
      <c r="T4708" s="773" t="s">
        <v>132</v>
      </c>
      <c r="U4708" s="773">
        <v>651</v>
      </c>
      <c r="V4708" s="773">
        <v>342</v>
      </c>
      <c r="W4708" s="773" t="s">
        <v>390</v>
      </c>
    </row>
    <row r="4709" spans="19:23">
      <c r="S4709" s="27">
        <v>44439</v>
      </c>
      <c r="T4709" s="773" t="s">
        <v>132</v>
      </c>
      <c r="U4709" s="773">
        <v>77</v>
      </c>
      <c r="V4709" s="773">
        <v>3370</v>
      </c>
      <c r="W4709" s="773" t="s">
        <v>390</v>
      </c>
    </row>
    <row r="4710" spans="19:23">
      <c r="S4710" s="27">
        <v>44439</v>
      </c>
      <c r="T4710" s="773" t="s">
        <v>132</v>
      </c>
      <c r="U4710" s="773">
        <v>622</v>
      </c>
      <c r="V4710" s="773">
        <v>1</v>
      </c>
      <c r="W4710" s="773" t="s">
        <v>410</v>
      </c>
    </row>
    <row r="4711" spans="19:23">
      <c r="S4711" s="27">
        <v>44439</v>
      </c>
      <c r="T4711" s="773" t="s">
        <v>132</v>
      </c>
      <c r="U4711" s="773">
        <v>254</v>
      </c>
      <c r="V4711" s="773">
        <v>8</v>
      </c>
      <c r="W4711" s="773" t="s">
        <v>410</v>
      </c>
    </row>
    <row r="4712" spans="19:23">
      <c r="S4712" s="27">
        <v>44804</v>
      </c>
      <c r="T4712" s="773" t="s">
        <v>132</v>
      </c>
      <c r="U4712" s="773">
        <v>40</v>
      </c>
      <c r="V4712" s="773">
        <v>12</v>
      </c>
      <c r="W4712" s="773" t="s">
        <v>410</v>
      </c>
    </row>
    <row r="4713" spans="19:23">
      <c r="S4713" s="27">
        <v>44439</v>
      </c>
      <c r="T4713" s="773" t="s">
        <v>132</v>
      </c>
      <c r="U4713" s="773">
        <v>241</v>
      </c>
      <c r="V4713" s="773">
        <v>29</v>
      </c>
      <c r="W4713" s="773" t="s">
        <v>410</v>
      </c>
    </row>
    <row r="4714" spans="19:23">
      <c r="S4714" s="27">
        <v>44439</v>
      </c>
      <c r="T4714" s="773" t="s">
        <v>132</v>
      </c>
      <c r="U4714" s="773">
        <v>238</v>
      </c>
      <c r="V4714" s="773">
        <v>5</v>
      </c>
      <c r="W4714" s="773" t="s">
        <v>410</v>
      </c>
    </row>
    <row r="4715" spans="19:23">
      <c r="S4715" s="27">
        <v>44804</v>
      </c>
      <c r="T4715" s="773" t="s">
        <v>132</v>
      </c>
      <c r="U4715" s="773">
        <v>68</v>
      </c>
      <c r="V4715" s="773">
        <v>644</v>
      </c>
      <c r="W4715" s="773" t="s">
        <v>390</v>
      </c>
    </row>
    <row r="4716" spans="19:23">
      <c r="S4716" s="27">
        <v>44804</v>
      </c>
      <c r="T4716" s="773" t="s">
        <v>132</v>
      </c>
      <c r="U4716" s="773">
        <v>61</v>
      </c>
      <c r="V4716" s="773">
        <v>1</v>
      </c>
      <c r="W4716" s="773" t="s">
        <v>410</v>
      </c>
    </row>
    <row r="4717" spans="19:23">
      <c r="S4717" s="27">
        <v>44439</v>
      </c>
      <c r="T4717" s="773" t="s">
        <v>132</v>
      </c>
      <c r="U4717" s="773">
        <v>681</v>
      </c>
      <c r="V4717" s="773">
        <v>834</v>
      </c>
      <c r="W4717" s="773" t="s">
        <v>390</v>
      </c>
    </row>
    <row r="4718" spans="19:23">
      <c r="S4718" s="27">
        <v>44804</v>
      </c>
      <c r="T4718" s="773" t="s">
        <v>132</v>
      </c>
      <c r="U4718" s="773">
        <v>654</v>
      </c>
      <c r="V4718" s="773">
        <v>1043</v>
      </c>
      <c r="W4718" s="773" t="s">
        <v>390</v>
      </c>
    </row>
    <row r="4719" spans="19:23">
      <c r="S4719" s="27">
        <v>44804</v>
      </c>
      <c r="T4719" s="773" t="s">
        <v>132</v>
      </c>
      <c r="U4719" s="773">
        <v>200</v>
      </c>
      <c r="V4719" s="773">
        <v>1</v>
      </c>
      <c r="W4719" s="773" t="s">
        <v>410</v>
      </c>
    </row>
    <row r="4720" spans="19:23">
      <c r="S4720" s="27">
        <v>44439</v>
      </c>
      <c r="T4720" s="773" t="s">
        <v>132</v>
      </c>
      <c r="U4720" s="773">
        <v>317</v>
      </c>
      <c r="V4720" s="773">
        <v>189</v>
      </c>
      <c r="W4720" s="773" t="s">
        <v>390</v>
      </c>
    </row>
    <row r="4721" spans="19:23">
      <c r="S4721" s="27">
        <v>44439</v>
      </c>
      <c r="T4721" s="773" t="s">
        <v>132</v>
      </c>
      <c r="U4721" s="773">
        <v>13</v>
      </c>
      <c r="V4721" s="773">
        <v>3242</v>
      </c>
      <c r="W4721" s="773" t="s">
        <v>390</v>
      </c>
    </row>
    <row r="4722" spans="19:23">
      <c r="S4722" s="27">
        <v>44439</v>
      </c>
      <c r="T4722" s="773" t="s">
        <v>132</v>
      </c>
      <c r="U4722" s="773">
        <v>222</v>
      </c>
      <c r="V4722" s="773">
        <v>2</v>
      </c>
      <c r="W4722" s="773" t="s">
        <v>410</v>
      </c>
    </row>
    <row r="4723" spans="19:23">
      <c r="S4723" s="27">
        <v>44439</v>
      </c>
      <c r="T4723" s="773" t="s">
        <v>132</v>
      </c>
      <c r="U4723" s="773">
        <v>103</v>
      </c>
      <c r="V4723" s="773">
        <v>3389</v>
      </c>
      <c r="W4723" s="773" t="s">
        <v>390</v>
      </c>
    </row>
    <row r="4724" spans="19:23">
      <c r="S4724" s="27">
        <v>44804</v>
      </c>
      <c r="T4724" s="773" t="s">
        <v>132</v>
      </c>
      <c r="U4724" s="773">
        <v>700</v>
      </c>
      <c r="V4724" s="773">
        <v>2827</v>
      </c>
      <c r="W4724" s="773" t="s">
        <v>390</v>
      </c>
    </row>
    <row r="4725" spans="19:23">
      <c r="S4725" s="27">
        <v>44804</v>
      </c>
      <c r="T4725" s="773" t="s">
        <v>132</v>
      </c>
      <c r="U4725" s="773">
        <v>686</v>
      </c>
      <c r="V4725" s="773">
        <v>2917</v>
      </c>
      <c r="W4725" s="773" t="s">
        <v>390</v>
      </c>
    </row>
    <row r="4726" spans="19:23">
      <c r="S4726" s="27">
        <v>44804</v>
      </c>
      <c r="T4726" s="773" t="s">
        <v>132</v>
      </c>
      <c r="U4726" s="773">
        <v>153</v>
      </c>
      <c r="V4726" s="773">
        <v>2333</v>
      </c>
      <c r="W4726" s="773" t="s">
        <v>390</v>
      </c>
    </row>
    <row r="4727" spans="19:23">
      <c r="S4727" s="27">
        <v>44804</v>
      </c>
      <c r="T4727" s="773" t="s">
        <v>132</v>
      </c>
      <c r="U4727" s="773">
        <v>171</v>
      </c>
      <c r="V4727" s="773">
        <v>37</v>
      </c>
      <c r="W4727" s="773" t="s">
        <v>410</v>
      </c>
    </row>
    <row r="4728" spans="19:23">
      <c r="S4728" s="27">
        <v>44804</v>
      </c>
      <c r="T4728" s="773" t="s">
        <v>132</v>
      </c>
      <c r="U4728" s="773">
        <v>41</v>
      </c>
      <c r="V4728" s="773">
        <v>1</v>
      </c>
      <c r="W4728" s="773" t="s">
        <v>410</v>
      </c>
    </row>
    <row r="4729" spans="19:23">
      <c r="S4729" s="27">
        <v>44439</v>
      </c>
      <c r="T4729" s="773" t="s">
        <v>132</v>
      </c>
      <c r="U4729" s="773">
        <v>89</v>
      </c>
      <c r="V4729" s="773">
        <v>1150</v>
      </c>
      <c r="W4729" s="773" t="s">
        <v>390</v>
      </c>
    </row>
    <row r="4730" spans="19:23">
      <c r="S4730" s="27">
        <v>44439</v>
      </c>
      <c r="T4730" s="773" t="s">
        <v>132</v>
      </c>
      <c r="U4730" s="773">
        <v>92</v>
      </c>
      <c r="V4730" s="773">
        <v>2584</v>
      </c>
      <c r="W4730" s="773" t="s">
        <v>390</v>
      </c>
    </row>
    <row r="4731" spans="19:23">
      <c r="S4731" s="27">
        <v>44804</v>
      </c>
      <c r="T4731" s="773" t="s">
        <v>132</v>
      </c>
      <c r="U4731" s="773">
        <v>124</v>
      </c>
      <c r="V4731" s="773">
        <v>7</v>
      </c>
      <c r="W4731" s="773" t="s">
        <v>410</v>
      </c>
    </row>
    <row r="4732" spans="19:23">
      <c r="S4732" s="27">
        <v>44804</v>
      </c>
      <c r="T4732" s="773" t="s">
        <v>132</v>
      </c>
      <c r="U4732" s="773">
        <v>253</v>
      </c>
      <c r="V4732" s="773">
        <v>11</v>
      </c>
      <c r="W4732" s="773" t="s">
        <v>410</v>
      </c>
    </row>
    <row r="4733" spans="19:23">
      <c r="S4733" s="27">
        <v>44439</v>
      </c>
      <c r="T4733" s="773" t="s">
        <v>132</v>
      </c>
      <c r="U4733" s="773">
        <v>306</v>
      </c>
      <c r="V4733" s="773">
        <v>2312</v>
      </c>
      <c r="W4733" s="773" t="s">
        <v>390</v>
      </c>
    </row>
    <row r="4734" spans="19:23">
      <c r="S4734" s="27">
        <v>44804</v>
      </c>
      <c r="T4734" s="773" t="s">
        <v>132</v>
      </c>
      <c r="U4734" s="773">
        <v>271</v>
      </c>
      <c r="V4734" s="773">
        <v>2830</v>
      </c>
      <c r="W4734" s="773" t="s">
        <v>390</v>
      </c>
    </row>
    <row r="4735" spans="19:23">
      <c r="S4735" s="27">
        <v>44439</v>
      </c>
      <c r="T4735" s="773" t="s">
        <v>132</v>
      </c>
      <c r="U4735" s="773">
        <v>322</v>
      </c>
      <c r="V4735" s="773">
        <v>2146</v>
      </c>
      <c r="W4735" s="773" t="s">
        <v>390</v>
      </c>
    </row>
    <row r="4736" spans="19:23">
      <c r="S4736" s="27">
        <v>44439</v>
      </c>
      <c r="T4736" s="773" t="s">
        <v>132</v>
      </c>
      <c r="U4736" s="773">
        <v>158</v>
      </c>
      <c r="V4736" s="773">
        <v>83</v>
      </c>
      <c r="W4736" s="773" t="s">
        <v>410</v>
      </c>
    </row>
    <row r="4737" spans="19:23">
      <c r="S4737" s="27">
        <v>44804</v>
      </c>
      <c r="T4737" s="773" t="s">
        <v>132</v>
      </c>
      <c r="U4737" s="773">
        <v>684</v>
      </c>
      <c r="V4737" s="773">
        <v>3364</v>
      </c>
      <c r="W4737" s="773" t="s">
        <v>390</v>
      </c>
    </row>
    <row r="4738" spans="19:23">
      <c r="S4738" s="27">
        <v>44439</v>
      </c>
      <c r="T4738" s="773" t="s">
        <v>132</v>
      </c>
      <c r="U4738" s="773">
        <v>523</v>
      </c>
      <c r="V4738" s="773">
        <v>13</v>
      </c>
      <c r="W4738" s="773" t="s">
        <v>410</v>
      </c>
    </row>
    <row r="4739" spans="19:23">
      <c r="S4739" s="27">
        <v>44439</v>
      </c>
      <c r="T4739" s="773" t="s">
        <v>132</v>
      </c>
      <c r="U4739" s="773">
        <v>686</v>
      </c>
      <c r="V4739" s="773">
        <v>2435</v>
      </c>
      <c r="W4739" s="773" t="s">
        <v>390</v>
      </c>
    </row>
    <row r="4740" spans="19:23">
      <c r="S4740" s="27">
        <v>44439</v>
      </c>
      <c r="T4740" s="773" t="s">
        <v>132</v>
      </c>
      <c r="U4740" s="773">
        <v>152</v>
      </c>
      <c r="V4740" s="773">
        <v>2</v>
      </c>
      <c r="W4740" s="773" t="s">
        <v>410</v>
      </c>
    </row>
    <row r="4741" spans="19:23">
      <c r="S4741" s="27">
        <v>44804</v>
      </c>
      <c r="T4741" s="773" t="s">
        <v>132</v>
      </c>
      <c r="U4741" s="773">
        <v>291</v>
      </c>
      <c r="V4741" s="773">
        <v>1929</v>
      </c>
      <c r="W4741" s="773" t="s">
        <v>390</v>
      </c>
    </row>
    <row r="4742" spans="19:23">
      <c r="S4742" s="27">
        <v>44804</v>
      </c>
      <c r="T4742" s="773" t="s">
        <v>132</v>
      </c>
      <c r="U4742" s="773">
        <v>709</v>
      </c>
      <c r="V4742" s="773">
        <v>2229</v>
      </c>
      <c r="W4742" s="773" t="s">
        <v>390</v>
      </c>
    </row>
    <row r="4743" spans="19:23">
      <c r="S4743" s="27">
        <v>44439</v>
      </c>
      <c r="T4743" s="773" t="s">
        <v>132</v>
      </c>
      <c r="U4743" s="773">
        <v>113</v>
      </c>
      <c r="V4743" s="773">
        <v>2</v>
      </c>
      <c r="W4743" s="773" t="s">
        <v>410</v>
      </c>
    </row>
    <row r="4744" spans="19:23">
      <c r="S4744" s="27">
        <v>44439</v>
      </c>
      <c r="T4744" s="773" t="s">
        <v>132</v>
      </c>
      <c r="U4744" s="773">
        <v>269</v>
      </c>
      <c r="V4744" s="773">
        <v>1</v>
      </c>
      <c r="W4744" s="773" t="s">
        <v>410</v>
      </c>
    </row>
    <row r="4745" spans="19:23">
      <c r="S4745" s="27">
        <v>44804</v>
      </c>
      <c r="T4745" s="773" t="s">
        <v>132</v>
      </c>
      <c r="U4745" s="773">
        <v>89</v>
      </c>
      <c r="V4745" s="773">
        <v>1105</v>
      </c>
      <c r="W4745" s="773" t="s">
        <v>390</v>
      </c>
    </row>
    <row r="4746" spans="19:23">
      <c r="S4746" s="27">
        <v>44804</v>
      </c>
      <c r="T4746" s="773" t="s">
        <v>132</v>
      </c>
      <c r="U4746" s="773">
        <v>13</v>
      </c>
      <c r="V4746" s="773">
        <v>2530</v>
      </c>
      <c r="W4746" s="773" t="s">
        <v>390</v>
      </c>
    </row>
    <row r="4747" spans="19:23">
      <c r="S4747" s="27">
        <v>44439</v>
      </c>
      <c r="T4747" s="773" t="s">
        <v>132</v>
      </c>
      <c r="U4747" s="773">
        <v>318</v>
      </c>
      <c r="V4747" s="773">
        <v>2068</v>
      </c>
      <c r="W4747" s="773" t="s">
        <v>390</v>
      </c>
    </row>
    <row r="4748" spans="19:23">
      <c r="S4748" s="27">
        <v>44804</v>
      </c>
      <c r="T4748" s="773" t="s">
        <v>132</v>
      </c>
      <c r="U4748" s="773">
        <v>694</v>
      </c>
      <c r="V4748" s="773">
        <v>1</v>
      </c>
      <c r="W4748" s="773" t="s">
        <v>410</v>
      </c>
    </row>
    <row r="4749" spans="19:23">
      <c r="S4749" s="27">
        <v>44439</v>
      </c>
      <c r="T4749" s="773" t="s">
        <v>132</v>
      </c>
      <c r="U4749" s="773">
        <v>149</v>
      </c>
      <c r="V4749" s="773">
        <v>2</v>
      </c>
      <c r="W4749" s="773" t="s">
        <v>410</v>
      </c>
    </row>
    <row r="4750" spans="19:23">
      <c r="S4750" s="27">
        <v>44439</v>
      </c>
      <c r="T4750" s="773" t="s">
        <v>132</v>
      </c>
      <c r="U4750" s="773">
        <v>308</v>
      </c>
      <c r="V4750" s="773">
        <v>706</v>
      </c>
      <c r="W4750" s="773" t="s">
        <v>390</v>
      </c>
    </row>
    <row r="4751" spans="19:23">
      <c r="S4751" s="27">
        <v>44804</v>
      </c>
      <c r="T4751" s="773" t="s">
        <v>132</v>
      </c>
      <c r="U4751" s="773">
        <v>64</v>
      </c>
      <c r="V4751" s="773">
        <v>1</v>
      </c>
      <c r="W4751" s="773" t="s">
        <v>410</v>
      </c>
    </row>
    <row r="4752" spans="19:23">
      <c r="S4752" s="27">
        <v>44804</v>
      </c>
      <c r="T4752" s="773" t="s">
        <v>132</v>
      </c>
      <c r="U4752" s="773">
        <v>136</v>
      </c>
      <c r="V4752" s="773">
        <v>10</v>
      </c>
      <c r="W4752" s="773" t="s">
        <v>410</v>
      </c>
    </row>
    <row r="4753" spans="19:23">
      <c r="S4753" s="27">
        <v>44439</v>
      </c>
      <c r="T4753" s="773" t="s">
        <v>132</v>
      </c>
      <c r="U4753" s="773">
        <v>660</v>
      </c>
      <c r="V4753" s="773">
        <v>4</v>
      </c>
      <c r="W4753" s="773" t="s">
        <v>410</v>
      </c>
    </row>
    <row r="4754" spans="19:23">
      <c r="S4754" s="27">
        <v>44439</v>
      </c>
      <c r="T4754" s="773" t="s">
        <v>132</v>
      </c>
      <c r="U4754" s="773">
        <v>670</v>
      </c>
      <c r="V4754" s="773">
        <v>3820</v>
      </c>
      <c r="W4754" s="773" t="s">
        <v>390</v>
      </c>
    </row>
    <row r="4755" spans="19:23">
      <c r="S4755" s="27">
        <v>44804</v>
      </c>
      <c r="T4755" s="773" t="s">
        <v>132</v>
      </c>
      <c r="U4755" s="773">
        <v>650</v>
      </c>
      <c r="V4755" s="773">
        <v>21</v>
      </c>
      <c r="W4755" s="773" t="s">
        <v>410</v>
      </c>
    </row>
    <row r="4756" spans="19:23">
      <c r="S4756" s="27">
        <v>44439</v>
      </c>
      <c r="T4756" s="773" t="s">
        <v>132</v>
      </c>
      <c r="U4756" s="773">
        <v>66</v>
      </c>
      <c r="V4756" s="773">
        <v>8</v>
      </c>
      <c r="W4756" s="773" t="s">
        <v>410</v>
      </c>
    </row>
    <row r="4757" spans="19:23">
      <c r="S4757" s="27">
        <v>44804</v>
      </c>
      <c r="T4757" s="773" t="s">
        <v>132</v>
      </c>
      <c r="U4757" s="773">
        <v>676</v>
      </c>
      <c r="V4757" s="773">
        <v>1</v>
      </c>
      <c r="W4757" s="773" t="s">
        <v>410</v>
      </c>
    </row>
    <row r="4758" spans="19:23">
      <c r="S4758" s="27">
        <v>44439</v>
      </c>
      <c r="T4758" s="773" t="s">
        <v>132</v>
      </c>
      <c r="U4758" s="773">
        <v>688</v>
      </c>
      <c r="V4758" s="773">
        <v>2804</v>
      </c>
      <c r="W4758" s="773" t="s">
        <v>390</v>
      </c>
    </row>
    <row r="4759" spans="19:23">
      <c r="S4759" s="27">
        <v>44439</v>
      </c>
      <c r="T4759" s="773" t="s">
        <v>132</v>
      </c>
      <c r="U4759" s="773">
        <v>44</v>
      </c>
      <c r="V4759" s="773">
        <v>3028</v>
      </c>
      <c r="W4759" s="773" t="s">
        <v>390</v>
      </c>
    </row>
    <row r="4760" spans="19:23">
      <c r="S4760" s="27">
        <v>44439</v>
      </c>
      <c r="T4760" s="773" t="s">
        <v>132</v>
      </c>
      <c r="U4760" s="773">
        <v>342</v>
      </c>
      <c r="V4760" s="773">
        <v>2829</v>
      </c>
      <c r="W4760" s="773" t="s">
        <v>390</v>
      </c>
    </row>
    <row r="4761" spans="19:23">
      <c r="S4761" s="27">
        <v>44804</v>
      </c>
      <c r="T4761" s="773" t="s">
        <v>132</v>
      </c>
      <c r="U4761" s="773">
        <v>322</v>
      </c>
      <c r="V4761" s="773">
        <v>2692</v>
      </c>
      <c r="W4761" s="773" t="s">
        <v>390</v>
      </c>
    </row>
    <row r="4762" spans="19:23">
      <c r="S4762" s="27">
        <v>44804</v>
      </c>
      <c r="T4762" s="773" t="s">
        <v>132</v>
      </c>
      <c r="U4762" s="773">
        <v>675</v>
      </c>
      <c r="V4762" s="773">
        <v>2</v>
      </c>
      <c r="W4762" s="773" t="s">
        <v>410</v>
      </c>
    </row>
    <row r="4763" spans="19:23">
      <c r="S4763" s="27">
        <v>44804</v>
      </c>
      <c r="T4763" s="773" t="s">
        <v>132</v>
      </c>
      <c r="U4763" s="773">
        <v>316</v>
      </c>
      <c r="V4763" s="773">
        <v>7</v>
      </c>
      <c r="W4763" s="773" t="s">
        <v>410</v>
      </c>
    </row>
    <row r="4764" spans="19:23">
      <c r="S4764" s="27">
        <v>44439</v>
      </c>
      <c r="T4764" s="773" t="s">
        <v>132</v>
      </c>
      <c r="U4764" s="773">
        <v>667</v>
      </c>
      <c r="V4764" s="773">
        <v>1</v>
      </c>
      <c r="W4764" s="773" t="s">
        <v>410</v>
      </c>
    </row>
    <row r="4765" spans="19:23">
      <c r="S4765" s="27">
        <v>44439</v>
      </c>
      <c r="T4765" s="773" t="s">
        <v>132</v>
      </c>
      <c r="U4765" s="773">
        <v>684</v>
      </c>
      <c r="V4765" s="773">
        <v>2686</v>
      </c>
      <c r="W4765" s="773" t="s">
        <v>390</v>
      </c>
    </row>
    <row r="4766" spans="19:23">
      <c r="S4766" s="27">
        <v>44804</v>
      </c>
      <c r="T4766" s="773" t="s">
        <v>132</v>
      </c>
      <c r="U4766" s="773">
        <v>308</v>
      </c>
      <c r="V4766" s="773">
        <v>2192</v>
      </c>
      <c r="W4766" s="773" t="s">
        <v>390</v>
      </c>
    </row>
    <row r="4767" spans="19:23">
      <c r="S4767" s="27">
        <v>44804</v>
      </c>
      <c r="T4767" s="773" t="s">
        <v>132</v>
      </c>
      <c r="U4767" s="773">
        <v>703</v>
      </c>
      <c r="V4767" s="773">
        <v>3394</v>
      </c>
      <c r="W4767" s="773" t="s">
        <v>390</v>
      </c>
    </row>
    <row r="4768" spans="19:23">
      <c r="S4768" s="27">
        <v>44804</v>
      </c>
      <c r="T4768" s="773" t="s">
        <v>132</v>
      </c>
      <c r="U4768" s="773">
        <v>304</v>
      </c>
      <c r="V4768" s="773">
        <v>115</v>
      </c>
      <c r="W4768" s="773" t="s">
        <v>390</v>
      </c>
    </row>
    <row r="4769" spans="19:23">
      <c r="S4769" s="27">
        <v>44804</v>
      </c>
      <c r="T4769" s="773" t="s">
        <v>132</v>
      </c>
      <c r="U4769" s="773">
        <v>660</v>
      </c>
      <c r="V4769" s="773">
        <v>5</v>
      </c>
      <c r="W4769" s="773" t="s">
        <v>410</v>
      </c>
    </row>
    <row r="4770" spans="19:23">
      <c r="S4770" s="27">
        <v>44804</v>
      </c>
      <c r="T4770" s="773" t="s">
        <v>132</v>
      </c>
      <c r="U4770" s="773">
        <v>670</v>
      </c>
      <c r="V4770" s="773">
        <v>2599</v>
      </c>
      <c r="W4770" s="773" t="s">
        <v>390</v>
      </c>
    </row>
    <row r="4771" spans="19:23">
      <c r="S4771" s="27">
        <v>44439</v>
      </c>
      <c r="T4771" s="773" t="s">
        <v>132</v>
      </c>
      <c r="U4771" s="773">
        <v>114</v>
      </c>
      <c r="V4771" s="773">
        <v>1</v>
      </c>
      <c r="W4771" s="773" t="s">
        <v>410</v>
      </c>
    </row>
    <row r="4772" spans="19:23">
      <c r="S4772" s="27">
        <v>44439</v>
      </c>
      <c r="T4772" s="773" t="s">
        <v>132</v>
      </c>
      <c r="U4772" s="773">
        <v>672</v>
      </c>
      <c r="V4772" s="773">
        <v>2379</v>
      </c>
      <c r="W4772" s="773" t="s">
        <v>390</v>
      </c>
    </row>
    <row r="4773" spans="19:23">
      <c r="S4773" s="27">
        <v>44804</v>
      </c>
      <c r="T4773" s="773" t="s">
        <v>132</v>
      </c>
      <c r="U4773" s="773">
        <v>265</v>
      </c>
      <c r="V4773" s="773">
        <v>21</v>
      </c>
      <c r="W4773" s="773" t="s">
        <v>410</v>
      </c>
    </row>
    <row r="4774" spans="19:23">
      <c r="S4774" s="27">
        <v>44804</v>
      </c>
      <c r="T4774" s="773" t="s">
        <v>132</v>
      </c>
      <c r="U4774" s="773">
        <v>320</v>
      </c>
      <c r="V4774" s="773">
        <v>1688</v>
      </c>
      <c r="W4774" s="773" t="s">
        <v>390</v>
      </c>
    </row>
    <row r="4775" spans="19:23">
      <c r="S4775" s="27">
        <v>44439</v>
      </c>
      <c r="T4775" s="773" t="s">
        <v>132</v>
      </c>
      <c r="U4775" s="773">
        <v>70</v>
      </c>
      <c r="V4775" s="773">
        <v>242</v>
      </c>
      <c r="W4775" s="773" t="s">
        <v>390</v>
      </c>
    </row>
    <row r="4776" spans="19:23">
      <c r="S4776" s="27">
        <v>44804</v>
      </c>
      <c r="T4776" s="773" t="s">
        <v>132</v>
      </c>
      <c r="U4776" s="773">
        <v>728</v>
      </c>
      <c r="V4776" s="773">
        <v>11</v>
      </c>
      <c r="W4776" s="773" t="s">
        <v>410</v>
      </c>
    </row>
    <row r="4777" spans="19:23">
      <c r="S4777" s="27">
        <v>44804</v>
      </c>
      <c r="T4777" s="773" t="s">
        <v>132</v>
      </c>
      <c r="U4777" s="773">
        <v>82</v>
      </c>
      <c r="V4777" s="773">
        <v>2388</v>
      </c>
      <c r="W4777" s="773" t="s">
        <v>390</v>
      </c>
    </row>
    <row r="4778" spans="19:23">
      <c r="S4778" s="27">
        <v>44439</v>
      </c>
      <c r="T4778" s="773" t="s">
        <v>132</v>
      </c>
      <c r="U4778" s="773">
        <v>53</v>
      </c>
      <c r="V4778" s="773">
        <v>1</v>
      </c>
      <c r="W4778" s="773" t="s">
        <v>410</v>
      </c>
    </row>
    <row r="4779" spans="19:23">
      <c r="S4779" s="27">
        <v>44804</v>
      </c>
      <c r="T4779" s="773" t="s">
        <v>132</v>
      </c>
      <c r="U4779" s="773">
        <v>264</v>
      </c>
      <c r="V4779" s="773">
        <v>334</v>
      </c>
      <c r="W4779" s="773" t="s">
        <v>390</v>
      </c>
    </row>
    <row r="4780" spans="19:23">
      <c r="S4780" s="27">
        <v>44804</v>
      </c>
      <c r="T4780" s="773" t="s">
        <v>132</v>
      </c>
      <c r="U4780" s="773">
        <v>98</v>
      </c>
      <c r="V4780" s="773">
        <v>32</v>
      </c>
      <c r="W4780" s="773" t="s">
        <v>410</v>
      </c>
    </row>
    <row r="4781" spans="19:23">
      <c r="S4781" s="27">
        <v>44439</v>
      </c>
      <c r="T4781" s="773" t="s">
        <v>132</v>
      </c>
      <c r="U4781" s="773">
        <v>275</v>
      </c>
      <c r="V4781" s="773">
        <v>1066</v>
      </c>
      <c r="W4781" s="773" t="s">
        <v>390</v>
      </c>
    </row>
    <row r="4782" spans="19:23">
      <c r="S4782" s="27">
        <v>44804</v>
      </c>
      <c r="T4782" s="773" t="s">
        <v>132</v>
      </c>
      <c r="U4782" s="773">
        <v>173</v>
      </c>
      <c r="V4782" s="773">
        <v>7</v>
      </c>
      <c r="W4782" s="773" t="s">
        <v>410</v>
      </c>
    </row>
    <row r="4783" spans="19:23">
      <c r="S4783" s="27">
        <v>44804</v>
      </c>
      <c r="T4783" s="773" t="s">
        <v>132</v>
      </c>
      <c r="U4783" s="773">
        <v>195</v>
      </c>
      <c r="V4783" s="773">
        <v>1</v>
      </c>
      <c r="W4783" s="773" t="s">
        <v>410</v>
      </c>
    </row>
    <row r="4784" spans="19:23">
      <c r="S4784" s="27">
        <v>44439</v>
      </c>
      <c r="T4784" s="773" t="s">
        <v>132</v>
      </c>
      <c r="U4784" s="773">
        <v>56</v>
      </c>
      <c r="V4784" s="773">
        <v>44</v>
      </c>
      <c r="W4784" s="773" t="s">
        <v>410</v>
      </c>
    </row>
    <row r="4785" spans="19:23">
      <c r="S4785" s="27">
        <v>44804</v>
      </c>
      <c r="T4785" s="773" t="s">
        <v>132</v>
      </c>
      <c r="U4785" s="773">
        <v>79</v>
      </c>
      <c r="V4785" s="773">
        <v>4</v>
      </c>
      <c r="W4785" s="773" t="s">
        <v>410</v>
      </c>
    </row>
    <row r="4786" spans="19:23">
      <c r="S4786" s="27">
        <v>44439</v>
      </c>
      <c r="T4786" s="773" t="s">
        <v>132</v>
      </c>
      <c r="U4786" s="773">
        <v>323</v>
      </c>
      <c r="V4786" s="773">
        <v>2968</v>
      </c>
      <c r="W4786" s="773" t="s">
        <v>390</v>
      </c>
    </row>
    <row r="4787" spans="19:23">
      <c r="S4787" s="27">
        <v>44439</v>
      </c>
      <c r="T4787" s="773" t="s">
        <v>132</v>
      </c>
      <c r="U4787" s="773">
        <v>699</v>
      </c>
      <c r="V4787" s="773">
        <v>2212</v>
      </c>
      <c r="W4787" s="773" t="s">
        <v>390</v>
      </c>
    </row>
    <row r="4788" spans="19:23">
      <c r="S4788" s="27">
        <v>44804</v>
      </c>
      <c r="T4788" s="773" t="s">
        <v>132</v>
      </c>
      <c r="U4788" s="773">
        <v>653</v>
      </c>
      <c r="V4788" s="773">
        <v>2</v>
      </c>
      <c r="W4788" s="773" t="s">
        <v>410</v>
      </c>
    </row>
    <row r="4789" spans="19:23">
      <c r="S4789" s="27">
        <v>44804</v>
      </c>
      <c r="T4789" s="773" t="s">
        <v>132</v>
      </c>
      <c r="U4789" s="773">
        <v>87</v>
      </c>
      <c r="V4789" s="773">
        <v>4</v>
      </c>
      <c r="W4789" s="773" t="s">
        <v>410</v>
      </c>
    </row>
    <row r="4790" spans="19:23">
      <c r="S4790" s="27">
        <v>44804</v>
      </c>
      <c r="T4790" s="773" t="s">
        <v>132</v>
      </c>
      <c r="U4790" s="773">
        <v>716</v>
      </c>
      <c r="V4790" s="773">
        <v>159</v>
      </c>
      <c r="W4790" s="773" t="s">
        <v>390</v>
      </c>
    </row>
    <row r="4791" spans="19:23">
      <c r="S4791" s="27">
        <v>44439</v>
      </c>
      <c r="T4791" s="773" t="s">
        <v>132</v>
      </c>
      <c r="U4791" s="773">
        <v>297</v>
      </c>
      <c r="V4791" s="773">
        <v>109</v>
      </c>
      <c r="W4791" s="773" t="s">
        <v>390</v>
      </c>
    </row>
    <row r="4792" spans="19:23">
      <c r="S4792" s="27">
        <v>44439</v>
      </c>
      <c r="T4792" s="773" t="s">
        <v>132</v>
      </c>
      <c r="U4792" s="773">
        <v>130</v>
      </c>
      <c r="V4792" s="773">
        <v>1</v>
      </c>
      <c r="W4792" s="773" t="s">
        <v>410</v>
      </c>
    </row>
    <row r="4793" spans="19:23">
      <c r="S4793" s="27">
        <v>44804</v>
      </c>
      <c r="T4793" s="773" t="s">
        <v>132</v>
      </c>
      <c r="U4793" s="773">
        <v>69</v>
      </c>
      <c r="V4793" s="773">
        <v>1</v>
      </c>
      <c r="W4793" s="773" t="s">
        <v>410</v>
      </c>
    </row>
    <row r="4794" spans="19:23">
      <c r="S4794" s="27">
        <v>44439</v>
      </c>
      <c r="T4794" s="773" t="s">
        <v>132</v>
      </c>
      <c r="U4794" s="773">
        <v>232</v>
      </c>
      <c r="V4794" s="773">
        <v>126</v>
      </c>
      <c r="W4794" s="773" t="s">
        <v>390</v>
      </c>
    </row>
    <row r="4795" spans="19:23">
      <c r="S4795" s="27">
        <v>44804</v>
      </c>
      <c r="T4795" s="773" t="s">
        <v>132</v>
      </c>
      <c r="U4795" s="773">
        <v>44</v>
      </c>
      <c r="V4795" s="773">
        <v>2185</v>
      </c>
      <c r="W4795" s="773" t="s">
        <v>390</v>
      </c>
    </row>
    <row r="4796" spans="19:23">
      <c r="S4796" s="27">
        <v>44439</v>
      </c>
      <c r="T4796" s="773" t="s">
        <v>132</v>
      </c>
      <c r="U4796" s="773">
        <v>256</v>
      </c>
      <c r="V4796" s="773">
        <v>745</v>
      </c>
      <c r="W4796" s="773" t="s">
        <v>390</v>
      </c>
    </row>
    <row r="4797" spans="19:23">
      <c r="S4797" s="27">
        <v>44439</v>
      </c>
      <c r="T4797" s="773" t="s">
        <v>132</v>
      </c>
      <c r="U4797" s="773">
        <v>101</v>
      </c>
      <c r="V4797" s="773">
        <v>856</v>
      </c>
      <c r="W4797" s="773" t="s">
        <v>390</v>
      </c>
    </row>
    <row r="4798" spans="19:23">
      <c r="S4798" s="27">
        <v>44439</v>
      </c>
      <c r="T4798" s="773" t="s">
        <v>132</v>
      </c>
      <c r="U4798" s="773">
        <v>72</v>
      </c>
      <c r="V4798" s="773">
        <v>3</v>
      </c>
      <c r="W4798" s="773" t="s">
        <v>410</v>
      </c>
    </row>
    <row r="4799" spans="19:23">
      <c r="S4799" s="27">
        <v>44439</v>
      </c>
      <c r="T4799" s="773" t="s">
        <v>132</v>
      </c>
      <c r="U4799" s="773">
        <v>78</v>
      </c>
      <c r="V4799" s="773">
        <v>1</v>
      </c>
      <c r="W4799" s="773" t="s">
        <v>410</v>
      </c>
    </row>
    <row r="4800" spans="19:23">
      <c r="S4800" s="27">
        <v>44804</v>
      </c>
      <c r="T4800" s="773" t="s">
        <v>132</v>
      </c>
      <c r="U4800" s="773">
        <v>252</v>
      </c>
      <c r="V4800" s="773">
        <v>922</v>
      </c>
      <c r="W4800" s="773" t="s">
        <v>390</v>
      </c>
    </row>
    <row r="4801" spans="19:23">
      <c r="S4801" s="27">
        <v>44804</v>
      </c>
      <c r="T4801" s="773" t="s">
        <v>132</v>
      </c>
      <c r="U4801" s="773">
        <v>305</v>
      </c>
      <c r="V4801" s="773">
        <v>5124</v>
      </c>
      <c r="W4801" s="773" t="s">
        <v>390</v>
      </c>
    </row>
    <row r="4802" spans="19:23">
      <c r="S4802" s="27">
        <v>44804</v>
      </c>
      <c r="T4802" s="773" t="s">
        <v>132</v>
      </c>
      <c r="U4802" s="773">
        <v>72</v>
      </c>
      <c r="V4802" s="773">
        <v>7</v>
      </c>
      <c r="W4802" s="773" t="s">
        <v>410</v>
      </c>
    </row>
    <row r="4803" spans="19:23">
      <c r="S4803" s="27">
        <v>44439</v>
      </c>
      <c r="T4803" s="773" t="s">
        <v>132</v>
      </c>
      <c r="U4803" s="773">
        <v>367</v>
      </c>
      <c r="V4803" s="773">
        <v>12</v>
      </c>
      <c r="W4803" s="773" t="s">
        <v>410</v>
      </c>
    </row>
    <row r="4804" spans="19:23">
      <c r="S4804" s="27">
        <v>44804</v>
      </c>
      <c r="T4804" s="773" t="s">
        <v>132</v>
      </c>
      <c r="U4804" s="773">
        <v>48</v>
      </c>
      <c r="V4804" s="773">
        <v>641</v>
      </c>
      <c r="W4804" s="773" t="s">
        <v>390</v>
      </c>
    </row>
    <row r="4805" spans="19:23">
      <c r="S4805" s="27">
        <v>44439</v>
      </c>
      <c r="T4805" s="773" t="s">
        <v>132</v>
      </c>
      <c r="U4805" s="773">
        <v>181</v>
      </c>
      <c r="V4805" s="773">
        <v>1</v>
      </c>
      <c r="W4805" s="773" t="s">
        <v>410</v>
      </c>
    </row>
    <row r="4806" spans="19:23">
      <c r="S4806" s="27">
        <v>44804</v>
      </c>
      <c r="T4806" s="773" t="s">
        <v>132</v>
      </c>
      <c r="U4806" s="773">
        <v>245</v>
      </c>
      <c r="V4806" s="773">
        <v>3301</v>
      </c>
      <c r="W4806" s="773" t="s">
        <v>390</v>
      </c>
    </row>
    <row r="4807" spans="19:23">
      <c r="S4807" s="27">
        <v>44439</v>
      </c>
      <c r="T4807" s="773" t="s">
        <v>132</v>
      </c>
      <c r="U4807" s="773">
        <v>124</v>
      </c>
      <c r="V4807" s="773">
        <v>10</v>
      </c>
      <c r="W4807" s="773" t="s">
        <v>410</v>
      </c>
    </row>
    <row r="4808" spans="19:23">
      <c r="S4808" s="27">
        <v>44804</v>
      </c>
      <c r="T4808" s="773" t="s">
        <v>132</v>
      </c>
      <c r="U4808" s="773">
        <v>78</v>
      </c>
      <c r="V4808" s="773">
        <v>3</v>
      </c>
      <c r="W4808" s="773" t="s">
        <v>410</v>
      </c>
    </row>
    <row r="4809" spans="19:23">
      <c r="S4809" s="27">
        <v>44804</v>
      </c>
      <c r="T4809" s="773" t="s">
        <v>132</v>
      </c>
      <c r="U4809" s="773">
        <v>706</v>
      </c>
      <c r="V4809" s="773">
        <v>1184</v>
      </c>
      <c r="W4809" s="773" t="s">
        <v>390</v>
      </c>
    </row>
    <row r="4810" spans="19:23">
      <c r="S4810" s="27">
        <v>44439</v>
      </c>
      <c r="T4810" s="773" t="s">
        <v>132</v>
      </c>
      <c r="U4810" s="773">
        <v>48</v>
      </c>
      <c r="V4810" s="773">
        <v>748</v>
      </c>
      <c r="W4810" s="773" t="s">
        <v>390</v>
      </c>
    </row>
    <row r="4811" spans="19:23">
      <c r="S4811" s="27">
        <v>44439</v>
      </c>
      <c r="T4811" s="773" t="s">
        <v>132</v>
      </c>
      <c r="U4811" s="773">
        <v>252</v>
      </c>
      <c r="V4811" s="773">
        <v>1270</v>
      </c>
      <c r="W4811" s="773" t="s">
        <v>390</v>
      </c>
    </row>
    <row r="4812" spans="19:23">
      <c r="S4812" s="27">
        <v>44439</v>
      </c>
      <c r="T4812" s="773" t="s">
        <v>132</v>
      </c>
      <c r="U4812" s="773">
        <v>641</v>
      </c>
      <c r="V4812" s="773">
        <v>2872</v>
      </c>
      <c r="W4812" s="773" t="s">
        <v>390</v>
      </c>
    </row>
    <row r="4813" spans="19:23">
      <c r="S4813" s="27">
        <v>44804</v>
      </c>
      <c r="T4813" s="773" t="s">
        <v>132</v>
      </c>
      <c r="U4813" s="773">
        <v>687</v>
      </c>
      <c r="V4813" s="773">
        <v>3074</v>
      </c>
      <c r="W4813" s="773" t="s">
        <v>390</v>
      </c>
    </row>
    <row r="4814" spans="19:23">
      <c r="S4814" s="27">
        <v>44439</v>
      </c>
      <c r="T4814" s="773" t="s">
        <v>132</v>
      </c>
      <c r="U4814" s="773">
        <v>195</v>
      </c>
      <c r="V4814" s="773">
        <v>1</v>
      </c>
      <c r="W4814" s="773" t="s">
        <v>410</v>
      </c>
    </row>
    <row r="4815" spans="19:23">
      <c r="S4815" s="27">
        <v>44804</v>
      </c>
      <c r="T4815" s="773" t="s">
        <v>132</v>
      </c>
      <c r="U4815" s="773">
        <v>641</v>
      </c>
      <c r="V4815" s="773">
        <v>2057</v>
      </c>
      <c r="W4815" s="773" t="s">
        <v>390</v>
      </c>
    </row>
    <row r="4816" spans="19:23">
      <c r="S4816" s="27">
        <v>44439</v>
      </c>
      <c r="T4816" s="773" t="s">
        <v>132</v>
      </c>
      <c r="U4816" s="773">
        <v>164</v>
      </c>
      <c r="V4816" s="773">
        <v>9</v>
      </c>
      <c r="W4816" s="773" t="s">
        <v>410</v>
      </c>
    </row>
    <row r="4817" spans="19:23">
      <c r="S4817" s="27">
        <v>44439</v>
      </c>
      <c r="T4817" s="773" t="s">
        <v>132</v>
      </c>
      <c r="U4817" s="773">
        <v>46</v>
      </c>
      <c r="V4817" s="773">
        <v>2819</v>
      </c>
      <c r="W4817" s="773" t="s">
        <v>390</v>
      </c>
    </row>
    <row r="4818" spans="19:23">
      <c r="S4818" s="27">
        <v>44439</v>
      </c>
      <c r="T4818" s="773" t="s">
        <v>132</v>
      </c>
      <c r="U4818" s="773">
        <v>303</v>
      </c>
      <c r="V4818" s="773">
        <v>2485</v>
      </c>
      <c r="W4818" s="773" t="s">
        <v>390</v>
      </c>
    </row>
    <row r="4819" spans="19:23">
      <c r="S4819" s="27">
        <v>44439</v>
      </c>
      <c r="T4819" s="773" t="s">
        <v>132</v>
      </c>
      <c r="U4819" s="773">
        <v>295</v>
      </c>
      <c r="V4819" s="773">
        <v>6</v>
      </c>
      <c r="W4819" s="773" t="s">
        <v>410</v>
      </c>
    </row>
    <row r="4820" spans="19:23">
      <c r="S4820" s="27">
        <v>44439</v>
      </c>
      <c r="T4820" s="773" t="s">
        <v>132</v>
      </c>
      <c r="U4820" s="773">
        <v>653</v>
      </c>
      <c r="V4820" s="773">
        <v>103</v>
      </c>
      <c r="W4820" s="773" t="s">
        <v>390</v>
      </c>
    </row>
    <row r="4821" spans="19:23">
      <c r="S4821" s="27">
        <v>44804</v>
      </c>
      <c r="T4821" s="773" t="s">
        <v>132</v>
      </c>
      <c r="U4821" s="773">
        <v>229</v>
      </c>
      <c r="V4821" s="773">
        <v>1</v>
      </c>
      <c r="W4821" s="773" t="s">
        <v>410</v>
      </c>
    </row>
    <row r="4822" spans="19:23">
      <c r="S4822" s="27">
        <v>44439</v>
      </c>
      <c r="T4822" s="773" t="s">
        <v>132</v>
      </c>
      <c r="U4822" s="773">
        <v>76</v>
      </c>
      <c r="V4822" s="773">
        <v>2920</v>
      </c>
      <c r="W4822" s="773" t="s">
        <v>390</v>
      </c>
    </row>
    <row r="4823" spans="19:23">
      <c r="S4823" s="27">
        <v>44439</v>
      </c>
      <c r="T4823" s="773" t="s">
        <v>132</v>
      </c>
      <c r="U4823" s="773">
        <v>243</v>
      </c>
      <c r="V4823" s="773">
        <v>645</v>
      </c>
      <c r="W4823" s="773" t="s">
        <v>390</v>
      </c>
    </row>
    <row r="4824" spans="19:23">
      <c r="S4824" s="27">
        <v>44439</v>
      </c>
      <c r="T4824" s="773" t="s">
        <v>132</v>
      </c>
      <c r="U4824" s="773">
        <v>320</v>
      </c>
      <c r="V4824" s="773">
        <v>191</v>
      </c>
      <c r="W4824" s="773" t="s">
        <v>390</v>
      </c>
    </row>
    <row r="4825" spans="19:23">
      <c r="S4825" s="27">
        <v>44804</v>
      </c>
      <c r="T4825" s="773" t="s">
        <v>132</v>
      </c>
      <c r="U4825" s="773">
        <v>696</v>
      </c>
      <c r="V4825" s="773">
        <v>2064</v>
      </c>
      <c r="W4825" s="773" t="s">
        <v>390</v>
      </c>
    </row>
    <row r="4826" spans="19:23">
      <c r="S4826" s="27">
        <v>44804</v>
      </c>
      <c r="T4826" s="773" t="s">
        <v>132</v>
      </c>
      <c r="U4826" s="773">
        <v>718</v>
      </c>
      <c r="V4826" s="773">
        <v>1393</v>
      </c>
      <c r="W4826" s="773" t="s">
        <v>390</v>
      </c>
    </row>
    <row r="4827" spans="19:23">
      <c r="S4827" s="27">
        <v>44804</v>
      </c>
      <c r="T4827" s="773" t="s">
        <v>132</v>
      </c>
      <c r="U4827" s="773">
        <v>212</v>
      </c>
      <c r="V4827" s="773">
        <v>3554</v>
      </c>
      <c r="W4827" s="773" t="s">
        <v>390</v>
      </c>
    </row>
    <row r="4828" spans="19:23">
      <c r="S4828" s="27">
        <v>44439</v>
      </c>
      <c r="T4828" s="773" t="s">
        <v>132</v>
      </c>
      <c r="U4828" s="773">
        <v>216</v>
      </c>
      <c r="V4828" s="773">
        <v>2132</v>
      </c>
      <c r="W4828" s="773" t="s">
        <v>390</v>
      </c>
    </row>
    <row r="4829" spans="19:23">
      <c r="S4829" s="27">
        <v>44439</v>
      </c>
      <c r="T4829" s="773" t="s">
        <v>132</v>
      </c>
      <c r="U4829" s="773">
        <v>999</v>
      </c>
      <c r="V4829" s="773">
        <v>1</v>
      </c>
      <c r="W4829" s="773" t="s">
        <v>410</v>
      </c>
    </row>
    <row r="4830" spans="19:23">
      <c r="S4830" s="27">
        <v>44439</v>
      </c>
      <c r="T4830" s="773" t="s">
        <v>132</v>
      </c>
      <c r="U4830" s="773">
        <v>230</v>
      </c>
      <c r="V4830" s="773">
        <v>1</v>
      </c>
      <c r="W4830" s="773" t="s">
        <v>410</v>
      </c>
    </row>
    <row r="4831" spans="19:23">
      <c r="S4831" s="27">
        <v>44804</v>
      </c>
      <c r="T4831" s="773" t="s">
        <v>132</v>
      </c>
      <c r="U4831" s="773">
        <v>312</v>
      </c>
      <c r="V4831" s="773">
        <v>2847</v>
      </c>
      <c r="W4831" s="773" t="s">
        <v>390</v>
      </c>
    </row>
    <row r="4832" spans="19:23">
      <c r="S4832" s="27">
        <v>44804</v>
      </c>
      <c r="T4832" s="773" t="s">
        <v>132</v>
      </c>
      <c r="U4832" s="773">
        <v>243</v>
      </c>
      <c r="V4832" s="773">
        <v>351</v>
      </c>
      <c r="W4832" s="773" t="s">
        <v>390</v>
      </c>
    </row>
    <row r="4833" spans="19:23">
      <c r="S4833" s="27">
        <v>44439</v>
      </c>
      <c r="T4833" s="773" t="s">
        <v>132</v>
      </c>
      <c r="U4833" s="773">
        <v>636</v>
      </c>
      <c r="V4833" s="773">
        <v>17</v>
      </c>
      <c r="W4833" s="773" t="s">
        <v>410</v>
      </c>
    </row>
    <row r="4834" spans="19:23">
      <c r="S4834" s="27">
        <v>44804</v>
      </c>
      <c r="T4834" s="773" t="s">
        <v>132</v>
      </c>
      <c r="U4834" s="773">
        <v>674</v>
      </c>
      <c r="V4834" s="773">
        <v>3870</v>
      </c>
      <c r="W4834" s="773" t="s">
        <v>390</v>
      </c>
    </row>
    <row r="4835" spans="19:23">
      <c r="S4835" s="27">
        <v>44439</v>
      </c>
      <c r="T4835" s="773" t="s">
        <v>132</v>
      </c>
      <c r="U4835" s="773">
        <v>200</v>
      </c>
      <c r="V4835" s="773">
        <v>4</v>
      </c>
      <c r="W4835" s="773" t="s">
        <v>410</v>
      </c>
    </row>
    <row r="4836" spans="19:23">
      <c r="S4836" s="27">
        <v>44804</v>
      </c>
      <c r="T4836" s="773" t="s">
        <v>132</v>
      </c>
      <c r="U4836" s="773">
        <v>129</v>
      </c>
      <c r="V4836" s="773">
        <v>2</v>
      </c>
      <c r="W4836" s="773" t="s">
        <v>410</v>
      </c>
    </row>
    <row r="4837" spans="19:23">
      <c r="S4837" s="27">
        <v>44804</v>
      </c>
      <c r="T4837" s="773" t="s">
        <v>132</v>
      </c>
      <c r="U4837" s="773">
        <v>159</v>
      </c>
      <c r="V4837" s="773">
        <v>9</v>
      </c>
      <c r="W4837" s="773" t="s">
        <v>410</v>
      </c>
    </row>
    <row r="4838" spans="19:23">
      <c r="S4838" s="27">
        <v>44439</v>
      </c>
      <c r="T4838" s="773" t="s">
        <v>132</v>
      </c>
      <c r="U4838" s="773">
        <v>82</v>
      </c>
      <c r="V4838" s="773">
        <v>2176</v>
      </c>
      <c r="W4838" s="773" t="s">
        <v>390</v>
      </c>
    </row>
    <row r="4839" spans="19:23">
      <c r="S4839" s="27">
        <v>44439</v>
      </c>
      <c r="T4839" s="773" t="s">
        <v>132</v>
      </c>
      <c r="U4839" s="773">
        <v>98</v>
      </c>
      <c r="V4839" s="773">
        <v>92</v>
      </c>
      <c r="W4839" s="773" t="s">
        <v>410</v>
      </c>
    </row>
    <row r="4840" spans="19:23">
      <c r="S4840" s="27">
        <v>44804</v>
      </c>
      <c r="T4840" s="773" t="s">
        <v>132</v>
      </c>
      <c r="U4840" s="773">
        <v>297</v>
      </c>
      <c r="V4840" s="773">
        <v>689</v>
      </c>
      <c r="W4840" s="773" t="s">
        <v>390</v>
      </c>
    </row>
    <row r="4841" spans="19:23">
      <c r="S4841" s="27">
        <v>44804</v>
      </c>
      <c r="T4841" s="773" t="s">
        <v>132</v>
      </c>
      <c r="U4841" s="773">
        <v>704</v>
      </c>
      <c r="V4841" s="773">
        <v>3417</v>
      </c>
      <c r="W4841" s="773" t="s">
        <v>390</v>
      </c>
    </row>
    <row r="4842" spans="19:23">
      <c r="S4842" s="27">
        <v>44804</v>
      </c>
      <c r="T4842" s="773" t="s">
        <v>132</v>
      </c>
      <c r="U4842" s="773">
        <v>720</v>
      </c>
      <c r="V4842" s="773">
        <v>2666</v>
      </c>
      <c r="W4842" s="773" t="s">
        <v>390</v>
      </c>
    </row>
    <row r="4843" spans="19:23">
      <c r="S4843" s="27">
        <v>44804</v>
      </c>
      <c r="T4843" s="773" t="s">
        <v>132</v>
      </c>
      <c r="U4843" s="773">
        <v>667</v>
      </c>
      <c r="V4843" s="773">
        <v>2</v>
      </c>
      <c r="W4843" s="773" t="s">
        <v>410</v>
      </c>
    </row>
    <row r="4844" spans="19:23">
      <c r="S4844" s="27">
        <v>44439</v>
      </c>
      <c r="T4844" s="773" t="s">
        <v>132</v>
      </c>
      <c r="U4844" s="773">
        <v>700</v>
      </c>
      <c r="V4844" s="773">
        <v>1407</v>
      </c>
      <c r="W4844" s="773" t="s">
        <v>390</v>
      </c>
    </row>
    <row r="4845" spans="19:23">
      <c r="S4845" s="27">
        <v>44804</v>
      </c>
      <c r="T4845" s="773" t="s">
        <v>132</v>
      </c>
      <c r="U4845" s="773">
        <v>701</v>
      </c>
      <c r="V4845" s="773">
        <v>2435</v>
      </c>
      <c r="W4845" s="773" t="s">
        <v>390</v>
      </c>
    </row>
    <row r="4846" spans="19:23">
      <c r="S4846" s="27">
        <v>44804</v>
      </c>
      <c r="T4846" s="773" t="s">
        <v>132</v>
      </c>
      <c r="U4846" s="773">
        <v>162</v>
      </c>
      <c r="V4846" s="773">
        <v>2241</v>
      </c>
      <c r="W4846" s="773" t="s">
        <v>390</v>
      </c>
    </row>
    <row r="4847" spans="19:23">
      <c r="S4847" s="27">
        <v>44804</v>
      </c>
      <c r="T4847" s="773" t="s">
        <v>132</v>
      </c>
      <c r="U4847" s="773">
        <v>43</v>
      </c>
      <c r="V4847" s="773">
        <v>1035</v>
      </c>
      <c r="W4847" s="773" t="s">
        <v>390</v>
      </c>
    </row>
    <row r="4848" spans="19:23">
      <c r="S4848" s="27">
        <v>44439</v>
      </c>
      <c r="T4848" s="773" t="s">
        <v>132</v>
      </c>
      <c r="U4848" s="773">
        <v>240</v>
      </c>
      <c r="V4848" s="773">
        <v>4</v>
      </c>
      <c r="W4848" s="773" t="s">
        <v>410</v>
      </c>
    </row>
    <row r="4849" spans="19:23">
      <c r="S4849" s="27">
        <v>44439</v>
      </c>
      <c r="T4849" s="773" t="s">
        <v>132</v>
      </c>
      <c r="U4849" s="773">
        <v>193</v>
      </c>
      <c r="V4849" s="773">
        <v>398</v>
      </c>
      <c r="W4849" s="773" t="s">
        <v>390</v>
      </c>
    </row>
    <row r="4850" spans="19:23">
      <c r="S4850" s="27">
        <v>44804</v>
      </c>
      <c r="T4850" s="773" t="s">
        <v>132</v>
      </c>
      <c r="U4850" s="773">
        <v>0</v>
      </c>
      <c r="V4850" s="773">
        <v>41</v>
      </c>
      <c r="W4850" s="773" t="s">
        <v>410</v>
      </c>
    </row>
    <row r="4851" spans="19:23">
      <c r="S4851" s="27">
        <v>44804</v>
      </c>
      <c r="T4851" s="773" t="s">
        <v>132</v>
      </c>
      <c r="U4851" s="773">
        <v>251</v>
      </c>
      <c r="V4851" s="773">
        <v>1932</v>
      </c>
      <c r="W4851" s="773" t="s">
        <v>390</v>
      </c>
    </row>
    <row r="4852" spans="19:23">
      <c r="S4852" s="27">
        <v>44439</v>
      </c>
      <c r="T4852" s="773" t="s">
        <v>132</v>
      </c>
      <c r="U4852" s="773">
        <v>150</v>
      </c>
      <c r="V4852" s="773">
        <v>786</v>
      </c>
      <c r="W4852" s="773" t="s">
        <v>390</v>
      </c>
    </row>
    <row r="4853" spans="19:23">
      <c r="S4853" s="27">
        <v>44439</v>
      </c>
      <c r="T4853" s="773" t="s">
        <v>132</v>
      </c>
      <c r="U4853" s="773">
        <v>664</v>
      </c>
      <c r="V4853" s="773">
        <v>2183</v>
      </c>
      <c r="W4853" s="773" t="s">
        <v>390</v>
      </c>
    </row>
    <row r="4854" spans="19:23">
      <c r="S4854" s="27">
        <v>44439</v>
      </c>
      <c r="T4854" s="773" t="s">
        <v>132</v>
      </c>
      <c r="U4854" s="773">
        <v>262</v>
      </c>
      <c r="V4854" s="773">
        <v>82</v>
      </c>
      <c r="W4854" s="773" t="s">
        <v>410</v>
      </c>
    </row>
    <row r="4855" spans="19:23">
      <c r="S4855" s="27">
        <v>44804</v>
      </c>
      <c r="T4855" s="773" t="s">
        <v>132</v>
      </c>
      <c r="U4855" s="773">
        <v>194</v>
      </c>
      <c r="V4855" s="773">
        <v>3935</v>
      </c>
      <c r="W4855" s="773" t="s">
        <v>390</v>
      </c>
    </row>
    <row r="4856" spans="19:23">
      <c r="S4856" s="27">
        <v>44804</v>
      </c>
      <c r="T4856" s="773" t="s">
        <v>132</v>
      </c>
      <c r="U4856" s="773">
        <v>148</v>
      </c>
      <c r="V4856" s="773">
        <v>2</v>
      </c>
      <c r="W4856" s="773" t="s">
        <v>410</v>
      </c>
    </row>
    <row r="4857" spans="19:23">
      <c r="S4857" s="27">
        <v>44804</v>
      </c>
      <c r="T4857" s="773" t="s">
        <v>132</v>
      </c>
      <c r="U4857" s="773">
        <v>231</v>
      </c>
      <c r="V4857" s="773">
        <v>4</v>
      </c>
      <c r="W4857" s="773" t="s">
        <v>410</v>
      </c>
    </row>
    <row r="4858" spans="19:23">
      <c r="S4858" s="27">
        <v>44439</v>
      </c>
      <c r="T4858" s="773" t="s">
        <v>132</v>
      </c>
      <c r="U4858" s="773">
        <v>218</v>
      </c>
      <c r="V4858" s="773">
        <v>1018</v>
      </c>
      <c r="W4858" s="773" t="s">
        <v>390</v>
      </c>
    </row>
    <row r="4859" spans="19:23">
      <c r="S4859" s="27">
        <v>44439</v>
      </c>
      <c r="T4859" s="773" t="s">
        <v>132</v>
      </c>
      <c r="U4859" s="773">
        <v>212</v>
      </c>
      <c r="V4859" s="773">
        <v>3449</v>
      </c>
      <c r="W4859" s="773" t="s">
        <v>390</v>
      </c>
    </row>
    <row r="4860" spans="19:23">
      <c r="S4860" s="27">
        <v>44439</v>
      </c>
      <c r="T4860" s="773" t="s">
        <v>132</v>
      </c>
      <c r="U4860" s="773">
        <v>91</v>
      </c>
      <c r="V4860" s="773">
        <v>2</v>
      </c>
      <c r="W4860" s="773" t="s">
        <v>410</v>
      </c>
    </row>
    <row r="4861" spans="19:23">
      <c r="S4861" s="27">
        <v>44439</v>
      </c>
      <c r="T4861" s="773" t="s">
        <v>132</v>
      </c>
      <c r="U4861" s="773">
        <v>108</v>
      </c>
      <c r="V4861" s="773">
        <v>1</v>
      </c>
      <c r="W4861" s="773" t="s">
        <v>410</v>
      </c>
    </row>
    <row r="4862" spans="19:23">
      <c r="S4862" s="27">
        <v>44439</v>
      </c>
      <c r="T4862" s="773" t="s">
        <v>132</v>
      </c>
      <c r="U4862" s="773">
        <v>293</v>
      </c>
      <c r="V4862" s="773">
        <v>501</v>
      </c>
      <c r="W4862" s="773" t="s">
        <v>390</v>
      </c>
    </row>
    <row r="4863" spans="19:23">
      <c r="S4863" s="27">
        <v>44804</v>
      </c>
      <c r="T4863" s="773" t="s">
        <v>132</v>
      </c>
      <c r="U4863" s="773">
        <v>53</v>
      </c>
      <c r="V4863" s="773">
        <v>2</v>
      </c>
      <c r="W4863" s="773" t="s">
        <v>410</v>
      </c>
    </row>
    <row r="4864" spans="19:23">
      <c r="S4864" s="27">
        <v>44804</v>
      </c>
      <c r="T4864" s="773" t="s">
        <v>132</v>
      </c>
      <c r="U4864" s="773">
        <v>182</v>
      </c>
      <c r="V4864" s="773">
        <v>175</v>
      </c>
      <c r="W4864" s="773" t="s">
        <v>390</v>
      </c>
    </row>
    <row r="4865" spans="19:23">
      <c r="S4865" s="27">
        <v>44439</v>
      </c>
      <c r="T4865" s="773" t="s">
        <v>132</v>
      </c>
      <c r="U4865" s="773">
        <v>299</v>
      </c>
      <c r="V4865" s="773">
        <v>1</v>
      </c>
      <c r="W4865" s="773" t="s">
        <v>410</v>
      </c>
    </row>
    <row r="4866" spans="19:23">
      <c r="S4866" s="27">
        <v>44804</v>
      </c>
      <c r="T4866" s="773" t="s">
        <v>132</v>
      </c>
      <c r="U4866" s="773">
        <v>262</v>
      </c>
      <c r="V4866" s="773">
        <v>50</v>
      </c>
      <c r="W4866" s="773" t="s">
        <v>410</v>
      </c>
    </row>
    <row r="4867" spans="19:23">
      <c r="S4867" s="27">
        <v>44804</v>
      </c>
      <c r="T4867" s="773" t="s">
        <v>132</v>
      </c>
      <c r="U4867" s="773">
        <v>727</v>
      </c>
      <c r="V4867" s="773">
        <v>43</v>
      </c>
      <c r="W4867" s="773" t="s">
        <v>410</v>
      </c>
    </row>
    <row r="4868" spans="19:23">
      <c r="S4868" s="27">
        <v>44439</v>
      </c>
      <c r="T4868" s="773" t="s">
        <v>132</v>
      </c>
      <c r="U4868" s="773">
        <v>312</v>
      </c>
      <c r="V4868" s="773">
        <v>2268</v>
      </c>
      <c r="W4868" s="773" t="s">
        <v>390</v>
      </c>
    </row>
    <row r="4869" spans="19:23">
      <c r="S4869" s="27">
        <v>44439</v>
      </c>
      <c r="T4869" s="773" t="s">
        <v>132</v>
      </c>
      <c r="U4869" s="773">
        <v>41</v>
      </c>
      <c r="V4869" s="773">
        <v>1</v>
      </c>
      <c r="W4869" s="773" t="s">
        <v>410</v>
      </c>
    </row>
    <row r="4870" spans="19:23">
      <c r="S4870" s="27">
        <v>44804</v>
      </c>
      <c r="T4870" s="773" t="s">
        <v>132</v>
      </c>
      <c r="U4870" s="773">
        <v>150</v>
      </c>
      <c r="V4870" s="773">
        <v>328</v>
      </c>
      <c r="W4870" s="773" t="s">
        <v>390</v>
      </c>
    </row>
    <row r="4871" spans="19:23">
      <c r="S4871" s="27">
        <v>44804</v>
      </c>
      <c r="T4871" s="773" t="s">
        <v>132</v>
      </c>
      <c r="U4871" s="773">
        <v>101</v>
      </c>
      <c r="V4871" s="773">
        <v>286</v>
      </c>
      <c r="W4871" s="773" t="s">
        <v>390</v>
      </c>
    </row>
    <row r="4872" spans="19:23">
      <c r="S4872" s="27">
        <v>44804</v>
      </c>
      <c r="T4872" s="773" t="s">
        <v>132</v>
      </c>
      <c r="U4872" s="773">
        <v>66</v>
      </c>
      <c r="V4872" s="773">
        <v>1</v>
      </c>
      <c r="W4872" s="773" t="s">
        <v>410</v>
      </c>
    </row>
    <row r="4873" spans="19:23">
      <c r="S4873" s="27">
        <v>44804</v>
      </c>
      <c r="T4873" s="773" t="s">
        <v>132</v>
      </c>
      <c r="U4873" s="773">
        <v>157</v>
      </c>
      <c r="V4873" s="773">
        <v>7</v>
      </c>
      <c r="W4873" s="773" t="s">
        <v>410</v>
      </c>
    </row>
    <row r="4874" spans="19:23">
      <c r="S4874" s="27">
        <v>44439</v>
      </c>
      <c r="T4874" s="773" t="s">
        <v>132</v>
      </c>
      <c r="U4874" s="773">
        <v>176</v>
      </c>
      <c r="V4874" s="773">
        <v>1</v>
      </c>
      <c r="W4874" s="773" t="s">
        <v>410</v>
      </c>
    </row>
    <row r="4875" spans="19:23">
      <c r="S4875" s="27">
        <v>44804</v>
      </c>
      <c r="T4875" s="773" t="s">
        <v>132</v>
      </c>
      <c r="U4875" s="773">
        <v>321</v>
      </c>
      <c r="V4875" s="773">
        <v>1994</v>
      </c>
      <c r="W4875" s="773" t="s">
        <v>390</v>
      </c>
    </row>
    <row r="4876" spans="19:23">
      <c r="S4876" s="27">
        <v>44439</v>
      </c>
      <c r="T4876" s="773" t="s">
        <v>132</v>
      </c>
      <c r="U4876" s="773">
        <v>231</v>
      </c>
      <c r="V4876" s="773">
        <v>5</v>
      </c>
      <c r="W4876" s="773" t="s">
        <v>410</v>
      </c>
    </row>
    <row r="4877" spans="19:23">
      <c r="S4877" s="27">
        <v>44439</v>
      </c>
      <c r="T4877" s="773" t="s">
        <v>132</v>
      </c>
      <c r="U4877" s="773">
        <v>188</v>
      </c>
      <c r="V4877" s="773">
        <v>479</v>
      </c>
      <c r="W4877" s="773" t="s">
        <v>390</v>
      </c>
    </row>
    <row r="4878" spans="19:23">
      <c r="S4878" s="27">
        <v>44804</v>
      </c>
      <c r="T4878" s="773" t="s">
        <v>132</v>
      </c>
      <c r="U4878" s="773">
        <v>672</v>
      </c>
      <c r="V4878" s="773">
        <v>2362</v>
      </c>
      <c r="W4878" s="773" t="s">
        <v>390</v>
      </c>
    </row>
    <row r="4879" spans="19:23">
      <c r="S4879" s="27">
        <v>44439</v>
      </c>
      <c r="T4879" s="773" t="s">
        <v>132</v>
      </c>
      <c r="U4879" s="773">
        <v>264</v>
      </c>
      <c r="V4879" s="773">
        <v>948</v>
      </c>
      <c r="W4879" s="773" t="s">
        <v>390</v>
      </c>
    </row>
    <row r="4880" spans="19:23">
      <c r="S4880" s="27">
        <v>44439</v>
      </c>
      <c r="T4880" s="773" t="s">
        <v>132</v>
      </c>
      <c r="U4880" s="773">
        <v>139</v>
      </c>
      <c r="V4880" s="773">
        <v>2973</v>
      </c>
      <c r="W4880" s="773" t="s">
        <v>390</v>
      </c>
    </row>
    <row r="4881" spans="19:23">
      <c r="S4881" s="27">
        <v>44804</v>
      </c>
      <c r="T4881" s="773" t="s">
        <v>132</v>
      </c>
      <c r="U4881" s="773">
        <v>328</v>
      </c>
      <c r="V4881" s="773">
        <v>1482</v>
      </c>
      <c r="W4881" s="773" t="s">
        <v>390</v>
      </c>
    </row>
    <row r="4882" spans="19:23">
      <c r="S4882" s="27">
        <v>44439</v>
      </c>
      <c r="T4882" s="773" t="s">
        <v>132</v>
      </c>
      <c r="U4882" s="773">
        <v>296</v>
      </c>
      <c r="V4882" s="773">
        <v>2349</v>
      </c>
      <c r="W4882" s="773" t="s">
        <v>390</v>
      </c>
    </row>
    <row r="4883" spans="19:23">
      <c r="S4883" s="27">
        <v>44439</v>
      </c>
      <c r="T4883" s="773" t="s">
        <v>132</v>
      </c>
      <c r="U4883" s="773">
        <v>11</v>
      </c>
      <c r="V4883" s="773">
        <v>27</v>
      </c>
      <c r="W4883" s="773" t="s">
        <v>410</v>
      </c>
    </row>
    <row r="4884" spans="19:23">
      <c r="S4884" s="27">
        <v>44834</v>
      </c>
      <c r="T4884" s="773" t="s">
        <v>132</v>
      </c>
      <c r="U4884" s="773">
        <v>641</v>
      </c>
      <c r="V4884" s="773">
        <v>2107</v>
      </c>
      <c r="W4884" s="773" t="s">
        <v>390</v>
      </c>
    </row>
    <row r="4885" spans="19:23">
      <c r="S4885" s="27">
        <v>44834</v>
      </c>
      <c r="T4885" s="773" t="s">
        <v>132</v>
      </c>
      <c r="U4885" s="773">
        <v>70</v>
      </c>
      <c r="V4885" s="773">
        <v>211</v>
      </c>
      <c r="W4885" s="773" t="s">
        <v>390</v>
      </c>
    </row>
    <row r="4886" spans="19:23">
      <c r="S4886" s="27">
        <v>44469</v>
      </c>
      <c r="T4886" s="773" t="s">
        <v>132</v>
      </c>
      <c r="U4886" s="773">
        <v>181</v>
      </c>
      <c r="V4886" s="773">
        <v>1</v>
      </c>
      <c r="W4886" s="773" t="s">
        <v>410</v>
      </c>
    </row>
    <row r="4887" spans="19:23">
      <c r="S4887" s="27">
        <v>44469</v>
      </c>
      <c r="T4887" s="773" t="s">
        <v>132</v>
      </c>
      <c r="U4887" s="773">
        <v>155</v>
      </c>
      <c r="V4887" s="773">
        <v>2409</v>
      </c>
      <c r="W4887" s="773" t="s">
        <v>390</v>
      </c>
    </row>
    <row r="4888" spans="19:23">
      <c r="S4888" s="27">
        <v>44469</v>
      </c>
      <c r="T4888" s="773" t="s">
        <v>132</v>
      </c>
      <c r="U4888" s="773">
        <v>265</v>
      </c>
      <c r="V4888" s="773">
        <v>1520</v>
      </c>
      <c r="W4888" s="773" t="s">
        <v>390</v>
      </c>
    </row>
    <row r="4889" spans="19:23">
      <c r="S4889" s="27">
        <v>44469</v>
      </c>
      <c r="T4889" s="773" t="s">
        <v>132</v>
      </c>
      <c r="U4889" s="773">
        <v>253</v>
      </c>
      <c r="V4889" s="773">
        <v>16</v>
      </c>
      <c r="W4889" s="773" t="s">
        <v>410</v>
      </c>
    </row>
    <row r="4890" spans="19:23">
      <c r="S4890" s="27">
        <v>44834</v>
      </c>
      <c r="T4890" s="773" t="s">
        <v>132</v>
      </c>
      <c r="U4890" s="773">
        <v>39</v>
      </c>
      <c r="V4890" s="773">
        <v>1</v>
      </c>
      <c r="W4890" s="773" t="s">
        <v>410</v>
      </c>
    </row>
    <row r="4891" spans="19:23">
      <c r="S4891" s="27">
        <v>44469</v>
      </c>
      <c r="T4891" s="773" t="s">
        <v>132</v>
      </c>
      <c r="U4891" s="773">
        <v>171</v>
      </c>
      <c r="V4891" s="773">
        <v>187</v>
      </c>
      <c r="W4891" s="773" t="s">
        <v>390</v>
      </c>
    </row>
    <row r="4892" spans="19:23">
      <c r="S4892" s="27">
        <v>44469</v>
      </c>
      <c r="T4892" s="773" t="s">
        <v>132</v>
      </c>
      <c r="U4892" s="773">
        <v>176</v>
      </c>
      <c r="V4892" s="773">
        <v>1</v>
      </c>
      <c r="W4892" s="773" t="s">
        <v>410</v>
      </c>
    </row>
    <row r="4893" spans="19:23">
      <c r="S4893" s="27">
        <v>44834</v>
      </c>
      <c r="T4893" s="773" t="s">
        <v>132</v>
      </c>
      <c r="U4893" s="773">
        <v>241</v>
      </c>
      <c r="V4893" s="773">
        <v>10</v>
      </c>
      <c r="W4893" s="773" t="s">
        <v>410</v>
      </c>
    </row>
    <row r="4894" spans="19:23">
      <c r="S4894" s="27">
        <v>44834</v>
      </c>
      <c r="T4894" s="773" t="s">
        <v>132</v>
      </c>
      <c r="U4894" s="773">
        <v>650</v>
      </c>
      <c r="V4894" s="773">
        <v>22</v>
      </c>
      <c r="W4894" s="773" t="s">
        <v>410</v>
      </c>
    </row>
    <row r="4895" spans="19:23">
      <c r="S4895" s="27">
        <v>44469</v>
      </c>
      <c r="T4895" s="773" t="s">
        <v>132</v>
      </c>
      <c r="U4895" s="773">
        <v>670</v>
      </c>
      <c r="V4895" s="773">
        <v>3849</v>
      </c>
      <c r="W4895" s="773" t="s">
        <v>390</v>
      </c>
    </row>
    <row r="4896" spans="19:23">
      <c r="S4896" s="27">
        <v>44469</v>
      </c>
      <c r="T4896" s="773" t="s">
        <v>132</v>
      </c>
      <c r="U4896" s="773">
        <v>255</v>
      </c>
      <c r="V4896" s="773">
        <v>20</v>
      </c>
      <c r="W4896" s="773" t="s">
        <v>410</v>
      </c>
    </row>
    <row r="4897" spans="19:23">
      <c r="S4897" s="27">
        <v>44834</v>
      </c>
      <c r="T4897" s="773" t="s">
        <v>132</v>
      </c>
      <c r="U4897" s="773">
        <v>11</v>
      </c>
      <c r="V4897" s="773">
        <v>27</v>
      </c>
      <c r="W4897" s="773" t="s">
        <v>410</v>
      </c>
    </row>
    <row r="4898" spans="19:23">
      <c r="S4898" s="27">
        <v>44834</v>
      </c>
      <c r="T4898" s="773" t="s">
        <v>132</v>
      </c>
      <c r="U4898" s="773">
        <v>678</v>
      </c>
      <c r="V4898" s="773">
        <v>190</v>
      </c>
      <c r="W4898" s="773" t="s">
        <v>390</v>
      </c>
    </row>
    <row r="4899" spans="19:23">
      <c r="S4899" s="27">
        <v>44834</v>
      </c>
      <c r="T4899" s="773" t="s">
        <v>132</v>
      </c>
      <c r="U4899" s="773">
        <v>707</v>
      </c>
      <c r="V4899" s="773">
        <v>270</v>
      </c>
      <c r="W4899" s="773" t="s">
        <v>390</v>
      </c>
    </row>
    <row r="4900" spans="19:23">
      <c r="S4900" s="27">
        <v>44469</v>
      </c>
      <c r="T4900" s="773" t="s">
        <v>132</v>
      </c>
      <c r="U4900" s="773">
        <v>161</v>
      </c>
      <c r="V4900" s="773">
        <v>6</v>
      </c>
      <c r="W4900" s="773" t="s">
        <v>410</v>
      </c>
    </row>
    <row r="4901" spans="19:23">
      <c r="S4901" s="27">
        <v>44469</v>
      </c>
      <c r="T4901" s="773" t="s">
        <v>132</v>
      </c>
      <c r="U4901" s="773">
        <v>133</v>
      </c>
      <c r="V4901" s="773">
        <v>1</v>
      </c>
      <c r="W4901" s="773" t="s">
        <v>410</v>
      </c>
    </row>
    <row r="4902" spans="19:23">
      <c r="S4902" s="27">
        <v>44834</v>
      </c>
      <c r="T4902" s="773" t="s">
        <v>132</v>
      </c>
      <c r="U4902" s="773">
        <v>239</v>
      </c>
      <c r="V4902" s="773">
        <v>8</v>
      </c>
      <c r="W4902" s="773" t="s">
        <v>410</v>
      </c>
    </row>
    <row r="4903" spans="19:23">
      <c r="S4903" s="27">
        <v>44834</v>
      </c>
      <c r="T4903" s="773" t="s">
        <v>132</v>
      </c>
      <c r="U4903" s="773">
        <v>159</v>
      </c>
      <c r="V4903" s="773">
        <v>9</v>
      </c>
      <c r="W4903" s="773" t="s">
        <v>410</v>
      </c>
    </row>
    <row r="4904" spans="19:23">
      <c r="S4904" s="27">
        <v>44834</v>
      </c>
      <c r="T4904" s="773" t="s">
        <v>132</v>
      </c>
      <c r="U4904" s="773">
        <v>523</v>
      </c>
      <c r="V4904" s="773">
        <v>1</v>
      </c>
      <c r="W4904" s="773" t="s">
        <v>410</v>
      </c>
    </row>
    <row r="4905" spans="19:23">
      <c r="S4905" s="27">
        <v>44834</v>
      </c>
      <c r="T4905" s="773" t="s">
        <v>132</v>
      </c>
      <c r="U4905" s="773">
        <v>664</v>
      </c>
      <c r="V4905" s="773">
        <v>2096</v>
      </c>
      <c r="W4905" s="773" t="s">
        <v>390</v>
      </c>
    </row>
    <row r="4906" spans="19:23">
      <c r="S4906" s="27">
        <v>44469</v>
      </c>
      <c r="T4906" s="773" t="s">
        <v>132</v>
      </c>
      <c r="U4906" s="773">
        <v>666</v>
      </c>
      <c r="V4906" s="773">
        <v>1407</v>
      </c>
      <c r="W4906" s="773" t="s">
        <v>390</v>
      </c>
    </row>
    <row r="4907" spans="19:23">
      <c r="S4907" s="27">
        <v>44834</v>
      </c>
      <c r="T4907" s="773" t="s">
        <v>132</v>
      </c>
      <c r="U4907" s="773">
        <v>254</v>
      </c>
      <c r="V4907" s="773">
        <v>3</v>
      </c>
      <c r="W4907" s="773" t="s">
        <v>410</v>
      </c>
    </row>
    <row r="4908" spans="19:23">
      <c r="S4908" s="27">
        <v>44469</v>
      </c>
      <c r="T4908" s="773" t="s">
        <v>132</v>
      </c>
      <c r="U4908" s="773">
        <v>308</v>
      </c>
      <c r="V4908" s="773">
        <v>2140</v>
      </c>
      <c r="W4908" s="773" t="s">
        <v>390</v>
      </c>
    </row>
    <row r="4909" spans="19:23">
      <c r="S4909" s="27">
        <v>44834</v>
      </c>
      <c r="T4909" s="773" t="s">
        <v>132</v>
      </c>
      <c r="U4909" s="773">
        <v>738</v>
      </c>
      <c r="V4909" s="773">
        <v>1</v>
      </c>
      <c r="W4909" s="773" t="s">
        <v>410</v>
      </c>
    </row>
    <row r="4910" spans="19:23">
      <c r="S4910" s="27">
        <v>44469</v>
      </c>
      <c r="T4910" s="773" t="s">
        <v>132</v>
      </c>
      <c r="U4910" s="773">
        <v>676</v>
      </c>
      <c r="V4910" s="773">
        <v>1</v>
      </c>
      <c r="W4910" s="773" t="s">
        <v>410</v>
      </c>
    </row>
    <row r="4911" spans="19:23">
      <c r="S4911" s="27">
        <v>44469</v>
      </c>
      <c r="T4911" s="773" t="s">
        <v>132</v>
      </c>
      <c r="U4911" s="773">
        <v>111</v>
      </c>
      <c r="V4911" s="773">
        <v>2</v>
      </c>
      <c r="W4911" s="773" t="s">
        <v>410</v>
      </c>
    </row>
    <row r="4912" spans="19:23">
      <c r="S4912" s="27">
        <v>44469</v>
      </c>
      <c r="T4912" s="773" t="s">
        <v>132</v>
      </c>
      <c r="U4912" s="773">
        <v>153</v>
      </c>
      <c r="V4912" s="773">
        <v>2130</v>
      </c>
      <c r="W4912" s="773" t="s">
        <v>390</v>
      </c>
    </row>
    <row r="4913" spans="19:23">
      <c r="S4913" s="27">
        <v>44469</v>
      </c>
      <c r="T4913" s="773" t="s">
        <v>132</v>
      </c>
      <c r="U4913" s="773">
        <v>318</v>
      </c>
      <c r="V4913" s="773">
        <v>2000</v>
      </c>
      <c r="W4913" s="773" t="s">
        <v>390</v>
      </c>
    </row>
    <row r="4914" spans="19:23">
      <c r="S4914" s="27">
        <v>44469</v>
      </c>
      <c r="T4914" s="773" t="s">
        <v>132</v>
      </c>
      <c r="U4914" s="773">
        <v>60</v>
      </c>
      <c r="V4914" s="773">
        <v>1</v>
      </c>
      <c r="W4914" s="773" t="s">
        <v>410</v>
      </c>
    </row>
    <row r="4915" spans="19:23">
      <c r="S4915" s="27">
        <v>44469</v>
      </c>
      <c r="T4915" s="773" t="s">
        <v>132</v>
      </c>
      <c r="U4915" s="773">
        <v>650</v>
      </c>
      <c r="V4915" s="773">
        <v>137</v>
      </c>
      <c r="W4915" s="773" t="s">
        <v>390</v>
      </c>
    </row>
    <row r="4916" spans="19:23">
      <c r="S4916" s="27">
        <v>44469</v>
      </c>
      <c r="T4916" s="773" t="s">
        <v>132</v>
      </c>
      <c r="U4916" s="773">
        <v>93</v>
      </c>
      <c r="V4916" s="773">
        <v>8428</v>
      </c>
      <c r="W4916" s="773" t="s">
        <v>390</v>
      </c>
    </row>
    <row r="4917" spans="19:23">
      <c r="S4917" s="27">
        <v>44834</v>
      </c>
      <c r="T4917" s="773" t="s">
        <v>132</v>
      </c>
      <c r="U4917" s="773">
        <v>220</v>
      </c>
      <c r="V4917" s="773">
        <v>100</v>
      </c>
      <c r="W4917" s="773" t="s">
        <v>390</v>
      </c>
    </row>
    <row r="4918" spans="19:23">
      <c r="S4918" s="27">
        <v>44834</v>
      </c>
      <c r="T4918" s="773" t="s">
        <v>132</v>
      </c>
      <c r="U4918" s="773">
        <v>739</v>
      </c>
      <c r="V4918" s="773">
        <v>28</v>
      </c>
      <c r="W4918" s="773" t="s">
        <v>410</v>
      </c>
    </row>
    <row r="4919" spans="19:23">
      <c r="S4919" s="27">
        <v>44834</v>
      </c>
      <c r="T4919" s="773" t="s">
        <v>132</v>
      </c>
      <c r="U4919" s="773">
        <v>153</v>
      </c>
      <c r="V4919" s="773">
        <v>2341</v>
      </c>
      <c r="W4919" s="773" t="s">
        <v>390</v>
      </c>
    </row>
    <row r="4920" spans="19:23">
      <c r="S4920" s="27">
        <v>44469</v>
      </c>
      <c r="T4920" s="773" t="s">
        <v>132</v>
      </c>
      <c r="U4920" s="773">
        <v>250</v>
      </c>
      <c r="V4920" s="773">
        <v>2</v>
      </c>
      <c r="W4920" s="773" t="s">
        <v>410</v>
      </c>
    </row>
    <row r="4921" spans="19:23">
      <c r="S4921" s="27">
        <v>44469</v>
      </c>
      <c r="T4921" s="773" t="s">
        <v>132</v>
      </c>
      <c r="U4921" s="773">
        <v>680</v>
      </c>
      <c r="V4921" s="773">
        <v>326</v>
      </c>
      <c r="W4921" s="773" t="s">
        <v>390</v>
      </c>
    </row>
    <row r="4922" spans="19:23">
      <c r="S4922" s="27">
        <v>44469</v>
      </c>
      <c r="T4922" s="773" t="s">
        <v>132</v>
      </c>
      <c r="U4922" s="773">
        <v>652</v>
      </c>
      <c r="V4922" s="773">
        <v>2726</v>
      </c>
      <c r="W4922" s="773" t="s">
        <v>390</v>
      </c>
    </row>
    <row r="4923" spans="19:23">
      <c r="S4923" s="27">
        <v>44834</v>
      </c>
      <c r="T4923" s="773" t="s">
        <v>132</v>
      </c>
      <c r="U4923" s="773">
        <v>660</v>
      </c>
      <c r="V4923" s="773">
        <v>5</v>
      </c>
      <c r="W4923" s="773" t="s">
        <v>410</v>
      </c>
    </row>
    <row r="4924" spans="19:23">
      <c r="S4924" s="27">
        <v>44469</v>
      </c>
      <c r="T4924" s="773" t="s">
        <v>132</v>
      </c>
      <c r="U4924" s="773">
        <v>148</v>
      </c>
      <c r="V4924" s="773">
        <v>1</v>
      </c>
      <c r="W4924" s="773" t="s">
        <v>410</v>
      </c>
    </row>
    <row r="4925" spans="19:23">
      <c r="S4925" s="27">
        <v>44834</v>
      </c>
      <c r="T4925" s="773" t="s">
        <v>132</v>
      </c>
      <c r="U4925" s="773">
        <v>60</v>
      </c>
      <c r="V4925" s="773">
        <v>1</v>
      </c>
      <c r="W4925" s="773" t="s">
        <v>410</v>
      </c>
    </row>
    <row r="4926" spans="19:23">
      <c r="S4926" s="27">
        <v>44834</v>
      </c>
      <c r="T4926" s="773" t="s">
        <v>132</v>
      </c>
      <c r="U4926" s="773">
        <v>204</v>
      </c>
      <c r="V4926" s="773">
        <v>7</v>
      </c>
      <c r="W4926" s="773" t="s">
        <v>410</v>
      </c>
    </row>
    <row r="4927" spans="19:23">
      <c r="S4927" s="27">
        <v>44469</v>
      </c>
      <c r="T4927" s="773" t="s">
        <v>132</v>
      </c>
      <c r="U4927" s="773">
        <v>73</v>
      </c>
      <c r="V4927" s="773">
        <v>2</v>
      </c>
      <c r="W4927" s="773" t="s">
        <v>410</v>
      </c>
    </row>
    <row r="4928" spans="19:23">
      <c r="S4928" s="27">
        <v>44469</v>
      </c>
      <c r="T4928" s="773" t="s">
        <v>132</v>
      </c>
      <c r="U4928" s="773">
        <v>113</v>
      </c>
      <c r="V4928" s="773">
        <v>2</v>
      </c>
      <c r="W4928" s="773" t="s">
        <v>410</v>
      </c>
    </row>
    <row r="4929" spans="19:23">
      <c r="S4929" s="27">
        <v>44834</v>
      </c>
      <c r="T4929" s="773" t="s">
        <v>132</v>
      </c>
      <c r="U4929" s="773">
        <v>136</v>
      </c>
      <c r="V4929" s="773">
        <v>10</v>
      </c>
      <c r="W4929" s="773" t="s">
        <v>410</v>
      </c>
    </row>
    <row r="4930" spans="19:23">
      <c r="S4930" s="27">
        <v>44834</v>
      </c>
      <c r="T4930" s="773" t="s">
        <v>132</v>
      </c>
      <c r="U4930" s="773">
        <v>59</v>
      </c>
      <c r="V4930" s="773">
        <v>2</v>
      </c>
      <c r="W4930" s="773" t="s">
        <v>410</v>
      </c>
    </row>
    <row r="4931" spans="19:23">
      <c r="S4931" s="27">
        <v>44469</v>
      </c>
      <c r="T4931" s="773" t="s">
        <v>132</v>
      </c>
      <c r="U4931" s="773">
        <v>664</v>
      </c>
      <c r="V4931" s="773">
        <v>2185</v>
      </c>
      <c r="W4931" s="773" t="s">
        <v>390</v>
      </c>
    </row>
    <row r="4932" spans="19:23">
      <c r="S4932" s="27">
        <v>44469</v>
      </c>
      <c r="T4932" s="773" t="s">
        <v>132</v>
      </c>
      <c r="U4932" s="773">
        <v>44</v>
      </c>
      <c r="V4932" s="773">
        <v>3041</v>
      </c>
      <c r="W4932" s="773" t="s">
        <v>390</v>
      </c>
    </row>
    <row r="4933" spans="19:23">
      <c r="S4933" s="27">
        <v>44834</v>
      </c>
      <c r="T4933" s="773" t="s">
        <v>132</v>
      </c>
      <c r="U4933" s="773">
        <v>709</v>
      </c>
      <c r="V4933" s="773">
        <v>2228</v>
      </c>
      <c r="W4933" s="773" t="s">
        <v>390</v>
      </c>
    </row>
    <row r="4934" spans="19:23">
      <c r="S4934" s="27">
        <v>44469</v>
      </c>
      <c r="T4934" s="773" t="s">
        <v>132</v>
      </c>
      <c r="U4934" s="773">
        <v>100</v>
      </c>
      <c r="V4934" s="773">
        <v>3</v>
      </c>
      <c r="W4934" s="773" t="s">
        <v>410</v>
      </c>
    </row>
    <row r="4935" spans="19:23">
      <c r="S4935" s="27">
        <v>44469</v>
      </c>
      <c r="T4935" s="773" t="s">
        <v>132</v>
      </c>
      <c r="U4935" s="773">
        <v>342</v>
      </c>
      <c r="V4935" s="773">
        <v>2799</v>
      </c>
      <c r="W4935" s="773" t="s">
        <v>390</v>
      </c>
    </row>
    <row r="4936" spans="19:23">
      <c r="S4936" s="27">
        <v>44469</v>
      </c>
      <c r="T4936" s="773" t="s">
        <v>132</v>
      </c>
      <c r="U4936" s="773">
        <v>105</v>
      </c>
      <c r="V4936" s="773">
        <v>1</v>
      </c>
      <c r="W4936" s="773" t="s">
        <v>410</v>
      </c>
    </row>
    <row r="4937" spans="19:23">
      <c r="S4937" s="27">
        <v>44469</v>
      </c>
      <c r="T4937" s="773" t="s">
        <v>132</v>
      </c>
      <c r="U4937" s="773">
        <v>35</v>
      </c>
      <c r="V4937" s="773">
        <v>883</v>
      </c>
      <c r="W4937" s="773" t="s">
        <v>390</v>
      </c>
    </row>
    <row r="4938" spans="19:23">
      <c r="S4938" s="27">
        <v>44834</v>
      </c>
      <c r="T4938" s="773" t="s">
        <v>132</v>
      </c>
      <c r="U4938" s="773">
        <v>698</v>
      </c>
      <c r="V4938" s="773">
        <v>3015</v>
      </c>
      <c r="W4938" s="773" t="s">
        <v>390</v>
      </c>
    </row>
    <row r="4939" spans="19:23">
      <c r="S4939" s="27">
        <v>44834</v>
      </c>
      <c r="T4939" s="773" t="s">
        <v>132</v>
      </c>
      <c r="U4939" s="773">
        <v>322</v>
      </c>
      <c r="V4939" s="773">
        <v>2681</v>
      </c>
      <c r="W4939" s="773" t="s">
        <v>390</v>
      </c>
    </row>
    <row r="4940" spans="19:23">
      <c r="S4940" s="27">
        <v>44469</v>
      </c>
      <c r="T4940" s="773" t="s">
        <v>132</v>
      </c>
      <c r="U4940" s="773">
        <v>182</v>
      </c>
      <c r="V4940" s="773">
        <v>913</v>
      </c>
      <c r="W4940" s="773" t="s">
        <v>390</v>
      </c>
    </row>
    <row r="4941" spans="19:23">
      <c r="S4941" s="27">
        <v>44834</v>
      </c>
      <c r="T4941" s="773" t="s">
        <v>132</v>
      </c>
      <c r="U4941" s="773">
        <v>645</v>
      </c>
      <c r="V4941" s="773">
        <v>741</v>
      </c>
      <c r="W4941" s="773" t="s">
        <v>390</v>
      </c>
    </row>
    <row r="4942" spans="19:23">
      <c r="S4942" s="27">
        <v>44469</v>
      </c>
      <c r="T4942" s="773" t="s">
        <v>132</v>
      </c>
      <c r="U4942" s="773">
        <v>40</v>
      </c>
      <c r="V4942" s="773">
        <v>2</v>
      </c>
      <c r="W4942" s="773" t="s">
        <v>410</v>
      </c>
    </row>
    <row r="4943" spans="19:23">
      <c r="S4943" s="27">
        <v>44834</v>
      </c>
      <c r="T4943" s="773" t="s">
        <v>132</v>
      </c>
      <c r="U4943" s="773">
        <v>61</v>
      </c>
      <c r="V4943" s="773">
        <v>1</v>
      </c>
      <c r="W4943" s="773" t="s">
        <v>410</v>
      </c>
    </row>
    <row r="4944" spans="19:23">
      <c r="S4944" s="27">
        <v>44469</v>
      </c>
      <c r="T4944" s="773" t="s">
        <v>132</v>
      </c>
      <c r="U4944" s="773">
        <v>654</v>
      </c>
      <c r="V4944" s="773">
        <v>2378</v>
      </c>
      <c r="W4944" s="773" t="s">
        <v>390</v>
      </c>
    </row>
    <row r="4945" spans="19:23">
      <c r="S4945" s="27">
        <v>44469</v>
      </c>
      <c r="T4945" s="773" t="s">
        <v>132</v>
      </c>
      <c r="U4945" s="773">
        <v>237</v>
      </c>
      <c r="V4945" s="773">
        <v>26</v>
      </c>
      <c r="W4945" s="773" t="s">
        <v>410</v>
      </c>
    </row>
    <row r="4946" spans="19:23">
      <c r="S4946" s="27">
        <v>44469</v>
      </c>
      <c r="T4946" s="773" t="s">
        <v>132</v>
      </c>
      <c r="U4946" s="773">
        <v>328</v>
      </c>
      <c r="V4946" s="773">
        <v>7</v>
      </c>
      <c r="W4946" s="773" t="s">
        <v>410</v>
      </c>
    </row>
    <row r="4947" spans="19:23">
      <c r="S4947" s="27">
        <v>44834</v>
      </c>
      <c r="T4947" s="773" t="s">
        <v>132</v>
      </c>
      <c r="U4947" s="773">
        <v>663</v>
      </c>
      <c r="V4947" s="773">
        <v>674</v>
      </c>
      <c r="W4947" s="773" t="s">
        <v>390</v>
      </c>
    </row>
    <row r="4948" spans="19:23">
      <c r="S4948" s="27">
        <v>44834</v>
      </c>
      <c r="T4948" s="773" t="s">
        <v>132</v>
      </c>
      <c r="U4948" s="773">
        <v>703</v>
      </c>
      <c r="V4948" s="773">
        <v>3397</v>
      </c>
      <c r="W4948" s="773" t="s">
        <v>390</v>
      </c>
    </row>
    <row r="4949" spans="19:23">
      <c r="S4949" s="27">
        <v>44834</v>
      </c>
      <c r="T4949" s="773" t="s">
        <v>132</v>
      </c>
      <c r="U4949" s="773">
        <v>256</v>
      </c>
      <c r="V4949" s="773">
        <v>282</v>
      </c>
      <c r="W4949" s="773" t="s">
        <v>390</v>
      </c>
    </row>
    <row r="4950" spans="19:23">
      <c r="S4950" s="27">
        <v>44469</v>
      </c>
      <c r="T4950" s="773" t="s">
        <v>132</v>
      </c>
      <c r="U4950" s="773">
        <v>46</v>
      </c>
      <c r="V4950" s="773">
        <v>2809</v>
      </c>
      <c r="W4950" s="773" t="s">
        <v>390</v>
      </c>
    </row>
    <row r="4951" spans="19:23">
      <c r="S4951" s="27">
        <v>44469</v>
      </c>
      <c r="T4951" s="773" t="s">
        <v>132</v>
      </c>
      <c r="U4951" s="773">
        <v>164</v>
      </c>
      <c r="V4951" s="773">
        <v>11</v>
      </c>
      <c r="W4951" s="773" t="s">
        <v>410</v>
      </c>
    </row>
    <row r="4952" spans="19:23">
      <c r="S4952" s="27">
        <v>44834</v>
      </c>
      <c r="T4952" s="773" t="s">
        <v>132</v>
      </c>
      <c r="U4952" s="773">
        <v>726</v>
      </c>
      <c r="V4952" s="773">
        <v>64</v>
      </c>
      <c r="W4952" s="773" t="s">
        <v>410</v>
      </c>
    </row>
    <row r="4953" spans="19:23">
      <c r="S4953" s="27">
        <v>44834</v>
      </c>
      <c r="T4953" s="773" t="s">
        <v>132</v>
      </c>
      <c r="U4953" s="773">
        <v>290</v>
      </c>
      <c r="V4953" s="773">
        <v>569</v>
      </c>
      <c r="W4953" s="773" t="s">
        <v>390</v>
      </c>
    </row>
    <row r="4954" spans="19:23">
      <c r="S4954" s="27">
        <v>44834</v>
      </c>
      <c r="T4954" s="773" t="s">
        <v>132</v>
      </c>
      <c r="U4954" s="773">
        <v>275</v>
      </c>
      <c r="V4954" s="773">
        <v>24</v>
      </c>
      <c r="W4954" s="773" t="s">
        <v>410</v>
      </c>
    </row>
    <row r="4955" spans="19:23">
      <c r="S4955" s="27">
        <v>44469</v>
      </c>
      <c r="T4955" s="773" t="s">
        <v>132</v>
      </c>
      <c r="U4955" s="773">
        <v>89</v>
      </c>
      <c r="V4955" s="773">
        <v>1146</v>
      </c>
      <c r="W4955" s="773" t="s">
        <v>390</v>
      </c>
    </row>
    <row r="4956" spans="19:23">
      <c r="S4956" s="27">
        <v>44834</v>
      </c>
      <c r="T4956" s="773" t="s">
        <v>132</v>
      </c>
      <c r="U4956" s="773">
        <v>58</v>
      </c>
      <c r="V4956" s="773">
        <v>1</v>
      </c>
      <c r="W4956" s="773" t="s">
        <v>410</v>
      </c>
    </row>
    <row r="4957" spans="19:23">
      <c r="S4957" s="27">
        <v>44469</v>
      </c>
      <c r="T4957" s="773" t="s">
        <v>132</v>
      </c>
      <c r="U4957" s="773">
        <v>311</v>
      </c>
      <c r="V4957" s="773">
        <v>2392</v>
      </c>
      <c r="W4957" s="773" t="s">
        <v>390</v>
      </c>
    </row>
    <row r="4958" spans="19:23">
      <c r="S4958" s="27">
        <v>44834</v>
      </c>
      <c r="T4958" s="773" t="s">
        <v>132</v>
      </c>
      <c r="U4958" s="773">
        <v>13</v>
      </c>
      <c r="V4958" s="773">
        <v>2568</v>
      </c>
      <c r="W4958" s="773" t="s">
        <v>390</v>
      </c>
    </row>
    <row r="4959" spans="19:23">
      <c r="S4959" s="27">
        <v>44469</v>
      </c>
      <c r="T4959" s="773" t="s">
        <v>132</v>
      </c>
      <c r="U4959" s="773">
        <v>309</v>
      </c>
      <c r="V4959" s="773">
        <v>22</v>
      </c>
      <c r="W4959" s="773" t="s">
        <v>410</v>
      </c>
    </row>
    <row r="4960" spans="19:23">
      <c r="S4960" s="27">
        <v>44834</v>
      </c>
      <c r="T4960" s="773" t="s">
        <v>132</v>
      </c>
      <c r="U4960" s="773">
        <v>740</v>
      </c>
      <c r="V4960" s="773">
        <v>3</v>
      </c>
      <c r="W4960" s="773" t="s">
        <v>410</v>
      </c>
    </row>
    <row r="4961" spans="19:23">
      <c r="S4961" s="27">
        <v>44834</v>
      </c>
      <c r="T4961" s="773" t="s">
        <v>132</v>
      </c>
      <c r="U4961" s="773">
        <v>232</v>
      </c>
      <c r="V4961" s="773">
        <v>2</v>
      </c>
      <c r="W4961" s="773" t="s">
        <v>410</v>
      </c>
    </row>
    <row r="4962" spans="19:23">
      <c r="S4962" s="27">
        <v>44469</v>
      </c>
      <c r="T4962" s="773" t="s">
        <v>132</v>
      </c>
      <c r="U4962" s="773">
        <v>704</v>
      </c>
      <c r="V4962" s="773">
        <v>2180</v>
      </c>
      <c r="W4962" s="773" t="s">
        <v>390</v>
      </c>
    </row>
    <row r="4963" spans="19:23">
      <c r="S4963" s="27">
        <v>44834</v>
      </c>
      <c r="T4963" s="773" t="s">
        <v>132</v>
      </c>
      <c r="U4963" s="773">
        <v>329</v>
      </c>
      <c r="V4963" s="773">
        <v>4087</v>
      </c>
      <c r="W4963" s="773" t="s">
        <v>390</v>
      </c>
    </row>
    <row r="4964" spans="19:23">
      <c r="S4964" s="27">
        <v>44469</v>
      </c>
      <c r="T4964" s="773" t="s">
        <v>132</v>
      </c>
      <c r="U4964" s="773">
        <v>323</v>
      </c>
      <c r="V4964" s="773">
        <v>2919</v>
      </c>
      <c r="W4964" s="773" t="s">
        <v>390</v>
      </c>
    </row>
    <row r="4965" spans="19:23">
      <c r="S4965" s="27">
        <v>44834</v>
      </c>
      <c r="T4965" s="773" t="s">
        <v>132</v>
      </c>
      <c r="U4965" s="773">
        <v>735</v>
      </c>
      <c r="V4965" s="773">
        <v>2604</v>
      </c>
      <c r="W4965" s="773" t="s">
        <v>390</v>
      </c>
    </row>
    <row r="4966" spans="19:23">
      <c r="S4966" s="27">
        <v>44834</v>
      </c>
      <c r="T4966" s="773" t="s">
        <v>132</v>
      </c>
      <c r="U4966" s="773">
        <v>81</v>
      </c>
      <c r="V4966" s="773">
        <v>7</v>
      </c>
      <c r="W4966" s="773" t="s">
        <v>410</v>
      </c>
    </row>
    <row r="4967" spans="19:23">
      <c r="S4967" s="27">
        <v>44469</v>
      </c>
      <c r="T4967" s="773" t="s">
        <v>132</v>
      </c>
      <c r="U4967" s="773">
        <v>674</v>
      </c>
      <c r="V4967" s="773">
        <v>3817</v>
      </c>
      <c r="W4967" s="773" t="s">
        <v>390</v>
      </c>
    </row>
    <row r="4968" spans="19:23">
      <c r="S4968" s="27">
        <v>44834</v>
      </c>
      <c r="T4968" s="773" t="s">
        <v>132</v>
      </c>
      <c r="U4968" s="773">
        <v>41</v>
      </c>
      <c r="V4968" s="773">
        <v>1</v>
      </c>
      <c r="W4968" s="773" t="s">
        <v>410</v>
      </c>
    </row>
    <row r="4969" spans="19:23">
      <c r="S4969" s="27">
        <v>44469</v>
      </c>
      <c r="T4969" s="773" t="s">
        <v>132</v>
      </c>
      <c r="U4969" s="773">
        <v>528</v>
      </c>
      <c r="V4969" s="773">
        <v>598</v>
      </c>
      <c r="W4969" s="773" t="s">
        <v>390</v>
      </c>
    </row>
    <row r="4970" spans="19:23">
      <c r="S4970" s="27">
        <v>44469</v>
      </c>
      <c r="T4970" s="773" t="s">
        <v>132</v>
      </c>
      <c r="U4970" s="773">
        <v>141</v>
      </c>
      <c r="V4970" s="773">
        <v>10</v>
      </c>
      <c r="W4970" s="773" t="s">
        <v>410</v>
      </c>
    </row>
    <row r="4971" spans="19:23">
      <c r="S4971" s="27">
        <v>44469</v>
      </c>
      <c r="T4971" s="773" t="s">
        <v>132</v>
      </c>
      <c r="U4971" s="773">
        <v>294</v>
      </c>
      <c r="V4971" s="773">
        <v>10</v>
      </c>
      <c r="W4971" s="773" t="s">
        <v>410</v>
      </c>
    </row>
    <row r="4972" spans="19:23">
      <c r="S4972" s="27">
        <v>44834</v>
      </c>
      <c r="T4972" s="773" t="s">
        <v>132</v>
      </c>
      <c r="U4972" s="773">
        <v>229</v>
      </c>
      <c r="V4972" s="773">
        <v>1</v>
      </c>
      <c r="W4972" s="773" t="s">
        <v>410</v>
      </c>
    </row>
    <row r="4973" spans="19:23">
      <c r="S4973" s="27">
        <v>44469</v>
      </c>
      <c r="T4973" s="773" t="s">
        <v>132</v>
      </c>
      <c r="U4973" s="773">
        <v>257</v>
      </c>
      <c r="V4973" s="773">
        <v>2593</v>
      </c>
      <c r="W4973" s="773" t="s">
        <v>390</v>
      </c>
    </row>
    <row r="4974" spans="19:23">
      <c r="S4974" s="27">
        <v>44834</v>
      </c>
      <c r="T4974" s="773" t="s">
        <v>132</v>
      </c>
      <c r="U4974" s="773">
        <v>103</v>
      </c>
      <c r="V4974" s="773">
        <v>3435</v>
      </c>
      <c r="W4974" s="773" t="s">
        <v>390</v>
      </c>
    </row>
    <row r="4975" spans="19:23">
      <c r="S4975" s="27">
        <v>44834</v>
      </c>
      <c r="T4975" s="773" t="s">
        <v>132</v>
      </c>
      <c r="U4975" s="773">
        <v>92</v>
      </c>
      <c r="V4975" s="773">
        <v>3066</v>
      </c>
      <c r="W4975" s="773" t="s">
        <v>390</v>
      </c>
    </row>
    <row r="4976" spans="19:23">
      <c r="S4976" s="27">
        <v>44834</v>
      </c>
      <c r="T4976" s="773" t="s">
        <v>132</v>
      </c>
      <c r="U4976" s="773">
        <v>327</v>
      </c>
      <c r="V4976" s="773">
        <v>2</v>
      </c>
      <c r="W4976" s="773" t="s">
        <v>410</v>
      </c>
    </row>
    <row r="4977" spans="19:23">
      <c r="S4977" s="27">
        <v>44834</v>
      </c>
      <c r="T4977" s="773" t="s">
        <v>132</v>
      </c>
      <c r="U4977" s="773">
        <v>528</v>
      </c>
      <c r="V4977" s="773">
        <v>33</v>
      </c>
      <c r="W4977" s="773" t="s">
        <v>410</v>
      </c>
    </row>
    <row r="4978" spans="19:23">
      <c r="S4978" s="27">
        <v>44469</v>
      </c>
      <c r="T4978" s="773" t="s">
        <v>132</v>
      </c>
      <c r="U4978" s="773">
        <v>320</v>
      </c>
      <c r="V4978" s="773">
        <v>1051</v>
      </c>
      <c r="W4978" s="773" t="s">
        <v>390</v>
      </c>
    </row>
    <row r="4979" spans="19:23">
      <c r="S4979" s="27">
        <v>44469</v>
      </c>
      <c r="T4979" s="773" t="s">
        <v>132</v>
      </c>
      <c r="U4979" s="773">
        <v>195</v>
      </c>
      <c r="V4979" s="773">
        <v>1</v>
      </c>
      <c r="W4979" s="773" t="s">
        <v>410</v>
      </c>
    </row>
    <row r="4980" spans="19:23">
      <c r="S4980" s="27">
        <v>44469</v>
      </c>
      <c r="T4980" s="773" t="s">
        <v>132</v>
      </c>
      <c r="U4980" s="773">
        <v>305</v>
      </c>
      <c r="V4980" s="773">
        <v>3813</v>
      </c>
      <c r="W4980" s="773" t="s">
        <v>390</v>
      </c>
    </row>
    <row r="4981" spans="19:23">
      <c r="S4981" s="27">
        <v>44834</v>
      </c>
      <c r="T4981" s="773" t="s">
        <v>132</v>
      </c>
      <c r="U4981" s="773">
        <v>672</v>
      </c>
      <c r="V4981" s="773">
        <v>2375</v>
      </c>
      <c r="W4981" s="773" t="s">
        <v>390</v>
      </c>
    </row>
    <row r="4982" spans="19:23">
      <c r="S4982" s="27">
        <v>44469</v>
      </c>
      <c r="T4982" s="773" t="s">
        <v>132</v>
      </c>
      <c r="U4982" s="773">
        <v>246</v>
      </c>
      <c r="V4982" s="773">
        <v>5</v>
      </c>
      <c r="W4982" s="773" t="s">
        <v>410</v>
      </c>
    </row>
    <row r="4983" spans="19:23">
      <c r="S4983" s="27">
        <v>44469</v>
      </c>
      <c r="T4983" s="773" t="s">
        <v>132</v>
      </c>
      <c r="U4983" s="773">
        <v>303</v>
      </c>
      <c r="V4983" s="773">
        <v>2495</v>
      </c>
      <c r="W4983" s="773" t="s">
        <v>390</v>
      </c>
    </row>
    <row r="4984" spans="19:23">
      <c r="S4984" s="27">
        <v>44469</v>
      </c>
      <c r="T4984" s="773" t="s">
        <v>132</v>
      </c>
      <c r="U4984" s="773">
        <v>239</v>
      </c>
      <c r="V4984" s="773">
        <v>3384</v>
      </c>
      <c r="W4984" s="773" t="s">
        <v>390</v>
      </c>
    </row>
    <row r="4985" spans="19:23">
      <c r="S4985" s="27">
        <v>44469</v>
      </c>
      <c r="T4985" s="773" t="s">
        <v>132</v>
      </c>
      <c r="U4985" s="773">
        <v>70</v>
      </c>
      <c r="V4985" s="773">
        <v>245</v>
      </c>
      <c r="W4985" s="773" t="s">
        <v>390</v>
      </c>
    </row>
    <row r="4986" spans="19:23">
      <c r="S4986" s="27">
        <v>44834</v>
      </c>
      <c r="T4986" s="773" t="s">
        <v>132</v>
      </c>
      <c r="U4986" s="773">
        <v>324</v>
      </c>
      <c r="V4986" s="773">
        <v>1720</v>
      </c>
      <c r="W4986" s="773" t="s">
        <v>390</v>
      </c>
    </row>
    <row r="4987" spans="19:23">
      <c r="S4987" s="27">
        <v>44469</v>
      </c>
      <c r="T4987" s="773" t="s">
        <v>132</v>
      </c>
      <c r="U4987" s="773">
        <v>114</v>
      </c>
      <c r="V4987" s="773">
        <v>1</v>
      </c>
      <c r="W4987" s="773" t="s">
        <v>410</v>
      </c>
    </row>
    <row r="4988" spans="19:23">
      <c r="S4988" s="27">
        <v>44834</v>
      </c>
      <c r="T4988" s="773" t="s">
        <v>132</v>
      </c>
      <c r="U4988" s="773">
        <v>233</v>
      </c>
      <c r="V4988" s="773">
        <v>2948</v>
      </c>
      <c r="W4988" s="773" t="s">
        <v>390</v>
      </c>
    </row>
    <row r="4989" spans="19:23">
      <c r="S4989" s="27">
        <v>44469</v>
      </c>
      <c r="T4989" s="773" t="s">
        <v>132</v>
      </c>
      <c r="U4989" s="773">
        <v>290</v>
      </c>
      <c r="V4989" s="773">
        <v>2370</v>
      </c>
      <c r="W4989" s="773" t="s">
        <v>390</v>
      </c>
    </row>
    <row r="4990" spans="19:23">
      <c r="S4990" s="27">
        <v>44834</v>
      </c>
      <c r="T4990" s="773" t="s">
        <v>132</v>
      </c>
      <c r="U4990" s="773">
        <v>665</v>
      </c>
      <c r="V4990" s="773">
        <v>3427</v>
      </c>
      <c r="W4990" s="773" t="s">
        <v>390</v>
      </c>
    </row>
    <row r="4991" spans="19:23">
      <c r="S4991" s="27">
        <v>44834</v>
      </c>
      <c r="T4991" s="773" t="s">
        <v>132</v>
      </c>
      <c r="U4991" s="773">
        <v>169</v>
      </c>
      <c r="V4991" s="773">
        <v>3189</v>
      </c>
      <c r="W4991" s="773" t="s">
        <v>390</v>
      </c>
    </row>
    <row r="4992" spans="19:23">
      <c r="S4992" s="27">
        <v>44834</v>
      </c>
      <c r="T4992" s="773" t="s">
        <v>132</v>
      </c>
      <c r="U4992" s="773">
        <v>696</v>
      </c>
      <c r="V4992" s="773">
        <v>2091</v>
      </c>
      <c r="W4992" s="773" t="s">
        <v>390</v>
      </c>
    </row>
    <row r="4993" spans="19:23">
      <c r="S4993" s="27">
        <v>44469</v>
      </c>
      <c r="T4993" s="773" t="s">
        <v>132</v>
      </c>
      <c r="U4993" s="773">
        <v>626</v>
      </c>
      <c r="V4993" s="773">
        <v>5</v>
      </c>
      <c r="W4993" s="773" t="s">
        <v>410</v>
      </c>
    </row>
    <row r="4994" spans="19:23">
      <c r="S4994" s="27">
        <v>44469</v>
      </c>
      <c r="T4994" s="773" t="s">
        <v>132</v>
      </c>
      <c r="U4994" s="773">
        <v>39</v>
      </c>
      <c r="V4994" s="773">
        <v>1</v>
      </c>
      <c r="W4994" s="773" t="s">
        <v>410</v>
      </c>
    </row>
    <row r="4995" spans="19:23">
      <c r="S4995" s="27">
        <v>44469</v>
      </c>
      <c r="T4995" s="773" t="s">
        <v>132</v>
      </c>
      <c r="U4995" s="773">
        <v>212</v>
      </c>
      <c r="V4995" s="773">
        <v>3426</v>
      </c>
      <c r="W4995" s="773" t="s">
        <v>390</v>
      </c>
    </row>
    <row r="4996" spans="19:23">
      <c r="S4996" s="27">
        <v>44834</v>
      </c>
      <c r="T4996" s="773" t="s">
        <v>132</v>
      </c>
      <c r="U4996" s="773">
        <v>183</v>
      </c>
      <c r="V4996" s="773">
        <v>602</v>
      </c>
      <c r="W4996" s="773" t="s">
        <v>390</v>
      </c>
    </row>
    <row r="4997" spans="19:23">
      <c r="S4997" s="27">
        <v>44834</v>
      </c>
      <c r="T4997" s="773" t="s">
        <v>132</v>
      </c>
      <c r="U4997" s="773">
        <v>93</v>
      </c>
      <c r="V4997" s="773">
        <v>3042</v>
      </c>
      <c r="W4997" s="773" t="s">
        <v>390</v>
      </c>
    </row>
    <row r="4998" spans="19:23">
      <c r="S4998" s="27">
        <v>44834</v>
      </c>
      <c r="T4998" s="773" t="s">
        <v>132</v>
      </c>
      <c r="U4998" s="773">
        <v>158</v>
      </c>
      <c r="V4998" s="773">
        <v>126</v>
      </c>
      <c r="W4998" s="773" t="s">
        <v>390</v>
      </c>
    </row>
    <row r="4999" spans="19:23">
      <c r="S4999" s="27">
        <v>44469</v>
      </c>
      <c r="T4999" s="773" t="s">
        <v>132</v>
      </c>
      <c r="U4999" s="773">
        <v>267</v>
      </c>
      <c r="V4999" s="773">
        <v>1</v>
      </c>
      <c r="W4999" s="773" t="s">
        <v>410</v>
      </c>
    </row>
    <row r="5000" spans="19:23">
      <c r="S5000" s="27">
        <v>44469</v>
      </c>
      <c r="T5000" s="773" t="s">
        <v>132</v>
      </c>
      <c r="U5000" s="773">
        <v>691</v>
      </c>
      <c r="V5000" s="773">
        <v>2415</v>
      </c>
      <c r="W5000" s="773" t="s">
        <v>390</v>
      </c>
    </row>
    <row r="5001" spans="19:23">
      <c r="S5001" s="27">
        <v>44834</v>
      </c>
      <c r="T5001" s="773" t="s">
        <v>132</v>
      </c>
      <c r="U5001" s="773">
        <v>130</v>
      </c>
      <c r="V5001" s="773">
        <v>1</v>
      </c>
      <c r="W5001" s="773" t="s">
        <v>410</v>
      </c>
    </row>
    <row r="5002" spans="19:23">
      <c r="S5002" s="27">
        <v>44834</v>
      </c>
      <c r="T5002" s="773" t="s">
        <v>132</v>
      </c>
      <c r="U5002" s="773">
        <v>161</v>
      </c>
      <c r="V5002" s="773">
        <v>1</v>
      </c>
      <c r="W5002" s="773" t="s">
        <v>410</v>
      </c>
    </row>
    <row r="5003" spans="19:23">
      <c r="S5003" s="27">
        <v>44469</v>
      </c>
      <c r="T5003" s="773" t="s">
        <v>132</v>
      </c>
      <c r="U5003" s="773">
        <v>678</v>
      </c>
      <c r="V5003" s="773">
        <v>2776</v>
      </c>
      <c r="W5003" s="773" t="s">
        <v>390</v>
      </c>
    </row>
    <row r="5004" spans="19:23">
      <c r="S5004" s="27">
        <v>44834</v>
      </c>
      <c r="T5004" s="773" t="s">
        <v>132</v>
      </c>
      <c r="U5004" s="773">
        <v>216</v>
      </c>
      <c r="V5004" s="773">
        <v>2413</v>
      </c>
      <c r="W5004" s="773" t="s">
        <v>390</v>
      </c>
    </row>
    <row r="5005" spans="19:23">
      <c r="S5005" s="27">
        <v>44834</v>
      </c>
      <c r="T5005" s="773" t="s">
        <v>132</v>
      </c>
      <c r="U5005" s="773">
        <v>173</v>
      </c>
      <c r="V5005" s="773">
        <v>7</v>
      </c>
      <c r="W5005" s="773" t="s">
        <v>410</v>
      </c>
    </row>
    <row r="5006" spans="19:23">
      <c r="S5006" s="27">
        <v>44834</v>
      </c>
      <c r="T5006" s="773" t="s">
        <v>132</v>
      </c>
      <c r="U5006" s="773">
        <v>311</v>
      </c>
      <c r="V5006" s="773">
        <v>2507</v>
      </c>
      <c r="W5006" s="773" t="s">
        <v>390</v>
      </c>
    </row>
    <row r="5007" spans="19:23">
      <c r="S5007" s="27">
        <v>44834</v>
      </c>
      <c r="T5007" s="773" t="s">
        <v>132</v>
      </c>
      <c r="U5007" s="773">
        <v>218</v>
      </c>
      <c r="V5007" s="773">
        <v>139</v>
      </c>
      <c r="W5007" s="773" t="s">
        <v>390</v>
      </c>
    </row>
    <row r="5008" spans="19:23">
      <c r="S5008" s="27">
        <v>44834</v>
      </c>
      <c r="T5008" s="773" t="s">
        <v>132</v>
      </c>
      <c r="U5008" s="773">
        <v>52</v>
      </c>
      <c r="V5008" s="773">
        <v>8</v>
      </c>
      <c r="W5008" s="773" t="s">
        <v>410</v>
      </c>
    </row>
    <row r="5009" spans="19:23">
      <c r="S5009" s="27">
        <v>44834</v>
      </c>
      <c r="T5009" s="773" t="s">
        <v>132</v>
      </c>
      <c r="U5009" s="773">
        <v>262</v>
      </c>
      <c r="V5009" s="773">
        <v>49</v>
      </c>
      <c r="W5009" s="773" t="s">
        <v>410</v>
      </c>
    </row>
    <row r="5010" spans="19:23">
      <c r="S5010" s="27">
        <v>44834</v>
      </c>
      <c r="T5010" s="773" t="s">
        <v>132</v>
      </c>
      <c r="U5010" s="773">
        <v>202</v>
      </c>
      <c r="V5010" s="773">
        <v>1</v>
      </c>
      <c r="W5010" s="773" t="s">
        <v>410</v>
      </c>
    </row>
    <row r="5011" spans="19:23">
      <c r="S5011" s="27">
        <v>44834</v>
      </c>
      <c r="T5011" s="773" t="s">
        <v>132</v>
      </c>
      <c r="U5011" s="773">
        <v>44</v>
      </c>
      <c r="V5011" s="773">
        <v>2184</v>
      </c>
      <c r="W5011" s="773" t="s">
        <v>390</v>
      </c>
    </row>
    <row r="5012" spans="19:23">
      <c r="S5012" s="27">
        <v>44834</v>
      </c>
      <c r="T5012" s="773" t="s">
        <v>132</v>
      </c>
      <c r="U5012" s="773">
        <v>105</v>
      </c>
      <c r="V5012" s="773">
        <v>2</v>
      </c>
      <c r="W5012" s="773" t="s">
        <v>410</v>
      </c>
    </row>
    <row r="5013" spans="19:23">
      <c r="S5013" s="27">
        <v>44469</v>
      </c>
      <c r="T5013" s="773" t="s">
        <v>132</v>
      </c>
      <c r="U5013" s="773">
        <v>81</v>
      </c>
      <c r="V5013" s="773">
        <v>3</v>
      </c>
      <c r="W5013" s="773" t="s">
        <v>410</v>
      </c>
    </row>
    <row r="5014" spans="19:23">
      <c r="S5014" s="27">
        <v>44469</v>
      </c>
      <c r="T5014" s="773" t="s">
        <v>132</v>
      </c>
      <c r="U5014" s="773">
        <v>215</v>
      </c>
      <c r="V5014" s="773">
        <v>679</v>
      </c>
      <c r="W5014" s="773" t="s">
        <v>390</v>
      </c>
    </row>
    <row r="5015" spans="19:23">
      <c r="S5015" s="27">
        <v>44469</v>
      </c>
      <c r="T5015" s="773" t="s">
        <v>132</v>
      </c>
      <c r="U5015" s="773">
        <v>202</v>
      </c>
      <c r="V5015" s="773">
        <v>1</v>
      </c>
      <c r="W5015" s="773" t="s">
        <v>410</v>
      </c>
    </row>
    <row r="5016" spans="19:23">
      <c r="S5016" s="27">
        <v>44469</v>
      </c>
      <c r="T5016" s="773" t="s">
        <v>132</v>
      </c>
      <c r="U5016" s="773">
        <v>667</v>
      </c>
      <c r="V5016" s="773">
        <v>1</v>
      </c>
      <c r="W5016" s="773" t="s">
        <v>410</v>
      </c>
    </row>
    <row r="5017" spans="19:23">
      <c r="S5017" s="27">
        <v>44469</v>
      </c>
      <c r="T5017" s="773" t="s">
        <v>132</v>
      </c>
      <c r="U5017" s="773">
        <v>92</v>
      </c>
      <c r="V5017" s="773">
        <v>2616</v>
      </c>
      <c r="W5017" s="773" t="s">
        <v>390</v>
      </c>
    </row>
    <row r="5018" spans="19:23">
      <c r="S5018" s="27">
        <v>44469</v>
      </c>
      <c r="T5018" s="773" t="s">
        <v>132</v>
      </c>
      <c r="U5018" s="773">
        <v>132</v>
      </c>
      <c r="V5018" s="773">
        <v>2919</v>
      </c>
      <c r="W5018" s="773" t="s">
        <v>390</v>
      </c>
    </row>
    <row r="5019" spans="19:23">
      <c r="S5019" s="27">
        <v>44469</v>
      </c>
      <c r="T5019" s="773" t="s">
        <v>132</v>
      </c>
      <c r="U5019" s="773">
        <v>681</v>
      </c>
      <c r="V5019" s="773">
        <v>854</v>
      </c>
      <c r="W5019" s="773" t="s">
        <v>390</v>
      </c>
    </row>
    <row r="5020" spans="19:23">
      <c r="S5020" s="27">
        <v>44469</v>
      </c>
      <c r="T5020" s="773" t="s">
        <v>132</v>
      </c>
      <c r="U5020" s="773">
        <v>220</v>
      </c>
      <c r="V5020" s="773">
        <v>183</v>
      </c>
      <c r="W5020" s="773" t="s">
        <v>390</v>
      </c>
    </row>
    <row r="5021" spans="19:23">
      <c r="S5021" s="27">
        <v>44469</v>
      </c>
      <c r="T5021" s="773" t="s">
        <v>132</v>
      </c>
      <c r="U5021" s="773">
        <v>291</v>
      </c>
      <c r="V5021" s="773">
        <v>2066</v>
      </c>
      <c r="W5021" s="773" t="s">
        <v>390</v>
      </c>
    </row>
    <row r="5022" spans="19:23">
      <c r="S5022" s="27">
        <v>44469</v>
      </c>
      <c r="T5022" s="773" t="s">
        <v>132</v>
      </c>
      <c r="U5022" s="773">
        <v>658</v>
      </c>
      <c r="V5022" s="773">
        <v>3021</v>
      </c>
      <c r="W5022" s="773" t="s">
        <v>390</v>
      </c>
    </row>
    <row r="5023" spans="19:23">
      <c r="S5023" s="27">
        <v>44469</v>
      </c>
      <c r="T5023" s="773" t="s">
        <v>132</v>
      </c>
      <c r="U5023" s="773">
        <v>251</v>
      </c>
      <c r="V5023" s="773">
        <v>2499</v>
      </c>
      <c r="W5023" s="773" t="s">
        <v>390</v>
      </c>
    </row>
    <row r="5024" spans="19:23">
      <c r="S5024" s="27">
        <v>44469</v>
      </c>
      <c r="T5024" s="773" t="s">
        <v>132</v>
      </c>
      <c r="U5024" s="773">
        <v>120</v>
      </c>
      <c r="V5024" s="773">
        <v>3</v>
      </c>
      <c r="W5024" s="773" t="s">
        <v>410</v>
      </c>
    </row>
    <row r="5025" spans="19:23">
      <c r="S5025" s="27">
        <v>44469</v>
      </c>
      <c r="T5025" s="773" t="s">
        <v>132</v>
      </c>
      <c r="U5025" s="773">
        <v>191</v>
      </c>
      <c r="V5025" s="773">
        <v>1890</v>
      </c>
      <c r="W5025" s="773" t="s">
        <v>390</v>
      </c>
    </row>
    <row r="5026" spans="19:23">
      <c r="S5026" s="27">
        <v>44834</v>
      </c>
      <c r="T5026" s="773" t="s">
        <v>132</v>
      </c>
      <c r="U5026" s="773">
        <v>699</v>
      </c>
      <c r="V5026" s="773">
        <v>2212</v>
      </c>
      <c r="W5026" s="773" t="s">
        <v>390</v>
      </c>
    </row>
    <row r="5027" spans="19:23">
      <c r="S5027" s="27">
        <v>44469</v>
      </c>
      <c r="T5027" s="773" t="s">
        <v>132</v>
      </c>
      <c r="U5027" s="773">
        <v>669</v>
      </c>
      <c r="V5027" s="773">
        <v>2594</v>
      </c>
      <c r="W5027" s="773" t="s">
        <v>390</v>
      </c>
    </row>
    <row r="5028" spans="19:23">
      <c r="S5028" s="27">
        <v>44834</v>
      </c>
      <c r="T5028" s="773" t="s">
        <v>132</v>
      </c>
      <c r="U5028" s="773">
        <v>318</v>
      </c>
      <c r="V5028" s="773">
        <v>2446</v>
      </c>
      <c r="W5028" s="773" t="s">
        <v>390</v>
      </c>
    </row>
    <row r="5029" spans="19:23">
      <c r="S5029" s="27">
        <v>44834</v>
      </c>
      <c r="T5029" s="773" t="s">
        <v>132</v>
      </c>
      <c r="U5029" s="773">
        <v>72</v>
      </c>
      <c r="V5029" s="773">
        <v>7</v>
      </c>
      <c r="W5029" s="773" t="s">
        <v>410</v>
      </c>
    </row>
    <row r="5030" spans="19:23">
      <c r="S5030" s="27">
        <v>44469</v>
      </c>
      <c r="T5030" s="773" t="s">
        <v>132</v>
      </c>
      <c r="U5030" s="773">
        <v>701</v>
      </c>
      <c r="V5030" s="773">
        <v>2129</v>
      </c>
      <c r="W5030" s="773" t="s">
        <v>390</v>
      </c>
    </row>
    <row r="5031" spans="19:23">
      <c r="S5031" s="27">
        <v>44469</v>
      </c>
      <c r="T5031" s="773" t="s">
        <v>132</v>
      </c>
      <c r="U5031" s="773">
        <v>324</v>
      </c>
      <c r="V5031" s="773">
        <v>253</v>
      </c>
      <c r="W5031" s="773" t="s">
        <v>390</v>
      </c>
    </row>
    <row r="5032" spans="19:23">
      <c r="S5032" s="27">
        <v>44834</v>
      </c>
      <c r="T5032" s="773" t="s">
        <v>132</v>
      </c>
      <c r="U5032" s="773">
        <v>133</v>
      </c>
      <c r="V5032" s="773">
        <v>4</v>
      </c>
      <c r="W5032" s="773" t="s">
        <v>410</v>
      </c>
    </row>
    <row r="5033" spans="19:23">
      <c r="S5033" s="27">
        <v>44834</v>
      </c>
      <c r="T5033" s="773" t="s">
        <v>132</v>
      </c>
      <c r="U5033" s="773">
        <v>292</v>
      </c>
      <c r="V5033" s="773">
        <v>4</v>
      </c>
      <c r="W5033" s="773" t="s">
        <v>410</v>
      </c>
    </row>
    <row r="5034" spans="19:23">
      <c r="S5034" s="27">
        <v>44834</v>
      </c>
      <c r="T5034" s="773" t="s">
        <v>132</v>
      </c>
      <c r="U5034" s="773">
        <v>265</v>
      </c>
      <c r="V5034" s="773">
        <v>20</v>
      </c>
      <c r="W5034" s="773" t="s">
        <v>410</v>
      </c>
    </row>
    <row r="5035" spans="19:23">
      <c r="S5035" s="27">
        <v>44469</v>
      </c>
      <c r="T5035" s="773" t="s">
        <v>132</v>
      </c>
      <c r="U5035" s="773">
        <v>103</v>
      </c>
      <c r="V5035" s="773">
        <v>3413</v>
      </c>
      <c r="W5035" s="773" t="s">
        <v>390</v>
      </c>
    </row>
    <row r="5036" spans="19:23">
      <c r="S5036" s="27">
        <v>44469</v>
      </c>
      <c r="T5036" s="773" t="s">
        <v>132</v>
      </c>
      <c r="U5036" s="773">
        <v>183</v>
      </c>
      <c r="V5036" s="773">
        <v>2286</v>
      </c>
      <c r="W5036" s="773" t="s">
        <v>390</v>
      </c>
    </row>
    <row r="5037" spans="19:23">
      <c r="S5037" s="27">
        <v>44834</v>
      </c>
      <c r="T5037" s="773" t="s">
        <v>132</v>
      </c>
      <c r="U5037" s="773">
        <v>662</v>
      </c>
      <c r="V5037" s="773">
        <v>677</v>
      </c>
      <c r="W5037" s="773" t="s">
        <v>390</v>
      </c>
    </row>
    <row r="5038" spans="19:23">
      <c r="S5038" s="27">
        <v>44469</v>
      </c>
      <c r="T5038" s="773" t="s">
        <v>132</v>
      </c>
      <c r="U5038" s="773">
        <v>213</v>
      </c>
      <c r="V5038" s="773">
        <v>2842</v>
      </c>
      <c r="W5038" s="773" t="s">
        <v>390</v>
      </c>
    </row>
    <row r="5039" spans="19:23">
      <c r="S5039" s="27">
        <v>44469</v>
      </c>
      <c r="T5039" s="773" t="s">
        <v>132</v>
      </c>
      <c r="U5039" s="773">
        <v>621</v>
      </c>
      <c r="V5039" s="773">
        <v>2457</v>
      </c>
      <c r="W5039" s="773" t="s">
        <v>390</v>
      </c>
    </row>
    <row r="5040" spans="19:23">
      <c r="S5040" s="27">
        <v>44469</v>
      </c>
      <c r="T5040" s="773" t="s">
        <v>132</v>
      </c>
      <c r="U5040" s="773">
        <v>264</v>
      </c>
      <c r="V5040" s="773">
        <v>918</v>
      </c>
      <c r="W5040" s="773" t="s">
        <v>390</v>
      </c>
    </row>
    <row r="5041" spans="19:23">
      <c r="S5041" s="27">
        <v>44469</v>
      </c>
      <c r="T5041" s="773" t="s">
        <v>132</v>
      </c>
      <c r="U5041" s="773">
        <v>56</v>
      </c>
      <c r="V5041" s="773">
        <v>44</v>
      </c>
      <c r="W5041" s="773" t="s">
        <v>410</v>
      </c>
    </row>
    <row r="5042" spans="19:23">
      <c r="S5042" s="27">
        <v>44834</v>
      </c>
      <c r="T5042" s="773" t="s">
        <v>132</v>
      </c>
      <c r="U5042" s="773">
        <v>40</v>
      </c>
      <c r="V5042" s="773">
        <v>12</v>
      </c>
      <c r="W5042" s="773" t="s">
        <v>410</v>
      </c>
    </row>
    <row r="5043" spans="19:23">
      <c r="S5043" s="27">
        <v>44469</v>
      </c>
      <c r="T5043" s="773" t="s">
        <v>132</v>
      </c>
      <c r="U5043" s="773">
        <v>645</v>
      </c>
      <c r="V5043" s="773">
        <v>2706</v>
      </c>
      <c r="W5043" s="773" t="s">
        <v>390</v>
      </c>
    </row>
    <row r="5044" spans="19:23">
      <c r="S5044" s="27">
        <v>44834</v>
      </c>
      <c r="T5044" s="773" t="s">
        <v>132</v>
      </c>
      <c r="U5044" s="773">
        <v>276</v>
      </c>
      <c r="V5044" s="773">
        <v>1</v>
      </c>
      <c r="W5044" s="773" t="s">
        <v>410</v>
      </c>
    </row>
    <row r="5045" spans="19:23">
      <c r="S5045" s="27">
        <v>44469</v>
      </c>
      <c r="T5045" s="773" t="s">
        <v>132</v>
      </c>
      <c r="U5045" s="773">
        <v>136</v>
      </c>
      <c r="V5045" s="773">
        <v>92</v>
      </c>
      <c r="W5045" s="773" t="s">
        <v>410</v>
      </c>
    </row>
    <row r="5046" spans="19:23">
      <c r="S5046" s="27">
        <v>44834</v>
      </c>
      <c r="T5046" s="773" t="s">
        <v>132</v>
      </c>
      <c r="U5046" s="773">
        <v>155</v>
      </c>
      <c r="V5046" s="773">
        <v>2621</v>
      </c>
      <c r="W5046" s="773" t="s">
        <v>390</v>
      </c>
    </row>
    <row r="5047" spans="19:23">
      <c r="S5047" s="27">
        <v>44834</v>
      </c>
      <c r="T5047" s="773" t="s">
        <v>132</v>
      </c>
      <c r="U5047" s="773">
        <v>723</v>
      </c>
      <c r="V5047" s="773">
        <v>168</v>
      </c>
      <c r="W5047" s="773" t="s">
        <v>390</v>
      </c>
    </row>
    <row r="5048" spans="19:23">
      <c r="S5048" s="27">
        <v>44469</v>
      </c>
      <c r="T5048" s="773" t="s">
        <v>132</v>
      </c>
      <c r="U5048" s="773">
        <v>76</v>
      </c>
      <c r="V5048" s="773">
        <v>2934</v>
      </c>
      <c r="W5048" s="773" t="s">
        <v>390</v>
      </c>
    </row>
    <row r="5049" spans="19:23">
      <c r="S5049" s="27">
        <v>44834</v>
      </c>
      <c r="T5049" s="773" t="s">
        <v>132</v>
      </c>
      <c r="U5049" s="773">
        <v>728</v>
      </c>
      <c r="V5049" s="773">
        <v>21</v>
      </c>
      <c r="W5049" s="773" t="s">
        <v>410</v>
      </c>
    </row>
    <row r="5050" spans="19:23">
      <c r="S5050" s="27">
        <v>44834</v>
      </c>
      <c r="T5050" s="773" t="s">
        <v>132</v>
      </c>
      <c r="U5050" s="773">
        <v>315</v>
      </c>
      <c r="V5050" s="773">
        <v>1925</v>
      </c>
      <c r="W5050" s="773" t="s">
        <v>390</v>
      </c>
    </row>
    <row r="5051" spans="19:23">
      <c r="S5051" s="27">
        <v>44834</v>
      </c>
      <c r="T5051" s="773" t="s">
        <v>132</v>
      </c>
      <c r="U5051" s="773">
        <v>325</v>
      </c>
      <c r="V5051" s="773">
        <v>2042</v>
      </c>
      <c r="W5051" s="773" t="s">
        <v>390</v>
      </c>
    </row>
    <row r="5052" spans="19:23">
      <c r="S5052" s="27">
        <v>44834</v>
      </c>
      <c r="T5052" s="773" t="s">
        <v>132</v>
      </c>
      <c r="U5052" s="773">
        <v>200</v>
      </c>
      <c r="V5052" s="773">
        <v>1</v>
      </c>
      <c r="W5052" s="773" t="s">
        <v>410</v>
      </c>
    </row>
    <row r="5053" spans="19:23">
      <c r="S5053" s="27">
        <v>44834</v>
      </c>
      <c r="T5053" s="773" t="s">
        <v>132</v>
      </c>
      <c r="U5053" s="773">
        <v>722</v>
      </c>
      <c r="V5053" s="773">
        <v>1</v>
      </c>
      <c r="W5053" s="773" t="s">
        <v>410</v>
      </c>
    </row>
    <row r="5054" spans="19:23">
      <c r="S5054" s="27">
        <v>44834</v>
      </c>
      <c r="T5054" s="773" t="s">
        <v>132</v>
      </c>
      <c r="U5054" s="773">
        <v>251</v>
      </c>
      <c r="V5054" s="773">
        <v>1938</v>
      </c>
      <c r="W5054" s="773" t="s">
        <v>390</v>
      </c>
    </row>
    <row r="5055" spans="19:23">
      <c r="S5055" s="27">
        <v>44469</v>
      </c>
      <c r="T5055" s="773" t="s">
        <v>132</v>
      </c>
      <c r="U5055" s="773">
        <v>686</v>
      </c>
      <c r="V5055" s="773">
        <v>2427</v>
      </c>
      <c r="W5055" s="773" t="s">
        <v>390</v>
      </c>
    </row>
    <row r="5056" spans="19:23">
      <c r="S5056" s="27">
        <v>44834</v>
      </c>
      <c r="T5056" s="773" t="s">
        <v>132</v>
      </c>
      <c r="U5056" s="773">
        <v>704</v>
      </c>
      <c r="V5056" s="773">
        <v>3421</v>
      </c>
      <c r="W5056" s="773" t="s">
        <v>390</v>
      </c>
    </row>
    <row r="5057" spans="19:23">
      <c r="S5057" s="27">
        <v>44834</v>
      </c>
      <c r="T5057" s="773" t="s">
        <v>132</v>
      </c>
      <c r="U5057" s="773">
        <v>203</v>
      </c>
      <c r="V5057" s="773">
        <v>2668</v>
      </c>
      <c r="W5057" s="773" t="s">
        <v>390</v>
      </c>
    </row>
    <row r="5058" spans="19:23">
      <c r="S5058" s="27">
        <v>44834</v>
      </c>
      <c r="T5058" s="773" t="s">
        <v>132</v>
      </c>
      <c r="U5058" s="773">
        <v>78</v>
      </c>
      <c r="V5058" s="773">
        <v>5</v>
      </c>
      <c r="W5058" s="773" t="s">
        <v>410</v>
      </c>
    </row>
    <row r="5059" spans="19:23">
      <c r="S5059" s="27">
        <v>44469</v>
      </c>
      <c r="T5059" s="773" t="s">
        <v>132</v>
      </c>
      <c r="U5059" s="773">
        <v>203</v>
      </c>
      <c r="V5059" s="773">
        <v>3207</v>
      </c>
      <c r="W5059" s="773" t="s">
        <v>390</v>
      </c>
    </row>
    <row r="5060" spans="19:23">
      <c r="S5060" s="27">
        <v>44469</v>
      </c>
      <c r="T5060" s="773" t="s">
        <v>132</v>
      </c>
      <c r="U5060" s="773">
        <v>999</v>
      </c>
      <c r="V5060" s="773">
        <v>1</v>
      </c>
      <c r="W5060" s="773" t="s">
        <v>410</v>
      </c>
    </row>
    <row r="5061" spans="19:23">
      <c r="S5061" s="27">
        <v>44469</v>
      </c>
      <c r="T5061" s="773" t="s">
        <v>132</v>
      </c>
      <c r="U5061" s="773">
        <v>292</v>
      </c>
      <c r="V5061" s="773">
        <v>7</v>
      </c>
      <c r="W5061" s="773" t="s">
        <v>410</v>
      </c>
    </row>
    <row r="5062" spans="19:23">
      <c r="S5062" s="27">
        <v>44469</v>
      </c>
      <c r="T5062" s="773" t="s">
        <v>132</v>
      </c>
      <c r="U5062" s="773">
        <v>204</v>
      </c>
      <c r="V5062" s="773">
        <v>24</v>
      </c>
      <c r="W5062" s="773" t="s">
        <v>410</v>
      </c>
    </row>
    <row r="5063" spans="19:23">
      <c r="S5063" s="27">
        <v>44834</v>
      </c>
      <c r="T5063" s="773" t="s">
        <v>132</v>
      </c>
      <c r="U5063" s="773">
        <v>247</v>
      </c>
      <c r="V5063" s="773">
        <v>2717</v>
      </c>
      <c r="W5063" s="773" t="s">
        <v>390</v>
      </c>
    </row>
    <row r="5064" spans="19:23">
      <c r="S5064" s="27">
        <v>44834</v>
      </c>
      <c r="T5064" s="773" t="s">
        <v>132</v>
      </c>
      <c r="U5064" s="773">
        <v>77</v>
      </c>
      <c r="V5064" s="773">
        <v>3536</v>
      </c>
      <c r="W5064" s="773" t="s">
        <v>390</v>
      </c>
    </row>
    <row r="5065" spans="19:23">
      <c r="S5065" s="27">
        <v>44469</v>
      </c>
      <c r="T5065" s="773" t="s">
        <v>132</v>
      </c>
      <c r="U5065" s="773">
        <v>684</v>
      </c>
      <c r="V5065" s="773">
        <v>2659</v>
      </c>
      <c r="W5065" s="773" t="s">
        <v>390</v>
      </c>
    </row>
    <row r="5066" spans="19:23">
      <c r="S5066" s="27">
        <v>44469</v>
      </c>
      <c r="T5066" s="773" t="s">
        <v>132</v>
      </c>
      <c r="U5066" s="773">
        <v>110</v>
      </c>
      <c r="V5066" s="773">
        <v>1</v>
      </c>
      <c r="W5066" s="773" t="s">
        <v>410</v>
      </c>
    </row>
    <row r="5067" spans="19:23">
      <c r="S5067" s="27">
        <v>44834</v>
      </c>
      <c r="T5067" s="773" t="s">
        <v>132</v>
      </c>
      <c r="U5067" s="773">
        <v>212</v>
      </c>
      <c r="V5067" s="773">
        <v>3569</v>
      </c>
      <c r="W5067" s="773" t="s">
        <v>390</v>
      </c>
    </row>
    <row r="5068" spans="19:23">
      <c r="S5068" s="27">
        <v>44834</v>
      </c>
      <c r="T5068" s="773" t="s">
        <v>132</v>
      </c>
      <c r="U5068" s="773">
        <v>48</v>
      </c>
      <c r="V5068" s="773">
        <v>658</v>
      </c>
      <c r="W5068" s="773" t="s">
        <v>390</v>
      </c>
    </row>
    <row r="5069" spans="19:23">
      <c r="S5069" s="27">
        <v>44469</v>
      </c>
      <c r="T5069" s="773" t="s">
        <v>132</v>
      </c>
      <c r="U5069" s="773">
        <v>11</v>
      </c>
      <c r="V5069" s="773">
        <v>27</v>
      </c>
      <c r="W5069" s="773" t="s">
        <v>410</v>
      </c>
    </row>
    <row r="5070" spans="19:23">
      <c r="S5070" s="27">
        <v>44469</v>
      </c>
      <c r="T5070" s="773" t="s">
        <v>132</v>
      </c>
      <c r="U5070" s="773">
        <v>200</v>
      </c>
      <c r="V5070" s="773">
        <v>4</v>
      </c>
      <c r="W5070" s="773" t="s">
        <v>410</v>
      </c>
    </row>
    <row r="5071" spans="19:23">
      <c r="S5071" s="27">
        <v>44834</v>
      </c>
      <c r="T5071" s="773" t="s">
        <v>132</v>
      </c>
      <c r="U5071" s="773">
        <v>257</v>
      </c>
      <c r="V5071" s="773">
        <v>3116</v>
      </c>
      <c r="W5071" s="773" t="s">
        <v>390</v>
      </c>
    </row>
    <row r="5072" spans="19:23">
      <c r="S5072" s="27">
        <v>44469</v>
      </c>
      <c r="T5072" s="773" t="s">
        <v>132</v>
      </c>
      <c r="U5072" s="773">
        <v>193</v>
      </c>
      <c r="V5072" s="773">
        <v>409</v>
      </c>
      <c r="W5072" s="773" t="s">
        <v>390</v>
      </c>
    </row>
    <row r="5073" spans="19:23">
      <c r="S5073" s="27">
        <v>44834</v>
      </c>
      <c r="T5073" s="773" t="s">
        <v>132</v>
      </c>
      <c r="U5073" s="773">
        <v>323</v>
      </c>
      <c r="V5073" s="773">
        <v>3179</v>
      </c>
      <c r="W5073" s="773" t="s">
        <v>390</v>
      </c>
    </row>
    <row r="5074" spans="19:23">
      <c r="S5074" s="27">
        <v>44469</v>
      </c>
      <c r="T5074" s="773" t="s">
        <v>132</v>
      </c>
      <c r="U5074" s="773">
        <v>672</v>
      </c>
      <c r="V5074" s="773">
        <v>2389</v>
      </c>
      <c r="W5074" s="773" t="s">
        <v>390</v>
      </c>
    </row>
    <row r="5075" spans="19:23">
      <c r="S5075" s="27">
        <v>44834</v>
      </c>
      <c r="T5075" s="773" t="s">
        <v>132</v>
      </c>
      <c r="U5075" s="773">
        <v>73</v>
      </c>
      <c r="V5075" s="773">
        <v>2</v>
      </c>
      <c r="W5075" s="773" t="s">
        <v>410</v>
      </c>
    </row>
    <row r="5076" spans="19:23">
      <c r="S5076" s="27">
        <v>44469</v>
      </c>
      <c r="T5076" s="773" t="s">
        <v>132</v>
      </c>
      <c r="U5076" s="773">
        <v>0</v>
      </c>
      <c r="V5076" s="773">
        <v>39</v>
      </c>
      <c r="W5076" s="773" t="s">
        <v>410</v>
      </c>
    </row>
    <row r="5077" spans="19:23">
      <c r="S5077" s="27">
        <v>44834</v>
      </c>
      <c r="T5077" s="773" t="s">
        <v>132</v>
      </c>
      <c r="U5077" s="773">
        <v>716</v>
      </c>
      <c r="V5077" s="773">
        <v>353</v>
      </c>
      <c r="W5077" s="773" t="s">
        <v>390</v>
      </c>
    </row>
    <row r="5078" spans="19:23">
      <c r="S5078" s="27">
        <v>44834</v>
      </c>
      <c r="T5078" s="773" t="s">
        <v>132</v>
      </c>
      <c r="U5078" s="773">
        <v>0</v>
      </c>
      <c r="V5078" s="773">
        <v>42</v>
      </c>
      <c r="W5078" s="773" t="s">
        <v>410</v>
      </c>
    </row>
    <row r="5079" spans="19:23">
      <c r="S5079" s="27">
        <v>44469</v>
      </c>
      <c r="T5079" s="773" t="s">
        <v>132</v>
      </c>
      <c r="U5079" s="773">
        <v>696</v>
      </c>
      <c r="V5079" s="773">
        <v>2178</v>
      </c>
      <c r="W5079" s="773" t="s">
        <v>390</v>
      </c>
    </row>
    <row r="5080" spans="19:23">
      <c r="S5080" s="27">
        <v>44469</v>
      </c>
      <c r="T5080" s="773" t="s">
        <v>132</v>
      </c>
      <c r="U5080" s="773">
        <v>247</v>
      </c>
      <c r="V5080" s="773">
        <v>2351</v>
      </c>
      <c r="W5080" s="773" t="s">
        <v>390</v>
      </c>
    </row>
    <row r="5081" spans="19:23">
      <c r="S5081" s="27">
        <v>44834</v>
      </c>
      <c r="T5081" s="773" t="s">
        <v>132</v>
      </c>
      <c r="U5081" s="773">
        <v>652</v>
      </c>
      <c r="V5081" s="773">
        <v>3724</v>
      </c>
      <c r="W5081" s="773" t="s">
        <v>390</v>
      </c>
    </row>
    <row r="5082" spans="19:23">
      <c r="S5082" s="27">
        <v>44834</v>
      </c>
      <c r="T5082" s="773" t="s">
        <v>132</v>
      </c>
      <c r="U5082" s="773">
        <v>729</v>
      </c>
      <c r="V5082" s="773">
        <v>53</v>
      </c>
      <c r="W5082" s="773" t="s">
        <v>410</v>
      </c>
    </row>
    <row r="5083" spans="19:23">
      <c r="S5083" s="27">
        <v>44469</v>
      </c>
      <c r="T5083" s="773" t="s">
        <v>132</v>
      </c>
      <c r="U5083" s="773">
        <v>317</v>
      </c>
      <c r="V5083" s="773">
        <v>243</v>
      </c>
      <c r="W5083" s="773" t="s">
        <v>390</v>
      </c>
    </row>
    <row r="5084" spans="19:23">
      <c r="S5084" s="27">
        <v>44834</v>
      </c>
      <c r="T5084" s="773" t="s">
        <v>132</v>
      </c>
      <c r="U5084" s="773">
        <v>697</v>
      </c>
      <c r="V5084" s="773">
        <v>1489</v>
      </c>
      <c r="W5084" s="773" t="s">
        <v>390</v>
      </c>
    </row>
    <row r="5085" spans="19:23">
      <c r="S5085" s="27">
        <v>44469</v>
      </c>
      <c r="T5085" s="773" t="s">
        <v>132</v>
      </c>
      <c r="U5085" s="773">
        <v>703</v>
      </c>
      <c r="V5085" s="773">
        <v>2317</v>
      </c>
      <c r="W5085" s="773" t="s">
        <v>390</v>
      </c>
    </row>
    <row r="5086" spans="19:23">
      <c r="S5086" s="27">
        <v>44834</v>
      </c>
      <c r="T5086" s="773" t="s">
        <v>132</v>
      </c>
      <c r="U5086" s="773">
        <v>195</v>
      </c>
      <c r="V5086" s="773">
        <v>1</v>
      </c>
      <c r="W5086" s="773" t="s">
        <v>410</v>
      </c>
    </row>
    <row r="5087" spans="19:23">
      <c r="S5087" s="27">
        <v>44469</v>
      </c>
      <c r="T5087" s="773" t="s">
        <v>132</v>
      </c>
      <c r="U5087" s="773">
        <v>230</v>
      </c>
      <c r="V5087" s="773">
        <v>1</v>
      </c>
      <c r="W5087" s="773" t="s">
        <v>410</v>
      </c>
    </row>
    <row r="5088" spans="19:23">
      <c r="S5088" s="27">
        <v>44469</v>
      </c>
      <c r="T5088" s="773" t="s">
        <v>132</v>
      </c>
      <c r="U5088" s="773">
        <v>53</v>
      </c>
      <c r="V5088" s="773">
        <v>2</v>
      </c>
      <c r="W5088" s="773" t="s">
        <v>410</v>
      </c>
    </row>
    <row r="5089" spans="19:23">
      <c r="S5089" s="27">
        <v>44834</v>
      </c>
      <c r="T5089" s="773" t="s">
        <v>132</v>
      </c>
      <c r="U5089" s="773">
        <v>305</v>
      </c>
      <c r="V5089" s="773">
        <v>5106</v>
      </c>
      <c r="W5089" s="773" t="s">
        <v>390</v>
      </c>
    </row>
    <row r="5090" spans="19:23">
      <c r="S5090" s="27">
        <v>44469</v>
      </c>
      <c r="T5090" s="773" t="s">
        <v>132</v>
      </c>
      <c r="U5090" s="773">
        <v>139</v>
      </c>
      <c r="V5090" s="773">
        <v>3010</v>
      </c>
      <c r="W5090" s="773" t="s">
        <v>390</v>
      </c>
    </row>
    <row r="5091" spans="19:23">
      <c r="S5091" s="27">
        <v>44469</v>
      </c>
      <c r="T5091" s="773" t="s">
        <v>132</v>
      </c>
      <c r="U5091" s="773">
        <v>297</v>
      </c>
      <c r="V5091" s="773">
        <v>122</v>
      </c>
      <c r="W5091" s="773" t="s">
        <v>390</v>
      </c>
    </row>
    <row r="5092" spans="19:23">
      <c r="S5092" s="27">
        <v>44834</v>
      </c>
      <c r="T5092" s="773" t="s">
        <v>132</v>
      </c>
      <c r="U5092" s="773">
        <v>237</v>
      </c>
      <c r="V5092" s="773">
        <v>1</v>
      </c>
      <c r="W5092" s="773" t="s">
        <v>410</v>
      </c>
    </row>
    <row r="5093" spans="19:23">
      <c r="S5093" s="27">
        <v>44834</v>
      </c>
      <c r="T5093" s="773" t="s">
        <v>132</v>
      </c>
      <c r="U5093" s="773">
        <v>76</v>
      </c>
      <c r="V5093" s="773">
        <v>2905</v>
      </c>
      <c r="W5093" s="773" t="s">
        <v>390</v>
      </c>
    </row>
    <row r="5094" spans="19:23">
      <c r="S5094" s="27">
        <v>44469</v>
      </c>
      <c r="T5094" s="773" t="s">
        <v>132</v>
      </c>
      <c r="U5094" s="773">
        <v>216</v>
      </c>
      <c r="V5094" s="773">
        <v>2140</v>
      </c>
      <c r="W5094" s="773" t="s">
        <v>390</v>
      </c>
    </row>
    <row r="5095" spans="19:23">
      <c r="S5095" s="27">
        <v>44834</v>
      </c>
      <c r="T5095" s="773" t="s">
        <v>132</v>
      </c>
      <c r="U5095" s="773">
        <v>666</v>
      </c>
      <c r="V5095" s="773">
        <v>1540</v>
      </c>
      <c r="W5095" s="773" t="s">
        <v>390</v>
      </c>
    </row>
    <row r="5096" spans="19:23">
      <c r="S5096" s="27">
        <v>44834</v>
      </c>
      <c r="T5096" s="773" t="s">
        <v>132</v>
      </c>
      <c r="U5096" s="773">
        <v>124</v>
      </c>
      <c r="V5096" s="773">
        <v>7</v>
      </c>
      <c r="W5096" s="773" t="s">
        <v>410</v>
      </c>
    </row>
    <row r="5097" spans="19:23">
      <c r="S5097" s="27">
        <v>44469</v>
      </c>
      <c r="T5097" s="773" t="s">
        <v>132</v>
      </c>
      <c r="U5097" s="773">
        <v>102</v>
      </c>
      <c r="V5097" s="773">
        <v>4</v>
      </c>
      <c r="W5097" s="773" t="s">
        <v>410</v>
      </c>
    </row>
    <row r="5098" spans="19:23">
      <c r="S5098" s="27">
        <v>44469</v>
      </c>
      <c r="T5098" s="773" t="s">
        <v>132</v>
      </c>
      <c r="U5098" s="773">
        <v>665</v>
      </c>
      <c r="V5098" s="773">
        <v>2769</v>
      </c>
      <c r="W5098" s="773" t="s">
        <v>390</v>
      </c>
    </row>
    <row r="5099" spans="19:23">
      <c r="S5099" s="27">
        <v>44469</v>
      </c>
      <c r="T5099" s="773" t="s">
        <v>132</v>
      </c>
      <c r="U5099" s="773">
        <v>651</v>
      </c>
      <c r="V5099" s="773">
        <v>360</v>
      </c>
      <c r="W5099" s="773" t="s">
        <v>390</v>
      </c>
    </row>
    <row r="5100" spans="19:23">
      <c r="S5100" s="27">
        <v>44469</v>
      </c>
      <c r="T5100" s="773" t="s">
        <v>132</v>
      </c>
      <c r="U5100" s="773">
        <v>662</v>
      </c>
      <c r="V5100" s="773">
        <v>799</v>
      </c>
      <c r="W5100" s="773" t="s">
        <v>390</v>
      </c>
    </row>
    <row r="5101" spans="19:23">
      <c r="S5101" s="27">
        <v>44469</v>
      </c>
      <c r="T5101" s="773" t="s">
        <v>132</v>
      </c>
      <c r="U5101" s="773">
        <v>245</v>
      </c>
      <c r="V5101" s="773">
        <v>4704</v>
      </c>
      <c r="W5101" s="773" t="s">
        <v>390</v>
      </c>
    </row>
    <row r="5102" spans="19:23">
      <c r="S5102" s="27">
        <v>44834</v>
      </c>
      <c r="T5102" s="773" t="s">
        <v>132</v>
      </c>
      <c r="U5102" s="773">
        <v>96</v>
      </c>
      <c r="V5102" s="773">
        <v>1</v>
      </c>
      <c r="W5102" s="773" t="s">
        <v>410</v>
      </c>
    </row>
    <row r="5103" spans="19:23">
      <c r="S5103" s="27">
        <v>44834</v>
      </c>
      <c r="T5103" s="773" t="s">
        <v>132</v>
      </c>
      <c r="U5103" s="773">
        <v>68</v>
      </c>
      <c r="V5103" s="773">
        <v>675</v>
      </c>
      <c r="W5103" s="773" t="s">
        <v>390</v>
      </c>
    </row>
    <row r="5104" spans="19:23">
      <c r="S5104" s="27">
        <v>44834</v>
      </c>
      <c r="T5104" s="773" t="s">
        <v>132</v>
      </c>
      <c r="U5104" s="773">
        <v>191</v>
      </c>
      <c r="V5104" s="773">
        <v>330</v>
      </c>
      <c r="W5104" s="773" t="s">
        <v>390</v>
      </c>
    </row>
    <row r="5105" spans="19:23">
      <c r="S5105" s="27">
        <v>44834</v>
      </c>
      <c r="T5105" s="773" t="s">
        <v>132</v>
      </c>
      <c r="U5105" s="773">
        <v>64</v>
      </c>
      <c r="V5105" s="773">
        <v>1</v>
      </c>
      <c r="W5105" s="773" t="s">
        <v>410</v>
      </c>
    </row>
    <row r="5106" spans="19:23">
      <c r="S5106" s="27">
        <v>44834</v>
      </c>
      <c r="T5106" s="773" t="s">
        <v>132</v>
      </c>
      <c r="U5106" s="773">
        <v>308</v>
      </c>
      <c r="V5106" s="773">
        <v>2229</v>
      </c>
      <c r="W5106" s="773" t="s">
        <v>390</v>
      </c>
    </row>
    <row r="5107" spans="19:23">
      <c r="S5107" s="27">
        <v>44834</v>
      </c>
      <c r="T5107" s="773" t="s">
        <v>132</v>
      </c>
      <c r="U5107" s="773">
        <v>148</v>
      </c>
      <c r="V5107" s="773">
        <v>3</v>
      </c>
      <c r="W5107" s="773" t="s">
        <v>410</v>
      </c>
    </row>
    <row r="5108" spans="19:23">
      <c r="S5108" s="27">
        <v>44469</v>
      </c>
      <c r="T5108" s="773" t="s">
        <v>132</v>
      </c>
      <c r="U5108" s="773">
        <v>68</v>
      </c>
      <c r="V5108" s="773">
        <v>472</v>
      </c>
      <c r="W5108" s="773" t="s">
        <v>390</v>
      </c>
    </row>
    <row r="5109" spans="19:23">
      <c r="S5109" s="27">
        <v>44469</v>
      </c>
      <c r="T5109" s="773" t="s">
        <v>132</v>
      </c>
      <c r="U5109" s="773">
        <v>66</v>
      </c>
      <c r="V5109" s="773">
        <v>8</v>
      </c>
      <c r="W5109" s="773" t="s">
        <v>410</v>
      </c>
    </row>
    <row r="5110" spans="19:23">
      <c r="S5110" s="27">
        <v>44834</v>
      </c>
      <c r="T5110" s="773" t="s">
        <v>132</v>
      </c>
      <c r="U5110" s="773">
        <v>35</v>
      </c>
      <c r="V5110" s="773">
        <v>883</v>
      </c>
      <c r="W5110" s="773" t="s">
        <v>390</v>
      </c>
    </row>
    <row r="5111" spans="19:23">
      <c r="S5111" s="27">
        <v>44469</v>
      </c>
      <c r="T5111" s="773" t="s">
        <v>132</v>
      </c>
      <c r="U5111" s="773">
        <v>101</v>
      </c>
      <c r="V5111" s="773">
        <v>847</v>
      </c>
      <c r="W5111" s="773" t="s">
        <v>390</v>
      </c>
    </row>
    <row r="5112" spans="19:23">
      <c r="S5112" s="27">
        <v>44469</v>
      </c>
      <c r="T5112" s="773" t="s">
        <v>132</v>
      </c>
      <c r="U5112" s="773">
        <v>622</v>
      </c>
      <c r="V5112" s="773">
        <v>1</v>
      </c>
      <c r="W5112" s="773" t="s">
        <v>410</v>
      </c>
    </row>
    <row r="5113" spans="19:23">
      <c r="S5113" s="27">
        <v>44834</v>
      </c>
      <c r="T5113" s="773" t="s">
        <v>132</v>
      </c>
      <c r="U5113" s="773">
        <v>222</v>
      </c>
      <c r="V5113" s="773">
        <v>2</v>
      </c>
      <c r="W5113" s="773" t="s">
        <v>410</v>
      </c>
    </row>
    <row r="5114" spans="19:23">
      <c r="S5114" s="27">
        <v>44469</v>
      </c>
      <c r="T5114" s="773" t="s">
        <v>132</v>
      </c>
      <c r="U5114" s="773">
        <v>14</v>
      </c>
      <c r="V5114" s="773">
        <v>2</v>
      </c>
      <c r="W5114" s="773" t="s">
        <v>410</v>
      </c>
    </row>
    <row r="5115" spans="19:23">
      <c r="S5115" s="27">
        <v>44834</v>
      </c>
      <c r="T5115" s="773" t="s">
        <v>132</v>
      </c>
      <c r="U5115" s="773">
        <v>84</v>
      </c>
      <c r="V5115" s="773">
        <v>2661</v>
      </c>
      <c r="W5115" s="773" t="s">
        <v>390</v>
      </c>
    </row>
    <row r="5116" spans="19:23">
      <c r="S5116" s="27">
        <v>44469</v>
      </c>
      <c r="T5116" s="773" t="s">
        <v>132</v>
      </c>
      <c r="U5116" s="773">
        <v>232</v>
      </c>
      <c r="V5116" s="773">
        <v>126</v>
      </c>
      <c r="W5116" s="773" t="s">
        <v>390</v>
      </c>
    </row>
    <row r="5117" spans="19:23">
      <c r="S5117" s="27">
        <v>44834</v>
      </c>
      <c r="T5117" s="773" t="s">
        <v>132</v>
      </c>
      <c r="U5117" s="773">
        <v>193</v>
      </c>
      <c r="V5117" s="773">
        <v>499</v>
      </c>
      <c r="W5117" s="773" t="s">
        <v>390</v>
      </c>
    </row>
    <row r="5118" spans="19:23">
      <c r="S5118" s="27">
        <v>44834</v>
      </c>
      <c r="T5118" s="773" t="s">
        <v>132</v>
      </c>
      <c r="U5118" s="773">
        <v>271</v>
      </c>
      <c r="V5118" s="773">
        <v>2870</v>
      </c>
      <c r="W5118" s="773" t="s">
        <v>390</v>
      </c>
    </row>
    <row r="5119" spans="19:23">
      <c r="S5119" s="27">
        <v>44834</v>
      </c>
      <c r="T5119" s="773" t="s">
        <v>132</v>
      </c>
      <c r="U5119" s="773">
        <v>98</v>
      </c>
      <c r="V5119" s="773">
        <v>30</v>
      </c>
      <c r="W5119" s="773" t="s">
        <v>410</v>
      </c>
    </row>
    <row r="5120" spans="19:23">
      <c r="S5120" s="27">
        <v>44834</v>
      </c>
      <c r="T5120" s="773" t="s">
        <v>132</v>
      </c>
      <c r="U5120" s="773">
        <v>621</v>
      </c>
      <c r="V5120" s="773">
        <v>2468</v>
      </c>
      <c r="W5120" s="773" t="s">
        <v>390</v>
      </c>
    </row>
    <row r="5121" spans="19:23">
      <c r="S5121" s="27">
        <v>44834</v>
      </c>
      <c r="T5121" s="773" t="s">
        <v>132</v>
      </c>
      <c r="U5121" s="773">
        <v>669</v>
      </c>
      <c r="V5121" s="773">
        <v>3083</v>
      </c>
      <c r="W5121" s="773" t="s">
        <v>390</v>
      </c>
    </row>
    <row r="5122" spans="19:23">
      <c r="S5122" s="27">
        <v>44469</v>
      </c>
      <c r="T5122" s="773" t="s">
        <v>132</v>
      </c>
      <c r="U5122" s="773">
        <v>169</v>
      </c>
      <c r="V5122" s="773">
        <v>2586</v>
      </c>
      <c r="W5122" s="773" t="s">
        <v>390</v>
      </c>
    </row>
    <row r="5123" spans="19:23">
      <c r="S5123" s="27">
        <v>44469</v>
      </c>
      <c r="T5123" s="773" t="s">
        <v>132</v>
      </c>
      <c r="U5123" s="773">
        <v>140</v>
      </c>
      <c r="V5123" s="773">
        <v>389</v>
      </c>
      <c r="W5123" s="773" t="s">
        <v>390</v>
      </c>
    </row>
    <row r="5124" spans="19:23">
      <c r="S5124" s="27">
        <v>44469</v>
      </c>
      <c r="T5124" s="773" t="s">
        <v>132</v>
      </c>
      <c r="U5124" s="773">
        <v>266</v>
      </c>
      <c r="V5124" s="773">
        <v>2285</v>
      </c>
      <c r="W5124" s="773" t="s">
        <v>390</v>
      </c>
    </row>
    <row r="5125" spans="19:23">
      <c r="S5125" s="27">
        <v>44469</v>
      </c>
      <c r="T5125" s="773" t="s">
        <v>132</v>
      </c>
      <c r="U5125" s="773">
        <v>697</v>
      </c>
      <c r="V5125" s="773">
        <v>667</v>
      </c>
      <c r="W5125" s="773" t="s">
        <v>390</v>
      </c>
    </row>
    <row r="5126" spans="19:23">
      <c r="S5126" s="27">
        <v>44834</v>
      </c>
      <c r="T5126" s="773" t="s">
        <v>132</v>
      </c>
      <c r="U5126" s="773">
        <v>700</v>
      </c>
      <c r="V5126" s="773">
        <v>2860</v>
      </c>
      <c r="W5126" s="773" t="s">
        <v>390</v>
      </c>
    </row>
    <row r="5127" spans="19:23">
      <c r="S5127" s="27">
        <v>44834</v>
      </c>
      <c r="T5127" s="773" t="s">
        <v>132</v>
      </c>
      <c r="U5127" s="773">
        <v>648</v>
      </c>
      <c r="V5127" s="773">
        <v>1</v>
      </c>
      <c r="W5127" s="773" t="s">
        <v>410</v>
      </c>
    </row>
    <row r="5128" spans="19:23">
      <c r="S5128" s="27">
        <v>44834</v>
      </c>
      <c r="T5128" s="773" t="s">
        <v>132</v>
      </c>
      <c r="U5128" s="773">
        <v>670</v>
      </c>
      <c r="V5128" s="773">
        <v>2604</v>
      </c>
      <c r="W5128" s="773" t="s">
        <v>390</v>
      </c>
    </row>
    <row r="5129" spans="19:23">
      <c r="S5129" s="27">
        <v>44834</v>
      </c>
      <c r="T5129" s="773" t="s">
        <v>132</v>
      </c>
      <c r="U5129" s="773">
        <v>326</v>
      </c>
      <c r="V5129" s="773">
        <v>2863</v>
      </c>
      <c r="W5129" s="773" t="s">
        <v>390</v>
      </c>
    </row>
    <row r="5130" spans="19:23">
      <c r="S5130" s="27">
        <v>44834</v>
      </c>
      <c r="T5130" s="773" t="s">
        <v>132</v>
      </c>
      <c r="U5130" s="773">
        <v>243</v>
      </c>
      <c r="V5130" s="773">
        <v>352</v>
      </c>
      <c r="W5130" s="773" t="s">
        <v>390</v>
      </c>
    </row>
    <row r="5131" spans="19:23">
      <c r="S5131" s="27">
        <v>44834</v>
      </c>
      <c r="T5131" s="773" t="s">
        <v>132</v>
      </c>
      <c r="U5131" s="773">
        <v>69</v>
      </c>
      <c r="V5131" s="773">
        <v>1</v>
      </c>
      <c r="W5131" s="773" t="s">
        <v>410</v>
      </c>
    </row>
    <row r="5132" spans="19:23">
      <c r="S5132" s="27">
        <v>44469</v>
      </c>
      <c r="T5132" s="773" t="s">
        <v>132</v>
      </c>
      <c r="U5132" s="773">
        <v>82</v>
      </c>
      <c r="V5132" s="773">
        <v>2191</v>
      </c>
      <c r="W5132" s="773" t="s">
        <v>390</v>
      </c>
    </row>
    <row r="5133" spans="19:23">
      <c r="S5133" s="27">
        <v>44469</v>
      </c>
      <c r="T5133" s="773" t="s">
        <v>132</v>
      </c>
      <c r="U5133" s="773">
        <v>59</v>
      </c>
      <c r="V5133" s="773">
        <v>71</v>
      </c>
      <c r="W5133" s="773" t="s">
        <v>410</v>
      </c>
    </row>
    <row r="5134" spans="19:23">
      <c r="S5134" s="27">
        <v>44469</v>
      </c>
      <c r="T5134" s="773" t="s">
        <v>132</v>
      </c>
      <c r="U5134" s="773">
        <v>668</v>
      </c>
      <c r="V5134" s="773">
        <v>7</v>
      </c>
      <c r="W5134" s="773" t="s">
        <v>410</v>
      </c>
    </row>
    <row r="5135" spans="19:23">
      <c r="S5135" s="27">
        <v>44834</v>
      </c>
      <c r="T5135" s="773" t="s">
        <v>132</v>
      </c>
      <c r="U5135" s="773">
        <v>87</v>
      </c>
      <c r="V5135" s="773">
        <v>3</v>
      </c>
      <c r="W5135" s="773" t="s">
        <v>410</v>
      </c>
    </row>
    <row r="5136" spans="19:23">
      <c r="S5136" s="27">
        <v>44469</v>
      </c>
      <c r="T5136" s="773" t="s">
        <v>132</v>
      </c>
      <c r="U5136" s="773">
        <v>94</v>
      </c>
      <c r="V5136" s="773">
        <v>148</v>
      </c>
      <c r="W5136" s="773" t="s">
        <v>390</v>
      </c>
    </row>
    <row r="5137" spans="19:23">
      <c r="S5137" s="27">
        <v>44469</v>
      </c>
      <c r="T5137" s="773" t="s">
        <v>132</v>
      </c>
      <c r="U5137" s="773">
        <v>222</v>
      </c>
      <c r="V5137" s="773">
        <v>2</v>
      </c>
      <c r="W5137" s="773" t="s">
        <v>410</v>
      </c>
    </row>
    <row r="5138" spans="19:23">
      <c r="S5138" s="27">
        <v>44469</v>
      </c>
      <c r="T5138" s="773" t="s">
        <v>132</v>
      </c>
      <c r="U5138" s="773">
        <v>636</v>
      </c>
      <c r="V5138" s="773">
        <v>21</v>
      </c>
      <c r="W5138" s="773" t="s">
        <v>410</v>
      </c>
    </row>
    <row r="5139" spans="19:23">
      <c r="S5139" s="27">
        <v>44834</v>
      </c>
      <c r="T5139" s="773" t="s">
        <v>132</v>
      </c>
      <c r="U5139" s="773">
        <v>279</v>
      </c>
      <c r="V5139" s="773">
        <v>3</v>
      </c>
      <c r="W5139" s="773" t="s">
        <v>410</v>
      </c>
    </row>
    <row r="5140" spans="19:23">
      <c r="S5140" s="27">
        <v>44469</v>
      </c>
      <c r="T5140" s="773" t="s">
        <v>132</v>
      </c>
      <c r="U5140" s="773">
        <v>72</v>
      </c>
      <c r="V5140" s="773">
        <v>3</v>
      </c>
      <c r="W5140" s="773" t="s">
        <v>410</v>
      </c>
    </row>
    <row r="5141" spans="19:23">
      <c r="S5141" s="27">
        <v>44834</v>
      </c>
      <c r="T5141" s="773" t="s">
        <v>132</v>
      </c>
      <c r="U5141" s="773">
        <v>674</v>
      </c>
      <c r="V5141" s="773">
        <v>3873</v>
      </c>
      <c r="W5141" s="773" t="s">
        <v>390</v>
      </c>
    </row>
    <row r="5142" spans="19:23">
      <c r="S5142" s="27">
        <v>44469</v>
      </c>
      <c r="T5142" s="773" t="s">
        <v>132</v>
      </c>
      <c r="U5142" s="773">
        <v>240</v>
      </c>
      <c r="V5142" s="773">
        <v>6</v>
      </c>
      <c r="W5142" s="773" t="s">
        <v>410</v>
      </c>
    </row>
    <row r="5143" spans="19:23">
      <c r="S5143" s="27">
        <v>44469</v>
      </c>
      <c r="T5143" s="773" t="s">
        <v>132</v>
      </c>
      <c r="U5143" s="773">
        <v>315</v>
      </c>
      <c r="V5143" s="773">
        <v>186</v>
      </c>
      <c r="W5143" s="773" t="s">
        <v>390</v>
      </c>
    </row>
    <row r="5144" spans="19:23">
      <c r="S5144" s="27">
        <v>44469</v>
      </c>
      <c r="T5144" s="773" t="s">
        <v>132</v>
      </c>
      <c r="U5144" s="773">
        <v>687</v>
      </c>
      <c r="V5144" s="773">
        <v>2689</v>
      </c>
      <c r="W5144" s="773" t="s">
        <v>390</v>
      </c>
    </row>
    <row r="5145" spans="19:23">
      <c r="S5145" s="27">
        <v>44834</v>
      </c>
      <c r="T5145" s="773" t="s">
        <v>132</v>
      </c>
      <c r="U5145" s="773">
        <v>264</v>
      </c>
      <c r="V5145" s="773">
        <v>357</v>
      </c>
      <c r="W5145" s="773" t="s">
        <v>390</v>
      </c>
    </row>
    <row r="5146" spans="19:23">
      <c r="S5146" s="27">
        <v>44834</v>
      </c>
      <c r="T5146" s="773" t="s">
        <v>132</v>
      </c>
      <c r="U5146" s="773">
        <v>132</v>
      </c>
      <c r="V5146" s="773">
        <v>2769</v>
      </c>
      <c r="W5146" s="773" t="s">
        <v>390</v>
      </c>
    </row>
    <row r="5147" spans="19:23">
      <c r="S5147" s="27">
        <v>44469</v>
      </c>
      <c r="T5147" s="773" t="s">
        <v>132</v>
      </c>
      <c r="U5147" s="773">
        <v>698</v>
      </c>
      <c r="V5147" s="773">
        <v>2669</v>
      </c>
      <c r="W5147" s="773" t="s">
        <v>390</v>
      </c>
    </row>
    <row r="5148" spans="19:23">
      <c r="S5148" s="27">
        <v>44469</v>
      </c>
      <c r="T5148" s="773" t="s">
        <v>132</v>
      </c>
      <c r="U5148" s="773">
        <v>367</v>
      </c>
      <c r="V5148" s="773">
        <v>14</v>
      </c>
      <c r="W5148" s="773" t="s">
        <v>410</v>
      </c>
    </row>
    <row r="5149" spans="19:23">
      <c r="S5149" s="27">
        <v>44469</v>
      </c>
      <c r="T5149" s="773" t="s">
        <v>132</v>
      </c>
      <c r="U5149" s="773">
        <v>319</v>
      </c>
      <c r="V5149" s="773">
        <v>1883</v>
      </c>
      <c r="W5149" s="773" t="s">
        <v>390</v>
      </c>
    </row>
    <row r="5150" spans="19:23">
      <c r="S5150" s="27">
        <v>44469</v>
      </c>
      <c r="T5150" s="773" t="s">
        <v>132</v>
      </c>
      <c r="U5150" s="773">
        <v>241</v>
      </c>
      <c r="V5150" s="773">
        <v>28</v>
      </c>
      <c r="W5150" s="773" t="s">
        <v>410</v>
      </c>
    </row>
    <row r="5151" spans="19:23">
      <c r="S5151" s="27">
        <v>44469</v>
      </c>
      <c r="T5151" s="773" t="s">
        <v>132</v>
      </c>
      <c r="U5151" s="773">
        <v>269</v>
      </c>
      <c r="V5151" s="773">
        <v>1</v>
      </c>
      <c r="W5151" s="773" t="s">
        <v>410</v>
      </c>
    </row>
    <row r="5152" spans="19:23">
      <c r="S5152" s="27">
        <v>44834</v>
      </c>
      <c r="T5152" s="773" t="s">
        <v>132</v>
      </c>
      <c r="U5152" s="773">
        <v>694</v>
      </c>
      <c r="V5152" s="773">
        <v>1</v>
      </c>
      <c r="W5152" s="773" t="s">
        <v>410</v>
      </c>
    </row>
    <row r="5153" spans="19:23">
      <c r="S5153" s="27">
        <v>44469</v>
      </c>
      <c r="T5153" s="773" t="s">
        <v>132</v>
      </c>
      <c r="U5153" s="773">
        <v>694</v>
      </c>
      <c r="V5153" s="773">
        <v>2</v>
      </c>
      <c r="W5153" s="773" t="s">
        <v>410</v>
      </c>
    </row>
    <row r="5154" spans="19:23">
      <c r="S5154" s="27">
        <v>44834</v>
      </c>
      <c r="T5154" s="773" t="s">
        <v>132</v>
      </c>
      <c r="U5154" s="773">
        <v>164</v>
      </c>
      <c r="V5154" s="773">
        <v>6</v>
      </c>
      <c r="W5154" s="773" t="s">
        <v>410</v>
      </c>
    </row>
    <row r="5155" spans="19:23">
      <c r="S5155" s="27">
        <v>44834</v>
      </c>
      <c r="T5155" s="773" t="s">
        <v>132</v>
      </c>
      <c r="U5155" s="773">
        <v>101</v>
      </c>
      <c r="V5155" s="773">
        <v>285</v>
      </c>
      <c r="W5155" s="773" t="s">
        <v>390</v>
      </c>
    </row>
    <row r="5156" spans="19:23">
      <c r="S5156" s="27">
        <v>44469</v>
      </c>
      <c r="T5156" s="773" t="s">
        <v>132</v>
      </c>
      <c r="U5156" s="773">
        <v>326</v>
      </c>
      <c r="V5156" s="773">
        <v>3020</v>
      </c>
      <c r="W5156" s="773" t="s">
        <v>390</v>
      </c>
    </row>
    <row r="5157" spans="19:23">
      <c r="S5157" s="27">
        <v>44469</v>
      </c>
      <c r="T5157" s="773" t="s">
        <v>132</v>
      </c>
      <c r="U5157" s="773">
        <v>150</v>
      </c>
      <c r="V5157" s="773">
        <v>14</v>
      </c>
      <c r="W5157" s="773" t="s">
        <v>410</v>
      </c>
    </row>
    <row r="5158" spans="19:23">
      <c r="S5158" s="27">
        <v>44469</v>
      </c>
      <c r="T5158" s="773" t="s">
        <v>132</v>
      </c>
      <c r="U5158" s="773">
        <v>87</v>
      </c>
      <c r="V5158" s="773">
        <v>13</v>
      </c>
      <c r="W5158" s="773" t="s">
        <v>410</v>
      </c>
    </row>
    <row r="5159" spans="19:23">
      <c r="S5159" s="27">
        <v>44469</v>
      </c>
      <c r="T5159" s="773" t="s">
        <v>132</v>
      </c>
      <c r="U5159" s="773">
        <v>671</v>
      </c>
      <c r="V5159" s="773">
        <v>2168</v>
      </c>
      <c r="W5159" s="773" t="s">
        <v>390</v>
      </c>
    </row>
    <row r="5160" spans="19:23">
      <c r="S5160" s="27">
        <v>44834</v>
      </c>
      <c r="T5160" s="773" t="s">
        <v>132</v>
      </c>
      <c r="U5160" s="773">
        <v>230</v>
      </c>
      <c r="V5160" s="773">
        <v>5</v>
      </c>
      <c r="W5160" s="773" t="s">
        <v>410</v>
      </c>
    </row>
    <row r="5161" spans="19:23">
      <c r="S5161" s="27">
        <v>44834</v>
      </c>
      <c r="T5161" s="773" t="s">
        <v>132</v>
      </c>
      <c r="U5161" s="773">
        <v>252</v>
      </c>
      <c r="V5161" s="773">
        <v>948</v>
      </c>
      <c r="W5161" s="773" t="s">
        <v>390</v>
      </c>
    </row>
    <row r="5162" spans="19:23">
      <c r="S5162" s="27">
        <v>44834</v>
      </c>
      <c r="T5162" s="773" t="s">
        <v>132</v>
      </c>
      <c r="U5162" s="773">
        <v>671</v>
      </c>
      <c r="V5162" s="773">
        <v>1935</v>
      </c>
      <c r="W5162" s="773" t="s">
        <v>390</v>
      </c>
    </row>
    <row r="5163" spans="19:23">
      <c r="S5163" s="27">
        <v>44834</v>
      </c>
      <c r="T5163" s="773" t="s">
        <v>132</v>
      </c>
      <c r="U5163" s="773">
        <v>215</v>
      </c>
      <c r="V5163" s="773">
        <v>674</v>
      </c>
      <c r="W5163" s="773" t="s">
        <v>390</v>
      </c>
    </row>
    <row r="5164" spans="19:23">
      <c r="S5164" s="27">
        <v>44469</v>
      </c>
      <c r="T5164" s="773" t="s">
        <v>132</v>
      </c>
      <c r="U5164" s="773">
        <v>130</v>
      </c>
      <c r="V5164" s="773">
        <v>1</v>
      </c>
      <c r="W5164" s="773" t="s">
        <v>410</v>
      </c>
    </row>
    <row r="5165" spans="19:23">
      <c r="S5165" s="27">
        <v>44469</v>
      </c>
      <c r="T5165" s="773" t="s">
        <v>132</v>
      </c>
      <c r="U5165" s="773">
        <v>116</v>
      </c>
      <c r="V5165" s="773">
        <v>4</v>
      </c>
      <c r="W5165" s="773" t="s">
        <v>410</v>
      </c>
    </row>
    <row r="5166" spans="19:23">
      <c r="S5166" s="27">
        <v>44834</v>
      </c>
      <c r="T5166" s="773" t="s">
        <v>132</v>
      </c>
      <c r="U5166" s="773">
        <v>676</v>
      </c>
      <c r="V5166" s="773">
        <v>2</v>
      </c>
      <c r="W5166" s="773" t="s">
        <v>410</v>
      </c>
    </row>
    <row r="5167" spans="19:23">
      <c r="S5167" s="27">
        <v>44469</v>
      </c>
      <c r="T5167" s="773" t="s">
        <v>132</v>
      </c>
      <c r="U5167" s="773">
        <v>306</v>
      </c>
      <c r="V5167" s="773">
        <v>2297</v>
      </c>
      <c r="W5167" s="773" t="s">
        <v>390</v>
      </c>
    </row>
    <row r="5168" spans="19:23">
      <c r="S5168" s="27">
        <v>44469</v>
      </c>
      <c r="T5168" s="773" t="s">
        <v>132</v>
      </c>
      <c r="U5168" s="773">
        <v>64</v>
      </c>
      <c r="V5168" s="773">
        <v>5</v>
      </c>
      <c r="W5168" s="773" t="s">
        <v>410</v>
      </c>
    </row>
    <row r="5169" spans="19:23">
      <c r="S5169" s="27">
        <v>44834</v>
      </c>
      <c r="T5169" s="773" t="s">
        <v>132</v>
      </c>
      <c r="U5169" s="773">
        <v>706</v>
      </c>
      <c r="V5169" s="773">
        <v>1218</v>
      </c>
      <c r="W5169" s="773" t="s">
        <v>390</v>
      </c>
    </row>
    <row r="5170" spans="19:23">
      <c r="S5170" s="27">
        <v>44834</v>
      </c>
      <c r="T5170" s="773" t="s">
        <v>132</v>
      </c>
      <c r="U5170" s="773">
        <v>679</v>
      </c>
      <c r="V5170" s="773">
        <v>1</v>
      </c>
      <c r="W5170" s="773" t="s">
        <v>410</v>
      </c>
    </row>
    <row r="5171" spans="19:23">
      <c r="S5171" s="27">
        <v>44834</v>
      </c>
      <c r="T5171" s="773" t="s">
        <v>132</v>
      </c>
      <c r="U5171" s="773">
        <v>304</v>
      </c>
      <c r="V5171" s="773">
        <v>113</v>
      </c>
      <c r="W5171" s="773" t="s">
        <v>390</v>
      </c>
    </row>
    <row r="5172" spans="19:23">
      <c r="S5172" s="27">
        <v>44834</v>
      </c>
      <c r="T5172" s="773" t="s">
        <v>132</v>
      </c>
      <c r="U5172" s="773">
        <v>320</v>
      </c>
      <c r="V5172" s="773">
        <v>1685</v>
      </c>
      <c r="W5172" s="773" t="s">
        <v>390</v>
      </c>
    </row>
    <row r="5173" spans="19:23">
      <c r="S5173" s="27">
        <v>44469</v>
      </c>
      <c r="T5173" s="773" t="s">
        <v>132</v>
      </c>
      <c r="U5173" s="773">
        <v>48</v>
      </c>
      <c r="V5173" s="773">
        <v>751</v>
      </c>
      <c r="W5173" s="773" t="s">
        <v>390</v>
      </c>
    </row>
    <row r="5174" spans="19:23">
      <c r="S5174" s="27">
        <v>44834</v>
      </c>
      <c r="T5174" s="773" t="s">
        <v>132</v>
      </c>
      <c r="U5174" s="773">
        <v>317</v>
      </c>
      <c r="V5174" s="773">
        <v>3574</v>
      </c>
      <c r="W5174" s="773" t="s">
        <v>390</v>
      </c>
    </row>
    <row r="5175" spans="19:23">
      <c r="S5175" s="27">
        <v>44834</v>
      </c>
      <c r="T5175" s="773" t="s">
        <v>132</v>
      </c>
      <c r="U5175" s="773">
        <v>342</v>
      </c>
      <c r="V5175" s="773">
        <v>2645</v>
      </c>
      <c r="W5175" s="773" t="s">
        <v>390</v>
      </c>
    </row>
    <row r="5176" spans="19:23">
      <c r="S5176" s="27">
        <v>44834</v>
      </c>
      <c r="T5176" s="773" t="s">
        <v>132</v>
      </c>
      <c r="U5176" s="773">
        <v>139</v>
      </c>
      <c r="V5176" s="773">
        <v>2589</v>
      </c>
      <c r="W5176" s="773" t="s">
        <v>390</v>
      </c>
    </row>
    <row r="5177" spans="19:23">
      <c r="S5177" s="27">
        <v>44834</v>
      </c>
      <c r="T5177" s="773" t="s">
        <v>132</v>
      </c>
      <c r="U5177" s="773">
        <v>321</v>
      </c>
      <c r="V5177" s="773">
        <v>1984</v>
      </c>
      <c r="W5177" s="773" t="s">
        <v>390</v>
      </c>
    </row>
    <row r="5178" spans="19:23">
      <c r="S5178" s="27">
        <v>44469</v>
      </c>
      <c r="T5178" s="773" t="s">
        <v>132</v>
      </c>
      <c r="U5178" s="773">
        <v>304</v>
      </c>
      <c r="V5178" s="773">
        <v>113</v>
      </c>
      <c r="W5178" s="773" t="s">
        <v>390</v>
      </c>
    </row>
    <row r="5179" spans="19:23">
      <c r="S5179" s="27">
        <v>44834</v>
      </c>
      <c r="T5179" s="773" t="s">
        <v>132</v>
      </c>
      <c r="U5179" s="773">
        <v>253</v>
      </c>
      <c r="V5179" s="773">
        <v>11</v>
      </c>
      <c r="W5179" s="773" t="s">
        <v>410</v>
      </c>
    </row>
    <row r="5180" spans="19:23">
      <c r="S5180" s="27">
        <v>44469</v>
      </c>
      <c r="T5180" s="773" t="s">
        <v>132</v>
      </c>
      <c r="U5180" s="773">
        <v>77</v>
      </c>
      <c r="V5180" s="773">
        <v>3281</v>
      </c>
      <c r="W5180" s="773" t="s">
        <v>390</v>
      </c>
    </row>
    <row r="5181" spans="19:23">
      <c r="S5181" s="27">
        <v>44834</v>
      </c>
      <c r="T5181" s="773" t="s">
        <v>132</v>
      </c>
      <c r="U5181" s="773">
        <v>675</v>
      </c>
      <c r="V5181" s="773">
        <v>2</v>
      </c>
      <c r="W5181" s="773" t="s">
        <v>410</v>
      </c>
    </row>
    <row r="5182" spans="19:23">
      <c r="S5182" s="27">
        <v>44469</v>
      </c>
      <c r="T5182" s="773" t="s">
        <v>132</v>
      </c>
      <c r="U5182" s="773">
        <v>325</v>
      </c>
      <c r="V5182" s="773">
        <v>2909</v>
      </c>
      <c r="W5182" s="773" t="s">
        <v>390</v>
      </c>
    </row>
    <row r="5183" spans="19:23">
      <c r="S5183" s="27">
        <v>44469</v>
      </c>
      <c r="T5183" s="773" t="s">
        <v>132</v>
      </c>
      <c r="U5183" s="773">
        <v>188</v>
      </c>
      <c r="V5183" s="773">
        <v>517</v>
      </c>
      <c r="W5183" s="773" t="s">
        <v>390</v>
      </c>
    </row>
    <row r="5184" spans="19:23">
      <c r="S5184" s="27">
        <v>44469</v>
      </c>
      <c r="T5184" s="773" t="s">
        <v>132</v>
      </c>
      <c r="U5184" s="773">
        <v>41</v>
      </c>
      <c r="V5184" s="773">
        <v>1</v>
      </c>
      <c r="W5184" s="773" t="s">
        <v>410</v>
      </c>
    </row>
    <row r="5185" spans="19:23">
      <c r="S5185" s="27">
        <v>44469</v>
      </c>
      <c r="T5185" s="773" t="s">
        <v>132</v>
      </c>
      <c r="U5185" s="773">
        <v>61</v>
      </c>
      <c r="V5185" s="773">
        <v>1</v>
      </c>
      <c r="W5185" s="773" t="s">
        <v>410</v>
      </c>
    </row>
    <row r="5186" spans="19:23">
      <c r="S5186" s="27">
        <v>44469</v>
      </c>
      <c r="T5186" s="773" t="s">
        <v>132</v>
      </c>
      <c r="U5186" s="773">
        <v>312</v>
      </c>
      <c r="V5186" s="773">
        <v>2288</v>
      </c>
      <c r="W5186" s="773" t="s">
        <v>390</v>
      </c>
    </row>
    <row r="5187" spans="19:23">
      <c r="S5187" s="27">
        <v>44469</v>
      </c>
      <c r="T5187" s="773" t="s">
        <v>132</v>
      </c>
      <c r="U5187" s="773">
        <v>98</v>
      </c>
      <c r="V5187" s="773">
        <v>87</v>
      </c>
      <c r="W5187" s="773" t="s">
        <v>410</v>
      </c>
    </row>
    <row r="5188" spans="19:23">
      <c r="S5188" s="27">
        <v>44834</v>
      </c>
      <c r="T5188" s="773" t="s">
        <v>132</v>
      </c>
      <c r="U5188" s="773">
        <v>651</v>
      </c>
      <c r="V5188" s="773">
        <v>63</v>
      </c>
      <c r="W5188" s="773" t="s">
        <v>410</v>
      </c>
    </row>
    <row r="5189" spans="19:23">
      <c r="S5189" s="27">
        <v>44469</v>
      </c>
      <c r="T5189" s="773" t="s">
        <v>132</v>
      </c>
      <c r="U5189" s="773">
        <v>256</v>
      </c>
      <c r="V5189" s="773">
        <v>745</v>
      </c>
      <c r="W5189" s="773" t="s">
        <v>390</v>
      </c>
    </row>
    <row r="5190" spans="19:23">
      <c r="S5190" s="27">
        <v>44834</v>
      </c>
      <c r="T5190" s="773" t="s">
        <v>132</v>
      </c>
      <c r="U5190" s="773">
        <v>681</v>
      </c>
      <c r="V5190" s="773">
        <v>659</v>
      </c>
      <c r="W5190" s="773" t="s">
        <v>390</v>
      </c>
    </row>
    <row r="5191" spans="19:23">
      <c r="S5191" s="27">
        <v>44834</v>
      </c>
      <c r="T5191" s="773" t="s">
        <v>132</v>
      </c>
      <c r="U5191" s="773">
        <v>53</v>
      </c>
      <c r="V5191" s="773">
        <v>2</v>
      </c>
      <c r="W5191" s="773" t="s">
        <v>410</v>
      </c>
    </row>
    <row r="5192" spans="19:23">
      <c r="S5192" s="27">
        <v>44834</v>
      </c>
      <c r="T5192" s="773" t="s">
        <v>132</v>
      </c>
      <c r="U5192" s="773">
        <v>710</v>
      </c>
      <c r="V5192" s="773">
        <v>896</v>
      </c>
      <c r="W5192" s="773" t="s">
        <v>390</v>
      </c>
    </row>
    <row r="5193" spans="19:23">
      <c r="S5193" s="27">
        <v>44834</v>
      </c>
      <c r="T5193" s="773" t="s">
        <v>132</v>
      </c>
      <c r="U5193" s="773">
        <v>266</v>
      </c>
      <c r="V5193" s="773">
        <v>2551</v>
      </c>
      <c r="W5193" s="773" t="s">
        <v>390</v>
      </c>
    </row>
    <row r="5194" spans="19:23">
      <c r="S5194" s="27">
        <v>44469</v>
      </c>
      <c r="T5194" s="773" t="s">
        <v>132</v>
      </c>
      <c r="U5194" s="773">
        <v>663</v>
      </c>
      <c r="V5194" s="773">
        <v>1093</v>
      </c>
      <c r="W5194" s="773" t="s">
        <v>390</v>
      </c>
    </row>
    <row r="5195" spans="19:23">
      <c r="S5195" s="27">
        <v>44834</v>
      </c>
      <c r="T5195" s="773" t="s">
        <v>132</v>
      </c>
      <c r="U5195" s="773">
        <v>79</v>
      </c>
      <c r="V5195" s="773">
        <v>4</v>
      </c>
      <c r="W5195" s="773" t="s">
        <v>410</v>
      </c>
    </row>
    <row r="5196" spans="19:23">
      <c r="S5196" s="27">
        <v>44469</v>
      </c>
      <c r="T5196" s="773" t="s">
        <v>132</v>
      </c>
      <c r="U5196" s="773">
        <v>249</v>
      </c>
      <c r="V5196" s="773">
        <v>2695</v>
      </c>
      <c r="W5196" s="773" t="s">
        <v>390</v>
      </c>
    </row>
    <row r="5197" spans="19:23">
      <c r="S5197" s="27">
        <v>44834</v>
      </c>
      <c r="T5197" s="773" t="s">
        <v>132</v>
      </c>
      <c r="U5197" s="773">
        <v>171</v>
      </c>
      <c r="V5197" s="773">
        <v>41</v>
      </c>
      <c r="W5197" s="773" t="s">
        <v>410</v>
      </c>
    </row>
    <row r="5198" spans="19:23">
      <c r="S5198" s="27">
        <v>44469</v>
      </c>
      <c r="T5198" s="773" t="s">
        <v>132</v>
      </c>
      <c r="U5198" s="773">
        <v>262</v>
      </c>
      <c r="V5198" s="773">
        <v>81</v>
      </c>
      <c r="W5198" s="773" t="s">
        <v>410</v>
      </c>
    </row>
    <row r="5199" spans="19:23">
      <c r="S5199" s="27">
        <v>44469</v>
      </c>
      <c r="T5199" s="773" t="s">
        <v>132</v>
      </c>
      <c r="U5199" s="773">
        <v>236</v>
      </c>
      <c r="V5199" s="773">
        <v>1</v>
      </c>
      <c r="W5199" s="773" t="s">
        <v>410</v>
      </c>
    </row>
    <row r="5200" spans="19:23">
      <c r="S5200" s="27">
        <v>44834</v>
      </c>
      <c r="T5200" s="773" t="s">
        <v>132</v>
      </c>
      <c r="U5200" s="773">
        <v>66</v>
      </c>
      <c r="V5200" s="773">
        <v>1</v>
      </c>
      <c r="W5200" s="773" t="s">
        <v>410</v>
      </c>
    </row>
    <row r="5201" spans="19:23">
      <c r="S5201" s="27">
        <v>44834</v>
      </c>
      <c r="T5201" s="773" t="s">
        <v>132</v>
      </c>
      <c r="U5201" s="773">
        <v>83</v>
      </c>
      <c r="V5201" s="773">
        <v>2431</v>
      </c>
      <c r="W5201" s="773" t="s">
        <v>390</v>
      </c>
    </row>
    <row r="5202" spans="19:23">
      <c r="S5202" s="27">
        <v>44469</v>
      </c>
      <c r="T5202" s="773" t="s">
        <v>132</v>
      </c>
      <c r="U5202" s="773">
        <v>523</v>
      </c>
      <c r="V5202" s="773">
        <v>13</v>
      </c>
      <c r="W5202" s="773" t="s">
        <v>410</v>
      </c>
    </row>
    <row r="5203" spans="19:23">
      <c r="S5203" s="27">
        <v>44469</v>
      </c>
      <c r="T5203" s="773" t="s">
        <v>132</v>
      </c>
      <c r="U5203" s="773">
        <v>254</v>
      </c>
      <c r="V5203" s="773">
        <v>8</v>
      </c>
      <c r="W5203" s="773" t="s">
        <v>410</v>
      </c>
    </row>
    <row r="5204" spans="19:23">
      <c r="S5204" s="27">
        <v>44834</v>
      </c>
      <c r="T5204" s="773" t="s">
        <v>132</v>
      </c>
      <c r="U5204" s="773">
        <v>687</v>
      </c>
      <c r="V5204" s="773">
        <v>3090</v>
      </c>
      <c r="W5204" s="773" t="s">
        <v>390</v>
      </c>
    </row>
    <row r="5205" spans="19:23">
      <c r="S5205" s="27">
        <v>44834</v>
      </c>
      <c r="T5205" s="773" t="s">
        <v>132</v>
      </c>
      <c r="U5205" s="773">
        <v>295</v>
      </c>
      <c r="V5205" s="773">
        <v>2</v>
      </c>
      <c r="W5205" s="773" t="s">
        <v>410</v>
      </c>
    </row>
    <row r="5206" spans="19:23">
      <c r="S5206" s="27">
        <v>44834</v>
      </c>
      <c r="T5206" s="773" t="s">
        <v>132</v>
      </c>
      <c r="U5206" s="773">
        <v>89</v>
      </c>
      <c r="V5206" s="773">
        <v>1106</v>
      </c>
      <c r="W5206" s="773" t="s">
        <v>390</v>
      </c>
    </row>
    <row r="5207" spans="19:23">
      <c r="S5207" s="27">
        <v>44469</v>
      </c>
      <c r="T5207" s="773" t="s">
        <v>132</v>
      </c>
      <c r="U5207" s="773">
        <v>84</v>
      </c>
      <c r="V5207" s="773">
        <v>2423</v>
      </c>
      <c r="W5207" s="773" t="s">
        <v>390</v>
      </c>
    </row>
    <row r="5208" spans="19:23">
      <c r="S5208" s="27">
        <v>44469</v>
      </c>
      <c r="T5208" s="773" t="s">
        <v>132</v>
      </c>
      <c r="U5208" s="773">
        <v>238</v>
      </c>
      <c r="V5208" s="773">
        <v>5</v>
      </c>
      <c r="W5208" s="773" t="s">
        <v>410</v>
      </c>
    </row>
    <row r="5209" spans="19:23">
      <c r="S5209" s="27">
        <v>44469</v>
      </c>
      <c r="T5209" s="773" t="s">
        <v>132</v>
      </c>
      <c r="U5209" s="773">
        <v>69</v>
      </c>
      <c r="V5209" s="773">
        <v>1</v>
      </c>
      <c r="W5209" s="773" t="s">
        <v>410</v>
      </c>
    </row>
    <row r="5210" spans="19:23">
      <c r="S5210" s="27">
        <v>44469</v>
      </c>
      <c r="T5210" s="773" t="s">
        <v>132</v>
      </c>
      <c r="U5210" s="773">
        <v>145</v>
      </c>
      <c r="V5210" s="773">
        <v>2</v>
      </c>
      <c r="W5210" s="773" t="s">
        <v>410</v>
      </c>
    </row>
    <row r="5211" spans="19:23">
      <c r="S5211" s="27">
        <v>44834</v>
      </c>
      <c r="T5211" s="773" t="s">
        <v>132</v>
      </c>
      <c r="U5211" s="773">
        <v>684</v>
      </c>
      <c r="V5211" s="773">
        <v>3355</v>
      </c>
      <c r="W5211" s="773" t="s">
        <v>390</v>
      </c>
    </row>
    <row r="5212" spans="19:23">
      <c r="S5212" s="27">
        <v>44834</v>
      </c>
      <c r="T5212" s="773" t="s">
        <v>132</v>
      </c>
      <c r="U5212" s="773">
        <v>188</v>
      </c>
      <c r="V5212" s="773">
        <v>706</v>
      </c>
      <c r="W5212" s="773" t="s">
        <v>390</v>
      </c>
    </row>
    <row r="5213" spans="19:23">
      <c r="S5213" s="27">
        <v>44834</v>
      </c>
      <c r="T5213" s="773" t="s">
        <v>132</v>
      </c>
      <c r="U5213" s="773">
        <v>157</v>
      </c>
      <c r="V5213" s="773">
        <v>8</v>
      </c>
      <c r="W5213" s="773" t="s">
        <v>410</v>
      </c>
    </row>
    <row r="5214" spans="19:23">
      <c r="S5214" s="27">
        <v>44469</v>
      </c>
      <c r="T5214" s="773" t="s">
        <v>132</v>
      </c>
      <c r="U5214" s="773">
        <v>58</v>
      </c>
      <c r="V5214" s="773">
        <v>3</v>
      </c>
      <c r="W5214" s="773" t="s">
        <v>410</v>
      </c>
    </row>
    <row r="5215" spans="19:23">
      <c r="S5215" s="27">
        <v>44469</v>
      </c>
      <c r="T5215" s="773" t="s">
        <v>132</v>
      </c>
      <c r="U5215" s="773">
        <v>660</v>
      </c>
      <c r="V5215" s="773">
        <v>4</v>
      </c>
      <c r="W5215" s="773" t="s">
        <v>410</v>
      </c>
    </row>
    <row r="5216" spans="19:23">
      <c r="S5216" s="27">
        <v>44469</v>
      </c>
      <c r="T5216" s="773" t="s">
        <v>132</v>
      </c>
      <c r="U5216" s="773">
        <v>63</v>
      </c>
      <c r="V5216" s="773">
        <v>2</v>
      </c>
      <c r="W5216" s="773" t="s">
        <v>410</v>
      </c>
    </row>
    <row r="5217" spans="19:23">
      <c r="S5217" s="27">
        <v>44834</v>
      </c>
      <c r="T5217" s="773" t="s">
        <v>132</v>
      </c>
      <c r="U5217" s="773">
        <v>140</v>
      </c>
      <c r="V5217" s="773">
        <v>464</v>
      </c>
      <c r="W5217" s="773" t="s">
        <v>390</v>
      </c>
    </row>
    <row r="5218" spans="19:23">
      <c r="S5218" s="27">
        <v>44469</v>
      </c>
      <c r="T5218" s="773" t="s">
        <v>132</v>
      </c>
      <c r="U5218" s="773">
        <v>293</v>
      </c>
      <c r="V5218" s="773">
        <v>503</v>
      </c>
      <c r="W5218" s="773" t="s">
        <v>390</v>
      </c>
    </row>
    <row r="5219" spans="19:23">
      <c r="S5219" s="27">
        <v>44834</v>
      </c>
      <c r="T5219" s="773" t="s">
        <v>132</v>
      </c>
      <c r="U5219" s="773">
        <v>316</v>
      </c>
      <c r="V5219" s="773">
        <v>8</v>
      </c>
      <c r="W5219" s="773" t="s">
        <v>410</v>
      </c>
    </row>
    <row r="5220" spans="19:23">
      <c r="S5220" s="27">
        <v>44834</v>
      </c>
      <c r="T5220" s="773" t="s">
        <v>132</v>
      </c>
      <c r="U5220" s="773">
        <v>162</v>
      </c>
      <c r="V5220" s="773">
        <v>2104</v>
      </c>
      <c r="W5220" s="773" t="s">
        <v>390</v>
      </c>
    </row>
    <row r="5221" spans="19:23">
      <c r="S5221" s="27">
        <v>44834</v>
      </c>
      <c r="T5221" s="773" t="s">
        <v>132</v>
      </c>
      <c r="U5221" s="773">
        <v>255</v>
      </c>
      <c r="V5221" s="773">
        <v>302</v>
      </c>
      <c r="W5221" s="773" t="s">
        <v>390</v>
      </c>
    </row>
    <row r="5222" spans="19:23">
      <c r="S5222" s="27">
        <v>44469</v>
      </c>
      <c r="T5222" s="773" t="s">
        <v>132</v>
      </c>
      <c r="U5222" s="773">
        <v>218</v>
      </c>
      <c r="V5222" s="773">
        <v>1021</v>
      </c>
      <c r="W5222" s="773" t="s">
        <v>390</v>
      </c>
    </row>
    <row r="5223" spans="19:23">
      <c r="S5223" s="27">
        <v>44834</v>
      </c>
      <c r="T5223" s="773" t="s">
        <v>132</v>
      </c>
      <c r="U5223" s="773">
        <v>63</v>
      </c>
      <c r="V5223" s="773">
        <v>1</v>
      </c>
      <c r="W5223" s="773" t="s">
        <v>410</v>
      </c>
    </row>
    <row r="5224" spans="19:23">
      <c r="S5224" s="27">
        <v>44469</v>
      </c>
      <c r="T5224" s="773" t="s">
        <v>132</v>
      </c>
      <c r="U5224" s="773">
        <v>162</v>
      </c>
      <c r="V5224" s="773">
        <v>2524</v>
      </c>
      <c r="W5224" s="773" t="s">
        <v>390</v>
      </c>
    </row>
    <row r="5225" spans="19:23">
      <c r="S5225" s="27">
        <v>44469</v>
      </c>
      <c r="T5225" s="773" t="s">
        <v>132</v>
      </c>
      <c r="U5225" s="773">
        <v>83</v>
      </c>
      <c r="V5225" s="773">
        <v>2138</v>
      </c>
      <c r="W5225" s="773" t="s">
        <v>390</v>
      </c>
    </row>
    <row r="5226" spans="19:23">
      <c r="S5226" s="27">
        <v>44834</v>
      </c>
      <c r="T5226" s="773" t="s">
        <v>132</v>
      </c>
      <c r="U5226" s="773">
        <v>291</v>
      </c>
      <c r="V5226" s="773">
        <v>1911</v>
      </c>
      <c r="W5226" s="773" t="s">
        <v>390</v>
      </c>
    </row>
    <row r="5227" spans="19:23">
      <c r="S5227" s="27">
        <v>44469</v>
      </c>
      <c r="T5227" s="773" t="s">
        <v>132</v>
      </c>
      <c r="U5227" s="773">
        <v>243</v>
      </c>
      <c r="V5227" s="773">
        <v>647</v>
      </c>
      <c r="W5227" s="773" t="s">
        <v>390</v>
      </c>
    </row>
    <row r="5228" spans="19:23">
      <c r="S5228" s="27">
        <v>44834</v>
      </c>
      <c r="T5228" s="773" t="s">
        <v>132</v>
      </c>
      <c r="U5228" s="773">
        <v>691</v>
      </c>
      <c r="V5228" s="773">
        <v>3203</v>
      </c>
      <c r="W5228" s="773" t="s">
        <v>390</v>
      </c>
    </row>
    <row r="5229" spans="19:23">
      <c r="S5229" s="27">
        <v>44469</v>
      </c>
      <c r="T5229" s="773" t="s">
        <v>132</v>
      </c>
      <c r="U5229" s="773">
        <v>152</v>
      </c>
      <c r="V5229" s="773">
        <v>2</v>
      </c>
      <c r="W5229" s="773" t="s">
        <v>410</v>
      </c>
    </row>
    <row r="5230" spans="19:23">
      <c r="S5230" s="27">
        <v>44469</v>
      </c>
      <c r="T5230" s="773" t="s">
        <v>132</v>
      </c>
      <c r="U5230" s="773">
        <v>124</v>
      </c>
      <c r="V5230" s="773">
        <v>10</v>
      </c>
      <c r="W5230" s="773" t="s">
        <v>410</v>
      </c>
    </row>
    <row r="5231" spans="19:23">
      <c r="S5231" s="27">
        <v>44469</v>
      </c>
      <c r="T5231" s="773" t="s">
        <v>132</v>
      </c>
      <c r="U5231" s="773">
        <v>158</v>
      </c>
      <c r="V5231" s="773">
        <v>85</v>
      </c>
      <c r="W5231" s="773" t="s">
        <v>410</v>
      </c>
    </row>
    <row r="5232" spans="19:23">
      <c r="S5232" s="27">
        <v>44834</v>
      </c>
      <c r="T5232" s="773" t="s">
        <v>132</v>
      </c>
      <c r="U5232" s="773">
        <v>283</v>
      </c>
      <c r="V5232" s="773">
        <v>1</v>
      </c>
      <c r="W5232" s="773" t="s">
        <v>410</v>
      </c>
    </row>
    <row r="5233" spans="19:23">
      <c r="S5233" s="27">
        <v>44834</v>
      </c>
      <c r="T5233" s="773" t="s">
        <v>132</v>
      </c>
      <c r="U5233" s="773">
        <v>294</v>
      </c>
      <c r="V5233" s="773">
        <v>3</v>
      </c>
      <c r="W5233" s="773" t="s">
        <v>410</v>
      </c>
    </row>
    <row r="5234" spans="19:23">
      <c r="S5234" s="27">
        <v>44834</v>
      </c>
      <c r="T5234" s="773" t="s">
        <v>132</v>
      </c>
      <c r="U5234" s="773">
        <v>653</v>
      </c>
      <c r="V5234" s="773">
        <v>2</v>
      </c>
      <c r="W5234" s="773" t="s">
        <v>410</v>
      </c>
    </row>
    <row r="5235" spans="19:23">
      <c r="S5235" s="27">
        <v>44834</v>
      </c>
      <c r="T5235" s="773" t="s">
        <v>132</v>
      </c>
      <c r="U5235" s="773">
        <v>297</v>
      </c>
      <c r="V5235" s="773">
        <v>793</v>
      </c>
      <c r="W5235" s="773" t="s">
        <v>390</v>
      </c>
    </row>
    <row r="5236" spans="19:23">
      <c r="S5236" s="27">
        <v>44834</v>
      </c>
      <c r="T5236" s="773" t="s">
        <v>132</v>
      </c>
      <c r="U5236" s="773">
        <v>245</v>
      </c>
      <c r="V5236" s="773">
        <v>3308</v>
      </c>
      <c r="W5236" s="773" t="s">
        <v>390</v>
      </c>
    </row>
    <row r="5237" spans="19:23">
      <c r="S5237" s="27">
        <v>44834</v>
      </c>
      <c r="T5237" s="773" t="s">
        <v>132</v>
      </c>
      <c r="U5237" s="773">
        <v>43</v>
      </c>
      <c r="V5237" s="773">
        <v>1037</v>
      </c>
      <c r="W5237" s="773" t="s">
        <v>390</v>
      </c>
    </row>
    <row r="5238" spans="19:23">
      <c r="S5238" s="27">
        <v>44834</v>
      </c>
      <c r="T5238" s="773" t="s">
        <v>132</v>
      </c>
      <c r="U5238" s="773">
        <v>249</v>
      </c>
      <c r="V5238" s="773">
        <v>3557</v>
      </c>
      <c r="W5238" s="773" t="s">
        <v>390</v>
      </c>
    </row>
    <row r="5239" spans="19:23">
      <c r="S5239" s="27">
        <v>44834</v>
      </c>
      <c r="T5239" s="773" t="s">
        <v>132</v>
      </c>
      <c r="U5239" s="773">
        <v>720</v>
      </c>
      <c r="V5239" s="773">
        <v>2657</v>
      </c>
      <c r="W5239" s="773" t="s">
        <v>390</v>
      </c>
    </row>
    <row r="5240" spans="19:23">
      <c r="S5240" s="27">
        <v>44469</v>
      </c>
      <c r="T5240" s="773" t="s">
        <v>132</v>
      </c>
      <c r="U5240" s="773">
        <v>322</v>
      </c>
      <c r="V5240" s="773">
        <v>2128</v>
      </c>
      <c r="W5240" s="773" t="s">
        <v>390</v>
      </c>
    </row>
    <row r="5241" spans="19:23">
      <c r="S5241" s="27">
        <v>44834</v>
      </c>
      <c r="T5241" s="773" t="s">
        <v>132</v>
      </c>
      <c r="U5241" s="773">
        <v>736</v>
      </c>
      <c r="V5241" s="773">
        <v>34</v>
      </c>
      <c r="W5241" s="773" t="s">
        <v>410</v>
      </c>
    </row>
    <row r="5242" spans="19:23">
      <c r="S5242" s="27">
        <v>44469</v>
      </c>
      <c r="T5242" s="773" t="s">
        <v>132</v>
      </c>
      <c r="U5242" s="773">
        <v>296</v>
      </c>
      <c r="V5242" s="773">
        <v>2353</v>
      </c>
      <c r="W5242" s="773" t="s">
        <v>390</v>
      </c>
    </row>
    <row r="5243" spans="19:23">
      <c r="S5243" s="27">
        <v>44834</v>
      </c>
      <c r="T5243" s="773" t="s">
        <v>132</v>
      </c>
      <c r="U5243" s="773">
        <v>727</v>
      </c>
      <c r="V5243" s="773">
        <v>3676</v>
      </c>
      <c r="W5243" s="773" t="s">
        <v>390</v>
      </c>
    </row>
    <row r="5244" spans="19:23">
      <c r="S5244" s="27">
        <v>44834</v>
      </c>
      <c r="T5244" s="773" t="s">
        <v>132</v>
      </c>
      <c r="U5244" s="773">
        <v>724</v>
      </c>
      <c r="V5244" s="773">
        <v>24</v>
      </c>
      <c r="W5244" s="773" t="s">
        <v>410</v>
      </c>
    </row>
    <row r="5245" spans="19:23">
      <c r="S5245" s="27">
        <v>44834</v>
      </c>
      <c r="T5245" s="773" t="s">
        <v>132</v>
      </c>
      <c r="U5245" s="773">
        <v>82</v>
      </c>
      <c r="V5245" s="773">
        <v>2374</v>
      </c>
      <c r="W5245" s="773" t="s">
        <v>390</v>
      </c>
    </row>
    <row r="5246" spans="19:23">
      <c r="S5246" s="27">
        <v>44834</v>
      </c>
      <c r="T5246" s="773" t="s">
        <v>132</v>
      </c>
      <c r="U5246" s="773">
        <v>246</v>
      </c>
      <c r="V5246" s="773">
        <v>2</v>
      </c>
      <c r="W5246" s="773" t="s">
        <v>410</v>
      </c>
    </row>
    <row r="5247" spans="19:23">
      <c r="S5247" s="27">
        <v>44469</v>
      </c>
      <c r="T5247" s="773" t="s">
        <v>132</v>
      </c>
      <c r="U5247" s="773">
        <v>78</v>
      </c>
      <c r="V5247" s="773">
        <v>1</v>
      </c>
      <c r="W5247" s="773" t="s">
        <v>410</v>
      </c>
    </row>
    <row r="5248" spans="19:23">
      <c r="S5248" s="27">
        <v>44834</v>
      </c>
      <c r="T5248" s="773" t="s">
        <v>132</v>
      </c>
      <c r="U5248" s="773">
        <v>680</v>
      </c>
      <c r="V5248" s="773">
        <v>3130</v>
      </c>
      <c r="W5248" s="773" t="s">
        <v>390</v>
      </c>
    </row>
    <row r="5249" spans="19:23">
      <c r="S5249" s="27">
        <v>44469</v>
      </c>
      <c r="T5249" s="773" t="s">
        <v>132</v>
      </c>
      <c r="U5249" s="773">
        <v>159</v>
      </c>
      <c r="V5249" s="773">
        <v>16</v>
      </c>
      <c r="W5249" s="773" t="s">
        <v>410</v>
      </c>
    </row>
    <row r="5250" spans="19:23">
      <c r="S5250" s="27">
        <v>44834</v>
      </c>
      <c r="T5250" s="773" t="s">
        <v>132</v>
      </c>
      <c r="U5250" s="773">
        <v>667</v>
      </c>
      <c r="V5250" s="773">
        <v>2</v>
      </c>
      <c r="W5250" s="773" t="s">
        <v>410</v>
      </c>
    </row>
    <row r="5251" spans="19:23">
      <c r="S5251" s="27">
        <v>44834</v>
      </c>
      <c r="T5251" s="773" t="s">
        <v>132</v>
      </c>
      <c r="U5251" s="773">
        <v>312</v>
      </c>
      <c r="V5251" s="773">
        <v>2852</v>
      </c>
      <c r="W5251" s="773" t="s">
        <v>390</v>
      </c>
    </row>
    <row r="5252" spans="19:23">
      <c r="S5252" s="27">
        <v>44469</v>
      </c>
      <c r="T5252" s="773" t="s">
        <v>132</v>
      </c>
      <c r="U5252" s="773">
        <v>252</v>
      </c>
      <c r="V5252" s="773">
        <v>1252</v>
      </c>
      <c r="W5252" s="773" t="s">
        <v>390</v>
      </c>
    </row>
    <row r="5253" spans="19:23">
      <c r="S5253" s="27">
        <v>44834</v>
      </c>
      <c r="T5253" s="773" t="s">
        <v>132</v>
      </c>
      <c r="U5253" s="773">
        <v>129</v>
      </c>
      <c r="V5253" s="773">
        <v>2</v>
      </c>
      <c r="W5253" s="773" t="s">
        <v>410</v>
      </c>
    </row>
    <row r="5254" spans="19:23">
      <c r="S5254" s="27">
        <v>44834</v>
      </c>
      <c r="T5254" s="773" t="s">
        <v>132</v>
      </c>
      <c r="U5254" s="773">
        <v>701</v>
      </c>
      <c r="V5254" s="773">
        <v>2440</v>
      </c>
      <c r="W5254" s="773" t="s">
        <v>390</v>
      </c>
    </row>
    <row r="5255" spans="19:23">
      <c r="S5255" s="27">
        <v>44469</v>
      </c>
      <c r="T5255" s="773" t="s">
        <v>132</v>
      </c>
      <c r="U5255" s="773">
        <v>679</v>
      </c>
      <c r="V5255" s="773">
        <v>3</v>
      </c>
      <c r="W5255" s="773" t="s">
        <v>410</v>
      </c>
    </row>
    <row r="5256" spans="19:23">
      <c r="S5256" s="27">
        <v>44469</v>
      </c>
      <c r="T5256" s="773" t="s">
        <v>132</v>
      </c>
      <c r="U5256" s="773">
        <v>641</v>
      </c>
      <c r="V5256" s="773">
        <v>2894</v>
      </c>
      <c r="W5256" s="773" t="s">
        <v>390</v>
      </c>
    </row>
    <row r="5257" spans="19:23">
      <c r="S5257" s="27">
        <v>44469</v>
      </c>
      <c r="T5257" s="773" t="s">
        <v>132</v>
      </c>
      <c r="U5257" s="773">
        <v>79</v>
      </c>
      <c r="V5257" s="773">
        <v>4</v>
      </c>
      <c r="W5257" s="773" t="s">
        <v>410</v>
      </c>
    </row>
    <row r="5258" spans="19:23">
      <c r="S5258" s="27">
        <v>44834</v>
      </c>
      <c r="T5258" s="773" t="s">
        <v>132</v>
      </c>
      <c r="U5258" s="773">
        <v>108</v>
      </c>
      <c r="V5258" s="773">
        <v>7</v>
      </c>
      <c r="W5258" s="773" t="s">
        <v>410</v>
      </c>
    </row>
    <row r="5259" spans="19:23">
      <c r="S5259" s="27">
        <v>44469</v>
      </c>
      <c r="T5259" s="773" t="s">
        <v>132</v>
      </c>
      <c r="U5259" s="773">
        <v>108</v>
      </c>
      <c r="V5259" s="773">
        <v>1</v>
      </c>
      <c r="W5259" s="773" t="s">
        <v>410</v>
      </c>
    </row>
    <row r="5260" spans="19:23">
      <c r="S5260" s="27">
        <v>44469</v>
      </c>
      <c r="T5260" s="773" t="s">
        <v>132</v>
      </c>
      <c r="U5260" s="773">
        <v>194</v>
      </c>
      <c r="V5260" s="773">
        <v>3380</v>
      </c>
      <c r="W5260" s="773" t="s">
        <v>390</v>
      </c>
    </row>
    <row r="5261" spans="19:23">
      <c r="S5261" s="27">
        <v>44834</v>
      </c>
      <c r="T5261" s="773" t="s">
        <v>132</v>
      </c>
      <c r="U5261" s="773">
        <v>182</v>
      </c>
      <c r="V5261" s="773">
        <v>172</v>
      </c>
      <c r="W5261" s="773" t="s">
        <v>390</v>
      </c>
    </row>
    <row r="5262" spans="19:23">
      <c r="S5262" s="27">
        <v>44469</v>
      </c>
      <c r="T5262" s="773" t="s">
        <v>132</v>
      </c>
      <c r="U5262" s="773">
        <v>699</v>
      </c>
      <c r="V5262" s="773">
        <v>2232</v>
      </c>
      <c r="W5262" s="773" t="s">
        <v>390</v>
      </c>
    </row>
    <row r="5263" spans="19:23">
      <c r="S5263" s="27">
        <v>44834</v>
      </c>
      <c r="T5263" s="773" t="s">
        <v>132</v>
      </c>
      <c r="U5263" s="773">
        <v>654</v>
      </c>
      <c r="V5263" s="773">
        <v>1065</v>
      </c>
      <c r="W5263" s="773" t="s">
        <v>390</v>
      </c>
    </row>
    <row r="5264" spans="19:23">
      <c r="S5264" s="27">
        <v>44469</v>
      </c>
      <c r="T5264" s="773" t="s">
        <v>132</v>
      </c>
      <c r="U5264" s="773">
        <v>276</v>
      </c>
      <c r="V5264" s="773">
        <v>1</v>
      </c>
      <c r="W5264" s="773" t="s">
        <v>410</v>
      </c>
    </row>
    <row r="5265" spans="19:23">
      <c r="S5265" s="27">
        <v>44469</v>
      </c>
      <c r="T5265" s="773" t="s">
        <v>132</v>
      </c>
      <c r="U5265" s="773">
        <v>700</v>
      </c>
      <c r="V5265" s="773">
        <v>1460</v>
      </c>
      <c r="W5265" s="773" t="s">
        <v>390</v>
      </c>
    </row>
    <row r="5266" spans="19:23">
      <c r="S5266" s="27">
        <v>44469</v>
      </c>
      <c r="T5266" s="773" t="s">
        <v>132</v>
      </c>
      <c r="U5266" s="773">
        <v>52</v>
      </c>
      <c r="V5266" s="773">
        <v>2</v>
      </c>
      <c r="W5266" s="773" t="s">
        <v>410</v>
      </c>
    </row>
    <row r="5267" spans="19:23">
      <c r="S5267" s="27">
        <v>44834</v>
      </c>
      <c r="T5267" s="773" t="s">
        <v>132</v>
      </c>
      <c r="U5267" s="773">
        <v>240</v>
      </c>
      <c r="V5267" s="773">
        <v>3</v>
      </c>
      <c r="W5267" s="773" t="s">
        <v>410</v>
      </c>
    </row>
    <row r="5268" spans="19:23">
      <c r="S5268" s="27">
        <v>44469</v>
      </c>
      <c r="T5268" s="773" t="s">
        <v>132</v>
      </c>
      <c r="U5268" s="773">
        <v>321</v>
      </c>
      <c r="V5268" s="773">
        <v>643</v>
      </c>
      <c r="W5268" s="773" t="s">
        <v>390</v>
      </c>
    </row>
    <row r="5269" spans="19:23">
      <c r="S5269" s="27">
        <v>44469</v>
      </c>
      <c r="T5269" s="773" t="s">
        <v>132</v>
      </c>
      <c r="U5269" s="773">
        <v>275</v>
      </c>
      <c r="V5269" s="773">
        <v>898</v>
      </c>
      <c r="W5269" s="773" t="s">
        <v>390</v>
      </c>
    </row>
    <row r="5270" spans="19:23">
      <c r="S5270" s="27">
        <v>44469</v>
      </c>
      <c r="T5270" s="773" t="s">
        <v>132</v>
      </c>
      <c r="U5270" s="773">
        <v>43</v>
      </c>
      <c r="V5270" s="773">
        <v>3129</v>
      </c>
      <c r="W5270" s="773" t="s">
        <v>390</v>
      </c>
    </row>
    <row r="5271" spans="19:23">
      <c r="S5271" s="27">
        <v>44834</v>
      </c>
      <c r="T5271" s="773" t="s">
        <v>132</v>
      </c>
      <c r="U5271" s="773">
        <v>732</v>
      </c>
      <c r="V5271" s="773">
        <v>3569</v>
      </c>
      <c r="W5271" s="773" t="s">
        <v>390</v>
      </c>
    </row>
    <row r="5272" spans="19:23">
      <c r="S5272" s="27">
        <v>44469</v>
      </c>
      <c r="T5272" s="773" t="s">
        <v>132</v>
      </c>
      <c r="U5272" s="773">
        <v>149</v>
      </c>
      <c r="V5272" s="773">
        <v>1</v>
      </c>
      <c r="W5272" s="773" t="s">
        <v>410</v>
      </c>
    </row>
    <row r="5273" spans="19:23">
      <c r="S5273" s="27">
        <v>44834</v>
      </c>
      <c r="T5273" s="773" t="s">
        <v>132</v>
      </c>
      <c r="U5273" s="773">
        <v>194</v>
      </c>
      <c r="V5273" s="773">
        <v>3935</v>
      </c>
      <c r="W5273" s="773" t="s">
        <v>390</v>
      </c>
    </row>
    <row r="5274" spans="19:23">
      <c r="S5274" s="27">
        <v>44834</v>
      </c>
      <c r="T5274" s="773" t="s">
        <v>132</v>
      </c>
      <c r="U5274" s="773">
        <v>718</v>
      </c>
      <c r="V5274" s="773">
        <v>1400</v>
      </c>
      <c r="W5274" s="773" t="s">
        <v>390</v>
      </c>
    </row>
    <row r="5275" spans="19:23">
      <c r="S5275" s="27">
        <v>44469</v>
      </c>
      <c r="T5275" s="773" t="s">
        <v>132</v>
      </c>
      <c r="U5275" s="773">
        <v>299</v>
      </c>
      <c r="V5275" s="773">
        <v>1</v>
      </c>
      <c r="W5275" s="773" t="s">
        <v>410</v>
      </c>
    </row>
    <row r="5276" spans="19:23">
      <c r="S5276" s="27">
        <v>44834</v>
      </c>
      <c r="T5276" s="773" t="s">
        <v>132</v>
      </c>
      <c r="U5276" s="773">
        <v>306</v>
      </c>
      <c r="V5276" s="773">
        <v>2316</v>
      </c>
      <c r="W5276" s="773" t="s">
        <v>390</v>
      </c>
    </row>
    <row r="5277" spans="19:23">
      <c r="S5277" s="27">
        <v>44469</v>
      </c>
      <c r="T5277" s="773" t="s">
        <v>132</v>
      </c>
      <c r="U5277" s="773">
        <v>91</v>
      </c>
      <c r="V5277" s="773">
        <v>2</v>
      </c>
      <c r="W5277" s="773" t="s">
        <v>410</v>
      </c>
    </row>
    <row r="5278" spans="19:23">
      <c r="S5278" s="27">
        <v>44834</v>
      </c>
      <c r="T5278" s="773" t="s">
        <v>132</v>
      </c>
      <c r="U5278" s="773">
        <v>686</v>
      </c>
      <c r="V5278" s="773">
        <v>2954</v>
      </c>
      <c r="W5278" s="773" t="s">
        <v>390</v>
      </c>
    </row>
    <row r="5279" spans="19:23">
      <c r="S5279" s="27">
        <v>44834</v>
      </c>
      <c r="T5279" s="773" t="s">
        <v>132</v>
      </c>
      <c r="U5279" s="773">
        <v>658</v>
      </c>
      <c r="V5279" s="773">
        <v>3563</v>
      </c>
      <c r="W5279" s="773" t="s">
        <v>390</v>
      </c>
    </row>
    <row r="5280" spans="19:23">
      <c r="S5280" s="27">
        <v>44469</v>
      </c>
      <c r="T5280" s="773" t="s">
        <v>132</v>
      </c>
      <c r="U5280" s="773">
        <v>173</v>
      </c>
      <c r="V5280" s="773">
        <v>2</v>
      </c>
      <c r="W5280" s="773" t="s">
        <v>410</v>
      </c>
    </row>
    <row r="5281" spans="19:23">
      <c r="S5281" s="27">
        <v>44834</v>
      </c>
      <c r="T5281" s="773" t="s">
        <v>132</v>
      </c>
      <c r="U5281" s="773">
        <v>725</v>
      </c>
      <c r="V5281" s="773">
        <v>71</v>
      </c>
      <c r="W5281" s="773" t="s">
        <v>410</v>
      </c>
    </row>
    <row r="5282" spans="19:23">
      <c r="S5282" s="27">
        <v>44469</v>
      </c>
      <c r="T5282" s="773" t="s">
        <v>132</v>
      </c>
      <c r="U5282" s="773">
        <v>231</v>
      </c>
      <c r="V5282" s="773">
        <v>4</v>
      </c>
      <c r="W5282" s="773" t="s">
        <v>410</v>
      </c>
    </row>
    <row r="5283" spans="19:23">
      <c r="S5283" s="27">
        <v>44469</v>
      </c>
      <c r="T5283" s="773" t="s">
        <v>132</v>
      </c>
      <c r="U5283" s="773">
        <v>233</v>
      </c>
      <c r="V5283" s="773">
        <v>8681</v>
      </c>
      <c r="W5283" s="773" t="s">
        <v>390</v>
      </c>
    </row>
    <row r="5284" spans="19:23">
      <c r="S5284" s="27">
        <v>44469</v>
      </c>
      <c r="T5284" s="773" t="s">
        <v>132</v>
      </c>
      <c r="U5284" s="773">
        <v>688</v>
      </c>
      <c r="V5284" s="773">
        <v>2846</v>
      </c>
      <c r="W5284" s="773" t="s">
        <v>390</v>
      </c>
    </row>
    <row r="5285" spans="19:23">
      <c r="S5285" s="27">
        <v>44469</v>
      </c>
      <c r="T5285" s="773" t="s">
        <v>132</v>
      </c>
      <c r="U5285" s="773">
        <v>279</v>
      </c>
      <c r="V5285" s="773">
        <v>4102</v>
      </c>
      <c r="W5285" s="773" t="s">
        <v>390</v>
      </c>
    </row>
    <row r="5286" spans="19:23">
      <c r="S5286" s="27">
        <v>44834</v>
      </c>
      <c r="T5286" s="773" t="s">
        <v>132</v>
      </c>
      <c r="U5286" s="773">
        <v>231</v>
      </c>
      <c r="V5286" s="773">
        <v>4</v>
      </c>
      <c r="W5286" s="773" t="s">
        <v>410</v>
      </c>
    </row>
    <row r="5287" spans="19:23">
      <c r="S5287" s="27">
        <v>44469</v>
      </c>
      <c r="T5287" s="773" t="s">
        <v>132</v>
      </c>
      <c r="U5287" s="773">
        <v>97</v>
      </c>
      <c r="V5287" s="773">
        <v>3</v>
      </c>
      <c r="W5287" s="773" t="s">
        <v>410</v>
      </c>
    </row>
    <row r="5288" spans="19:23">
      <c r="S5288" s="27">
        <v>44834</v>
      </c>
      <c r="T5288" s="773" t="s">
        <v>132</v>
      </c>
      <c r="U5288" s="773">
        <v>94</v>
      </c>
      <c r="V5288" s="773">
        <v>373</v>
      </c>
      <c r="W5288" s="773" t="s">
        <v>390</v>
      </c>
    </row>
    <row r="5289" spans="19:23">
      <c r="S5289" s="27">
        <v>44834</v>
      </c>
      <c r="T5289" s="773" t="s">
        <v>132</v>
      </c>
      <c r="U5289" s="773">
        <v>319</v>
      </c>
      <c r="V5289" s="773">
        <v>3295</v>
      </c>
      <c r="W5289" s="773" t="s">
        <v>390</v>
      </c>
    </row>
    <row r="5290" spans="19:23">
      <c r="S5290" s="27">
        <v>44469</v>
      </c>
      <c r="T5290" s="773" t="s">
        <v>132</v>
      </c>
      <c r="U5290" s="773">
        <v>295</v>
      </c>
      <c r="V5290" s="773">
        <v>6</v>
      </c>
      <c r="W5290" s="773" t="s">
        <v>410</v>
      </c>
    </row>
    <row r="5291" spans="19:23">
      <c r="S5291" s="27">
        <v>44469</v>
      </c>
      <c r="T5291" s="773" t="s">
        <v>132</v>
      </c>
      <c r="U5291" s="773">
        <v>271</v>
      </c>
      <c r="V5291" s="773">
        <v>2613</v>
      </c>
      <c r="W5291" s="773" t="s">
        <v>390</v>
      </c>
    </row>
    <row r="5292" spans="19:23">
      <c r="S5292" s="27">
        <v>44834</v>
      </c>
      <c r="T5292" s="773" t="s">
        <v>132</v>
      </c>
      <c r="U5292" s="773">
        <v>328</v>
      </c>
      <c r="V5292" s="773">
        <v>1488</v>
      </c>
      <c r="W5292" s="773" t="s">
        <v>390</v>
      </c>
    </row>
    <row r="5293" spans="19:23">
      <c r="S5293" s="27">
        <v>44834</v>
      </c>
      <c r="T5293" s="773" t="s">
        <v>132</v>
      </c>
      <c r="U5293" s="773">
        <v>303</v>
      </c>
      <c r="V5293" s="773">
        <v>2531</v>
      </c>
      <c r="W5293" s="773" t="s">
        <v>390</v>
      </c>
    </row>
    <row r="5294" spans="19:23">
      <c r="S5294" s="27">
        <v>44469</v>
      </c>
      <c r="T5294" s="773" t="s">
        <v>132</v>
      </c>
      <c r="U5294" s="773">
        <v>13</v>
      </c>
      <c r="V5294" s="773">
        <v>3240</v>
      </c>
      <c r="W5294" s="773" t="s">
        <v>390</v>
      </c>
    </row>
    <row r="5295" spans="19:23">
      <c r="S5295" s="27">
        <v>44834</v>
      </c>
      <c r="T5295" s="773" t="s">
        <v>132</v>
      </c>
      <c r="U5295" s="773">
        <v>56</v>
      </c>
      <c r="V5295" s="773">
        <v>3</v>
      </c>
      <c r="W5295" s="773" t="s">
        <v>410</v>
      </c>
    </row>
    <row r="5296" spans="19:23">
      <c r="S5296" s="27">
        <v>44834</v>
      </c>
      <c r="T5296" s="773" t="s">
        <v>132</v>
      </c>
      <c r="U5296" s="773">
        <v>296</v>
      </c>
      <c r="V5296" s="773">
        <v>2519</v>
      </c>
      <c r="W5296" s="773" t="s">
        <v>390</v>
      </c>
    </row>
    <row r="5297" spans="19:23">
      <c r="S5297" s="27">
        <v>44469</v>
      </c>
      <c r="T5297" s="773" t="s">
        <v>132</v>
      </c>
      <c r="U5297" s="773">
        <v>653</v>
      </c>
      <c r="V5297" s="773">
        <v>98</v>
      </c>
      <c r="W5297" s="773" t="s">
        <v>410</v>
      </c>
    </row>
    <row r="5298" spans="19:23">
      <c r="S5298" s="27">
        <v>44834</v>
      </c>
      <c r="T5298" s="773" t="s">
        <v>132</v>
      </c>
      <c r="U5298" s="773">
        <v>150</v>
      </c>
      <c r="V5298" s="773">
        <v>324</v>
      </c>
      <c r="W5298" s="773" t="s">
        <v>390</v>
      </c>
    </row>
    <row r="5299" spans="19:23">
      <c r="S5299" s="27">
        <v>44500</v>
      </c>
      <c r="T5299" s="773" t="s">
        <v>132</v>
      </c>
      <c r="U5299" s="773">
        <v>176</v>
      </c>
      <c r="V5299" s="773">
        <v>1</v>
      </c>
      <c r="W5299" s="773" t="s">
        <v>410</v>
      </c>
    </row>
    <row r="5300" spans="19:23">
      <c r="S5300" s="27">
        <v>44865</v>
      </c>
      <c r="T5300" s="773" t="s">
        <v>132</v>
      </c>
      <c r="U5300" s="773">
        <v>729</v>
      </c>
      <c r="V5300" s="773">
        <v>61</v>
      </c>
      <c r="W5300" s="773" t="s">
        <v>410</v>
      </c>
    </row>
    <row r="5301" spans="19:23">
      <c r="S5301" s="27">
        <v>44865</v>
      </c>
      <c r="T5301" s="773" t="s">
        <v>132</v>
      </c>
      <c r="U5301" s="773">
        <v>202</v>
      </c>
      <c r="V5301" s="773">
        <v>1</v>
      </c>
      <c r="W5301" s="773" t="s">
        <v>410</v>
      </c>
    </row>
    <row r="5302" spans="19:23">
      <c r="S5302" s="27">
        <v>44500</v>
      </c>
      <c r="T5302" s="773" t="s">
        <v>132</v>
      </c>
      <c r="U5302" s="773">
        <v>213</v>
      </c>
      <c r="V5302" s="773">
        <v>2857</v>
      </c>
      <c r="W5302" s="773" t="s">
        <v>390</v>
      </c>
    </row>
    <row r="5303" spans="19:23">
      <c r="S5303" s="27">
        <v>44500</v>
      </c>
      <c r="T5303" s="773" t="s">
        <v>132</v>
      </c>
      <c r="U5303" s="773">
        <v>240</v>
      </c>
      <c r="V5303" s="773">
        <v>7</v>
      </c>
      <c r="W5303" s="773" t="s">
        <v>410</v>
      </c>
    </row>
    <row r="5304" spans="19:23">
      <c r="S5304" s="27">
        <v>44500</v>
      </c>
      <c r="T5304" s="773" t="s">
        <v>132</v>
      </c>
      <c r="U5304" s="773">
        <v>72</v>
      </c>
      <c r="V5304" s="773">
        <v>3</v>
      </c>
      <c r="W5304" s="773" t="s">
        <v>410</v>
      </c>
    </row>
    <row r="5305" spans="19:23">
      <c r="S5305" s="27">
        <v>44865</v>
      </c>
      <c r="T5305" s="773" t="s">
        <v>132</v>
      </c>
      <c r="U5305" s="773">
        <v>96</v>
      </c>
      <c r="V5305" s="773">
        <v>1</v>
      </c>
      <c r="W5305" s="773" t="s">
        <v>410</v>
      </c>
    </row>
    <row r="5306" spans="19:23">
      <c r="S5306" s="27">
        <v>44865</v>
      </c>
      <c r="T5306" s="773" t="s">
        <v>132</v>
      </c>
      <c r="U5306" s="773">
        <v>750</v>
      </c>
      <c r="V5306" s="773">
        <v>13</v>
      </c>
      <c r="W5306" s="773" t="s">
        <v>410</v>
      </c>
    </row>
    <row r="5307" spans="19:23">
      <c r="S5307" s="27">
        <v>44865</v>
      </c>
      <c r="T5307" s="773" t="s">
        <v>132</v>
      </c>
      <c r="U5307" s="773">
        <v>305</v>
      </c>
      <c r="V5307" s="773">
        <v>5009</v>
      </c>
      <c r="W5307" s="773" t="s">
        <v>390</v>
      </c>
    </row>
    <row r="5308" spans="19:23">
      <c r="S5308" s="27">
        <v>44500</v>
      </c>
      <c r="T5308" s="773" t="s">
        <v>132</v>
      </c>
      <c r="U5308" s="773">
        <v>169</v>
      </c>
      <c r="V5308" s="773">
        <v>2621</v>
      </c>
      <c r="W5308" s="773" t="s">
        <v>390</v>
      </c>
    </row>
    <row r="5309" spans="19:23">
      <c r="S5309" s="27">
        <v>44865</v>
      </c>
      <c r="T5309" s="773" t="s">
        <v>132</v>
      </c>
      <c r="U5309" s="773">
        <v>292</v>
      </c>
      <c r="V5309" s="773">
        <v>4</v>
      </c>
      <c r="W5309" s="773" t="s">
        <v>410</v>
      </c>
    </row>
    <row r="5310" spans="19:23">
      <c r="S5310" s="27">
        <v>44500</v>
      </c>
      <c r="T5310" s="773" t="s">
        <v>132</v>
      </c>
      <c r="U5310" s="773">
        <v>999</v>
      </c>
      <c r="V5310" s="773">
        <v>1</v>
      </c>
      <c r="W5310" s="773" t="s">
        <v>410</v>
      </c>
    </row>
    <row r="5311" spans="19:23">
      <c r="S5311" s="27">
        <v>44500</v>
      </c>
      <c r="T5311" s="773" t="s">
        <v>132</v>
      </c>
      <c r="U5311" s="773">
        <v>222</v>
      </c>
      <c r="V5311" s="773">
        <v>2</v>
      </c>
      <c r="W5311" s="773" t="s">
        <v>410</v>
      </c>
    </row>
    <row r="5312" spans="19:23">
      <c r="S5312" s="27">
        <v>44500</v>
      </c>
      <c r="T5312" s="773" t="s">
        <v>132</v>
      </c>
      <c r="U5312" s="773">
        <v>698</v>
      </c>
      <c r="V5312" s="773">
        <v>2686</v>
      </c>
      <c r="W5312" s="773" t="s">
        <v>390</v>
      </c>
    </row>
    <row r="5313" spans="19:23">
      <c r="S5313" s="27">
        <v>44865</v>
      </c>
      <c r="T5313" s="773" t="s">
        <v>132</v>
      </c>
      <c r="U5313" s="773">
        <v>294</v>
      </c>
      <c r="V5313" s="773">
        <v>3</v>
      </c>
      <c r="W5313" s="773" t="s">
        <v>410</v>
      </c>
    </row>
    <row r="5314" spans="19:23">
      <c r="S5314" s="27">
        <v>44865</v>
      </c>
      <c r="T5314" s="773" t="s">
        <v>132</v>
      </c>
      <c r="U5314" s="773">
        <v>11</v>
      </c>
      <c r="V5314" s="773">
        <v>27</v>
      </c>
      <c r="W5314" s="773" t="s">
        <v>410</v>
      </c>
    </row>
    <row r="5315" spans="19:23">
      <c r="S5315" s="27">
        <v>44865</v>
      </c>
      <c r="T5315" s="773" t="s">
        <v>132</v>
      </c>
      <c r="U5315" s="773">
        <v>265</v>
      </c>
      <c r="V5315" s="773">
        <v>20</v>
      </c>
      <c r="W5315" s="773" t="s">
        <v>410</v>
      </c>
    </row>
    <row r="5316" spans="19:23">
      <c r="S5316" s="27">
        <v>44500</v>
      </c>
      <c r="T5316" s="773" t="s">
        <v>132</v>
      </c>
      <c r="U5316" s="773">
        <v>367</v>
      </c>
      <c r="V5316" s="773">
        <v>14</v>
      </c>
      <c r="W5316" s="773" t="s">
        <v>410</v>
      </c>
    </row>
    <row r="5317" spans="19:23">
      <c r="S5317" s="27">
        <v>44865</v>
      </c>
      <c r="T5317" s="773" t="s">
        <v>132</v>
      </c>
      <c r="U5317" s="773">
        <v>315</v>
      </c>
      <c r="V5317" s="773">
        <v>1883</v>
      </c>
      <c r="W5317" s="773" t="s">
        <v>390</v>
      </c>
    </row>
    <row r="5318" spans="19:23">
      <c r="S5318" s="27">
        <v>44500</v>
      </c>
      <c r="T5318" s="773" t="s">
        <v>132</v>
      </c>
      <c r="U5318" s="773">
        <v>704</v>
      </c>
      <c r="V5318" s="773">
        <v>2203</v>
      </c>
      <c r="W5318" s="773" t="s">
        <v>390</v>
      </c>
    </row>
    <row r="5319" spans="19:23">
      <c r="S5319" s="27">
        <v>44865</v>
      </c>
      <c r="T5319" s="773" t="s">
        <v>132</v>
      </c>
      <c r="U5319" s="773">
        <v>324</v>
      </c>
      <c r="V5319" s="773">
        <v>1643</v>
      </c>
      <c r="W5319" s="773" t="s">
        <v>390</v>
      </c>
    </row>
    <row r="5320" spans="19:23">
      <c r="S5320" s="27">
        <v>44865</v>
      </c>
      <c r="T5320" s="773" t="s">
        <v>132</v>
      </c>
      <c r="U5320" s="773">
        <v>663</v>
      </c>
      <c r="V5320" s="773">
        <v>667</v>
      </c>
      <c r="W5320" s="773" t="s">
        <v>390</v>
      </c>
    </row>
    <row r="5321" spans="19:23">
      <c r="S5321" s="27">
        <v>44500</v>
      </c>
      <c r="T5321" s="773" t="s">
        <v>132</v>
      </c>
      <c r="U5321" s="773">
        <v>78</v>
      </c>
      <c r="V5321" s="773">
        <v>1</v>
      </c>
      <c r="W5321" s="773" t="s">
        <v>410</v>
      </c>
    </row>
    <row r="5322" spans="19:23">
      <c r="S5322" s="27">
        <v>44865</v>
      </c>
      <c r="T5322" s="773" t="s">
        <v>132</v>
      </c>
      <c r="U5322" s="773">
        <v>254</v>
      </c>
      <c r="V5322" s="773">
        <v>4</v>
      </c>
      <c r="W5322" s="773" t="s">
        <v>410</v>
      </c>
    </row>
    <row r="5323" spans="19:23">
      <c r="S5323" s="27">
        <v>44500</v>
      </c>
      <c r="T5323" s="773" t="s">
        <v>132</v>
      </c>
      <c r="U5323" s="773">
        <v>48</v>
      </c>
      <c r="V5323" s="773">
        <v>769</v>
      </c>
      <c r="W5323" s="773" t="s">
        <v>390</v>
      </c>
    </row>
    <row r="5324" spans="19:23">
      <c r="S5324" s="27">
        <v>44865</v>
      </c>
      <c r="T5324" s="773" t="s">
        <v>132</v>
      </c>
      <c r="U5324" s="773">
        <v>675</v>
      </c>
      <c r="V5324" s="773">
        <v>2</v>
      </c>
      <c r="W5324" s="773" t="s">
        <v>410</v>
      </c>
    </row>
    <row r="5325" spans="19:23">
      <c r="S5325" s="27">
        <v>44865</v>
      </c>
      <c r="T5325" s="773" t="s">
        <v>132</v>
      </c>
      <c r="U5325" s="773">
        <v>63</v>
      </c>
      <c r="V5325" s="773">
        <v>1</v>
      </c>
      <c r="W5325" s="773" t="s">
        <v>410</v>
      </c>
    </row>
    <row r="5326" spans="19:23">
      <c r="S5326" s="27">
        <v>44865</v>
      </c>
      <c r="T5326" s="773" t="s">
        <v>132</v>
      </c>
      <c r="U5326" s="773">
        <v>43</v>
      </c>
      <c r="V5326" s="773">
        <v>1025</v>
      </c>
      <c r="W5326" s="773" t="s">
        <v>390</v>
      </c>
    </row>
    <row r="5327" spans="19:23">
      <c r="S5327" s="27">
        <v>44865</v>
      </c>
      <c r="T5327" s="773" t="s">
        <v>132</v>
      </c>
      <c r="U5327" s="773">
        <v>109</v>
      </c>
      <c r="V5327" s="773">
        <v>2</v>
      </c>
      <c r="W5327" s="773" t="s">
        <v>410</v>
      </c>
    </row>
    <row r="5328" spans="19:23">
      <c r="S5328" s="27">
        <v>44865</v>
      </c>
      <c r="T5328" s="773" t="s">
        <v>132</v>
      </c>
      <c r="U5328" s="773">
        <v>0</v>
      </c>
      <c r="V5328" s="773">
        <v>42</v>
      </c>
      <c r="W5328" s="773" t="s">
        <v>410</v>
      </c>
    </row>
    <row r="5329" spans="19:23">
      <c r="S5329" s="27">
        <v>44500</v>
      </c>
      <c r="T5329" s="773" t="s">
        <v>132</v>
      </c>
      <c r="U5329" s="773">
        <v>295</v>
      </c>
      <c r="V5329" s="773">
        <v>7</v>
      </c>
      <c r="W5329" s="773" t="s">
        <v>410</v>
      </c>
    </row>
    <row r="5330" spans="19:23">
      <c r="S5330" s="27">
        <v>44500</v>
      </c>
      <c r="T5330" s="773" t="s">
        <v>132</v>
      </c>
      <c r="U5330" s="773">
        <v>94</v>
      </c>
      <c r="V5330" s="773">
        <v>150</v>
      </c>
      <c r="W5330" s="773" t="s">
        <v>390</v>
      </c>
    </row>
    <row r="5331" spans="19:23">
      <c r="S5331" s="27">
        <v>44865</v>
      </c>
      <c r="T5331" s="773" t="s">
        <v>132</v>
      </c>
      <c r="U5331" s="773">
        <v>676</v>
      </c>
      <c r="V5331" s="773">
        <v>2</v>
      </c>
      <c r="W5331" s="773" t="s">
        <v>410</v>
      </c>
    </row>
    <row r="5332" spans="19:23">
      <c r="S5332" s="27">
        <v>44500</v>
      </c>
      <c r="T5332" s="773" t="s">
        <v>132</v>
      </c>
      <c r="U5332" s="773">
        <v>691</v>
      </c>
      <c r="V5332" s="773">
        <v>2449</v>
      </c>
      <c r="W5332" s="773" t="s">
        <v>390</v>
      </c>
    </row>
    <row r="5333" spans="19:23">
      <c r="S5333" s="27">
        <v>44865</v>
      </c>
      <c r="T5333" s="773" t="s">
        <v>132</v>
      </c>
      <c r="U5333" s="773">
        <v>232</v>
      </c>
      <c r="V5333" s="773">
        <v>2</v>
      </c>
      <c r="W5333" s="773" t="s">
        <v>410</v>
      </c>
    </row>
    <row r="5334" spans="19:23">
      <c r="S5334" s="27">
        <v>44865</v>
      </c>
      <c r="T5334" s="773" t="s">
        <v>132</v>
      </c>
      <c r="U5334" s="773">
        <v>246</v>
      </c>
      <c r="V5334" s="773">
        <v>3</v>
      </c>
      <c r="W5334" s="773" t="s">
        <v>410</v>
      </c>
    </row>
    <row r="5335" spans="19:23">
      <c r="S5335" s="27">
        <v>44500</v>
      </c>
      <c r="T5335" s="773" t="s">
        <v>132</v>
      </c>
      <c r="U5335" s="773">
        <v>212</v>
      </c>
      <c r="V5335" s="773">
        <v>3403</v>
      </c>
      <c r="W5335" s="773" t="s">
        <v>390</v>
      </c>
    </row>
    <row r="5336" spans="19:23">
      <c r="S5336" s="27">
        <v>44865</v>
      </c>
      <c r="T5336" s="773" t="s">
        <v>132</v>
      </c>
      <c r="U5336" s="773">
        <v>681</v>
      </c>
      <c r="V5336" s="773">
        <v>651</v>
      </c>
      <c r="W5336" s="773" t="s">
        <v>390</v>
      </c>
    </row>
    <row r="5337" spans="19:23">
      <c r="S5337" s="27">
        <v>44500</v>
      </c>
      <c r="T5337" s="773" t="s">
        <v>132</v>
      </c>
      <c r="U5337" s="773">
        <v>124</v>
      </c>
      <c r="V5337" s="773">
        <v>11</v>
      </c>
      <c r="W5337" s="773" t="s">
        <v>410</v>
      </c>
    </row>
    <row r="5338" spans="19:23">
      <c r="S5338" s="27">
        <v>44865</v>
      </c>
      <c r="T5338" s="773" t="s">
        <v>132</v>
      </c>
      <c r="U5338" s="773">
        <v>667</v>
      </c>
      <c r="V5338" s="773">
        <v>2</v>
      </c>
      <c r="W5338" s="773" t="s">
        <v>410</v>
      </c>
    </row>
    <row r="5339" spans="19:23">
      <c r="S5339" s="27">
        <v>44500</v>
      </c>
      <c r="T5339" s="773" t="s">
        <v>132</v>
      </c>
      <c r="U5339" s="773">
        <v>191</v>
      </c>
      <c r="V5339" s="773">
        <v>1872</v>
      </c>
      <c r="W5339" s="773" t="s">
        <v>390</v>
      </c>
    </row>
    <row r="5340" spans="19:23">
      <c r="S5340" s="27">
        <v>44500</v>
      </c>
      <c r="T5340" s="773" t="s">
        <v>132</v>
      </c>
      <c r="U5340" s="773">
        <v>309</v>
      </c>
      <c r="V5340" s="773">
        <v>22</v>
      </c>
      <c r="W5340" s="773" t="s">
        <v>410</v>
      </c>
    </row>
    <row r="5341" spans="19:23">
      <c r="S5341" s="27">
        <v>44865</v>
      </c>
      <c r="T5341" s="773" t="s">
        <v>132</v>
      </c>
      <c r="U5341" s="773">
        <v>304</v>
      </c>
      <c r="V5341" s="773">
        <v>116</v>
      </c>
      <c r="W5341" s="773" t="s">
        <v>390</v>
      </c>
    </row>
    <row r="5342" spans="19:23">
      <c r="S5342" s="27">
        <v>44865</v>
      </c>
      <c r="T5342" s="773" t="s">
        <v>132</v>
      </c>
      <c r="U5342" s="773">
        <v>182</v>
      </c>
      <c r="V5342" s="773">
        <v>170</v>
      </c>
      <c r="W5342" s="773" t="s">
        <v>390</v>
      </c>
    </row>
    <row r="5343" spans="19:23">
      <c r="S5343" s="27">
        <v>44865</v>
      </c>
      <c r="T5343" s="773" t="s">
        <v>132</v>
      </c>
      <c r="U5343" s="773">
        <v>699</v>
      </c>
      <c r="V5343" s="773">
        <v>2843</v>
      </c>
      <c r="W5343" s="773" t="s">
        <v>390</v>
      </c>
    </row>
    <row r="5344" spans="19:23">
      <c r="S5344" s="27">
        <v>44865</v>
      </c>
      <c r="T5344" s="773" t="s">
        <v>132</v>
      </c>
      <c r="U5344" s="773">
        <v>291</v>
      </c>
      <c r="V5344" s="773">
        <v>1806</v>
      </c>
      <c r="W5344" s="773" t="s">
        <v>390</v>
      </c>
    </row>
    <row r="5345" spans="19:23">
      <c r="S5345" s="27">
        <v>44865</v>
      </c>
      <c r="T5345" s="773" t="s">
        <v>132</v>
      </c>
      <c r="U5345" s="773">
        <v>737</v>
      </c>
      <c r="V5345" s="773">
        <v>2</v>
      </c>
      <c r="W5345" s="773" t="s">
        <v>410</v>
      </c>
    </row>
    <row r="5346" spans="19:23">
      <c r="S5346" s="27">
        <v>44865</v>
      </c>
      <c r="T5346" s="773" t="s">
        <v>132</v>
      </c>
      <c r="U5346" s="773">
        <v>212</v>
      </c>
      <c r="V5346" s="773">
        <v>3391</v>
      </c>
      <c r="W5346" s="773" t="s">
        <v>390</v>
      </c>
    </row>
    <row r="5347" spans="19:23">
      <c r="S5347" s="27">
        <v>44865</v>
      </c>
      <c r="T5347" s="773" t="s">
        <v>132</v>
      </c>
      <c r="U5347" s="773">
        <v>237</v>
      </c>
      <c r="V5347" s="773">
        <v>1</v>
      </c>
      <c r="W5347" s="773" t="s">
        <v>410</v>
      </c>
    </row>
    <row r="5348" spans="19:23">
      <c r="S5348" s="27">
        <v>44865</v>
      </c>
      <c r="T5348" s="773" t="s">
        <v>132</v>
      </c>
      <c r="U5348" s="773">
        <v>56</v>
      </c>
      <c r="V5348" s="773">
        <v>3</v>
      </c>
      <c r="W5348" s="773" t="s">
        <v>410</v>
      </c>
    </row>
    <row r="5349" spans="19:23">
      <c r="S5349" s="27">
        <v>44865</v>
      </c>
      <c r="T5349" s="773" t="s">
        <v>132</v>
      </c>
      <c r="U5349" s="773">
        <v>231</v>
      </c>
      <c r="V5349" s="773">
        <v>4</v>
      </c>
      <c r="W5349" s="773" t="s">
        <v>410</v>
      </c>
    </row>
    <row r="5350" spans="19:23">
      <c r="S5350" s="27">
        <v>44865</v>
      </c>
      <c r="T5350" s="773" t="s">
        <v>132</v>
      </c>
      <c r="U5350" s="773">
        <v>52</v>
      </c>
      <c r="V5350" s="773">
        <v>8</v>
      </c>
      <c r="W5350" s="773" t="s">
        <v>410</v>
      </c>
    </row>
    <row r="5351" spans="19:23">
      <c r="S5351" s="27">
        <v>44500</v>
      </c>
      <c r="T5351" s="773" t="s">
        <v>132</v>
      </c>
      <c r="U5351" s="773">
        <v>183</v>
      </c>
      <c r="V5351" s="773">
        <v>2244</v>
      </c>
      <c r="W5351" s="773" t="s">
        <v>390</v>
      </c>
    </row>
    <row r="5352" spans="19:23">
      <c r="S5352" s="27">
        <v>44865</v>
      </c>
      <c r="T5352" s="773" t="s">
        <v>132</v>
      </c>
      <c r="U5352" s="773">
        <v>69</v>
      </c>
      <c r="V5352" s="773">
        <v>1</v>
      </c>
      <c r="W5352" s="773" t="s">
        <v>410</v>
      </c>
    </row>
    <row r="5353" spans="19:23">
      <c r="S5353" s="27">
        <v>44500</v>
      </c>
      <c r="T5353" s="773" t="s">
        <v>132</v>
      </c>
      <c r="U5353" s="773">
        <v>271</v>
      </c>
      <c r="V5353" s="773">
        <v>2674</v>
      </c>
      <c r="W5353" s="773" t="s">
        <v>390</v>
      </c>
    </row>
    <row r="5354" spans="19:23">
      <c r="S5354" s="27">
        <v>44500</v>
      </c>
      <c r="T5354" s="773" t="s">
        <v>132</v>
      </c>
      <c r="U5354" s="773">
        <v>216</v>
      </c>
      <c r="V5354" s="773">
        <v>2082</v>
      </c>
      <c r="W5354" s="773" t="s">
        <v>390</v>
      </c>
    </row>
    <row r="5355" spans="19:23">
      <c r="S5355" s="27">
        <v>44865</v>
      </c>
      <c r="T5355" s="773" t="s">
        <v>132</v>
      </c>
      <c r="U5355" s="773">
        <v>73</v>
      </c>
      <c r="V5355" s="773">
        <v>3</v>
      </c>
      <c r="W5355" s="773" t="s">
        <v>410</v>
      </c>
    </row>
    <row r="5356" spans="19:23">
      <c r="S5356" s="27">
        <v>44865</v>
      </c>
      <c r="T5356" s="773" t="s">
        <v>132</v>
      </c>
      <c r="U5356" s="773">
        <v>195</v>
      </c>
      <c r="V5356" s="773">
        <v>1</v>
      </c>
      <c r="W5356" s="773" t="s">
        <v>410</v>
      </c>
    </row>
    <row r="5357" spans="19:23">
      <c r="S5357" s="27">
        <v>44500</v>
      </c>
      <c r="T5357" s="773" t="s">
        <v>132</v>
      </c>
      <c r="U5357" s="773">
        <v>63</v>
      </c>
      <c r="V5357" s="773">
        <v>2</v>
      </c>
      <c r="W5357" s="773" t="s">
        <v>410</v>
      </c>
    </row>
    <row r="5358" spans="19:23">
      <c r="S5358" s="27">
        <v>44865</v>
      </c>
      <c r="T5358" s="773" t="s">
        <v>132</v>
      </c>
      <c r="U5358" s="773">
        <v>653</v>
      </c>
      <c r="V5358" s="773">
        <v>1</v>
      </c>
      <c r="W5358" s="773" t="s">
        <v>410</v>
      </c>
    </row>
    <row r="5359" spans="19:23">
      <c r="S5359" s="27">
        <v>44865</v>
      </c>
      <c r="T5359" s="773" t="s">
        <v>132</v>
      </c>
      <c r="U5359" s="773">
        <v>700</v>
      </c>
      <c r="V5359" s="773">
        <v>2704</v>
      </c>
      <c r="W5359" s="773" t="s">
        <v>390</v>
      </c>
    </row>
    <row r="5360" spans="19:23">
      <c r="S5360" s="27">
        <v>44500</v>
      </c>
      <c r="T5360" s="773" t="s">
        <v>132</v>
      </c>
      <c r="U5360" s="773">
        <v>98</v>
      </c>
      <c r="V5360" s="773">
        <v>85</v>
      </c>
      <c r="W5360" s="773" t="s">
        <v>410</v>
      </c>
    </row>
    <row r="5361" spans="19:23">
      <c r="S5361" s="27">
        <v>44500</v>
      </c>
      <c r="T5361" s="773" t="s">
        <v>132</v>
      </c>
      <c r="U5361" s="773">
        <v>299</v>
      </c>
      <c r="V5361" s="773">
        <v>1</v>
      </c>
      <c r="W5361" s="773" t="s">
        <v>410</v>
      </c>
    </row>
    <row r="5362" spans="19:23">
      <c r="S5362" s="27">
        <v>44865</v>
      </c>
      <c r="T5362" s="773" t="s">
        <v>132</v>
      </c>
      <c r="U5362" s="773">
        <v>148</v>
      </c>
      <c r="V5362" s="773">
        <v>2</v>
      </c>
      <c r="W5362" s="773" t="s">
        <v>410</v>
      </c>
    </row>
    <row r="5363" spans="19:23">
      <c r="S5363" s="27">
        <v>44865</v>
      </c>
      <c r="T5363" s="773" t="s">
        <v>132</v>
      </c>
      <c r="U5363" s="773">
        <v>72</v>
      </c>
      <c r="V5363" s="773">
        <v>7</v>
      </c>
      <c r="W5363" s="773" t="s">
        <v>410</v>
      </c>
    </row>
    <row r="5364" spans="19:23">
      <c r="S5364" s="27">
        <v>44500</v>
      </c>
      <c r="T5364" s="773" t="s">
        <v>132</v>
      </c>
      <c r="U5364" s="773">
        <v>41</v>
      </c>
      <c r="V5364" s="773">
        <v>1</v>
      </c>
      <c r="W5364" s="773" t="s">
        <v>410</v>
      </c>
    </row>
    <row r="5365" spans="19:23">
      <c r="S5365" s="27">
        <v>44500</v>
      </c>
      <c r="T5365" s="773" t="s">
        <v>132</v>
      </c>
      <c r="U5365" s="773">
        <v>182</v>
      </c>
      <c r="V5365" s="773">
        <v>903</v>
      </c>
      <c r="W5365" s="773" t="s">
        <v>390</v>
      </c>
    </row>
    <row r="5366" spans="19:23">
      <c r="S5366" s="27">
        <v>44500</v>
      </c>
      <c r="T5366" s="773" t="s">
        <v>132</v>
      </c>
      <c r="U5366" s="773">
        <v>262</v>
      </c>
      <c r="V5366" s="773">
        <v>79</v>
      </c>
      <c r="W5366" s="773" t="s">
        <v>410</v>
      </c>
    </row>
    <row r="5367" spans="19:23">
      <c r="S5367" s="27">
        <v>44500</v>
      </c>
      <c r="T5367" s="773" t="s">
        <v>132</v>
      </c>
      <c r="U5367" s="773">
        <v>265</v>
      </c>
      <c r="V5367" s="773">
        <v>1581</v>
      </c>
      <c r="W5367" s="773" t="s">
        <v>390</v>
      </c>
    </row>
    <row r="5368" spans="19:23">
      <c r="S5368" s="27">
        <v>44500</v>
      </c>
      <c r="T5368" s="773" t="s">
        <v>132</v>
      </c>
      <c r="U5368" s="773">
        <v>194</v>
      </c>
      <c r="V5368" s="773">
        <v>3383</v>
      </c>
      <c r="W5368" s="773" t="s">
        <v>390</v>
      </c>
    </row>
    <row r="5369" spans="19:23">
      <c r="S5369" s="27">
        <v>44500</v>
      </c>
      <c r="T5369" s="773" t="s">
        <v>132</v>
      </c>
      <c r="U5369" s="773">
        <v>195</v>
      </c>
      <c r="V5369" s="773">
        <v>1</v>
      </c>
      <c r="W5369" s="773" t="s">
        <v>410</v>
      </c>
    </row>
    <row r="5370" spans="19:23">
      <c r="S5370" s="27">
        <v>44500</v>
      </c>
      <c r="T5370" s="773" t="s">
        <v>132</v>
      </c>
      <c r="U5370" s="773">
        <v>636</v>
      </c>
      <c r="V5370" s="773">
        <v>21</v>
      </c>
      <c r="W5370" s="773" t="s">
        <v>410</v>
      </c>
    </row>
    <row r="5371" spans="19:23">
      <c r="S5371" s="27">
        <v>44865</v>
      </c>
      <c r="T5371" s="773" t="s">
        <v>132</v>
      </c>
      <c r="U5371" s="773">
        <v>316</v>
      </c>
      <c r="V5371" s="773">
        <v>8</v>
      </c>
      <c r="W5371" s="773" t="s">
        <v>410</v>
      </c>
    </row>
    <row r="5372" spans="19:23">
      <c r="S5372" s="27">
        <v>44865</v>
      </c>
      <c r="T5372" s="773" t="s">
        <v>132</v>
      </c>
      <c r="U5372" s="773">
        <v>68</v>
      </c>
      <c r="V5372" s="773">
        <v>728</v>
      </c>
      <c r="W5372" s="773" t="s">
        <v>390</v>
      </c>
    </row>
    <row r="5373" spans="19:23">
      <c r="S5373" s="27">
        <v>44865</v>
      </c>
      <c r="T5373" s="773" t="s">
        <v>132</v>
      </c>
      <c r="U5373" s="773">
        <v>101</v>
      </c>
      <c r="V5373" s="773">
        <v>277</v>
      </c>
      <c r="W5373" s="773" t="s">
        <v>390</v>
      </c>
    </row>
    <row r="5374" spans="19:23">
      <c r="S5374" s="27">
        <v>44500</v>
      </c>
      <c r="T5374" s="773" t="s">
        <v>132</v>
      </c>
      <c r="U5374" s="773">
        <v>279</v>
      </c>
      <c r="V5374" s="773">
        <v>4097</v>
      </c>
      <c r="W5374" s="773" t="s">
        <v>390</v>
      </c>
    </row>
    <row r="5375" spans="19:23">
      <c r="S5375" s="27">
        <v>44865</v>
      </c>
      <c r="T5375" s="773" t="s">
        <v>132</v>
      </c>
      <c r="U5375" s="773">
        <v>40</v>
      </c>
      <c r="V5375" s="773">
        <v>12</v>
      </c>
      <c r="W5375" s="773" t="s">
        <v>410</v>
      </c>
    </row>
    <row r="5376" spans="19:23">
      <c r="S5376" s="27">
        <v>44865</v>
      </c>
      <c r="T5376" s="773" t="s">
        <v>132</v>
      </c>
      <c r="U5376" s="773">
        <v>239</v>
      </c>
      <c r="V5376" s="773">
        <v>7</v>
      </c>
      <c r="W5376" s="773" t="s">
        <v>410</v>
      </c>
    </row>
    <row r="5377" spans="19:23">
      <c r="S5377" s="27">
        <v>44865</v>
      </c>
      <c r="T5377" s="773" t="s">
        <v>132</v>
      </c>
      <c r="U5377" s="773">
        <v>718</v>
      </c>
      <c r="V5377" s="773">
        <v>1389</v>
      </c>
      <c r="W5377" s="773" t="s">
        <v>390</v>
      </c>
    </row>
    <row r="5378" spans="19:23">
      <c r="S5378" s="27">
        <v>44865</v>
      </c>
      <c r="T5378" s="773" t="s">
        <v>132</v>
      </c>
      <c r="U5378" s="773">
        <v>252</v>
      </c>
      <c r="V5378" s="773">
        <v>948</v>
      </c>
      <c r="W5378" s="773" t="s">
        <v>390</v>
      </c>
    </row>
    <row r="5379" spans="19:23">
      <c r="S5379" s="27">
        <v>44865</v>
      </c>
      <c r="T5379" s="773" t="s">
        <v>132</v>
      </c>
      <c r="U5379" s="773">
        <v>245</v>
      </c>
      <c r="V5379" s="773">
        <v>3139</v>
      </c>
      <c r="W5379" s="773" t="s">
        <v>390</v>
      </c>
    </row>
    <row r="5380" spans="19:23">
      <c r="S5380" s="27">
        <v>44865</v>
      </c>
      <c r="T5380" s="773" t="s">
        <v>132</v>
      </c>
      <c r="U5380" s="773">
        <v>105</v>
      </c>
      <c r="V5380" s="773">
        <v>2</v>
      </c>
      <c r="W5380" s="773" t="s">
        <v>410</v>
      </c>
    </row>
    <row r="5381" spans="19:23">
      <c r="S5381" s="27">
        <v>44865</v>
      </c>
      <c r="T5381" s="773" t="s">
        <v>132</v>
      </c>
      <c r="U5381" s="773">
        <v>322</v>
      </c>
      <c r="V5381" s="773">
        <v>2570</v>
      </c>
      <c r="W5381" s="773" t="s">
        <v>390</v>
      </c>
    </row>
    <row r="5382" spans="19:23">
      <c r="S5382" s="27">
        <v>44865</v>
      </c>
      <c r="T5382" s="773" t="s">
        <v>132</v>
      </c>
      <c r="U5382" s="773">
        <v>303</v>
      </c>
      <c r="V5382" s="773">
        <v>2444</v>
      </c>
      <c r="W5382" s="773" t="s">
        <v>390</v>
      </c>
    </row>
    <row r="5383" spans="19:23">
      <c r="S5383" s="27">
        <v>44865</v>
      </c>
      <c r="T5383" s="773" t="s">
        <v>132</v>
      </c>
      <c r="U5383" s="773">
        <v>233</v>
      </c>
      <c r="V5383" s="773">
        <v>2903</v>
      </c>
      <c r="W5383" s="773" t="s">
        <v>390</v>
      </c>
    </row>
    <row r="5384" spans="19:23">
      <c r="S5384" s="27">
        <v>44500</v>
      </c>
      <c r="T5384" s="773" t="s">
        <v>132</v>
      </c>
      <c r="U5384" s="773">
        <v>230</v>
      </c>
      <c r="V5384" s="773">
        <v>1</v>
      </c>
      <c r="W5384" s="773" t="s">
        <v>410</v>
      </c>
    </row>
    <row r="5385" spans="19:23">
      <c r="S5385" s="27">
        <v>44865</v>
      </c>
      <c r="T5385" s="773" t="s">
        <v>132</v>
      </c>
      <c r="U5385" s="773">
        <v>687</v>
      </c>
      <c r="V5385" s="773">
        <v>3077</v>
      </c>
      <c r="W5385" s="773" t="s">
        <v>390</v>
      </c>
    </row>
    <row r="5386" spans="19:23">
      <c r="S5386" s="27">
        <v>44500</v>
      </c>
      <c r="T5386" s="773" t="s">
        <v>132</v>
      </c>
      <c r="U5386" s="773">
        <v>140</v>
      </c>
      <c r="V5386" s="773">
        <v>230</v>
      </c>
      <c r="W5386" s="773" t="s">
        <v>390</v>
      </c>
    </row>
    <row r="5387" spans="19:23">
      <c r="S5387" s="27">
        <v>44500</v>
      </c>
      <c r="T5387" s="773" t="s">
        <v>132</v>
      </c>
      <c r="U5387" s="773">
        <v>120</v>
      </c>
      <c r="V5387" s="773">
        <v>3</v>
      </c>
      <c r="W5387" s="773" t="s">
        <v>410</v>
      </c>
    </row>
    <row r="5388" spans="19:23">
      <c r="S5388" s="27">
        <v>44500</v>
      </c>
      <c r="T5388" s="773" t="s">
        <v>132</v>
      </c>
      <c r="U5388" s="773">
        <v>668</v>
      </c>
      <c r="V5388" s="773">
        <v>7</v>
      </c>
      <c r="W5388" s="773" t="s">
        <v>410</v>
      </c>
    </row>
    <row r="5389" spans="19:23">
      <c r="S5389" s="27">
        <v>44500</v>
      </c>
      <c r="T5389" s="773" t="s">
        <v>132</v>
      </c>
      <c r="U5389" s="773">
        <v>672</v>
      </c>
      <c r="V5389" s="773">
        <v>2410</v>
      </c>
      <c r="W5389" s="773" t="s">
        <v>390</v>
      </c>
    </row>
    <row r="5390" spans="19:23">
      <c r="S5390" s="27">
        <v>44500</v>
      </c>
      <c r="T5390" s="773" t="s">
        <v>132</v>
      </c>
      <c r="U5390" s="773">
        <v>665</v>
      </c>
      <c r="V5390" s="773">
        <v>2784</v>
      </c>
      <c r="W5390" s="773" t="s">
        <v>390</v>
      </c>
    </row>
    <row r="5391" spans="19:23">
      <c r="S5391" s="27">
        <v>44500</v>
      </c>
      <c r="T5391" s="773" t="s">
        <v>132</v>
      </c>
      <c r="U5391" s="773">
        <v>116</v>
      </c>
      <c r="V5391" s="773">
        <v>4</v>
      </c>
      <c r="W5391" s="773" t="s">
        <v>410</v>
      </c>
    </row>
    <row r="5392" spans="19:23">
      <c r="S5392" s="27">
        <v>44500</v>
      </c>
      <c r="T5392" s="773" t="s">
        <v>132</v>
      </c>
      <c r="U5392" s="773">
        <v>161</v>
      </c>
      <c r="V5392" s="773">
        <v>6</v>
      </c>
      <c r="W5392" s="773" t="s">
        <v>410</v>
      </c>
    </row>
    <row r="5393" spans="19:23">
      <c r="S5393" s="27">
        <v>44865</v>
      </c>
      <c r="T5393" s="773" t="s">
        <v>132</v>
      </c>
      <c r="U5393" s="773">
        <v>82</v>
      </c>
      <c r="V5393" s="773">
        <v>2298</v>
      </c>
      <c r="W5393" s="773" t="s">
        <v>390</v>
      </c>
    </row>
    <row r="5394" spans="19:23">
      <c r="S5394" s="27">
        <v>44865</v>
      </c>
      <c r="T5394" s="773" t="s">
        <v>132</v>
      </c>
      <c r="U5394" s="773">
        <v>698</v>
      </c>
      <c r="V5394" s="773">
        <v>2771</v>
      </c>
      <c r="W5394" s="773" t="s">
        <v>390</v>
      </c>
    </row>
    <row r="5395" spans="19:23">
      <c r="S5395" s="27">
        <v>44865</v>
      </c>
      <c r="T5395" s="773" t="s">
        <v>132</v>
      </c>
      <c r="U5395" s="773">
        <v>150</v>
      </c>
      <c r="V5395" s="773">
        <v>323</v>
      </c>
      <c r="W5395" s="773" t="s">
        <v>390</v>
      </c>
    </row>
    <row r="5396" spans="19:23">
      <c r="S5396" s="27">
        <v>44865</v>
      </c>
      <c r="T5396" s="773" t="s">
        <v>132</v>
      </c>
      <c r="U5396" s="773">
        <v>193</v>
      </c>
      <c r="V5396" s="773">
        <v>486</v>
      </c>
      <c r="W5396" s="773" t="s">
        <v>390</v>
      </c>
    </row>
    <row r="5397" spans="19:23">
      <c r="S5397" s="27">
        <v>44500</v>
      </c>
      <c r="T5397" s="773" t="s">
        <v>132</v>
      </c>
      <c r="U5397" s="773">
        <v>56</v>
      </c>
      <c r="V5397" s="773">
        <v>44</v>
      </c>
      <c r="W5397" s="773" t="s">
        <v>410</v>
      </c>
    </row>
    <row r="5398" spans="19:23">
      <c r="S5398" s="27">
        <v>44500</v>
      </c>
      <c r="T5398" s="773" t="s">
        <v>132</v>
      </c>
      <c r="U5398" s="773">
        <v>52</v>
      </c>
      <c r="V5398" s="773">
        <v>2</v>
      </c>
      <c r="W5398" s="773" t="s">
        <v>410</v>
      </c>
    </row>
    <row r="5399" spans="19:23">
      <c r="S5399" s="27">
        <v>44865</v>
      </c>
      <c r="T5399" s="773" t="s">
        <v>132</v>
      </c>
      <c r="U5399" s="773">
        <v>723</v>
      </c>
      <c r="V5399" s="773">
        <v>268</v>
      </c>
      <c r="W5399" s="773" t="s">
        <v>390</v>
      </c>
    </row>
    <row r="5400" spans="19:23">
      <c r="S5400" s="27">
        <v>44865</v>
      </c>
      <c r="T5400" s="773" t="s">
        <v>132</v>
      </c>
      <c r="U5400" s="773">
        <v>257</v>
      </c>
      <c r="V5400" s="773">
        <v>2931</v>
      </c>
      <c r="W5400" s="773" t="s">
        <v>390</v>
      </c>
    </row>
    <row r="5401" spans="19:23">
      <c r="S5401" s="27">
        <v>44500</v>
      </c>
      <c r="T5401" s="773" t="s">
        <v>132</v>
      </c>
      <c r="U5401" s="773">
        <v>306</v>
      </c>
      <c r="V5401" s="773">
        <v>2301</v>
      </c>
      <c r="W5401" s="773" t="s">
        <v>390</v>
      </c>
    </row>
    <row r="5402" spans="19:23">
      <c r="S5402" s="27">
        <v>44500</v>
      </c>
      <c r="T5402" s="773" t="s">
        <v>132</v>
      </c>
      <c r="U5402" s="773">
        <v>621</v>
      </c>
      <c r="V5402" s="773">
        <v>2277</v>
      </c>
      <c r="W5402" s="773" t="s">
        <v>390</v>
      </c>
    </row>
    <row r="5403" spans="19:23">
      <c r="S5403" s="27">
        <v>44865</v>
      </c>
      <c r="T5403" s="773" t="s">
        <v>132</v>
      </c>
      <c r="U5403" s="773">
        <v>523</v>
      </c>
      <c r="V5403" s="773">
        <v>2</v>
      </c>
      <c r="W5403" s="773" t="s">
        <v>410</v>
      </c>
    </row>
    <row r="5404" spans="19:23">
      <c r="S5404" s="27">
        <v>44500</v>
      </c>
      <c r="T5404" s="773" t="s">
        <v>132</v>
      </c>
      <c r="U5404" s="773">
        <v>662</v>
      </c>
      <c r="V5404" s="773">
        <v>833</v>
      </c>
      <c r="W5404" s="773" t="s">
        <v>390</v>
      </c>
    </row>
    <row r="5405" spans="19:23">
      <c r="S5405" s="27">
        <v>44865</v>
      </c>
      <c r="T5405" s="773" t="s">
        <v>132</v>
      </c>
      <c r="U5405" s="773">
        <v>64</v>
      </c>
      <c r="V5405" s="773">
        <v>1</v>
      </c>
      <c r="W5405" s="773" t="s">
        <v>410</v>
      </c>
    </row>
    <row r="5406" spans="19:23">
      <c r="S5406" s="27">
        <v>44500</v>
      </c>
      <c r="T5406" s="773" t="s">
        <v>132</v>
      </c>
      <c r="U5406" s="773">
        <v>136</v>
      </c>
      <c r="V5406" s="773">
        <v>92</v>
      </c>
      <c r="W5406" s="773" t="s">
        <v>410</v>
      </c>
    </row>
    <row r="5407" spans="19:23">
      <c r="S5407" s="27">
        <v>44865</v>
      </c>
      <c r="T5407" s="773" t="s">
        <v>132</v>
      </c>
      <c r="U5407" s="773">
        <v>727</v>
      </c>
      <c r="V5407" s="773">
        <v>3649</v>
      </c>
      <c r="W5407" s="773" t="s">
        <v>390</v>
      </c>
    </row>
    <row r="5408" spans="19:23">
      <c r="S5408" s="27">
        <v>44865</v>
      </c>
      <c r="T5408" s="773" t="s">
        <v>132</v>
      </c>
      <c r="U5408" s="773">
        <v>710</v>
      </c>
      <c r="V5408" s="773">
        <v>896</v>
      </c>
      <c r="W5408" s="773" t="s">
        <v>390</v>
      </c>
    </row>
    <row r="5409" spans="19:23">
      <c r="S5409" s="27">
        <v>44500</v>
      </c>
      <c r="T5409" s="773" t="s">
        <v>132</v>
      </c>
      <c r="U5409" s="773">
        <v>688</v>
      </c>
      <c r="V5409" s="773">
        <v>2907</v>
      </c>
      <c r="W5409" s="773" t="s">
        <v>390</v>
      </c>
    </row>
    <row r="5410" spans="19:23">
      <c r="S5410" s="27">
        <v>44500</v>
      </c>
      <c r="T5410" s="773" t="s">
        <v>132</v>
      </c>
      <c r="U5410" s="773">
        <v>291</v>
      </c>
      <c r="V5410" s="773">
        <v>2062</v>
      </c>
      <c r="W5410" s="773" t="s">
        <v>390</v>
      </c>
    </row>
    <row r="5411" spans="19:23">
      <c r="S5411" s="27">
        <v>44500</v>
      </c>
      <c r="T5411" s="773" t="s">
        <v>132</v>
      </c>
      <c r="U5411" s="773">
        <v>259</v>
      </c>
      <c r="V5411" s="773">
        <v>1</v>
      </c>
      <c r="W5411" s="773" t="s">
        <v>410</v>
      </c>
    </row>
    <row r="5412" spans="19:23">
      <c r="S5412" s="27">
        <v>44500</v>
      </c>
      <c r="T5412" s="773" t="s">
        <v>132</v>
      </c>
      <c r="U5412" s="773">
        <v>76</v>
      </c>
      <c r="V5412" s="773">
        <v>2952</v>
      </c>
      <c r="W5412" s="773" t="s">
        <v>390</v>
      </c>
    </row>
    <row r="5413" spans="19:23">
      <c r="S5413" s="27">
        <v>44865</v>
      </c>
      <c r="T5413" s="773" t="s">
        <v>132</v>
      </c>
      <c r="U5413" s="773">
        <v>327</v>
      </c>
      <c r="V5413" s="773">
        <v>2</v>
      </c>
      <c r="W5413" s="773" t="s">
        <v>410</v>
      </c>
    </row>
    <row r="5414" spans="19:23">
      <c r="S5414" s="27">
        <v>44500</v>
      </c>
      <c r="T5414" s="773" t="s">
        <v>132</v>
      </c>
      <c r="U5414" s="773">
        <v>193</v>
      </c>
      <c r="V5414" s="773">
        <v>419</v>
      </c>
      <c r="W5414" s="773" t="s">
        <v>390</v>
      </c>
    </row>
    <row r="5415" spans="19:23">
      <c r="S5415" s="27">
        <v>44500</v>
      </c>
      <c r="T5415" s="773" t="s">
        <v>132</v>
      </c>
      <c r="U5415" s="773">
        <v>103</v>
      </c>
      <c r="V5415" s="773">
        <v>3438</v>
      </c>
      <c r="W5415" s="773" t="s">
        <v>390</v>
      </c>
    </row>
    <row r="5416" spans="19:23">
      <c r="S5416" s="27">
        <v>44500</v>
      </c>
      <c r="T5416" s="773" t="s">
        <v>132</v>
      </c>
      <c r="U5416" s="773">
        <v>679</v>
      </c>
      <c r="V5416" s="773">
        <v>3</v>
      </c>
      <c r="W5416" s="773" t="s">
        <v>410</v>
      </c>
    </row>
    <row r="5417" spans="19:23">
      <c r="S5417" s="27">
        <v>44865</v>
      </c>
      <c r="T5417" s="773" t="s">
        <v>132</v>
      </c>
      <c r="U5417" s="773">
        <v>670</v>
      </c>
      <c r="V5417" s="773">
        <v>2430</v>
      </c>
      <c r="W5417" s="773" t="s">
        <v>390</v>
      </c>
    </row>
    <row r="5418" spans="19:23">
      <c r="S5418" s="27">
        <v>44500</v>
      </c>
      <c r="T5418" s="773" t="s">
        <v>132</v>
      </c>
      <c r="U5418" s="773">
        <v>523</v>
      </c>
      <c r="V5418" s="773">
        <v>14</v>
      </c>
      <c r="W5418" s="773" t="s">
        <v>410</v>
      </c>
    </row>
    <row r="5419" spans="19:23">
      <c r="S5419" s="27">
        <v>44500</v>
      </c>
      <c r="T5419" s="773" t="s">
        <v>132</v>
      </c>
      <c r="U5419" s="773">
        <v>113</v>
      </c>
      <c r="V5419" s="773">
        <v>1</v>
      </c>
      <c r="W5419" s="773" t="s">
        <v>410</v>
      </c>
    </row>
    <row r="5420" spans="19:23">
      <c r="S5420" s="27">
        <v>44865</v>
      </c>
      <c r="T5420" s="773" t="s">
        <v>132</v>
      </c>
      <c r="U5420" s="773">
        <v>140</v>
      </c>
      <c r="V5420" s="773">
        <v>517</v>
      </c>
      <c r="W5420" s="773" t="s">
        <v>390</v>
      </c>
    </row>
    <row r="5421" spans="19:23">
      <c r="S5421" s="27">
        <v>44865</v>
      </c>
      <c r="T5421" s="773" t="s">
        <v>132</v>
      </c>
      <c r="U5421" s="773">
        <v>312</v>
      </c>
      <c r="V5421" s="773">
        <v>2624</v>
      </c>
      <c r="W5421" s="773" t="s">
        <v>390</v>
      </c>
    </row>
    <row r="5422" spans="19:23">
      <c r="S5422" s="27">
        <v>44500</v>
      </c>
      <c r="T5422" s="773" t="s">
        <v>132</v>
      </c>
      <c r="U5422" s="773">
        <v>667</v>
      </c>
      <c r="V5422" s="773">
        <v>1</v>
      </c>
      <c r="W5422" s="773" t="s">
        <v>410</v>
      </c>
    </row>
    <row r="5423" spans="19:23">
      <c r="S5423" s="27">
        <v>44865</v>
      </c>
      <c r="T5423" s="773" t="s">
        <v>132</v>
      </c>
      <c r="U5423" s="773">
        <v>89</v>
      </c>
      <c r="V5423" s="773">
        <v>1085</v>
      </c>
      <c r="W5423" s="773" t="s">
        <v>390</v>
      </c>
    </row>
    <row r="5424" spans="19:23">
      <c r="S5424" s="27">
        <v>44500</v>
      </c>
      <c r="T5424" s="773" t="s">
        <v>132</v>
      </c>
      <c r="U5424" s="773">
        <v>162</v>
      </c>
      <c r="V5424" s="773">
        <v>2495</v>
      </c>
      <c r="W5424" s="773" t="s">
        <v>390</v>
      </c>
    </row>
    <row r="5425" spans="19:23">
      <c r="S5425" s="27">
        <v>44865</v>
      </c>
      <c r="T5425" s="773" t="s">
        <v>132</v>
      </c>
      <c r="U5425" s="773">
        <v>652</v>
      </c>
      <c r="V5425" s="773">
        <v>3562</v>
      </c>
      <c r="W5425" s="773" t="s">
        <v>390</v>
      </c>
    </row>
    <row r="5426" spans="19:23">
      <c r="S5426" s="27">
        <v>44865</v>
      </c>
      <c r="T5426" s="773" t="s">
        <v>132</v>
      </c>
      <c r="U5426" s="773">
        <v>271</v>
      </c>
      <c r="V5426" s="773">
        <v>2827</v>
      </c>
      <c r="W5426" s="773" t="s">
        <v>390</v>
      </c>
    </row>
    <row r="5427" spans="19:23">
      <c r="S5427" s="27">
        <v>44865</v>
      </c>
      <c r="T5427" s="773" t="s">
        <v>132</v>
      </c>
      <c r="U5427" s="773">
        <v>129</v>
      </c>
      <c r="V5427" s="773">
        <v>2</v>
      </c>
      <c r="W5427" s="773" t="s">
        <v>410</v>
      </c>
    </row>
    <row r="5428" spans="19:23">
      <c r="S5428" s="27">
        <v>44500</v>
      </c>
      <c r="T5428" s="773" t="s">
        <v>132</v>
      </c>
      <c r="U5428" s="773">
        <v>173</v>
      </c>
      <c r="V5428" s="773">
        <v>2</v>
      </c>
      <c r="W5428" s="773" t="s">
        <v>410</v>
      </c>
    </row>
    <row r="5429" spans="19:23">
      <c r="S5429" s="27">
        <v>44500</v>
      </c>
      <c r="T5429" s="773" t="s">
        <v>132</v>
      </c>
      <c r="U5429" s="773">
        <v>701</v>
      </c>
      <c r="V5429" s="773">
        <v>2119</v>
      </c>
      <c r="W5429" s="773" t="s">
        <v>390</v>
      </c>
    </row>
    <row r="5430" spans="19:23">
      <c r="S5430" s="27">
        <v>44865</v>
      </c>
      <c r="T5430" s="773" t="s">
        <v>132</v>
      </c>
      <c r="U5430" s="773">
        <v>243</v>
      </c>
      <c r="V5430" s="773">
        <v>349</v>
      </c>
      <c r="W5430" s="773" t="s">
        <v>390</v>
      </c>
    </row>
    <row r="5431" spans="19:23">
      <c r="S5431" s="27">
        <v>44500</v>
      </c>
      <c r="T5431" s="773" t="s">
        <v>132</v>
      </c>
      <c r="U5431" s="773">
        <v>305</v>
      </c>
      <c r="V5431" s="773">
        <v>3754</v>
      </c>
      <c r="W5431" s="773" t="s">
        <v>390</v>
      </c>
    </row>
    <row r="5432" spans="19:23">
      <c r="S5432" s="27">
        <v>44500</v>
      </c>
      <c r="T5432" s="773" t="s">
        <v>132</v>
      </c>
      <c r="U5432" s="773">
        <v>651</v>
      </c>
      <c r="V5432" s="773">
        <v>309</v>
      </c>
      <c r="W5432" s="773" t="s">
        <v>390</v>
      </c>
    </row>
    <row r="5433" spans="19:23">
      <c r="S5433" s="27">
        <v>44865</v>
      </c>
      <c r="T5433" s="773" t="s">
        <v>132</v>
      </c>
      <c r="U5433" s="773">
        <v>654</v>
      </c>
      <c r="V5433" s="773">
        <v>1016</v>
      </c>
      <c r="W5433" s="773" t="s">
        <v>390</v>
      </c>
    </row>
    <row r="5434" spans="19:23">
      <c r="S5434" s="27">
        <v>44865</v>
      </c>
      <c r="T5434" s="773" t="s">
        <v>132</v>
      </c>
      <c r="U5434" s="773">
        <v>297</v>
      </c>
      <c r="V5434" s="773">
        <v>788</v>
      </c>
      <c r="W5434" s="773" t="s">
        <v>390</v>
      </c>
    </row>
    <row r="5435" spans="19:23">
      <c r="S5435" s="27">
        <v>44500</v>
      </c>
      <c r="T5435" s="773" t="s">
        <v>132</v>
      </c>
      <c r="U5435" s="773">
        <v>111</v>
      </c>
      <c r="V5435" s="773">
        <v>2</v>
      </c>
      <c r="W5435" s="773" t="s">
        <v>410</v>
      </c>
    </row>
    <row r="5436" spans="19:23">
      <c r="S5436" s="27">
        <v>44500</v>
      </c>
      <c r="T5436" s="773" t="s">
        <v>132</v>
      </c>
      <c r="U5436" s="773">
        <v>114</v>
      </c>
      <c r="V5436" s="773">
        <v>1</v>
      </c>
      <c r="W5436" s="773" t="s">
        <v>410</v>
      </c>
    </row>
    <row r="5437" spans="19:23">
      <c r="S5437" s="27">
        <v>44500</v>
      </c>
      <c r="T5437" s="773" t="s">
        <v>132</v>
      </c>
      <c r="U5437" s="773">
        <v>83</v>
      </c>
      <c r="V5437" s="773">
        <v>2159</v>
      </c>
      <c r="W5437" s="773" t="s">
        <v>390</v>
      </c>
    </row>
    <row r="5438" spans="19:23">
      <c r="S5438" s="27">
        <v>44500</v>
      </c>
      <c r="T5438" s="773" t="s">
        <v>132</v>
      </c>
      <c r="U5438" s="773">
        <v>264</v>
      </c>
      <c r="V5438" s="773">
        <v>927</v>
      </c>
      <c r="W5438" s="773" t="s">
        <v>390</v>
      </c>
    </row>
    <row r="5439" spans="19:23">
      <c r="S5439" s="27">
        <v>44865</v>
      </c>
      <c r="T5439" s="773" t="s">
        <v>132</v>
      </c>
      <c r="U5439" s="773">
        <v>194</v>
      </c>
      <c r="V5439" s="773">
        <v>3723</v>
      </c>
      <c r="W5439" s="773" t="s">
        <v>390</v>
      </c>
    </row>
    <row r="5440" spans="19:23">
      <c r="S5440" s="27">
        <v>44865</v>
      </c>
      <c r="T5440" s="773" t="s">
        <v>132</v>
      </c>
      <c r="U5440" s="773">
        <v>295</v>
      </c>
      <c r="V5440" s="773">
        <v>3</v>
      </c>
      <c r="W5440" s="773" t="s">
        <v>410</v>
      </c>
    </row>
    <row r="5441" spans="19:23">
      <c r="S5441" s="27">
        <v>44865</v>
      </c>
      <c r="T5441" s="773" t="s">
        <v>132</v>
      </c>
      <c r="U5441" s="773">
        <v>53</v>
      </c>
      <c r="V5441" s="773">
        <v>2</v>
      </c>
      <c r="W5441" s="773" t="s">
        <v>410</v>
      </c>
    </row>
    <row r="5442" spans="19:23">
      <c r="S5442" s="27">
        <v>44865</v>
      </c>
      <c r="T5442" s="773" t="s">
        <v>132</v>
      </c>
      <c r="U5442" s="773">
        <v>318</v>
      </c>
      <c r="V5442" s="773">
        <v>2433</v>
      </c>
      <c r="W5442" s="773" t="s">
        <v>390</v>
      </c>
    </row>
    <row r="5443" spans="19:23">
      <c r="S5443" s="27">
        <v>44500</v>
      </c>
      <c r="T5443" s="773" t="s">
        <v>132</v>
      </c>
      <c r="U5443" s="773">
        <v>141</v>
      </c>
      <c r="V5443" s="773">
        <v>10</v>
      </c>
      <c r="W5443" s="773" t="s">
        <v>410</v>
      </c>
    </row>
    <row r="5444" spans="19:23">
      <c r="S5444" s="27">
        <v>44500</v>
      </c>
      <c r="T5444" s="773" t="s">
        <v>132</v>
      </c>
      <c r="U5444" s="773">
        <v>246</v>
      </c>
      <c r="V5444" s="773">
        <v>5</v>
      </c>
      <c r="W5444" s="773" t="s">
        <v>410</v>
      </c>
    </row>
    <row r="5445" spans="19:23">
      <c r="S5445" s="27">
        <v>44500</v>
      </c>
      <c r="T5445" s="773" t="s">
        <v>132</v>
      </c>
      <c r="U5445" s="773">
        <v>303</v>
      </c>
      <c r="V5445" s="773">
        <v>2541</v>
      </c>
      <c r="W5445" s="773" t="s">
        <v>390</v>
      </c>
    </row>
    <row r="5446" spans="19:23">
      <c r="S5446" s="27">
        <v>44865</v>
      </c>
      <c r="T5446" s="773" t="s">
        <v>132</v>
      </c>
      <c r="U5446" s="773">
        <v>83</v>
      </c>
      <c r="V5446" s="773">
        <v>2388</v>
      </c>
      <c r="W5446" s="773" t="s">
        <v>390</v>
      </c>
    </row>
    <row r="5447" spans="19:23">
      <c r="S5447" s="27">
        <v>44865</v>
      </c>
      <c r="T5447" s="773" t="s">
        <v>132</v>
      </c>
      <c r="U5447" s="773">
        <v>230</v>
      </c>
      <c r="V5447" s="773">
        <v>5</v>
      </c>
      <c r="W5447" s="773" t="s">
        <v>410</v>
      </c>
    </row>
    <row r="5448" spans="19:23">
      <c r="S5448" s="27">
        <v>44865</v>
      </c>
      <c r="T5448" s="773" t="s">
        <v>132</v>
      </c>
      <c r="U5448" s="773">
        <v>641</v>
      </c>
      <c r="V5448" s="773">
        <v>2098</v>
      </c>
      <c r="W5448" s="773" t="s">
        <v>390</v>
      </c>
    </row>
    <row r="5449" spans="19:23">
      <c r="S5449" s="27">
        <v>44500</v>
      </c>
      <c r="T5449" s="773" t="s">
        <v>132</v>
      </c>
      <c r="U5449" s="773">
        <v>686</v>
      </c>
      <c r="V5449" s="773">
        <v>2438</v>
      </c>
      <c r="W5449" s="773" t="s">
        <v>390</v>
      </c>
    </row>
    <row r="5450" spans="19:23">
      <c r="S5450" s="27">
        <v>44500</v>
      </c>
      <c r="T5450" s="773" t="s">
        <v>132</v>
      </c>
      <c r="U5450" s="773">
        <v>139</v>
      </c>
      <c r="V5450" s="773">
        <v>3007</v>
      </c>
      <c r="W5450" s="773" t="s">
        <v>390</v>
      </c>
    </row>
    <row r="5451" spans="19:23">
      <c r="S5451" s="27">
        <v>44500</v>
      </c>
      <c r="T5451" s="773" t="s">
        <v>132</v>
      </c>
      <c r="U5451" s="773">
        <v>276</v>
      </c>
      <c r="V5451" s="773">
        <v>1</v>
      </c>
      <c r="W5451" s="773" t="s">
        <v>410</v>
      </c>
    </row>
    <row r="5452" spans="19:23">
      <c r="S5452" s="27">
        <v>44500</v>
      </c>
      <c r="T5452" s="773" t="s">
        <v>132</v>
      </c>
      <c r="U5452" s="773">
        <v>687</v>
      </c>
      <c r="V5452" s="773">
        <v>2694</v>
      </c>
      <c r="W5452" s="773" t="s">
        <v>390</v>
      </c>
    </row>
    <row r="5453" spans="19:23">
      <c r="S5453" s="27">
        <v>44500</v>
      </c>
      <c r="T5453" s="773" t="s">
        <v>132</v>
      </c>
      <c r="U5453" s="773">
        <v>158</v>
      </c>
      <c r="V5453" s="773">
        <v>87</v>
      </c>
      <c r="W5453" s="773" t="s">
        <v>410</v>
      </c>
    </row>
    <row r="5454" spans="19:23">
      <c r="S5454" s="27">
        <v>44500</v>
      </c>
      <c r="T5454" s="773" t="s">
        <v>132</v>
      </c>
      <c r="U5454" s="773">
        <v>311</v>
      </c>
      <c r="V5454" s="773">
        <v>2396</v>
      </c>
      <c r="W5454" s="773" t="s">
        <v>390</v>
      </c>
    </row>
    <row r="5455" spans="19:23">
      <c r="S5455" s="27">
        <v>44865</v>
      </c>
      <c r="T5455" s="773" t="s">
        <v>132</v>
      </c>
      <c r="U5455" s="773">
        <v>321</v>
      </c>
      <c r="V5455" s="773">
        <v>1955</v>
      </c>
      <c r="W5455" s="773" t="s">
        <v>390</v>
      </c>
    </row>
    <row r="5456" spans="19:23">
      <c r="S5456" s="27">
        <v>44500</v>
      </c>
      <c r="T5456" s="773" t="s">
        <v>132</v>
      </c>
      <c r="U5456" s="773">
        <v>641</v>
      </c>
      <c r="V5456" s="773">
        <v>2652</v>
      </c>
      <c r="W5456" s="773" t="s">
        <v>390</v>
      </c>
    </row>
    <row r="5457" spans="19:23">
      <c r="S5457" s="27">
        <v>44865</v>
      </c>
      <c r="T5457" s="773" t="s">
        <v>132</v>
      </c>
      <c r="U5457" s="773">
        <v>39</v>
      </c>
      <c r="V5457" s="773">
        <v>1</v>
      </c>
      <c r="W5457" s="773" t="s">
        <v>410</v>
      </c>
    </row>
    <row r="5458" spans="19:23">
      <c r="S5458" s="27">
        <v>44865</v>
      </c>
      <c r="T5458" s="773" t="s">
        <v>132</v>
      </c>
      <c r="U5458" s="773">
        <v>171</v>
      </c>
      <c r="V5458" s="773">
        <v>44</v>
      </c>
      <c r="W5458" s="773" t="s">
        <v>410</v>
      </c>
    </row>
    <row r="5459" spans="19:23">
      <c r="S5459" s="27">
        <v>44500</v>
      </c>
      <c r="T5459" s="773" t="s">
        <v>132</v>
      </c>
      <c r="U5459" s="773">
        <v>245</v>
      </c>
      <c r="V5459" s="773">
        <v>4708</v>
      </c>
      <c r="W5459" s="773" t="s">
        <v>390</v>
      </c>
    </row>
    <row r="5460" spans="19:23">
      <c r="S5460" s="27">
        <v>44500</v>
      </c>
      <c r="T5460" s="773" t="s">
        <v>132</v>
      </c>
      <c r="U5460" s="773">
        <v>304</v>
      </c>
      <c r="V5460" s="773">
        <v>116</v>
      </c>
      <c r="W5460" s="773" t="s">
        <v>390</v>
      </c>
    </row>
    <row r="5461" spans="19:23">
      <c r="S5461" s="27">
        <v>44865</v>
      </c>
      <c r="T5461" s="773" t="s">
        <v>132</v>
      </c>
      <c r="U5461" s="773">
        <v>262</v>
      </c>
      <c r="V5461" s="773">
        <v>48</v>
      </c>
      <c r="W5461" s="773" t="s">
        <v>410</v>
      </c>
    </row>
    <row r="5462" spans="19:23">
      <c r="S5462" s="27">
        <v>44865</v>
      </c>
      <c r="T5462" s="773" t="s">
        <v>132</v>
      </c>
      <c r="U5462" s="773">
        <v>157</v>
      </c>
      <c r="V5462" s="773">
        <v>9</v>
      </c>
      <c r="W5462" s="773" t="s">
        <v>410</v>
      </c>
    </row>
    <row r="5463" spans="19:23">
      <c r="S5463" s="27">
        <v>44500</v>
      </c>
      <c r="T5463" s="773" t="s">
        <v>132</v>
      </c>
      <c r="U5463" s="773">
        <v>681</v>
      </c>
      <c r="V5463" s="773">
        <v>857</v>
      </c>
      <c r="W5463" s="773" t="s">
        <v>390</v>
      </c>
    </row>
    <row r="5464" spans="19:23">
      <c r="S5464" s="27">
        <v>44500</v>
      </c>
      <c r="T5464" s="773" t="s">
        <v>132</v>
      </c>
      <c r="U5464" s="773">
        <v>101</v>
      </c>
      <c r="V5464" s="773">
        <v>845</v>
      </c>
      <c r="W5464" s="773" t="s">
        <v>390</v>
      </c>
    </row>
    <row r="5465" spans="19:23">
      <c r="S5465" s="27">
        <v>44500</v>
      </c>
      <c r="T5465" s="773" t="s">
        <v>132</v>
      </c>
      <c r="U5465" s="773">
        <v>69</v>
      </c>
      <c r="V5465" s="773">
        <v>1</v>
      </c>
      <c r="W5465" s="773" t="s">
        <v>410</v>
      </c>
    </row>
    <row r="5466" spans="19:23">
      <c r="S5466" s="27">
        <v>44865</v>
      </c>
      <c r="T5466" s="773" t="s">
        <v>132</v>
      </c>
      <c r="U5466" s="773">
        <v>738</v>
      </c>
      <c r="V5466" s="773">
        <v>12</v>
      </c>
      <c r="W5466" s="773" t="s">
        <v>410</v>
      </c>
    </row>
    <row r="5467" spans="19:23">
      <c r="S5467" s="27">
        <v>44500</v>
      </c>
      <c r="T5467" s="773" t="s">
        <v>132</v>
      </c>
      <c r="U5467" s="773">
        <v>650</v>
      </c>
      <c r="V5467" s="773">
        <v>113</v>
      </c>
      <c r="W5467" s="773" t="s">
        <v>390</v>
      </c>
    </row>
    <row r="5468" spans="19:23">
      <c r="S5468" s="27">
        <v>44865</v>
      </c>
      <c r="T5468" s="773" t="s">
        <v>132</v>
      </c>
      <c r="U5468" s="773">
        <v>266</v>
      </c>
      <c r="V5468" s="773">
        <v>2455</v>
      </c>
      <c r="W5468" s="773" t="s">
        <v>390</v>
      </c>
    </row>
    <row r="5469" spans="19:23">
      <c r="S5469" s="27">
        <v>44865</v>
      </c>
      <c r="T5469" s="773" t="s">
        <v>132</v>
      </c>
      <c r="U5469" s="773">
        <v>290</v>
      </c>
      <c r="V5469" s="773">
        <v>526</v>
      </c>
      <c r="W5469" s="773" t="s">
        <v>390</v>
      </c>
    </row>
    <row r="5470" spans="19:23">
      <c r="S5470" s="27">
        <v>44865</v>
      </c>
      <c r="T5470" s="773" t="s">
        <v>132</v>
      </c>
      <c r="U5470" s="773">
        <v>701</v>
      </c>
      <c r="V5470" s="773">
        <v>2381</v>
      </c>
      <c r="W5470" s="773" t="s">
        <v>390</v>
      </c>
    </row>
    <row r="5471" spans="19:23">
      <c r="S5471" s="27">
        <v>44865</v>
      </c>
      <c r="T5471" s="773" t="s">
        <v>132</v>
      </c>
      <c r="U5471" s="773">
        <v>328</v>
      </c>
      <c r="V5471" s="773">
        <v>1485</v>
      </c>
      <c r="W5471" s="773" t="s">
        <v>390</v>
      </c>
    </row>
    <row r="5472" spans="19:23">
      <c r="S5472" s="27">
        <v>44865</v>
      </c>
      <c r="T5472" s="773" t="s">
        <v>132</v>
      </c>
      <c r="U5472" s="773">
        <v>296</v>
      </c>
      <c r="V5472" s="773">
        <v>2449</v>
      </c>
      <c r="W5472" s="773" t="s">
        <v>390</v>
      </c>
    </row>
    <row r="5473" spans="19:23">
      <c r="S5473" s="27">
        <v>44865</v>
      </c>
      <c r="T5473" s="773" t="s">
        <v>132</v>
      </c>
      <c r="U5473" s="773">
        <v>283</v>
      </c>
      <c r="V5473" s="773">
        <v>1</v>
      </c>
      <c r="W5473" s="773" t="s">
        <v>410</v>
      </c>
    </row>
    <row r="5474" spans="19:23">
      <c r="S5474" s="27">
        <v>44500</v>
      </c>
      <c r="T5474" s="773" t="s">
        <v>132</v>
      </c>
      <c r="U5474" s="773">
        <v>58</v>
      </c>
      <c r="V5474" s="773">
        <v>3</v>
      </c>
      <c r="W5474" s="773" t="s">
        <v>410</v>
      </c>
    </row>
    <row r="5475" spans="19:23">
      <c r="S5475" s="27">
        <v>44865</v>
      </c>
      <c r="T5475" s="773" t="s">
        <v>132</v>
      </c>
      <c r="U5475" s="773">
        <v>136</v>
      </c>
      <c r="V5475" s="773">
        <v>10</v>
      </c>
      <c r="W5475" s="773" t="s">
        <v>410</v>
      </c>
    </row>
    <row r="5476" spans="19:23">
      <c r="S5476" s="27">
        <v>44865</v>
      </c>
      <c r="T5476" s="773" t="s">
        <v>132</v>
      </c>
      <c r="U5476" s="773">
        <v>77</v>
      </c>
      <c r="V5476" s="773">
        <v>3521</v>
      </c>
      <c r="W5476" s="773" t="s">
        <v>390</v>
      </c>
    </row>
    <row r="5477" spans="19:23">
      <c r="S5477" s="27">
        <v>44500</v>
      </c>
      <c r="T5477" s="773" t="s">
        <v>132</v>
      </c>
      <c r="U5477" s="773">
        <v>699</v>
      </c>
      <c r="V5477" s="773">
        <v>2216</v>
      </c>
      <c r="W5477" s="773" t="s">
        <v>390</v>
      </c>
    </row>
    <row r="5478" spans="19:23">
      <c r="S5478" s="27">
        <v>44500</v>
      </c>
      <c r="T5478" s="773" t="s">
        <v>132</v>
      </c>
      <c r="U5478" s="773">
        <v>312</v>
      </c>
      <c r="V5478" s="773">
        <v>2305</v>
      </c>
      <c r="W5478" s="773" t="s">
        <v>390</v>
      </c>
    </row>
    <row r="5479" spans="19:23">
      <c r="S5479" s="27">
        <v>44500</v>
      </c>
      <c r="T5479" s="773" t="s">
        <v>132</v>
      </c>
      <c r="U5479" s="773">
        <v>92</v>
      </c>
      <c r="V5479" s="773">
        <v>2673</v>
      </c>
      <c r="W5479" s="773" t="s">
        <v>390</v>
      </c>
    </row>
    <row r="5480" spans="19:23">
      <c r="S5480" s="27">
        <v>44865</v>
      </c>
      <c r="T5480" s="773" t="s">
        <v>132</v>
      </c>
      <c r="U5480" s="773">
        <v>320</v>
      </c>
      <c r="V5480" s="773">
        <v>1679</v>
      </c>
      <c r="W5480" s="773" t="s">
        <v>390</v>
      </c>
    </row>
    <row r="5481" spans="19:23">
      <c r="S5481" s="27">
        <v>44865</v>
      </c>
      <c r="T5481" s="773" t="s">
        <v>132</v>
      </c>
      <c r="U5481" s="773">
        <v>696</v>
      </c>
      <c r="V5481" s="773">
        <v>2058</v>
      </c>
      <c r="W5481" s="773" t="s">
        <v>390</v>
      </c>
    </row>
    <row r="5482" spans="19:23">
      <c r="S5482" s="27">
        <v>44500</v>
      </c>
      <c r="T5482" s="773" t="s">
        <v>132</v>
      </c>
      <c r="U5482" s="773">
        <v>676</v>
      </c>
      <c r="V5482" s="773">
        <v>1</v>
      </c>
      <c r="W5482" s="773" t="s">
        <v>410</v>
      </c>
    </row>
    <row r="5483" spans="19:23">
      <c r="S5483" s="27">
        <v>44500</v>
      </c>
      <c r="T5483" s="773" t="s">
        <v>132</v>
      </c>
      <c r="U5483" s="773">
        <v>696</v>
      </c>
      <c r="V5483" s="773">
        <v>2178</v>
      </c>
      <c r="W5483" s="773" t="s">
        <v>390</v>
      </c>
    </row>
    <row r="5484" spans="19:23">
      <c r="S5484" s="27">
        <v>44500</v>
      </c>
      <c r="T5484" s="773" t="s">
        <v>132</v>
      </c>
      <c r="U5484" s="773">
        <v>77</v>
      </c>
      <c r="V5484" s="773">
        <v>3345</v>
      </c>
      <c r="W5484" s="773" t="s">
        <v>390</v>
      </c>
    </row>
    <row r="5485" spans="19:23">
      <c r="S5485" s="27">
        <v>44500</v>
      </c>
      <c r="T5485" s="773" t="s">
        <v>132</v>
      </c>
      <c r="U5485" s="773">
        <v>39</v>
      </c>
      <c r="V5485" s="773">
        <v>1</v>
      </c>
      <c r="W5485" s="773" t="s">
        <v>410</v>
      </c>
    </row>
    <row r="5486" spans="19:23">
      <c r="S5486" s="27">
        <v>44500</v>
      </c>
      <c r="T5486" s="773" t="s">
        <v>132</v>
      </c>
      <c r="U5486" s="773">
        <v>100</v>
      </c>
      <c r="V5486" s="773">
        <v>3</v>
      </c>
      <c r="W5486" s="773" t="s">
        <v>410</v>
      </c>
    </row>
    <row r="5487" spans="19:23">
      <c r="S5487" s="27">
        <v>44500</v>
      </c>
      <c r="T5487" s="773" t="s">
        <v>132</v>
      </c>
      <c r="U5487" s="773">
        <v>89</v>
      </c>
      <c r="V5487" s="773">
        <v>1138</v>
      </c>
      <c r="W5487" s="773" t="s">
        <v>390</v>
      </c>
    </row>
    <row r="5488" spans="19:23">
      <c r="S5488" s="27">
        <v>44500</v>
      </c>
      <c r="T5488" s="773" t="s">
        <v>132</v>
      </c>
      <c r="U5488" s="773">
        <v>202</v>
      </c>
      <c r="V5488" s="773">
        <v>1</v>
      </c>
      <c r="W5488" s="773" t="s">
        <v>410</v>
      </c>
    </row>
    <row r="5489" spans="19:23">
      <c r="S5489" s="27">
        <v>44865</v>
      </c>
      <c r="T5489" s="773" t="s">
        <v>132</v>
      </c>
      <c r="U5489" s="773">
        <v>672</v>
      </c>
      <c r="V5489" s="773">
        <v>2323</v>
      </c>
      <c r="W5489" s="773" t="s">
        <v>390</v>
      </c>
    </row>
    <row r="5490" spans="19:23">
      <c r="S5490" s="27">
        <v>44500</v>
      </c>
      <c r="T5490" s="773" t="s">
        <v>132</v>
      </c>
      <c r="U5490" s="773">
        <v>275</v>
      </c>
      <c r="V5490" s="773">
        <v>842</v>
      </c>
      <c r="W5490" s="773" t="s">
        <v>390</v>
      </c>
    </row>
    <row r="5491" spans="19:23">
      <c r="S5491" s="27">
        <v>44500</v>
      </c>
      <c r="T5491" s="773" t="s">
        <v>132</v>
      </c>
      <c r="U5491" s="773">
        <v>215</v>
      </c>
      <c r="V5491" s="773">
        <v>695</v>
      </c>
      <c r="W5491" s="773" t="s">
        <v>390</v>
      </c>
    </row>
    <row r="5492" spans="19:23">
      <c r="S5492" s="27">
        <v>44500</v>
      </c>
      <c r="T5492" s="773" t="s">
        <v>132</v>
      </c>
      <c r="U5492" s="773">
        <v>152</v>
      </c>
      <c r="V5492" s="773">
        <v>1</v>
      </c>
      <c r="W5492" s="773" t="s">
        <v>410</v>
      </c>
    </row>
    <row r="5493" spans="19:23">
      <c r="S5493" s="27">
        <v>44500</v>
      </c>
      <c r="T5493" s="773" t="s">
        <v>132</v>
      </c>
      <c r="U5493" s="773">
        <v>663</v>
      </c>
      <c r="V5493" s="773">
        <v>1089</v>
      </c>
      <c r="W5493" s="773" t="s">
        <v>390</v>
      </c>
    </row>
    <row r="5494" spans="19:23">
      <c r="S5494" s="27">
        <v>44865</v>
      </c>
      <c r="T5494" s="773" t="s">
        <v>132</v>
      </c>
      <c r="U5494" s="773">
        <v>706</v>
      </c>
      <c r="V5494" s="773">
        <v>1211</v>
      </c>
      <c r="W5494" s="773" t="s">
        <v>390</v>
      </c>
    </row>
    <row r="5495" spans="19:23">
      <c r="S5495" s="27">
        <v>44500</v>
      </c>
      <c r="T5495" s="773" t="s">
        <v>132</v>
      </c>
      <c r="U5495" s="773">
        <v>294</v>
      </c>
      <c r="V5495" s="773">
        <v>9</v>
      </c>
      <c r="W5495" s="773" t="s">
        <v>410</v>
      </c>
    </row>
    <row r="5496" spans="19:23">
      <c r="S5496" s="27">
        <v>44865</v>
      </c>
      <c r="T5496" s="773" t="s">
        <v>132</v>
      </c>
      <c r="U5496" s="773">
        <v>308</v>
      </c>
      <c r="V5496" s="773">
        <v>2219</v>
      </c>
      <c r="W5496" s="773" t="s">
        <v>390</v>
      </c>
    </row>
    <row r="5497" spans="19:23">
      <c r="S5497" s="27">
        <v>44865</v>
      </c>
      <c r="T5497" s="773" t="s">
        <v>132</v>
      </c>
      <c r="U5497" s="773">
        <v>735</v>
      </c>
      <c r="V5497" s="773">
        <v>2589</v>
      </c>
      <c r="W5497" s="773" t="s">
        <v>390</v>
      </c>
    </row>
    <row r="5498" spans="19:23">
      <c r="S5498" s="27">
        <v>44500</v>
      </c>
      <c r="T5498" s="773" t="s">
        <v>132</v>
      </c>
      <c r="U5498" s="773">
        <v>697</v>
      </c>
      <c r="V5498" s="773">
        <v>711</v>
      </c>
      <c r="W5498" s="773" t="s">
        <v>390</v>
      </c>
    </row>
    <row r="5499" spans="19:23">
      <c r="S5499" s="27">
        <v>44865</v>
      </c>
      <c r="T5499" s="773" t="s">
        <v>132</v>
      </c>
      <c r="U5499" s="773">
        <v>342</v>
      </c>
      <c r="V5499" s="773">
        <v>2605</v>
      </c>
      <c r="W5499" s="773" t="s">
        <v>390</v>
      </c>
    </row>
    <row r="5500" spans="19:23">
      <c r="S5500" s="27">
        <v>44865</v>
      </c>
      <c r="T5500" s="773" t="s">
        <v>132</v>
      </c>
      <c r="U5500" s="773">
        <v>726</v>
      </c>
      <c r="V5500" s="773">
        <v>75</v>
      </c>
      <c r="W5500" s="773" t="s">
        <v>410</v>
      </c>
    </row>
    <row r="5501" spans="19:23">
      <c r="S5501" s="27">
        <v>44865</v>
      </c>
      <c r="T5501" s="773" t="s">
        <v>132</v>
      </c>
      <c r="U5501" s="773">
        <v>164</v>
      </c>
      <c r="V5501" s="773">
        <v>6</v>
      </c>
      <c r="W5501" s="773" t="s">
        <v>410</v>
      </c>
    </row>
    <row r="5502" spans="19:23">
      <c r="S5502" s="27">
        <v>44865</v>
      </c>
      <c r="T5502" s="773" t="s">
        <v>132</v>
      </c>
      <c r="U5502" s="773">
        <v>724</v>
      </c>
      <c r="V5502" s="773">
        <v>81</v>
      </c>
      <c r="W5502" s="773" t="s">
        <v>410</v>
      </c>
    </row>
    <row r="5503" spans="19:23">
      <c r="S5503" s="27">
        <v>44865</v>
      </c>
      <c r="T5503" s="773" t="s">
        <v>132</v>
      </c>
      <c r="U5503" s="773">
        <v>732</v>
      </c>
      <c r="V5503" s="773">
        <v>3355</v>
      </c>
      <c r="W5503" s="773" t="s">
        <v>390</v>
      </c>
    </row>
    <row r="5504" spans="19:23">
      <c r="S5504" s="27">
        <v>44500</v>
      </c>
      <c r="T5504" s="773" t="s">
        <v>132</v>
      </c>
      <c r="U5504" s="773">
        <v>66</v>
      </c>
      <c r="V5504" s="773">
        <v>7</v>
      </c>
      <c r="W5504" s="773" t="s">
        <v>410</v>
      </c>
    </row>
    <row r="5505" spans="19:23">
      <c r="S5505" s="27">
        <v>44865</v>
      </c>
      <c r="T5505" s="773" t="s">
        <v>132</v>
      </c>
      <c r="U5505" s="773">
        <v>92</v>
      </c>
      <c r="V5505" s="773">
        <v>3001</v>
      </c>
      <c r="W5505" s="773" t="s">
        <v>390</v>
      </c>
    </row>
    <row r="5506" spans="19:23">
      <c r="S5506" s="27">
        <v>44500</v>
      </c>
      <c r="T5506" s="773" t="s">
        <v>132</v>
      </c>
      <c r="U5506" s="773">
        <v>652</v>
      </c>
      <c r="V5506" s="773">
        <v>2740</v>
      </c>
      <c r="W5506" s="773" t="s">
        <v>390</v>
      </c>
    </row>
    <row r="5507" spans="19:23">
      <c r="S5507" s="27">
        <v>44500</v>
      </c>
      <c r="T5507" s="773" t="s">
        <v>132</v>
      </c>
      <c r="U5507" s="773">
        <v>79</v>
      </c>
      <c r="V5507" s="773">
        <v>14</v>
      </c>
      <c r="W5507" s="773" t="s">
        <v>410</v>
      </c>
    </row>
    <row r="5508" spans="19:23">
      <c r="S5508" s="27">
        <v>44500</v>
      </c>
      <c r="T5508" s="773" t="s">
        <v>132</v>
      </c>
      <c r="U5508" s="773">
        <v>328</v>
      </c>
      <c r="V5508" s="773">
        <v>13</v>
      </c>
      <c r="W5508" s="773" t="s">
        <v>410</v>
      </c>
    </row>
    <row r="5509" spans="19:23">
      <c r="S5509" s="27">
        <v>44865</v>
      </c>
      <c r="T5509" s="773" t="s">
        <v>132</v>
      </c>
      <c r="U5509" s="773">
        <v>651</v>
      </c>
      <c r="V5509" s="773">
        <v>56</v>
      </c>
      <c r="W5509" s="773" t="s">
        <v>410</v>
      </c>
    </row>
    <row r="5510" spans="19:23">
      <c r="S5510" s="27">
        <v>44500</v>
      </c>
      <c r="T5510" s="773" t="s">
        <v>132</v>
      </c>
      <c r="U5510" s="773">
        <v>64</v>
      </c>
      <c r="V5510" s="773">
        <v>5</v>
      </c>
      <c r="W5510" s="773" t="s">
        <v>410</v>
      </c>
    </row>
    <row r="5511" spans="19:23">
      <c r="S5511" s="27">
        <v>44500</v>
      </c>
      <c r="T5511" s="773" t="s">
        <v>132</v>
      </c>
      <c r="U5511" s="773">
        <v>44</v>
      </c>
      <c r="V5511" s="773">
        <v>3018</v>
      </c>
      <c r="W5511" s="773" t="s">
        <v>390</v>
      </c>
    </row>
    <row r="5512" spans="19:23">
      <c r="S5512" s="27">
        <v>44865</v>
      </c>
      <c r="T5512" s="773" t="s">
        <v>132</v>
      </c>
      <c r="U5512" s="773">
        <v>155</v>
      </c>
      <c r="V5512" s="773">
        <v>2565</v>
      </c>
      <c r="W5512" s="773" t="s">
        <v>390</v>
      </c>
    </row>
    <row r="5513" spans="19:23">
      <c r="S5513" s="27">
        <v>44865</v>
      </c>
      <c r="T5513" s="773" t="s">
        <v>132</v>
      </c>
      <c r="U5513" s="773">
        <v>203</v>
      </c>
      <c r="V5513" s="773">
        <v>2516</v>
      </c>
      <c r="W5513" s="773" t="s">
        <v>390</v>
      </c>
    </row>
    <row r="5514" spans="19:23">
      <c r="S5514" s="27">
        <v>44865</v>
      </c>
      <c r="T5514" s="773" t="s">
        <v>132</v>
      </c>
      <c r="U5514" s="773">
        <v>725</v>
      </c>
      <c r="V5514" s="773">
        <v>114</v>
      </c>
      <c r="W5514" s="773" t="s">
        <v>390</v>
      </c>
    </row>
    <row r="5515" spans="19:23">
      <c r="S5515" s="27">
        <v>44865</v>
      </c>
      <c r="T5515" s="773" t="s">
        <v>132</v>
      </c>
      <c r="U5515" s="773">
        <v>704</v>
      </c>
      <c r="V5515" s="773">
        <v>3257</v>
      </c>
      <c r="W5515" s="773" t="s">
        <v>390</v>
      </c>
    </row>
    <row r="5516" spans="19:23">
      <c r="S5516" s="27">
        <v>44500</v>
      </c>
      <c r="T5516" s="773" t="s">
        <v>132</v>
      </c>
      <c r="U5516" s="773">
        <v>317</v>
      </c>
      <c r="V5516" s="773">
        <v>292</v>
      </c>
      <c r="W5516" s="773" t="s">
        <v>390</v>
      </c>
    </row>
    <row r="5517" spans="19:23">
      <c r="S5517" s="27">
        <v>44865</v>
      </c>
      <c r="T5517" s="773" t="s">
        <v>132</v>
      </c>
      <c r="U5517" s="773">
        <v>153</v>
      </c>
      <c r="V5517" s="773">
        <v>2311</v>
      </c>
      <c r="W5517" s="773" t="s">
        <v>390</v>
      </c>
    </row>
    <row r="5518" spans="19:23">
      <c r="S5518" s="27">
        <v>44500</v>
      </c>
      <c r="T5518" s="773" t="s">
        <v>132</v>
      </c>
      <c r="U5518" s="773">
        <v>218</v>
      </c>
      <c r="V5518" s="773">
        <v>989</v>
      </c>
      <c r="W5518" s="773" t="s">
        <v>390</v>
      </c>
    </row>
    <row r="5519" spans="19:23">
      <c r="S5519" s="27">
        <v>44500</v>
      </c>
      <c r="T5519" s="773" t="s">
        <v>132</v>
      </c>
      <c r="U5519" s="773">
        <v>153</v>
      </c>
      <c r="V5519" s="773">
        <v>2121</v>
      </c>
      <c r="W5519" s="773" t="s">
        <v>390</v>
      </c>
    </row>
    <row r="5520" spans="19:23">
      <c r="S5520" s="27">
        <v>44865</v>
      </c>
      <c r="T5520" s="773" t="s">
        <v>132</v>
      </c>
      <c r="U5520" s="773">
        <v>728</v>
      </c>
      <c r="V5520" s="773">
        <v>29</v>
      </c>
      <c r="W5520" s="773" t="s">
        <v>410</v>
      </c>
    </row>
    <row r="5521" spans="19:23">
      <c r="S5521" s="27">
        <v>44865</v>
      </c>
      <c r="T5521" s="773" t="s">
        <v>132</v>
      </c>
      <c r="U5521" s="773">
        <v>188</v>
      </c>
      <c r="V5521" s="773">
        <v>725</v>
      </c>
      <c r="W5521" s="773" t="s">
        <v>390</v>
      </c>
    </row>
    <row r="5522" spans="19:23">
      <c r="S5522" s="27">
        <v>44500</v>
      </c>
      <c r="T5522" s="773" t="s">
        <v>132</v>
      </c>
      <c r="U5522" s="773">
        <v>670</v>
      </c>
      <c r="V5522" s="773">
        <v>3861</v>
      </c>
      <c r="W5522" s="773" t="s">
        <v>390</v>
      </c>
    </row>
    <row r="5523" spans="19:23">
      <c r="S5523" s="27">
        <v>44865</v>
      </c>
      <c r="T5523" s="773" t="s">
        <v>132</v>
      </c>
      <c r="U5523" s="773">
        <v>662</v>
      </c>
      <c r="V5523" s="773">
        <v>5</v>
      </c>
      <c r="W5523" s="773" t="s">
        <v>410</v>
      </c>
    </row>
    <row r="5524" spans="19:23">
      <c r="S5524" s="27">
        <v>44500</v>
      </c>
      <c r="T5524" s="773" t="s">
        <v>132</v>
      </c>
      <c r="U5524" s="773">
        <v>150</v>
      </c>
      <c r="V5524" s="773">
        <v>24</v>
      </c>
      <c r="W5524" s="773" t="s">
        <v>410</v>
      </c>
    </row>
    <row r="5525" spans="19:23">
      <c r="S5525" s="27">
        <v>44865</v>
      </c>
      <c r="T5525" s="773" t="s">
        <v>132</v>
      </c>
      <c r="U5525" s="773">
        <v>686</v>
      </c>
      <c r="V5525" s="773">
        <v>53</v>
      </c>
      <c r="W5525" s="773" t="s">
        <v>410</v>
      </c>
    </row>
    <row r="5526" spans="19:23">
      <c r="S5526" s="27">
        <v>44500</v>
      </c>
      <c r="T5526" s="773" t="s">
        <v>132</v>
      </c>
      <c r="U5526" s="773">
        <v>254</v>
      </c>
      <c r="V5526" s="773">
        <v>8</v>
      </c>
      <c r="W5526" s="773" t="s">
        <v>410</v>
      </c>
    </row>
    <row r="5527" spans="19:23">
      <c r="S5527" s="27">
        <v>44500</v>
      </c>
      <c r="T5527" s="773" t="s">
        <v>132</v>
      </c>
      <c r="U5527" s="773">
        <v>110</v>
      </c>
      <c r="V5527" s="773">
        <v>1</v>
      </c>
      <c r="W5527" s="773" t="s">
        <v>410</v>
      </c>
    </row>
    <row r="5528" spans="19:23">
      <c r="S5528" s="27">
        <v>44865</v>
      </c>
      <c r="T5528" s="773" t="s">
        <v>132</v>
      </c>
      <c r="U5528" s="773">
        <v>173</v>
      </c>
      <c r="V5528" s="773">
        <v>8</v>
      </c>
      <c r="W5528" s="773" t="s">
        <v>410</v>
      </c>
    </row>
    <row r="5529" spans="19:23">
      <c r="S5529" s="27">
        <v>44865</v>
      </c>
      <c r="T5529" s="773" t="s">
        <v>132</v>
      </c>
      <c r="U5529" s="773">
        <v>191</v>
      </c>
      <c r="V5529" s="773">
        <v>333</v>
      </c>
      <c r="W5529" s="773" t="s">
        <v>390</v>
      </c>
    </row>
    <row r="5530" spans="19:23">
      <c r="S5530" s="27">
        <v>44865</v>
      </c>
      <c r="T5530" s="773" t="s">
        <v>132</v>
      </c>
      <c r="U5530" s="773">
        <v>684</v>
      </c>
      <c r="V5530" s="773">
        <v>3164</v>
      </c>
      <c r="W5530" s="773" t="s">
        <v>390</v>
      </c>
    </row>
    <row r="5531" spans="19:23">
      <c r="S5531" s="27">
        <v>44865</v>
      </c>
      <c r="T5531" s="773" t="s">
        <v>132</v>
      </c>
      <c r="U5531" s="773">
        <v>279</v>
      </c>
      <c r="V5531" s="773">
        <v>2</v>
      </c>
      <c r="W5531" s="773" t="s">
        <v>410</v>
      </c>
    </row>
    <row r="5532" spans="19:23">
      <c r="S5532" s="27">
        <v>44500</v>
      </c>
      <c r="T5532" s="773" t="s">
        <v>132</v>
      </c>
      <c r="U5532" s="773">
        <v>700</v>
      </c>
      <c r="V5532" s="773">
        <v>1514</v>
      </c>
      <c r="W5532" s="773" t="s">
        <v>390</v>
      </c>
    </row>
    <row r="5533" spans="19:23">
      <c r="S5533" s="27">
        <v>44865</v>
      </c>
      <c r="T5533" s="773" t="s">
        <v>132</v>
      </c>
      <c r="U5533" s="773">
        <v>669</v>
      </c>
      <c r="V5533" s="773">
        <v>2866</v>
      </c>
      <c r="W5533" s="773" t="s">
        <v>390</v>
      </c>
    </row>
    <row r="5534" spans="19:23">
      <c r="S5534" s="27">
        <v>44865</v>
      </c>
      <c r="T5534" s="773" t="s">
        <v>132</v>
      </c>
      <c r="U5534" s="773">
        <v>158</v>
      </c>
      <c r="V5534" s="773">
        <v>127</v>
      </c>
      <c r="W5534" s="773" t="s">
        <v>390</v>
      </c>
    </row>
    <row r="5535" spans="19:23">
      <c r="S5535" s="27">
        <v>44500</v>
      </c>
      <c r="T5535" s="773" t="s">
        <v>132</v>
      </c>
      <c r="U5535" s="773">
        <v>60</v>
      </c>
      <c r="V5535" s="773">
        <v>1</v>
      </c>
      <c r="W5535" s="773" t="s">
        <v>410</v>
      </c>
    </row>
    <row r="5536" spans="19:23">
      <c r="S5536" s="27">
        <v>44865</v>
      </c>
      <c r="T5536" s="773" t="s">
        <v>132</v>
      </c>
      <c r="U5536" s="773">
        <v>94</v>
      </c>
      <c r="V5536" s="773">
        <v>427</v>
      </c>
      <c r="W5536" s="773" t="s">
        <v>390</v>
      </c>
    </row>
    <row r="5537" spans="19:23">
      <c r="S5537" s="27">
        <v>44865</v>
      </c>
      <c r="T5537" s="773" t="s">
        <v>132</v>
      </c>
      <c r="U5537" s="773">
        <v>222</v>
      </c>
      <c r="V5537" s="773">
        <v>2</v>
      </c>
      <c r="W5537" s="773" t="s">
        <v>410</v>
      </c>
    </row>
    <row r="5538" spans="19:23">
      <c r="S5538" s="27">
        <v>44865</v>
      </c>
      <c r="T5538" s="773" t="s">
        <v>132</v>
      </c>
      <c r="U5538" s="773">
        <v>159</v>
      </c>
      <c r="V5538" s="773">
        <v>8</v>
      </c>
      <c r="W5538" s="773" t="s">
        <v>410</v>
      </c>
    </row>
    <row r="5539" spans="19:23">
      <c r="S5539" s="27">
        <v>44500</v>
      </c>
      <c r="T5539" s="773" t="s">
        <v>132</v>
      </c>
      <c r="U5539" s="773">
        <v>250</v>
      </c>
      <c r="V5539" s="773">
        <v>2</v>
      </c>
      <c r="W5539" s="773" t="s">
        <v>410</v>
      </c>
    </row>
    <row r="5540" spans="19:23">
      <c r="S5540" s="27">
        <v>44500</v>
      </c>
      <c r="T5540" s="773" t="s">
        <v>132</v>
      </c>
      <c r="U5540" s="773">
        <v>684</v>
      </c>
      <c r="V5540" s="773">
        <v>2659</v>
      </c>
      <c r="W5540" s="773" t="s">
        <v>390</v>
      </c>
    </row>
    <row r="5541" spans="19:23">
      <c r="S5541" s="27">
        <v>44500</v>
      </c>
      <c r="T5541" s="773" t="s">
        <v>132</v>
      </c>
      <c r="U5541" s="773">
        <v>239</v>
      </c>
      <c r="V5541" s="773">
        <v>3361</v>
      </c>
      <c r="W5541" s="773" t="s">
        <v>390</v>
      </c>
    </row>
    <row r="5542" spans="19:23">
      <c r="S5542" s="27">
        <v>44500</v>
      </c>
      <c r="T5542" s="773" t="s">
        <v>132</v>
      </c>
      <c r="U5542" s="773">
        <v>297</v>
      </c>
      <c r="V5542" s="773">
        <v>131</v>
      </c>
      <c r="W5542" s="773" t="s">
        <v>390</v>
      </c>
    </row>
    <row r="5543" spans="19:23">
      <c r="S5543" s="27">
        <v>44865</v>
      </c>
      <c r="T5543" s="773" t="s">
        <v>132</v>
      </c>
      <c r="U5543" s="773">
        <v>658</v>
      </c>
      <c r="V5543" s="773">
        <v>3298</v>
      </c>
      <c r="W5543" s="773" t="s">
        <v>390</v>
      </c>
    </row>
    <row r="5544" spans="19:23">
      <c r="S5544" s="27">
        <v>44500</v>
      </c>
      <c r="T5544" s="773" t="s">
        <v>132</v>
      </c>
      <c r="U5544" s="773">
        <v>315</v>
      </c>
      <c r="V5544" s="773">
        <v>238</v>
      </c>
      <c r="W5544" s="773" t="s">
        <v>390</v>
      </c>
    </row>
    <row r="5545" spans="19:23">
      <c r="S5545" s="27">
        <v>44500</v>
      </c>
      <c r="T5545" s="773" t="s">
        <v>132</v>
      </c>
      <c r="U5545" s="773">
        <v>318</v>
      </c>
      <c r="V5545" s="773">
        <v>2033</v>
      </c>
      <c r="W5545" s="773" t="s">
        <v>390</v>
      </c>
    </row>
    <row r="5546" spans="19:23">
      <c r="S5546" s="27">
        <v>44865</v>
      </c>
      <c r="T5546" s="773" t="s">
        <v>132</v>
      </c>
      <c r="U5546" s="773">
        <v>59</v>
      </c>
      <c r="V5546" s="773">
        <v>2</v>
      </c>
      <c r="W5546" s="773" t="s">
        <v>410</v>
      </c>
    </row>
    <row r="5547" spans="19:23">
      <c r="S5547" s="27">
        <v>44865</v>
      </c>
      <c r="T5547" s="773" t="s">
        <v>132</v>
      </c>
      <c r="U5547" s="773">
        <v>98</v>
      </c>
      <c r="V5547" s="773">
        <v>31</v>
      </c>
      <c r="W5547" s="773" t="s">
        <v>410</v>
      </c>
    </row>
    <row r="5548" spans="19:23">
      <c r="S5548" s="27">
        <v>44865</v>
      </c>
      <c r="T5548" s="773" t="s">
        <v>132</v>
      </c>
      <c r="U5548" s="773">
        <v>306</v>
      </c>
      <c r="V5548" s="773">
        <v>2248</v>
      </c>
      <c r="W5548" s="773" t="s">
        <v>390</v>
      </c>
    </row>
    <row r="5549" spans="19:23">
      <c r="S5549" s="27">
        <v>44865</v>
      </c>
      <c r="T5549" s="773" t="s">
        <v>132</v>
      </c>
      <c r="U5549" s="773">
        <v>664</v>
      </c>
      <c r="V5549" s="773">
        <v>2088</v>
      </c>
      <c r="W5549" s="773" t="s">
        <v>390</v>
      </c>
    </row>
    <row r="5550" spans="19:23">
      <c r="S5550" s="27">
        <v>44500</v>
      </c>
      <c r="T5550" s="773" t="s">
        <v>132</v>
      </c>
      <c r="U5550" s="773">
        <v>148</v>
      </c>
      <c r="V5550" s="773">
        <v>1</v>
      </c>
      <c r="W5550" s="773" t="s">
        <v>410</v>
      </c>
    </row>
    <row r="5551" spans="19:23">
      <c r="S5551" s="27">
        <v>44865</v>
      </c>
      <c r="T5551" s="773" t="s">
        <v>132</v>
      </c>
      <c r="U5551" s="773">
        <v>326</v>
      </c>
      <c r="V5551" s="773">
        <v>2624</v>
      </c>
      <c r="W5551" s="773" t="s">
        <v>390</v>
      </c>
    </row>
    <row r="5552" spans="19:23">
      <c r="S5552" s="27">
        <v>44500</v>
      </c>
      <c r="T5552" s="773" t="s">
        <v>132</v>
      </c>
      <c r="U5552" s="773">
        <v>237</v>
      </c>
      <c r="V5552" s="773">
        <v>26</v>
      </c>
      <c r="W5552" s="773" t="s">
        <v>410</v>
      </c>
    </row>
    <row r="5553" spans="19:23">
      <c r="S5553" s="27">
        <v>44500</v>
      </c>
      <c r="T5553" s="773" t="s">
        <v>132</v>
      </c>
      <c r="U5553" s="773">
        <v>238</v>
      </c>
      <c r="V5553" s="773">
        <v>5</v>
      </c>
      <c r="W5553" s="773" t="s">
        <v>410</v>
      </c>
    </row>
    <row r="5554" spans="19:23">
      <c r="S5554" s="27">
        <v>44500</v>
      </c>
      <c r="T5554" s="773" t="s">
        <v>132</v>
      </c>
      <c r="U5554" s="773">
        <v>102</v>
      </c>
      <c r="V5554" s="773">
        <v>3</v>
      </c>
      <c r="W5554" s="773" t="s">
        <v>410</v>
      </c>
    </row>
    <row r="5555" spans="19:23">
      <c r="S5555" s="27">
        <v>44500</v>
      </c>
      <c r="T5555" s="773" t="s">
        <v>132</v>
      </c>
      <c r="U5555" s="773">
        <v>257</v>
      </c>
      <c r="V5555" s="773">
        <v>2595</v>
      </c>
      <c r="W5555" s="773" t="s">
        <v>390</v>
      </c>
    </row>
    <row r="5556" spans="19:23">
      <c r="S5556" s="27">
        <v>44500</v>
      </c>
      <c r="T5556" s="773" t="s">
        <v>132</v>
      </c>
      <c r="U5556" s="773">
        <v>660</v>
      </c>
      <c r="V5556" s="773">
        <v>4</v>
      </c>
      <c r="W5556" s="773" t="s">
        <v>410</v>
      </c>
    </row>
    <row r="5557" spans="19:23">
      <c r="S5557" s="27">
        <v>44500</v>
      </c>
      <c r="T5557" s="773" t="s">
        <v>132</v>
      </c>
      <c r="U5557" s="773">
        <v>13</v>
      </c>
      <c r="V5557" s="773">
        <v>2970</v>
      </c>
      <c r="W5557" s="773" t="s">
        <v>390</v>
      </c>
    </row>
    <row r="5558" spans="19:23">
      <c r="S5558" s="27">
        <v>44500</v>
      </c>
      <c r="T5558" s="773" t="s">
        <v>132</v>
      </c>
      <c r="U5558" s="773">
        <v>164</v>
      </c>
      <c r="V5558" s="773">
        <v>9</v>
      </c>
      <c r="W5558" s="773" t="s">
        <v>410</v>
      </c>
    </row>
    <row r="5559" spans="19:23">
      <c r="S5559" s="27">
        <v>44500</v>
      </c>
      <c r="T5559" s="773" t="s">
        <v>132</v>
      </c>
      <c r="U5559" s="773">
        <v>11</v>
      </c>
      <c r="V5559" s="773">
        <v>27</v>
      </c>
      <c r="W5559" s="773" t="s">
        <v>410</v>
      </c>
    </row>
    <row r="5560" spans="19:23">
      <c r="S5560" s="27">
        <v>44865</v>
      </c>
      <c r="T5560" s="773" t="s">
        <v>132</v>
      </c>
      <c r="U5560" s="773">
        <v>671</v>
      </c>
      <c r="V5560" s="773">
        <v>1951</v>
      </c>
      <c r="W5560" s="773" t="s">
        <v>390</v>
      </c>
    </row>
    <row r="5561" spans="19:23">
      <c r="S5561" s="27">
        <v>44500</v>
      </c>
      <c r="T5561" s="773" t="s">
        <v>132</v>
      </c>
      <c r="U5561" s="773">
        <v>319</v>
      </c>
      <c r="V5561" s="773">
        <v>1900</v>
      </c>
      <c r="W5561" s="773" t="s">
        <v>390</v>
      </c>
    </row>
    <row r="5562" spans="19:23">
      <c r="S5562" s="27">
        <v>44500</v>
      </c>
      <c r="T5562" s="773" t="s">
        <v>132</v>
      </c>
      <c r="U5562" s="773">
        <v>133</v>
      </c>
      <c r="V5562" s="773">
        <v>1</v>
      </c>
      <c r="W5562" s="773" t="s">
        <v>410</v>
      </c>
    </row>
    <row r="5563" spans="19:23">
      <c r="S5563" s="27">
        <v>44865</v>
      </c>
      <c r="T5563" s="773" t="s">
        <v>132</v>
      </c>
      <c r="U5563" s="773">
        <v>722</v>
      </c>
      <c r="V5563" s="773">
        <v>1</v>
      </c>
      <c r="W5563" s="773" t="s">
        <v>410</v>
      </c>
    </row>
    <row r="5564" spans="19:23">
      <c r="S5564" s="27">
        <v>44500</v>
      </c>
      <c r="T5564" s="773" t="s">
        <v>132</v>
      </c>
      <c r="U5564" s="773">
        <v>694</v>
      </c>
      <c r="V5564" s="773">
        <v>2</v>
      </c>
      <c r="W5564" s="773" t="s">
        <v>410</v>
      </c>
    </row>
    <row r="5565" spans="19:23">
      <c r="S5565" s="27">
        <v>44500</v>
      </c>
      <c r="T5565" s="773" t="s">
        <v>132</v>
      </c>
      <c r="U5565" s="773">
        <v>243</v>
      </c>
      <c r="V5565" s="773">
        <v>643</v>
      </c>
      <c r="W5565" s="773" t="s">
        <v>390</v>
      </c>
    </row>
    <row r="5566" spans="19:23">
      <c r="S5566" s="27">
        <v>44865</v>
      </c>
      <c r="T5566" s="773" t="s">
        <v>132</v>
      </c>
      <c r="U5566" s="773">
        <v>84</v>
      </c>
      <c r="V5566" s="773">
        <v>2422</v>
      </c>
      <c r="W5566" s="773" t="s">
        <v>390</v>
      </c>
    </row>
    <row r="5567" spans="19:23">
      <c r="S5567" s="27">
        <v>44865</v>
      </c>
      <c r="T5567" s="773" t="s">
        <v>132</v>
      </c>
      <c r="U5567" s="773">
        <v>44</v>
      </c>
      <c r="V5567" s="773">
        <v>2162</v>
      </c>
      <c r="W5567" s="773" t="s">
        <v>390</v>
      </c>
    </row>
    <row r="5568" spans="19:23">
      <c r="S5568" s="27">
        <v>44500</v>
      </c>
      <c r="T5568" s="773" t="s">
        <v>132</v>
      </c>
      <c r="U5568" s="773">
        <v>46</v>
      </c>
      <c r="V5568" s="773">
        <v>2815</v>
      </c>
      <c r="W5568" s="773" t="s">
        <v>390</v>
      </c>
    </row>
    <row r="5569" spans="19:23">
      <c r="S5569" s="27">
        <v>44500</v>
      </c>
      <c r="T5569" s="773" t="s">
        <v>132</v>
      </c>
      <c r="U5569" s="773">
        <v>247</v>
      </c>
      <c r="V5569" s="773">
        <v>2340</v>
      </c>
      <c r="W5569" s="773" t="s">
        <v>390</v>
      </c>
    </row>
    <row r="5570" spans="19:23">
      <c r="S5570" s="27">
        <v>44500</v>
      </c>
      <c r="T5570" s="773" t="s">
        <v>132</v>
      </c>
      <c r="U5570" s="773">
        <v>653</v>
      </c>
      <c r="V5570" s="773">
        <v>100</v>
      </c>
      <c r="W5570" s="773" t="s">
        <v>390</v>
      </c>
    </row>
    <row r="5571" spans="19:23">
      <c r="S5571" s="27">
        <v>44500</v>
      </c>
      <c r="T5571" s="773" t="s">
        <v>132</v>
      </c>
      <c r="U5571" s="773">
        <v>664</v>
      </c>
      <c r="V5571" s="773">
        <v>2200</v>
      </c>
      <c r="W5571" s="773" t="s">
        <v>390</v>
      </c>
    </row>
    <row r="5572" spans="19:23">
      <c r="S5572" s="27">
        <v>44865</v>
      </c>
      <c r="T5572" s="773" t="s">
        <v>132</v>
      </c>
      <c r="U5572" s="773">
        <v>247</v>
      </c>
      <c r="V5572" s="773">
        <v>2596</v>
      </c>
      <c r="W5572" s="773" t="s">
        <v>390</v>
      </c>
    </row>
    <row r="5573" spans="19:23">
      <c r="S5573" s="27">
        <v>44500</v>
      </c>
      <c r="T5573" s="773" t="s">
        <v>132</v>
      </c>
      <c r="U5573" s="773">
        <v>233</v>
      </c>
      <c r="V5573" s="773">
        <v>8627</v>
      </c>
      <c r="W5573" s="773" t="s">
        <v>390</v>
      </c>
    </row>
    <row r="5574" spans="19:23">
      <c r="S5574" s="27">
        <v>44500</v>
      </c>
      <c r="T5574" s="773" t="s">
        <v>132</v>
      </c>
      <c r="U5574" s="773">
        <v>321</v>
      </c>
      <c r="V5574" s="773">
        <v>782</v>
      </c>
      <c r="W5574" s="773" t="s">
        <v>390</v>
      </c>
    </row>
    <row r="5575" spans="19:23">
      <c r="S5575" s="27">
        <v>44865</v>
      </c>
      <c r="T5575" s="773" t="s">
        <v>132</v>
      </c>
      <c r="U5575" s="773">
        <v>124</v>
      </c>
      <c r="V5575" s="773">
        <v>7</v>
      </c>
      <c r="W5575" s="773" t="s">
        <v>410</v>
      </c>
    </row>
    <row r="5576" spans="19:23">
      <c r="S5576" s="27">
        <v>44865</v>
      </c>
      <c r="T5576" s="773" t="s">
        <v>132</v>
      </c>
      <c r="U5576" s="773">
        <v>229</v>
      </c>
      <c r="V5576" s="773">
        <v>1</v>
      </c>
      <c r="W5576" s="773" t="s">
        <v>410</v>
      </c>
    </row>
    <row r="5577" spans="19:23">
      <c r="S5577" s="27">
        <v>44500</v>
      </c>
      <c r="T5577" s="773" t="s">
        <v>132</v>
      </c>
      <c r="U5577" s="773">
        <v>232</v>
      </c>
      <c r="V5577" s="773">
        <v>122</v>
      </c>
      <c r="W5577" s="773" t="s">
        <v>390</v>
      </c>
    </row>
    <row r="5578" spans="19:23">
      <c r="S5578" s="27">
        <v>44865</v>
      </c>
      <c r="T5578" s="773" t="s">
        <v>132</v>
      </c>
      <c r="U5578" s="773">
        <v>79</v>
      </c>
      <c r="V5578" s="773">
        <v>4</v>
      </c>
      <c r="W5578" s="773" t="s">
        <v>410</v>
      </c>
    </row>
    <row r="5579" spans="19:23">
      <c r="S5579" s="27">
        <v>44500</v>
      </c>
      <c r="T5579" s="773" t="s">
        <v>132</v>
      </c>
      <c r="U5579" s="773">
        <v>680</v>
      </c>
      <c r="V5579" s="773">
        <v>327</v>
      </c>
      <c r="W5579" s="773" t="s">
        <v>390</v>
      </c>
    </row>
    <row r="5580" spans="19:23">
      <c r="S5580" s="27">
        <v>44500</v>
      </c>
      <c r="T5580" s="773" t="s">
        <v>132</v>
      </c>
      <c r="U5580" s="773">
        <v>231</v>
      </c>
      <c r="V5580" s="773">
        <v>4</v>
      </c>
      <c r="W5580" s="773" t="s">
        <v>410</v>
      </c>
    </row>
    <row r="5581" spans="19:23">
      <c r="S5581" s="27">
        <v>44500</v>
      </c>
      <c r="T5581" s="773" t="s">
        <v>132</v>
      </c>
      <c r="U5581" s="773">
        <v>91</v>
      </c>
      <c r="V5581" s="773">
        <v>2</v>
      </c>
      <c r="W5581" s="773" t="s">
        <v>410</v>
      </c>
    </row>
    <row r="5582" spans="19:23">
      <c r="S5582" s="27">
        <v>44865</v>
      </c>
      <c r="T5582" s="773" t="s">
        <v>132</v>
      </c>
      <c r="U5582" s="773">
        <v>720</v>
      </c>
      <c r="V5582" s="773">
        <v>2458</v>
      </c>
      <c r="W5582" s="773" t="s">
        <v>390</v>
      </c>
    </row>
    <row r="5583" spans="19:23">
      <c r="S5583" s="27">
        <v>44865</v>
      </c>
      <c r="T5583" s="773" t="s">
        <v>132</v>
      </c>
      <c r="U5583" s="773">
        <v>13</v>
      </c>
      <c r="V5583" s="773">
        <v>2542</v>
      </c>
      <c r="W5583" s="773" t="s">
        <v>390</v>
      </c>
    </row>
    <row r="5584" spans="19:23">
      <c r="S5584" s="27">
        <v>44865</v>
      </c>
      <c r="T5584" s="773" t="s">
        <v>132</v>
      </c>
      <c r="U5584" s="773">
        <v>162</v>
      </c>
      <c r="V5584" s="773">
        <v>1931</v>
      </c>
      <c r="W5584" s="773" t="s">
        <v>390</v>
      </c>
    </row>
    <row r="5585" spans="19:23">
      <c r="S5585" s="27">
        <v>44865</v>
      </c>
      <c r="T5585" s="773" t="s">
        <v>132</v>
      </c>
      <c r="U5585" s="773">
        <v>648</v>
      </c>
      <c r="V5585" s="773">
        <v>1</v>
      </c>
      <c r="W5585" s="773" t="s">
        <v>410</v>
      </c>
    </row>
    <row r="5586" spans="19:23">
      <c r="S5586" s="27">
        <v>44500</v>
      </c>
      <c r="T5586" s="773" t="s">
        <v>132</v>
      </c>
      <c r="U5586" s="773">
        <v>671</v>
      </c>
      <c r="V5586" s="773">
        <v>2197</v>
      </c>
      <c r="W5586" s="773" t="s">
        <v>390</v>
      </c>
    </row>
    <row r="5587" spans="19:23">
      <c r="S5587" s="27">
        <v>44865</v>
      </c>
      <c r="T5587" s="773" t="s">
        <v>132</v>
      </c>
      <c r="U5587" s="773">
        <v>694</v>
      </c>
      <c r="V5587" s="773">
        <v>1</v>
      </c>
      <c r="W5587" s="773" t="s">
        <v>410</v>
      </c>
    </row>
    <row r="5588" spans="19:23">
      <c r="S5588" s="27">
        <v>44500</v>
      </c>
      <c r="T5588" s="773" t="s">
        <v>132</v>
      </c>
      <c r="U5588" s="773">
        <v>236</v>
      </c>
      <c r="V5588" s="773">
        <v>1</v>
      </c>
      <c r="W5588" s="773" t="s">
        <v>410</v>
      </c>
    </row>
    <row r="5589" spans="19:23">
      <c r="S5589" s="27">
        <v>44865</v>
      </c>
      <c r="T5589" s="773" t="s">
        <v>132</v>
      </c>
      <c r="U5589" s="773">
        <v>183</v>
      </c>
      <c r="V5589" s="773">
        <v>594</v>
      </c>
      <c r="W5589" s="773" t="s">
        <v>390</v>
      </c>
    </row>
    <row r="5590" spans="19:23">
      <c r="S5590" s="27">
        <v>44865</v>
      </c>
      <c r="T5590" s="773" t="s">
        <v>132</v>
      </c>
      <c r="U5590" s="773">
        <v>709</v>
      </c>
      <c r="V5590" s="773">
        <v>2106</v>
      </c>
      <c r="W5590" s="773" t="s">
        <v>390</v>
      </c>
    </row>
    <row r="5591" spans="19:23">
      <c r="S5591" s="27">
        <v>44500</v>
      </c>
      <c r="T5591" s="773" t="s">
        <v>132</v>
      </c>
      <c r="U5591" s="773">
        <v>93</v>
      </c>
      <c r="V5591" s="773">
        <v>8380</v>
      </c>
      <c r="W5591" s="773" t="s">
        <v>390</v>
      </c>
    </row>
    <row r="5592" spans="19:23">
      <c r="S5592" s="27">
        <v>44865</v>
      </c>
      <c r="T5592" s="773" t="s">
        <v>132</v>
      </c>
      <c r="U5592" s="773">
        <v>275</v>
      </c>
      <c r="V5592" s="773">
        <v>25</v>
      </c>
      <c r="W5592" s="773" t="s">
        <v>410</v>
      </c>
    </row>
    <row r="5593" spans="19:23">
      <c r="S5593" s="27">
        <v>44500</v>
      </c>
      <c r="T5593" s="773" t="s">
        <v>132</v>
      </c>
      <c r="U5593" s="773">
        <v>149</v>
      </c>
      <c r="V5593" s="773">
        <v>1</v>
      </c>
      <c r="W5593" s="773" t="s">
        <v>410</v>
      </c>
    </row>
    <row r="5594" spans="19:23">
      <c r="S5594" s="27">
        <v>44865</v>
      </c>
      <c r="T5594" s="773" t="s">
        <v>132</v>
      </c>
      <c r="U5594" s="773">
        <v>93</v>
      </c>
      <c r="V5594" s="773">
        <v>2956</v>
      </c>
      <c r="W5594" s="773" t="s">
        <v>390</v>
      </c>
    </row>
    <row r="5595" spans="19:23">
      <c r="S5595" s="27">
        <v>44865</v>
      </c>
      <c r="T5595" s="773" t="s">
        <v>132</v>
      </c>
      <c r="U5595" s="773">
        <v>716</v>
      </c>
      <c r="V5595" s="773">
        <v>351</v>
      </c>
      <c r="W5595" s="773" t="s">
        <v>390</v>
      </c>
    </row>
    <row r="5596" spans="19:23">
      <c r="S5596" s="27">
        <v>44865</v>
      </c>
      <c r="T5596" s="773" t="s">
        <v>132</v>
      </c>
      <c r="U5596" s="773">
        <v>215</v>
      </c>
      <c r="V5596" s="773">
        <v>678</v>
      </c>
      <c r="W5596" s="773" t="s">
        <v>390</v>
      </c>
    </row>
    <row r="5597" spans="19:23">
      <c r="S5597" s="27">
        <v>44500</v>
      </c>
      <c r="T5597" s="773" t="s">
        <v>132</v>
      </c>
      <c r="U5597" s="773">
        <v>105</v>
      </c>
      <c r="V5597" s="773">
        <v>2</v>
      </c>
      <c r="W5597" s="773" t="s">
        <v>410</v>
      </c>
    </row>
    <row r="5598" spans="19:23">
      <c r="S5598" s="27">
        <v>44865</v>
      </c>
      <c r="T5598" s="773" t="s">
        <v>132</v>
      </c>
      <c r="U5598" s="773">
        <v>41</v>
      </c>
      <c r="V5598" s="773">
        <v>1</v>
      </c>
      <c r="W5598" s="773" t="s">
        <v>410</v>
      </c>
    </row>
    <row r="5599" spans="19:23">
      <c r="S5599" s="27">
        <v>44500</v>
      </c>
      <c r="T5599" s="773" t="s">
        <v>132</v>
      </c>
      <c r="U5599" s="773">
        <v>84</v>
      </c>
      <c r="V5599" s="773">
        <v>2462</v>
      </c>
      <c r="W5599" s="773" t="s">
        <v>390</v>
      </c>
    </row>
    <row r="5600" spans="19:23">
      <c r="S5600" s="27">
        <v>44500</v>
      </c>
      <c r="T5600" s="773" t="s">
        <v>132</v>
      </c>
      <c r="U5600" s="773">
        <v>269</v>
      </c>
      <c r="V5600" s="773">
        <v>1</v>
      </c>
      <c r="W5600" s="773" t="s">
        <v>410</v>
      </c>
    </row>
    <row r="5601" spans="19:23">
      <c r="S5601" s="27">
        <v>44865</v>
      </c>
      <c r="T5601" s="773" t="s">
        <v>132</v>
      </c>
      <c r="U5601" s="773">
        <v>139</v>
      </c>
      <c r="V5601" s="773">
        <v>2360</v>
      </c>
      <c r="W5601" s="773" t="s">
        <v>390</v>
      </c>
    </row>
    <row r="5602" spans="19:23">
      <c r="S5602" s="27">
        <v>44500</v>
      </c>
      <c r="T5602" s="773" t="s">
        <v>132</v>
      </c>
      <c r="U5602" s="773">
        <v>200</v>
      </c>
      <c r="V5602" s="773">
        <v>3</v>
      </c>
      <c r="W5602" s="773" t="s">
        <v>410</v>
      </c>
    </row>
    <row r="5603" spans="19:23">
      <c r="S5603" s="27">
        <v>44865</v>
      </c>
      <c r="T5603" s="773" t="s">
        <v>132</v>
      </c>
      <c r="U5603" s="773">
        <v>35</v>
      </c>
      <c r="V5603" s="773">
        <v>883</v>
      </c>
      <c r="W5603" s="773" t="s">
        <v>390</v>
      </c>
    </row>
    <row r="5604" spans="19:23">
      <c r="S5604" s="27">
        <v>44865</v>
      </c>
      <c r="T5604" s="773" t="s">
        <v>132</v>
      </c>
      <c r="U5604" s="773">
        <v>691</v>
      </c>
      <c r="V5604" s="773">
        <v>3010</v>
      </c>
      <c r="W5604" s="773" t="s">
        <v>390</v>
      </c>
    </row>
    <row r="5605" spans="19:23">
      <c r="S5605" s="27">
        <v>44500</v>
      </c>
      <c r="T5605" s="773" t="s">
        <v>132</v>
      </c>
      <c r="U5605" s="773">
        <v>293</v>
      </c>
      <c r="V5605" s="773">
        <v>512</v>
      </c>
      <c r="W5605" s="773" t="s">
        <v>390</v>
      </c>
    </row>
    <row r="5606" spans="19:23">
      <c r="S5606" s="27">
        <v>44865</v>
      </c>
      <c r="T5606" s="773" t="s">
        <v>132</v>
      </c>
      <c r="U5606" s="773">
        <v>240</v>
      </c>
      <c r="V5606" s="773">
        <v>3</v>
      </c>
      <c r="W5606" s="773" t="s">
        <v>410</v>
      </c>
    </row>
    <row r="5607" spans="19:23">
      <c r="S5607" s="27">
        <v>44865</v>
      </c>
      <c r="T5607" s="773" t="s">
        <v>132</v>
      </c>
      <c r="U5607" s="773">
        <v>325</v>
      </c>
      <c r="V5607" s="773">
        <v>2037</v>
      </c>
      <c r="W5607" s="773" t="s">
        <v>390</v>
      </c>
    </row>
    <row r="5608" spans="19:23">
      <c r="S5608" s="27">
        <v>44500</v>
      </c>
      <c r="T5608" s="773" t="s">
        <v>132</v>
      </c>
      <c r="U5608" s="773">
        <v>82</v>
      </c>
      <c r="V5608" s="773">
        <v>2195</v>
      </c>
      <c r="W5608" s="773" t="s">
        <v>390</v>
      </c>
    </row>
    <row r="5609" spans="19:23">
      <c r="S5609" s="27">
        <v>44500</v>
      </c>
      <c r="T5609" s="773" t="s">
        <v>132</v>
      </c>
      <c r="U5609" s="773">
        <v>654</v>
      </c>
      <c r="V5609" s="773">
        <v>2373</v>
      </c>
      <c r="W5609" s="773" t="s">
        <v>390</v>
      </c>
    </row>
    <row r="5610" spans="19:23">
      <c r="S5610" s="27">
        <v>44865</v>
      </c>
      <c r="T5610" s="773" t="s">
        <v>132</v>
      </c>
      <c r="U5610" s="773">
        <v>61</v>
      </c>
      <c r="V5610" s="773">
        <v>1</v>
      </c>
      <c r="W5610" s="773" t="s">
        <v>410</v>
      </c>
    </row>
    <row r="5611" spans="19:23">
      <c r="S5611" s="27">
        <v>44500</v>
      </c>
      <c r="T5611" s="773" t="s">
        <v>132</v>
      </c>
      <c r="U5611" s="773">
        <v>145</v>
      </c>
      <c r="V5611" s="773">
        <v>2</v>
      </c>
      <c r="W5611" s="773" t="s">
        <v>410</v>
      </c>
    </row>
    <row r="5612" spans="19:23">
      <c r="S5612" s="27">
        <v>44500</v>
      </c>
      <c r="T5612" s="773" t="s">
        <v>132</v>
      </c>
      <c r="U5612" s="773">
        <v>324</v>
      </c>
      <c r="V5612" s="773">
        <v>488</v>
      </c>
      <c r="W5612" s="773" t="s">
        <v>390</v>
      </c>
    </row>
    <row r="5613" spans="19:23">
      <c r="S5613" s="27">
        <v>44500</v>
      </c>
      <c r="T5613" s="773" t="s">
        <v>132</v>
      </c>
      <c r="U5613" s="773">
        <v>70</v>
      </c>
      <c r="V5613" s="773">
        <v>242</v>
      </c>
      <c r="W5613" s="773" t="s">
        <v>390</v>
      </c>
    </row>
    <row r="5614" spans="19:23">
      <c r="S5614" s="27">
        <v>44865</v>
      </c>
      <c r="T5614" s="773" t="s">
        <v>132</v>
      </c>
      <c r="U5614" s="773">
        <v>76</v>
      </c>
      <c r="V5614" s="773">
        <v>2665</v>
      </c>
      <c r="W5614" s="773" t="s">
        <v>390</v>
      </c>
    </row>
    <row r="5615" spans="19:23">
      <c r="S5615" s="27">
        <v>44500</v>
      </c>
      <c r="T5615" s="773" t="s">
        <v>132</v>
      </c>
      <c r="U5615" s="773">
        <v>132</v>
      </c>
      <c r="V5615" s="773">
        <v>2947</v>
      </c>
      <c r="W5615" s="773" t="s">
        <v>390</v>
      </c>
    </row>
    <row r="5616" spans="19:23">
      <c r="S5616" s="27">
        <v>44500</v>
      </c>
      <c r="T5616" s="773" t="s">
        <v>132</v>
      </c>
      <c r="U5616" s="773">
        <v>296</v>
      </c>
      <c r="V5616" s="773">
        <v>2360</v>
      </c>
      <c r="W5616" s="773" t="s">
        <v>390</v>
      </c>
    </row>
    <row r="5617" spans="19:23">
      <c r="S5617" s="27">
        <v>44865</v>
      </c>
      <c r="T5617" s="773" t="s">
        <v>132</v>
      </c>
      <c r="U5617" s="773">
        <v>241</v>
      </c>
      <c r="V5617" s="773">
        <v>10</v>
      </c>
      <c r="W5617" s="773" t="s">
        <v>410</v>
      </c>
    </row>
    <row r="5618" spans="19:23">
      <c r="S5618" s="27">
        <v>44500</v>
      </c>
      <c r="T5618" s="773" t="s">
        <v>132</v>
      </c>
      <c r="U5618" s="773">
        <v>35</v>
      </c>
      <c r="V5618" s="773">
        <v>888</v>
      </c>
      <c r="W5618" s="773" t="s">
        <v>390</v>
      </c>
    </row>
    <row r="5619" spans="19:23">
      <c r="S5619" s="27">
        <v>44500</v>
      </c>
      <c r="T5619" s="773" t="s">
        <v>132</v>
      </c>
      <c r="U5619" s="773">
        <v>626</v>
      </c>
      <c r="V5619" s="773">
        <v>5</v>
      </c>
      <c r="W5619" s="773" t="s">
        <v>410</v>
      </c>
    </row>
    <row r="5620" spans="19:23">
      <c r="S5620" s="27">
        <v>44865</v>
      </c>
      <c r="T5620" s="773" t="s">
        <v>132</v>
      </c>
      <c r="U5620" s="773">
        <v>740</v>
      </c>
      <c r="V5620" s="773">
        <v>17</v>
      </c>
      <c r="W5620" s="773" t="s">
        <v>410</v>
      </c>
    </row>
    <row r="5621" spans="19:23">
      <c r="S5621" s="27">
        <v>44500</v>
      </c>
      <c r="T5621" s="773" t="s">
        <v>132</v>
      </c>
      <c r="U5621" s="773">
        <v>81</v>
      </c>
      <c r="V5621" s="773">
        <v>3</v>
      </c>
      <c r="W5621" s="773" t="s">
        <v>410</v>
      </c>
    </row>
    <row r="5622" spans="19:23">
      <c r="S5622" s="27">
        <v>44500</v>
      </c>
      <c r="T5622" s="773" t="s">
        <v>132</v>
      </c>
      <c r="U5622" s="773">
        <v>251</v>
      </c>
      <c r="V5622" s="773">
        <v>2513</v>
      </c>
      <c r="W5622" s="773" t="s">
        <v>390</v>
      </c>
    </row>
    <row r="5623" spans="19:23">
      <c r="S5623" s="27">
        <v>44865</v>
      </c>
      <c r="T5623" s="773" t="s">
        <v>132</v>
      </c>
      <c r="U5623" s="773">
        <v>680</v>
      </c>
      <c r="V5623" s="773">
        <v>3006</v>
      </c>
      <c r="W5623" s="773" t="s">
        <v>390</v>
      </c>
    </row>
    <row r="5624" spans="19:23">
      <c r="S5624" s="27">
        <v>44865</v>
      </c>
      <c r="T5624" s="773" t="s">
        <v>132</v>
      </c>
      <c r="U5624" s="773">
        <v>650</v>
      </c>
      <c r="V5624" s="773">
        <v>22</v>
      </c>
      <c r="W5624" s="773" t="s">
        <v>410</v>
      </c>
    </row>
    <row r="5625" spans="19:23">
      <c r="S5625" s="27">
        <v>44500</v>
      </c>
      <c r="T5625" s="773" t="s">
        <v>132</v>
      </c>
      <c r="U5625" s="773">
        <v>241</v>
      </c>
      <c r="V5625" s="773">
        <v>27</v>
      </c>
      <c r="W5625" s="773" t="s">
        <v>410</v>
      </c>
    </row>
    <row r="5626" spans="19:23">
      <c r="S5626" s="27">
        <v>44865</v>
      </c>
      <c r="T5626" s="773" t="s">
        <v>132</v>
      </c>
      <c r="U5626" s="773">
        <v>218</v>
      </c>
      <c r="V5626" s="773">
        <v>140</v>
      </c>
      <c r="W5626" s="773" t="s">
        <v>390</v>
      </c>
    </row>
    <row r="5627" spans="19:23">
      <c r="S5627" s="27">
        <v>44865</v>
      </c>
      <c r="T5627" s="773" t="s">
        <v>132</v>
      </c>
      <c r="U5627" s="773">
        <v>108</v>
      </c>
      <c r="V5627" s="773">
        <v>7</v>
      </c>
      <c r="W5627" s="773" t="s">
        <v>410</v>
      </c>
    </row>
    <row r="5628" spans="19:23">
      <c r="S5628" s="27">
        <v>44865</v>
      </c>
      <c r="T5628" s="773" t="s">
        <v>132</v>
      </c>
      <c r="U5628" s="773">
        <v>666</v>
      </c>
      <c r="V5628" s="773">
        <v>1528</v>
      </c>
      <c r="W5628" s="773" t="s">
        <v>390</v>
      </c>
    </row>
    <row r="5629" spans="19:23">
      <c r="S5629" s="27">
        <v>44865</v>
      </c>
      <c r="T5629" s="773" t="s">
        <v>132</v>
      </c>
      <c r="U5629" s="773">
        <v>697</v>
      </c>
      <c r="V5629" s="773">
        <v>1483</v>
      </c>
      <c r="W5629" s="773" t="s">
        <v>390</v>
      </c>
    </row>
    <row r="5630" spans="19:23">
      <c r="S5630" s="27">
        <v>44500</v>
      </c>
      <c r="T5630" s="773" t="s">
        <v>132</v>
      </c>
      <c r="U5630" s="773">
        <v>14</v>
      </c>
      <c r="V5630" s="773">
        <v>1</v>
      </c>
      <c r="W5630" s="773" t="s">
        <v>410</v>
      </c>
    </row>
    <row r="5631" spans="19:23">
      <c r="S5631" s="27">
        <v>44500</v>
      </c>
      <c r="T5631" s="773" t="s">
        <v>132</v>
      </c>
      <c r="U5631" s="773">
        <v>669</v>
      </c>
      <c r="V5631" s="773">
        <v>2631</v>
      </c>
      <c r="W5631" s="773" t="s">
        <v>390</v>
      </c>
    </row>
    <row r="5632" spans="19:23">
      <c r="S5632" s="27">
        <v>44865</v>
      </c>
      <c r="T5632" s="773" t="s">
        <v>132</v>
      </c>
      <c r="U5632" s="773">
        <v>323</v>
      </c>
      <c r="V5632" s="773">
        <v>3088</v>
      </c>
      <c r="W5632" s="773" t="s">
        <v>390</v>
      </c>
    </row>
    <row r="5633" spans="19:23">
      <c r="S5633" s="27">
        <v>44865</v>
      </c>
      <c r="T5633" s="773" t="s">
        <v>132</v>
      </c>
      <c r="U5633" s="773">
        <v>103</v>
      </c>
      <c r="V5633" s="773">
        <v>3376</v>
      </c>
      <c r="W5633" s="773" t="s">
        <v>390</v>
      </c>
    </row>
    <row r="5634" spans="19:23">
      <c r="S5634" s="27">
        <v>44865</v>
      </c>
      <c r="T5634" s="773" t="s">
        <v>132</v>
      </c>
      <c r="U5634" s="773">
        <v>528</v>
      </c>
      <c r="V5634" s="773">
        <v>62</v>
      </c>
      <c r="W5634" s="773" t="s">
        <v>410</v>
      </c>
    </row>
    <row r="5635" spans="19:23">
      <c r="S5635" s="27">
        <v>44865</v>
      </c>
      <c r="T5635" s="773" t="s">
        <v>132</v>
      </c>
      <c r="U5635" s="773">
        <v>319</v>
      </c>
      <c r="V5635" s="773">
        <v>3145</v>
      </c>
      <c r="W5635" s="773" t="s">
        <v>390</v>
      </c>
    </row>
    <row r="5636" spans="19:23">
      <c r="S5636" s="27">
        <v>44865</v>
      </c>
      <c r="T5636" s="773" t="s">
        <v>132</v>
      </c>
      <c r="U5636" s="773">
        <v>133</v>
      </c>
      <c r="V5636" s="773">
        <v>4</v>
      </c>
      <c r="W5636" s="773" t="s">
        <v>410</v>
      </c>
    </row>
    <row r="5637" spans="19:23">
      <c r="S5637" s="27">
        <v>44500</v>
      </c>
      <c r="T5637" s="773" t="s">
        <v>132</v>
      </c>
      <c r="U5637" s="773">
        <v>155</v>
      </c>
      <c r="V5637" s="773">
        <v>2409</v>
      </c>
      <c r="W5637" s="773" t="s">
        <v>390</v>
      </c>
    </row>
    <row r="5638" spans="19:23">
      <c r="S5638" s="27">
        <v>44500</v>
      </c>
      <c r="T5638" s="773" t="s">
        <v>132</v>
      </c>
      <c r="U5638" s="773">
        <v>674</v>
      </c>
      <c r="V5638" s="773">
        <v>3829</v>
      </c>
      <c r="W5638" s="773" t="s">
        <v>390</v>
      </c>
    </row>
    <row r="5639" spans="19:23">
      <c r="S5639" s="27">
        <v>44865</v>
      </c>
      <c r="T5639" s="773" t="s">
        <v>132</v>
      </c>
      <c r="U5639" s="773">
        <v>220</v>
      </c>
      <c r="V5639" s="773">
        <v>108</v>
      </c>
      <c r="W5639" s="773" t="s">
        <v>390</v>
      </c>
    </row>
    <row r="5640" spans="19:23">
      <c r="S5640" s="27">
        <v>44500</v>
      </c>
      <c r="T5640" s="773" t="s">
        <v>132</v>
      </c>
      <c r="U5640" s="773">
        <v>308</v>
      </c>
      <c r="V5640" s="773">
        <v>2147</v>
      </c>
      <c r="W5640" s="773" t="s">
        <v>390</v>
      </c>
    </row>
    <row r="5641" spans="19:23">
      <c r="S5641" s="27">
        <v>44865</v>
      </c>
      <c r="T5641" s="773" t="s">
        <v>132</v>
      </c>
      <c r="U5641" s="773">
        <v>748</v>
      </c>
      <c r="V5641" s="773">
        <v>27</v>
      </c>
      <c r="W5641" s="773" t="s">
        <v>410</v>
      </c>
    </row>
    <row r="5642" spans="19:23">
      <c r="S5642" s="27">
        <v>44500</v>
      </c>
      <c r="T5642" s="773" t="s">
        <v>132</v>
      </c>
      <c r="U5642" s="773">
        <v>252</v>
      </c>
      <c r="V5642" s="773">
        <v>1274</v>
      </c>
      <c r="W5642" s="773" t="s">
        <v>390</v>
      </c>
    </row>
    <row r="5643" spans="19:23">
      <c r="S5643" s="27">
        <v>44865</v>
      </c>
      <c r="T5643" s="773" t="s">
        <v>132</v>
      </c>
      <c r="U5643" s="773">
        <v>645</v>
      </c>
      <c r="V5643" s="773">
        <v>728</v>
      </c>
      <c r="W5643" s="773" t="s">
        <v>390</v>
      </c>
    </row>
    <row r="5644" spans="19:23">
      <c r="S5644" s="27">
        <v>44865</v>
      </c>
      <c r="T5644" s="773" t="s">
        <v>132</v>
      </c>
      <c r="U5644" s="773">
        <v>204</v>
      </c>
      <c r="V5644" s="773">
        <v>7</v>
      </c>
      <c r="W5644" s="773" t="s">
        <v>410</v>
      </c>
    </row>
    <row r="5645" spans="19:23">
      <c r="S5645" s="27">
        <v>44500</v>
      </c>
      <c r="T5645" s="773" t="s">
        <v>132</v>
      </c>
      <c r="U5645" s="773">
        <v>188</v>
      </c>
      <c r="V5645" s="773">
        <v>550</v>
      </c>
      <c r="W5645" s="773" t="s">
        <v>390</v>
      </c>
    </row>
    <row r="5646" spans="19:23">
      <c r="S5646" s="27">
        <v>44865</v>
      </c>
      <c r="T5646" s="773" t="s">
        <v>132</v>
      </c>
      <c r="U5646" s="773">
        <v>58</v>
      </c>
      <c r="V5646" s="773">
        <v>1</v>
      </c>
      <c r="W5646" s="773" t="s">
        <v>410</v>
      </c>
    </row>
    <row r="5647" spans="19:23">
      <c r="S5647" s="27">
        <v>44500</v>
      </c>
      <c r="T5647" s="773" t="s">
        <v>132</v>
      </c>
      <c r="U5647" s="773">
        <v>703</v>
      </c>
      <c r="V5647" s="773">
        <v>2338</v>
      </c>
      <c r="W5647" s="773" t="s">
        <v>390</v>
      </c>
    </row>
    <row r="5648" spans="19:23">
      <c r="S5648" s="27">
        <v>44500</v>
      </c>
      <c r="T5648" s="773" t="s">
        <v>132</v>
      </c>
      <c r="U5648" s="773">
        <v>220</v>
      </c>
      <c r="V5648" s="773">
        <v>173</v>
      </c>
      <c r="W5648" s="773" t="s">
        <v>390</v>
      </c>
    </row>
    <row r="5649" spans="19:23">
      <c r="S5649" s="27">
        <v>44500</v>
      </c>
      <c r="T5649" s="773" t="s">
        <v>132</v>
      </c>
      <c r="U5649" s="773">
        <v>159</v>
      </c>
      <c r="V5649" s="773">
        <v>20</v>
      </c>
      <c r="W5649" s="773" t="s">
        <v>410</v>
      </c>
    </row>
    <row r="5650" spans="19:23">
      <c r="S5650" s="27">
        <v>44865</v>
      </c>
      <c r="T5650" s="773" t="s">
        <v>132</v>
      </c>
      <c r="U5650" s="773">
        <v>60</v>
      </c>
      <c r="V5650" s="773">
        <v>1</v>
      </c>
      <c r="W5650" s="773" t="s">
        <v>410</v>
      </c>
    </row>
    <row r="5651" spans="19:23">
      <c r="S5651" s="27">
        <v>44500</v>
      </c>
      <c r="T5651" s="773" t="s">
        <v>132</v>
      </c>
      <c r="U5651" s="773">
        <v>266</v>
      </c>
      <c r="V5651" s="773">
        <v>2289</v>
      </c>
      <c r="W5651" s="773" t="s">
        <v>390</v>
      </c>
    </row>
    <row r="5652" spans="19:23">
      <c r="S5652" s="27">
        <v>44500</v>
      </c>
      <c r="T5652" s="773" t="s">
        <v>132</v>
      </c>
      <c r="U5652" s="773">
        <v>40</v>
      </c>
      <c r="V5652" s="773">
        <v>2</v>
      </c>
      <c r="W5652" s="773" t="s">
        <v>410</v>
      </c>
    </row>
    <row r="5653" spans="19:23">
      <c r="S5653" s="27">
        <v>44865</v>
      </c>
      <c r="T5653" s="773" t="s">
        <v>132</v>
      </c>
      <c r="U5653" s="773">
        <v>66</v>
      </c>
      <c r="V5653" s="773">
        <v>1</v>
      </c>
      <c r="W5653" s="773" t="s">
        <v>410</v>
      </c>
    </row>
    <row r="5654" spans="19:23">
      <c r="S5654" s="27">
        <v>44500</v>
      </c>
      <c r="T5654" s="773" t="s">
        <v>132</v>
      </c>
      <c r="U5654" s="773">
        <v>322</v>
      </c>
      <c r="V5654" s="773">
        <v>2107</v>
      </c>
      <c r="W5654" s="773" t="s">
        <v>390</v>
      </c>
    </row>
    <row r="5655" spans="19:23">
      <c r="S5655" s="27">
        <v>44500</v>
      </c>
      <c r="T5655" s="773" t="s">
        <v>132</v>
      </c>
      <c r="U5655" s="773">
        <v>43</v>
      </c>
      <c r="V5655" s="773">
        <v>3126</v>
      </c>
      <c r="W5655" s="773" t="s">
        <v>390</v>
      </c>
    </row>
    <row r="5656" spans="19:23">
      <c r="S5656" s="27">
        <v>44500</v>
      </c>
      <c r="T5656" s="773" t="s">
        <v>132</v>
      </c>
      <c r="U5656" s="773">
        <v>53</v>
      </c>
      <c r="V5656" s="773">
        <v>2</v>
      </c>
      <c r="W5656" s="773" t="s">
        <v>410</v>
      </c>
    </row>
    <row r="5657" spans="19:23">
      <c r="S5657" s="27">
        <v>44500</v>
      </c>
      <c r="T5657" s="773" t="s">
        <v>132</v>
      </c>
      <c r="U5657" s="773">
        <v>326</v>
      </c>
      <c r="V5657" s="773">
        <v>3063</v>
      </c>
      <c r="W5657" s="773" t="s">
        <v>390</v>
      </c>
    </row>
    <row r="5658" spans="19:23">
      <c r="S5658" s="27">
        <v>44500</v>
      </c>
      <c r="T5658" s="773" t="s">
        <v>132</v>
      </c>
      <c r="U5658" s="773">
        <v>253</v>
      </c>
      <c r="V5658" s="773">
        <v>15</v>
      </c>
      <c r="W5658" s="773" t="s">
        <v>410</v>
      </c>
    </row>
    <row r="5659" spans="19:23">
      <c r="S5659" s="27">
        <v>44500</v>
      </c>
      <c r="T5659" s="773" t="s">
        <v>132</v>
      </c>
      <c r="U5659" s="773">
        <v>323</v>
      </c>
      <c r="V5659" s="773">
        <v>2928</v>
      </c>
      <c r="W5659" s="773" t="s">
        <v>390</v>
      </c>
    </row>
    <row r="5660" spans="19:23">
      <c r="S5660" s="27">
        <v>44865</v>
      </c>
      <c r="T5660" s="773" t="s">
        <v>132</v>
      </c>
      <c r="U5660" s="773">
        <v>251</v>
      </c>
      <c r="V5660" s="773">
        <v>1925</v>
      </c>
      <c r="W5660" s="773" t="s">
        <v>390</v>
      </c>
    </row>
    <row r="5661" spans="19:23">
      <c r="S5661" s="27">
        <v>44865</v>
      </c>
      <c r="T5661" s="773" t="s">
        <v>132</v>
      </c>
      <c r="U5661" s="773">
        <v>736</v>
      </c>
      <c r="V5661" s="773">
        <v>69</v>
      </c>
      <c r="W5661" s="773" t="s">
        <v>410</v>
      </c>
    </row>
    <row r="5662" spans="19:23">
      <c r="S5662" s="27">
        <v>44500</v>
      </c>
      <c r="T5662" s="773" t="s">
        <v>132</v>
      </c>
      <c r="U5662" s="773">
        <v>255</v>
      </c>
      <c r="V5662" s="773">
        <v>42</v>
      </c>
      <c r="W5662" s="773" t="s">
        <v>410</v>
      </c>
    </row>
    <row r="5663" spans="19:23">
      <c r="S5663" s="27">
        <v>44865</v>
      </c>
      <c r="T5663" s="773" t="s">
        <v>132</v>
      </c>
      <c r="U5663" s="773">
        <v>660</v>
      </c>
      <c r="V5663" s="773">
        <v>5</v>
      </c>
      <c r="W5663" s="773" t="s">
        <v>410</v>
      </c>
    </row>
    <row r="5664" spans="19:23">
      <c r="S5664" s="27">
        <v>44500</v>
      </c>
      <c r="T5664" s="773" t="s">
        <v>132</v>
      </c>
      <c r="U5664" s="773">
        <v>528</v>
      </c>
      <c r="V5664" s="773">
        <v>420</v>
      </c>
      <c r="W5664" s="773" t="s">
        <v>390</v>
      </c>
    </row>
    <row r="5665" spans="19:23">
      <c r="S5665" s="27">
        <v>44865</v>
      </c>
      <c r="T5665" s="773" t="s">
        <v>132</v>
      </c>
      <c r="U5665" s="773">
        <v>255</v>
      </c>
      <c r="V5665" s="773">
        <v>349</v>
      </c>
      <c r="W5665" s="773" t="s">
        <v>390</v>
      </c>
    </row>
    <row r="5666" spans="19:23">
      <c r="S5666" s="27">
        <v>44500</v>
      </c>
      <c r="T5666" s="773" t="s">
        <v>132</v>
      </c>
      <c r="U5666" s="773">
        <v>97</v>
      </c>
      <c r="V5666" s="773">
        <v>2</v>
      </c>
      <c r="W5666" s="773" t="s">
        <v>410</v>
      </c>
    </row>
    <row r="5667" spans="19:23">
      <c r="S5667" s="27">
        <v>44865</v>
      </c>
      <c r="T5667" s="773" t="s">
        <v>132</v>
      </c>
      <c r="U5667" s="773">
        <v>276</v>
      </c>
      <c r="V5667" s="773">
        <v>1</v>
      </c>
      <c r="W5667" s="773" t="s">
        <v>410</v>
      </c>
    </row>
    <row r="5668" spans="19:23">
      <c r="S5668" s="27">
        <v>44500</v>
      </c>
      <c r="T5668" s="773" t="s">
        <v>132</v>
      </c>
      <c r="U5668" s="773">
        <v>256</v>
      </c>
      <c r="V5668" s="773">
        <v>744</v>
      </c>
      <c r="W5668" s="773" t="s">
        <v>390</v>
      </c>
    </row>
    <row r="5669" spans="19:23">
      <c r="S5669" s="27">
        <v>44865</v>
      </c>
      <c r="T5669" s="773" t="s">
        <v>132</v>
      </c>
      <c r="U5669" s="773">
        <v>329</v>
      </c>
      <c r="V5669" s="773">
        <v>4005</v>
      </c>
      <c r="W5669" s="773" t="s">
        <v>390</v>
      </c>
    </row>
    <row r="5670" spans="19:23">
      <c r="S5670" s="27">
        <v>44500</v>
      </c>
      <c r="T5670" s="773" t="s">
        <v>132</v>
      </c>
      <c r="U5670" s="773">
        <v>645</v>
      </c>
      <c r="V5670" s="773">
        <v>2742</v>
      </c>
      <c r="W5670" s="773" t="s">
        <v>390</v>
      </c>
    </row>
    <row r="5671" spans="19:23">
      <c r="S5671" s="27">
        <v>44865</v>
      </c>
      <c r="T5671" s="773" t="s">
        <v>132</v>
      </c>
      <c r="U5671" s="773">
        <v>741</v>
      </c>
      <c r="V5671" s="773">
        <v>2792</v>
      </c>
      <c r="W5671" s="773" t="s">
        <v>390</v>
      </c>
    </row>
    <row r="5672" spans="19:23">
      <c r="S5672" s="27">
        <v>44500</v>
      </c>
      <c r="T5672" s="773" t="s">
        <v>132</v>
      </c>
      <c r="U5672" s="773">
        <v>320</v>
      </c>
      <c r="V5672" s="773">
        <v>1051</v>
      </c>
      <c r="W5672" s="773" t="s">
        <v>390</v>
      </c>
    </row>
    <row r="5673" spans="19:23">
      <c r="S5673" s="27">
        <v>44865</v>
      </c>
      <c r="T5673" s="773" t="s">
        <v>132</v>
      </c>
      <c r="U5673" s="773">
        <v>739</v>
      </c>
      <c r="V5673" s="773">
        <v>75</v>
      </c>
      <c r="W5673" s="773" t="s">
        <v>410</v>
      </c>
    </row>
    <row r="5674" spans="19:23">
      <c r="S5674" s="27">
        <v>44500</v>
      </c>
      <c r="T5674" s="773" t="s">
        <v>132</v>
      </c>
      <c r="U5674" s="773">
        <v>666</v>
      </c>
      <c r="V5674" s="773">
        <v>1475</v>
      </c>
      <c r="W5674" s="773" t="s">
        <v>390</v>
      </c>
    </row>
    <row r="5675" spans="19:23">
      <c r="S5675" s="27">
        <v>44865</v>
      </c>
      <c r="T5675" s="773" t="s">
        <v>132</v>
      </c>
      <c r="U5675" s="773">
        <v>264</v>
      </c>
      <c r="V5675" s="773">
        <v>361</v>
      </c>
      <c r="W5675" s="773" t="s">
        <v>390</v>
      </c>
    </row>
    <row r="5676" spans="19:23">
      <c r="S5676" s="27">
        <v>44500</v>
      </c>
      <c r="T5676" s="773" t="s">
        <v>132</v>
      </c>
      <c r="U5676" s="773">
        <v>130</v>
      </c>
      <c r="V5676" s="773">
        <v>1</v>
      </c>
      <c r="W5676" s="773" t="s">
        <v>410</v>
      </c>
    </row>
    <row r="5677" spans="19:23">
      <c r="S5677" s="27">
        <v>44865</v>
      </c>
      <c r="T5677" s="773" t="s">
        <v>132</v>
      </c>
      <c r="U5677" s="773">
        <v>87</v>
      </c>
      <c r="V5677" s="773">
        <v>4</v>
      </c>
      <c r="W5677" s="773" t="s">
        <v>410</v>
      </c>
    </row>
    <row r="5678" spans="19:23">
      <c r="S5678" s="27">
        <v>44500</v>
      </c>
      <c r="T5678" s="773" t="s">
        <v>132</v>
      </c>
      <c r="U5678" s="773">
        <v>622</v>
      </c>
      <c r="V5678" s="773">
        <v>1</v>
      </c>
      <c r="W5678" s="773" t="s">
        <v>410</v>
      </c>
    </row>
    <row r="5679" spans="19:23">
      <c r="S5679" s="27">
        <v>44865</v>
      </c>
      <c r="T5679" s="773" t="s">
        <v>132</v>
      </c>
      <c r="U5679" s="773">
        <v>707</v>
      </c>
      <c r="V5679" s="773">
        <v>278</v>
      </c>
      <c r="W5679" s="773" t="s">
        <v>390</v>
      </c>
    </row>
    <row r="5680" spans="19:23">
      <c r="S5680" s="27">
        <v>44500</v>
      </c>
      <c r="T5680" s="773" t="s">
        <v>132</v>
      </c>
      <c r="U5680" s="773">
        <v>342</v>
      </c>
      <c r="V5680" s="773">
        <v>2817</v>
      </c>
      <c r="W5680" s="773" t="s">
        <v>390</v>
      </c>
    </row>
    <row r="5681" spans="19:23">
      <c r="S5681" s="27">
        <v>44865</v>
      </c>
      <c r="T5681" s="773" t="s">
        <v>132</v>
      </c>
      <c r="U5681" s="773">
        <v>621</v>
      </c>
      <c r="V5681" s="773">
        <v>2418</v>
      </c>
      <c r="W5681" s="773" t="s">
        <v>390</v>
      </c>
    </row>
    <row r="5682" spans="19:23">
      <c r="S5682" s="27">
        <v>44865</v>
      </c>
      <c r="T5682" s="773" t="s">
        <v>132</v>
      </c>
      <c r="U5682" s="773">
        <v>169</v>
      </c>
      <c r="V5682" s="773">
        <v>3175</v>
      </c>
      <c r="W5682" s="773" t="s">
        <v>390</v>
      </c>
    </row>
    <row r="5683" spans="19:23">
      <c r="S5683" s="27">
        <v>44500</v>
      </c>
      <c r="T5683" s="773" t="s">
        <v>132</v>
      </c>
      <c r="U5683" s="773">
        <v>87</v>
      </c>
      <c r="V5683" s="773">
        <v>1</v>
      </c>
      <c r="W5683" s="773" t="s">
        <v>410</v>
      </c>
    </row>
    <row r="5684" spans="19:23">
      <c r="S5684" s="27">
        <v>44865</v>
      </c>
      <c r="T5684" s="773" t="s">
        <v>132</v>
      </c>
      <c r="U5684" s="773">
        <v>674</v>
      </c>
      <c r="V5684" s="773">
        <v>3587</v>
      </c>
      <c r="W5684" s="773" t="s">
        <v>390</v>
      </c>
    </row>
    <row r="5685" spans="19:23">
      <c r="S5685" s="27">
        <v>44865</v>
      </c>
      <c r="T5685" s="773" t="s">
        <v>132</v>
      </c>
      <c r="U5685" s="773">
        <v>48</v>
      </c>
      <c r="V5685" s="773">
        <v>659</v>
      </c>
      <c r="W5685" s="773" t="s">
        <v>390</v>
      </c>
    </row>
    <row r="5686" spans="19:23">
      <c r="S5686" s="27">
        <v>44500</v>
      </c>
      <c r="T5686" s="773" t="s">
        <v>132</v>
      </c>
      <c r="U5686" s="773">
        <v>181</v>
      </c>
      <c r="V5686" s="773">
        <v>1</v>
      </c>
      <c r="W5686" s="773" t="s">
        <v>410</v>
      </c>
    </row>
    <row r="5687" spans="19:23">
      <c r="S5687" s="27">
        <v>44865</v>
      </c>
      <c r="T5687" s="773" t="s">
        <v>132</v>
      </c>
      <c r="U5687" s="773">
        <v>216</v>
      </c>
      <c r="V5687" s="773">
        <v>2334</v>
      </c>
      <c r="W5687" s="773" t="s">
        <v>390</v>
      </c>
    </row>
    <row r="5688" spans="19:23">
      <c r="S5688" s="27">
        <v>44500</v>
      </c>
      <c r="T5688" s="773" t="s">
        <v>132</v>
      </c>
      <c r="U5688" s="773">
        <v>325</v>
      </c>
      <c r="V5688" s="773">
        <v>2930</v>
      </c>
      <c r="W5688" s="773" t="s">
        <v>390</v>
      </c>
    </row>
    <row r="5689" spans="19:23">
      <c r="S5689" s="27">
        <v>44500</v>
      </c>
      <c r="T5689" s="773" t="s">
        <v>132</v>
      </c>
      <c r="U5689" s="773">
        <v>204</v>
      </c>
      <c r="V5689" s="773">
        <v>23</v>
      </c>
      <c r="W5689" s="773" t="s">
        <v>410</v>
      </c>
    </row>
    <row r="5690" spans="19:23">
      <c r="S5690" s="27">
        <v>44500</v>
      </c>
      <c r="T5690" s="773" t="s">
        <v>132</v>
      </c>
      <c r="U5690" s="773">
        <v>68</v>
      </c>
      <c r="V5690" s="773">
        <v>498</v>
      </c>
      <c r="W5690" s="773" t="s">
        <v>390</v>
      </c>
    </row>
    <row r="5691" spans="19:23">
      <c r="S5691" s="27">
        <v>44500</v>
      </c>
      <c r="T5691" s="773" t="s">
        <v>132</v>
      </c>
      <c r="U5691" s="773">
        <v>0</v>
      </c>
      <c r="V5691" s="773">
        <v>38</v>
      </c>
      <c r="W5691" s="773" t="s">
        <v>410</v>
      </c>
    </row>
    <row r="5692" spans="19:23">
      <c r="S5692" s="27">
        <v>44865</v>
      </c>
      <c r="T5692" s="773" t="s">
        <v>132</v>
      </c>
      <c r="U5692" s="773">
        <v>200</v>
      </c>
      <c r="V5692" s="773">
        <v>1</v>
      </c>
      <c r="W5692" s="773" t="s">
        <v>410</v>
      </c>
    </row>
    <row r="5693" spans="19:23">
      <c r="S5693" s="27">
        <v>44500</v>
      </c>
      <c r="T5693" s="773" t="s">
        <v>132</v>
      </c>
      <c r="U5693" s="773">
        <v>249</v>
      </c>
      <c r="V5693" s="773">
        <v>2723</v>
      </c>
      <c r="W5693" s="773" t="s">
        <v>390</v>
      </c>
    </row>
    <row r="5694" spans="19:23">
      <c r="S5694" s="27">
        <v>44865</v>
      </c>
      <c r="T5694" s="773" t="s">
        <v>132</v>
      </c>
      <c r="U5694" s="773">
        <v>78</v>
      </c>
      <c r="V5694" s="773">
        <v>6</v>
      </c>
      <c r="W5694" s="773" t="s">
        <v>410</v>
      </c>
    </row>
    <row r="5695" spans="19:23">
      <c r="S5695" s="27">
        <v>44865</v>
      </c>
      <c r="T5695" s="773" t="s">
        <v>132</v>
      </c>
      <c r="U5695" s="773">
        <v>132</v>
      </c>
      <c r="V5695" s="773">
        <v>2573</v>
      </c>
      <c r="W5695" s="773" t="s">
        <v>390</v>
      </c>
    </row>
    <row r="5696" spans="19:23">
      <c r="S5696" s="27">
        <v>44865</v>
      </c>
      <c r="T5696" s="773" t="s">
        <v>132</v>
      </c>
      <c r="U5696" s="773">
        <v>249</v>
      </c>
      <c r="V5696" s="773">
        <v>3372</v>
      </c>
      <c r="W5696" s="773" t="s">
        <v>390</v>
      </c>
    </row>
    <row r="5697" spans="19:23">
      <c r="S5697" s="27">
        <v>44865</v>
      </c>
      <c r="T5697" s="773" t="s">
        <v>132</v>
      </c>
      <c r="U5697" s="773">
        <v>703</v>
      </c>
      <c r="V5697" s="773">
        <v>3200</v>
      </c>
      <c r="W5697" s="773" t="s">
        <v>390</v>
      </c>
    </row>
    <row r="5698" spans="19:23">
      <c r="S5698" s="27">
        <v>44500</v>
      </c>
      <c r="T5698" s="773" t="s">
        <v>132</v>
      </c>
      <c r="U5698" s="773">
        <v>658</v>
      </c>
      <c r="V5698" s="773">
        <v>3039</v>
      </c>
      <c r="W5698" s="773" t="s">
        <v>390</v>
      </c>
    </row>
    <row r="5699" spans="19:23">
      <c r="S5699" s="27">
        <v>44865</v>
      </c>
      <c r="T5699" s="773" t="s">
        <v>132</v>
      </c>
      <c r="U5699" s="773">
        <v>256</v>
      </c>
      <c r="V5699" s="773">
        <v>280</v>
      </c>
      <c r="W5699" s="773" t="s">
        <v>390</v>
      </c>
    </row>
    <row r="5700" spans="19:23">
      <c r="S5700" s="27">
        <v>44500</v>
      </c>
      <c r="T5700" s="773" t="s">
        <v>132</v>
      </c>
      <c r="U5700" s="773">
        <v>290</v>
      </c>
      <c r="V5700" s="773">
        <v>2363</v>
      </c>
      <c r="W5700" s="773" t="s">
        <v>390</v>
      </c>
    </row>
    <row r="5701" spans="19:23">
      <c r="S5701" s="27">
        <v>44865</v>
      </c>
      <c r="T5701" s="773" t="s">
        <v>132</v>
      </c>
      <c r="U5701" s="773">
        <v>678</v>
      </c>
      <c r="V5701" s="773">
        <v>184</v>
      </c>
      <c r="W5701" s="773" t="s">
        <v>390</v>
      </c>
    </row>
    <row r="5702" spans="19:23">
      <c r="S5702" s="27">
        <v>44865</v>
      </c>
      <c r="T5702" s="773" t="s">
        <v>132</v>
      </c>
      <c r="U5702" s="773">
        <v>253</v>
      </c>
      <c r="V5702" s="773">
        <v>11</v>
      </c>
      <c r="W5702" s="773" t="s">
        <v>410</v>
      </c>
    </row>
    <row r="5703" spans="19:23">
      <c r="S5703" s="27">
        <v>44500</v>
      </c>
      <c r="T5703" s="773" t="s">
        <v>132</v>
      </c>
      <c r="U5703" s="773">
        <v>171</v>
      </c>
      <c r="V5703" s="773">
        <v>186</v>
      </c>
      <c r="W5703" s="773" t="s">
        <v>390</v>
      </c>
    </row>
    <row r="5704" spans="19:23">
      <c r="S5704" s="27">
        <v>44865</v>
      </c>
      <c r="T5704" s="773" t="s">
        <v>132</v>
      </c>
      <c r="U5704" s="773">
        <v>70</v>
      </c>
      <c r="V5704" s="773">
        <v>209</v>
      </c>
      <c r="W5704" s="773" t="s">
        <v>390</v>
      </c>
    </row>
    <row r="5705" spans="19:23">
      <c r="S5705" s="27">
        <v>44865</v>
      </c>
      <c r="T5705" s="773" t="s">
        <v>132</v>
      </c>
      <c r="U5705" s="773">
        <v>81</v>
      </c>
      <c r="V5705" s="773">
        <v>8</v>
      </c>
      <c r="W5705" s="773" t="s">
        <v>410</v>
      </c>
    </row>
    <row r="5706" spans="19:23">
      <c r="S5706" s="27">
        <v>44500</v>
      </c>
      <c r="T5706" s="773" t="s">
        <v>132</v>
      </c>
      <c r="U5706" s="773">
        <v>203</v>
      </c>
      <c r="V5706" s="773">
        <v>3223</v>
      </c>
      <c r="W5706" s="773" t="s">
        <v>390</v>
      </c>
    </row>
    <row r="5707" spans="19:23">
      <c r="S5707" s="27">
        <v>44500</v>
      </c>
      <c r="T5707" s="773" t="s">
        <v>132</v>
      </c>
      <c r="U5707" s="773">
        <v>292</v>
      </c>
      <c r="V5707" s="773">
        <v>7</v>
      </c>
      <c r="W5707" s="773" t="s">
        <v>410</v>
      </c>
    </row>
    <row r="5708" spans="19:23">
      <c r="S5708" s="27">
        <v>44500</v>
      </c>
      <c r="T5708" s="773" t="s">
        <v>132</v>
      </c>
      <c r="U5708" s="773">
        <v>61</v>
      </c>
      <c r="V5708" s="773">
        <v>1</v>
      </c>
      <c r="W5708" s="773" t="s">
        <v>410</v>
      </c>
    </row>
    <row r="5709" spans="19:23">
      <c r="S5709" s="27">
        <v>44865</v>
      </c>
      <c r="T5709" s="773" t="s">
        <v>132</v>
      </c>
      <c r="U5709" s="773">
        <v>161</v>
      </c>
      <c r="V5709" s="773">
        <v>1</v>
      </c>
      <c r="W5709" s="773" t="s">
        <v>410</v>
      </c>
    </row>
    <row r="5710" spans="19:23">
      <c r="S5710" s="27">
        <v>44865</v>
      </c>
      <c r="T5710" s="773" t="s">
        <v>132</v>
      </c>
      <c r="U5710" s="773">
        <v>665</v>
      </c>
      <c r="V5710" s="773">
        <v>3201</v>
      </c>
      <c r="W5710" s="773" t="s">
        <v>390</v>
      </c>
    </row>
    <row r="5711" spans="19:23">
      <c r="S5711" s="27">
        <v>44865</v>
      </c>
      <c r="T5711" s="773" t="s">
        <v>132</v>
      </c>
      <c r="U5711" s="773">
        <v>130</v>
      </c>
      <c r="V5711" s="773">
        <v>1</v>
      </c>
      <c r="W5711" s="773" t="s">
        <v>410</v>
      </c>
    </row>
    <row r="5712" spans="19:23">
      <c r="S5712" s="27">
        <v>44500</v>
      </c>
      <c r="T5712" s="773" t="s">
        <v>132</v>
      </c>
      <c r="U5712" s="773">
        <v>73</v>
      </c>
      <c r="V5712" s="773">
        <v>2</v>
      </c>
      <c r="W5712" s="773" t="s">
        <v>410</v>
      </c>
    </row>
    <row r="5713" spans="19:23">
      <c r="S5713" s="27">
        <v>44500</v>
      </c>
      <c r="T5713" s="773" t="s">
        <v>132</v>
      </c>
      <c r="U5713" s="773">
        <v>59</v>
      </c>
      <c r="V5713" s="773">
        <v>69</v>
      </c>
      <c r="W5713" s="773" t="s">
        <v>410</v>
      </c>
    </row>
    <row r="5714" spans="19:23">
      <c r="S5714" s="27">
        <v>44865</v>
      </c>
      <c r="T5714" s="773" t="s">
        <v>132</v>
      </c>
      <c r="U5714" s="773">
        <v>311</v>
      </c>
      <c r="V5714" s="773">
        <v>2442</v>
      </c>
      <c r="W5714" s="773" t="s">
        <v>390</v>
      </c>
    </row>
    <row r="5715" spans="19:23">
      <c r="S5715" s="27">
        <v>44865</v>
      </c>
      <c r="T5715" s="773" t="s">
        <v>132</v>
      </c>
      <c r="U5715" s="773">
        <v>317</v>
      </c>
      <c r="V5715" s="773">
        <v>3381</v>
      </c>
      <c r="W5715" s="773" t="s">
        <v>390</v>
      </c>
    </row>
    <row r="5716" spans="19:23">
      <c r="S5716" s="27">
        <v>44500</v>
      </c>
      <c r="T5716" s="773" t="s">
        <v>132</v>
      </c>
      <c r="U5716" s="773">
        <v>678</v>
      </c>
      <c r="V5716" s="773">
        <v>2785</v>
      </c>
      <c r="W5716" s="773" t="s">
        <v>390</v>
      </c>
    </row>
    <row r="5717" spans="19:23">
      <c r="S5717" s="27">
        <v>44500</v>
      </c>
      <c r="T5717" s="773" t="s">
        <v>132</v>
      </c>
      <c r="U5717" s="773">
        <v>267</v>
      </c>
      <c r="V5717" s="773">
        <v>1</v>
      </c>
      <c r="W5717" s="773" t="s">
        <v>410</v>
      </c>
    </row>
    <row r="5718" spans="19:23">
      <c r="S5718" s="27">
        <v>44865</v>
      </c>
      <c r="T5718" s="773" t="s">
        <v>132</v>
      </c>
      <c r="U5718" s="773">
        <v>309</v>
      </c>
      <c r="V5718" s="773">
        <v>1</v>
      </c>
      <c r="W5718" s="773" t="s">
        <v>410</v>
      </c>
    </row>
    <row r="5719" spans="19:23">
      <c r="S5719" s="27">
        <v>44895</v>
      </c>
      <c r="T5719" s="773" t="s">
        <v>132</v>
      </c>
      <c r="U5719" s="773">
        <v>691</v>
      </c>
      <c r="V5719" s="773">
        <v>3022</v>
      </c>
      <c r="W5719" s="773" t="s">
        <v>390</v>
      </c>
    </row>
    <row r="5720" spans="19:23">
      <c r="S5720" s="27">
        <v>44895</v>
      </c>
      <c r="T5720" s="773" t="s">
        <v>132</v>
      </c>
      <c r="U5720" s="773">
        <v>750</v>
      </c>
      <c r="V5720" s="773">
        <v>30</v>
      </c>
      <c r="W5720" s="773" t="s">
        <v>410</v>
      </c>
    </row>
    <row r="5721" spans="19:23">
      <c r="S5721" s="27">
        <v>44895</v>
      </c>
      <c r="T5721" s="773" t="s">
        <v>132</v>
      </c>
      <c r="U5721" s="773">
        <v>729</v>
      </c>
      <c r="V5721" s="773">
        <v>70</v>
      </c>
      <c r="W5721" s="773" t="s">
        <v>410</v>
      </c>
    </row>
    <row r="5722" spans="19:23">
      <c r="S5722" s="27">
        <v>44895</v>
      </c>
      <c r="T5722" s="773" t="s">
        <v>132</v>
      </c>
      <c r="U5722" s="773">
        <v>724</v>
      </c>
      <c r="V5722" s="773">
        <v>136</v>
      </c>
      <c r="W5722" s="773" t="s">
        <v>390</v>
      </c>
    </row>
    <row r="5723" spans="19:23">
      <c r="S5723" s="27">
        <v>44895</v>
      </c>
      <c r="T5723" s="773" t="s">
        <v>132</v>
      </c>
      <c r="U5723" s="773">
        <v>46</v>
      </c>
      <c r="V5723" s="773">
        <v>1</v>
      </c>
      <c r="W5723" s="773" t="s">
        <v>410</v>
      </c>
    </row>
    <row r="5724" spans="19:23">
      <c r="S5724" s="27">
        <v>44895</v>
      </c>
      <c r="T5724" s="773" t="s">
        <v>132</v>
      </c>
      <c r="U5724" s="773">
        <v>710</v>
      </c>
      <c r="V5724" s="773">
        <v>978</v>
      </c>
      <c r="W5724" s="773" t="s">
        <v>390</v>
      </c>
    </row>
    <row r="5725" spans="19:23">
      <c r="S5725" s="27">
        <v>44895</v>
      </c>
      <c r="T5725" s="773" t="s">
        <v>132</v>
      </c>
      <c r="U5725" s="773">
        <v>740</v>
      </c>
      <c r="V5725" s="773">
        <v>36</v>
      </c>
      <c r="W5725" s="773" t="s">
        <v>410</v>
      </c>
    </row>
    <row r="5726" spans="19:23">
      <c r="S5726" s="27">
        <v>44895</v>
      </c>
      <c r="T5726" s="773" t="s">
        <v>132</v>
      </c>
      <c r="U5726" s="773">
        <v>171</v>
      </c>
      <c r="V5726" s="773">
        <v>44</v>
      </c>
      <c r="W5726" s="773" t="s">
        <v>410</v>
      </c>
    </row>
    <row r="5727" spans="19:23">
      <c r="S5727" s="27">
        <v>44895</v>
      </c>
      <c r="T5727" s="773" t="s">
        <v>132</v>
      </c>
      <c r="U5727" s="773">
        <v>215</v>
      </c>
      <c r="V5727" s="773">
        <v>681</v>
      </c>
      <c r="W5727" s="773" t="s">
        <v>390</v>
      </c>
    </row>
    <row r="5728" spans="19:23">
      <c r="S5728" s="27">
        <v>44895</v>
      </c>
      <c r="T5728" s="773" t="s">
        <v>132</v>
      </c>
      <c r="U5728" s="773">
        <v>645</v>
      </c>
      <c r="V5728" s="773">
        <v>723</v>
      </c>
      <c r="W5728" s="773" t="s">
        <v>390</v>
      </c>
    </row>
    <row r="5729" spans="19:23">
      <c r="S5729" s="27">
        <v>44895</v>
      </c>
      <c r="T5729" s="773" t="s">
        <v>132</v>
      </c>
      <c r="U5729" s="773">
        <v>262</v>
      </c>
      <c r="V5729" s="773">
        <v>47</v>
      </c>
      <c r="W5729" s="773" t="s">
        <v>410</v>
      </c>
    </row>
    <row r="5730" spans="19:23">
      <c r="S5730" s="27">
        <v>44895</v>
      </c>
      <c r="T5730" s="773" t="s">
        <v>132</v>
      </c>
      <c r="U5730" s="773">
        <v>148</v>
      </c>
      <c r="V5730" s="773">
        <v>2</v>
      </c>
      <c r="W5730" s="773" t="s">
        <v>410</v>
      </c>
    </row>
    <row r="5731" spans="19:23">
      <c r="S5731" s="27">
        <v>44895</v>
      </c>
      <c r="T5731" s="773" t="s">
        <v>132</v>
      </c>
      <c r="U5731" s="773">
        <v>58</v>
      </c>
      <c r="V5731" s="773">
        <v>1</v>
      </c>
      <c r="W5731" s="773" t="s">
        <v>410</v>
      </c>
    </row>
    <row r="5732" spans="19:23">
      <c r="S5732" s="27">
        <v>44895</v>
      </c>
      <c r="T5732" s="773" t="s">
        <v>132</v>
      </c>
      <c r="U5732" s="773">
        <v>291</v>
      </c>
      <c r="V5732" s="773">
        <v>1799</v>
      </c>
      <c r="W5732" s="773" t="s">
        <v>390</v>
      </c>
    </row>
    <row r="5733" spans="19:23">
      <c r="S5733" s="27">
        <v>44895</v>
      </c>
      <c r="T5733" s="773" t="s">
        <v>132</v>
      </c>
      <c r="U5733" s="773">
        <v>71</v>
      </c>
      <c r="V5733" s="773">
        <v>1</v>
      </c>
      <c r="W5733" s="773" t="s">
        <v>410</v>
      </c>
    </row>
    <row r="5734" spans="19:23">
      <c r="S5734" s="27">
        <v>44895</v>
      </c>
      <c r="T5734" s="773" t="s">
        <v>132</v>
      </c>
      <c r="U5734" s="773">
        <v>193</v>
      </c>
      <c r="V5734" s="773">
        <v>483</v>
      </c>
      <c r="W5734" s="773" t="s">
        <v>390</v>
      </c>
    </row>
    <row r="5735" spans="19:23">
      <c r="S5735" s="27">
        <v>44895</v>
      </c>
      <c r="T5735" s="773" t="s">
        <v>132</v>
      </c>
      <c r="U5735" s="773">
        <v>680</v>
      </c>
      <c r="V5735" s="773">
        <v>3029</v>
      </c>
      <c r="W5735" s="773" t="s">
        <v>390</v>
      </c>
    </row>
    <row r="5736" spans="19:23">
      <c r="S5736" s="27">
        <v>44895</v>
      </c>
      <c r="T5736" s="773" t="s">
        <v>132</v>
      </c>
      <c r="U5736" s="773">
        <v>78</v>
      </c>
      <c r="V5736" s="773">
        <v>8</v>
      </c>
      <c r="W5736" s="773" t="s">
        <v>410</v>
      </c>
    </row>
    <row r="5737" spans="19:23">
      <c r="S5737" s="27">
        <v>44895</v>
      </c>
      <c r="T5737" s="773" t="s">
        <v>132</v>
      </c>
      <c r="U5737" s="773">
        <v>66</v>
      </c>
      <c r="V5737" s="773">
        <v>1</v>
      </c>
      <c r="W5737" s="773" t="s">
        <v>410</v>
      </c>
    </row>
    <row r="5738" spans="19:23">
      <c r="S5738" s="27">
        <v>44895</v>
      </c>
      <c r="T5738" s="773" t="s">
        <v>132</v>
      </c>
      <c r="U5738" s="773">
        <v>652</v>
      </c>
      <c r="V5738" s="773">
        <v>3566</v>
      </c>
      <c r="W5738" s="773" t="s">
        <v>390</v>
      </c>
    </row>
    <row r="5739" spans="19:23">
      <c r="S5739" s="27">
        <v>44895</v>
      </c>
      <c r="T5739" s="773" t="s">
        <v>132</v>
      </c>
      <c r="U5739" s="773">
        <v>140</v>
      </c>
      <c r="V5739" s="773">
        <v>544</v>
      </c>
      <c r="W5739" s="773" t="s">
        <v>390</v>
      </c>
    </row>
    <row r="5740" spans="19:23">
      <c r="S5740" s="27">
        <v>44895</v>
      </c>
      <c r="T5740" s="773" t="s">
        <v>132</v>
      </c>
      <c r="U5740" s="773">
        <v>723</v>
      </c>
      <c r="V5740" s="773">
        <v>305</v>
      </c>
      <c r="W5740" s="773" t="s">
        <v>390</v>
      </c>
    </row>
    <row r="5741" spans="19:23">
      <c r="S5741" s="27">
        <v>44895</v>
      </c>
      <c r="T5741" s="773" t="s">
        <v>132</v>
      </c>
      <c r="U5741" s="773">
        <v>173</v>
      </c>
      <c r="V5741" s="773">
        <v>7</v>
      </c>
      <c r="W5741" s="773" t="s">
        <v>410</v>
      </c>
    </row>
    <row r="5742" spans="19:23">
      <c r="S5742" s="27">
        <v>44895</v>
      </c>
      <c r="T5742" s="773" t="s">
        <v>132</v>
      </c>
      <c r="U5742" s="773">
        <v>279</v>
      </c>
      <c r="V5742" s="773">
        <v>2</v>
      </c>
      <c r="W5742" s="773" t="s">
        <v>410</v>
      </c>
    </row>
    <row r="5743" spans="19:23">
      <c r="S5743" s="27">
        <v>44895</v>
      </c>
      <c r="T5743" s="773" t="s">
        <v>132</v>
      </c>
      <c r="U5743" s="773">
        <v>667</v>
      </c>
      <c r="V5743" s="773">
        <v>2</v>
      </c>
      <c r="W5743" s="773" t="s">
        <v>410</v>
      </c>
    </row>
    <row r="5744" spans="19:23">
      <c r="S5744" s="27">
        <v>44895</v>
      </c>
      <c r="T5744" s="773" t="s">
        <v>132</v>
      </c>
      <c r="U5744" s="773">
        <v>303</v>
      </c>
      <c r="V5744" s="773">
        <v>2460</v>
      </c>
      <c r="W5744" s="773" t="s">
        <v>390</v>
      </c>
    </row>
    <row r="5745" spans="19:23">
      <c r="S5745" s="27">
        <v>44895</v>
      </c>
      <c r="T5745" s="773" t="s">
        <v>132</v>
      </c>
      <c r="U5745" s="773">
        <v>675</v>
      </c>
      <c r="V5745" s="773">
        <v>2</v>
      </c>
      <c r="W5745" s="773" t="s">
        <v>410</v>
      </c>
    </row>
    <row r="5746" spans="19:23">
      <c r="S5746" s="27">
        <v>44895</v>
      </c>
      <c r="T5746" s="773" t="s">
        <v>132</v>
      </c>
      <c r="U5746" s="773">
        <v>276</v>
      </c>
      <c r="V5746" s="773">
        <v>1</v>
      </c>
      <c r="W5746" s="773" t="s">
        <v>410</v>
      </c>
    </row>
    <row r="5747" spans="19:23">
      <c r="S5747" s="27">
        <v>44895</v>
      </c>
      <c r="T5747" s="773" t="s">
        <v>132</v>
      </c>
      <c r="U5747" s="773">
        <v>64</v>
      </c>
      <c r="V5747" s="773">
        <v>1</v>
      </c>
      <c r="W5747" s="773" t="s">
        <v>410</v>
      </c>
    </row>
    <row r="5748" spans="19:23">
      <c r="S5748" s="27">
        <v>44895</v>
      </c>
      <c r="T5748" s="773" t="s">
        <v>132</v>
      </c>
      <c r="U5748" s="773">
        <v>297</v>
      </c>
      <c r="V5748" s="773">
        <v>803</v>
      </c>
      <c r="W5748" s="773" t="s">
        <v>390</v>
      </c>
    </row>
    <row r="5749" spans="19:23">
      <c r="S5749" s="27">
        <v>44895</v>
      </c>
      <c r="T5749" s="773" t="s">
        <v>132</v>
      </c>
      <c r="U5749" s="773">
        <v>687</v>
      </c>
      <c r="V5749" s="773">
        <v>3116</v>
      </c>
      <c r="W5749" s="773" t="s">
        <v>390</v>
      </c>
    </row>
    <row r="5750" spans="19:23">
      <c r="S5750" s="27">
        <v>44895</v>
      </c>
      <c r="T5750" s="773" t="s">
        <v>132</v>
      </c>
      <c r="U5750" s="773">
        <v>672</v>
      </c>
      <c r="V5750" s="773">
        <v>2352</v>
      </c>
      <c r="W5750" s="773" t="s">
        <v>390</v>
      </c>
    </row>
    <row r="5751" spans="19:23">
      <c r="S5751" s="27">
        <v>44895</v>
      </c>
      <c r="T5751" s="773" t="s">
        <v>132</v>
      </c>
      <c r="U5751" s="773">
        <v>161</v>
      </c>
      <c r="V5751" s="773">
        <v>1</v>
      </c>
      <c r="W5751" s="773" t="s">
        <v>410</v>
      </c>
    </row>
    <row r="5752" spans="19:23">
      <c r="S5752" s="27">
        <v>44895</v>
      </c>
      <c r="T5752" s="773" t="s">
        <v>132</v>
      </c>
      <c r="U5752" s="773">
        <v>728</v>
      </c>
      <c r="V5752" s="773">
        <v>64</v>
      </c>
      <c r="W5752" s="773" t="s">
        <v>410</v>
      </c>
    </row>
    <row r="5753" spans="19:23">
      <c r="S5753" s="27">
        <v>44895</v>
      </c>
      <c r="T5753" s="773" t="s">
        <v>132</v>
      </c>
      <c r="U5753" s="773">
        <v>748</v>
      </c>
      <c r="V5753" s="773">
        <v>74</v>
      </c>
      <c r="W5753" s="773" t="s">
        <v>410</v>
      </c>
    </row>
    <row r="5754" spans="19:23">
      <c r="S5754" s="27">
        <v>44895</v>
      </c>
      <c r="T5754" s="773" t="s">
        <v>132</v>
      </c>
      <c r="U5754" s="773">
        <v>327</v>
      </c>
      <c r="V5754" s="773">
        <v>2</v>
      </c>
      <c r="W5754" s="773" t="s">
        <v>410</v>
      </c>
    </row>
    <row r="5755" spans="19:23">
      <c r="S5755" s="27">
        <v>44895</v>
      </c>
      <c r="T5755" s="773" t="s">
        <v>132</v>
      </c>
      <c r="U5755" s="773">
        <v>83</v>
      </c>
      <c r="V5755" s="773">
        <v>2390</v>
      </c>
      <c r="W5755" s="773" t="s">
        <v>390</v>
      </c>
    </row>
    <row r="5756" spans="19:23">
      <c r="S5756" s="27">
        <v>44895</v>
      </c>
      <c r="T5756" s="773" t="s">
        <v>132</v>
      </c>
      <c r="U5756" s="773">
        <v>232</v>
      </c>
      <c r="V5756" s="773">
        <v>2</v>
      </c>
      <c r="W5756" s="773" t="s">
        <v>410</v>
      </c>
    </row>
    <row r="5757" spans="19:23">
      <c r="S5757" s="27">
        <v>44895</v>
      </c>
      <c r="T5757" s="773" t="s">
        <v>132</v>
      </c>
      <c r="U5757" s="773">
        <v>305</v>
      </c>
      <c r="V5757" s="773">
        <v>5006</v>
      </c>
      <c r="W5757" s="773" t="s">
        <v>390</v>
      </c>
    </row>
    <row r="5758" spans="19:23">
      <c r="S5758" s="27">
        <v>44895</v>
      </c>
      <c r="T5758" s="773" t="s">
        <v>132</v>
      </c>
      <c r="U5758" s="773">
        <v>306</v>
      </c>
      <c r="V5758" s="773">
        <v>2381</v>
      </c>
      <c r="W5758" s="773" t="s">
        <v>390</v>
      </c>
    </row>
    <row r="5759" spans="19:23">
      <c r="S5759" s="27">
        <v>44895</v>
      </c>
      <c r="T5759" s="773" t="s">
        <v>132</v>
      </c>
      <c r="U5759" s="773">
        <v>252</v>
      </c>
      <c r="V5759" s="773">
        <v>933</v>
      </c>
      <c r="W5759" s="773" t="s">
        <v>390</v>
      </c>
    </row>
    <row r="5760" spans="19:23">
      <c r="S5760" s="27">
        <v>44895</v>
      </c>
      <c r="T5760" s="773" t="s">
        <v>132</v>
      </c>
      <c r="U5760" s="773">
        <v>202</v>
      </c>
      <c r="V5760" s="773">
        <v>1</v>
      </c>
      <c r="W5760" s="773" t="s">
        <v>410</v>
      </c>
    </row>
    <row r="5761" spans="19:23">
      <c r="S5761" s="27">
        <v>44895</v>
      </c>
      <c r="T5761" s="773" t="s">
        <v>132</v>
      </c>
      <c r="U5761" s="773">
        <v>681</v>
      </c>
      <c r="V5761" s="773">
        <v>645</v>
      </c>
      <c r="W5761" s="773" t="s">
        <v>390</v>
      </c>
    </row>
    <row r="5762" spans="19:23">
      <c r="S5762" s="27">
        <v>44895</v>
      </c>
      <c r="T5762" s="773" t="s">
        <v>132</v>
      </c>
      <c r="U5762" s="773">
        <v>212</v>
      </c>
      <c r="V5762" s="773">
        <v>3409</v>
      </c>
      <c r="W5762" s="773" t="s">
        <v>390</v>
      </c>
    </row>
    <row r="5763" spans="19:23">
      <c r="S5763" s="27">
        <v>44895</v>
      </c>
      <c r="T5763" s="773" t="s">
        <v>132</v>
      </c>
      <c r="U5763" s="773">
        <v>218</v>
      </c>
      <c r="V5763" s="773">
        <v>136</v>
      </c>
      <c r="W5763" s="773" t="s">
        <v>390</v>
      </c>
    </row>
    <row r="5764" spans="19:23">
      <c r="S5764" s="27">
        <v>44895</v>
      </c>
      <c r="T5764" s="773" t="s">
        <v>132</v>
      </c>
      <c r="U5764" s="773">
        <v>732</v>
      </c>
      <c r="V5764" s="773">
        <v>3393</v>
      </c>
      <c r="W5764" s="773" t="s">
        <v>390</v>
      </c>
    </row>
    <row r="5765" spans="19:23">
      <c r="S5765" s="27">
        <v>44895</v>
      </c>
      <c r="T5765" s="773" t="s">
        <v>132</v>
      </c>
      <c r="U5765" s="773">
        <v>249</v>
      </c>
      <c r="V5765" s="773">
        <v>3403</v>
      </c>
      <c r="W5765" s="773" t="s">
        <v>390</v>
      </c>
    </row>
    <row r="5766" spans="19:23">
      <c r="S5766" s="27">
        <v>44895</v>
      </c>
      <c r="T5766" s="773" t="s">
        <v>132</v>
      </c>
      <c r="U5766" s="773">
        <v>237</v>
      </c>
      <c r="V5766" s="773">
        <v>1</v>
      </c>
      <c r="W5766" s="773" t="s">
        <v>410</v>
      </c>
    </row>
    <row r="5767" spans="19:23">
      <c r="S5767" s="27">
        <v>44895</v>
      </c>
      <c r="T5767" s="773" t="s">
        <v>132</v>
      </c>
      <c r="U5767" s="773">
        <v>56</v>
      </c>
      <c r="V5767" s="773">
        <v>8</v>
      </c>
      <c r="W5767" s="773" t="s">
        <v>410</v>
      </c>
    </row>
    <row r="5768" spans="19:23">
      <c r="S5768" s="27">
        <v>44895</v>
      </c>
      <c r="T5768" s="773" t="s">
        <v>132</v>
      </c>
      <c r="U5768" s="773">
        <v>312</v>
      </c>
      <c r="V5768" s="773">
        <v>2645</v>
      </c>
      <c r="W5768" s="773" t="s">
        <v>390</v>
      </c>
    </row>
    <row r="5769" spans="19:23">
      <c r="S5769" s="27">
        <v>44895</v>
      </c>
      <c r="T5769" s="773" t="s">
        <v>132</v>
      </c>
      <c r="U5769" s="773">
        <v>76</v>
      </c>
      <c r="V5769" s="773">
        <v>3026</v>
      </c>
      <c r="W5769" s="773" t="s">
        <v>390</v>
      </c>
    </row>
    <row r="5770" spans="19:23">
      <c r="S5770" s="27">
        <v>44895</v>
      </c>
      <c r="T5770" s="773" t="s">
        <v>132</v>
      </c>
      <c r="U5770" s="773">
        <v>139</v>
      </c>
      <c r="V5770" s="773">
        <v>2376</v>
      </c>
      <c r="W5770" s="773" t="s">
        <v>390</v>
      </c>
    </row>
    <row r="5771" spans="19:23">
      <c r="S5771" s="27">
        <v>44895</v>
      </c>
      <c r="T5771" s="773" t="s">
        <v>132</v>
      </c>
      <c r="U5771" s="773">
        <v>670</v>
      </c>
      <c r="V5771" s="773">
        <v>2465</v>
      </c>
      <c r="W5771" s="773" t="s">
        <v>390</v>
      </c>
    </row>
    <row r="5772" spans="19:23">
      <c r="S5772" s="27">
        <v>44895</v>
      </c>
      <c r="T5772" s="773" t="s">
        <v>132</v>
      </c>
      <c r="U5772" s="773">
        <v>653</v>
      </c>
      <c r="V5772" s="773">
        <v>1</v>
      </c>
      <c r="W5772" s="773" t="s">
        <v>410</v>
      </c>
    </row>
    <row r="5773" spans="19:23">
      <c r="S5773" s="27">
        <v>44895</v>
      </c>
      <c r="T5773" s="773" t="s">
        <v>132</v>
      </c>
      <c r="U5773" s="773">
        <v>265</v>
      </c>
      <c r="V5773" s="773">
        <v>20</v>
      </c>
      <c r="W5773" s="773" t="s">
        <v>410</v>
      </c>
    </row>
    <row r="5774" spans="19:23">
      <c r="S5774" s="27">
        <v>44895</v>
      </c>
      <c r="T5774" s="773" t="s">
        <v>132</v>
      </c>
      <c r="U5774" s="773">
        <v>157</v>
      </c>
      <c r="V5774" s="773">
        <v>10</v>
      </c>
      <c r="W5774" s="773" t="s">
        <v>410</v>
      </c>
    </row>
    <row r="5775" spans="19:23">
      <c r="S5775" s="27">
        <v>44895</v>
      </c>
      <c r="T5775" s="773" t="s">
        <v>132</v>
      </c>
      <c r="U5775" s="773">
        <v>329</v>
      </c>
      <c r="V5775" s="773">
        <v>4014</v>
      </c>
      <c r="W5775" s="773" t="s">
        <v>390</v>
      </c>
    </row>
    <row r="5776" spans="19:23">
      <c r="S5776" s="27">
        <v>44895</v>
      </c>
      <c r="T5776" s="773" t="s">
        <v>132</v>
      </c>
      <c r="U5776" s="773">
        <v>266</v>
      </c>
      <c r="V5776" s="773">
        <v>2455</v>
      </c>
      <c r="W5776" s="773" t="s">
        <v>390</v>
      </c>
    </row>
    <row r="5777" spans="19:23">
      <c r="S5777" s="27">
        <v>44895</v>
      </c>
      <c r="T5777" s="773" t="s">
        <v>132</v>
      </c>
      <c r="U5777" s="773">
        <v>666</v>
      </c>
      <c r="V5777" s="773">
        <v>1576</v>
      </c>
      <c r="W5777" s="773" t="s">
        <v>390</v>
      </c>
    </row>
    <row r="5778" spans="19:23">
      <c r="S5778" s="27">
        <v>44895</v>
      </c>
      <c r="T5778" s="773" t="s">
        <v>132</v>
      </c>
      <c r="U5778" s="773">
        <v>253</v>
      </c>
      <c r="V5778" s="773">
        <v>11</v>
      </c>
      <c r="W5778" s="773" t="s">
        <v>410</v>
      </c>
    </row>
    <row r="5779" spans="19:23">
      <c r="S5779" s="27">
        <v>44895</v>
      </c>
      <c r="T5779" s="773" t="s">
        <v>132</v>
      </c>
      <c r="U5779" s="773">
        <v>182</v>
      </c>
      <c r="V5779" s="773">
        <v>167</v>
      </c>
      <c r="W5779" s="773" t="s">
        <v>390</v>
      </c>
    </row>
    <row r="5780" spans="19:23">
      <c r="S5780" s="27">
        <v>44895</v>
      </c>
      <c r="T5780" s="773" t="s">
        <v>132</v>
      </c>
      <c r="U5780" s="773">
        <v>271</v>
      </c>
      <c r="V5780" s="773">
        <v>2858</v>
      </c>
      <c r="W5780" s="773" t="s">
        <v>390</v>
      </c>
    </row>
    <row r="5781" spans="19:23">
      <c r="S5781" s="27">
        <v>44895</v>
      </c>
      <c r="T5781" s="773" t="s">
        <v>132</v>
      </c>
      <c r="U5781" s="773">
        <v>718</v>
      </c>
      <c r="V5781" s="773">
        <v>1461</v>
      </c>
      <c r="W5781" s="773" t="s">
        <v>390</v>
      </c>
    </row>
    <row r="5782" spans="19:23">
      <c r="S5782" s="27">
        <v>44895</v>
      </c>
      <c r="T5782" s="773" t="s">
        <v>132</v>
      </c>
      <c r="U5782" s="773">
        <v>264</v>
      </c>
      <c r="V5782" s="773">
        <v>362</v>
      </c>
      <c r="W5782" s="773" t="s">
        <v>390</v>
      </c>
    </row>
    <row r="5783" spans="19:23">
      <c r="S5783" s="27">
        <v>44895</v>
      </c>
      <c r="T5783" s="773" t="s">
        <v>132</v>
      </c>
      <c r="U5783" s="773">
        <v>59</v>
      </c>
      <c r="V5783" s="773">
        <v>2</v>
      </c>
      <c r="W5783" s="773" t="s">
        <v>410</v>
      </c>
    </row>
    <row r="5784" spans="19:23">
      <c r="S5784" s="27">
        <v>44895</v>
      </c>
      <c r="T5784" s="773" t="s">
        <v>132</v>
      </c>
      <c r="U5784" s="773">
        <v>320</v>
      </c>
      <c r="V5784" s="773">
        <v>1696</v>
      </c>
      <c r="W5784" s="773" t="s">
        <v>390</v>
      </c>
    </row>
    <row r="5785" spans="19:23">
      <c r="S5785" s="27">
        <v>44895</v>
      </c>
      <c r="T5785" s="773" t="s">
        <v>132</v>
      </c>
      <c r="U5785" s="773">
        <v>324</v>
      </c>
      <c r="V5785" s="773">
        <v>1655</v>
      </c>
      <c r="W5785" s="773" t="s">
        <v>390</v>
      </c>
    </row>
    <row r="5786" spans="19:23">
      <c r="S5786" s="27">
        <v>44895</v>
      </c>
      <c r="T5786" s="773" t="s">
        <v>132</v>
      </c>
      <c r="U5786" s="773">
        <v>325</v>
      </c>
      <c r="V5786" s="773">
        <v>2079</v>
      </c>
      <c r="W5786" s="773" t="s">
        <v>390</v>
      </c>
    </row>
    <row r="5787" spans="19:23">
      <c r="S5787" s="27">
        <v>44895</v>
      </c>
      <c r="T5787" s="773" t="s">
        <v>132</v>
      </c>
      <c r="U5787" s="773">
        <v>0</v>
      </c>
      <c r="V5787" s="773">
        <v>43</v>
      </c>
      <c r="W5787" s="773" t="s">
        <v>410</v>
      </c>
    </row>
    <row r="5788" spans="19:23">
      <c r="S5788" s="27">
        <v>44895</v>
      </c>
      <c r="T5788" s="773" t="s">
        <v>132</v>
      </c>
      <c r="U5788" s="773">
        <v>700</v>
      </c>
      <c r="V5788" s="773">
        <v>2766</v>
      </c>
      <c r="W5788" s="773" t="s">
        <v>390</v>
      </c>
    </row>
    <row r="5789" spans="19:23">
      <c r="S5789" s="27">
        <v>44895</v>
      </c>
      <c r="T5789" s="773" t="s">
        <v>132</v>
      </c>
      <c r="U5789" s="773">
        <v>676</v>
      </c>
      <c r="V5789" s="773">
        <v>3</v>
      </c>
      <c r="W5789" s="773" t="s">
        <v>410</v>
      </c>
    </row>
    <row r="5790" spans="19:23">
      <c r="S5790" s="27">
        <v>44895</v>
      </c>
      <c r="T5790" s="773" t="s">
        <v>132</v>
      </c>
      <c r="U5790" s="773">
        <v>240</v>
      </c>
      <c r="V5790" s="773">
        <v>3</v>
      </c>
      <c r="W5790" s="773" t="s">
        <v>410</v>
      </c>
    </row>
    <row r="5791" spans="19:23">
      <c r="S5791" s="27">
        <v>44895</v>
      </c>
      <c r="T5791" s="773" t="s">
        <v>132</v>
      </c>
      <c r="U5791" s="773">
        <v>316</v>
      </c>
      <c r="V5791" s="773">
        <v>8</v>
      </c>
      <c r="W5791" s="773" t="s">
        <v>410</v>
      </c>
    </row>
    <row r="5792" spans="19:23">
      <c r="S5792" s="27">
        <v>44895</v>
      </c>
      <c r="T5792" s="773" t="s">
        <v>132</v>
      </c>
      <c r="U5792" s="773">
        <v>308</v>
      </c>
      <c r="V5792" s="773">
        <v>2265</v>
      </c>
      <c r="W5792" s="773" t="s">
        <v>390</v>
      </c>
    </row>
    <row r="5793" spans="19:23">
      <c r="S5793" s="27">
        <v>44895</v>
      </c>
      <c r="T5793" s="773" t="s">
        <v>132</v>
      </c>
      <c r="U5793" s="773">
        <v>136</v>
      </c>
      <c r="V5793" s="773">
        <v>10</v>
      </c>
      <c r="W5793" s="773" t="s">
        <v>410</v>
      </c>
    </row>
    <row r="5794" spans="19:23">
      <c r="S5794" s="27">
        <v>44895</v>
      </c>
      <c r="T5794" s="773" t="s">
        <v>132</v>
      </c>
      <c r="U5794" s="773">
        <v>84</v>
      </c>
      <c r="V5794" s="773">
        <v>2424</v>
      </c>
      <c r="W5794" s="773" t="s">
        <v>390</v>
      </c>
    </row>
    <row r="5795" spans="19:23">
      <c r="S5795" s="27">
        <v>44895</v>
      </c>
      <c r="T5795" s="773" t="s">
        <v>132</v>
      </c>
      <c r="U5795" s="773">
        <v>53</v>
      </c>
      <c r="V5795" s="773">
        <v>3</v>
      </c>
      <c r="W5795" s="773" t="s">
        <v>410</v>
      </c>
    </row>
    <row r="5796" spans="19:23">
      <c r="S5796" s="27">
        <v>44895</v>
      </c>
      <c r="T5796" s="773" t="s">
        <v>132</v>
      </c>
      <c r="U5796" s="773">
        <v>246</v>
      </c>
      <c r="V5796" s="773">
        <v>4</v>
      </c>
      <c r="W5796" s="773" t="s">
        <v>410</v>
      </c>
    </row>
    <row r="5797" spans="19:23">
      <c r="S5797" s="27">
        <v>44895</v>
      </c>
      <c r="T5797" s="773" t="s">
        <v>132</v>
      </c>
      <c r="U5797" s="773">
        <v>52</v>
      </c>
      <c r="V5797" s="773">
        <v>8</v>
      </c>
      <c r="W5797" s="773" t="s">
        <v>410</v>
      </c>
    </row>
    <row r="5798" spans="19:23">
      <c r="S5798" s="27">
        <v>44895</v>
      </c>
      <c r="T5798" s="773" t="s">
        <v>132</v>
      </c>
      <c r="U5798" s="773">
        <v>230</v>
      </c>
      <c r="V5798" s="773">
        <v>5</v>
      </c>
      <c r="W5798" s="773" t="s">
        <v>410</v>
      </c>
    </row>
    <row r="5799" spans="19:23">
      <c r="S5799" s="27">
        <v>44895</v>
      </c>
      <c r="T5799" s="773" t="s">
        <v>132</v>
      </c>
      <c r="U5799" s="773">
        <v>304</v>
      </c>
      <c r="V5799" s="773">
        <v>117</v>
      </c>
      <c r="W5799" s="773" t="s">
        <v>390</v>
      </c>
    </row>
    <row r="5800" spans="19:23">
      <c r="S5800" s="27">
        <v>44895</v>
      </c>
      <c r="T5800" s="773" t="s">
        <v>132</v>
      </c>
      <c r="U5800" s="773">
        <v>82</v>
      </c>
      <c r="V5800" s="773">
        <v>2268</v>
      </c>
      <c r="W5800" s="773" t="s">
        <v>390</v>
      </c>
    </row>
    <row r="5801" spans="19:23">
      <c r="S5801" s="27">
        <v>44895</v>
      </c>
      <c r="T5801" s="773" t="s">
        <v>132</v>
      </c>
      <c r="U5801" s="773">
        <v>124</v>
      </c>
      <c r="V5801" s="773">
        <v>9</v>
      </c>
      <c r="W5801" s="773" t="s">
        <v>410</v>
      </c>
    </row>
    <row r="5802" spans="19:23">
      <c r="S5802" s="27">
        <v>44895</v>
      </c>
      <c r="T5802" s="773" t="s">
        <v>132</v>
      </c>
      <c r="U5802" s="773">
        <v>275</v>
      </c>
      <c r="V5802" s="773">
        <v>25</v>
      </c>
      <c r="W5802" s="773" t="s">
        <v>410</v>
      </c>
    </row>
    <row r="5803" spans="19:23">
      <c r="S5803" s="27">
        <v>44895</v>
      </c>
      <c r="T5803" s="773" t="s">
        <v>132</v>
      </c>
      <c r="U5803" s="773">
        <v>44</v>
      </c>
      <c r="V5803" s="773">
        <v>2178</v>
      </c>
      <c r="W5803" s="773" t="s">
        <v>390</v>
      </c>
    </row>
    <row r="5804" spans="19:23">
      <c r="S5804" s="27">
        <v>44895</v>
      </c>
      <c r="T5804" s="773" t="s">
        <v>132</v>
      </c>
      <c r="U5804" s="773">
        <v>294</v>
      </c>
      <c r="V5804" s="773">
        <v>3</v>
      </c>
      <c r="W5804" s="773" t="s">
        <v>410</v>
      </c>
    </row>
    <row r="5805" spans="19:23">
      <c r="S5805" s="27">
        <v>44895</v>
      </c>
      <c r="T5805" s="773" t="s">
        <v>132</v>
      </c>
      <c r="U5805" s="773">
        <v>133</v>
      </c>
      <c r="V5805" s="773">
        <v>4</v>
      </c>
      <c r="W5805" s="773" t="s">
        <v>410</v>
      </c>
    </row>
    <row r="5806" spans="19:23">
      <c r="S5806" s="27">
        <v>44895</v>
      </c>
      <c r="T5806" s="773" t="s">
        <v>132</v>
      </c>
      <c r="U5806" s="773">
        <v>72</v>
      </c>
      <c r="V5806" s="773">
        <v>7</v>
      </c>
      <c r="W5806" s="773" t="s">
        <v>410</v>
      </c>
    </row>
    <row r="5807" spans="19:23">
      <c r="S5807" s="27">
        <v>44895</v>
      </c>
      <c r="T5807" s="773" t="s">
        <v>132</v>
      </c>
      <c r="U5807" s="773">
        <v>69</v>
      </c>
      <c r="V5807" s="773">
        <v>1</v>
      </c>
      <c r="W5807" s="773" t="s">
        <v>410</v>
      </c>
    </row>
    <row r="5808" spans="19:23">
      <c r="S5808" s="27">
        <v>44895</v>
      </c>
      <c r="T5808" s="773" t="s">
        <v>132</v>
      </c>
      <c r="U5808" s="773">
        <v>231</v>
      </c>
      <c r="V5808" s="773">
        <v>4</v>
      </c>
      <c r="W5808" s="773" t="s">
        <v>410</v>
      </c>
    </row>
    <row r="5809" spans="19:23">
      <c r="S5809" s="27">
        <v>44895</v>
      </c>
      <c r="T5809" s="773" t="s">
        <v>132</v>
      </c>
      <c r="U5809" s="773">
        <v>162</v>
      </c>
      <c r="V5809" s="773">
        <v>1895</v>
      </c>
      <c r="W5809" s="773" t="s">
        <v>390</v>
      </c>
    </row>
    <row r="5810" spans="19:23">
      <c r="S5810" s="27">
        <v>44895</v>
      </c>
      <c r="T5810" s="773" t="s">
        <v>132</v>
      </c>
      <c r="U5810" s="773">
        <v>665</v>
      </c>
      <c r="V5810" s="773">
        <v>3198</v>
      </c>
      <c r="W5810" s="773" t="s">
        <v>390</v>
      </c>
    </row>
    <row r="5811" spans="19:23">
      <c r="S5811" s="27">
        <v>44895</v>
      </c>
      <c r="T5811" s="773" t="s">
        <v>132</v>
      </c>
      <c r="U5811" s="773">
        <v>641</v>
      </c>
      <c r="V5811" s="773">
        <v>2071</v>
      </c>
      <c r="W5811" s="773" t="s">
        <v>390</v>
      </c>
    </row>
    <row r="5812" spans="19:23">
      <c r="S5812" s="27">
        <v>44895</v>
      </c>
      <c r="T5812" s="773" t="s">
        <v>132</v>
      </c>
      <c r="U5812" s="773">
        <v>73</v>
      </c>
      <c r="V5812" s="773">
        <v>3</v>
      </c>
      <c r="W5812" s="773" t="s">
        <v>410</v>
      </c>
    </row>
    <row r="5813" spans="19:23">
      <c r="S5813" s="27">
        <v>44895</v>
      </c>
      <c r="T5813" s="773" t="s">
        <v>132</v>
      </c>
      <c r="U5813" s="773">
        <v>129</v>
      </c>
      <c r="V5813" s="773">
        <v>2</v>
      </c>
      <c r="W5813" s="773" t="s">
        <v>410</v>
      </c>
    </row>
    <row r="5814" spans="19:23">
      <c r="S5814" s="27">
        <v>44895</v>
      </c>
      <c r="T5814" s="773" t="s">
        <v>132</v>
      </c>
      <c r="U5814" s="773">
        <v>658</v>
      </c>
      <c r="V5814" s="773">
        <v>3274</v>
      </c>
      <c r="W5814" s="773" t="s">
        <v>390</v>
      </c>
    </row>
    <row r="5815" spans="19:23">
      <c r="S5815" s="27">
        <v>44895</v>
      </c>
      <c r="T5815" s="773" t="s">
        <v>132</v>
      </c>
      <c r="U5815" s="773">
        <v>43</v>
      </c>
      <c r="V5815" s="773">
        <v>1038</v>
      </c>
      <c r="W5815" s="773" t="s">
        <v>390</v>
      </c>
    </row>
    <row r="5816" spans="19:23">
      <c r="S5816" s="27">
        <v>44895</v>
      </c>
      <c r="T5816" s="773" t="s">
        <v>132</v>
      </c>
      <c r="U5816" s="773">
        <v>92</v>
      </c>
      <c r="V5816" s="773">
        <v>8</v>
      </c>
      <c r="W5816" s="773" t="s">
        <v>410</v>
      </c>
    </row>
    <row r="5817" spans="19:23">
      <c r="S5817" s="27">
        <v>44895</v>
      </c>
      <c r="T5817" s="773" t="s">
        <v>132</v>
      </c>
      <c r="U5817" s="773">
        <v>195</v>
      </c>
      <c r="V5817" s="773">
        <v>1</v>
      </c>
      <c r="W5817" s="773" t="s">
        <v>410</v>
      </c>
    </row>
    <row r="5818" spans="19:23">
      <c r="S5818" s="27">
        <v>44895</v>
      </c>
      <c r="T5818" s="773" t="s">
        <v>132</v>
      </c>
      <c r="U5818" s="773">
        <v>93</v>
      </c>
      <c r="V5818" s="773">
        <v>2259</v>
      </c>
      <c r="W5818" s="773" t="s">
        <v>390</v>
      </c>
    </row>
    <row r="5819" spans="19:23">
      <c r="S5819" s="27">
        <v>44895</v>
      </c>
      <c r="T5819" s="773" t="s">
        <v>132</v>
      </c>
      <c r="U5819" s="773">
        <v>707</v>
      </c>
      <c r="V5819" s="773">
        <v>298</v>
      </c>
      <c r="W5819" s="773" t="s">
        <v>390</v>
      </c>
    </row>
    <row r="5820" spans="19:23">
      <c r="S5820" s="27">
        <v>44895</v>
      </c>
      <c r="T5820" s="773" t="s">
        <v>132</v>
      </c>
      <c r="U5820" s="773">
        <v>27</v>
      </c>
      <c r="V5820" s="773">
        <v>1</v>
      </c>
      <c r="W5820" s="773" t="s">
        <v>410</v>
      </c>
    </row>
    <row r="5821" spans="19:23">
      <c r="S5821" s="27">
        <v>44895</v>
      </c>
      <c r="T5821" s="773" t="s">
        <v>132</v>
      </c>
      <c r="U5821" s="773">
        <v>103</v>
      </c>
      <c r="V5821" s="773">
        <v>3380</v>
      </c>
      <c r="W5821" s="773" t="s">
        <v>390</v>
      </c>
    </row>
    <row r="5822" spans="19:23">
      <c r="S5822" s="27">
        <v>44895</v>
      </c>
      <c r="T5822" s="773" t="s">
        <v>132</v>
      </c>
      <c r="U5822" s="773">
        <v>11</v>
      </c>
      <c r="V5822" s="773">
        <v>27</v>
      </c>
      <c r="W5822" s="773" t="s">
        <v>410</v>
      </c>
    </row>
    <row r="5823" spans="19:23">
      <c r="S5823" s="27">
        <v>44895</v>
      </c>
      <c r="T5823" s="773" t="s">
        <v>132</v>
      </c>
      <c r="U5823" s="773">
        <v>204</v>
      </c>
      <c r="V5823" s="773">
        <v>6</v>
      </c>
      <c r="W5823" s="773" t="s">
        <v>410</v>
      </c>
    </row>
    <row r="5824" spans="19:23">
      <c r="S5824" s="27">
        <v>44895</v>
      </c>
      <c r="T5824" s="773" t="s">
        <v>132</v>
      </c>
      <c r="U5824" s="773">
        <v>194</v>
      </c>
      <c r="V5824" s="773">
        <v>3710</v>
      </c>
      <c r="W5824" s="773" t="s">
        <v>390</v>
      </c>
    </row>
    <row r="5825" spans="19:23">
      <c r="S5825" s="27">
        <v>44895</v>
      </c>
      <c r="T5825" s="773" t="s">
        <v>132</v>
      </c>
      <c r="U5825" s="773">
        <v>716</v>
      </c>
      <c r="V5825" s="773">
        <v>353</v>
      </c>
      <c r="W5825" s="773" t="s">
        <v>390</v>
      </c>
    </row>
    <row r="5826" spans="19:23">
      <c r="S5826" s="27">
        <v>44895</v>
      </c>
      <c r="T5826" s="773" t="s">
        <v>132</v>
      </c>
      <c r="U5826" s="773">
        <v>678</v>
      </c>
      <c r="V5826" s="773">
        <v>184</v>
      </c>
      <c r="W5826" s="773" t="s">
        <v>390</v>
      </c>
    </row>
    <row r="5827" spans="19:23">
      <c r="S5827" s="27">
        <v>44895</v>
      </c>
      <c r="T5827" s="773" t="s">
        <v>132</v>
      </c>
      <c r="U5827" s="773">
        <v>701</v>
      </c>
      <c r="V5827" s="773">
        <v>2394</v>
      </c>
      <c r="W5827" s="773" t="s">
        <v>390</v>
      </c>
    </row>
    <row r="5828" spans="19:23">
      <c r="S5828" s="27">
        <v>44895</v>
      </c>
      <c r="T5828" s="773" t="s">
        <v>132</v>
      </c>
      <c r="U5828" s="773">
        <v>183</v>
      </c>
      <c r="V5828" s="773">
        <v>592</v>
      </c>
      <c r="W5828" s="773" t="s">
        <v>390</v>
      </c>
    </row>
    <row r="5829" spans="19:23">
      <c r="S5829" s="27">
        <v>44895</v>
      </c>
      <c r="T5829" s="773" t="s">
        <v>132</v>
      </c>
      <c r="U5829" s="773">
        <v>648</v>
      </c>
      <c r="V5829" s="773">
        <v>1</v>
      </c>
      <c r="W5829" s="773" t="s">
        <v>410</v>
      </c>
    </row>
    <row r="5830" spans="19:23">
      <c r="S5830" s="27">
        <v>44895</v>
      </c>
      <c r="T5830" s="773" t="s">
        <v>132</v>
      </c>
      <c r="U5830" s="773">
        <v>317</v>
      </c>
      <c r="V5830" s="773">
        <v>3397</v>
      </c>
      <c r="W5830" s="773" t="s">
        <v>390</v>
      </c>
    </row>
    <row r="5831" spans="19:23">
      <c r="S5831" s="27">
        <v>44895</v>
      </c>
      <c r="T5831" s="773" t="s">
        <v>132</v>
      </c>
      <c r="U5831" s="773">
        <v>650</v>
      </c>
      <c r="V5831" s="773">
        <v>40</v>
      </c>
      <c r="W5831" s="773" t="s">
        <v>410</v>
      </c>
    </row>
    <row r="5832" spans="19:23">
      <c r="S5832" s="27">
        <v>44895</v>
      </c>
      <c r="T5832" s="773" t="s">
        <v>132</v>
      </c>
      <c r="U5832" s="773">
        <v>295</v>
      </c>
      <c r="V5832" s="773">
        <v>3</v>
      </c>
      <c r="W5832" s="773" t="s">
        <v>410</v>
      </c>
    </row>
    <row r="5833" spans="19:23">
      <c r="S5833" s="27">
        <v>44895</v>
      </c>
      <c r="T5833" s="773" t="s">
        <v>132</v>
      </c>
      <c r="U5833" s="773">
        <v>322</v>
      </c>
      <c r="V5833" s="773">
        <v>2578</v>
      </c>
      <c r="W5833" s="773" t="s">
        <v>390</v>
      </c>
    </row>
    <row r="5834" spans="19:23">
      <c r="S5834" s="27">
        <v>44895</v>
      </c>
      <c r="T5834" s="773" t="s">
        <v>132</v>
      </c>
      <c r="U5834" s="773">
        <v>81</v>
      </c>
      <c r="V5834" s="773">
        <v>8</v>
      </c>
      <c r="W5834" s="773" t="s">
        <v>410</v>
      </c>
    </row>
    <row r="5835" spans="19:23">
      <c r="S5835" s="27">
        <v>44895</v>
      </c>
      <c r="T5835" s="773" t="s">
        <v>132</v>
      </c>
      <c r="U5835" s="773">
        <v>247</v>
      </c>
      <c r="V5835" s="773">
        <v>2576</v>
      </c>
      <c r="W5835" s="773" t="s">
        <v>390</v>
      </c>
    </row>
    <row r="5836" spans="19:23">
      <c r="S5836" s="27">
        <v>44895</v>
      </c>
      <c r="T5836" s="773" t="s">
        <v>132</v>
      </c>
      <c r="U5836" s="773">
        <v>283</v>
      </c>
      <c r="V5836" s="773">
        <v>1</v>
      </c>
      <c r="W5836" s="773" t="s">
        <v>410</v>
      </c>
    </row>
    <row r="5837" spans="19:23">
      <c r="S5837" s="27">
        <v>44895</v>
      </c>
      <c r="T5837" s="773" t="s">
        <v>132</v>
      </c>
      <c r="U5837" s="773">
        <v>296</v>
      </c>
      <c r="V5837" s="773">
        <v>2463</v>
      </c>
      <c r="W5837" s="773" t="s">
        <v>390</v>
      </c>
    </row>
    <row r="5838" spans="19:23">
      <c r="S5838" s="27">
        <v>44895</v>
      </c>
      <c r="T5838" s="773" t="s">
        <v>132</v>
      </c>
      <c r="U5838" s="773">
        <v>698</v>
      </c>
      <c r="V5838" s="773">
        <v>2791</v>
      </c>
      <c r="W5838" s="773" t="s">
        <v>390</v>
      </c>
    </row>
    <row r="5839" spans="19:23">
      <c r="S5839" s="27">
        <v>44895</v>
      </c>
      <c r="T5839" s="773" t="s">
        <v>132</v>
      </c>
      <c r="U5839" s="773">
        <v>141</v>
      </c>
      <c r="V5839" s="773">
        <v>1</v>
      </c>
      <c r="W5839" s="773" t="s">
        <v>410</v>
      </c>
    </row>
    <row r="5840" spans="19:23">
      <c r="S5840" s="27">
        <v>44895</v>
      </c>
      <c r="T5840" s="773" t="s">
        <v>132</v>
      </c>
      <c r="U5840" s="773">
        <v>671</v>
      </c>
      <c r="V5840" s="773">
        <v>1979</v>
      </c>
      <c r="W5840" s="773" t="s">
        <v>390</v>
      </c>
    </row>
    <row r="5841" spans="19:23">
      <c r="S5841" s="27">
        <v>44895</v>
      </c>
      <c r="T5841" s="773" t="s">
        <v>132</v>
      </c>
      <c r="U5841" s="773">
        <v>663</v>
      </c>
      <c r="V5841" s="773">
        <v>656</v>
      </c>
      <c r="W5841" s="773" t="s">
        <v>390</v>
      </c>
    </row>
    <row r="5842" spans="19:23">
      <c r="S5842" s="27">
        <v>44895</v>
      </c>
      <c r="T5842" s="773" t="s">
        <v>132</v>
      </c>
      <c r="U5842" s="773">
        <v>344</v>
      </c>
      <c r="V5842" s="773">
        <v>14</v>
      </c>
      <c r="W5842" s="773" t="s">
        <v>410</v>
      </c>
    </row>
    <row r="5843" spans="19:23">
      <c r="S5843" s="27">
        <v>44895</v>
      </c>
      <c r="T5843" s="773" t="s">
        <v>132</v>
      </c>
      <c r="U5843" s="773">
        <v>290</v>
      </c>
      <c r="V5843" s="773">
        <v>520</v>
      </c>
      <c r="W5843" s="773" t="s">
        <v>390</v>
      </c>
    </row>
    <row r="5844" spans="19:23">
      <c r="S5844" s="27">
        <v>44895</v>
      </c>
      <c r="T5844" s="773" t="s">
        <v>132</v>
      </c>
      <c r="U5844" s="773">
        <v>684</v>
      </c>
      <c r="V5844" s="773">
        <v>3186</v>
      </c>
      <c r="W5844" s="773" t="s">
        <v>390</v>
      </c>
    </row>
    <row r="5845" spans="19:23">
      <c r="S5845" s="27">
        <v>44895</v>
      </c>
      <c r="T5845" s="773" t="s">
        <v>132</v>
      </c>
      <c r="U5845" s="773">
        <v>722</v>
      </c>
      <c r="V5845" s="773">
        <v>1</v>
      </c>
      <c r="W5845" s="773" t="s">
        <v>410</v>
      </c>
    </row>
    <row r="5846" spans="19:23">
      <c r="S5846" s="27">
        <v>44895</v>
      </c>
      <c r="T5846" s="773" t="s">
        <v>132</v>
      </c>
      <c r="U5846" s="773">
        <v>328</v>
      </c>
      <c r="V5846" s="773">
        <v>1420</v>
      </c>
      <c r="W5846" s="773" t="s">
        <v>390</v>
      </c>
    </row>
    <row r="5847" spans="19:23">
      <c r="S5847" s="27">
        <v>44895</v>
      </c>
      <c r="T5847" s="773" t="s">
        <v>132</v>
      </c>
      <c r="U5847" s="773">
        <v>726</v>
      </c>
      <c r="V5847" s="773">
        <v>79</v>
      </c>
      <c r="W5847" s="773" t="s">
        <v>410</v>
      </c>
    </row>
    <row r="5848" spans="19:23">
      <c r="S5848" s="27">
        <v>44895</v>
      </c>
      <c r="T5848" s="773" t="s">
        <v>132</v>
      </c>
      <c r="U5848" s="773">
        <v>96</v>
      </c>
      <c r="V5848" s="773">
        <v>1</v>
      </c>
      <c r="W5848" s="773" t="s">
        <v>410</v>
      </c>
    </row>
    <row r="5849" spans="19:23">
      <c r="S5849" s="27">
        <v>44895</v>
      </c>
      <c r="T5849" s="773" t="s">
        <v>132</v>
      </c>
      <c r="U5849" s="773">
        <v>245</v>
      </c>
      <c r="V5849" s="773">
        <v>3156</v>
      </c>
      <c r="W5849" s="773" t="s">
        <v>390</v>
      </c>
    </row>
    <row r="5850" spans="19:23">
      <c r="S5850" s="27">
        <v>44895</v>
      </c>
      <c r="T5850" s="773" t="s">
        <v>132</v>
      </c>
      <c r="U5850" s="773">
        <v>709</v>
      </c>
      <c r="V5850" s="773">
        <v>2126</v>
      </c>
      <c r="W5850" s="773" t="s">
        <v>390</v>
      </c>
    </row>
    <row r="5851" spans="19:23">
      <c r="S5851" s="27">
        <v>44895</v>
      </c>
      <c r="T5851" s="773" t="s">
        <v>132</v>
      </c>
      <c r="U5851" s="773">
        <v>222</v>
      </c>
      <c r="V5851" s="773">
        <v>3</v>
      </c>
      <c r="W5851" s="773" t="s">
        <v>410</v>
      </c>
    </row>
    <row r="5852" spans="19:23">
      <c r="S5852" s="27">
        <v>44895</v>
      </c>
      <c r="T5852" s="773" t="s">
        <v>132</v>
      </c>
      <c r="U5852" s="773">
        <v>321</v>
      </c>
      <c r="V5852" s="773">
        <v>1937</v>
      </c>
      <c r="W5852" s="773" t="s">
        <v>390</v>
      </c>
    </row>
    <row r="5853" spans="19:23">
      <c r="S5853" s="27">
        <v>44895</v>
      </c>
      <c r="T5853" s="773" t="s">
        <v>132</v>
      </c>
      <c r="U5853" s="773">
        <v>130</v>
      </c>
      <c r="V5853" s="773">
        <v>2</v>
      </c>
      <c r="W5853" s="773" t="s">
        <v>410</v>
      </c>
    </row>
    <row r="5854" spans="19:23">
      <c r="S5854" s="27">
        <v>44895</v>
      </c>
      <c r="T5854" s="773" t="s">
        <v>132</v>
      </c>
      <c r="U5854" s="773">
        <v>77</v>
      </c>
      <c r="V5854" s="773">
        <v>3596</v>
      </c>
      <c r="W5854" s="773" t="s">
        <v>390</v>
      </c>
    </row>
    <row r="5855" spans="19:23">
      <c r="S5855" s="27">
        <v>44895</v>
      </c>
      <c r="T5855" s="773" t="s">
        <v>132</v>
      </c>
      <c r="U5855" s="773">
        <v>706</v>
      </c>
      <c r="V5855" s="773">
        <v>1203</v>
      </c>
      <c r="W5855" s="773" t="s">
        <v>390</v>
      </c>
    </row>
    <row r="5856" spans="19:23">
      <c r="S5856" s="27">
        <v>44895</v>
      </c>
      <c r="T5856" s="773" t="s">
        <v>132</v>
      </c>
      <c r="U5856" s="773">
        <v>108</v>
      </c>
      <c r="V5856" s="773">
        <v>9</v>
      </c>
      <c r="W5856" s="773" t="s">
        <v>410</v>
      </c>
    </row>
    <row r="5857" spans="19:23">
      <c r="S5857" s="27">
        <v>44895</v>
      </c>
      <c r="T5857" s="773" t="s">
        <v>132</v>
      </c>
      <c r="U5857" s="773">
        <v>523</v>
      </c>
      <c r="V5857" s="773">
        <v>2</v>
      </c>
      <c r="W5857" s="773" t="s">
        <v>410</v>
      </c>
    </row>
    <row r="5858" spans="19:23">
      <c r="S5858" s="27">
        <v>44895</v>
      </c>
      <c r="T5858" s="773" t="s">
        <v>132</v>
      </c>
      <c r="U5858" s="773">
        <v>239</v>
      </c>
      <c r="V5858" s="773">
        <v>7</v>
      </c>
      <c r="W5858" s="773" t="s">
        <v>410</v>
      </c>
    </row>
    <row r="5859" spans="19:23">
      <c r="S5859" s="27">
        <v>44895</v>
      </c>
      <c r="T5859" s="773" t="s">
        <v>132</v>
      </c>
      <c r="U5859" s="773">
        <v>98</v>
      </c>
      <c r="V5859" s="773">
        <v>31</v>
      </c>
      <c r="W5859" s="773" t="s">
        <v>410</v>
      </c>
    </row>
    <row r="5860" spans="19:23">
      <c r="S5860" s="27">
        <v>44895</v>
      </c>
      <c r="T5860" s="773" t="s">
        <v>132</v>
      </c>
      <c r="U5860" s="773">
        <v>243</v>
      </c>
      <c r="V5860" s="773">
        <v>349</v>
      </c>
      <c r="W5860" s="773" t="s">
        <v>390</v>
      </c>
    </row>
    <row r="5861" spans="19:23">
      <c r="S5861" s="27">
        <v>44895</v>
      </c>
      <c r="T5861" s="773" t="s">
        <v>132</v>
      </c>
      <c r="U5861" s="773">
        <v>738</v>
      </c>
      <c r="V5861" s="773">
        <v>33</v>
      </c>
      <c r="W5861" s="773" t="s">
        <v>410</v>
      </c>
    </row>
    <row r="5862" spans="19:23">
      <c r="S5862" s="27">
        <v>44895</v>
      </c>
      <c r="T5862" s="773" t="s">
        <v>132</v>
      </c>
      <c r="U5862" s="773">
        <v>256</v>
      </c>
      <c r="V5862" s="773">
        <v>280</v>
      </c>
      <c r="W5862" s="773" t="s">
        <v>390</v>
      </c>
    </row>
    <row r="5863" spans="19:23">
      <c r="S5863" s="27">
        <v>44895</v>
      </c>
      <c r="T5863" s="773" t="s">
        <v>132</v>
      </c>
      <c r="U5863" s="773">
        <v>68</v>
      </c>
      <c r="V5863" s="773">
        <v>847</v>
      </c>
      <c r="W5863" s="773" t="s">
        <v>390</v>
      </c>
    </row>
    <row r="5864" spans="19:23">
      <c r="S5864" s="27">
        <v>44895</v>
      </c>
      <c r="T5864" s="773" t="s">
        <v>132</v>
      </c>
      <c r="U5864" s="773">
        <v>164</v>
      </c>
      <c r="V5864" s="773">
        <v>7</v>
      </c>
      <c r="W5864" s="773" t="s">
        <v>410</v>
      </c>
    </row>
    <row r="5865" spans="19:23">
      <c r="S5865" s="27">
        <v>44895</v>
      </c>
      <c r="T5865" s="773" t="s">
        <v>132</v>
      </c>
      <c r="U5865" s="773">
        <v>741</v>
      </c>
      <c r="V5865" s="773">
        <v>2815</v>
      </c>
      <c r="W5865" s="773" t="s">
        <v>390</v>
      </c>
    </row>
    <row r="5866" spans="19:23">
      <c r="S5866" s="27">
        <v>44895</v>
      </c>
      <c r="T5866" s="773" t="s">
        <v>132</v>
      </c>
      <c r="U5866" s="773">
        <v>727</v>
      </c>
      <c r="V5866" s="773">
        <v>3662</v>
      </c>
      <c r="W5866" s="773" t="s">
        <v>390</v>
      </c>
    </row>
    <row r="5867" spans="19:23">
      <c r="S5867" s="27">
        <v>44895</v>
      </c>
      <c r="T5867" s="773" t="s">
        <v>132</v>
      </c>
      <c r="U5867" s="773">
        <v>319</v>
      </c>
      <c r="V5867" s="773">
        <v>3168</v>
      </c>
      <c r="W5867" s="773" t="s">
        <v>390</v>
      </c>
    </row>
    <row r="5868" spans="19:23">
      <c r="S5868" s="27">
        <v>44895</v>
      </c>
      <c r="T5868" s="773" t="s">
        <v>132</v>
      </c>
      <c r="U5868" s="773">
        <v>63</v>
      </c>
      <c r="V5868" s="773">
        <v>1</v>
      </c>
      <c r="W5868" s="773" t="s">
        <v>410</v>
      </c>
    </row>
    <row r="5869" spans="19:23">
      <c r="S5869" s="27">
        <v>44895</v>
      </c>
      <c r="T5869" s="773" t="s">
        <v>132</v>
      </c>
      <c r="U5869" s="773">
        <v>132</v>
      </c>
      <c r="V5869" s="773">
        <v>2967</v>
      </c>
      <c r="W5869" s="773" t="s">
        <v>390</v>
      </c>
    </row>
    <row r="5870" spans="19:23">
      <c r="S5870" s="27">
        <v>44895</v>
      </c>
      <c r="T5870" s="773" t="s">
        <v>132</v>
      </c>
      <c r="U5870" s="773">
        <v>669</v>
      </c>
      <c r="V5870" s="773">
        <v>2894</v>
      </c>
      <c r="W5870" s="773" t="s">
        <v>390</v>
      </c>
    </row>
    <row r="5871" spans="19:23">
      <c r="S5871" s="27">
        <v>44895</v>
      </c>
      <c r="T5871" s="773" t="s">
        <v>132</v>
      </c>
      <c r="U5871" s="773">
        <v>94</v>
      </c>
      <c r="V5871" s="773">
        <v>455</v>
      </c>
      <c r="W5871" s="773" t="s">
        <v>390</v>
      </c>
    </row>
    <row r="5872" spans="19:23">
      <c r="S5872" s="27">
        <v>44895</v>
      </c>
      <c r="T5872" s="773" t="s">
        <v>132</v>
      </c>
      <c r="U5872" s="773">
        <v>101</v>
      </c>
      <c r="V5872" s="773">
        <v>282</v>
      </c>
      <c r="W5872" s="773" t="s">
        <v>390</v>
      </c>
    </row>
    <row r="5873" spans="19:23">
      <c r="S5873" s="27">
        <v>44895</v>
      </c>
      <c r="T5873" s="773" t="s">
        <v>132</v>
      </c>
      <c r="U5873" s="773">
        <v>216</v>
      </c>
      <c r="V5873" s="773">
        <v>2351</v>
      </c>
      <c r="W5873" s="773" t="s">
        <v>390</v>
      </c>
    </row>
    <row r="5874" spans="19:23">
      <c r="S5874" s="27">
        <v>44895</v>
      </c>
      <c r="T5874" s="773" t="s">
        <v>132</v>
      </c>
      <c r="U5874" s="773">
        <v>342</v>
      </c>
      <c r="V5874" s="773">
        <v>2632</v>
      </c>
      <c r="W5874" s="773" t="s">
        <v>390</v>
      </c>
    </row>
    <row r="5875" spans="19:23">
      <c r="S5875" s="27">
        <v>44895</v>
      </c>
      <c r="T5875" s="773" t="s">
        <v>132</v>
      </c>
      <c r="U5875" s="773">
        <v>696</v>
      </c>
      <c r="V5875" s="773">
        <v>2141</v>
      </c>
      <c r="W5875" s="773" t="s">
        <v>390</v>
      </c>
    </row>
    <row r="5876" spans="19:23">
      <c r="S5876" s="27">
        <v>44895</v>
      </c>
      <c r="T5876" s="773" t="s">
        <v>132</v>
      </c>
      <c r="U5876" s="773">
        <v>241</v>
      </c>
      <c r="V5876" s="773">
        <v>13</v>
      </c>
      <c r="W5876" s="773" t="s">
        <v>410</v>
      </c>
    </row>
    <row r="5877" spans="19:23">
      <c r="S5877" s="27">
        <v>44895</v>
      </c>
      <c r="T5877" s="773" t="s">
        <v>132</v>
      </c>
      <c r="U5877" s="773">
        <v>70</v>
      </c>
      <c r="V5877" s="773">
        <v>209</v>
      </c>
      <c r="W5877" s="773" t="s">
        <v>390</v>
      </c>
    </row>
    <row r="5878" spans="19:23">
      <c r="S5878" s="27">
        <v>44895</v>
      </c>
      <c r="T5878" s="773" t="s">
        <v>132</v>
      </c>
      <c r="U5878" s="773">
        <v>105</v>
      </c>
      <c r="V5878" s="773">
        <v>2</v>
      </c>
      <c r="W5878" s="773" t="s">
        <v>410</v>
      </c>
    </row>
    <row r="5879" spans="19:23">
      <c r="S5879" s="27">
        <v>44895</v>
      </c>
      <c r="T5879" s="773" t="s">
        <v>132</v>
      </c>
      <c r="U5879" s="773">
        <v>159</v>
      </c>
      <c r="V5879" s="773">
        <v>8</v>
      </c>
      <c r="W5879" s="773" t="s">
        <v>410</v>
      </c>
    </row>
    <row r="5880" spans="19:23">
      <c r="S5880" s="27">
        <v>44895</v>
      </c>
      <c r="T5880" s="773" t="s">
        <v>132</v>
      </c>
      <c r="U5880" s="773">
        <v>200</v>
      </c>
      <c r="V5880" s="773">
        <v>1</v>
      </c>
      <c r="W5880" s="773" t="s">
        <v>410</v>
      </c>
    </row>
    <row r="5881" spans="19:23">
      <c r="S5881" s="27">
        <v>44895</v>
      </c>
      <c r="T5881" s="773" t="s">
        <v>132</v>
      </c>
      <c r="U5881" s="773">
        <v>674</v>
      </c>
      <c r="V5881" s="773">
        <v>3591</v>
      </c>
      <c r="W5881" s="773" t="s">
        <v>390</v>
      </c>
    </row>
    <row r="5882" spans="19:23">
      <c r="S5882" s="27">
        <v>44895</v>
      </c>
      <c r="T5882" s="773" t="s">
        <v>132</v>
      </c>
      <c r="U5882" s="773">
        <v>737</v>
      </c>
      <c r="V5882" s="773">
        <v>11</v>
      </c>
      <c r="W5882" s="773" t="s">
        <v>410</v>
      </c>
    </row>
    <row r="5883" spans="19:23">
      <c r="S5883" s="27">
        <v>44895</v>
      </c>
      <c r="T5883" s="773" t="s">
        <v>132</v>
      </c>
      <c r="U5883" s="773">
        <v>220</v>
      </c>
      <c r="V5883" s="773">
        <v>108</v>
      </c>
      <c r="W5883" s="773" t="s">
        <v>390</v>
      </c>
    </row>
    <row r="5884" spans="19:23">
      <c r="S5884" s="27">
        <v>44895</v>
      </c>
      <c r="T5884" s="773" t="s">
        <v>132</v>
      </c>
      <c r="U5884" s="773">
        <v>725</v>
      </c>
      <c r="V5884" s="773">
        <v>159</v>
      </c>
      <c r="W5884" s="773" t="s">
        <v>390</v>
      </c>
    </row>
    <row r="5885" spans="19:23">
      <c r="S5885" s="27">
        <v>44895</v>
      </c>
      <c r="T5885" s="773" t="s">
        <v>132</v>
      </c>
      <c r="U5885" s="773">
        <v>158</v>
      </c>
      <c r="V5885" s="773">
        <v>128</v>
      </c>
      <c r="W5885" s="773" t="s">
        <v>390</v>
      </c>
    </row>
    <row r="5886" spans="19:23">
      <c r="S5886" s="27">
        <v>44895</v>
      </c>
      <c r="T5886" s="773" t="s">
        <v>132</v>
      </c>
      <c r="U5886" s="773">
        <v>255</v>
      </c>
      <c r="V5886" s="773">
        <v>386</v>
      </c>
      <c r="W5886" s="773" t="s">
        <v>390</v>
      </c>
    </row>
    <row r="5887" spans="19:23">
      <c r="S5887" s="27">
        <v>44895</v>
      </c>
      <c r="T5887" s="773" t="s">
        <v>132</v>
      </c>
      <c r="U5887" s="773">
        <v>150</v>
      </c>
      <c r="V5887" s="773">
        <v>323</v>
      </c>
      <c r="W5887" s="773" t="s">
        <v>390</v>
      </c>
    </row>
    <row r="5888" spans="19:23">
      <c r="S5888" s="27">
        <v>44895</v>
      </c>
      <c r="T5888" s="773" t="s">
        <v>132</v>
      </c>
      <c r="U5888" s="773">
        <v>739</v>
      </c>
      <c r="V5888" s="773">
        <v>99</v>
      </c>
      <c r="W5888" s="773" t="s">
        <v>410</v>
      </c>
    </row>
    <row r="5889" spans="19:23">
      <c r="S5889" s="27">
        <v>44895</v>
      </c>
      <c r="T5889" s="773" t="s">
        <v>132</v>
      </c>
      <c r="U5889" s="773">
        <v>704</v>
      </c>
      <c r="V5889" s="773">
        <v>3306</v>
      </c>
      <c r="W5889" s="773" t="s">
        <v>390</v>
      </c>
    </row>
    <row r="5890" spans="19:23">
      <c r="S5890" s="27">
        <v>44895</v>
      </c>
      <c r="T5890" s="773" t="s">
        <v>132</v>
      </c>
      <c r="U5890" s="773">
        <v>292</v>
      </c>
      <c r="V5890" s="773">
        <v>4</v>
      </c>
      <c r="W5890" s="773" t="s">
        <v>410</v>
      </c>
    </row>
    <row r="5891" spans="19:23">
      <c r="S5891" s="27">
        <v>44895</v>
      </c>
      <c r="T5891" s="773" t="s">
        <v>132</v>
      </c>
      <c r="U5891" s="773">
        <v>254</v>
      </c>
      <c r="V5891" s="773">
        <v>5</v>
      </c>
      <c r="W5891" s="773" t="s">
        <v>410</v>
      </c>
    </row>
    <row r="5892" spans="19:23">
      <c r="S5892" s="27">
        <v>44895</v>
      </c>
      <c r="T5892" s="773" t="s">
        <v>132</v>
      </c>
      <c r="U5892" s="773">
        <v>79</v>
      </c>
      <c r="V5892" s="773">
        <v>4</v>
      </c>
      <c r="W5892" s="773" t="s">
        <v>410</v>
      </c>
    </row>
    <row r="5893" spans="19:23">
      <c r="S5893" s="27">
        <v>44895</v>
      </c>
      <c r="T5893" s="773" t="s">
        <v>132</v>
      </c>
      <c r="U5893" s="773">
        <v>153</v>
      </c>
      <c r="V5893" s="773">
        <v>2304</v>
      </c>
      <c r="W5893" s="773" t="s">
        <v>390</v>
      </c>
    </row>
    <row r="5894" spans="19:23">
      <c r="S5894" s="27">
        <v>44895</v>
      </c>
      <c r="T5894" s="773" t="s">
        <v>132</v>
      </c>
      <c r="U5894" s="773">
        <v>662</v>
      </c>
      <c r="V5894" s="773">
        <v>6</v>
      </c>
      <c r="W5894" s="773" t="s">
        <v>410</v>
      </c>
    </row>
    <row r="5895" spans="19:23">
      <c r="S5895" s="27">
        <v>44895</v>
      </c>
      <c r="T5895" s="773" t="s">
        <v>132</v>
      </c>
      <c r="U5895" s="773">
        <v>109</v>
      </c>
      <c r="V5895" s="773">
        <v>2</v>
      </c>
      <c r="W5895" s="773" t="s">
        <v>410</v>
      </c>
    </row>
    <row r="5896" spans="19:23">
      <c r="S5896" s="27">
        <v>44895</v>
      </c>
      <c r="T5896" s="773" t="s">
        <v>132</v>
      </c>
      <c r="U5896" s="773">
        <v>48</v>
      </c>
      <c r="V5896" s="773">
        <v>663</v>
      </c>
      <c r="W5896" s="773" t="s">
        <v>390</v>
      </c>
    </row>
    <row r="5897" spans="19:23">
      <c r="S5897" s="27">
        <v>44895</v>
      </c>
      <c r="T5897" s="773" t="s">
        <v>132</v>
      </c>
      <c r="U5897" s="773">
        <v>654</v>
      </c>
      <c r="V5897" s="773">
        <v>974</v>
      </c>
      <c r="W5897" s="773" t="s">
        <v>390</v>
      </c>
    </row>
    <row r="5898" spans="19:23">
      <c r="S5898" s="27">
        <v>44895</v>
      </c>
      <c r="T5898" s="773" t="s">
        <v>132</v>
      </c>
      <c r="U5898" s="773">
        <v>13</v>
      </c>
      <c r="V5898" s="773">
        <v>2502</v>
      </c>
      <c r="W5898" s="773" t="s">
        <v>390</v>
      </c>
    </row>
    <row r="5899" spans="19:23">
      <c r="S5899" s="27">
        <v>44895</v>
      </c>
      <c r="T5899" s="773" t="s">
        <v>132</v>
      </c>
      <c r="U5899" s="773">
        <v>735</v>
      </c>
      <c r="V5899" s="773">
        <v>2670</v>
      </c>
      <c r="W5899" s="773" t="s">
        <v>390</v>
      </c>
    </row>
    <row r="5900" spans="19:23">
      <c r="S5900" s="27">
        <v>44895</v>
      </c>
      <c r="T5900" s="773" t="s">
        <v>132</v>
      </c>
      <c r="U5900" s="773">
        <v>233</v>
      </c>
      <c r="V5900" s="773">
        <v>2567</v>
      </c>
      <c r="W5900" s="773" t="s">
        <v>390</v>
      </c>
    </row>
    <row r="5901" spans="19:23">
      <c r="S5901" s="27">
        <v>44895</v>
      </c>
      <c r="T5901" s="773" t="s">
        <v>132</v>
      </c>
      <c r="U5901" s="773">
        <v>720</v>
      </c>
      <c r="V5901" s="773">
        <v>2840</v>
      </c>
      <c r="W5901" s="773" t="s">
        <v>390</v>
      </c>
    </row>
    <row r="5902" spans="19:23">
      <c r="S5902" s="27">
        <v>44895</v>
      </c>
      <c r="T5902" s="773" t="s">
        <v>132</v>
      </c>
      <c r="U5902" s="773">
        <v>311</v>
      </c>
      <c r="V5902" s="773">
        <v>2470</v>
      </c>
      <c r="W5902" s="773" t="s">
        <v>390</v>
      </c>
    </row>
    <row r="5903" spans="19:23">
      <c r="S5903" s="27">
        <v>44895</v>
      </c>
      <c r="T5903" s="773" t="s">
        <v>132</v>
      </c>
      <c r="U5903" s="773">
        <v>651</v>
      </c>
      <c r="V5903" s="773">
        <v>82</v>
      </c>
      <c r="W5903" s="773" t="s">
        <v>410</v>
      </c>
    </row>
    <row r="5904" spans="19:23">
      <c r="S5904" s="27">
        <v>44895</v>
      </c>
      <c r="T5904" s="773" t="s">
        <v>132</v>
      </c>
      <c r="U5904" s="773">
        <v>664</v>
      </c>
      <c r="V5904" s="773">
        <v>2164</v>
      </c>
      <c r="W5904" s="773" t="s">
        <v>390</v>
      </c>
    </row>
    <row r="5905" spans="19:23">
      <c r="S5905" s="27">
        <v>44895</v>
      </c>
      <c r="T5905" s="773" t="s">
        <v>132</v>
      </c>
      <c r="U5905" s="773">
        <v>41</v>
      </c>
      <c r="V5905" s="773">
        <v>1</v>
      </c>
      <c r="W5905" s="773" t="s">
        <v>410</v>
      </c>
    </row>
    <row r="5906" spans="19:23">
      <c r="S5906" s="27">
        <v>44895</v>
      </c>
      <c r="T5906" s="773" t="s">
        <v>132</v>
      </c>
      <c r="U5906" s="773">
        <v>699</v>
      </c>
      <c r="V5906" s="773">
        <v>2826</v>
      </c>
      <c r="W5906" s="773" t="s">
        <v>390</v>
      </c>
    </row>
    <row r="5907" spans="19:23">
      <c r="S5907" s="27">
        <v>44895</v>
      </c>
      <c r="T5907" s="773" t="s">
        <v>132</v>
      </c>
      <c r="U5907" s="773">
        <v>61</v>
      </c>
      <c r="V5907" s="773">
        <v>1</v>
      </c>
      <c r="W5907" s="773" t="s">
        <v>410</v>
      </c>
    </row>
    <row r="5908" spans="19:23">
      <c r="S5908" s="27">
        <v>44895</v>
      </c>
      <c r="T5908" s="773" t="s">
        <v>132</v>
      </c>
      <c r="U5908" s="773">
        <v>169</v>
      </c>
      <c r="V5908" s="773">
        <v>3211</v>
      </c>
      <c r="W5908" s="773" t="s">
        <v>390</v>
      </c>
    </row>
    <row r="5909" spans="19:23">
      <c r="S5909" s="27">
        <v>44895</v>
      </c>
      <c r="T5909" s="773" t="s">
        <v>132</v>
      </c>
      <c r="U5909" s="773">
        <v>155</v>
      </c>
      <c r="V5909" s="773">
        <v>2571</v>
      </c>
      <c r="W5909" s="773" t="s">
        <v>390</v>
      </c>
    </row>
    <row r="5910" spans="19:23">
      <c r="S5910" s="27">
        <v>44895</v>
      </c>
      <c r="T5910" s="773" t="s">
        <v>132</v>
      </c>
      <c r="U5910" s="773">
        <v>257</v>
      </c>
      <c r="V5910" s="773">
        <v>2957</v>
      </c>
      <c r="W5910" s="773" t="s">
        <v>390</v>
      </c>
    </row>
    <row r="5911" spans="19:23">
      <c r="S5911" s="27">
        <v>44895</v>
      </c>
      <c r="T5911" s="773" t="s">
        <v>132</v>
      </c>
      <c r="U5911" s="773">
        <v>694</v>
      </c>
      <c r="V5911" s="773">
        <v>1</v>
      </c>
      <c r="W5911" s="773" t="s">
        <v>410</v>
      </c>
    </row>
    <row r="5912" spans="19:23">
      <c r="S5912" s="27">
        <v>44895</v>
      </c>
      <c r="T5912" s="773" t="s">
        <v>132</v>
      </c>
      <c r="U5912" s="773">
        <v>315</v>
      </c>
      <c r="V5912" s="773">
        <v>1894</v>
      </c>
      <c r="W5912" s="773" t="s">
        <v>390</v>
      </c>
    </row>
    <row r="5913" spans="19:23">
      <c r="S5913" s="27">
        <v>44895</v>
      </c>
      <c r="T5913" s="773" t="s">
        <v>132</v>
      </c>
      <c r="U5913" s="773">
        <v>89</v>
      </c>
      <c r="V5913" s="773">
        <v>1094</v>
      </c>
      <c r="W5913" s="773" t="s">
        <v>390</v>
      </c>
    </row>
    <row r="5914" spans="19:23">
      <c r="S5914" s="27">
        <v>44895</v>
      </c>
      <c r="T5914" s="773" t="s">
        <v>132</v>
      </c>
      <c r="U5914" s="773">
        <v>736</v>
      </c>
      <c r="V5914" s="773">
        <v>3114</v>
      </c>
      <c r="W5914" s="773" t="s">
        <v>390</v>
      </c>
    </row>
    <row r="5915" spans="19:23">
      <c r="S5915" s="27">
        <v>44895</v>
      </c>
      <c r="T5915" s="773" t="s">
        <v>132</v>
      </c>
      <c r="U5915" s="773">
        <v>188</v>
      </c>
      <c r="V5915" s="773">
        <v>798</v>
      </c>
      <c r="W5915" s="773" t="s">
        <v>390</v>
      </c>
    </row>
    <row r="5916" spans="19:23">
      <c r="S5916" s="27">
        <v>44895</v>
      </c>
      <c r="T5916" s="773" t="s">
        <v>132</v>
      </c>
      <c r="U5916" s="773">
        <v>326</v>
      </c>
      <c r="V5916" s="773">
        <v>2654</v>
      </c>
      <c r="W5916" s="773" t="s">
        <v>390</v>
      </c>
    </row>
    <row r="5917" spans="19:23">
      <c r="S5917" s="27">
        <v>44895</v>
      </c>
      <c r="T5917" s="773" t="s">
        <v>132</v>
      </c>
      <c r="U5917" s="773">
        <v>686</v>
      </c>
      <c r="V5917" s="773">
        <v>52</v>
      </c>
      <c r="W5917" s="773" t="s">
        <v>410</v>
      </c>
    </row>
    <row r="5918" spans="19:23">
      <c r="S5918" s="27">
        <v>44895</v>
      </c>
      <c r="T5918" s="773" t="s">
        <v>132</v>
      </c>
      <c r="U5918" s="773">
        <v>323</v>
      </c>
      <c r="V5918" s="773">
        <v>3109</v>
      </c>
      <c r="W5918" s="773" t="s">
        <v>390</v>
      </c>
    </row>
    <row r="5919" spans="19:23">
      <c r="S5919" s="27">
        <v>44895</v>
      </c>
      <c r="T5919" s="773" t="s">
        <v>132</v>
      </c>
      <c r="U5919" s="773">
        <v>697</v>
      </c>
      <c r="V5919" s="773">
        <v>1477</v>
      </c>
      <c r="W5919" s="773" t="s">
        <v>390</v>
      </c>
    </row>
    <row r="5920" spans="19:23">
      <c r="S5920" s="27">
        <v>44895</v>
      </c>
      <c r="T5920" s="773" t="s">
        <v>132</v>
      </c>
      <c r="U5920" s="773">
        <v>251</v>
      </c>
      <c r="V5920" s="773">
        <v>1935</v>
      </c>
      <c r="W5920" s="773" t="s">
        <v>390</v>
      </c>
    </row>
    <row r="5921" spans="19:23">
      <c r="S5921" s="27">
        <v>44895</v>
      </c>
      <c r="T5921" s="773" t="s">
        <v>132</v>
      </c>
      <c r="U5921" s="773">
        <v>528</v>
      </c>
      <c r="V5921" s="773">
        <v>47</v>
      </c>
      <c r="W5921" s="773" t="s">
        <v>410</v>
      </c>
    </row>
    <row r="5922" spans="19:23">
      <c r="S5922" s="27">
        <v>44895</v>
      </c>
      <c r="T5922" s="773" t="s">
        <v>132</v>
      </c>
      <c r="U5922" s="773">
        <v>621</v>
      </c>
      <c r="V5922" s="773">
        <v>2456</v>
      </c>
      <c r="W5922" s="773" t="s">
        <v>390</v>
      </c>
    </row>
    <row r="5923" spans="19:23">
      <c r="S5923" s="27">
        <v>44895</v>
      </c>
      <c r="T5923" s="773" t="s">
        <v>132</v>
      </c>
      <c r="U5923" s="773">
        <v>60</v>
      </c>
      <c r="V5923" s="773">
        <v>1</v>
      </c>
      <c r="W5923" s="773" t="s">
        <v>410</v>
      </c>
    </row>
    <row r="5924" spans="19:23">
      <c r="S5924" s="27">
        <v>44895</v>
      </c>
      <c r="T5924" s="773" t="s">
        <v>132</v>
      </c>
      <c r="U5924" s="773">
        <v>35</v>
      </c>
      <c r="V5924" s="773">
        <v>880</v>
      </c>
      <c r="W5924" s="773" t="s">
        <v>390</v>
      </c>
    </row>
    <row r="5925" spans="19:23">
      <c r="S5925" s="27">
        <v>44895</v>
      </c>
      <c r="T5925" s="773" t="s">
        <v>132</v>
      </c>
      <c r="U5925" s="773">
        <v>40</v>
      </c>
      <c r="V5925" s="773">
        <v>1</v>
      </c>
      <c r="W5925" s="773" t="s">
        <v>410</v>
      </c>
    </row>
    <row r="5926" spans="19:23">
      <c r="S5926" s="27">
        <v>44895</v>
      </c>
      <c r="T5926" s="773" t="s">
        <v>132</v>
      </c>
      <c r="U5926" s="773">
        <v>203</v>
      </c>
      <c r="V5926" s="773">
        <v>2523</v>
      </c>
      <c r="W5926" s="773" t="s">
        <v>390</v>
      </c>
    </row>
    <row r="5927" spans="19:23">
      <c r="S5927" s="27">
        <v>44895</v>
      </c>
      <c r="T5927" s="773" t="s">
        <v>132</v>
      </c>
      <c r="U5927" s="773">
        <v>191</v>
      </c>
      <c r="V5927" s="773">
        <v>341</v>
      </c>
      <c r="W5927" s="773" t="s">
        <v>390</v>
      </c>
    </row>
    <row r="5928" spans="19:23">
      <c r="S5928" s="27">
        <v>44895</v>
      </c>
      <c r="T5928" s="773" t="s">
        <v>132</v>
      </c>
      <c r="U5928" s="773">
        <v>39</v>
      </c>
      <c r="V5928" s="773">
        <v>1</v>
      </c>
      <c r="W5928" s="773" t="s">
        <v>410</v>
      </c>
    </row>
    <row r="5929" spans="19:23">
      <c r="S5929" s="27">
        <v>44895</v>
      </c>
      <c r="T5929" s="773" t="s">
        <v>132</v>
      </c>
      <c r="U5929" s="773">
        <v>703</v>
      </c>
      <c r="V5929" s="773">
        <v>3251</v>
      </c>
      <c r="W5929" s="773" t="s">
        <v>390</v>
      </c>
    </row>
    <row r="5930" spans="19:23">
      <c r="S5930" s="27">
        <v>44895</v>
      </c>
      <c r="T5930" s="773" t="s">
        <v>132</v>
      </c>
      <c r="U5930" s="773">
        <v>87</v>
      </c>
      <c r="V5930" s="773">
        <v>3</v>
      </c>
      <c r="W5930" s="773" t="s">
        <v>410</v>
      </c>
    </row>
    <row r="5931" spans="19:23">
      <c r="S5931" s="27">
        <v>44895</v>
      </c>
      <c r="T5931" s="773" t="s">
        <v>132</v>
      </c>
      <c r="U5931" s="773">
        <v>660</v>
      </c>
      <c r="V5931" s="773">
        <v>5</v>
      </c>
      <c r="W5931" s="773" t="s">
        <v>410</v>
      </c>
    </row>
    <row r="5932" spans="19:23">
      <c r="S5932" s="27">
        <v>44895</v>
      </c>
      <c r="T5932" s="773" t="s">
        <v>132</v>
      </c>
      <c r="U5932" s="773">
        <v>318</v>
      </c>
      <c r="V5932" s="773">
        <v>2485</v>
      </c>
      <c r="W5932" s="773" t="s">
        <v>390</v>
      </c>
    </row>
    <row r="5933" spans="19:23">
      <c r="S5933" s="27">
        <v>44957</v>
      </c>
      <c r="T5933" s="773" t="s">
        <v>132</v>
      </c>
      <c r="U5933" s="773">
        <v>328</v>
      </c>
      <c r="V5933" s="773">
        <v>1429</v>
      </c>
      <c r="W5933" s="773" t="s">
        <v>390</v>
      </c>
    </row>
    <row r="5934" spans="19:23">
      <c r="S5934" s="27">
        <v>44957</v>
      </c>
      <c r="T5934" s="773" t="s">
        <v>132</v>
      </c>
      <c r="U5934" s="773">
        <v>203</v>
      </c>
      <c r="V5934" s="773">
        <v>2530</v>
      </c>
      <c r="W5934" s="773" t="s">
        <v>390</v>
      </c>
    </row>
    <row r="5935" spans="19:23">
      <c r="S5935" s="27">
        <v>44957</v>
      </c>
      <c r="T5935" s="773" t="s">
        <v>132</v>
      </c>
      <c r="U5935" s="773">
        <v>79</v>
      </c>
      <c r="V5935" s="773">
        <v>4</v>
      </c>
      <c r="W5935" s="773" t="s">
        <v>410</v>
      </c>
    </row>
    <row r="5936" spans="19:23">
      <c r="S5936" s="27">
        <v>44957</v>
      </c>
      <c r="T5936" s="773" t="s">
        <v>132</v>
      </c>
      <c r="U5936" s="773">
        <v>27</v>
      </c>
      <c r="V5936" s="773">
        <v>1</v>
      </c>
      <c r="W5936" s="773" t="s">
        <v>410</v>
      </c>
    </row>
    <row r="5937" spans="19:23">
      <c r="S5937" s="27">
        <v>44957</v>
      </c>
      <c r="T5937" s="773" t="s">
        <v>132</v>
      </c>
      <c r="U5937" s="773">
        <v>741</v>
      </c>
      <c r="V5937" s="773">
        <v>2829</v>
      </c>
      <c r="W5937" s="773" t="s">
        <v>390</v>
      </c>
    </row>
    <row r="5938" spans="19:23">
      <c r="S5938" s="27">
        <v>44957</v>
      </c>
      <c r="T5938" s="773" t="s">
        <v>132</v>
      </c>
      <c r="U5938" s="773">
        <v>709</v>
      </c>
      <c r="V5938" s="773">
        <v>2149</v>
      </c>
      <c r="W5938" s="773" t="s">
        <v>390</v>
      </c>
    </row>
    <row r="5939" spans="19:23">
      <c r="S5939" s="27">
        <v>44957</v>
      </c>
      <c r="T5939" s="773" t="s">
        <v>132</v>
      </c>
      <c r="U5939" s="773">
        <v>188</v>
      </c>
      <c r="V5939" s="773">
        <v>817</v>
      </c>
      <c r="W5939" s="773" t="s">
        <v>390</v>
      </c>
    </row>
    <row r="5940" spans="19:23">
      <c r="S5940" s="27">
        <v>44957</v>
      </c>
      <c r="T5940" s="773" t="s">
        <v>132</v>
      </c>
      <c r="U5940" s="773">
        <v>202</v>
      </c>
      <c r="V5940" s="773">
        <v>1</v>
      </c>
      <c r="W5940" s="773" t="s">
        <v>410</v>
      </c>
    </row>
    <row r="5941" spans="19:23">
      <c r="S5941" s="27">
        <v>44957</v>
      </c>
      <c r="T5941" s="773" t="s">
        <v>132</v>
      </c>
      <c r="U5941" s="773">
        <v>200</v>
      </c>
      <c r="V5941" s="773">
        <v>2</v>
      </c>
      <c r="W5941" s="773" t="s">
        <v>410</v>
      </c>
    </row>
    <row r="5942" spans="19:23">
      <c r="S5942" s="27">
        <v>44957</v>
      </c>
      <c r="T5942" s="773" t="s">
        <v>132</v>
      </c>
      <c r="U5942" s="773">
        <v>231</v>
      </c>
      <c r="V5942" s="773">
        <v>4</v>
      </c>
      <c r="W5942" s="773" t="s">
        <v>410</v>
      </c>
    </row>
    <row r="5943" spans="19:23">
      <c r="S5943" s="27">
        <v>44957</v>
      </c>
      <c r="T5943" s="773" t="s">
        <v>132</v>
      </c>
      <c r="U5943" s="773">
        <v>710</v>
      </c>
      <c r="V5943" s="773">
        <v>952</v>
      </c>
      <c r="W5943" s="773" t="s">
        <v>390</v>
      </c>
    </row>
    <row r="5944" spans="19:23">
      <c r="S5944" s="27">
        <v>44957</v>
      </c>
      <c r="T5944" s="773" t="s">
        <v>132</v>
      </c>
      <c r="U5944" s="773">
        <v>173</v>
      </c>
      <c r="V5944" s="773">
        <v>6</v>
      </c>
      <c r="W5944" s="773" t="s">
        <v>410</v>
      </c>
    </row>
    <row r="5945" spans="19:23">
      <c r="S5945" s="27">
        <v>44957</v>
      </c>
      <c r="T5945" s="773" t="s">
        <v>132</v>
      </c>
      <c r="U5945" s="773">
        <v>39</v>
      </c>
      <c r="V5945" s="773">
        <v>1</v>
      </c>
      <c r="W5945" s="773" t="s">
        <v>410</v>
      </c>
    </row>
    <row r="5946" spans="19:23">
      <c r="S5946" s="27">
        <v>44957</v>
      </c>
      <c r="T5946" s="773" t="s">
        <v>132</v>
      </c>
      <c r="U5946" s="773">
        <v>680</v>
      </c>
      <c r="V5946" s="773">
        <v>3043</v>
      </c>
      <c r="W5946" s="773" t="s">
        <v>390</v>
      </c>
    </row>
    <row r="5947" spans="19:23">
      <c r="S5947" s="27">
        <v>44957</v>
      </c>
      <c r="T5947" s="773" t="s">
        <v>132</v>
      </c>
      <c r="U5947" s="773">
        <v>732</v>
      </c>
      <c r="V5947" s="773">
        <v>3513</v>
      </c>
      <c r="W5947" s="773" t="s">
        <v>390</v>
      </c>
    </row>
    <row r="5948" spans="19:23">
      <c r="S5948" s="27">
        <v>44957</v>
      </c>
      <c r="T5948" s="773" t="s">
        <v>132</v>
      </c>
      <c r="U5948" s="773">
        <v>141</v>
      </c>
      <c r="V5948" s="773">
        <v>1</v>
      </c>
      <c r="W5948" s="773" t="s">
        <v>410</v>
      </c>
    </row>
    <row r="5949" spans="19:23">
      <c r="S5949" s="27">
        <v>44957</v>
      </c>
      <c r="T5949" s="773" t="s">
        <v>132</v>
      </c>
      <c r="U5949" s="773">
        <v>665</v>
      </c>
      <c r="V5949" s="773">
        <v>3192</v>
      </c>
      <c r="W5949" s="773" t="s">
        <v>390</v>
      </c>
    </row>
    <row r="5950" spans="19:23">
      <c r="S5950" s="27">
        <v>44957</v>
      </c>
      <c r="T5950" s="773" t="s">
        <v>132</v>
      </c>
      <c r="U5950" s="773">
        <v>58</v>
      </c>
      <c r="V5950" s="773">
        <v>1</v>
      </c>
      <c r="W5950" s="773" t="s">
        <v>410</v>
      </c>
    </row>
    <row r="5951" spans="19:23">
      <c r="S5951" s="27">
        <v>44957</v>
      </c>
      <c r="T5951" s="773" t="s">
        <v>132</v>
      </c>
      <c r="U5951" s="773">
        <v>283</v>
      </c>
      <c r="V5951" s="773">
        <v>1</v>
      </c>
      <c r="W5951" s="773" t="s">
        <v>410</v>
      </c>
    </row>
    <row r="5952" spans="19:23">
      <c r="S5952" s="27">
        <v>44957</v>
      </c>
      <c r="T5952" s="773" t="s">
        <v>132</v>
      </c>
      <c r="U5952" s="773">
        <v>13</v>
      </c>
      <c r="V5952" s="773">
        <v>2582</v>
      </c>
      <c r="W5952" s="773" t="s">
        <v>390</v>
      </c>
    </row>
    <row r="5953" spans="19:23">
      <c r="S5953" s="27">
        <v>44957</v>
      </c>
      <c r="T5953" s="773" t="s">
        <v>132</v>
      </c>
      <c r="U5953" s="773">
        <v>740</v>
      </c>
      <c r="V5953" s="773">
        <v>700</v>
      </c>
      <c r="W5953" s="773" t="s">
        <v>390</v>
      </c>
    </row>
    <row r="5954" spans="19:23">
      <c r="S5954" s="27">
        <v>44957</v>
      </c>
      <c r="T5954" s="773" t="s">
        <v>132</v>
      </c>
      <c r="U5954" s="773">
        <v>191</v>
      </c>
      <c r="V5954" s="773">
        <v>347</v>
      </c>
      <c r="W5954" s="773" t="s">
        <v>390</v>
      </c>
    </row>
    <row r="5955" spans="19:23">
      <c r="S5955" s="27">
        <v>44957</v>
      </c>
      <c r="T5955" s="773" t="s">
        <v>132</v>
      </c>
      <c r="U5955" s="773">
        <v>239</v>
      </c>
      <c r="V5955" s="773">
        <v>7</v>
      </c>
      <c r="W5955" s="773" t="s">
        <v>410</v>
      </c>
    </row>
    <row r="5956" spans="19:23">
      <c r="S5956" s="27">
        <v>44957</v>
      </c>
      <c r="T5956" s="773" t="s">
        <v>132</v>
      </c>
      <c r="U5956" s="773">
        <v>321</v>
      </c>
      <c r="V5956" s="773">
        <v>1948</v>
      </c>
      <c r="W5956" s="773" t="s">
        <v>390</v>
      </c>
    </row>
    <row r="5957" spans="19:23">
      <c r="S5957" s="27">
        <v>44957</v>
      </c>
      <c r="T5957" s="773" t="s">
        <v>132</v>
      </c>
      <c r="U5957" s="773">
        <v>120</v>
      </c>
      <c r="V5957" s="773">
        <v>1</v>
      </c>
      <c r="W5957" s="773" t="s">
        <v>410</v>
      </c>
    </row>
    <row r="5958" spans="19:23">
      <c r="S5958" s="27">
        <v>44957</v>
      </c>
      <c r="T5958" s="773" t="s">
        <v>132</v>
      </c>
      <c r="U5958" s="773">
        <v>737</v>
      </c>
      <c r="V5958" s="773">
        <v>1818</v>
      </c>
      <c r="W5958" s="773" t="s">
        <v>390</v>
      </c>
    </row>
    <row r="5959" spans="19:23">
      <c r="S5959" s="27">
        <v>44957</v>
      </c>
      <c r="T5959" s="773" t="s">
        <v>132</v>
      </c>
      <c r="U5959" s="773">
        <v>621</v>
      </c>
      <c r="V5959" s="773">
        <v>2519</v>
      </c>
      <c r="W5959" s="773" t="s">
        <v>390</v>
      </c>
    </row>
    <row r="5960" spans="19:23">
      <c r="S5960" s="27">
        <v>44957</v>
      </c>
      <c r="T5960" s="773" t="s">
        <v>132</v>
      </c>
      <c r="U5960" s="773">
        <v>671</v>
      </c>
      <c r="V5960" s="773">
        <v>2038</v>
      </c>
      <c r="W5960" s="773" t="s">
        <v>390</v>
      </c>
    </row>
    <row r="5961" spans="19:23">
      <c r="S5961" s="27">
        <v>44957</v>
      </c>
      <c r="T5961" s="773" t="s">
        <v>132</v>
      </c>
      <c r="U5961" s="773">
        <v>306</v>
      </c>
      <c r="V5961" s="773">
        <v>2394</v>
      </c>
      <c r="W5961" s="773" t="s">
        <v>390</v>
      </c>
    </row>
    <row r="5962" spans="19:23">
      <c r="S5962" s="27">
        <v>44957</v>
      </c>
      <c r="T5962" s="773" t="s">
        <v>132</v>
      </c>
      <c r="U5962" s="773">
        <v>320</v>
      </c>
      <c r="V5962" s="773">
        <v>1708</v>
      </c>
      <c r="W5962" s="773" t="s">
        <v>390</v>
      </c>
    </row>
    <row r="5963" spans="19:23">
      <c r="S5963" s="27">
        <v>44957</v>
      </c>
      <c r="T5963" s="773" t="s">
        <v>132</v>
      </c>
      <c r="U5963" s="773">
        <v>0</v>
      </c>
      <c r="V5963" s="773">
        <v>43</v>
      </c>
      <c r="W5963" s="773" t="s">
        <v>410</v>
      </c>
    </row>
    <row r="5964" spans="19:23">
      <c r="S5964" s="27">
        <v>44957</v>
      </c>
      <c r="T5964" s="773" t="s">
        <v>132</v>
      </c>
      <c r="U5964" s="773">
        <v>738</v>
      </c>
      <c r="V5964" s="773">
        <v>41</v>
      </c>
      <c r="W5964" s="773" t="s">
        <v>410</v>
      </c>
    </row>
    <row r="5965" spans="19:23">
      <c r="S5965" s="27">
        <v>44957</v>
      </c>
      <c r="T5965" s="773" t="s">
        <v>132</v>
      </c>
      <c r="U5965" s="773">
        <v>108</v>
      </c>
      <c r="V5965" s="773">
        <v>10</v>
      </c>
      <c r="W5965" s="773" t="s">
        <v>410</v>
      </c>
    </row>
    <row r="5966" spans="19:23">
      <c r="S5966" s="27">
        <v>44957</v>
      </c>
      <c r="T5966" s="773" t="s">
        <v>132</v>
      </c>
      <c r="U5966" s="773">
        <v>727</v>
      </c>
      <c r="V5966" s="773">
        <v>3657</v>
      </c>
      <c r="W5966" s="773" t="s">
        <v>390</v>
      </c>
    </row>
    <row r="5967" spans="19:23">
      <c r="S5967" s="27">
        <v>44957</v>
      </c>
      <c r="T5967" s="773" t="s">
        <v>132</v>
      </c>
      <c r="U5967" s="773">
        <v>262</v>
      </c>
      <c r="V5967" s="773">
        <v>45</v>
      </c>
      <c r="W5967" s="773" t="s">
        <v>410</v>
      </c>
    </row>
    <row r="5968" spans="19:23">
      <c r="S5968" s="27">
        <v>44957</v>
      </c>
      <c r="T5968" s="773" t="s">
        <v>132</v>
      </c>
      <c r="U5968" s="773">
        <v>312</v>
      </c>
      <c r="V5968" s="773">
        <v>2644</v>
      </c>
      <c r="W5968" s="773" t="s">
        <v>390</v>
      </c>
    </row>
    <row r="5969" spans="19:23">
      <c r="S5969" s="27">
        <v>44957</v>
      </c>
      <c r="T5969" s="773" t="s">
        <v>132</v>
      </c>
      <c r="U5969" s="773">
        <v>279</v>
      </c>
      <c r="V5969" s="773">
        <v>2</v>
      </c>
      <c r="W5969" s="773" t="s">
        <v>410</v>
      </c>
    </row>
    <row r="5970" spans="19:23">
      <c r="S5970" s="27">
        <v>44957</v>
      </c>
      <c r="T5970" s="773" t="s">
        <v>132</v>
      </c>
      <c r="U5970" s="773">
        <v>329</v>
      </c>
      <c r="V5970" s="773">
        <v>4041</v>
      </c>
      <c r="W5970" s="773" t="s">
        <v>390</v>
      </c>
    </row>
    <row r="5971" spans="19:23">
      <c r="S5971" s="27">
        <v>44957</v>
      </c>
      <c r="T5971" s="773" t="s">
        <v>132</v>
      </c>
      <c r="U5971" s="773">
        <v>43</v>
      </c>
      <c r="V5971" s="773">
        <v>1016</v>
      </c>
      <c r="W5971" s="773" t="s">
        <v>390</v>
      </c>
    </row>
    <row r="5972" spans="19:23">
      <c r="S5972" s="27">
        <v>44957</v>
      </c>
      <c r="T5972" s="773" t="s">
        <v>132</v>
      </c>
      <c r="U5972" s="773">
        <v>324</v>
      </c>
      <c r="V5972" s="773">
        <v>1695</v>
      </c>
      <c r="W5972" s="773" t="s">
        <v>390</v>
      </c>
    </row>
    <row r="5973" spans="19:23">
      <c r="S5973" s="27">
        <v>44957</v>
      </c>
      <c r="T5973" s="773" t="s">
        <v>132</v>
      </c>
      <c r="U5973" s="773">
        <v>295</v>
      </c>
      <c r="V5973" s="773">
        <v>6</v>
      </c>
      <c r="W5973" s="773" t="s">
        <v>410</v>
      </c>
    </row>
    <row r="5974" spans="19:23">
      <c r="S5974" s="27">
        <v>44957</v>
      </c>
      <c r="T5974" s="773" t="s">
        <v>132</v>
      </c>
      <c r="U5974" s="773">
        <v>779</v>
      </c>
      <c r="V5974" s="773">
        <v>10</v>
      </c>
      <c r="W5974" s="773" t="s">
        <v>410</v>
      </c>
    </row>
    <row r="5975" spans="19:23">
      <c r="S5975" s="27">
        <v>44957</v>
      </c>
      <c r="T5975" s="773" t="s">
        <v>132</v>
      </c>
      <c r="U5975" s="773">
        <v>157</v>
      </c>
      <c r="V5975" s="773">
        <v>11</v>
      </c>
      <c r="W5975" s="773" t="s">
        <v>410</v>
      </c>
    </row>
    <row r="5976" spans="19:23">
      <c r="S5976" s="27">
        <v>44957</v>
      </c>
      <c r="T5976" s="773" t="s">
        <v>132</v>
      </c>
      <c r="U5976" s="773">
        <v>701</v>
      </c>
      <c r="V5976" s="773">
        <v>2396</v>
      </c>
      <c r="W5976" s="773" t="s">
        <v>390</v>
      </c>
    </row>
    <row r="5977" spans="19:23">
      <c r="S5977" s="27">
        <v>44957</v>
      </c>
      <c r="T5977" s="773" t="s">
        <v>132</v>
      </c>
      <c r="U5977" s="773">
        <v>77</v>
      </c>
      <c r="V5977" s="773">
        <v>3640</v>
      </c>
      <c r="W5977" s="773" t="s">
        <v>390</v>
      </c>
    </row>
    <row r="5978" spans="19:23">
      <c r="S5978" s="27">
        <v>44957</v>
      </c>
      <c r="T5978" s="773" t="s">
        <v>132</v>
      </c>
      <c r="U5978" s="773">
        <v>140</v>
      </c>
      <c r="V5978" s="773">
        <v>617</v>
      </c>
      <c r="W5978" s="773" t="s">
        <v>390</v>
      </c>
    </row>
    <row r="5979" spans="19:23">
      <c r="S5979" s="27">
        <v>44957</v>
      </c>
      <c r="T5979" s="773" t="s">
        <v>132</v>
      </c>
      <c r="U5979" s="773">
        <v>294</v>
      </c>
      <c r="V5979" s="773">
        <v>3</v>
      </c>
      <c r="W5979" s="773" t="s">
        <v>410</v>
      </c>
    </row>
    <row r="5980" spans="19:23">
      <c r="S5980" s="27">
        <v>44957</v>
      </c>
      <c r="T5980" s="773" t="s">
        <v>132</v>
      </c>
      <c r="U5980" s="773">
        <v>56</v>
      </c>
      <c r="V5980" s="773">
        <v>9</v>
      </c>
      <c r="W5980" s="773" t="s">
        <v>410</v>
      </c>
    </row>
    <row r="5981" spans="19:23">
      <c r="S5981" s="27">
        <v>44957</v>
      </c>
      <c r="T5981" s="773" t="s">
        <v>132</v>
      </c>
      <c r="U5981" s="773">
        <v>718</v>
      </c>
      <c r="V5981" s="773">
        <v>1523</v>
      </c>
      <c r="W5981" s="773" t="s">
        <v>390</v>
      </c>
    </row>
    <row r="5982" spans="19:23">
      <c r="S5982" s="27">
        <v>44957</v>
      </c>
      <c r="T5982" s="773" t="s">
        <v>132</v>
      </c>
      <c r="U5982" s="773">
        <v>327</v>
      </c>
      <c r="V5982" s="773">
        <v>3</v>
      </c>
      <c r="W5982" s="773" t="s">
        <v>410</v>
      </c>
    </row>
    <row r="5983" spans="19:23">
      <c r="S5983" s="27">
        <v>44957</v>
      </c>
      <c r="T5983" s="773" t="s">
        <v>132</v>
      </c>
      <c r="U5983" s="773">
        <v>11</v>
      </c>
      <c r="V5983" s="773">
        <v>27</v>
      </c>
      <c r="W5983" s="773" t="s">
        <v>410</v>
      </c>
    </row>
    <row r="5984" spans="19:23">
      <c r="S5984" s="27">
        <v>44957</v>
      </c>
      <c r="T5984" s="773" t="s">
        <v>132</v>
      </c>
      <c r="U5984" s="773">
        <v>691</v>
      </c>
      <c r="V5984" s="773">
        <v>3066</v>
      </c>
      <c r="W5984" s="773" t="s">
        <v>390</v>
      </c>
    </row>
    <row r="5985" spans="19:23">
      <c r="S5985" s="27">
        <v>44957</v>
      </c>
      <c r="T5985" s="773" t="s">
        <v>132</v>
      </c>
      <c r="U5985" s="773">
        <v>660</v>
      </c>
      <c r="V5985" s="773">
        <v>5</v>
      </c>
      <c r="W5985" s="773" t="s">
        <v>410</v>
      </c>
    </row>
    <row r="5986" spans="19:23">
      <c r="S5986" s="27">
        <v>44957</v>
      </c>
      <c r="T5986" s="773" t="s">
        <v>132</v>
      </c>
      <c r="U5986" s="773">
        <v>71</v>
      </c>
      <c r="V5986" s="773">
        <v>1</v>
      </c>
      <c r="W5986" s="773" t="s">
        <v>410</v>
      </c>
    </row>
    <row r="5987" spans="19:23">
      <c r="S5987" s="27">
        <v>44957</v>
      </c>
      <c r="T5987" s="773" t="s">
        <v>132</v>
      </c>
      <c r="U5987" s="773">
        <v>159</v>
      </c>
      <c r="V5987" s="773">
        <v>10</v>
      </c>
      <c r="W5987" s="773" t="s">
        <v>410</v>
      </c>
    </row>
    <row r="5988" spans="19:23">
      <c r="S5988" s="27">
        <v>44957</v>
      </c>
      <c r="T5988" s="773" t="s">
        <v>132</v>
      </c>
      <c r="U5988" s="773">
        <v>723</v>
      </c>
      <c r="V5988" s="773">
        <v>2203</v>
      </c>
      <c r="W5988" s="773" t="s">
        <v>390</v>
      </c>
    </row>
    <row r="5989" spans="19:23">
      <c r="S5989" s="27">
        <v>44957</v>
      </c>
      <c r="T5989" s="773" t="s">
        <v>132</v>
      </c>
      <c r="U5989" s="773">
        <v>670</v>
      </c>
      <c r="V5989" s="773">
        <v>2521</v>
      </c>
      <c r="W5989" s="773" t="s">
        <v>390</v>
      </c>
    </row>
    <row r="5990" spans="19:23">
      <c r="S5990" s="27">
        <v>44957</v>
      </c>
      <c r="T5990" s="773" t="s">
        <v>132</v>
      </c>
      <c r="U5990" s="773">
        <v>290</v>
      </c>
      <c r="V5990" s="773">
        <v>523</v>
      </c>
      <c r="W5990" s="773" t="s">
        <v>390</v>
      </c>
    </row>
    <row r="5991" spans="19:23">
      <c r="S5991" s="27">
        <v>44957</v>
      </c>
      <c r="T5991" s="773" t="s">
        <v>132</v>
      </c>
      <c r="U5991" s="773">
        <v>249</v>
      </c>
      <c r="V5991" s="773">
        <v>3461</v>
      </c>
      <c r="W5991" s="773" t="s">
        <v>390</v>
      </c>
    </row>
    <row r="5992" spans="19:23">
      <c r="S5992" s="27">
        <v>44957</v>
      </c>
      <c r="T5992" s="773" t="s">
        <v>132</v>
      </c>
      <c r="U5992" s="773">
        <v>716</v>
      </c>
      <c r="V5992" s="773">
        <v>372</v>
      </c>
      <c r="W5992" s="773" t="s">
        <v>390</v>
      </c>
    </row>
    <row r="5993" spans="19:23">
      <c r="S5993" s="27">
        <v>44957</v>
      </c>
      <c r="T5993" s="773" t="s">
        <v>132</v>
      </c>
      <c r="U5993" s="773">
        <v>240</v>
      </c>
      <c r="V5993" s="773">
        <v>3</v>
      </c>
      <c r="W5993" s="773" t="s">
        <v>410</v>
      </c>
    </row>
    <row r="5994" spans="19:23">
      <c r="S5994" s="27">
        <v>44957</v>
      </c>
      <c r="T5994" s="773" t="s">
        <v>132</v>
      </c>
      <c r="U5994" s="773">
        <v>81</v>
      </c>
      <c r="V5994" s="773">
        <v>9</v>
      </c>
      <c r="W5994" s="773" t="s">
        <v>410</v>
      </c>
    </row>
    <row r="5995" spans="19:23">
      <c r="S5995" s="27">
        <v>44957</v>
      </c>
      <c r="T5995" s="773" t="s">
        <v>132</v>
      </c>
      <c r="U5995" s="773">
        <v>669</v>
      </c>
      <c r="V5995" s="773">
        <v>2947</v>
      </c>
      <c r="W5995" s="773" t="s">
        <v>390</v>
      </c>
    </row>
    <row r="5996" spans="19:23">
      <c r="S5996" s="27">
        <v>44957</v>
      </c>
      <c r="T5996" s="773" t="s">
        <v>132</v>
      </c>
      <c r="U5996" s="773">
        <v>735</v>
      </c>
      <c r="V5996" s="773">
        <v>2683</v>
      </c>
      <c r="W5996" s="773" t="s">
        <v>390</v>
      </c>
    </row>
    <row r="5997" spans="19:23">
      <c r="S5997" s="27">
        <v>44957</v>
      </c>
      <c r="T5997" s="773" t="s">
        <v>132</v>
      </c>
      <c r="U5997" s="773">
        <v>650</v>
      </c>
      <c r="V5997" s="773">
        <v>28</v>
      </c>
      <c r="W5997" s="773" t="s">
        <v>410</v>
      </c>
    </row>
    <row r="5998" spans="19:23">
      <c r="S5998" s="27">
        <v>44957</v>
      </c>
      <c r="T5998" s="773" t="s">
        <v>132</v>
      </c>
      <c r="U5998" s="773">
        <v>687</v>
      </c>
      <c r="V5998" s="773">
        <v>3151</v>
      </c>
      <c r="W5998" s="773" t="s">
        <v>390</v>
      </c>
    </row>
    <row r="5999" spans="19:23">
      <c r="S5999" s="27">
        <v>44957</v>
      </c>
      <c r="T5999" s="773" t="s">
        <v>132</v>
      </c>
      <c r="U5999" s="773">
        <v>325</v>
      </c>
      <c r="V5999" s="773">
        <v>2124</v>
      </c>
      <c r="W5999" s="773" t="s">
        <v>390</v>
      </c>
    </row>
    <row r="6000" spans="19:23">
      <c r="S6000" s="27">
        <v>44957</v>
      </c>
      <c r="T6000" s="773" t="s">
        <v>132</v>
      </c>
      <c r="U6000" s="773">
        <v>73</v>
      </c>
      <c r="V6000" s="773">
        <v>3</v>
      </c>
      <c r="W6000" s="773" t="s">
        <v>410</v>
      </c>
    </row>
    <row r="6001" spans="19:23">
      <c r="S6001" s="27">
        <v>44957</v>
      </c>
      <c r="T6001" s="773" t="s">
        <v>132</v>
      </c>
      <c r="U6001" s="773">
        <v>153</v>
      </c>
      <c r="V6001" s="773">
        <v>2335</v>
      </c>
      <c r="W6001" s="773" t="s">
        <v>390</v>
      </c>
    </row>
    <row r="6002" spans="19:23">
      <c r="S6002" s="27">
        <v>44957</v>
      </c>
      <c r="T6002" s="773" t="s">
        <v>132</v>
      </c>
      <c r="U6002" s="773">
        <v>697</v>
      </c>
      <c r="V6002" s="773">
        <v>1487</v>
      </c>
      <c r="W6002" s="773" t="s">
        <v>390</v>
      </c>
    </row>
    <row r="6003" spans="19:23">
      <c r="S6003" s="27">
        <v>44957</v>
      </c>
      <c r="T6003" s="773" t="s">
        <v>132</v>
      </c>
      <c r="U6003" s="773">
        <v>696</v>
      </c>
      <c r="V6003" s="773">
        <v>2150</v>
      </c>
      <c r="W6003" s="773" t="s">
        <v>390</v>
      </c>
    </row>
    <row r="6004" spans="19:23">
      <c r="S6004" s="27">
        <v>44957</v>
      </c>
      <c r="T6004" s="773" t="s">
        <v>132</v>
      </c>
      <c r="U6004" s="773">
        <v>684</v>
      </c>
      <c r="V6004" s="773">
        <v>3197</v>
      </c>
      <c r="W6004" s="773" t="s">
        <v>390</v>
      </c>
    </row>
    <row r="6005" spans="19:23">
      <c r="S6005" s="27">
        <v>44957</v>
      </c>
      <c r="T6005" s="773" t="s">
        <v>132</v>
      </c>
      <c r="U6005" s="773">
        <v>35</v>
      </c>
      <c r="V6005" s="773">
        <v>884</v>
      </c>
      <c r="W6005" s="773" t="s">
        <v>390</v>
      </c>
    </row>
    <row r="6006" spans="19:23">
      <c r="S6006" s="27">
        <v>44957</v>
      </c>
      <c r="T6006" s="773" t="s">
        <v>132</v>
      </c>
      <c r="U6006" s="773">
        <v>143</v>
      </c>
      <c r="V6006" s="773">
        <v>1</v>
      </c>
      <c r="W6006" s="773" t="s">
        <v>410</v>
      </c>
    </row>
    <row r="6007" spans="19:23">
      <c r="S6007" s="27">
        <v>44957</v>
      </c>
      <c r="T6007" s="773" t="s">
        <v>132</v>
      </c>
      <c r="U6007" s="773">
        <v>48</v>
      </c>
      <c r="V6007" s="773">
        <v>668</v>
      </c>
      <c r="W6007" s="773" t="s">
        <v>390</v>
      </c>
    </row>
    <row r="6008" spans="19:23">
      <c r="S6008" s="27">
        <v>44957</v>
      </c>
      <c r="T6008" s="773" t="s">
        <v>132</v>
      </c>
      <c r="U6008" s="773">
        <v>769</v>
      </c>
      <c r="V6008" s="773">
        <v>80</v>
      </c>
      <c r="W6008" s="773" t="s">
        <v>410</v>
      </c>
    </row>
    <row r="6009" spans="19:23">
      <c r="S6009" s="27">
        <v>44957</v>
      </c>
      <c r="T6009" s="773" t="s">
        <v>132</v>
      </c>
      <c r="U6009" s="773">
        <v>664</v>
      </c>
      <c r="V6009" s="773">
        <v>5460</v>
      </c>
      <c r="W6009" s="773" t="s">
        <v>390</v>
      </c>
    </row>
    <row r="6010" spans="19:23">
      <c r="S6010" s="27">
        <v>44957</v>
      </c>
      <c r="T6010" s="773" t="s">
        <v>132</v>
      </c>
      <c r="U6010" s="773">
        <v>92</v>
      </c>
      <c r="V6010" s="773">
        <v>8</v>
      </c>
      <c r="W6010" s="773" t="s">
        <v>410</v>
      </c>
    </row>
    <row r="6011" spans="19:23">
      <c r="S6011" s="27">
        <v>44957</v>
      </c>
      <c r="T6011" s="773" t="s">
        <v>132</v>
      </c>
      <c r="U6011" s="773">
        <v>739</v>
      </c>
      <c r="V6011" s="773">
        <v>150</v>
      </c>
      <c r="W6011" s="773" t="s">
        <v>390</v>
      </c>
    </row>
    <row r="6012" spans="19:23">
      <c r="S6012" s="27">
        <v>44957</v>
      </c>
      <c r="T6012" s="773" t="s">
        <v>132</v>
      </c>
      <c r="U6012" s="773">
        <v>271</v>
      </c>
      <c r="V6012" s="773">
        <v>2912</v>
      </c>
      <c r="W6012" s="773" t="s">
        <v>390</v>
      </c>
    </row>
    <row r="6013" spans="19:23">
      <c r="S6013" s="27">
        <v>44957</v>
      </c>
      <c r="T6013" s="773" t="s">
        <v>132</v>
      </c>
      <c r="U6013" s="773">
        <v>725</v>
      </c>
      <c r="V6013" s="773">
        <v>267</v>
      </c>
      <c r="W6013" s="773" t="s">
        <v>390</v>
      </c>
    </row>
    <row r="6014" spans="19:23">
      <c r="S6014" s="27">
        <v>44957</v>
      </c>
      <c r="T6014" s="773" t="s">
        <v>132</v>
      </c>
      <c r="U6014" s="773">
        <v>255</v>
      </c>
      <c r="V6014" s="773">
        <v>441</v>
      </c>
      <c r="W6014" s="773" t="s">
        <v>390</v>
      </c>
    </row>
    <row r="6015" spans="19:23">
      <c r="S6015" s="27">
        <v>44957</v>
      </c>
      <c r="T6015" s="773" t="s">
        <v>132</v>
      </c>
      <c r="U6015" s="773">
        <v>654</v>
      </c>
      <c r="V6015" s="773">
        <v>967</v>
      </c>
      <c r="W6015" s="773" t="s">
        <v>390</v>
      </c>
    </row>
    <row r="6016" spans="19:23">
      <c r="S6016" s="27">
        <v>44957</v>
      </c>
      <c r="T6016" s="773" t="s">
        <v>132</v>
      </c>
      <c r="U6016" s="773">
        <v>318</v>
      </c>
      <c r="V6016" s="773">
        <v>2487</v>
      </c>
      <c r="W6016" s="773" t="s">
        <v>390</v>
      </c>
    </row>
    <row r="6017" spans="19:23">
      <c r="S6017" s="27">
        <v>44957</v>
      </c>
      <c r="T6017" s="773" t="s">
        <v>132</v>
      </c>
      <c r="U6017" s="773">
        <v>139</v>
      </c>
      <c r="V6017" s="773">
        <v>2410</v>
      </c>
      <c r="W6017" s="773" t="s">
        <v>390</v>
      </c>
    </row>
    <row r="6018" spans="19:23">
      <c r="S6018" s="27">
        <v>44957</v>
      </c>
      <c r="T6018" s="773" t="s">
        <v>132</v>
      </c>
      <c r="U6018" s="773">
        <v>119</v>
      </c>
      <c r="V6018" s="773">
        <v>1</v>
      </c>
      <c r="W6018" s="773" t="s">
        <v>410</v>
      </c>
    </row>
    <row r="6019" spans="19:23">
      <c r="S6019" s="27">
        <v>44957</v>
      </c>
      <c r="T6019" s="773" t="s">
        <v>132</v>
      </c>
      <c r="U6019" s="773">
        <v>651</v>
      </c>
      <c r="V6019" s="773">
        <v>68</v>
      </c>
      <c r="W6019" s="773" t="s">
        <v>410</v>
      </c>
    </row>
    <row r="6020" spans="19:23">
      <c r="S6020" s="27">
        <v>44957</v>
      </c>
      <c r="T6020" s="773" t="s">
        <v>132</v>
      </c>
      <c r="U6020" s="773">
        <v>52</v>
      </c>
      <c r="V6020" s="773">
        <v>8</v>
      </c>
      <c r="W6020" s="773" t="s">
        <v>410</v>
      </c>
    </row>
    <row r="6021" spans="19:23">
      <c r="S6021" s="27">
        <v>44957</v>
      </c>
      <c r="T6021" s="773" t="s">
        <v>132</v>
      </c>
      <c r="U6021" s="773">
        <v>645</v>
      </c>
      <c r="V6021" s="773">
        <v>676</v>
      </c>
      <c r="W6021" s="773" t="s">
        <v>390</v>
      </c>
    </row>
    <row r="6022" spans="19:23">
      <c r="S6022" s="27">
        <v>44957</v>
      </c>
      <c r="T6022" s="773" t="s">
        <v>132</v>
      </c>
      <c r="U6022" s="773">
        <v>136</v>
      </c>
      <c r="V6022" s="773">
        <v>11</v>
      </c>
      <c r="W6022" s="773" t="s">
        <v>410</v>
      </c>
    </row>
    <row r="6023" spans="19:23">
      <c r="S6023" s="27">
        <v>44957</v>
      </c>
      <c r="T6023" s="773" t="s">
        <v>132</v>
      </c>
      <c r="U6023" s="773">
        <v>275</v>
      </c>
      <c r="V6023" s="773">
        <v>26</v>
      </c>
      <c r="W6023" s="773" t="s">
        <v>410</v>
      </c>
    </row>
    <row r="6024" spans="19:23">
      <c r="S6024" s="27">
        <v>44957</v>
      </c>
      <c r="T6024" s="773" t="s">
        <v>132</v>
      </c>
      <c r="U6024" s="773">
        <v>703</v>
      </c>
      <c r="V6024" s="773">
        <v>3259</v>
      </c>
      <c r="W6024" s="773" t="s">
        <v>390</v>
      </c>
    </row>
    <row r="6025" spans="19:23">
      <c r="S6025" s="27">
        <v>44957</v>
      </c>
      <c r="T6025" s="773" t="s">
        <v>132</v>
      </c>
      <c r="U6025" s="773">
        <v>40</v>
      </c>
      <c r="V6025" s="773">
        <v>4</v>
      </c>
      <c r="W6025" s="773" t="s">
        <v>410</v>
      </c>
    </row>
    <row r="6026" spans="19:23">
      <c r="S6026" s="27">
        <v>44957</v>
      </c>
      <c r="T6026" s="773" t="s">
        <v>132</v>
      </c>
      <c r="U6026" s="773">
        <v>722</v>
      </c>
      <c r="V6026" s="773">
        <v>1</v>
      </c>
      <c r="W6026" s="773" t="s">
        <v>410</v>
      </c>
    </row>
    <row r="6027" spans="19:23">
      <c r="S6027" s="27">
        <v>44957</v>
      </c>
      <c r="T6027" s="773" t="s">
        <v>132</v>
      </c>
      <c r="U6027" s="773">
        <v>251</v>
      </c>
      <c r="V6027" s="773">
        <v>1947</v>
      </c>
      <c r="W6027" s="773" t="s">
        <v>390</v>
      </c>
    </row>
    <row r="6028" spans="19:23">
      <c r="S6028" s="27">
        <v>44957</v>
      </c>
      <c r="T6028" s="773" t="s">
        <v>132</v>
      </c>
      <c r="U6028" s="773">
        <v>676</v>
      </c>
      <c r="V6028" s="773">
        <v>3</v>
      </c>
      <c r="W6028" s="773" t="s">
        <v>410</v>
      </c>
    </row>
    <row r="6029" spans="19:23">
      <c r="S6029" s="27">
        <v>44957</v>
      </c>
      <c r="T6029" s="773" t="s">
        <v>132</v>
      </c>
      <c r="U6029" s="773">
        <v>169</v>
      </c>
      <c r="V6029" s="773">
        <v>3243</v>
      </c>
      <c r="W6029" s="773" t="s">
        <v>390</v>
      </c>
    </row>
    <row r="6030" spans="19:23">
      <c r="S6030" s="27">
        <v>44957</v>
      </c>
      <c r="T6030" s="773" t="s">
        <v>132</v>
      </c>
      <c r="U6030" s="773">
        <v>698</v>
      </c>
      <c r="V6030" s="773">
        <v>2801</v>
      </c>
      <c r="W6030" s="773" t="s">
        <v>390</v>
      </c>
    </row>
    <row r="6031" spans="19:23">
      <c r="S6031" s="27">
        <v>44957</v>
      </c>
      <c r="T6031" s="773" t="s">
        <v>132</v>
      </c>
      <c r="U6031" s="773">
        <v>276</v>
      </c>
      <c r="V6031" s="773">
        <v>1</v>
      </c>
      <c r="W6031" s="773" t="s">
        <v>410</v>
      </c>
    </row>
    <row r="6032" spans="19:23">
      <c r="S6032" s="27">
        <v>44957</v>
      </c>
      <c r="T6032" s="773" t="s">
        <v>132</v>
      </c>
      <c r="U6032" s="773">
        <v>212</v>
      </c>
      <c r="V6032" s="773">
        <v>3417</v>
      </c>
      <c r="W6032" s="773" t="s">
        <v>390</v>
      </c>
    </row>
    <row r="6033" spans="19:23">
      <c r="S6033" s="27">
        <v>44957</v>
      </c>
      <c r="T6033" s="773" t="s">
        <v>132</v>
      </c>
      <c r="U6033" s="773">
        <v>96</v>
      </c>
      <c r="V6033" s="773">
        <v>2</v>
      </c>
      <c r="W6033" s="773" t="s">
        <v>410</v>
      </c>
    </row>
    <row r="6034" spans="19:23">
      <c r="S6034" s="27">
        <v>44957</v>
      </c>
      <c r="T6034" s="773" t="s">
        <v>132</v>
      </c>
      <c r="U6034" s="773">
        <v>750</v>
      </c>
      <c r="V6034" s="773">
        <v>74</v>
      </c>
      <c r="W6034" s="773" t="s">
        <v>410</v>
      </c>
    </row>
    <row r="6035" spans="19:23">
      <c r="S6035" s="27">
        <v>44957</v>
      </c>
      <c r="T6035" s="773" t="s">
        <v>132</v>
      </c>
      <c r="U6035" s="773">
        <v>663</v>
      </c>
      <c r="V6035" s="773">
        <v>660</v>
      </c>
      <c r="W6035" s="773" t="s">
        <v>390</v>
      </c>
    </row>
    <row r="6036" spans="19:23">
      <c r="S6036" s="27">
        <v>44957</v>
      </c>
      <c r="T6036" s="773" t="s">
        <v>132</v>
      </c>
      <c r="U6036" s="773">
        <v>724</v>
      </c>
      <c r="V6036" s="773">
        <v>2463</v>
      </c>
      <c r="W6036" s="773" t="s">
        <v>390</v>
      </c>
    </row>
    <row r="6037" spans="19:23">
      <c r="S6037" s="27">
        <v>44957</v>
      </c>
      <c r="T6037" s="773" t="s">
        <v>132</v>
      </c>
      <c r="U6037" s="773">
        <v>232</v>
      </c>
      <c r="V6037" s="773">
        <v>3</v>
      </c>
      <c r="W6037" s="773" t="s">
        <v>410</v>
      </c>
    </row>
    <row r="6038" spans="19:23">
      <c r="S6038" s="27">
        <v>44957</v>
      </c>
      <c r="T6038" s="773" t="s">
        <v>132</v>
      </c>
      <c r="U6038" s="773">
        <v>303</v>
      </c>
      <c r="V6038" s="773">
        <v>2455</v>
      </c>
      <c r="W6038" s="773" t="s">
        <v>390</v>
      </c>
    </row>
    <row r="6039" spans="19:23">
      <c r="S6039" s="27">
        <v>44957</v>
      </c>
      <c r="T6039" s="773" t="s">
        <v>132</v>
      </c>
      <c r="U6039" s="773">
        <v>311</v>
      </c>
      <c r="V6039" s="773">
        <v>2505</v>
      </c>
      <c r="W6039" s="773" t="s">
        <v>390</v>
      </c>
    </row>
    <row r="6040" spans="19:23">
      <c r="S6040" s="27">
        <v>44957</v>
      </c>
      <c r="T6040" s="773" t="s">
        <v>132</v>
      </c>
      <c r="U6040" s="773">
        <v>89</v>
      </c>
      <c r="V6040" s="773">
        <v>1101</v>
      </c>
      <c r="W6040" s="773" t="s">
        <v>390</v>
      </c>
    </row>
    <row r="6041" spans="19:23">
      <c r="S6041" s="27">
        <v>44957</v>
      </c>
      <c r="T6041" s="773" t="s">
        <v>132</v>
      </c>
      <c r="U6041" s="773">
        <v>63</v>
      </c>
      <c r="V6041" s="773">
        <v>1</v>
      </c>
      <c r="W6041" s="773" t="s">
        <v>410</v>
      </c>
    </row>
    <row r="6042" spans="19:23">
      <c r="S6042" s="27">
        <v>44957</v>
      </c>
      <c r="T6042" s="773" t="s">
        <v>132</v>
      </c>
      <c r="U6042" s="773">
        <v>257</v>
      </c>
      <c r="V6042" s="773">
        <v>3021</v>
      </c>
      <c r="W6042" s="773" t="s">
        <v>390</v>
      </c>
    </row>
    <row r="6043" spans="19:23">
      <c r="S6043" s="27">
        <v>44957</v>
      </c>
      <c r="T6043" s="773" t="s">
        <v>132</v>
      </c>
      <c r="U6043" s="773">
        <v>264</v>
      </c>
      <c r="V6043" s="773">
        <v>375</v>
      </c>
      <c r="W6043" s="773" t="s">
        <v>390</v>
      </c>
    </row>
    <row r="6044" spans="19:23">
      <c r="S6044" s="27">
        <v>44957</v>
      </c>
      <c r="T6044" s="773" t="s">
        <v>132</v>
      </c>
      <c r="U6044" s="773">
        <v>653</v>
      </c>
      <c r="V6044" s="773">
        <v>1</v>
      </c>
      <c r="W6044" s="773" t="s">
        <v>410</v>
      </c>
    </row>
    <row r="6045" spans="19:23">
      <c r="S6045" s="27">
        <v>44957</v>
      </c>
      <c r="T6045" s="773" t="s">
        <v>132</v>
      </c>
      <c r="U6045" s="773">
        <v>672</v>
      </c>
      <c r="V6045" s="773">
        <v>2394</v>
      </c>
      <c r="W6045" s="773" t="s">
        <v>390</v>
      </c>
    </row>
    <row r="6046" spans="19:23">
      <c r="S6046" s="27">
        <v>44957</v>
      </c>
      <c r="T6046" s="773" t="s">
        <v>132</v>
      </c>
      <c r="U6046" s="773">
        <v>105</v>
      </c>
      <c r="V6046" s="773">
        <v>2</v>
      </c>
      <c r="W6046" s="773" t="s">
        <v>410</v>
      </c>
    </row>
    <row r="6047" spans="19:23">
      <c r="S6047" s="27">
        <v>44957</v>
      </c>
      <c r="T6047" s="773" t="s">
        <v>132</v>
      </c>
      <c r="U6047" s="773">
        <v>133</v>
      </c>
      <c r="V6047" s="773">
        <v>4</v>
      </c>
      <c r="W6047" s="773" t="s">
        <v>410</v>
      </c>
    </row>
    <row r="6048" spans="19:23">
      <c r="S6048" s="27">
        <v>44957</v>
      </c>
      <c r="T6048" s="773" t="s">
        <v>132</v>
      </c>
      <c r="U6048" s="773">
        <v>164</v>
      </c>
      <c r="V6048" s="773">
        <v>10</v>
      </c>
      <c r="W6048" s="773" t="s">
        <v>410</v>
      </c>
    </row>
    <row r="6049" spans="19:23">
      <c r="S6049" s="27">
        <v>44957</v>
      </c>
      <c r="T6049" s="773" t="s">
        <v>132</v>
      </c>
      <c r="U6049" s="773">
        <v>69</v>
      </c>
      <c r="V6049" s="773">
        <v>1</v>
      </c>
      <c r="W6049" s="773" t="s">
        <v>410</v>
      </c>
    </row>
    <row r="6050" spans="19:23">
      <c r="S6050" s="27">
        <v>44957</v>
      </c>
      <c r="T6050" s="773" t="s">
        <v>132</v>
      </c>
      <c r="U6050" s="773">
        <v>220</v>
      </c>
      <c r="V6050" s="773">
        <v>111</v>
      </c>
      <c r="W6050" s="773" t="s">
        <v>390</v>
      </c>
    </row>
    <row r="6051" spans="19:23">
      <c r="S6051" s="27">
        <v>44957</v>
      </c>
      <c r="T6051" s="773" t="s">
        <v>132</v>
      </c>
      <c r="U6051" s="773">
        <v>256</v>
      </c>
      <c r="V6051" s="773">
        <v>275</v>
      </c>
      <c r="W6051" s="773" t="s">
        <v>390</v>
      </c>
    </row>
    <row r="6052" spans="19:23">
      <c r="S6052" s="27">
        <v>44957</v>
      </c>
      <c r="T6052" s="773" t="s">
        <v>132</v>
      </c>
      <c r="U6052" s="773">
        <v>241</v>
      </c>
      <c r="V6052" s="773">
        <v>13</v>
      </c>
      <c r="W6052" s="773" t="s">
        <v>410</v>
      </c>
    </row>
    <row r="6053" spans="19:23">
      <c r="S6053" s="27">
        <v>44957</v>
      </c>
      <c r="T6053" s="773" t="s">
        <v>132</v>
      </c>
      <c r="U6053" s="773">
        <v>218</v>
      </c>
      <c r="V6053" s="773">
        <v>147</v>
      </c>
      <c r="W6053" s="773" t="s">
        <v>390</v>
      </c>
    </row>
    <row r="6054" spans="19:23">
      <c r="S6054" s="27">
        <v>44957</v>
      </c>
      <c r="T6054" s="773" t="s">
        <v>132</v>
      </c>
      <c r="U6054" s="773">
        <v>675</v>
      </c>
      <c r="V6054" s="773">
        <v>3</v>
      </c>
      <c r="W6054" s="773" t="s">
        <v>410</v>
      </c>
    </row>
    <row r="6055" spans="19:23">
      <c r="S6055" s="27">
        <v>44957</v>
      </c>
      <c r="T6055" s="773" t="s">
        <v>132</v>
      </c>
      <c r="U6055" s="773">
        <v>707</v>
      </c>
      <c r="V6055" s="773">
        <v>300</v>
      </c>
      <c r="W6055" s="773" t="s">
        <v>390</v>
      </c>
    </row>
    <row r="6056" spans="19:23">
      <c r="S6056" s="27">
        <v>44957</v>
      </c>
      <c r="T6056" s="773" t="s">
        <v>132</v>
      </c>
      <c r="U6056" s="773">
        <v>292</v>
      </c>
      <c r="V6056" s="773">
        <v>4</v>
      </c>
      <c r="W6056" s="773" t="s">
        <v>410</v>
      </c>
    </row>
    <row r="6057" spans="19:23">
      <c r="S6057" s="27">
        <v>44957</v>
      </c>
      <c r="T6057" s="773" t="s">
        <v>132</v>
      </c>
      <c r="U6057" s="773">
        <v>726</v>
      </c>
      <c r="V6057" s="773">
        <v>85</v>
      </c>
      <c r="W6057" s="773" t="s">
        <v>410</v>
      </c>
    </row>
    <row r="6058" spans="19:23">
      <c r="S6058" s="27">
        <v>44957</v>
      </c>
      <c r="T6058" s="773" t="s">
        <v>132</v>
      </c>
      <c r="U6058" s="773">
        <v>344</v>
      </c>
      <c r="V6058" s="773">
        <v>73</v>
      </c>
      <c r="W6058" s="773" t="s">
        <v>410</v>
      </c>
    </row>
    <row r="6059" spans="19:23">
      <c r="S6059" s="27">
        <v>44957</v>
      </c>
      <c r="T6059" s="773" t="s">
        <v>132</v>
      </c>
      <c r="U6059" s="773">
        <v>215</v>
      </c>
      <c r="V6059" s="773">
        <v>682</v>
      </c>
      <c r="W6059" s="773" t="s">
        <v>390</v>
      </c>
    </row>
    <row r="6060" spans="19:23">
      <c r="S6060" s="27">
        <v>44957</v>
      </c>
      <c r="T6060" s="773" t="s">
        <v>132</v>
      </c>
      <c r="U6060" s="773">
        <v>252</v>
      </c>
      <c r="V6060" s="773">
        <v>922</v>
      </c>
      <c r="W6060" s="773" t="s">
        <v>390</v>
      </c>
    </row>
    <row r="6061" spans="19:23">
      <c r="S6061" s="27">
        <v>44957</v>
      </c>
      <c r="T6061" s="773" t="s">
        <v>132</v>
      </c>
      <c r="U6061" s="773">
        <v>171</v>
      </c>
      <c r="V6061" s="773">
        <v>49</v>
      </c>
      <c r="W6061" s="773" t="s">
        <v>410</v>
      </c>
    </row>
    <row r="6062" spans="19:23">
      <c r="S6062" s="27">
        <v>44957</v>
      </c>
      <c r="T6062" s="773" t="s">
        <v>132</v>
      </c>
      <c r="U6062" s="773">
        <v>319</v>
      </c>
      <c r="V6062" s="773">
        <v>3206</v>
      </c>
      <c r="W6062" s="773" t="s">
        <v>390</v>
      </c>
    </row>
    <row r="6063" spans="19:23">
      <c r="S6063" s="27">
        <v>44957</v>
      </c>
      <c r="T6063" s="773" t="s">
        <v>132</v>
      </c>
      <c r="U6063" s="773">
        <v>78</v>
      </c>
      <c r="V6063" s="773">
        <v>10</v>
      </c>
      <c r="W6063" s="773" t="s">
        <v>410</v>
      </c>
    </row>
    <row r="6064" spans="19:23">
      <c r="S6064" s="27">
        <v>44957</v>
      </c>
      <c r="T6064" s="773" t="s">
        <v>132</v>
      </c>
      <c r="U6064" s="773">
        <v>94</v>
      </c>
      <c r="V6064" s="773">
        <v>522</v>
      </c>
      <c r="W6064" s="773" t="s">
        <v>390</v>
      </c>
    </row>
    <row r="6065" spans="19:23">
      <c r="S6065" s="27">
        <v>44957</v>
      </c>
      <c r="T6065" s="773" t="s">
        <v>132</v>
      </c>
      <c r="U6065" s="773">
        <v>322</v>
      </c>
      <c r="V6065" s="773">
        <v>2570</v>
      </c>
      <c r="W6065" s="773" t="s">
        <v>390</v>
      </c>
    </row>
    <row r="6066" spans="19:23">
      <c r="S6066" s="27">
        <v>44957</v>
      </c>
      <c r="T6066" s="773" t="s">
        <v>132</v>
      </c>
      <c r="U6066" s="773">
        <v>678</v>
      </c>
      <c r="V6066" s="773">
        <v>184</v>
      </c>
      <c r="W6066" s="773" t="s">
        <v>390</v>
      </c>
    </row>
    <row r="6067" spans="19:23">
      <c r="S6067" s="27">
        <v>44957</v>
      </c>
      <c r="T6067" s="773" t="s">
        <v>132</v>
      </c>
      <c r="U6067" s="773">
        <v>41</v>
      </c>
      <c r="V6067" s="773">
        <v>1</v>
      </c>
      <c r="W6067" s="773" t="s">
        <v>410</v>
      </c>
    </row>
    <row r="6068" spans="19:23">
      <c r="S6068" s="27">
        <v>44957</v>
      </c>
      <c r="T6068" s="773" t="s">
        <v>132</v>
      </c>
      <c r="U6068" s="773">
        <v>662</v>
      </c>
      <c r="V6068" s="773">
        <v>9</v>
      </c>
      <c r="W6068" s="773" t="s">
        <v>410</v>
      </c>
    </row>
    <row r="6069" spans="19:23">
      <c r="S6069" s="27">
        <v>44957</v>
      </c>
      <c r="T6069" s="773" t="s">
        <v>132</v>
      </c>
      <c r="U6069" s="773">
        <v>102</v>
      </c>
      <c r="V6069" s="773">
        <v>2</v>
      </c>
      <c r="W6069" s="773" t="s">
        <v>410</v>
      </c>
    </row>
    <row r="6070" spans="19:23">
      <c r="S6070" s="27">
        <v>44957</v>
      </c>
      <c r="T6070" s="773" t="s">
        <v>132</v>
      </c>
      <c r="U6070" s="773">
        <v>297</v>
      </c>
      <c r="V6070" s="773">
        <v>799</v>
      </c>
      <c r="W6070" s="773" t="s">
        <v>390</v>
      </c>
    </row>
    <row r="6071" spans="19:23">
      <c r="S6071" s="27">
        <v>44957</v>
      </c>
      <c r="T6071" s="773" t="s">
        <v>132</v>
      </c>
      <c r="U6071" s="773">
        <v>84</v>
      </c>
      <c r="V6071" s="773">
        <v>2455</v>
      </c>
      <c r="W6071" s="773" t="s">
        <v>390</v>
      </c>
    </row>
    <row r="6072" spans="19:23">
      <c r="S6072" s="27">
        <v>44957</v>
      </c>
      <c r="T6072" s="773" t="s">
        <v>132</v>
      </c>
      <c r="U6072" s="773">
        <v>323</v>
      </c>
      <c r="V6072" s="773">
        <v>3151</v>
      </c>
      <c r="W6072" s="773" t="s">
        <v>390</v>
      </c>
    </row>
    <row r="6073" spans="19:23">
      <c r="S6073" s="27">
        <v>44957</v>
      </c>
      <c r="T6073" s="773" t="s">
        <v>132</v>
      </c>
      <c r="U6073" s="773">
        <v>216</v>
      </c>
      <c r="V6073" s="773">
        <v>2369</v>
      </c>
      <c r="W6073" s="773" t="s">
        <v>390</v>
      </c>
    </row>
    <row r="6074" spans="19:23">
      <c r="S6074" s="27">
        <v>44957</v>
      </c>
      <c r="T6074" s="773" t="s">
        <v>132</v>
      </c>
      <c r="U6074" s="773">
        <v>247</v>
      </c>
      <c r="V6074" s="773">
        <v>2550</v>
      </c>
      <c r="W6074" s="773" t="s">
        <v>390</v>
      </c>
    </row>
    <row r="6075" spans="19:23">
      <c r="S6075" s="27">
        <v>44957</v>
      </c>
      <c r="T6075" s="773" t="s">
        <v>132</v>
      </c>
      <c r="U6075" s="773">
        <v>266</v>
      </c>
      <c r="V6075" s="773">
        <v>2452</v>
      </c>
      <c r="W6075" s="773" t="s">
        <v>390</v>
      </c>
    </row>
    <row r="6076" spans="19:23">
      <c r="S6076" s="27">
        <v>44957</v>
      </c>
      <c r="T6076" s="773" t="s">
        <v>132</v>
      </c>
      <c r="U6076" s="773">
        <v>64</v>
      </c>
      <c r="V6076" s="773">
        <v>1</v>
      </c>
      <c r="W6076" s="773" t="s">
        <v>410</v>
      </c>
    </row>
    <row r="6077" spans="19:23">
      <c r="S6077" s="27">
        <v>44957</v>
      </c>
      <c r="T6077" s="773" t="s">
        <v>132</v>
      </c>
      <c r="U6077" s="773">
        <v>706</v>
      </c>
      <c r="V6077" s="773">
        <v>1212</v>
      </c>
      <c r="W6077" s="773" t="s">
        <v>390</v>
      </c>
    </row>
    <row r="6078" spans="19:23">
      <c r="S6078" s="27">
        <v>44957</v>
      </c>
      <c r="T6078" s="773" t="s">
        <v>132</v>
      </c>
      <c r="U6078" s="773">
        <v>161</v>
      </c>
      <c r="V6078" s="773">
        <v>1</v>
      </c>
      <c r="W6078" s="773" t="s">
        <v>410</v>
      </c>
    </row>
    <row r="6079" spans="19:23">
      <c r="S6079" s="27">
        <v>44957</v>
      </c>
      <c r="T6079" s="773" t="s">
        <v>132</v>
      </c>
      <c r="U6079" s="773">
        <v>316</v>
      </c>
      <c r="V6079" s="773">
        <v>8</v>
      </c>
      <c r="W6079" s="773" t="s">
        <v>410</v>
      </c>
    </row>
    <row r="6080" spans="19:23">
      <c r="S6080" s="27">
        <v>44957</v>
      </c>
      <c r="T6080" s="773" t="s">
        <v>132</v>
      </c>
      <c r="U6080" s="773">
        <v>296</v>
      </c>
      <c r="V6080" s="773">
        <v>2480</v>
      </c>
      <c r="W6080" s="773" t="s">
        <v>390</v>
      </c>
    </row>
    <row r="6081" spans="19:23">
      <c r="S6081" s="27">
        <v>44957</v>
      </c>
      <c r="T6081" s="773" t="s">
        <v>132</v>
      </c>
      <c r="U6081" s="773">
        <v>66</v>
      </c>
      <c r="V6081" s="773">
        <v>1</v>
      </c>
      <c r="W6081" s="773" t="s">
        <v>410</v>
      </c>
    </row>
    <row r="6082" spans="19:23">
      <c r="S6082" s="27">
        <v>44957</v>
      </c>
      <c r="T6082" s="773" t="s">
        <v>132</v>
      </c>
      <c r="U6082" s="773">
        <v>674</v>
      </c>
      <c r="V6082" s="773">
        <v>3602</v>
      </c>
      <c r="W6082" s="773" t="s">
        <v>390</v>
      </c>
    </row>
    <row r="6083" spans="19:23">
      <c r="S6083" s="27">
        <v>44957</v>
      </c>
      <c r="T6083" s="773" t="s">
        <v>132</v>
      </c>
      <c r="U6083" s="773">
        <v>720</v>
      </c>
      <c r="V6083" s="773">
        <v>2949</v>
      </c>
      <c r="W6083" s="773" t="s">
        <v>390</v>
      </c>
    </row>
    <row r="6084" spans="19:23">
      <c r="S6084" s="27">
        <v>44957</v>
      </c>
      <c r="T6084" s="773" t="s">
        <v>132</v>
      </c>
      <c r="U6084" s="773">
        <v>93</v>
      </c>
      <c r="V6084" s="773">
        <v>1164</v>
      </c>
      <c r="W6084" s="773" t="s">
        <v>390</v>
      </c>
    </row>
    <row r="6085" spans="19:23">
      <c r="S6085" s="27">
        <v>44957</v>
      </c>
      <c r="T6085" s="773" t="s">
        <v>132</v>
      </c>
      <c r="U6085" s="773">
        <v>204</v>
      </c>
      <c r="V6085" s="773">
        <v>6</v>
      </c>
      <c r="W6085" s="773" t="s">
        <v>410</v>
      </c>
    </row>
    <row r="6086" spans="19:23">
      <c r="S6086" s="27">
        <v>44957</v>
      </c>
      <c r="T6086" s="773" t="s">
        <v>132</v>
      </c>
      <c r="U6086" s="773">
        <v>132</v>
      </c>
      <c r="V6086" s="773">
        <v>2988</v>
      </c>
      <c r="W6086" s="773" t="s">
        <v>390</v>
      </c>
    </row>
    <row r="6087" spans="19:23">
      <c r="S6087" s="27">
        <v>44957</v>
      </c>
      <c r="T6087" s="773" t="s">
        <v>132</v>
      </c>
      <c r="U6087" s="773">
        <v>736</v>
      </c>
      <c r="V6087" s="773">
        <v>3193</v>
      </c>
      <c r="W6087" s="773" t="s">
        <v>390</v>
      </c>
    </row>
    <row r="6088" spans="19:23">
      <c r="S6088" s="27">
        <v>44957</v>
      </c>
      <c r="T6088" s="773" t="s">
        <v>132</v>
      </c>
      <c r="U6088" s="773">
        <v>230</v>
      </c>
      <c r="V6088" s="773">
        <v>6</v>
      </c>
      <c r="W6088" s="773" t="s">
        <v>410</v>
      </c>
    </row>
    <row r="6089" spans="19:23">
      <c r="S6089" s="27">
        <v>44957</v>
      </c>
      <c r="T6089" s="773" t="s">
        <v>132</v>
      </c>
      <c r="U6089" s="773">
        <v>254</v>
      </c>
      <c r="V6089" s="773">
        <v>6</v>
      </c>
      <c r="W6089" s="773" t="s">
        <v>410</v>
      </c>
    </row>
    <row r="6090" spans="19:23">
      <c r="S6090" s="27">
        <v>44957</v>
      </c>
      <c r="T6090" s="773" t="s">
        <v>132</v>
      </c>
      <c r="U6090" s="773">
        <v>155</v>
      </c>
      <c r="V6090" s="773">
        <v>2585</v>
      </c>
      <c r="W6090" s="773" t="s">
        <v>390</v>
      </c>
    </row>
    <row r="6091" spans="19:23">
      <c r="S6091" s="27">
        <v>44957</v>
      </c>
      <c r="T6091" s="773" t="s">
        <v>132</v>
      </c>
      <c r="U6091" s="773">
        <v>44</v>
      </c>
      <c r="V6091" s="773">
        <v>2207</v>
      </c>
      <c r="W6091" s="773" t="s">
        <v>390</v>
      </c>
    </row>
    <row r="6092" spans="19:23">
      <c r="S6092" s="27">
        <v>44957</v>
      </c>
      <c r="T6092" s="773" t="s">
        <v>132</v>
      </c>
      <c r="U6092" s="773">
        <v>666</v>
      </c>
      <c r="V6092" s="773">
        <v>1596</v>
      </c>
      <c r="W6092" s="773" t="s">
        <v>390</v>
      </c>
    </row>
    <row r="6093" spans="19:23">
      <c r="S6093" s="27">
        <v>44957</v>
      </c>
      <c r="T6093" s="773" t="s">
        <v>132</v>
      </c>
      <c r="U6093" s="773">
        <v>148</v>
      </c>
      <c r="V6093" s="773">
        <v>5</v>
      </c>
      <c r="W6093" s="773" t="s">
        <v>410</v>
      </c>
    </row>
    <row r="6094" spans="19:23">
      <c r="S6094" s="27">
        <v>44957</v>
      </c>
      <c r="T6094" s="773" t="s">
        <v>132</v>
      </c>
      <c r="U6094" s="773">
        <v>523</v>
      </c>
      <c r="V6094" s="773">
        <v>1</v>
      </c>
      <c r="W6094" s="773" t="s">
        <v>410</v>
      </c>
    </row>
    <row r="6095" spans="19:23">
      <c r="S6095" s="27">
        <v>44957</v>
      </c>
      <c r="T6095" s="773" t="s">
        <v>132</v>
      </c>
      <c r="U6095" s="773">
        <v>304</v>
      </c>
      <c r="V6095" s="773">
        <v>119</v>
      </c>
      <c r="W6095" s="773" t="s">
        <v>390</v>
      </c>
    </row>
    <row r="6096" spans="19:23">
      <c r="S6096" s="27">
        <v>44957</v>
      </c>
      <c r="T6096" s="773" t="s">
        <v>132</v>
      </c>
      <c r="U6096" s="773">
        <v>59</v>
      </c>
      <c r="V6096" s="773">
        <v>2</v>
      </c>
      <c r="W6096" s="773" t="s">
        <v>410</v>
      </c>
    </row>
    <row r="6097" spans="19:23">
      <c r="S6097" s="27">
        <v>44957</v>
      </c>
      <c r="T6097" s="773" t="s">
        <v>132</v>
      </c>
      <c r="U6097" s="773">
        <v>109</v>
      </c>
      <c r="V6097" s="773">
        <v>1</v>
      </c>
      <c r="W6097" s="773" t="s">
        <v>410</v>
      </c>
    </row>
    <row r="6098" spans="19:23">
      <c r="S6098" s="27">
        <v>44957</v>
      </c>
      <c r="T6098" s="773" t="s">
        <v>132</v>
      </c>
      <c r="U6098" s="773">
        <v>129</v>
      </c>
      <c r="V6098" s="773">
        <v>3</v>
      </c>
      <c r="W6098" s="773" t="s">
        <v>410</v>
      </c>
    </row>
    <row r="6099" spans="19:23">
      <c r="S6099" s="27">
        <v>44957</v>
      </c>
      <c r="T6099" s="773" t="s">
        <v>132</v>
      </c>
      <c r="U6099" s="773">
        <v>243</v>
      </c>
      <c r="V6099" s="773">
        <v>349</v>
      </c>
      <c r="W6099" s="773" t="s">
        <v>390</v>
      </c>
    </row>
    <row r="6100" spans="19:23">
      <c r="S6100" s="27">
        <v>44957</v>
      </c>
      <c r="T6100" s="773" t="s">
        <v>132</v>
      </c>
      <c r="U6100" s="773">
        <v>245</v>
      </c>
      <c r="V6100" s="773">
        <v>3159</v>
      </c>
      <c r="W6100" s="773" t="s">
        <v>390</v>
      </c>
    </row>
    <row r="6101" spans="19:23">
      <c r="S6101" s="27">
        <v>44957</v>
      </c>
      <c r="T6101" s="773" t="s">
        <v>132</v>
      </c>
      <c r="U6101" s="773">
        <v>53</v>
      </c>
      <c r="V6101" s="773">
        <v>3</v>
      </c>
      <c r="W6101" s="773" t="s">
        <v>410</v>
      </c>
    </row>
    <row r="6102" spans="19:23">
      <c r="S6102" s="27">
        <v>44957</v>
      </c>
      <c r="T6102" s="773" t="s">
        <v>132</v>
      </c>
      <c r="U6102" s="773">
        <v>194</v>
      </c>
      <c r="V6102" s="773">
        <v>3725</v>
      </c>
      <c r="W6102" s="773" t="s">
        <v>390</v>
      </c>
    </row>
    <row r="6103" spans="19:23">
      <c r="S6103" s="27">
        <v>44957</v>
      </c>
      <c r="T6103" s="773" t="s">
        <v>132</v>
      </c>
      <c r="U6103" s="773">
        <v>667</v>
      </c>
      <c r="V6103" s="773">
        <v>2</v>
      </c>
      <c r="W6103" s="773" t="s">
        <v>410</v>
      </c>
    </row>
    <row r="6104" spans="19:23">
      <c r="S6104" s="27">
        <v>44957</v>
      </c>
      <c r="T6104" s="773" t="s">
        <v>132</v>
      </c>
      <c r="U6104" s="773">
        <v>246</v>
      </c>
      <c r="V6104" s="773">
        <v>6</v>
      </c>
      <c r="W6104" s="773" t="s">
        <v>410</v>
      </c>
    </row>
    <row r="6105" spans="19:23">
      <c r="S6105" s="27">
        <v>44957</v>
      </c>
      <c r="T6105" s="773" t="s">
        <v>132</v>
      </c>
      <c r="U6105" s="773">
        <v>652</v>
      </c>
      <c r="V6105" s="773">
        <v>3614</v>
      </c>
      <c r="W6105" s="773" t="s">
        <v>390</v>
      </c>
    </row>
    <row r="6106" spans="19:23">
      <c r="S6106" s="27">
        <v>44957</v>
      </c>
      <c r="T6106" s="773" t="s">
        <v>132</v>
      </c>
      <c r="U6106" s="773">
        <v>227</v>
      </c>
      <c r="V6106" s="773">
        <v>1</v>
      </c>
      <c r="W6106" s="773" t="s">
        <v>410</v>
      </c>
    </row>
    <row r="6107" spans="19:23">
      <c r="S6107" s="27">
        <v>44957</v>
      </c>
      <c r="T6107" s="773" t="s">
        <v>132</v>
      </c>
      <c r="U6107" s="773">
        <v>326</v>
      </c>
      <c r="V6107" s="773">
        <v>2703</v>
      </c>
      <c r="W6107" s="773" t="s">
        <v>390</v>
      </c>
    </row>
    <row r="6108" spans="19:23">
      <c r="S6108" s="27">
        <v>44957</v>
      </c>
      <c r="T6108" s="773" t="s">
        <v>132</v>
      </c>
      <c r="U6108" s="773">
        <v>253</v>
      </c>
      <c r="V6108" s="773">
        <v>11</v>
      </c>
      <c r="W6108" s="773" t="s">
        <v>410</v>
      </c>
    </row>
    <row r="6109" spans="19:23">
      <c r="S6109" s="27">
        <v>44957</v>
      </c>
      <c r="T6109" s="773" t="s">
        <v>132</v>
      </c>
      <c r="U6109" s="773">
        <v>699</v>
      </c>
      <c r="V6109" s="773">
        <v>2824</v>
      </c>
      <c r="W6109" s="773" t="s">
        <v>390</v>
      </c>
    </row>
    <row r="6110" spans="19:23">
      <c r="S6110" s="27">
        <v>44957</v>
      </c>
      <c r="T6110" s="773" t="s">
        <v>132</v>
      </c>
      <c r="U6110" s="773">
        <v>158</v>
      </c>
      <c r="V6110" s="773">
        <v>149</v>
      </c>
      <c r="W6110" s="773" t="s">
        <v>390</v>
      </c>
    </row>
    <row r="6111" spans="19:23">
      <c r="S6111" s="27">
        <v>44957</v>
      </c>
      <c r="T6111" s="773" t="s">
        <v>132</v>
      </c>
      <c r="U6111" s="773">
        <v>648</v>
      </c>
      <c r="V6111" s="773">
        <v>1</v>
      </c>
      <c r="W6111" s="773" t="s">
        <v>410</v>
      </c>
    </row>
    <row r="6112" spans="19:23">
      <c r="S6112" s="27">
        <v>44957</v>
      </c>
      <c r="T6112" s="773" t="s">
        <v>132</v>
      </c>
      <c r="U6112" s="773">
        <v>661</v>
      </c>
      <c r="V6112" s="773">
        <v>1</v>
      </c>
      <c r="W6112" s="773" t="s">
        <v>410</v>
      </c>
    </row>
    <row r="6113" spans="19:23">
      <c r="S6113" s="27">
        <v>44957</v>
      </c>
      <c r="T6113" s="773" t="s">
        <v>132</v>
      </c>
      <c r="U6113" s="773">
        <v>342</v>
      </c>
      <c r="V6113" s="773">
        <v>2633</v>
      </c>
      <c r="W6113" s="773" t="s">
        <v>390</v>
      </c>
    </row>
    <row r="6114" spans="19:23">
      <c r="S6114" s="27">
        <v>44957</v>
      </c>
      <c r="T6114" s="773" t="s">
        <v>132</v>
      </c>
      <c r="U6114" s="773">
        <v>98</v>
      </c>
      <c r="V6114" s="773">
        <v>30</v>
      </c>
      <c r="W6114" s="773" t="s">
        <v>410</v>
      </c>
    </row>
    <row r="6115" spans="19:23">
      <c r="S6115" s="27">
        <v>44957</v>
      </c>
      <c r="T6115" s="773" t="s">
        <v>132</v>
      </c>
      <c r="U6115" s="773">
        <v>700</v>
      </c>
      <c r="V6115" s="773">
        <v>2794</v>
      </c>
      <c r="W6115" s="773" t="s">
        <v>390</v>
      </c>
    </row>
    <row r="6116" spans="19:23">
      <c r="S6116" s="27">
        <v>44957</v>
      </c>
      <c r="T6116" s="773" t="s">
        <v>132</v>
      </c>
      <c r="U6116" s="773">
        <v>195</v>
      </c>
      <c r="V6116" s="773">
        <v>1</v>
      </c>
      <c r="W6116" s="773" t="s">
        <v>410</v>
      </c>
    </row>
    <row r="6117" spans="19:23">
      <c r="S6117" s="27">
        <v>44957</v>
      </c>
      <c r="T6117" s="773" t="s">
        <v>132</v>
      </c>
      <c r="U6117" s="773">
        <v>68</v>
      </c>
      <c r="V6117" s="773">
        <v>887</v>
      </c>
      <c r="W6117" s="773" t="s">
        <v>390</v>
      </c>
    </row>
    <row r="6118" spans="19:23">
      <c r="S6118" s="27">
        <v>44957</v>
      </c>
      <c r="T6118" s="773" t="s">
        <v>132</v>
      </c>
      <c r="U6118" s="773">
        <v>315</v>
      </c>
      <c r="V6118" s="773">
        <v>1910</v>
      </c>
      <c r="W6118" s="773" t="s">
        <v>390</v>
      </c>
    </row>
    <row r="6119" spans="19:23">
      <c r="S6119" s="27">
        <v>44957</v>
      </c>
      <c r="T6119" s="773" t="s">
        <v>132</v>
      </c>
      <c r="U6119" s="773">
        <v>222</v>
      </c>
      <c r="V6119" s="773">
        <v>5</v>
      </c>
      <c r="W6119" s="773" t="s">
        <v>410</v>
      </c>
    </row>
    <row r="6120" spans="19:23">
      <c r="S6120" s="27">
        <v>44957</v>
      </c>
      <c r="T6120" s="773" t="s">
        <v>132</v>
      </c>
      <c r="U6120" s="773">
        <v>729</v>
      </c>
      <c r="V6120" s="773">
        <v>88</v>
      </c>
      <c r="W6120" s="773" t="s">
        <v>410</v>
      </c>
    </row>
    <row r="6121" spans="19:23">
      <c r="S6121" s="27">
        <v>44957</v>
      </c>
      <c r="T6121" s="773" t="s">
        <v>132</v>
      </c>
      <c r="U6121" s="773">
        <v>124</v>
      </c>
      <c r="V6121" s="773">
        <v>9</v>
      </c>
      <c r="W6121" s="773" t="s">
        <v>410</v>
      </c>
    </row>
    <row r="6122" spans="19:23">
      <c r="S6122" s="27">
        <v>44957</v>
      </c>
      <c r="T6122" s="773" t="s">
        <v>132</v>
      </c>
      <c r="U6122" s="773">
        <v>694</v>
      </c>
      <c r="V6122" s="773">
        <v>1</v>
      </c>
      <c r="W6122" s="773" t="s">
        <v>410</v>
      </c>
    </row>
    <row r="6123" spans="19:23">
      <c r="S6123" s="27">
        <v>44957</v>
      </c>
      <c r="T6123" s="773" t="s">
        <v>132</v>
      </c>
      <c r="U6123" s="773">
        <v>103</v>
      </c>
      <c r="V6123" s="773">
        <v>3378</v>
      </c>
      <c r="W6123" s="773" t="s">
        <v>390</v>
      </c>
    </row>
    <row r="6124" spans="19:23">
      <c r="S6124" s="27">
        <v>44957</v>
      </c>
      <c r="T6124" s="773" t="s">
        <v>132</v>
      </c>
      <c r="U6124" s="773">
        <v>183</v>
      </c>
      <c r="V6124" s="773">
        <v>593</v>
      </c>
      <c r="W6124" s="773" t="s">
        <v>390</v>
      </c>
    </row>
    <row r="6125" spans="19:23">
      <c r="S6125" s="27">
        <v>44957</v>
      </c>
      <c r="T6125" s="773" t="s">
        <v>132</v>
      </c>
      <c r="U6125" s="773">
        <v>87</v>
      </c>
      <c r="V6125" s="773">
        <v>3</v>
      </c>
      <c r="W6125" s="773" t="s">
        <v>410</v>
      </c>
    </row>
    <row r="6126" spans="19:23">
      <c r="S6126" s="27">
        <v>44957</v>
      </c>
      <c r="T6126" s="773" t="s">
        <v>132</v>
      </c>
      <c r="U6126" s="773">
        <v>748</v>
      </c>
      <c r="V6126" s="773">
        <v>125</v>
      </c>
      <c r="W6126" s="773" t="s">
        <v>390</v>
      </c>
    </row>
    <row r="6127" spans="19:23">
      <c r="S6127" s="27">
        <v>44957</v>
      </c>
      <c r="T6127" s="773" t="s">
        <v>132</v>
      </c>
      <c r="U6127" s="773">
        <v>101</v>
      </c>
      <c r="V6127" s="773">
        <v>282</v>
      </c>
      <c r="W6127" s="773" t="s">
        <v>390</v>
      </c>
    </row>
    <row r="6128" spans="19:23">
      <c r="S6128" s="27">
        <v>44957</v>
      </c>
      <c r="T6128" s="773" t="s">
        <v>132</v>
      </c>
      <c r="U6128" s="773">
        <v>76</v>
      </c>
      <c r="V6128" s="773">
        <v>3047</v>
      </c>
      <c r="W6128" s="773" t="s">
        <v>390</v>
      </c>
    </row>
    <row r="6129" spans="19:23">
      <c r="S6129" s="27">
        <v>44957</v>
      </c>
      <c r="T6129" s="773" t="s">
        <v>132</v>
      </c>
      <c r="U6129" s="773">
        <v>641</v>
      </c>
      <c r="V6129" s="773">
        <v>2121</v>
      </c>
      <c r="W6129" s="773" t="s">
        <v>390</v>
      </c>
    </row>
    <row r="6130" spans="19:23">
      <c r="S6130" s="27">
        <v>44957</v>
      </c>
      <c r="T6130" s="773" t="s">
        <v>132</v>
      </c>
      <c r="U6130" s="773">
        <v>528</v>
      </c>
      <c r="V6130" s="773">
        <v>56</v>
      </c>
      <c r="W6130" s="773" t="s">
        <v>410</v>
      </c>
    </row>
    <row r="6131" spans="19:23">
      <c r="S6131" s="27">
        <v>44957</v>
      </c>
      <c r="T6131" s="773" t="s">
        <v>132</v>
      </c>
      <c r="U6131" s="773">
        <v>182</v>
      </c>
      <c r="V6131" s="773">
        <v>167</v>
      </c>
      <c r="W6131" s="773" t="s">
        <v>390</v>
      </c>
    </row>
    <row r="6132" spans="19:23">
      <c r="S6132" s="27">
        <v>44957</v>
      </c>
      <c r="T6132" s="773" t="s">
        <v>132</v>
      </c>
      <c r="U6132" s="773">
        <v>728</v>
      </c>
      <c r="V6132" s="773">
        <v>1276</v>
      </c>
      <c r="W6132" s="773" t="s">
        <v>390</v>
      </c>
    </row>
    <row r="6133" spans="19:23">
      <c r="S6133" s="27">
        <v>44957</v>
      </c>
      <c r="T6133" s="773" t="s">
        <v>132</v>
      </c>
      <c r="U6133" s="773">
        <v>70</v>
      </c>
      <c r="V6133" s="773">
        <v>207</v>
      </c>
      <c r="W6133" s="773" t="s">
        <v>390</v>
      </c>
    </row>
    <row r="6134" spans="19:23">
      <c r="S6134" s="27">
        <v>44957</v>
      </c>
      <c r="T6134" s="773" t="s">
        <v>132</v>
      </c>
      <c r="U6134" s="773">
        <v>317</v>
      </c>
      <c r="V6134" s="773">
        <v>3440</v>
      </c>
      <c r="W6134" s="773" t="s">
        <v>390</v>
      </c>
    </row>
    <row r="6135" spans="19:23">
      <c r="S6135" s="27">
        <v>44957</v>
      </c>
      <c r="T6135" s="773" t="s">
        <v>132</v>
      </c>
      <c r="U6135" s="773">
        <v>46</v>
      </c>
      <c r="V6135" s="773">
        <v>1</v>
      </c>
      <c r="W6135" s="773" t="s">
        <v>410</v>
      </c>
    </row>
    <row r="6136" spans="19:23">
      <c r="S6136" s="27">
        <v>44957</v>
      </c>
      <c r="T6136" s="773" t="s">
        <v>132</v>
      </c>
      <c r="U6136" s="773">
        <v>83</v>
      </c>
      <c r="V6136" s="773">
        <v>2458</v>
      </c>
      <c r="W6136" s="773" t="s">
        <v>390</v>
      </c>
    </row>
    <row r="6137" spans="19:23">
      <c r="S6137" s="27">
        <v>44957</v>
      </c>
      <c r="T6137" s="773" t="s">
        <v>132</v>
      </c>
      <c r="U6137" s="773">
        <v>193</v>
      </c>
      <c r="V6137" s="773">
        <v>485</v>
      </c>
      <c r="W6137" s="773" t="s">
        <v>390</v>
      </c>
    </row>
    <row r="6138" spans="19:23">
      <c r="S6138" s="27">
        <v>44957</v>
      </c>
      <c r="T6138" s="773" t="s">
        <v>132</v>
      </c>
      <c r="U6138" s="773">
        <v>233</v>
      </c>
      <c r="V6138" s="773">
        <v>2558</v>
      </c>
      <c r="W6138" s="773" t="s">
        <v>390</v>
      </c>
    </row>
    <row r="6139" spans="19:23">
      <c r="S6139" s="27">
        <v>44957</v>
      </c>
      <c r="T6139" s="773" t="s">
        <v>132</v>
      </c>
      <c r="U6139" s="773">
        <v>704</v>
      </c>
      <c r="V6139" s="773">
        <v>3363</v>
      </c>
      <c r="W6139" s="773" t="s">
        <v>390</v>
      </c>
    </row>
    <row r="6140" spans="19:23">
      <c r="S6140" s="27">
        <v>44957</v>
      </c>
      <c r="T6140" s="773" t="s">
        <v>132</v>
      </c>
      <c r="U6140" s="773">
        <v>305</v>
      </c>
      <c r="V6140" s="773">
        <v>5024</v>
      </c>
      <c r="W6140" s="773" t="s">
        <v>390</v>
      </c>
    </row>
    <row r="6141" spans="19:23">
      <c r="S6141" s="27">
        <v>44957</v>
      </c>
      <c r="T6141" s="773" t="s">
        <v>132</v>
      </c>
      <c r="U6141" s="773">
        <v>150</v>
      </c>
      <c r="V6141" s="773">
        <v>321</v>
      </c>
      <c r="W6141" s="773" t="s">
        <v>390</v>
      </c>
    </row>
    <row r="6142" spans="19:23">
      <c r="S6142" s="27">
        <v>44957</v>
      </c>
      <c r="T6142" s="773" t="s">
        <v>132</v>
      </c>
      <c r="U6142" s="773">
        <v>658</v>
      </c>
      <c r="V6142" s="773">
        <v>6</v>
      </c>
      <c r="W6142" s="773" t="s">
        <v>410</v>
      </c>
    </row>
    <row r="6143" spans="19:23">
      <c r="S6143" s="27">
        <v>44957</v>
      </c>
      <c r="T6143" s="773" t="s">
        <v>132</v>
      </c>
      <c r="U6143" s="773">
        <v>130</v>
      </c>
      <c r="V6143" s="773">
        <v>2</v>
      </c>
      <c r="W6143" s="773" t="s">
        <v>410</v>
      </c>
    </row>
    <row r="6144" spans="19:23">
      <c r="S6144" s="27">
        <v>44957</v>
      </c>
      <c r="T6144" s="773" t="s">
        <v>132</v>
      </c>
      <c r="U6144" s="773">
        <v>308</v>
      </c>
      <c r="V6144" s="773">
        <v>2310</v>
      </c>
      <c r="W6144" s="773" t="s">
        <v>390</v>
      </c>
    </row>
    <row r="6145" spans="19:23">
      <c r="S6145" s="27">
        <v>44957</v>
      </c>
      <c r="T6145" s="773" t="s">
        <v>132</v>
      </c>
      <c r="U6145" s="773">
        <v>265</v>
      </c>
      <c r="V6145" s="773">
        <v>19</v>
      </c>
      <c r="W6145" s="773" t="s">
        <v>410</v>
      </c>
    </row>
    <row r="6146" spans="19:23">
      <c r="S6146" s="27">
        <v>44926</v>
      </c>
      <c r="T6146" s="773" t="s">
        <v>132</v>
      </c>
      <c r="U6146" s="773">
        <v>257</v>
      </c>
      <c r="V6146" s="773">
        <v>2987</v>
      </c>
      <c r="W6146" s="773" t="s">
        <v>390</v>
      </c>
    </row>
    <row r="6147" spans="19:23">
      <c r="S6147" s="27">
        <v>44926</v>
      </c>
      <c r="T6147" s="773" t="s">
        <v>132</v>
      </c>
      <c r="U6147" s="773">
        <v>182</v>
      </c>
      <c r="V6147" s="773">
        <v>167</v>
      </c>
      <c r="W6147" s="773" t="s">
        <v>390</v>
      </c>
    </row>
    <row r="6148" spans="19:23">
      <c r="S6148" s="27">
        <v>44926</v>
      </c>
      <c r="T6148" s="773" t="s">
        <v>132</v>
      </c>
      <c r="U6148" s="773">
        <v>691</v>
      </c>
      <c r="V6148" s="773">
        <v>3037</v>
      </c>
      <c r="W6148" s="773" t="s">
        <v>390</v>
      </c>
    </row>
    <row r="6149" spans="19:23">
      <c r="S6149" s="27">
        <v>44926</v>
      </c>
      <c r="T6149" s="773" t="s">
        <v>132</v>
      </c>
      <c r="U6149" s="773">
        <v>694</v>
      </c>
      <c r="V6149" s="773">
        <v>1</v>
      </c>
      <c r="W6149" s="773" t="s">
        <v>410</v>
      </c>
    </row>
    <row r="6150" spans="19:23">
      <c r="S6150" s="27">
        <v>44926</v>
      </c>
      <c r="T6150" s="773" t="s">
        <v>132</v>
      </c>
      <c r="U6150" s="773">
        <v>703</v>
      </c>
      <c r="V6150" s="773">
        <v>3257</v>
      </c>
      <c r="W6150" s="773" t="s">
        <v>390</v>
      </c>
    </row>
    <row r="6151" spans="19:23">
      <c r="S6151" s="27">
        <v>44926</v>
      </c>
      <c r="T6151" s="773" t="s">
        <v>132</v>
      </c>
      <c r="U6151" s="773">
        <v>666</v>
      </c>
      <c r="V6151" s="773">
        <v>1583</v>
      </c>
      <c r="W6151" s="773" t="s">
        <v>390</v>
      </c>
    </row>
    <row r="6152" spans="19:23">
      <c r="S6152" s="27">
        <v>44926</v>
      </c>
      <c r="T6152" s="773" t="s">
        <v>132</v>
      </c>
      <c r="U6152" s="773">
        <v>292</v>
      </c>
      <c r="V6152" s="773">
        <v>4</v>
      </c>
      <c r="W6152" s="773" t="s">
        <v>410</v>
      </c>
    </row>
    <row r="6153" spans="19:23">
      <c r="S6153" s="27">
        <v>44926</v>
      </c>
      <c r="T6153" s="773" t="s">
        <v>132</v>
      </c>
      <c r="U6153" s="773">
        <v>161</v>
      </c>
      <c r="V6153" s="773">
        <v>1</v>
      </c>
      <c r="W6153" s="773" t="s">
        <v>410</v>
      </c>
    </row>
    <row r="6154" spans="19:23">
      <c r="S6154" s="27">
        <v>44926</v>
      </c>
      <c r="T6154" s="773" t="s">
        <v>132</v>
      </c>
      <c r="U6154" s="773">
        <v>664</v>
      </c>
      <c r="V6154" s="773">
        <v>2185</v>
      </c>
      <c r="W6154" s="773" t="s">
        <v>390</v>
      </c>
    </row>
    <row r="6155" spans="19:23">
      <c r="S6155" s="27">
        <v>44926</v>
      </c>
      <c r="T6155" s="773" t="s">
        <v>132</v>
      </c>
      <c r="U6155" s="773">
        <v>650</v>
      </c>
      <c r="V6155" s="773">
        <v>30</v>
      </c>
      <c r="W6155" s="773" t="s">
        <v>410</v>
      </c>
    </row>
    <row r="6156" spans="19:23">
      <c r="S6156" s="27">
        <v>44926</v>
      </c>
      <c r="T6156" s="773" t="s">
        <v>132</v>
      </c>
      <c r="U6156" s="773">
        <v>312</v>
      </c>
      <c r="V6156" s="773">
        <v>2652</v>
      </c>
      <c r="W6156" s="773" t="s">
        <v>390</v>
      </c>
    </row>
    <row r="6157" spans="19:23">
      <c r="S6157" s="27">
        <v>44926</v>
      </c>
      <c r="T6157" s="773" t="s">
        <v>132</v>
      </c>
      <c r="U6157" s="773">
        <v>40</v>
      </c>
      <c r="V6157" s="773">
        <v>4</v>
      </c>
      <c r="W6157" s="773" t="s">
        <v>410</v>
      </c>
    </row>
    <row r="6158" spans="19:23">
      <c r="S6158" s="27">
        <v>44926</v>
      </c>
      <c r="T6158" s="773" t="s">
        <v>132</v>
      </c>
      <c r="U6158" s="773">
        <v>737</v>
      </c>
      <c r="V6158" s="773">
        <v>1808</v>
      </c>
      <c r="W6158" s="773" t="s">
        <v>390</v>
      </c>
    </row>
    <row r="6159" spans="19:23">
      <c r="S6159" s="27">
        <v>44926</v>
      </c>
      <c r="T6159" s="773" t="s">
        <v>132</v>
      </c>
      <c r="U6159" s="773">
        <v>48</v>
      </c>
      <c r="V6159" s="773">
        <v>666</v>
      </c>
      <c r="W6159" s="773" t="s">
        <v>390</v>
      </c>
    </row>
    <row r="6160" spans="19:23">
      <c r="S6160" s="27">
        <v>44926</v>
      </c>
      <c r="T6160" s="773" t="s">
        <v>132</v>
      </c>
      <c r="U6160" s="773">
        <v>716</v>
      </c>
      <c r="V6160" s="773">
        <v>360</v>
      </c>
      <c r="W6160" s="773" t="s">
        <v>390</v>
      </c>
    </row>
    <row r="6161" spans="19:23">
      <c r="S6161" s="27">
        <v>44926</v>
      </c>
      <c r="T6161" s="773" t="s">
        <v>132</v>
      </c>
      <c r="U6161" s="773">
        <v>342</v>
      </c>
      <c r="V6161" s="773">
        <v>2650</v>
      </c>
      <c r="W6161" s="773" t="s">
        <v>390</v>
      </c>
    </row>
    <row r="6162" spans="19:23">
      <c r="S6162" s="27">
        <v>44926</v>
      </c>
      <c r="T6162" s="773" t="s">
        <v>132</v>
      </c>
      <c r="U6162" s="773">
        <v>216</v>
      </c>
      <c r="V6162" s="773">
        <v>2358</v>
      </c>
      <c r="W6162" s="773" t="s">
        <v>390</v>
      </c>
    </row>
    <row r="6163" spans="19:23">
      <c r="S6163" s="27">
        <v>44926</v>
      </c>
      <c r="T6163" s="773" t="s">
        <v>132</v>
      </c>
      <c r="U6163" s="773">
        <v>651</v>
      </c>
      <c r="V6163" s="773">
        <v>67</v>
      </c>
      <c r="W6163" s="773" t="s">
        <v>410</v>
      </c>
    </row>
    <row r="6164" spans="19:23">
      <c r="S6164" s="27">
        <v>44926</v>
      </c>
      <c r="T6164" s="773" t="s">
        <v>132</v>
      </c>
      <c r="U6164" s="773">
        <v>191</v>
      </c>
      <c r="V6164" s="773">
        <v>341</v>
      </c>
      <c r="W6164" s="773" t="s">
        <v>390</v>
      </c>
    </row>
    <row r="6165" spans="19:23">
      <c r="S6165" s="27">
        <v>44926</v>
      </c>
      <c r="T6165" s="773" t="s">
        <v>132</v>
      </c>
      <c r="U6165" s="773">
        <v>706</v>
      </c>
      <c r="V6165" s="773">
        <v>1213</v>
      </c>
      <c r="W6165" s="773" t="s">
        <v>390</v>
      </c>
    </row>
    <row r="6166" spans="19:23">
      <c r="S6166" s="27">
        <v>44926</v>
      </c>
      <c r="T6166" s="773" t="s">
        <v>132</v>
      </c>
      <c r="U6166" s="773">
        <v>70</v>
      </c>
      <c r="V6166" s="773">
        <v>209</v>
      </c>
      <c r="W6166" s="773" t="s">
        <v>390</v>
      </c>
    </row>
    <row r="6167" spans="19:23">
      <c r="S6167" s="27">
        <v>44926</v>
      </c>
      <c r="T6167" s="773" t="s">
        <v>132</v>
      </c>
      <c r="U6167" s="773">
        <v>98</v>
      </c>
      <c r="V6167" s="773">
        <v>30</v>
      </c>
      <c r="W6167" s="773" t="s">
        <v>410</v>
      </c>
    </row>
    <row r="6168" spans="19:23">
      <c r="S6168" s="27">
        <v>44926</v>
      </c>
      <c r="T6168" s="773" t="s">
        <v>132</v>
      </c>
      <c r="U6168" s="773">
        <v>318</v>
      </c>
      <c r="V6168" s="773">
        <v>2495</v>
      </c>
      <c r="W6168" s="773" t="s">
        <v>390</v>
      </c>
    </row>
    <row r="6169" spans="19:23">
      <c r="S6169" s="27">
        <v>44926</v>
      </c>
      <c r="T6169" s="773" t="s">
        <v>132</v>
      </c>
      <c r="U6169" s="773">
        <v>73</v>
      </c>
      <c r="V6169" s="773">
        <v>3</v>
      </c>
      <c r="W6169" s="773" t="s">
        <v>410</v>
      </c>
    </row>
    <row r="6170" spans="19:23">
      <c r="S6170" s="27">
        <v>44926</v>
      </c>
      <c r="T6170" s="773" t="s">
        <v>132</v>
      </c>
      <c r="U6170" s="773">
        <v>195</v>
      </c>
      <c r="V6170" s="773">
        <v>1</v>
      </c>
      <c r="W6170" s="773" t="s">
        <v>410</v>
      </c>
    </row>
    <row r="6171" spans="19:23">
      <c r="S6171" s="27">
        <v>44926</v>
      </c>
      <c r="T6171" s="773" t="s">
        <v>132</v>
      </c>
      <c r="U6171" s="773">
        <v>60</v>
      </c>
      <c r="V6171" s="773">
        <v>1</v>
      </c>
      <c r="W6171" s="773" t="s">
        <v>410</v>
      </c>
    </row>
    <row r="6172" spans="19:23">
      <c r="S6172" s="27">
        <v>44926</v>
      </c>
      <c r="T6172" s="773" t="s">
        <v>132</v>
      </c>
      <c r="U6172" s="773">
        <v>317</v>
      </c>
      <c r="V6172" s="773">
        <v>3403</v>
      </c>
      <c r="W6172" s="773" t="s">
        <v>390</v>
      </c>
    </row>
    <row r="6173" spans="19:23">
      <c r="S6173" s="27">
        <v>44926</v>
      </c>
      <c r="T6173" s="773" t="s">
        <v>132</v>
      </c>
      <c r="U6173" s="773">
        <v>256</v>
      </c>
      <c r="V6173" s="773">
        <v>278</v>
      </c>
      <c r="W6173" s="773" t="s">
        <v>390</v>
      </c>
    </row>
    <row r="6174" spans="19:23">
      <c r="S6174" s="27">
        <v>44926</v>
      </c>
      <c r="T6174" s="773" t="s">
        <v>132</v>
      </c>
      <c r="U6174" s="773">
        <v>323</v>
      </c>
      <c r="V6174" s="773">
        <v>3122</v>
      </c>
      <c r="W6174" s="773" t="s">
        <v>390</v>
      </c>
    </row>
    <row r="6175" spans="19:23">
      <c r="S6175" s="27">
        <v>44926</v>
      </c>
      <c r="T6175" s="773" t="s">
        <v>132</v>
      </c>
      <c r="U6175" s="773">
        <v>645</v>
      </c>
      <c r="V6175" s="773">
        <v>721</v>
      </c>
      <c r="W6175" s="773" t="s">
        <v>390</v>
      </c>
    </row>
    <row r="6176" spans="19:23">
      <c r="S6176" s="27">
        <v>44926</v>
      </c>
      <c r="T6176" s="773" t="s">
        <v>132</v>
      </c>
      <c r="U6176" s="773">
        <v>266</v>
      </c>
      <c r="V6176" s="773">
        <v>2449</v>
      </c>
      <c r="W6176" s="773" t="s">
        <v>390</v>
      </c>
    </row>
    <row r="6177" spans="19:23">
      <c r="S6177" s="27">
        <v>44926</v>
      </c>
      <c r="T6177" s="773" t="s">
        <v>132</v>
      </c>
      <c r="U6177" s="773">
        <v>11</v>
      </c>
      <c r="V6177" s="773">
        <v>27</v>
      </c>
      <c r="W6177" s="773" t="s">
        <v>410</v>
      </c>
    </row>
    <row r="6178" spans="19:23">
      <c r="S6178" s="27">
        <v>44926</v>
      </c>
      <c r="T6178" s="773" t="s">
        <v>132</v>
      </c>
      <c r="U6178" s="773">
        <v>311</v>
      </c>
      <c r="V6178" s="773">
        <v>2488</v>
      </c>
      <c r="W6178" s="773" t="s">
        <v>390</v>
      </c>
    </row>
    <row r="6179" spans="19:23">
      <c r="S6179" s="27">
        <v>44926</v>
      </c>
      <c r="T6179" s="773" t="s">
        <v>132</v>
      </c>
      <c r="U6179" s="773">
        <v>704</v>
      </c>
      <c r="V6179" s="773">
        <v>3337</v>
      </c>
      <c r="W6179" s="773" t="s">
        <v>390</v>
      </c>
    </row>
    <row r="6180" spans="19:23">
      <c r="S6180" s="27">
        <v>44926</v>
      </c>
      <c r="T6180" s="773" t="s">
        <v>132</v>
      </c>
      <c r="U6180" s="773">
        <v>169</v>
      </c>
      <c r="V6180" s="773">
        <v>3230</v>
      </c>
      <c r="W6180" s="773" t="s">
        <v>390</v>
      </c>
    </row>
    <row r="6181" spans="19:23">
      <c r="S6181" s="27">
        <v>44926</v>
      </c>
      <c r="T6181" s="773" t="s">
        <v>132</v>
      </c>
      <c r="U6181" s="773">
        <v>295</v>
      </c>
      <c r="V6181" s="773">
        <v>4</v>
      </c>
      <c r="W6181" s="773" t="s">
        <v>410</v>
      </c>
    </row>
    <row r="6182" spans="19:23">
      <c r="S6182" s="27">
        <v>44926</v>
      </c>
      <c r="T6182" s="773" t="s">
        <v>132</v>
      </c>
      <c r="U6182" s="773">
        <v>255</v>
      </c>
      <c r="V6182" s="773">
        <v>411</v>
      </c>
      <c r="W6182" s="773" t="s">
        <v>390</v>
      </c>
    </row>
    <row r="6183" spans="19:23">
      <c r="S6183" s="27">
        <v>44926</v>
      </c>
      <c r="T6183" s="773" t="s">
        <v>132</v>
      </c>
      <c r="U6183" s="773">
        <v>59</v>
      </c>
      <c r="V6183" s="773">
        <v>2</v>
      </c>
      <c r="W6183" s="773" t="s">
        <v>410</v>
      </c>
    </row>
    <row r="6184" spans="19:23">
      <c r="S6184" s="27">
        <v>44926</v>
      </c>
      <c r="T6184" s="773" t="s">
        <v>132</v>
      </c>
      <c r="U6184" s="773">
        <v>81</v>
      </c>
      <c r="V6184" s="773">
        <v>9</v>
      </c>
      <c r="W6184" s="773" t="s">
        <v>410</v>
      </c>
    </row>
    <row r="6185" spans="19:23">
      <c r="S6185" s="27">
        <v>44926</v>
      </c>
      <c r="T6185" s="773" t="s">
        <v>132</v>
      </c>
      <c r="U6185" s="773">
        <v>93</v>
      </c>
      <c r="V6185" s="773">
        <v>2260</v>
      </c>
      <c r="W6185" s="773" t="s">
        <v>390</v>
      </c>
    </row>
    <row r="6186" spans="19:23">
      <c r="S6186" s="27">
        <v>44926</v>
      </c>
      <c r="T6186" s="773" t="s">
        <v>132</v>
      </c>
      <c r="U6186" s="773">
        <v>245</v>
      </c>
      <c r="V6186" s="773">
        <v>3165</v>
      </c>
      <c r="W6186" s="773" t="s">
        <v>390</v>
      </c>
    </row>
    <row r="6187" spans="19:23">
      <c r="S6187" s="27">
        <v>44926</v>
      </c>
      <c r="T6187" s="773" t="s">
        <v>132</v>
      </c>
      <c r="U6187" s="773">
        <v>246</v>
      </c>
      <c r="V6187" s="773">
        <v>5</v>
      </c>
      <c r="W6187" s="773" t="s">
        <v>410</v>
      </c>
    </row>
    <row r="6188" spans="19:23">
      <c r="S6188" s="27">
        <v>44926</v>
      </c>
      <c r="T6188" s="773" t="s">
        <v>132</v>
      </c>
      <c r="U6188" s="773">
        <v>698</v>
      </c>
      <c r="V6188" s="773">
        <v>2799</v>
      </c>
      <c r="W6188" s="773" t="s">
        <v>390</v>
      </c>
    </row>
    <row r="6189" spans="19:23">
      <c r="S6189" s="27">
        <v>44926</v>
      </c>
      <c r="T6189" s="773" t="s">
        <v>132</v>
      </c>
      <c r="U6189" s="773">
        <v>148</v>
      </c>
      <c r="V6189" s="773">
        <v>4</v>
      </c>
      <c r="W6189" s="773" t="s">
        <v>410</v>
      </c>
    </row>
    <row r="6190" spans="19:23">
      <c r="S6190" s="27">
        <v>44926</v>
      </c>
      <c r="T6190" s="773" t="s">
        <v>132</v>
      </c>
      <c r="U6190" s="773">
        <v>528</v>
      </c>
      <c r="V6190" s="773">
        <v>53</v>
      </c>
      <c r="W6190" s="773" t="s">
        <v>410</v>
      </c>
    </row>
    <row r="6191" spans="19:23">
      <c r="S6191" s="27">
        <v>44926</v>
      </c>
      <c r="T6191" s="773" t="s">
        <v>132</v>
      </c>
      <c r="U6191" s="773">
        <v>674</v>
      </c>
      <c r="V6191" s="773">
        <v>3600</v>
      </c>
      <c r="W6191" s="773" t="s">
        <v>390</v>
      </c>
    </row>
    <row r="6192" spans="19:23">
      <c r="S6192" s="27">
        <v>44926</v>
      </c>
      <c r="T6192" s="773" t="s">
        <v>132</v>
      </c>
      <c r="U6192" s="773">
        <v>41</v>
      </c>
      <c r="V6192" s="773">
        <v>1</v>
      </c>
      <c r="W6192" s="773" t="s">
        <v>410</v>
      </c>
    </row>
    <row r="6193" spans="19:23">
      <c r="S6193" s="27">
        <v>44926</v>
      </c>
      <c r="T6193" s="773" t="s">
        <v>132</v>
      </c>
      <c r="U6193" s="773">
        <v>76</v>
      </c>
      <c r="V6193" s="773">
        <v>3035</v>
      </c>
      <c r="W6193" s="773" t="s">
        <v>390</v>
      </c>
    </row>
    <row r="6194" spans="19:23">
      <c r="S6194" s="27">
        <v>44926</v>
      </c>
      <c r="T6194" s="773" t="s">
        <v>132</v>
      </c>
      <c r="U6194" s="773">
        <v>0</v>
      </c>
      <c r="V6194" s="773">
        <v>45</v>
      </c>
      <c r="W6194" s="773" t="s">
        <v>410</v>
      </c>
    </row>
    <row r="6195" spans="19:23">
      <c r="S6195" s="27">
        <v>44926</v>
      </c>
      <c r="T6195" s="773" t="s">
        <v>132</v>
      </c>
      <c r="U6195" s="773">
        <v>243</v>
      </c>
      <c r="V6195" s="773">
        <v>348</v>
      </c>
      <c r="W6195" s="773" t="s">
        <v>390</v>
      </c>
    </row>
    <row r="6196" spans="19:23">
      <c r="S6196" s="27">
        <v>44926</v>
      </c>
      <c r="T6196" s="773" t="s">
        <v>132</v>
      </c>
      <c r="U6196" s="773">
        <v>739</v>
      </c>
      <c r="V6196" s="773">
        <v>104</v>
      </c>
      <c r="W6196" s="773" t="s">
        <v>390</v>
      </c>
    </row>
    <row r="6197" spans="19:23">
      <c r="S6197" s="27">
        <v>44926</v>
      </c>
      <c r="T6197" s="773" t="s">
        <v>132</v>
      </c>
      <c r="U6197" s="773">
        <v>303</v>
      </c>
      <c r="V6197" s="773">
        <v>2455</v>
      </c>
      <c r="W6197" s="773" t="s">
        <v>390</v>
      </c>
    </row>
    <row r="6198" spans="19:23">
      <c r="S6198" s="27">
        <v>44926</v>
      </c>
      <c r="T6198" s="773" t="s">
        <v>132</v>
      </c>
      <c r="U6198" s="773">
        <v>621</v>
      </c>
      <c r="V6198" s="773">
        <v>2470</v>
      </c>
      <c r="W6198" s="773" t="s">
        <v>390</v>
      </c>
    </row>
    <row r="6199" spans="19:23">
      <c r="S6199" s="27">
        <v>44926</v>
      </c>
      <c r="T6199" s="773" t="s">
        <v>132</v>
      </c>
      <c r="U6199" s="773">
        <v>663</v>
      </c>
      <c r="V6199" s="773">
        <v>655</v>
      </c>
      <c r="W6199" s="773" t="s">
        <v>390</v>
      </c>
    </row>
    <row r="6200" spans="19:23">
      <c r="S6200" s="27">
        <v>44926</v>
      </c>
      <c r="T6200" s="773" t="s">
        <v>132</v>
      </c>
      <c r="U6200" s="773">
        <v>675</v>
      </c>
      <c r="V6200" s="773">
        <v>3</v>
      </c>
      <c r="W6200" s="773" t="s">
        <v>410</v>
      </c>
    </row>
    <row r="6201" spans="19:23">
      <c r="S6201" s="27">
        <v>44926</v>
      </c>
      <c r="T6201" s="773" t="s">
        <v>132</v>
      </c>
      <c r="U6201" s="773">
        <v>58</v>
      </c>
      <c r="V6201" s="773">
        <v>1</v>
      </c>
      <c r="W6201" s="773" t="s">
        <v>410</v>
      </c>
    </row>
    <row r="6202" spans="19:23">
      <c r="S6202" s="27">
        <v>44926</v>
      </c>
      <c r="T6202" s="773" t="s">
        <v>132</v>
      </c>
      <c r="U6202" s="773">
        <v>736</v>
      </c>
      <c r="V6202" s="773">
        <v>3129</v>
      </c>
      <c r="W6202" s="773" t="s">
        <v>390</v>
      </c>
    </row>
    <row r="6203" spans="19:23">
      <c r="S6203" s="27">
        <v>44926</v>
      </c>
      <c r="T6203" s="773" t="s">
        <v>132</v>
      </c>
      <c r="U6203" s="773">
        <v>327</v>
      </c>
      <c r="V6203" s="773">
        <v>3</v>
      </c>
      <c r="W6203" s="773" t="s">
        <v>410</v>
      </c>
    </row>
    <row r="6204" spans="19:23">
      <c r="S6204" s="27">
        <v>44926</v>
      </c>
      <c r="T6204" s="773" t="s">
        <v>132</v>
      </c>
      <c r="U6204" s="773">
        <v>251</v>
      </c>
      <c r="V6204" s="773">
        <v>1943</v>
      </c>
      <c r="W6204" s="773" t="s">
        <v>390</v>
      </c>
    </row>
    <row r="6205" spans="19:23">
      <c r="S6205" s="27">
        <v>44926</v>
      </c>
      <c r="T6205" s="773" t="s">
        <v>132</v>
      </c>
      <c r="U6205" s="773">
        <v>738</v>
      </c>
      <c r="V6205" s="773">
        <v>33</v>
      </c>
      <c r="W6205" s="773" t="s">
        <v>410</v>
      </c>
    </row>
    <row r="6206" spans="19:23">
      <c r="S6206" s="27">
        <v>44926</v>
      </c>
      <c r="T6206" s="773" t="s">
        <v>132</v>
      </c>
      <c r="U6206" s="773">
        <v>264</v>
      </c>
      <c r="V6206" s="773">
        <v>374</v>
      </c>
      <c r="W6206" s="773" t="s">
        <v>390</v>
      </c>
    </row>
    <row r="6207" spans="19:23">
      <c r="S6207" s="27">
        <v>44926</v>
      </c>
      <c r="T6207" s="773" t="s">
        <v>132</v>
      </c>
      <c r="U6207" s="773">
        <v>325</v>
      </c>
      <c r="V6207" s="773">
        <v>2102</v>
      </c>
      <c r="W6207" s="773" t="s">
        <v>390</v>
      </c>
    </row>
    <row r="6208" spans="19:23">
      <c r="S6208" s="27">
        <v>44926</v>
      </c>
      <c r="T6208" s="773" t="s">
        <v>132</v>
      </c>
      <c r="U6208" s="773">
        <v>157</v>
      </c>
      <c r="V6208" s="773">
        <v>11</v>
      </c>
      <c r="W6208" s="773" t="s">
        <v>410</v>
      </c>
    </row>
    <row r="6209" spans="19:23">
      <c r="S6209" s="27">
        <v>44926</v>
      </c>
      <c r="T6209" s="773" t="s">
        <v>132</v>
      </c>
      <c r="U6209" s="773">
        <v>676</v>
      </c>
      <c r="V6209" s="773">
        <v>3</v>
      </c>
      <c r="W6209" s="773" t="s">
        <v>410</v>
      </c>
    </row>
    <row r="6210" spans="19:23">
      <c r="S6210" s="27">
        <v>44926</v>
      </c>
      <c r="T6210" s="773" t="s">
        <v>132</v>
      </c>
      <c r="U6210" s="773">
        <v>77</v>
      </c>
      <c r="V6210" s="773">
        <v>3602</v>
      </c>
      <c r="W6210" s="773" t="s">
        <v>390</v>
      </c>
    </row>
    <row r="6211" spans="19:23">
      <c r="S6211" s="27">
        <v>44926</v>
      </c>
      <c r="T6211" s="773" t="s">
        <v>132</v>
      </c>
      <c r="U6211" s="773">
        <v>652</v>
      </c>
      <c r="V6211" s="773">
        <v>3587</v>
      </c>
      <c r="W6211" s="773" t="s">
        <v>390</v>
      </c>
    </row>
    <row r="6212" spans="19:23">
      <c r="S6212" s="27">
        <v>44926</v>
      </c>
      <c r="T6212" s="773" t="s">
        <v>132</v>
      </c>
      <c r="U6212" s="773">
        <v>53</v>
      </c>
      <c r="V6212" s="773">
        <v>3</v>
      </c>
      <c r="W6212" s="773" t="s">
        <v>410</v>
      </c>
    </row>
    <row r="6213" spans="19:23">
      <c r="S6213" s="27">
        <v>44926</v>
      </c>
      <c r="T6213" s="773" t="s">
        <v>132</v>
      </c>
      <c r="U6213" s="773">
        <v>237</v>
      </c>
      <c r="V6213" s="773">
        <v>1</v>
      </c>
      <c r="W6213" s="773" t="s">
        <v>410</v>
      </c>
    </row>
    <row r="6214" spans="19:23">
      <c r="S6214" s="27">
        <v>44926</v>
      </c>
      <c r="T6214" s="773" t="s">
        <v>132</v>
      </c>
      <c r="U6214" s="773">
        <v>103</v>
      </c>
      <c r="V6214" s="773">
        <v>3377</v>
      </c>
      <c r="W6214" s="773" t="s">
        <v>390</v>
      </c>
    </row>
    <row r="6215" spans="19:23">
      <c r="S6215" s="27">
        <v>44926</v>
      </c>
      <c r="T6215" s="773" t="s">
        <v>132</v>
      </c>
      <c r="U6215" s="773">
        <v>648</v>
      </c>
      <c r="V6215" s="773">
        <v>1</v>
      </c>
      <c r="W6215" s="773" t="s">
        <v>410</v>
      </c>
    </row>
    <row r="6216" spans="19:23">
      <c r="S6216" s="27">
        <v>44926</v>
      </c>
      <c r="T6216" s="773" t="s">
        <v>132</v>
      </c>
      <c r="U6216" s="773">
        <v>120</v>
      </c>
      <c r="V6216" s="773">
        <v>1</v>
      </c>
      <c r="W6216" s="773" t="s">
        <v>410</v>
      </c>
    </row>
    <row r="6217" spans="19:23">
      <c r="S6217" s="27">
        <v>44926</v>
      </c>
      <c r="T6217" s="773" t="s">
        <v>132</v>
      </c>
      <c r="U6217" s="773">
        <v>665</v>
      </c>
      <c r="V6217" s="773">
        <v>3195</v>
      </c>
      <c r="W6217" s="773" t="s">
        <v>390</v>
      </c>
    </row>
    <row r="6218" spans="19:23">
      <c r="S6218" s="27">
        <v>44926</v>
      </c>
      <c r="T6218" s="773" t="s">
        <v>132</v>
      </c>
      <c r="U6218" s="773">
        <v>87</v>
      </c>
      <c r="V6218" s="773">
        <v>2</v>
      </c>
      <c r="W6218" s="773" t="s">
        <v>410</v>
      </c>
    </row>
    <row r="6219" spans="19:23">
      <c r="S6219" s="27">
        <v>44926</v>
      </c>
      <c r="T6219" s="773" t="s">
        <v>132</v>
      </c>
      <c r="U6219" s="773">
        <v>52</v>
      </c>
      <c r="V6219" s="773">
        <v>8</v>
      </c>
      <c r="W6219" s="773" t="s">
        <v>410</v>
      </c>
    </row>
    <row r="6220" spans="19:23">
      <c r="S6220" s="27">
        <v>44926</v>
      </c>
      <c r="T6220" s="773" t="s">
        <v>132</v>
      </c>
      <c r="U6220" s="773">
        <v>239</v>
      </c>
      <c r="V6220" s="773">
        <v>7</v>
      </c>
      <c r="W6220" s="773" t="s">
        <v>410</v>
      </c>
    </row>
    <row r="6221" spans="19:23">
      <c r="S6221" s="27">
        <v>44926</v>
      </c>
      <c r="T6221" s="773" t="s">
        <v>132</v>
      </c>
      <c r="U6221" s="773">
        <v>726</v>
      </c>
      <c r="V6221" s="773">
        <v>82</v>
      </c>
      <c r="W6221" s="773" t="s">
        <v>410</v>
      </c>
    </row>
    <row r="6222" spans="19:23">
      <c r="S6222" s="27">
        <v>44926</v>
      </c>
      <c r="T6222" s="773" t="s">
        <v>132</v>
      </c>
      <c r="U6222" s="773">
        <v>329</v>
      </c>
      <c r="V6222" s="773">
        <v>4025</v>
      </c>
      <c r="W6222" s="773" t="s">
        <v>390</v>
      </c>
    </row>
    <row r="6223" spans="19:23">
      <c r="S6223" s="27">
        <v>44926</v>
      </c>
      <c r="T6223" s="773" t="s">
        <v>132</v>
      </c>
      <c r="U6223" s="773">
        <v>79</v>
      </c>
      <c r="V6223" s="773">
        <v>4</v>
      </c>
      <c r="W6223" s="773" t="s">
        <v>410</v>
      </c>
    </row>
    <row r="6224" spans="19:23">
      <c r="S6224" s="27">
        <v>44926</v>
      </c>
      <c r="T6224" s="773" t="s">
        <v>132</v>
      </c>
      <c r="U6224" s="773">
        <v>204</v>
      </c>
      <c r="V6224" s="773">
        <v>6</v>
      </c>
      <c r="W6224" s="773" t="s">
        <v>410</v>
      </c>
    </row>
    <row r="6225" spans="19:23">
      <c r="S6225" s="27">
        <v>44926</v>
      </c>
      <c r="T6225" s="773" t="s">
        <v>132</v>
      </c>
      <c r="U6225" s="773">
        <v>183</v>
      </c>
      <c r="V6225" s="773">
        <v>589</v>
      </c>
      <c r="W6225" s="773" t="s">
        <v>390</v>
      </c>
    </row>
    <row r="6226" spans="19:23">
      <c r="S6226" s="27">
        <v>44926</v>
      </c>
      <c r="T6226" s="773" t="s">
        <v>132</v>
      </c>
      <c r="U6226" s="773">
        <v>129</v>
      </c>
      <c r="V6226" s="773">
        <v>2</v>
      </c>
      <c r="W6226" s="773" t="s">
        <v>410</v>
      </c>
    </row>
    <row r="6227" spans="19:23">
      <c r="S6227" s="27">
        <v>44926</v>
      </c>
      <c r="T6227" s="773" t="s">
        <v>132</v>
      </c>
      <c r="U6227" s="773">
        <v>283</v>
      </c>
      <c r="V6227" s="773">
        <v>1</v>
      </c>
      <c r="W6227" s="773" t="s">
        <v>410</v>
      </c>
    </row>
    <row r="6228" spans="19:23">
      <c r="S6228" s="27">
        <v>44926</v>
      </c>
      <c r="T6228" s="773" t="s">
        <v>132</v>
      </c>
      <c r="U6228" s="773">
        <v>709</v>
      </c>
      <c r="V6228" s="773">
        <v>2139</v>
      </c>
      <c r="W6228" s="773" t="s">
        <v>390</v>
      </c>
    </row>
    <row r="6229" spans="19:23">
      <c r="S6229" s="27">
        <v>44926</v>
      </c>
      <c r="T6229" s="773" t="s">
        <v>132</v>
      </c>
      <c r="U6229" s="773">
        <v>78</v>
      </c>
      <c r="V6229" s="773">
        <v>10</v>
      </c>
      <c r="W6229" s="773" t="s">
        <v>410</v>
      </c>
    </row>
    <row r="6230" spans="19:23">
      <c r="S6230" s="27">
        <v>44926</v>
      </c>
      <c r="T6230" s="773" t="s">
        <v>132</v>
      </c>
      <c r="U6230" s="773">
        <v>732</v>
      </c>
      <c r="V6230" s="773">
        <v>3419</v>
      </c>
      <c r="W6230" s="773" t="s">
        <v>390</v>
      </c>
    </row>
    <row r="6231" spans="19:23">
      <c r="S6231" s="27">
        <v>44926</v>
      </c>
      <c r="T6231" s="773" t="s">
        <v>132</v>
      </c>
      <c r="U6231" s="773">
        <v>700</v>
      </c>
      <c r="V6231" s="773">
        <v>2788</v>
      </c>
      <c r="W6231" s="773" t="s">
        <v>390</v>
      </c>
    </row>
    <row r="6232" spans="19:23">
      <c r="S6232" s="27">
        <v>44926</v>
      </c>
      <c r="T6232" s="773" t="s">
        <v>132</v>
      </c>
      <c r="U6232" s="773">
        <v>660</v>
      </c>
      <c r="V6232" s="773">
        <v>5</v>
      </c>
      <c r="W6232" s="773" t="s">
        <v>410</v>
      </c>
    </row>
    <row r="6233" spans="19:23">
      <c r="S6233" s="27">
        <v>44926</v>
      </c>
      <c r="T6233" s="773" t="s">
        <v>132</v>
      </c>
      <c r="U6233" s="773">
        <v>173</v>
      </c>
      <c r="V6233" s="773">
        <v>7</v>
      </c>
      <c r="W6233" s="773" t="s">
        <v>410</v>
      </c>
    </row>
    <row r="6234" spans="19:23">
      <c r="S6234" s="27">
        <v>44926</v>
      </c>
      <c r="T6234" s="773" t="s">
        <v>132</v>
      </c>
      <c r="U6234" s="773">
        <v>241</v>
      </c>
      <c r="V6234" s="773">
        <v>13</v>
      </c>
      <c r="W6234" s="773" t="s">
        <v>410</v>
      </c>
    </row>
    <row r="6235" spans="19:23">
      <c r="S6235" s="27">
        <v>44926</v>
      </c>
      <c r="T6235" s="773" t="s">
        <v>132</v>
      </c>
      <c r="U6235" s="773">
        <v>308</v>
      </c>
      <c r="V6235" s="773">
        <v>2282</v>
      </c>
      <c r="W6235" s="773" t="s">
        <v>390</v>
      </c>
    </row>
    <row r="6236" spans="19:23">
      <c r="S6236" s="27">
        <v>44926</v>
      </c>
      <c r="T6236" s="773" t="s">
        <v>132</v>
      </c>
      <c r="U6236" s="773">
        <v>212</v>
      </c>
      <c r="V6236" s="773">
        <v>3429</v>
      </c>
      <c r="W6236" s="773" t="s">
        <v>390</v>
      </c>
    </row>
    <row r="6237" spans="19:23">
      <c r="S6237" s="27">
        <v>44926</v>
      </c>
      <c r="T6237" s="773" t="s">
        <v>132</v>
      </c>
      <c r="U6237" s="773">
        <v>233</v>
      </c>
      <c r="V6237" s="773">
        <v>2562</v>
      </c>
      <c r="W6237" s="773" t="s">
        <v>390</v>
      </c>
    </row>
    <row r="6238" spans="19:23">
      <c r="S6238" s="27">
        <v>44926</v>
      </c>
      <c r="T6238" s="773" t="s">
        <v>132</v>
      </c>
      <c r="U6238" s="773">
        <v>232</v>
      </c>
      <c r="V6238" s="773">
        <v>3</v>
      </c>
      <c r="W6238" s="773" t="s">
        <v>410</v>
      </c>
    </row>
    <row r="6239" spans="19:23">
      <c r="S6239" s="27">
        <v>44926</v>
      </c>
      <c r="T6239" s="773" t="s">
        <v>132</v>
      </c>
      <c r="U6239" s="773">
        <v>158</v>
      </c>
      <c r="V6239" s="773">
        <v>128</v>
      </c>
      <c r="W6239" s="773" t="s">
        <v>390</v>
      </c>
    </row>
    <row r="6240" spans="19:23">
      <c r="S6240" s="27">
        <v>44926</v>
      </c>
      <c r="T6240" s="773" t="s">
        <v>132</v>
      </c>
      <c r="U6240" s="773">
        <v>667</v>
      </c>
      <c r="V6240" s="773">
        <v>2</v>
      </c>
      <c r="W6240" s="773" t="s">
        <v>410</v>
      </c>
    </row>
    <row r="6241" spans="19:23">
      <c r="S6241" s="27">
        <v>44926</v>
      </c>
      <c r="T6241" s="773" t="s">
        <v>132</v>
      </c>
      <c r="U6241" s="773">
        <v>701</v>
      </c>
      <c r="V6241" s="773">
        <v>2394</v>
      </c>
      <c r="W6241" s="773" t="s">
        <v>390</v>
      </c>
    </row>
    <row r="6242" spans="19:23">
      <c r="S6242" s="27">
        <v>44926</v>
      </c>
      <c r="T6242" s="773" t="s">
        <v>132</v>
      </c>
      <c r="U6242" s="773">
        <v>71</v>
      </c>
      <c r="V6242" s="773">
        <v>1</v>
      </c>
      <c r="W6242" s="773" t="s">
        <v>410</v>
      </c>
    </row>
    <row r="6243" spans="19:23">
      <c r="S6243" s="27">
        <v>44926</v>
      </c>
      <c r="T6243" s="773" t="s">
        <v>132</v>
      </c>
      <c r="U6243" s="773">
        <v>171</v>
      </c>
      <c r="V6243" s="773">
        <v>46</v>
      </c>
      <c r="W6243" s="773" t="s">
        <v>410</v>
      </c>
    </row>
    <row r="6244" spans="19:23">
      <c r="S6244" s="27">
        <v>44926</v>
      </c>
      <c r="T6244" s="773" t="s">
        <v>132</v>
      </c>
      <c r="U6244" s="773">
        <v>39</v>
      </c>
      <c r="V6244" s="773">
        <v>1</v>
      </c>
      <c r="W6244" s="773" t="s">
        <v>410</v>
      </c>
    </row>
    <row r="6245" spans="19:23">
      <c r="S6245" s="27">
        <v>44926</v>
      </c>
      <c r="T6245" s="773" t="s">
        <v>132</v>
      </c>
      <c r="U6245" s="773">
        <v>741</v>
      </c>
      <c r="V6245" s="773">
        <v>2818</v>
      </c>
      <c r="W6245" s="773" t="s">
        <v>390</v>
      </c>
    </row>
    <row r="6246" spans="19:23">
      <c r="S6246" s="27">
        <v>44926</v>
      </c>
      <c r="T6246" s="773" t="s">
        <v>132</v>
      </c>
      <c r="U6246" s="773">
        <v>344</v>
      </c>
      <c r="V6246" s="773">
        <v>38</v>
      </c>
      <c r="W6246" s="773" t="s">
        <v>410</v>
      </c>
    </row>
    <row r="6247" spans="19:23">
      <c r="S6247" s="27">
        <v>44926</v>
      </c>
      <c r="T6247" s="773" t="s">
        <v>132</v>
      </c>
      <c r="U6247" s="773">
        <v>253</v>
      </c>
      <c r="V6247" s="773">
        <v>11</v>
      </c>
      <c r="W6247" s="773" t="s">
        <v>410</v>
      </c>
    </row>
    <row r="6248" spans="19:23">
      <c r="S6248" s="27">
        <v>44926</v>
      </c>
      <c r="T6248" s="773" t="s">
        <v>132</v>
      </c>
      <c r="U6248" s="773">
        <v>72</v>
      </c>
      <c r="V6248" s="773">
        <v>7</v>
      </c>
      <c r="W6248" s="773" t="s">
        <v>410</v>
      </c>
    </row>
    <row r="6249" spans="19:23">
      <c r="S6249" s="27">
        <v>44926</v>
      </c>
      <c r="T6249" s="773" t="s">
        <v>132</v>
      </c>
      <c r="U6249" s="773">
        <v>735</v>
      </c>
      <c r="V6249" s="773">
        <v>2679</v>
      </c>
      <c r="W6249" s="773" t="s">
        <v>390</v>
      </c>
    </row>
    <row r="6250" spans="19:23">
      <c r="S6250" s="27">
        <v>44926</v>
      </c>
      <c r="T6250" s="773" t="s">
        <v>132</v>
      </c>
      <c r="U6250" s="773">
        <v>105</v>
      </c>
      <c r="V6250" s="773">
        <v>2</v>
      </c>
      <c r="W6250" s="773" t="s">
        <v>410</v>
      </c>
    </row>
    <row r="6251" spans="19:23">
      <c r="S6251" s="27">
        <v>44926</v>
      </c>
      <c r="T6251" s="773" t="s">
        <v>132</v>
      </c>
      <c r="U6251" s="773">
        <v>13</v>
      </c>
      <c r="V6251" s="773">
        <v>2561</v>
      </c>
      <c r="W6251" s="773" t="s">
        <v>390</v>
      </c>
    </row>
    <row r="6252" spans="19:23">
      <c r="S6252" s="27">
        <v>44926</v>
      </c>
      <c r="T6252" s="773" t="s">
        <v>132</v>
      </c>
      <c r="U6252" s="773">
        <v>723</v>
      </c>
      <c r="V6252" s="773">
        <v>2196</v>
      </c>
      <c r="W6252" s="773" t="s">
        <v>390</v>
      </c>
    </row>
    <row r="6253" spans="19:23">
      <c r="S6253" s="27">
        <v>44926</v>
      </c>
      <c r="T6253" s="773" t="s">
        <v>132</v>
      </c>
      <c r="U6253" s="773">
        <v>672</v>
      </c>
      <c r="V6253" s="773">
        <v>2367</v>
      </c>
      <c r="W6253" s="773" t="s">
        <v>390</v>
      </c>
    </row>
    <row r="6254" spans="19:23">
      <c r="S6254" s="27">
        <v>44926</v>
      </c>
      <c r="T6254" s="773" t="s">
        <v>132</v>
      </c>
      <c r="U6254" s="773">
        <v>697</v>
      </c>
      <c r="V6254" s="773">
        <v>1483</v>
      </c>
      <c r="W6254" s="773" t="s">
        <v>390</v>
      </c>
    </row>
    <row r="6255" spans="19:23">
      <c r="S6255" s="27">
        <v>44926</v>
      </c>
      <c r="T6255" s="773" t="s">
        <v>132</v>
      </c>
      <c r="U6255" s="773">
        <v>101</v>
      </c>
      <c r="V6255" s="773">
        <v>283</v>
      </c>
      <c r="W6255" s="773" t="s">
        <v>390</v>
      </c>
    </row>
    <row r="6256" spans="19:23">
      <c r="S6256" s="27">
        <v>44926</v>
      </c>
      <c r="T6256" s="773" t="s">
        <v>132</v>
      </c>
      <c r="U6256" s="773">
        <v>305</v>
      </c>
      <c r="V6256" s="773">
        <v>5014</v>
      </c>
      <c r="W6256" s="773" t="s">
        <v>390</v>
      </c>
    </row>
    <row r="6257" spans="19:23">
      <c r="S6257" s="27">
        <v>44926</v>
      </c>
      <c r="T6257" s="773" t="s">
        <v>132</v>
      </c>
      <c r="U6257" s="773">
        <v>132</v>
      </c>
      <c r="V6257" s="773">
        <v>2977</v>
      </c>
      <c r="W6257" s="773" t="s">
        <v>390</v>
      </c>
    </row>
    <row r="6258" spans="19:23">
      <c r="S6258" s="27">
        <v>44926</v>
      </c>
      <c r="T6258" s="773" t="s">
        <v>132</v>
      </c>
      <c r="U6258" s="773">
        <v>240</v>
      </c>
      <c r="V6258" s="773">
        <v>4</v>
      </c>
      <c r="W6258" s="773" t="s">
        <v>410</v>
      </c>
    </row>
    <row r="6259" spans="19:23">
      <c r="S6259" s="27">
        <v>44926</v>
      </c>
      <c r="T6259" s="773" t="s">
        <v>132</v>
      </c>
      <c r="U6259" s="773">
        <v>699</v>
      </c>
      <c r="V6259" s="773">
        <v>2825</v>
      </c>
      <c r="W6259" s="773" t="s">
        <v>390</v>
      </c>
    </row>
    <row r="6260" spans="19:23">
      <c r="S6260" s="27">
        <v>44926</v>
      </c>
      <c r="T6260" s="773" t="s">
        <v>132</v>
      </c>
      <c r="U6260" s="773">
        <v>641</v>
      </c>
      <c r="V6260" s="773">
        <v>2123</v>
      </c>
      <c r="W6260" s="773" t="s">
        <v>390</v>
      </c>
    </row>
    <row r="6261" spans="19:23">
      <c r="S6261" s="27">
        <v>44926</v>
      </c>
      <c r="T6261" s="773" t="s">
        <v>132</v>
      </c>
      <c r="U6261" s="773">
        <v>130</v>
      </c>
      <c r="V6261" s="773">
        <v>2</v>
      </c>
      <c r="W6261" s="773" t="s">
        <v>410</v>
      </c>
    </row>
    <row r="6262" spans="19:23">
      <c r="S6262" s="27">
        <v>44926</v>
      </c>
      <c r="T6262" s="773" t="s">
        <v>132</v>
      </c>
      <c r="U6262" s="773">
        <v>150</v>
      </c>
      <c r="V6262" s="773">
        <v>321</v>
      </c>
      <c r="W6262" s="773" t="s">
        <v>390</v>
      </c>
    </row>
    <row r="6263" spans="19:23">
      <c r="S6263" s="27">
        <v>44926</v>
      </c>
      <c r="T6263" s="773" t="s">
        <v>132</v>
      </c>
      <c r="U6263" s="773">
        <v>324</v>
      </c>
      <c r="V6263" s="773">
        <v>1666</v>
      </c>
      <c r="W6263" s="773" t="s">
        <v>390</v>
      </c>
    </row>
    <row r="6264" spans="19:23">
      <c r="S6264" s="27">
        <v>44926</v>
      </c>
      <c r="T6264" s="773" t="s">
        <v>132</v>
      </c>
      <c r="U6264" s="773">
        <v>164</v>
      </c>
      <c r="V6264" s="773">
        <v>10</v>
      </c>
      <c r="W6264" s="773" t="s">
        <v>410</v>
      </c>
    </row>
    <row r="6265" spans="19:23">
      <c r="S6265" s="27">
        <v>44926</v>
      </c>
      <c r="T6265" s="773" t="s">
        <v>132</v>
      </c>
      <c r="U6265" s="773">
        <v>63</v>
      </c>
      <c r="V6265" s="773">
        <v>1</v>
      </c>
      <c r="W6265" s="773" t="s">
        <v>410</v>
      </c>
    </row>
    <row r="6266" spans="19:23">
      <c r="S6266" s="27">
        <v>44926</v>
      </c>
      <c r="T6266" s="773" t="s">
        <v>132</v>
      </c>
      <c r="U6266" s="773">
        <v>83</v>
      </c>
      <c r="V6266" s="773">
        <v>2438</v>
      </c>
      <c r="W6266" s="773" t="s">
        <v>390</v>
      </c>
    </row>
    <row r="6267" spans="19:23">
      <c r="S6267" s="27">
        <v>44926</v>
      </c>
      <c r="T6267" s="773" t="s">
        <v>132</v>
      </c>
      <c r="U6267" s="773">
        <v>249</v>
      </c>
      <c r="V6267" s="773">
        <v>3423</v>
      </c>
      <c r="W6267" s="773" t="s">
        <v>390</v>
      </c>
    </row>
    <row r="6268" spans="19:23">
      <c r="S6268" s="27">
        <v>44926</v>
      </c>
      <c r="T6268" s="773" t="s">
        <v>132</v>
      </c>
      <c r="U6268" s="773">
        <v>64</v>
      </c>
      <c r="V6268" s="773">
        <v>1</v>
      </c>
      <c r="W6268" s="773" t="s">
        <v>410</v>
      </c>
    </row>
    <row r="6269" spans="19:23">
      <c r="S6269" s="27">
        <v>44926</v>
      </c>
      <c r="T6269" s="773" t="s">
        <v>132</v>
      </c>
      <c r="U6269" s="773">
        <v>326</v>
      </c>
      <c r="V6269" s="773">
        <v>2672</v>
      </c>
      <c r="W6269" s="773" t="s">
        <v>390</v>
      </c>
    </row>
    <row r="6270" spans="19:23">
      <c r="S6270" s="27">
        <v>44926</v>
      </c>
      <c r="T6270" s="773" t="s">
        <v>132</v>
      </c>
      <c r="U6270" s="773">
        <v>316</v>
      </c>
      <c r="V6270" s="773">
        <v>8</v>
      </c>
      <c r="W6270" s="773" t="s">
        <v>410</v>
      </c>
    </row>
    <row r="6271" spans="19:23">
      <c r="S6271" s="27">
        <v>44926</v>
      </c>
      <c r="T6271" s="773" t="s">
        <v>132</v>
      </c>
      <c r="U6271" s="773">
        <v>304</v>
      </c>
      <c r="V6271" s="773">
        <v>120</v>
      </c>
      <c r="W6271" s="773" t="s">
        <v>390</v>
      </c>
    </row>
    <row r="6272" spans="19:23">
      <c r="S6272" s="27">
        <v>44926</v>
      </c>
      <c r="T6272" s="773" t="s">
        <v>132</v>
      </c>
      <c r="U6272" s="773">
        <v>108</v>
      </c>
      <c r="V6272" s="773">
        <v>10</v>
      </c>
      <c r="W6272" s="773" t="s">
        <v>410</v>
      </c>
    </row>
    <row r="6273" spans="19:23">
      <c r="S6273" s="27">
        <v>44926</v>
      </c>
      <c r="T6273" s="773" t="s">
        <v>132</v>
      </c>
      <c r="U6273" s="773">
        <v>215</v>
      </c>
      <c r="V6273" s="773">
        <v>681</v>
      </c>
      <c r="W6273" s="773" t="s">
        <v>390</v>
      </c>
    </row>
    <row r="6274" spans="19:23">
      <c r="S6274" s="27">
        <v>44926</v>
      </c>
      <c r="T6274" s="773" t="s">
        <v>132</v>
      </c>
      <c r="U6274" s="773">
        <v>658</v>
      </c>
      <c r="V6274" s="773">
        <v>3273</v>
      </c>
      <c r="W6274" s="773" t="s">
        <v>390</v>
      </c>
    </row>
    <row r="6275" spans="19:23">
      <c r="S6275" s="27">
        <v>44926</v>
      </c>
      <c r="T6275" s="773" t="s">
        <v>132</v>
      </c>
      <c r="U6275" s="773">
        <v>254</v>
      </c>
      <c r="V6275" s="773">
        <v>6</v>
      </c>
      <c r="W6275" s="773" t="s">
        <v>410</v>
      </c>
    </row>
    <row r="6276" spans="19:23">
      <c r="S6276" s="27">
        <v>44926</v>
      </c>
      <c r="T6276" s="773" t="s">
        <v>132</v>
      </c>
      <c r="U6276" s="773">
        <v>218</v>
      </c>
      <c r="V6276" s="773">
        <v>141</v>
      </c>
      <c r="W6276" s="773" t="s">
        <v>390</v>
      </c>
    </row>
    <row r="6277" spans="19:23">
      <c r="S6277" s="27">
        <v>44926</v>
      </c>
      <c r="T6277" s="773" t="s">
        <v>132</v>
      </c>
      <c r="U6277" s="773">
        <v>124</v>
      </c>
      <c r="V6277" s="773">
        <v>9</v>
      </c>
      <c r="W6277" s="773" t="s">
        <v>410</v>
      </c>
    </row>
    <row r="6278" spans="19:23">
      <c r="S6278" s="27">
        <v>44926</v>
      </c>
      <c r="T6278" s="773" t="s">
        <v>132</v>
      </c>
      <c r="U6278" s="773">
        <v>678</v>
      </c>
      <c r="V6278" s="773">
        <v>183</v>
      </c>
      <c r="W6278" s="773" t="s">
        <v>390</v>
      </c>
    </row>
    <row r="6279" spans="19:23">
      <c r="S6279" s="27">
        <v>44926</v>
      </c>
      <c r="T6279" s="773" t="s">
        <v>132</v>
      </c>
      <c r="U6279" s="773">
        <v>84</v>
      </c>
      <c r="V6279" s="773">
        <v>2435</v>
      </c>
      <c r="W6279" s="773" t="s">
        <v>390</v>
      </c>
    </row>
    <row r="6280" spans="19:23">
      <c r="S6280" s="27">
        <v>44926</v>
      </c>
      <c r="T6280" s="773" t="s">
        <v>132</v>
      </c>
      <c r="U6280" s="773">
        <v>315</v>
      </c>
      <c r="V6280" s="773">
        <v>1905</v>
      </c>
      <c r="W6280" s="773" t="s">
        <v>390</v>
      </c>
    </row>
    <row r="6281" spans="19:23">
      <c r="S6281" s="27">
        <v>44926</v>
      </c>
      <c r="T6281" s="773" t="s">
        <v>132</v>
      </c>
      <c r="U6281" s="773">
        <v>89</v>
      </c>
      <c r="V6281" s="773">
        <v>1098</v>
      </c>
      <c r="W6281" s="773" t="s">
        <v>390</v>
      </c>
    </row>
    <row r="6282" spans="19:23">
      <c r="S6282" s="27">
        <v>44926</v>
      </c>
      <c r="T6282" s="773" t="s">
        <v>132</v>
      </c>
      <c r="U6282" s="773">
        <v>155</v>
      </c>
      <c r="V6282" s="773">
        <v>2570</v>
      </c>
      <c r="W6282" s="773" t="s">
        <v>390</v>
      </c>
    </row>
    <row r="6283" spans="19:23">
      <c r="S6283" s="27">
        <v>44926</v>
      </c>
      <c r="T6283" s="773" t="s">
        <v>132</v>
      </c>
      <c r="U6283" s="773">
        <v>279</v>
      </c>
      <c r="V6283" s="773">
        <v>2</v>
      </c>
      <c r="W6283" s="773" t="s">
        <v>410</v>
      </c>
    </row>
    <row r="6284" spans="19:23">
      <c r="S6284" s="27">
        <v>44926</v>
      </c>
      <c r="T6284" s="773" t="s">
        <v>132</v>
      </c>
      <c r="U6284" s="773">
        <v>68</v>
      </c>
      <c r="V6284" s="773">
        <v>871</v>
      </c>
      <c r="W6284" s="773" t="s">
        <v>390</v>
      </c>
    </row>
    <row r="6285" spans="19:23">
      <c r="S6285" s="27">
        <v>44926</v>
      </c>
      <c r="T6285" s="773" t="s">
        <v>132</v>
      </c>
      <c r="U6285" s="773">
        <v>707</v>
      </c>
      <c r="V6285" s="773">
        <v>303</v>
      </c>
      <c r="W6285" s="773" t="s">
        <v>390</v>
      </c>
    </row>
    <row r="6286" spans="19:23">
      <c r="S6286" s="27">
        <v>44926</v>
      </c>
      <c r="T6286" s="773" t="s">
        <v>132</v>
      </c>
      <c r="U6286" s="773">
        <v>134</v>
      </c>
      <c r="V6286" s="773">
        <v>1</v>
      </c>
      <c r="W6286" s="773" t="s">
        <v>410</v>
      </c>
    </row>
    <row r="6287" spans="19:23">
      <c r="S6287" s="27">
        <v>44926</v>
      </c>
      <c r="T6287" s="773" t="s">
        <v>132</v>
      </c>
      <c r="U6287" s="773">
        <v>194</v>
      </c>
      <c r="V6287" s="773">
        <v>3723</v>
      </c>
      <c r="W6287" s="773" t="s">
        <v>390</v>
      </c>
    </row>
    <row r="6288" spans="19:23">
      <c r="S6288" s="27">
        <v>44926</v>
      </c>
      <c r="T6288" s="773" t="s">
        <v>132</v>
      </c>
      <c r="U6288" s="773">
        <v>141</v>
      </c>
      <c r="V6288" s="773">
        <v>1</v>
      </c>
      <c r="W6288" s="773" t="s">
        <v>410</v>
      </c>
    </row>
    <row r="6289" spans="19:23">
      <c r="S6289" s="27">
        <v>44926</v>
      </c>
      <c r="T6289" s="773" t="s">
        <v>132</v>
      </c>
      <c r="U6289" s="773">
        <v>722</v>
      </c>
      <c r="V6289" s="773">
        <v>1</v>
      </c>
      <c r="W6289" s="773" t="s">
        <v>410</v>
      </c>
    </row>
    <row r="6290" spans="19:23">
      <c r="S6290" s="27">
        <v>44926</v>
      </c>
      <c r="T6290" s="773" t="s">
        <v>132</v>
      </c>
      <c r="U6290" s="773">
        <v>96</v>
      </c>
      <c r="V6290" s="773">
        <v>2</v>
      </c>
      <c r="W6290" s="773" t="s">
        <v>410</v>
      </c>
    </row>
    <row r="6291" spans="19:23">
      <c r="S6291" s="27">
        <v>44926</v>
      </c>
      <c r="T6291" s="773" t="s">
        <v>132</v>
      </c>
      <c r="U6291" s="773">
        <v>294</v>
      </c>
      <c r="V6291" s="773">
        <v>3</v>
      </c>
      <c r="W6291" s="773" t="s">
        <v>410</v>
      </c>
    </row>
    <row r="6292" spans="19:23">
      <c r="S6292" s="27">
        <v>44926</v>
      </c>
      <c r="T6292" s="773" t="s">
        <v>132</v>
      </c>
      <c r="U6292" s="773">
        <v>203</v>
      </c>
      <c r="V6292" s="773">
        <v>2521</v>
      </c>
      <c r="W6292" s="773" t="s">
        <v>390</v>
      </c>
    </row>
    <row r="6293" spans="19:23">
      <c r="S6293" s="27">
        <v>44926</v>
      </c>
      <c r="T6293" s="773" t="s">
        <v>132</v>
      </c>
      <c r="U6293" s="773">
        <v>102</v>
      </c>
      <c r="V6293" s="773">
        <v>2</v>
      </c>
      <c r="W6293" s="773" t="s">
        <v>410</v>
      </c>
    </row>
    <row r="6294" spans="19:23">
      <c r="S6294" s="27">
        <v>44926</v>
      </c>
      <c r="T6294" s="773" t="s">
        <v>132</v>
      </c>
      <c r="U6294" s="773">
        <v>139</v>
      </c>
      <c r="V6294" s="773">
        <v>2386</v>
      </c>
      <c r="W6294" s="773" t="s">
        <v>390</v>
      </c>
    </row>
    <row r="6295" spans="19:23">
      <c r="S6295" s="27">
        <v>44926</v>
      </c>
      <c r="T6295" s="773" t="s">
        <v>132</v>
      </c>
      <c r="U6295" s="773">
        <v>680</v>
      </c>
      <c r="V6295" s="773">
        <v>3029</v>
      </c>
      <c r="W6295" s="773" t="s">
        <v>390</v>
      </c>
    </row>
    <row r="6296" spans="19:23">
      <c r="S6296" s="27">
        <v>44926</v>
      </c>
      <c r="T6296" s="773" t="s">
        <v>132</v>
      </c>
      <c r="U6296" s="773">
        <v>35</v>
      </c>
      <c r="V6296" s="773">
        <v>879</v>
      </c>
      <c r="W6296" s="773" t="s">
        <v>390</v>
      </c>
    </row>
    <row r="6297" spans="19:23">
      <c r="S6297" s="27">
        <v>44926</v>
      </c>
      <c r="T6297" s="773" t="s">
        <v>132</v>
      </c>
      <c r="U6297" s="773">
        <v>200</v>
      </c>
      <c r="V6297" s="773">
        <v>1</v>
      </c>
      <c r="W6297" s="773" t="s">
        <v>410</v>
      </c>
    </row>
    <row r="6298" spans="19:23">
      <c r="S6298" s="27">
        <v>44926</v>
      </c>
      <c r="T6298" s="773" t="s">
        <v>132</v>
      </c>
      <c r="U6298" s="773">
        <v>671</v>
      </c>
      <c r="V6298" s="773">
        <v>2015</v>
      </c>
      <c r="W6298" s="773" t="s">
        <v>390</v>
      </c>
    </row>
    <row r="6299" spans="19:23">
      <c r="S6299" s="27">
        <v>44926</v>
      </c>
      <c r="T6299" s="773" t="s">
        <v>132</v>
      </c>
      <c r="U6299" s="773">
        <v>670</v>
      </c>
      <c r="V6299" s="773">
        <v>2489</v>
      </c>
      <c r="W6299" s="773" t="s">
        <v>390</v>
      </c>
    </row>
    <row r="6300" spans="19:23">
      <c r="S6300" s="27">
        <v>44926</v>
      </c>
      <c r="T6300" s="773" t="s">
        <v>132</v>
      </c>
      <c r="U6300" s="773">
        <v>275</v>
      </c>
      <c r="V6300" s="773">
        <v>25</v>
      </c>
      <c r="W6300" s="773" t="s">
        <v>410</v>
      </c>
    </row>
    <row r="6301" spans="19:23">
      <c r="S6301" s="27">
        <v>44926</v>
      </c>
      <c r="T6301" s="773" t="s">
        <v>132</v>
      </c>
      <c r="U6301" s="773">
        <v>247</v>
      </c>
      <c r="V6301" s="773">
        <v>2565</v>
      </c>
      <c r="W6301" s="773" t="s">
        <v>390</v>
      </c>
    </row>
    <row r="6302" spans="19:23">
      <c r="S6302" s="27">
        <v>44926</v>
      </c>
      <c r="T6302" s="773" t="s">
        <v>132</v>
      </c>
      <c r="U6302" s="773">
        <v>202</v>
      </c>
      <c r="V6302" s="773">
        <v>1</v>
      </c>
      <c r="W6302" s="773" t="s">
        <v>410</v>
      </c>
    </row>
    <row r="6303" spans="19:23">
      <c r="S6303" s="27">
        <v>44926</v>
      </c>
      <c r="T6303" s="773" t="s">
        <v>132</v>
      </c>
      <c r="U6303" s="773">
        <v>681</v>
      </c>
      <c r="V6303" s="773">
        <v>643</v>
      </c>
      <c r="W6303" s="773" t="s">
        <v>390</v>
      </c>
    </row>
    <row r="6304" spans="19:23">
      <c r="S6304" s="27">
        <v>44926</v>
      </c>
      <c r="T6304" s="773" t="s">
        <v>132</v>
      </c>
      <c r="U6304" s="773">
        <v>230</v>
      </c>
      <c r="V6304" s="773">
        <v>6</v>
      </c>
      <c r="W6304" s="773" t="s">
        <v>410</v>
      </c>
    </row>
    <row r="6305" spans="19:23">
      <c r="S6305" s="27">
        <v>44926</v>
      </c>
      <c r="T6305" s="773" t="s">
        <v>132</v>
      </c>
      <c r="U6305" s="773">
        <v>56</v>
      </c>
      <c r="V6305" s="773">
        <v>9</v>
      </c>
      <c r="W6305" s="773" t="s">
        <v>410</v>
      </c>
    </row>
    <row r="6306" spans="19:23">
      <c r="S6306" s="27">
        <v>44926</v>
      </c>
      <c r="T6306" s="773" t="s">
        <v>132</v>
      </c>
      <c r="U6306" s="773">
        <v>44</v>
      </c>
      <c r="V6306" s="773">
        <v>2198</v>
      </c>
      <c r="W6306" s="773" t="s">
        <v>390</v>
      </c>
    </row>
    <row r="6307" spans="19:23">
      <c r="S6307" s="27">
        <v>44926</v>
      </c>
      <c r="T6307" s="773" t="s">
        <v>132</v>
      </c>
      <c r="U6307" s="773">
        <v>696</v>
      </c>
      <c r="V6307" s="773">
        <v>2149</v>
      </c>
      <c r="W6307" s="773" t="s">
        <v>390</v>
      </c>
    </row>
    <row r="6308" spans="19:23">
      <c r="S6308" s="27">
        <v>44926</v>
      </c>
      <c r="T6308" s="773" t="s">
        <v>132</v>
      </c>
      <c r="U6308" s="773">
        <v>133</v>
      </c>
      <c r="V6308" s="773">
        <v>4</v>
      </c>
      <c r="W6308" s="773" t="s">
        <v>410</v>
      </c>
    </row>
    <row r="6309" spans="19:23">
      <c r="S6309" s="27">
        <v>44926</v>
      </c>
      <c r="T6309" s="773" t="s">
        <v>132</v>
      </c>
      <c r="U6309" s="773">
        <v>769</v>
      </c>
      <c r="V6309" s="773">
        <v>27</v>
      </c>
      <c r="W6309" s="773" t="s">
        <v>410</v>
      </c>
    </row>
    <row r="6310" spans="19:23">
      <c r="S6310" s="27">
        <v>44926</v>
      </c>
      <c r="T6310" s="773" t="s">
        <v>132</v>
      </c>
      <c r="U6310" s="773">
        <v>290</v>
      </c>
      <c r="V6310" s="773">
        <v>521</v>
      </c>
      <c r="W6310" s="773" t="s">
        <v>390</v>
      </c>
    </row>
    <row r="6311" spans="19:23">
      <c r="S6311" s="27">
        <v>44926</v>
      </c>
      <c r="T6311" s="773" t="s">
        <v>132</v>
      </c>
      <c r="U6311" s="773">
        <v>69</v>
      </c>
      <c r="V6311" s="773">
        <v>1</v>
      </c>
      <c r="W6311" s="773" t="s">
        <v>410</v>
      </c>
    </row>
    <row r="6312" spans="19:23">
      <c r="S6312" s="27">
        <v>44926</v>
      </c>
      <c r="T6312" s="773" t="s">
        <v>132</v>
      </c>
      <c r="U6312" s="773">
        <v>710</v>
      </c>
      <c r="V6312" s="773">
        <v>947</v>
      </c>
      <c r="W6312" s="773" t="s">
        <v>390</v>
      </c>
    </row>
    <row r="6313" spans="19:23">
      <c r="S6313" s="27">
        <v>44926</v>
      </c>
      <c r="T6313" s="773" t="s">
        <v>132</v>
      </c>
      <c r="U6313" s="773">
        <v>724</v>
      </c>
      <c r="V6313" s="773">
        <v>2453</v>
      </c>
      <c r="W6313" s="773" t="s">
        <v>390</v>
      </c>
    </row>
    <row r="6314" spans="19:23">
      <c r="S6314" s="27">
        <v>44926</v>
      </c>
      <c r="T6314" s="773" t="s">
        <v>132</v>
      </c>
      <c r="U6314" s="773">
        <v>252</v>
      </c>
      <c r="V6314" s="773">
        <v>928</v>
      </c>
      <c r="W6314" s="773" t="s">
        <v>390</v>
      </c>
    </row>
    <row r="6315" spans="19:23">
      <c r="S6315" s="27">
        <v>44926</v>
      </c>
      <c r="T6315" s="773" t="s">
        <v>132</v>
      </c>
      <c r="U6315" s="773">
        <v>728</v>
      </c>
      <c r="V6315" s="773">
        <v>92</v>
      </c>
      <c r="W6315" s="773" t="s">
        <v>410</v>
      </c>
    </row>
    <row r="6316" spans="19:23">
      <c r="S6316" s="27">
        <v>44926</v>
      </c>
      <c r="T6316" s="773" t="s">
        <v>132</v>
      </c>
      <c r="U6316" s="773">
        <v>720</v>
      </c>
      <c r="V6316" s="773">
        <v>2924</v>
      </c>
      <c r="W6316" s="773" t="s">
        <v>390</v>
      </c>
    </row>
    <row r="6317" spans="19:23">
      <c r="S6317" s="27">
        <v>44926</v>
      </c>
      <c r="T6317" s="773" t="s">
        <v>132</v>
      </c>
      <c r="U6317" s="773">
        <v>297</v>
      </c>
      <c r="V6317" s="773">
        <v>805</v>
      </c>
      <c r="W6317" s="773" t="s">
        <v>390</v>
      </c>
    </row>
    <row r="6318" spans="19:23">
      <c r="S6318" s="27">
        <v>44926</v>
      </c>
      <c r="T6318" s="773" t="s">
        <v>132</v>
      </c>
      <c r="U6318" s="773">
        <v>220</v>
      </c>
      <c r="V6318" s="773">
        <v>110</v>
      </c>
      <c r="W6318" s="773" t="s">
        <v>390</v>
      </c>
    </row>
    <row r="6319" spans="19:23">
      <c r="S6319" s="27">
        <v>44926</v>
      </c>
      <c r="T6319" s="773" t="s">
        <v>132</v>
      </c>
      <c r="U6319" s="773">
        <v>276</v>
      </c>
      <c r="V6319" s="773">
        <v>1</v>
      </c>
      <c r="W6319" s="773" t="s">
        <v>410</v>
      </c>
    </row>
    <row r="6320" spans="19:23">
      <c r="S6320" s="27">
        <v>44926</v>
      </c>
      <c r="T6320" s="773" t="s">
        <v>132</v>
      </c>
      <c r="U6320" s="773">
        <v>153</v>
      </c>
      <c r="V6320" s="773">
        <v>2302</v>
      </c>
      <c r="W6320" s="773" t="s">
        <v>390</v>
      </c>
    </row>
    <row r="6321" spans="19:23">
      <c r="S6321" s="27">
        <v>44926</v>
      </c>
      <c r="T6321" s="773" t="s">
        <v>132</v>
      </c>
      <c r="U6321" s="773">
        <v>61</v>
      </c>
      <c r="V6321" s="773">
        <v>2</v>
      </c>
      <c r="W6321" s="773" t="s">
        <v>410</v>
      </c>
    </row>
    <row r="6322" spans="19:23">
      <c r="S6322" s="27">
        <v>44926</v>
      </c>
      <c r="T6322" s="773" t="s">
        <v>132</v>
      </c>
      <c r="U6322" s="773">
        <v>136</v>
      </c>
      <c r="V6322" s="773">
        <v>10</v>
      </c>
      <c r="W6322" s="773" t="s">
        <v>410</v>
      </c>
    </row>
    <row r="6323" spans="19:23">
      <c r="S6323" s="27">
        <v>44926</v>
      </c>
      <c r="T6323" s="773" t="s">
        <v>132</v>
      </c>
      <c r="U6323" s="773">
        <v>748</v>
      </c>
      <c r="V6323" s="773">
        <v>91</v>
      </c>
      <c r="W6323" s="773" t="s">
        <v>410</v>
      </c>
    </row>
    <row r="6324" spans="19:23">
      <c r="S6324" s="27">
        <v>44926</v>
      </c>
      <c r="T6324" s="773" t="s">
        <v>132</v>
      </c>
      <c r="U6324" s="773">
        <v>222</v>
      </c>
      <c r="V6324" s="773">
        <v>5</v>
      </c>
      <c r="W6324" s="773" t="s">
        <v>410</v>
      </c>
    </row>
    <row r="6325" spans="19:23">
      <c r="S6325" s="27">
        <v>44926</v>
      </c>
      <c r="T6325" s="773" t="s">
        <v>132</v>
      </c>
      <c r="U6325" s="773">
        <v>662</v>
      </c>
      <c r="V6325" s="773">
        <v>6</v>
      </c>
      <c r="W6325" s="773" t="s">
        <v>410</v>
      </c>
    </row>
    <row r="6326" spans="19:23">
      <c r="S6326" s="27">
        <v>44926</v>
      </c>
      <c r="T6326" s="773" t="s">
        <v>132</v>
      </c>
      <c r="U6326" s="773">
        <v>669</v>
      </c>
      <c r="V6326" s="773">
        <v>2910</v>
      </c>
      <c r="W6326" s="773" t="s">
        <v>390</v>
      </c>
    </row>
    <row r="6327" spans="19:23">
      <c r="S6327" s="27">
        <v>44926</v>
      </c>
      <c r="T6327" s="773" t="s">
        <v>132</v>
      </c>
      <c r="U6327" s="773">
        <v>750</v>
      </c>
      <c r="V6327" s="773">
        <v>44</v>
      </c>
      <c r="W6327" s="773" t="s">
        <v>410</v>
      </c>
    </row>
    <row r="6328" spans="19:23">
      <c r="S6328" s="27">
        <v>44926</v>
      </c>
      <c r="T6328" s="773" t="s">
        <v>132</v>
      </c>
      <c r="U6328" s="773">
        <v>727</v>
      </c>
      <c r="V6328" s="773">
        <v>3659</v>
      </c>
      <c r="W6328" s="773" t="s">
        <v>390</v>
      </c>
    </row>
    <row r="6329" spans="19:23">
      <c r="S6329" s="27">
        <v>44926</v>
      </c>
      <c r="T6329" s="773" t="s">
        <v>132</v>
      </c>
      <c r="U6329" s="773">
        <v>193</v>
      </c>
      <c r="V6329" s="773">
        <v>483</v>
      </c>
      <c r="W6329" s="773" t="s">
        <v>390</v>
      </c>
    </row>
    <row r="6330" spans="19:23">
      <c r="S6330" s="27">
        <v>44926</v>
      </c>
      <c r="T6330" s="773" t="s">
        <v>132</v>
      </c>
      <c r="U6330" s="773">
        <v>188</v>
      </c>
      <c r="V6330" s="773">
        <v>797</v>
      </c>
      <c r="W6330" s="773" t="s">
        <v>390</v>
      </c>
    </row>
    <row r="6331" spans="19:23">
      <c r="S6331" s="27">
        <v>44926</v>
      </c>
      <c r="T6331" s="773" t="s">
        <v>132</v>
      </c>
      <c r="U6331" s="773">
        <v>140</v>
      </c>
      <c r="V6331" s="773">
        <v>589</v>
      </c>
      <c r="W6331" s="773" t="s">
        <v>390</v>
      </c>
    </row>
    <row r="6332" spans="19:23">
      <c r="S6332" s="27">
        <v>44926</v>
      </c>
      <c r="T6332" s="773" t="s">
        <v>132</v>
      </c>
      <c r="U6332" s="773">
        <v>46</v>
      </c>
      <c r="V6332" s="773">
        <v>1</v>
      </c>
      <c r="W6332" s="773" t="s">
        <v>410</v>
      </c>
    </row>
    <row r="6333" spans="19:23">
      <c r="S6333" s="27">
        <v>44926</v>
      </c>
      <c r="T6333" s="773" t="s">
        <v>132</v>
      </c>
      <c r="U6333" s="773">
        <v>265</v>
      </c>
      <c r="V6333" s="773">
        <v>20</v>
      </c>
      <c r="W6333" s="773" t="s">
        <v>410</v>
      </c>
    </row>
    <row r="6334" spans="19:23">
      <c r="S6334" s="27">
        <v>44926</v>
      </c>
      <c r="T6334" s="773" t="s">
        <v>132</v>
      </c>
      <c r="U6334" s="773">
        <v>296</v>
      </c>
      <c r="V6334" s="773">
        <v>2469</v>
      </c>
      <c r="W6334" s="773" t="s">
        <v>390</v>
      </c>
    </row>
    <row r="6335" spans="19:23">
      <c r="S6335" s="27">
        <v>44926</v>
      </c>
      <c r="T6335" s="773" t="s">
        <v>132</v>
      </c>
      <c r="U6335" s="773">
        <v>322</v>
      </c>
      <c r="V6335" s="773">
        <v>2567</v>
      </c>
      <c r="W6335" s="773" t="s">
        <v>390</v>
      </c>
    </row>
    <row r="6336" spans="19:23">
      <c r="S6336" s="27">
        <v>44926</v>
      </c>
      <c r="T6336" s="773" t="s">
        <v>132</v>
      </c>
      <c r="U6336" s="773">
        <v>319</v>
      </c>
      <c r="V6336" s="773">
        <v>3170</v>
      </c>
      <c r="W6336" s="773" t="s">
        <v>390</v>
      </c>
    </row>
    <row r="6337" spans="19:23">
      <c r="S6337" s="27">
        <v>44926</v>
      </c>
      <c r="T6337" s="773" t="s">
        <v>132</v>
      </c>
      <c r="U6337" s="773">
        <v>271</v>
      </c>
      <c r="V6337" s="773">
        <v>2891</v>
      </c>
      <c r="W6337" s="773" t="s">
        <v>390</v>
      </c>
    </row>
    <row r="6338" spans="19:23">
      <c r="S6338" s="27">
        <v>44926</v>
      </c>
      <c r="T6338" s="773" t="s">
        <v>132</v>
      </c>
      <c r="U6338" s="773">
        <v>306</v>
      </c>
      <c r="V6338" s="773">
        <v>2382</v>
      </c>
      <c r="W6338" s="773" t="s">
        <v>390</v>
      </c>
    </row>
    <row r="6339" spans="19:23">
      <c r="S6339" s="27">
        <v>44926</v>
      </c>
      <c r="T6339" s="773" t="s">
        <v>132</v>
      </c>
      <c r="U6339" s="773">
        <v>66</v>
      </c>
      <c r="V6339" s="773">
        <v>1</v>
      </c>
      <c r="W6339" s="773" t="s">
        <v>410</v>
      </c>
    </row>
    <row r="6340" spans="19:23">
      <c r="S6340" s="27">
        <v>44926</v>
      </c>
      <c r="T6340" s="773" t="s">
        <v>132</v>
      </c>
      <c r="U6340" s="773">
        <v>320</v>
      </c>
      <c r="V6340" s="773">
        <v>1695</v>
      </c>
      <c r="W6340" s="773" t="s">
        <v>390</v>
      </c>
    </row>
    <row r="6341" spans="19:23">
      <c r="S6341" s="27">
        <v>44926</v>
      </c>
      <c r="T6341" s="773" t="s">
        <v>132</v>
      </c>
      <c r="U6341" s="773">
        <v>718</v>
      </c>
      <c r="V6341" s="773">
        <v>1484</v>
      </c>
      <c r="W6341" s="773" t="s">
        <v>390</v>
      </c>
    </row>
    <row r="6342" spans="19:23">
      <c r="S6342" s="27">
        <v>44926</v>
      </c>
      <c r="T6342" s="773" t="s">
        <v>132</v>
      </c>
      <c r="U6342" s="773">
        <v>43</v>
      </c>
      <c r="V6342" s="773">
        <v>1010</v>
      </c>
      <c r="W6342" s="773" t="s">
        <v>390</v>
      </c>
    </row>
    <row r="6343" spans="19:23">
      <c r="S6343" s="27">
        <v>44926</v>
      </c>
      <c r="T6343" s="773" t="s">
        <v>132</v>
      </c>
      <c r="U6343" s="773">
        <v>725</v>
      </c>
      <c r="V6343" s="773">
        <v>193</v>
      </c>
      <c r="W6343" s="773" t="s">
        <v>390</v>
      </c>
    </row>
    <row r="6344" spans="19:23">
      <c r="S6344" s="27">
        <v>44926</v>
      </c>
      <c r="T6344" s="773" t="s">
        <v>132</v>
      </c>
      <c r="U6344" s="773">
        <v>109</v>
      </c>
      <c r="V6344" s="773">
        <v>1</v>
      </c>
      <c r="W6344" s="773" t="s">
        <v>410</v>
      </c>
    </row>
    <row r="6345" spans="19:23">
      <c r="S6345" s="27">
        <v>44926</v>
      </c>
      <c r="T6345" s="773" t="s">
        <v>132</v>
      </c>
      <c r="U6345" s="773">
        <v>321</v>
      </c>
      <c r="V6345" s="773">
        <v>1948</v>
      </c>
      <c r="W6345" s="773" t="s">
        <v>390</v>
      </c>
    </row>
    <row r="6346" spans="19:23">
      <c r="S6346" s="27">
        <v>44926</v>
      </c>
      <c r="T6346" s="773" t="s">
        <v>132</v>
      </c>
      <c r="U6346" s="773">
        <v>687</v>
      </c>
      <c r="V6346" s="773">
        <v>3122</v>
      </c>
      <c r="W6346" s="773" t="s">
        <v>390</v>
      </c>
    </row>
    <row r="6347" spans="19:23">
      <c r="S6347" s="27">
        <v>44926</v>
      </c>
      <c r="T6347" s="773" t="s">
        <v>132</v>
      </c>
      <c r="U6347" s="773">
        <v>729</v>
      </c>
      <c r="V6347" s="773">
        <v>80</v>
      </c>
      <c r="W6347" s="773" t="s">
        <v>410</v>
      </c>
    </row>
    <row r="6348" spans="19:23">
      <c r="S6348" s="27">
        <v>44926</v>
      </c>
      <c r="T6348" s="773" t="s">
        <v>132</v>
      </c>
      <c r="U6348" s="773">
        <v>27</v>
      </c>
      <c r="V6348" s="773">
        <v>1</v>
      </c>
      <c r="W6348" s="773" t="s">
        <v>410</v>
      </c>
    </row>
    <row r="6349" spans="19:23">
      <c r="S6349" s="27">
        <v>44926</v>
      </c>
      <c r="T6349" s="773" t="s">
        <v>132</v>
      </c>
      <c r="U6349" s="773">
        <v>119</v>
      </c>
      <c r="V6349" s="773">
        <v>1</v>
      </c>
      <c r="W6349" s="773" t="s">
        <v>410</v>
      </c>
    </row>
    <row r="6350" spans="19:23">
      <c r="S6350" s="27">
        <v>44926</v>
      </c>
      <c r="T6350" s="773" t="s">
        <v>132</v>
      </c>
      <c r="U6350" s="773">
        <v>328</v>
      </c>
      <c r="V6350" s="773">
        <v>1409</v>
      </c>
      <c r="W6350" s="773" t="s">
        <v>390</v>
      </c>
    </row>
    <row r="6351" spans="19:23">
      <c r="S6351" s="27">
        <v>44926</v>
      </c>
      <c r="T6351" s="773" t="s">
        <v>132</v>
      </c>
      <c r="U6351" s="773">
        <v>684</v>
      </c>
      <c r="V6351" s="773">
        <v>3194</v>
      </c>
      <c r="W6351" s="773" t="s">
        <v>390</v>
      </c>
    </row>
    <row r="6352" spans="19:23">
      <c r="S6352" s="27">
        <v>44926</v>
      </c>
      <c r="T6352" s="773" t="s">
        <v>132</v>
      </c>
      <c r="U6352" s="773">
        <v>654</v>
      </c>
      <c r="V6352" s="773">
        <v>967</v>
      </c>
      <c r="W6352" s="773" t="s">
        <v>390</v>
      </c>
    </row>
    <row r="6353" spans="19:23">
      <c r="S6353" s="27">
        <v>44926</v>
      </c>
      <c r="T6353" s="773" t="s">
        <v>132</v>
      </c>
      <c r="U6353" s="773">
        <v>523</v>
      </c>
      <c r="V6353" s="773">
        <v>2</v>
      </c>
      <c r="W6353" s="773" t="s">
        <v>410</v>
      </c>
    </row>
    <row r="6354" spans="19:23">
      <c r="S6354" s="27">
        <v>44926</v>
      </c>
      <c r="T6354" s="773" t="s">
        <v>132</v>
      </c>
      <c r="U6354" s="773">
        <v>159</v>
      </c>
      <c r="V6354" s="773">
        <v>8</v>
      </c>
      <c r="W6354" s="773" t="s">
        <v>410</v>
      </c>
    </row>
    <row r="6355" spans="19:23">
      <c r="S6355" s="27">
        <v>44926</v>
      </c>
      <c r="T6355" s="773" t="s">
        <v>132</v>
      </c>
      <c r="U6355" s="773">
        <v>92</v>
      </c>
      <c r="V6355" s="773">
        <v>8</v>
      </c>
      <c r="W6355" s="773" t="s">
        <v>410</v>
      </c>
    </row>
    <row r="6356" spans="19:23">
      <c r="S6356" s="27">
        <v>44926</v>
      </c>
      <c r="T6356" s="773" t="s">
        <v>132</v>
      </c>
      <c r="U6356" s="773">
        <v>262</v>
      </c>
      <c r="V6356" s="773">
        <v>47</v>
      </c>
      <c r="W6356" s="773" t="s">
        <v>410</v>
      </c>
    </row>
    <row r="6357" spans="19:23">
      <c r="S6357" s="27">
        <v>44926</v>
      </c>
      <c r="T6357" s="773" t="s">
        <v>132</v>
      </c>
      <c r="U6357" s="773">
        <v>740</v>
      </c>
      <c r="V6357" s="773">
        <v>48</v>
      </c>
      <c r="W6357" s="773" t="s">
        <v>410</v>
      </c>
    </row>
    <row r="6358" spans="19:23">
      <c r="S6358" s="27">
        <v>44926</v>
      </c>
      <c r="T6358" s="773" t="s">
        <v>132</v>
      </c>
      <c r="U6358" s="773">
        <v>94</v>
      </c>
      <c r="V6358" s="773">
        <v>483</v>
      </c>
      <c r="W6358" s="773" t="s">
        <v>390</v>
      </c>
    </row>
    <row r="6359" spans="19:23">
      <c r="S6359" s="27">
        <v>44926</v>
      </c>
      <c r="T6359" s="773" t="s">
        <v>132</v>
      </c>
      <c r="U6359" s="773">
        <v>231</v>
      </c>
      <c r="V6359" s="773">
        <v>4</v>
      </c>
      <c r="W6359" s="773" t="s">
        <v>410</v>
      </c>
    </row>
    <row r="6360" spans="19:23">
      <c r="S6360" s="27">
        <v>44926</v>
      </c>
      <c r="T6360" s="773" t="s">
        <v>132</v>
      </c>
      <c r="U6360" s="773">
        <v>653</v>
      </c>
      <c r="V6360" s="773">
        <v>1</v>
      </c>
      <c r="W6360" s="773" t="s">
        <v>410</v>
      </c>
    </row>
    <row r="6361" spans="19:23">
      <c r="S6361" s="27">
        <v>44985</v>
      </c>
      <c r="T6361" s="773" t="s">
        <v>132</v>
      </c>
      <c r="U6361" s="773">
        <v>317</v>
      </c>
      <c r="V6361" s="773">
        <v>3414</v>
      </c>
      <c r="W6361" s="773" t="s">
        <v>390</v>
      </c>
    </row>
    <row r="6362" spans="19:23">
      <c r="S6362" s="27">
        <v>44985</v>
      </c>
      <c r="T6362" s="773" t="s">
        <v>132</v>
      </c>
      <c r="U6362" s="773">
        <v>651</v>
      </c>
      <c r="V6362" s="773">
        <v>75</v>
      </c>
      <c r="W6362" s="773" t="s">
        <v>410</v>
      </c>
    </row>
    <row r="6363" spans="19:23">
      <c r="S6363" s="27">
        <v>44985</v>
      </c>
      <c r="T6363" s="773" t="s">
        <v>132</v>
      </c>
      <c r="U6363" s="773">
        <v>696</v>
      </c>
      <c r="V6363" s="773">
        <v>19</v>
      </c>
      <c r="W6363" s="773" t="s">
        <v>410</v>
      </c>
    </row>
    <row r="6364" spans="19:23">
      <c r="S6364" s="27">
        <v>44985</v>
      </c>
      <c r="T6364" s="773" t="s">
        <v>132</v>
      </c>
      <c r="U6364" s="773">
        <v>748</v>
      </c>
      <c r="V6364" s="773">
        <v>136</v>
      </c>
      <c r="W6364" s="773" t="s">
        <v>390</v>
      </c>
    </row>
    <row r="6365" spans="19:23">
      <c r="S6365" s="27">
        <v>44985</v>
      </c>
      <c r="T6365" s="773" t="s">
        <v>132</v>
      </c>
      <c r="U6365" s="773">
        <v>658</v>
      </c>
      <c r="V6365" s="773">
        <v>6</v>
      </c>
      <c r="W6365" s="773" t="s">
        <v>410</v>
      </c>
    </row>
    <row r="6366" spans="19:23">
      <c r="S6366" s="27">
        <v>44985</v>
      </c>
      <c r="T6366" s="773" t="s">
        <v>132</v>
      </c>
      <c r="U6366" s="773">
        <v>43</v>
      </c>
      <c r="V6366" s="773">
        <v>1010</v>
      </c>
      <c r="W6366" s="773" t="s">
        <v>390</v>
      </c>
    </row>
    <row r="6367" spans="19:23">
      <c r="S6367" s="27">
        <v>44985</v>
      </c>
      <c r="T6367" s="773" t="s">
        <v>132</v>
      </c>
      <c r="U6367" s="773">
        <v>195</v>
      </c>
      <c r="V6367" s="773">
        <v>1</v>
      </c>
      <c r="W6367" s="773" t="s">
        <v>410</v>
      </c>
    </row>
    <row r="6368" spans="19:23">
      <c r="S6368" s="27">
        <v>44985</v>
      </c>
      <c r="T6368" s="773" t="s">
        <v>132</v>
      </c>
      <c r="U6368" s="773">
        <v>251</v>
      </c>
      <c r="V6368" s="773">
        <v>1946</v>
      </c>
      <c r="W6368" s="773" t="s">
        <v>390</v>
      </c>
    </row>
    <row r="6369" spans="19:23">
      <c r="S6369" s="27">
        <v>44985</v>
      </c>
      <c r="T6369" s="773" t="s">
        <v>132</v>
      </c>
      <c r="U6369" s="773">
        <v>249</v>
      </c>
      <c r="V6369" s="773">
        <v>3441</v>
      </c>
      <c r="W6369" s="773" t="s">
        <v>390</v>
      </c>
    </row>
    <row r="6370" spans="19:23">
      <c r="S6370" s="27">
        <v>44985</v>
      </c>
      <c r="T6370" s="773" t="s">
        <v>132</v>
      </c>
      <c r="U6370" s="773">
        <v>325</v>
      </c>
      <c r="V6370" s="773">
        <v>2124</v>
      </c>
      <c r="W6370" s="773" t="s">
        <v>390</v>
      </c>
    </row>
    <row r="6371" spans="19:23">
      <c r="S6371" s="27">
        <v>44985</v>
      </c>
      <c r="T6371" s="773" t="s">
        <v>132</v>
      </c>
      <c r="U6371" s="773">
        <v>735</v>
      </c>
      <c r="V6371" s="773">
        <v>2669</v>
      </c>
      <c r="W6371" s="773" t="s">
        <v>390</v>
      </c>
    </row>
    <row r="6372" spans="19:23">
      <c r="S6372" s="27">
        <v>44985</v>
      </c>
      <c r="T6372" s="773" t="s">
        <v>132</v>
      </c>
      <c r="U6372" s="773">
        <v>247</v>
      </c>
      <c r="V6372" s="773">
        <v>2536</v>
      </c>
      <c r="W6372" s="773" t="s">
        <v>390</v>
      </c>
    </row>
    <row r="6373" spans="19:23">
      <c r="S6373" s="27">
        <v>44985</v>
      </c>
      <c r="T6373" s="773" t="s">
        <v>132</v>
      </c>
      <c r="U6373" s="773">
        <v>227</v>
      </c>
      <c r="V6373" s="773">
        <v>1</v>
      </c>
      <c r="W6373" s="773" t="s">
        <v>410</v>
      </c>
    </row>
    <row r="6374" spans="19:23">
      <c r="S6374" s="27">
        <v>44985</v>
      </c>
      <c r="T6374" s="773" t="s">
        <v>132</v>
      </c>
      <c r="U6374" s="773">
        <v>46</v>
      </c>
      <c r="V6374" s="773">
        <v>1</v>
      </c>
      <c r="W6374" s="773" t="s">
        <v>410</v>
      </c>
    </row>
    <row r="6375" spans="19:23">
      <c r="S6375" s="27">
        <v>44985</v>
      </c>
      <c r="T6375" s="773" t="s">
        <v>132</v>
      </c>
      <c r="U6375" s="773">
        <v>89</v>
      </c>
      <c r="V6375" s="773">
        <v>1094</v>
      </c>
      <c r="W6375" s="773" t="s">
        <v>390</v>
      </c>
    </row>
    <row r="6376" spans="19:23">
      <c r="S6376" s="27">
        <v>44985</v>
      </c>
      <c r="T6376" s="773" t="s">
        <v>132</v>
      </c>
      <c r="U6376" s="773">
        <v>0</v>
      </c>
      <c r="V6376" s="773">
        <v>45</v>
      </c>
      <c r="W6376" s="773" t="s">
        <v>410</v>
      </c>
    </row>
    <row r="6377" spans="19:23">
      <c r="S6377" s="27">
        <v>44985</v>
      </c>
      <c r="T6377" s="773" t="s">
        <v>132</v>
      </c>
      <c r="U6377" s="773">
        <v>722</v>
      </c>
      <c r="V6377" s="773">
        <v>1</v>
      </c>
      <c r="W6377" s="773" t="s">
        <v>410</v>
      </c>
    </row>
    <row r="6378" spans="19:23">
      <c r="S6378" s="27">
        <v>44985</v>
      </c>
      <c r="T6378" s="773" t="s">
        <v>132</v>
      </c>
      <c r="U6378" s="773">
        <v>253</v>
      </c>
      <c r="V6378" s="773">
        <v>10</v>
      </c>
      <c r="W6378" s="773" t="s">
        <v>410</v>
      </c>
    </row>
    <row r="6379" spans="19:23">
      <c r="S6379" s="27">
        <v>44985</v>
      </c>
      <c r="T6379" s="773" t="s">
        <v>132</v>
      </c>
      <c r="U6379" s="773">
        <v>736</v>
      </c>
      <c r="V6379" s="773">
        <v>3249</v>
      </c>
      <c r="W6379" s="773" t="s">
        <v>390</v>
      </c>
    </row>
    <row r="6380" spans="19:23">
      <c r="S6380" s="27">
        <v>44985</v>
      </c>
      <c r="T6380" s="773" t="s">
        <v>132</v>
      </c>
      <c r="U6380" s="773">
        <v>297</v>
      </c>
      <c r="V6380" s="773">
        <v>791</v>
      </c>
      <c r="W6380" s="773" t="s">
        <v>390</v>
      </c>
    </row>
    <row r="6381" spans="19:23">
      <c r="S6381" s="27">
        <v>44985</v>
      </c>
      <c r="T6381" s="773" t="s">
        <v>132</v>
      </c>
      <c r="U6381" s="773">
        <v>798</v>
      </c>
      <c r="V6381" s="773">
        <v>6</v>
      </c>
      <c r="W6381" s="773" t="s">
        <v>410</v>
      </c>
    </row>
    <row r="6382" spans="19:23">
      <c r="S6382" s="27">
        <v>44985</v>
      </c>
      <c r="T6382" s="773" t="s">
        <v>132</v>
      </c>
      <c r="U6382" s="773">
        <v>740</v>
      </c>
      <c r="V6382" s="773">
        <v>708</v>
      </c>
      <c r="W6382" s="773" t="s">
        <v>390</v>
      </c>
    </row>
    <row r="6383" spans="19:23">
      <c r="S6383" s="27">
        <v>44985</v>
      </c>
      <c r="T6383" s="773" t="s">
        <v>132</v>
      </c>
      <c r="U6383" s="773">
        <v>231</v>
      </c>
      <c r="V6383" s="773">
        <v>4</v>
      </c>
      <c r="W6383" s="773" t="s">
        <v>410</v>
      </c>
    </row>
    <row r="6384" spans="19:23">
      <c r="S6384" s="27">
        <v>44985</v>
      </c>
      <c r="T6384" s="773" t="s">
        <v>132</v>
      </c>
      <c r="U6384" s="773">
        <v>41</v>
      </c>
      <c r="V6384" s="773">
        <v>1</v>
      </c>
      <c r="W6384" s="773" t="s">
        <v>410</v>
      </c>
    </row>
    <row r="6385" spans="19:23">
      <c r="S6385" s="27">
        <v>44985</v>
      </c>
      <c r="T6385" s="773" t="s">
        <v>132</v>
      </c>
      <c r="U6385" s="773">
        <v>153</v>
      </c>
      <c r="V6385" s="773">
        <v>2307</v>
      </c>
      <c r="W6385" s="773" t="s">
        <v>390</v>
      </c>
    </row>
    <row r="6386" spans="19:23">
      <c r="S6386" s="27">
        <v>44985</v>
      </c>
      <c r="T6386" s="773" t="s">
        <v>132</v>
      </c>
      <c r="U6386" s="773">
        <v>124</v>
      </c>
      <c r="V6386" s="773">
        <v>9</v>
      </c>
      <c r="W6386" s="773" t="s">
        <v>410</v>
      </c>
    </row>
    <row r="6387" spans="19:23">
      <c r="S6387" s="27">
        <v>44985</v>
      </c>
      <c r="T6387" s="773" t="s">
        <v>132</v>
      </c>
      <c r="U6387" s="773">
        <v>191</v>
      </c>
      <c r="V6387" s="773">
        <v>349</v>
      </c>
      <c r="W6387" s="773" t="s">
        <v>390</v>
      </c>
    </row>
    <row r="6388" spans="19:23">
      <c r="S6388" s="27">
        <v>44985</v>
      </c>
      <c r="T6388" s="773" t="s">
        <v>132</v>
      </c>
      <c r="U6388" s="773">
        <v>56</v>
      </c>
      <c r="V6388" s="773">
        <v>9</v>
      </c>
      <c r="W6388" s="773" t="s">
        <v>410</v>
      </c>
    </row>
    <row r="6389" spans="19:23">
      <c r="S6389" s="27">
        <v>44985</v>
      </c>
      <c r="T6389" s="773" t="s">
        <v>132</v>
      </c>
      <c r="U6389" s="773">
        <v>212</v>
      </c>
      <c r="V6389" s="773">
        <v>3425</v>
      </c>
      <c r="W6389" s="773" t="s">
        <v>390</v>
      </c>
    </row>
    <row r="6390" spans="19:23">
      <c r="S6390" s="27">
        <v>44985</v>
      </c>
      <c r="T6390" s="773" t="s">
        <v>132</v>
      </c>
      <c r="U6390" s="773">
        <v>133</v>
      </c>
      <c r="V6390" s="773">
        <v>4</v>
      </c>
      <c r="W6390" s="773" t="s">
        <v>410</v>
      </c>
    </row>
    <row r="6391" spans="19:23">
      <c r="S6391" s="27">
        <v>44985</v>
      </c>
      <c r="T6391" s="773" t="s">
        <v>132</v>
      </c>
      <c r="U6391" s="773">
        <v>728</v>
      </c>
      <c r="V6391" s="773">
        <v>1303</v>
      </c>
      <c r="W6391" s="773" t="s">
        <v>390</v>
      </c>
    </row>
    <row r="6392" spans="19:23">
      <c r="S6392" s="27">
        <v>44985</v>
      </c>
      <c r="T6392" s="773" t="s">
        <v>132</v>
      </c>
      <c r="U6392" s="773">
        <v>641</v>
      </c>
      <c r="V6392" s="773">
        <v>2128</v>
      </c>
      <c r="W6392" s="773" t="s">
        <v>390</v>
      </c>
    </row>
    <row r="6393" spans="19:23">
      <c r="S6393" s="27">
        <v>44985</v>
      </c>
      <c r="T6393" s="773" t="s">
        <v>132</v>
      </c>
      <c r="U6393" s="773">
        <v>709</v>
      </c>
      <c r="V6393" s="773">
        <v>2228</v>
      </c>
      <c r="W6393" s="773" t="s">
        <v>390</v>
      </c>
    </row>
    <row r="6394" spans="19:23">
      <c r="S6394" s="27">
        <v>44985</v>
      </c>
      <c r="T6394" s="773" t="s">
        <v>132</v>
      </c>
      <c r="U6394" s="773">
        <v>716</v>
      </c>
      <c r="V6394" s="773">
        <v>371</v>
      </c>
      <c r="W6394" s="773" t="s">
        <v>390</v>
      </c>
    </row>
    <row r="6395" spans="19:23">
      <c r="S6395" s="27">
        <v>44985</v>
      </c>
      <c r="T6395" s="773" t="s">
        <v>132</v>
      </c>
      <c r="U6395" s="773">
        <v>98</v>
      </c>
      <c r="V6395" s="773">
        <v>30</v>
      </c>
      <c r="W6395" s="773" t="s">
        <v>410</v>
      </c>
    </row>
    <row r="6396" spans="19:23">
      <c r="S6396" s="27">
        <v>44985</v>
      </c>
      <c r="T6396" s="773" t="s">
        <v>132</v>
      </c>
      <c r="U6396" s="773">
        <v>303</v>
      </c>
      <c r="V6396" s="773">
        <v>2110</v>
      </c>
      <c r="W6396" s="773" t="s">
        <v>390</v>
      </c>
    </row>
    <row r="6397" spans="19:23">
      <c r="S6397" s="27">
        <v>44985</v>
      </c>
      <c r="T6397" s="773" t="s">
        <v>132</v>
      </c>
      <c r="U6397" s="773">
        <v>729</v>
      </c>
      <c r="V6397" s="773">
        <v>94</v>
      </c>
      <c r="W6397" s="773" t="s">
        <v>410</v>
      </c>
    </row>
    <row r="6398" spans="19:23">
      <c r="S6398" s="27">
        <v>44985</v>
      </c>
      <c r="T6398" s="773" t="s">
        <v>132</v>
      </c>
      <c r="U6398" s="773">
        <v>230</v>
      </c>
      <c r="V6398" s="773">
        <v>6</v>
      </c>
      <c r="W6398" s="773" t="s">
        <v>410</v>
      </c>
    </row>
    <row r="6399" spans="19:23">
      <c r="S6399" s="27">
        <v>44985</v>
      </c>
      <c r="T6399" s="773" t="s">
        <v>132</v>
      </c>
      <c r="U6399" s="773">
        <v>52</v>
      </c>
      <c r="V6399" s="773">
        <v>8</v>
      </c>
      <c r="W6399" s="773" t="s">
        <v>410</v>
      </c>
    </row>
    <row r="6400" spans="19:23">
      <c r="S6400" s="27">
        <v>44985</v>
      </c>
      <c r="T6400" s="773" t="s">
        <v>132</v>
      </c>
      <c r="U6400" s="773">
        <v>132</v>
      </c>
      <c r="V6400" s="773">
        <v>2975</v>
      </c>
      <c r="W6400" s="773" t="s">
        <v>390</v>
      </c>
    </row>
    <row r="6401" spans="19:23">
      <c r="S6401" s="27">
        <v>44985</v>
      </c>
      <c r="T6401" s="773" t="s">
        <v>132</v>
      </c>
      <c r="U6401" s="773">
        <v>315</v>
      </c>
      <c r="V6401" s="773">
        <v>1907</v>
      </c>
      <c r="W6401" s="773" t="s">
        <v>390</v>
      </c>
    </row>
    <row r="6402" spans="19:23">
      <c r="S6402" s="27">
        <v>44985</v>
      </c>
      <c r="T6402" s="773" t="s">
        <v>132</v>
      </c>
      <c r="U6402" s="773">
        <v>256</v>
      </c>
      <c r="V6402" s="773">
        <v>272</v>
      </c>
      <c r="W6402" s="773" t="s">
        <v>390</v>
      </c>
    </row>
    <row r="6403" spans="19:23">
      <c r="S6403" s="27">
        <v>44985</v>
      </c>
      <c r="T6403" s="773" t="s">
        <v>132</v>
      </c>
      <c r="U6403" s="773">
        <v>675</v>
      </c>
      <c r="V6403" s="773">
        <v>3</v>
      </c>
      <c r="W6403" s="773" t="s">
        <v>410</v>
      </c>
    </row>
    <row r="6404" spans="19:23">
      <c r="S6404" s="27">
        <v>44985</v>
      </c>
      <c r="T6404" s="773" t="s">
        <v>132</v>
      </c>
      <c r="U6404" s="773">
        <v>218</v>
      </c>
      <c r="V6404" s="773">
        <v>146</v>
      </c>
      <c r="W6404" s="773" t="s">
        <v>390</v>
      </c>
    </row>
    <row r="6405" spans="19:23">
      <c r="S6405" s="27">
        <v>44985</v>
      </c>
      <c r="T6405" s="773" t="s">
        <v>132</v>
      </c>
      <c r="U6405" s="773">
        <v>171</v>
      </c>
      <c r="V6405" s="773">
        <v>47</v>
      </c>
      <c r="W6405" s="773" t="s">
        <v>410</v>
      </c>
    </row>
    <row r="6406" spans="19:23">
      <c r="S6406" s="27">
        <v>44985</v>
      </c>
      <c r="T6406" s="773" t="s">
        <v>132</v>
      </c>
      <c r="U6406" s="773">
        <v>271</v>
      </c>
      <c r="V6406" s="773">
        <v>2925</v>
      </c>
      <c r="W6406" s="773" t="s">
        <v>390</v>
      </c>
    </row>
    <row r="6407" spans="19:23">
      <c r="S6407" s="27">
        <v>44985</v>
      </c>
      <c r="T6407" s="773" t="s">
        <v>132</v>
      </c>
      <c r="U6407" s="773">
        <v>283</v>
      </c>
      <c r="V6407" s="773">
        <v>1</v>
      </c>
      <c r="W6407" s="773" t="s">
        <v>410</v>
      </c>
    </row>
    <row r="6408" spans="19:23">
      <c r="S6408" s="27">
        <v>44985</v>
      </c>
      <c r="T6408" s="773" t="s">
        <v>132</v>
      </c>
      <c r="U6408" s="773">
        <v>694</v>
      </c>
      <c r="V6408" s="773">
        <v>1</v>
      </c>
      <c r="W6408" s="773" t="s">
        <v>410</v>
      </c>
    </row>
    <row r="6409" spans="19:23">
      <c r="S6409" s="27">
        <v>44985</v>
      </c>
      <c r="T6409" s="773" t="s">
        <v>132</v>
      </c>
      <c r="U6409" s="773">
        <v>92</v>
      </c>
      <c r="V6409" s="773">
        <v>8</v>
      </c>
      <c r="W6409" s="773" t="s">
        <v>410</v>
      </c>
    </row>
    <row r="6410" spans="19:23">
      <c r="S6410" s="27">
        <v>44985</v>
      </c>
      <c r="T6410" s="773" t="s">
        <v>132</v>
      </c>
      <c r="U6410" s="773">
        <v>750</v>
      </c>
      <c r="V6410" s="773">
        <v>79</v>
      </c>
      <c r="W6410" s="773" t="s">
        <v>410</v>
      </c>
    </row>
    <row r="6411" spans="19:23">
      <c r="S6411" s="27">
        <v>44985</v>
      </c>
      <c r="T6411" s="773" t="s">
        <v>132</v>
      </c>
      <c r="U6411" s="773">
        <v>87</v>
      </c>
      <c r="V6411" s="773">
        <v>2</v>
      </c>
      <c r="W6411" s="773" t="s">
        <v>410</v>
      </c>
    </row>
    <row r="6412" spans="19:23">
      <c r="S6412" s="27">
        <v>44985</v>
      </c>
      <c r="T6412" s="773" t="s">
        <v>132</v>
      </c>
      <c r="U6412" s="773">
        <v>129</v>
      </c>
      <c r="V6412" s="773">
        <v>3</v>
      </c>
      <c r="W6412" s="773" t="s">
        <v>410</v>
      </c>
    </row>
    <row r="6413" spans="19:23">
      <c r="S6413" s="27">
        <v>44985</v>
      </c>
      <c r="T6413" s="773" t="s">
        <v>132</v>
      </c>
      <c r="U6413" s="773">
        <v>13</v>
      </c>
      <c r="V6413" s="773">
        <v>2594</v>
      </c>
      <c r="W6413" s="773" t="s">
        <v>390</v>
      </c>
    </row>
    <row r="6414" spans="19:23">
      <c r="S6414" s="27">
        <v>44985</v>
      </c>
      <c r="T6414" s="773" t="s">
        <v>132</v>
      </c>
      <c r="U6414" s="773">
        <v>720</v>
      </c>
      <c r="V6414" s="773">
        <v>2939</v>
      </c>
      <c r="W6414" s="773" t="s">
        <v>390</v>
      </c>
    </row>
    <row r="6415" spans="19:23">
      <c r="S6415" s="27">
        <v>44985</v>
      </c>
      <c r="T6415" s="773" t="s">
        <v>132</v>
      </c>
      <c r="U6415" s="773">
        <v>294</v>
      </c>
      <c r="V6415" s="773">
        <v>3</v>
      </c>
      <c r="W6415" s="773" t="s">
        <v>410</v>
      </c>
    </row>
    <row r="6416" spans="19:23">
      <c r="S6416" s="27">
        <v>44985</v>
      </c>
      <c r="T6416" s="773" t="s">
        <v>132</v>
      </c>
      <c r="U6416" s="773">
        <v>71</v>
      </c>
      <c r="V6416" s="773">
        <v>1</v>
      </c>
      <c r="W6416" s="773" t="s">
        <v>410</v>
      </c>
    </row>
    <row r="6417" spans="19:23">
      <c r="S6417" s="27">
        <v>44985</v>
      </c>
      <c r="T6417" s="773" t="s">
        <v>132</v>
      </c>
      <c r="U6417" s="773">
        <v>674</v>
      </c>
      <c r="V6417" s="773">
        <v>3546</v>
      </c>
      <c r="W6417" s="773" t="s">
        <v>390</v>
      </c>
    </row>
    <row r="6418" spans="19:23">
      <c r="S6418" s="27">
        <v>44985</v>
      </c>
      <c r="T6418" s="773" t="s">
        <v>132</v>
      </c>
      <c r="U6418" s="773">
        <v>653</v>
      </c>
      <c r="V6418" s="773">
        <v>2</v>
      </c>
      <c r="W6418" s="773" t="s">
        <v>410</v>
      </c>
    </row>
    <row r="6419" spans="19:23">
      <c r="S6419" s="27">
        <v>44985</v>
      </c>
      <c r="T6419" s="773" t="s">
        <v>132</v>
      </c>
      <c r="U6419" s="773">
        <v>183</v>
      </c>
      <c r="V6419" s="773">
        <v>586</v>
      </c>
      <c r="W6419" s="773" t="s">
        <v>390</v>
      </c>
    </row>
    <row r="6420" spans="19:23">
      <c r="S6420" s="27">
        <v>44985</v>
      </c>
      <c r="T6420" s="773" t="s">
        <v>132</v>
      </c>
      <c r="U6420" s="773">
        <v>727</v>
      </c>
      <c r="V6420" s="773">
        <v>3655</v>
      </c>
      <c r="W6420" s="773" t="s">
        <v>390</v>
      </c>
    </row>
    <row r="6421" spans="19:23">
      <c r="S6421" s="27">
        <v>44985</v>
      </c>
      <c r="T6421" s="773" t="s">
        <v>132</v>
      </c>
      <c r="U6421" s="773">
        <v>680</v>
      </c>
      <c r="V6421" s="773">
        <v>3021</v>
      </c>
      <c r="W6421" s="773" t="s">
        <v>390</v>
      </c>
    </row>
    <row r="6422" spans="19:23">
      <c r="S6422" s="27">
        <v>44985</v>
      </c>
      <c r="T6422" s="773" t="s">
        <v>132</v>
      </c>
      <c r="U6422" s="773">
        <v>48</v>
      </c>
      <c r="V6422" s="773">
        <v>661</v>
      </c>
      <c r="W6422" s="773" t="s">
        <v>390</v>
      </c>
    </row>
    <row r="6423" spans="19:23">
      <c r="S6423" s="27">
        <v>44985</v>
      </c>
      <c r="T6423" s="773" t="s">
        <v>132</v>
      </c>
      <c r="U6423" s="773">
        <v>35</v>
      </c>
      <c r="V6423" s="773">
        <v>882</v>
      </c>
      <c r="W6423" s="773" t="s">
        <v>390</v>
      </c>
    </row>
    <row r="6424" spans="19:23">
      <c r="S6424" s="27">
        <v>44985</v>
      </c>
      <c r="T6424" s="773" t="s">
        <v>132</v>
      </c>
      <c r="U6424" s="773">
        <v>200</v>
      </c>
      <c r="V6424" s="773">
        <v>4</v>
      </c>
      <c r="W6424" s="773" t="s">
        <v>410</v>
      </c>
    </row>
    <row r="6425" spans="19:23">
      <c r="S6425" s="27">
        <v>44985</v>
      </c>
      <c r="T6425" s="773" t="s">
        <v>132</v>
      </c>
      <c r="U6425" s="773">
        <v>693</v>
      </c>
      <c r="V6425" s="773">
        <v>1</v>
      </c>
      <c r="W6425" s="773" t="s">
        <v>410</v>
      </c>
    </row>
    <row r="6426" spans="19:23">
      <c r="S6426" s="27">
        <v>44985</v>
      </c>
      <c r="T6426" s="773" t="s">
        <v>132</v>
      </c>
      <c r="U6426" s="773">
        <v>140</v>
      </c>
      <c r="V6426" s="773">
        <v>634</v>
      </c>
      <c r="W6426" s="773" t="s">
        <v>390</v>
      </c>
    </row>
    <row r="6427" spans="19:23">
      <c r="S6427" s="27">
        <v>44985</v>
      </c>
      <c r="T6427" s="773" t="s">
        <v>132</v>
      </c>
      <c r="U6427" s="773">
        <v>58</v>
      </c>
      <c r="V6427" s="773">
        <v>1</v>
      </c>
      <c r="W6427" s="773" t="s">
        <v>410</v>
      </c>
    </row>
    <row r="6428" spans="19:23">
      <c r="S6428" s="27">
        <v>44985</v>
      </c>
      <c r="T6428" s="773" t="s">
        <v>132</v>
      </c>
      <c r="U6428" s="773">
        <v>648</v>
      </c>
      <c r="V6428" s="773">
        <v>1</v>
      </c>
      <c r="W6428" s="773" t="s">
        <v>410</v>
      </c>
    </row>
    <row r="6429" spans="19:23">
      <c r="S6429" s="27">
        <v>44985</v>
      </c>
      <c r="T6429" s="773" t="s">
        <v>132</v>
      </c>
      <c r="U6429" s="773">
        <v>699</v>
      </c>
      <c r="V6429" s="773">
        <v>652</v>
      </c>
      <c r="W6429" s="773" t="s">
        <v>390</v>
      </c>
    </row>
    <row r="6430" spans="19:23">
      <c r="S6430" s="27">
        <v>44985</v>
      </c>
      <c r="T6430" s="773" t="s">
        <v>132</v>
      </c>
      <c r="U6430" s="773">
        <v>318</v>
      </c>
      <c r="V6430" s="773">
        <v>2483</v>
      </c>
      <c r="W6430" s="773" t="s">
        <v>390</v>
      </c>
    </row>
    <row r="6431" spans="19:23">
      <c r="S6431" s="27">
        <v>44985</v>
      </c>
      <c r="T6431" s="773" t="s">
        <v>132</v>
      </c>
      <c r="U6431" s="773">
        <v>130</v>
      </c>
      <c r="V6431" s="773">
        <v>2</v>
      </c>
      <c r="W6431" s="773" t="s">
        <v>410</v>
      </c>
    </row>
    <row r="6432" spans="19:23">
      <c r="S6432" s="27">
        <v>44985</v>
      </c>
      <c r="T6432" s="773" t="s">
        <v>132</v>
      </c>
      <c r="U6432" s="773">
        <v>523</v>
      </c>
      <c r="V6432" s="773">
        <v>1</v>
      </c>
      <c r="W6432" s="773" t="s">
        <v>410</v>
      </c>
    </row>
    <row r="6433" spans="19:23">
      <c r="S6433" s="27">
        <v>44985</v>
      </c>
      <c r="T6433" s="773" t="s">
        <v>132</v>
      </c>
      <c r="U6433" s="773">
        <v>70</v>
      </c>
      <c r="V6433" s="773">
        <v>207</v>
      </c>
      <c r="W6433" s="773" t="s">
        <v>390</v>
      </c>
    </row>
    <row r="6434" spans="19:23">
      <c r="S6434" s="27">
        <v>44985</v>
      </c>
      <c r="T6434" s="773" t="s">
        <v>132</v>
      </c>
      <c r="U6434" s="773">
        <v>252</v>
      </c>
      <c r="V6434" s="773">
        <v>916</v>
      </c>
      <c r="W6434" s="773" t="s">
        <v>390</v>
      </c>
    </row>
    <row r="6435" spans="19:23">
      <c r="S6435" s="27">
        <v>44985</v>
      </c>
      <c r="T6435" s="773" t="s">
        <v>132</v>
      </c>
      <c r="U6435" s="773">
        <v>68</v>
      </c>
      <c r="V6435" s="773">
        <v>907</v>
      </c>
      <c r="W6435" s="773" t="s">
        <v>390</v>
      </c>
    </row>
    <row r="6436" spans="19:23">
      <c r="S6436" s="27">
        <v>44985</v>
      </c>
      <c r="T6436" s="773" t="s">
        <v>132</v>
      </c>
      <c r="U6436" s="773">
        <v>703</v>
      </c>
      <c r="V6436" s="773">
        <v>3221</v>
      </c>
      <c r="W6436" s="773" t="s">
        <v>390</v>
      </c>
    </row>
    <row r="6437" spans="19:23">
      <c r="S6437" s="27">
        <v>44985</v>
      </c>
      <c r="T6437" s="773" t="s">
        <v>132</v>
      </c>
      <c r="U6437" s="773">
        <v>329</v>
      </c>
      <c r="V6437" s="773">
        <v>3990</v>
      </c>
      <c r="W6437" s="773" t="s">
        <v>390</v>
      </c>
    </row>
    <row r="6438" spans="19:23">
      <c r="S6438" s="27">
        <v>44985</v>
      </c>
      <c r="T6438" s="773" t="s">
        <v>132</v>
      </c>
      <c r="U6438" s="773">
        <v>676</v>
      </c>
      <c r="V6438" s="773">
        <v>3</v>
      </c>
      <c r="W6438" s="773" t="s">
        <v>410</v>
      </c>
    </row>
    <row r="6439" spans="19:23">
      <c r="S6439" s="27">
        <v>44985</v>
      </c>
      <c r="T6439" s="773" t="s">
        <v>132</v>
      </c>
      <c r="U6439" s="773">
        <v>173</v>
      </c>
      <c r="V6439" s="773">
        <v>6</v>
      </c>
      <c r="W6439" s="773" t="s">
        <v>410</v>
      </c>
    </row>
    <row r="6440" spans="19:23">
      <c r="S6440" s="27">
        <v>44985</v>
      </c>
      <c r="T6440" s="773" t="s">
        <v>132</v>
      </c>
      <c r="U6440" s="773">
        <v>801</v>
      </c>
      <c r="V6440" s="773">
        <v>4</v>
      </c>
      <c r="W6440" s="773" t="s">
        <v>410</v>
      </c>
    </row>
    <row r="6441" spans="19:23">
      <c r="S6441" s="27">
        <v>44985</v>
      </c>
      <c r="T6441" s="773" t="s">
        <v>132</v>
      </c>
      <c r="U6441" s="773">
        <v>662</v>
      </c>
      <c r="V6441" s="773">
        <v>11</v>
      </c>
      <c r="W6441" s="773" t="s">
        <v>410</v>
      </c>
    </row>
    <row r="6442" spans="19:23">
      <c r="S6442" s="27">
        <v>44985</v>
      </c>
      <c r="T6442" s="773" t="s">
        <v>132</v>
      </c>
      <c r="U6442" s="773">
        <v>44</v>
      </c>
      <c r="V6442" s="773">
        <v>2217</v>
      </c>
      <c r="W6442" s="773" t="s">
        <v>390</v>
      </c>
    </row>
    <row r="6443" spans="19:23">
      <c r="S6443" s="27">
        <v>44985</v>
      </c>
      <c r="T6443" s="773" t="s">
        <v>132</v>
      </c>
      <c r="U6443" s="773">
        <v>240</v>
      </c>
      <c r="V6443" s="773">
        <v>3</v>
      </c>
      <c r="W6443" s="773" t="s">
        <v>410</v>
      </c>
    </row>
    <row r="6444" spans="19:23">
      <c r="S6444" s="27">
        <v>44985</v>
      </c>
      <c r="T6444" s="773" t="s">
        <v>132</v>
      </c>
      <c r="U6444" s="773">
        <v>53</v>
      </c>
      <c r="V6444" s="773">
        <v>3</v>
      </c>
      <c r="W6444" s="773" t="s">
        <v>410</v>
      </c>
    </row>
    <row r="6445" spans="19:23">
      <c r="S6445" s="27">
        <v>44985</v>
      </c>
      <c r="T6445" s="773" t="s">
        <v>132</v>
      </c>
      <c r="U6445" s="773">
        <v>246</v>
      </c>
      <c r="V6445" s="773">
        <v>8</v>
      </c>
      <c r="W6445" s="773" t="s">
        <v>410</v>
      </c>
    </row>
    <row r="6446" spans="19:23">
      <c r="S6446" s="27">
        <v>44985</v>
      </c>
      <c r="T6446" s="773" t="s">
        <v>132</v>
      </c>
      <c r="U6446" s="773">
        <v>164</v>
      </c>
      <c r="V6446" s="773">
        <v>10</v>
      </c>
      <c r="W6446" s="773" t="s">
        <v>410</v>
      </c>
    </row>
    <row r="6447" spans="19:23">
      <c r="S6447" s="27">
        <v>44985</v>
      </c>
      <c r="T6447" s="773" t="s">
        <v>132</v>
      </c>
      <c r="U6447" s="773">
        <v>718</v>
      </c>
      <c r="V6447" s="773">
        <v>1526</v>
      </c>
      <c r="W6447" s="773" t="s">
        <v>390</v>
      </c>
    </row>
    <row r="6448" spans="19:23">
      <c r="S6448" s="27">
        <v>44985</v>
      </c>
      <c r="T6448" s="773" t="s">
        <v>132</v>
      </c>
      <c r="U6448" s="773">
        <v>305</v>
      </c>
      <c r="V6448" s="773">
        <v>4992</v>
      </c>
      <c r="W6448" s="773" t="s">
        <v>390</v>
      </c>
    </row>
    <row r="6449" spans="19:23">
      <c r="S6449" s="27">
        <v>44985</v>
      </c>
      <c r="T6449" s="773" t="s">
        <v>132</v>
      </c>
      <c r="U6449" s="773">
        <v>11</v>
      </c>
      <c r="V6449" s="773">
        <v>27</v>
      </c>
      <c r="W6449" s="773" t="s">
        <v>410</v>
      </c>
    </row>
    <row r="6450" spans="19:23">
      <c r="S6450" s="27">
        <v>44985</v>
      </c>
      <c r="T6450" s="773" t="s">
        <v>132</v>
      </c>
      <c r="U6450" s="773">
        <v>182</v>
      </c>
      <c r="V6450" s="773">
        <v>166</v>
      </c>
      <c r="W6450" s="773" t="s">
        <v>390</v>
      </c>
    </row>
    <row r="6451" spans="19:23">
      <c r="S6451" s="27">
        <v>44985</v>
      </c>
      <c r="T6451" s="773" t="s">
        <v>132</v>
      </c>
      <c r="U6451" s="773">
        <v>139</v>
      </c>
      <c r="V6451" s="773">
        <v>2428</v>
      </c>
      <c r="W6451" s="773" t="s">
        <v>390</v>
      </c>
    </row>
    <row r="6452" spans="19:23">
      <c r="S6452" s="27">
        <v>44985</v>
      </c>
      <c r="T6452" s="773" t="s">
        <v>132</v>
      </c>
      <c r="U6452" s="773">
        <v>69</v>
      </c>
      <c r="V6452" s="773">
        <v>1</v>
      </c>
      <c r="W6452" s="773" t="s">
        <v>410</v>
      </c>
    </row>
    <row r="6453" spans="19:23">
      <c r="S6453" s="27">
        <v>44985</v>
      </c>
      <c r="T6453" s="773" t="s">
        <v>132</v>
      </c>
      <c r="U6453" s="773">
        <v>654</v>
      </c>
      <c r="V6453" s="773">
        <v>953</v>
      </c>
      <c r="W6453" s="773" t="s">
        <v>390</v>
      </c>
    </row>
    <row r="6454" spans="19:23">
      <c r="S6454" s="27">
        <v>44985</v>
      </c>
      <c r="T6454" s="773" t="s">
        <v>132</v>
      </c>
      <c r="U6454" s="773">
        <v>204</v>
      </c>
      <c r="V6454" s="773">
        <v>6</v>
      </c>
      <c r="W6454" s="773" t="s">
        <v>410</v>
      </c>
    </row>
    <row r="6455" spans="19:23">
      <c r="S6455" s="27">
        <v>44985</v>
      </c>
      <c r="T6455" s="773" t="s">
        <v>132</v>
      </c>
      <c r="U6455" s="773">
        <v>77</v>
      </c>
      <c r="V6455" s="773">
        <v>3645</v>
      </c>
      <c r="W6455" s="773" t="s">
        <v>390</v>
      </c>
    </row>
    <row r="6456" spans="19:23">
      <c r="S6456" s="27">
        <v>44985</v>
      </c>
      <c r="T6456" s="773" t="s">
        <v>132</v>
      </c>
      <c r="U6456" s="773">
        <v>78</v>
      </c>
      <c r="V6456" s="773">
        <v>10</v>
      </c>
      <c r="W6456" s="773" t="s">
        <v>410</v>
      </c>
    </row>
    <row r="6457" spans="19:23">
      <c r="S6457" s="27">
        <v>44985</v>
      </c>
      <c r="T6457" s="773" t="s">
        <v>132</v>
      </c>
      <c r="U6457" s="773">
        <v>295</v>
      </c>
      <c r="V6457" s="773">
        <v>29</v>
      </c>
      <c r="W6457" s="773" t="s">
        <v>410</v>
      </c>
    </row>
    <row r="6458" spans="19:23">
      <c r="S6458" s="27">
        <v>44985</v>
      </c>
      <c r="T6458" s="773" t="s">
        <v>132</v>
      </c>
      <c r="U6458" s="773">
        <v>311</v>
      </c>
      <c r="V6458" s="773">
        <v>2496</v>
      </c>
      <c r="W6458" s="773" t="s">
        <v>390</v>
      </c>
    </row>
    <row r="6459" spans="19:23">
      <c r="S6459" s="27">
        <v>44985</v>
      </c>
      <c r="T6459" s="773" t="s">
        <v>132</v>
      </c>
      <c r="U6459" s="773">
        <v>202</v>
      </c>
      <c r="V6459" s="773">
        <v>2</v>
      </c>
      <c r="W6459" s="773" t="s">
        <v>410</v>
      </c>
    </row>
    <row r="6460" spans="19:23">
      <c r="S6460" s="27">
        <v>44985</v>
      </c>
      <c r="T6460" s="773" t="s">
        <v>132</v>
      </c>
      <c r="U6460" s="773">
        <v>66</v>
      </c>
      <c r="V6460" s="773">
        <v>1</v>
      </c>
      <c r="W6460" s="773" t="s">
        <v>410</v>
      </c>
    </row>
    <row r="6461" spans="19:23">
      <c r="S6461" s="27">
        <v>44985</v>
      </c>
      <c r="T6461" s="773" t="s">
        <v>132</v>
      </c>
      <c r="U6461" s="773">
        <v>670</v>
      </c>
      <c r="V6461" s="773">
        <v>2504</v>
      </c>
      <c r="W6461" s="773" t="s">
        <v>390</v>
      </c>
    </row>
    <row r="6462" spans="19:23">
      <c r="S6462" s="27">
        <v>44985</v>
      </c>
      <c r="T6462" s="773" t="s">
        <v>132</v>
      </c>
      <c r="U6462" s="773">
        <v>665</v>
      </c>
      <c r="V6462" s="773">
        <v>17</v>
      </c>
      <c r="W6462" s="773" t="s">
        <v>410</v>
      </c>
    </row>
    <row r="6463" spans="19:23">
      <c r="S6463" s="27">
        <v>44985</v>
      </c>
      <c r="T6463" s="773" t="s">
        <v>132</v>
      </c>
      <c r="U6463" s="773">
        <v>306</v>
      </c>
      <c r="V6463" s="773">
        <v>2384</v>
      </c>
      <c r="W6463" s="773" t="s">
        <v>390</v>
      </c>
    </row>
    <row r="6464" spans="19:23">
      <c r="S6464" s="27">
        <v>44985</v>
      </c>
      <c r="T6464" s="773" t="s">
        <v>132</v>
      </c>
      <c r="U6464" s="773">
        <v>94</v>
      </c>
      <c r="V6464" s="773">
        <v>535</v>
      </c>
      <c r="W6464" s="773" t="s">
        <v>390</v>
      </c>
    </row>
    <row r="6465" spans="19:23">
      <c r="S6465" s="27">
        <v>44985</v>
      </c>
      <c r="T6465" s="773" t="s">
        <v>132</v>
      </c>
      <c r="U6465" s="773">
        <v>741</v>
      </c>
      <c r="V6465" s="773">
        <v>2829</v>
      </c>
      <c r="W6465" s="773" t="s">
        <v>390</v>
      </c>
    </row>
    <row r="6466" spans="19:23">
      <c r="S6466" s="27">
        <v>44985</v>
      </c>
      <c r="T6466" s="773" t="s">
        <v>132</v>
      </c>
      <c r="U6466" s="773">
        <v>322</v>
      </c>
      <c r="V6466" s="773">
        <v>2558</v>
      </c>
      <c r="W6466" s="773" t="s">
        <v>390</v>
      </c>
    </row>
    <row r="6467" spans="19:23">
      <c r="S6467" s="27">
        <v>44985</v>
      </c>
      <c r="T6467" s="773" t="s">
        <v>132</v>
      </c>
      <c r="U6467" s="773">
        <v>723</v>
      </c>
      <c r="V6467" s="773">
        <v>2183</v>
      </c>
      <c r="W6467" s="773" t="s">
        <v>390</v>
      </c>
    </row>
    <row r="6468" spans="19:23">
      <c r="S6468" s="27">
        <v>44985</v>
      </c>
      <c r="T6468" s="773" t="s">
        <v>132</v>
      </c>
      <c r="U6468" s="773">
        <v>148</v>
      </c>
      <c r="V6468" s="773">
        <v>5</v>
      </c>
      <c r="W6468" s="773" t="s">
        <v>410</v>
      </c>
    </row>
    <row r="6469" spans="19:23">
      <c r="S6469" s="27">
        <v>44985</v>
      </c>
      <c r="T6469" s="773" t="s">
        <v>132</v>
      </c>
      <c r="U6469" s="773">
        <v>222</v>
      </c>
      <c r="V6469" s="773">
        <v>5</v>
      </c>
      <c r="W6469" s="773" t="s">
        <v>410</v>
      </c>
    </row>
    <row r="6470" spans="19:23">
      <c r="S6470" s="27">
        <v>44985</v>
      </c>
      <c r="T6470" s="773" t="s">
        <v>132</v>
      </c>
      <c r="U6470" s="773">
        <v>738</v>
      </c>
      <c r="V6470" s="773">
        <v>58</v>
      </c>
      <c r="W6470" s="773" t="s">
        <v>410</v>
      </c>
    </row>
    <row r="6471" spans="19:23">
      <c r="S6471" s="27">
        <v>44985</v>
      </c>
      <c r="T6471" s="773" t="s">
        <v>132</v>
      </c>
      <c r="U6471" s="773">
        <v>661</v>
      </c>
      <c r="V6471" s="773">
        <v>1</v>
      </c>
      <c r="W6471" s="773" t="s">
        <v>410</v>
      </c>
    </row>
    <row r="6472" spans="19:23">
      <c r="S6472" s="27">
        <v>44985</v>
      </c>
      <c r="T6472" s="773" t="s">
        <v>132</v>
      </c>
      <c r="U6472" s="773">
        <v>316</v>
      </c>
      <c r="V6472" s="773">
        <v>7</v>
      </c>
      <c r="W6472" s="773" t="s">
        <v>410</v>
      </c>
    </row>
    <row r="6473" spans="19:23">
      <c r="S6473" s="27">
        <v>44985</v>
      </c>
      <c r="T6473" s="773" t="s">
        <v>132</v>
      </c>
      <c r="U6473" s="773">
        <v>324</v>
      </c>
      <c r="V6473" s="773">
        <v>1737</v>
      </c>
      <c r="W6473" s="773" t="s">
        <v>390</v>
      </c>
    </row>
    <row r="6474" spans="19:23">
      <c r="S6474" s="27">
        <v>44985</v>
      </c>
      <c r="T6474" s="773" t="s">
        <v>132</v>
      </c>
      <c r="U6474" s="773">
        <v>799</v>
      </c>
      <c r="V6474" s="773">
        <v>4</v>
      </c>
      <c r="W6474" s="773" t="s">
        <v>410</v>
      </c>
    </row>
    <row r="6475" spans="19:23">
      <c r="S6475" s="27">
        <v>44985</v>
      </c>
      <c r="T6475" s="773" t="s">
        <v>132</v>
      </c>
      <c r="U6475" s="773">
        <v>678</v>
      </c>
      <c r="V6475" s="773">
        <v>184</v>
      </c>
      <c r="W6475" s="773" t="s">
        <v>390</v>
      </c>
    </row>
    <row r="6476" spans="19:23">
      <c r="S6476" s="27">
        <v>44985</v>
      </c>
      <c r="T6476" s="773" t="s">
        <v>132</v>
      </c>
      <c r="U6476" s="773">
        <v>292</v>
      </c>
      <c r="V6476" s="773">
        <v>4</v>
      </c>
      <c r="W6476" s="773" t="s">
        <v>410</v>
      </c>
    </row>
    <row r="6477" spans="19:23">
      <c r="S6477" s="27">
        <v>44985</v>
      </c>
      <c r="T6477" s="773" t="s">
        <v>132</v>
      </c>
      <c r="U6477" s="773">
        <v>108</v>
      </c>
      <c r="V6477" s="773">
        <v>10</v>
      </c>
      <c r="W6477" s="773" t="s">
        <v>410</v>
      </c>
    </row>
    <row r="6478" spans="19:23">
      <c r="S6478" s="27">
        <v>44985</v>
      </c>
      <c r="T6478" s="773" t="s">
        <v>132</v>
      </c>
      <c r="U6478" s="773">
        <v>726</v>
      </c>
      <c r="V6478" s="773">
        <v>93</v>
      </c>
      <c r="W6478" s="773" t="s">
        <v>410</v>
      </c>
    </row>
    <row r="6479" spans="19:23">
      <c r="S6479" s="27">
        <v>44985</v>
      </c>
      <c r="T6479" s="773" t="s">
        <v>132</v>
      </c>
      <c r="U6479" s="773">
        <v>664</v>
      </c>
      <c r="V6479" s="773">
        <v>5394</v>
      </c>
      <c r="W6479" s="773" t="s">
        <v>390</v>
      </c>
    </row>
    <row r="6480" spans="19:23">
      <c r="S6480" s="27">
        <v>44985</v>
      </c>
      <c r="T6480" s="773" t="s">
        <v>132</v>
      </c>
      <c r="U6480" s="773">
        <v>290</v>
      </c>
      <c r="V6480" s="773">
        <v>520</v>
      </c>
      <c r="W6480" s="773" t="s">
        <v>390</v>
      </c>
    </row>
    <row r="6481" spans="19:23">
      <c r="S6481" s="27">
        <v>44985</v>
      </c>
      <c r="T6481" s="773" t="s">
        <v>132</v>
      </c>
      <c r="U6481" s="773">
        <v>304</v>
      </c>
      <c r="V6481" s="773">
        <v>124</v>
      </c>
      <c r="W6481" s="773" t="s">
        <v>390</v>
      </c>
    </row>
    <row r="6482" spans="19:23">
      <c r="S6482" s="27">
        <v>44985</v>
      </c>
      <c r="T6482" s="773" t="s">
        <v>132</v>
      </c>
      <c r="U6482" s="773">
        <v>706</v>
      </c>
      <c r="V6482" s="773">
        <v>1198</v>
      </c>
      <c r="W6482" s="773" t="s">
        <v>390</v>
      </c>
    </row>
    <row r="6483" spans="19:23">
      <c r="S6483" s="27">
        <v>44985</v>
      </c>
      <c r="T6483" s="773" t="s">
        <v>132</v>
      </c>
      <c r="U6483" s="773">
        <v>792</v>
      </c>
      <c r="V6483" s="773">
        <v>6</v>
      </c>
      <c r="W6483" s="773" t="s">
        <v>410</v>
      </c>
    </row>
    <row r="6484" spans="19:23">
      <c r="S6484" s="27">
        <v>44985</v>
      </c>
      <c r="T6484" s="773" t="s">
        <v>132</v>
      </c>
      <c r="U6484" s="773">
        <v>671</v>
      </c>
      <c r="V6484" s="773">
        <v>2039</v>
      </c>
      <c r="W6484" s="773" t="s">
        <v>390</v>
      </c>
    </row>
    <row r="6485" spans="19:23">
      <c r="S6485" s="27">
        <v>44985</v>
      </c>
      <c r="T6485" s="773" t="s">
        <v>132</v>
      </c>
      <c r="U6485" s="773">
        <v>769</v>
      </c>
      <c r="V6485" s="773">
        <v>140</v>
      </c>
      <c r="W6485" s="773" t="s">
        <v>390</v>
      </c>
    </row>
    <row r="6486" spans="19:23">
      <c r="S6486" s="27">
        <v>44985</v>
      </c>
      <c r="T6486" s="773" t="s">
        <v>132</v>
      </c>
      <c r="U6486" s="773">
        <v>652</v>
      </c>
      <c r="V6486" s="773">
        <v>3638</v>
      </c>
      <c r="W6486" s="773" t="s">
        <v>390</v>
      </c>
    </row>
    <row r="6487" spans="19:23">
      <c r="S6487" s="27">
        <v>44985</v>
      </c>
      <c r="T6487" s="773" t="s">
        <v>132</v>
      </c>
      <c r="U6487" s="773">
        <v>321</v>
      </c>
      <c r="V6487" s="773">
        <v>1931</v>
      </c>
      <c r="W6487" s="773" t="s">
        <v>390</v>
      </c>
    </row>
    <row r="6488" spans="19:23">
      <c r="S6488" s="27">
        <v>44985</v>
      </c>
      <c r="T6488" s="773" t="s">
        <v>132</v>
      </c>
      <c r="U6488" s="773">
        <v>320</v>
      </c>
      <c r="V6488" s="773">
        <v>1696</v>
      </c>
      <c r="W6488" s="773" t="s">
        <v>390</v>
      </c>
    </row>
    <row r="6489" spans="19:23">
      <c r="S6489" s="27">
        <v>44985</v>
      </c>
      <c r="T6489" s="773" t="s">
        <v>132</v>
      </c>
      <c r="U6489" s="773">
        <v>797</v>
      </c>
      <c r="V6489" s="773">
        <v>14</v>
      </c>
      <c r="W6489" s="773" t="s">
        <v>410</v>
      </c>
    </row>
    <row r="6490" spans="19:23">
      <c r="S6490" s="27">
        <v>44985</v>
      </c>
      <c r="T6490" s="773" t="s">
        <v>132</v>
      </c>
      <c r="U6490" s="773">
        <v>102</v>
      </c>
      <c r="V6490" s="773">
        <v>2</v>
      </c>
      <c r="W6490" s="773" t="s">
        <v>410</v>
      </c>
    </row>
    <row r="6491" spans="19:23">
      <c r="S6491" s="27">
        <v>44985</v>
      </c>
      <c r="T6491" s="773" t="s">
        <v>132</v>
      </c>
      <c r="U6491" s="773">
        <v>83</v>
      </c>
      <c r="V6491" s="773">
        <v>2447</v>
      </c>
      <c r="W6491" s="773" t="s">
        <v>390</v>
      </c>
    </row>
    <row r="6492" spans="19:23">
      <c r="S6492" s="27">
        <v>44985</v>
      </c>
      <c r="T6492" s="773" t="s">
        <v>132</v>
      </c>
      <c r="U6492" s="773">
        <v>328</v>
      </c>
      <c r="V6492" s="773">
        <v>1431</v>
      </c>
      <c r="W6492" s="773" t="s">
        <v>390</v>
      </c>
    </row>
    <row r="6493" spans="19:23">
      <c r="S6493" s="27">
        <v>44985</v>
      </c>
      <c r="T6493" s="773" t="s">
        <v>132</v>
      </c>
      <c r="U6493" s="773">
        <v>243</v>
      </c>
      <c r="V6493" s="773">
        <v>347</v>
      </c>
      <c r="W6493" s="773" t="s">
        <v>390</v>
      </c>
    </row>
    <row r="6494" spans="19:23">
      <c r="S6494" s="27">
        <v>44985</v>
      </c>
      <c r="T6494" s="773" t="s">
        <v>132</v>
      </c>
      <c r="U6494" s="773">
        <v>684</v>
      </c>
      <c r="V6494" s="773">
        <v>3193</v>
      </c>
      <c r="W6494" s="773" t="s">
        <v>390</v>
      </c>
    </row>
    <row r="6495" spans="19:23">
      <c r="S6495" s="27">
        <v>44985</v>
      </c>
      <c r="T6495" s="773" t="s">
        <v>132</v>
      </c>
      <c r="U6495" s="773">
        <v>710</v>
      </c>
      <c r="V6495" s="773">
        <v>961</v>
      </c>
      <c r="W6495" s="773" t="s">
        <v>390</v>
      </c>
    </row>
    <row r="6496" spans="19:23">
      <c r="S6496" s="27">
        <v>44985</v>
      </c>
      <c r="T6496" s="773" t="s">
        <v>132</v>
      </c>
      <c r="U6496" s="773">
        <v>791</v>
      </c>
      <c r="V6496" s="773">
        <v>3166</v>
      </c>
      <c r="W6496" s="773" t="s">
        <v>390</v>
      </c>
    </row>
    <row r="6497" spans="19:23">
      <c r="S6497" s="27">
        <v>44985</v>
      </c>
      <c r="T6497" s="773" t="s">
        <v>132</v>
      </c>
      <c r="U6497" s="773">
        <v>344</v>
      </c>
      <c r="V6497" s="773">
        <v>108</v>
      </c>
      <c r="W6497" s="773" t="s">
        <v>390</v>
      </c>
    </row>
    <row r="6498" spans="19:23">
      <c r="S6498" s="27">
        <v>44985</v>
      </c>
      <c r="T6498" s="773" t="s">
        <v>132</v>
      </c>
      <c r="U6498" s="773">
        <v>103</v>
      </c>
      <c r="V6498" s="773">
        <v>3299</v>
      </c>
      <c r="W6498" s="773" t="s">
        <v>390</v>
      </c>
    </row>
    <row r="6499" spans="19:23">
      <c r="S6499" s="27">
        <v>44985</v>
      </c>
      <c r="T6499" s="773" t="s">
        <v>132</v>
      </c>
      <c r="U6499" s="773">
        <v>312</v>
      </c>
      <c r="V6499" s="773">
        <v>2631</v>
      </c>
      <c r="W6499" s="773" t="s">
        <v>390</v>
      </c>
    </row>
    <row r="6500" spans="19:23">
      <c r="S6500" s="27">
        <v>44985</v>
      </c>
      <c r="T6500" s="773" t="s">
        <v>132</v>
      </c>
      <c r="U6500" s="773">
        <v>802</v>
      </c>
      <c r="V6500" s="773">
        <v>6</v>
      </c>
      <c r="W6500" s="773" t="s">
        <v>410</v>
      </c>
    </row>
    <row r="6501" spans="19:23">
      <c r="S6501" s="27">
        <v>44985</v>
      </c>
      <c r="T6501" s="773" t="s">
        <v>132</v>
      </c>
      <c r="U6501" s="773">
        <v>707</v>
      </c>
      <c r="V6501" s="773">
        <v>258</v>
      </c>
      <c r="W6501" s="773" t="s">
        <v>390</v>
      </c>
    </row>
    <row r="6502" spans="19:23">
      <c r="S6502" s="27">
        <v>44985</v>
      </c>
      <c r="T6502" s="773" t="s">
        <v>132</v>
      </c>
      <c r="U6502" s="773">
        <v>326</v>
      </c>
      <c r="V6502" s="773">
        <v>2699</v>
      </c>
      <c r="W6502" s="773" t="s">
        <v>390</v>
      </c>
    </row>
    <row r="6503" spans="19:23">
      <c r="S6503" s="27">
        <v>44985</v>
      </c>
      <c r="T6503" s="773" t="s">
        <v>132</v>
      </c>
      <c r="U6503" s="773">
        <v>264</v>
      </c>
      <c r="V6503" s="773">
        <v>378</v>
      </c>
      <c r="W6503" s="773" t="s">
        <v>390</v>
      </c>
    </row>
    <row r="6504" spans="19:23">
      <c r="S6504" s="27">
        <v>44985</v>
      </c>
      <c r="T6504" s="773" t="s">
        <v>132</v>
      </c>
      <c r="U6504" s="773">
        <v>700</v>
      </c>
      <c r="V6504" s="773">
        <v>2792</v>
      </c>
      <c r="W6504" s="773" t="s">
        <v>390</v>
      </c>
    </row>
    <row r="6505" spans="19:23">
      <c r="S6505" s="27">
        <v>44985</v>
      </c>
      <c r="T6505" s="773" t="s">
        <v>132</v>
      </c>
      <c r="U6505" s="773">
        <v>150</v>
      </c>
      <c r="V6505" s="773">
        <v>321</v>
      </c>
      <c r="W6505" s="773" t="s">
        <v>390</v>
      </c>
    </row>
    <row r="6506" spans="19:23">
      <c r="S6506" s="27">
        <v>44985</v>
      </c>
      <c r="T6506" s="773" t="s">
        <v>132</v>
      </c>
      <c r="U6506" s="773">
        <v>255</v>
      </c>
      <c r="V6506" s="773">
        <v>461</v>
      </c>
      <c r="W6506" s="773" t="s">
        <v>390</v>
      </c>
    </row>
    <row r="6507" spans="19:23">
      <c r="S6507" s="27">
        <v>44985</v>
      </c>
      <c r="T6507" s="773" t="s">
        <v>132</v>
      </c>
      <c r="U6507" s="773">
        <v>296</v>
      </c>
      <c r="V6507" s="773">
        <v>2479</v>
      </c>
      <c r="W6507" s="773" t="s">
        <v>390</v>
      </c>
    </row>
    <row r="6508" spans="19:23">
      <c r="S6508" s="27">
        <v>44985</v>
      </c>
      <c r="T6508" s="773" t="s">
        <v>132</v>
      </c>
      <c r="U6508" s="773">
        <v>81</v>
      </c>
      <c r="V6508" s="773">
        <v>9</v>
      </c>
      <c r="W6508" s="773" t="s">
        <v>410</v>
      </c>
    </row>
    <row r="6509" spans="19:23">
      <c r="S6509" s="27">
        <v>44985</v>
      </c>
      <c r="T6509" s="773" t="s">
        <v>132</v>
      </c>
      <c r="U6509" s="773">
        <v>120</v>
      </c>
      <c r="V6509" s="773">
        <v>1</v>
      </c>
      <c r="W6509" s="773" t="s">
        <v>410</v>
      </c>
    </row>
    <row r="6510" spans="19:23">
      <c r="S6510" s="27">
        <v>44985</v>
      </c>
      <c r="T6510" s="773" t="s">
        <v>132</v>
      </c>
      <c r="U6510" s="773">
        <v>63</v>
      </c>
      <c r="V6510" s="773">
        <v>1</v>
      </c>
      <c r="W6510" s="773" t="s">
        <v>410</v>
      </c>
    </row>
    <row r="6511" spans="19:23">
      <c r="S6511" s="27">
        <v>44985</v>
      </c>
      <c r="T6511" s="773" t="s">
        <v>132</v>
      </c>
      <c r="U6511" s="773">
        <v>265</v>
      </c>
      <c r="V6511" s="773">
        <v>19</v>
      </c>
      <c r="W6511" s="773" t="s">
        <v>410</v>
      </c>
    </row>
    <row r="6512" spans="19:23">
      <c r="S6512" s="27">
        <v>44985</v>
      </c>
      <c r="T6512" s="773" t="s">
        <v>132</v>
      </c>
      <c r="U6512" s="773">
        <v>84</v>
      </c>
      <c r="V6512" s="773">
        <v>2456</v>
      </c>
      <c r="W6512" s="773" t="s">
        <v>390</v>
      </c>
    </row>
    <row r="6513" spans="19:23">
      <c r="S6513" s="27">
        <v>44985</v>
      </c>
      <c r="T6513" s="773" t="s">
        <v>132</v>
      </c>
      <c r="U6513" s="773">
        <v>59</v>
      </c>
      <c r="V6513" s="773">
        <v>2</v>
      </c>
      <c r="W6513" s="773" t="s">
        <v>410</v>
      </c>
    </row>
    <row r="6514" spans="19:23">
      <c r="S6514" s="27">
        <v>44985</v>
      </c>
      <c r="T6514" s="773" t="s">
        <v>132</v>
      </c>
      <c r="U6514" s="773">
        <v>691</v>
      </c>
      <c r="V6514" s="773">
        <v>3063</v>
      </c>
      <c r="W6514" s="773" t="s">
        <v>390</v>
      </c>
    </row>
    <row r="6515" spans="19:23">
      <c r="S6515" s="27">
        <v>44985</v>
      </c>
      <c r="T6515" s="773" t="s">
        <v>132</v>
      </c>
      <c r="U6515" s="773">
        <v>157</v>
      </c>
      <c r="V6515" s="773">
        <v>11</v>
      </c>
      <c r="W6515" s="773" t="s">
        <v>410</v>
      </c>
    </row>
    <row r="6516" spans="19:23">
      <c r="S6516" s="27">
        <v>44985</v>
      </c>
      <c r="T6516" s="773" t="s">
        <v>132</v>
      </c>
      <c r="U6516" s="773">
        <v>27</v>
      </c>
      <c r="V6516" s="773">
        <v>1</v>
      </c>
      <c r="W6516" s="773" t="s">
        <v>410</v>
      </c>
    </row>
    <row r="6517" spans="19:23">
      <c r="S6517" s="27">
        <v>44985</v>
      </c>
      <c r="T6517" s="773" t="s">
        <v>132</v>
      </c>
      <c r="U6517" s="773">
        <v>64</v>
      </c>
      <c r="V6517" s="773">
        <v>1</v>
      </c>
      <c r="W6517" s="773" t="s">
        <v>410</v>
      </c>
    </row>
    <row r="6518" spans="19:23">
      <c r="S6518" s="27">
        <v>44985</v>
      </c>
      <c r="T6518" s="773" t="s">
        <v>132</v>
      </c>
      <c r="U6518" s="773">
        <v>724</v>
      </c>
      <c r="V6518" s="773">
        <v>2473</v>
      </c>
      <c r="W6518" s="773" t="s">
        <v>390</v>
      </c>
    </row>
    <row r="6519" spans="19:23">
      <c r="S6519" s="27">
        <v>44985</v>
      </c>
      <c r="T6519" s="773" t="s">
        <v>132</v>
      </c>
      <c r="U6519" s="773">
        <v>697</v>
      </c>
      <c r="V6519" s="773">
        <v>1479</v>
      </c>
      <c r="W6519" s="773" t="s">
        <v>390</v>
      </c>
    </row>
    <row r="6520" spans="19:23">
      <c r="S6520" s="27">
        <v>44985</v>
      </c>
      <c r="T6520" s="773" t="s">
        <v>132</v>
      </c>
      <c r="U6520" s="773">
        <v>169</v>
      </c>
      <c r="V6520" s="773">
        <v>3248</v>
      </c>
      <c r="W6520" s="773" t="s">
        <v>390</v>
      </c>
    </row>
    <row r="6521" spans="19:23">
      <c r="S6521" s="27">
        <v>44985</v>
      </c>
      <c r="T6521" s="773" t="s">
        <v>132</v>
      </c>
      <c r="U6521" s="773">
        <v>739</v>
      </c>
      <c r="V6521" s="773">
        <v>214</v>
      </c>
      <c r="W6521" s="773" t="s">
        <v>390</v>
      </c>
    </row>
    <row r="6522" spans="19:23">
      <c r="S6522" s="27">
        <v>44985</v>
      </c>
      <c r="T6522" s="773" t="s">
        <v>132</v>
      </c>
      <c r="U6522" s="773">
        <v>188</v>
      </c>
      <c r="V6522" s="773">
        <v>816</v>
      </c>
      <c r="W6522" s="773" t="s">
        <v>390</v>
      </c>
    </row>
    <row r="6523" spans="19:23">
      <c r="S6523" s="27">
        <v>44985</v>
      </c>
      <c r="T6523" s="773" t="s">
        <v>132</v>
      </c>
      <c r="U6523" s="773">
        <v>76</v>
      </c>
      <c r="V6523" s="773">
        <v>3020</v>
      </c>
      <c r="W6523" s="773" t="s">
        <v>390</v>
      </c>
    </row>
    <row r="6524" spans="19:23">
      <c r="S6524" s="27">
        <v>44985</v>
      </c>
      <c r="T6524" s="773" t="s">
        <v>132</v>
      </c>
      <c r="U6524" s="773">
        <v>79</v>
      </c>
      <c r="V6524" s="773">
        <v>4</v>
      </c>
      <c r="W6524" s="773" t="s">
        <v>410</v>
      </c>
    </row>
    <row r="6525" spans="19:23">
      <c r="S6525" s="27">
        <v>44985</v>
      </c>
      <c r="T6525" s="773" t="s">
        <v>132</v>
      </c>
      <c r="U6525" s="773">
        <v>141</v>
      </c>
      <c r="V6525" s="773">
        <v>1</v>
      </c>
      <c r="W6525" s="773" t="s">
        <v>410</v>
      </c>
    </row>
    <row r="6526" spans="19:23">
      <c r="S6526" s="27">
        <v>44985</v>
      </c>
      <c r="T6526" s="773" t="s">
        <v>132</v>
      </c>
      <c r="U6526" s="773">
        <v>319</v>
      </c>
      <c r="V6526" s="773">
        <v>3217</v>
      </c>
      <c r="W6526" s="773" t="s">
        <v>390</v>
      </c>
    </row>
    <row r="6527" spans="19:23">
      <c r="S6527" s="27">
        <v>44985</v>
      </c>
      <c r="T6527" s="773" t="s">
        <v>132</v>
      </c>
      <c r="U6527" s="773">
        <v>158</v>
      </c>
      <c r="V6527" s="773">
        <v>152</v>
      </c>
      <c r="W6527" s="773" t="s">
        <v>390</v>
      </c>
    </row>
    <row r="6528" spans="19:23">
      <c r="S6528" s="27">
        <v>44985</v>
      </c>
      <c r="T6528" s="773" t="s">
        <v>132</v>
      </c>
      <c r="U6528" s="773">
        <v>239</v>
      </c>
      <c r="V6528" s="773">
        <v>7</v>
      </c>
      <c r="W6528" s="773" t="s">
        <v>410</v>
      </c>
    </row>
    <row r="6529" spans="19:23">
      <c r="S6529" s="27">
        <v>44985</v>
      </c>
      <c r="T6529" s="773" t="s">
        <v>132</v>
      </c>
      <c r="U6529" s="773">
        <v>40</v>
      </c>
      <c r="V6529" s="773">
        <v>4</v>
      </c>
      <c r="W6529" s="773" t="s">
        <v>410</v>
      </c>
    </row>
    <row r="6530" spans="19:23">
      <c r="S6530" s="27">
        <v>44985</v>
      </c>
      <c r="T6530" s="773" t="s">
        <v>132</v>
      </c>
      <c r="U6530" s="773">
        <v>96</v>
      </c>
      <c r="V6530" s="773">
        <v>3</v>
      </c>
      <c r="W6530" s="773" t="s">
        <v>410</v>
      </c>
    </row>
    <row r="6531" spans="19:23">
      <c r="S6531" s="27">
        <v>44985</v>
      </c>
      <c r="T6531" s="773" t="s">
        <v>132</v>
      </c>
      <c r="U6531" s="773">
        <v>262</v>
      </c>
      <c r="V6531" s="773">
        <v>44</v>
      </c>
      <c r="W6531" s="773" t="s">
        <v>410</v>
      </c>
    </row>
    <row r="6532" spans="19:23">
      <c r="S6532" s="27">
        <v>44985</v>
      </c>
      <c r="T6532" s="773" t="s">
        <v>132</v>
      </c>
      <c r="U6532" s="773">
        <v>323</v>
      </c>
      <c r="V6532" s="773">
        <v>3150</v>
      </c>
      <c r="W6532" s="773" t="s">
        <v>390</v>
      </c>
    </row>
    <row r="6533" spans="19:23">
      <c r="S6533" s="27">
        <v>44985</v>
      </c>
      <c r="T6533" s="773" t="s">
        <v>132</v>
      </c>
      <c r="U6533" s="773">
        <v>155</v>
      </c>
      <c r="V6533" s="773">
        <v>2582</v>
      </c>
      <c r="W6533" s="773" t="s">
        <v>390</v>
      </c>
    </row>
    <row r="6534" spans="19:23">
      <c r="S6534" s="27">
        <v>44985</v>
      </c>
      <c r="T6534" s="773" t="s">
        <v>132</v>
      </c>
      <c r="U6534" s="773">
        <v>663</v>
      </c>
      <c r="V6534" s="773">
        <v>657</v>
      </c>
      <c r="W6534" s="773" t="s">
        <v>390</v>
      </c>
    </row>
    <row r="6535" spans="19:23">
      <c r="S6535" s="27">
        <v>44985</v>
      </c>
      <c r="T6535" s="773" t="s">
        <v>132</v>
      </c>
      <c r="U6535" s="773">
        <v>779</v>
      </c>
      <c r="V6535" s="773">
        <v>2153</v>
      </c>
      <c r="W6535" s="773" t="s">
        <v>390</v>
      </c>
    </row>
    <row r="6536" spans="19:23">
      <c r="S6536" s="27">
        <v>44985</v>
      </c>
      <c r="T6536" s="773" t="s">
        <v>132</v>
      </c>
      <c r="U6536" s="773">
        <v>220</v>
      </c>
      <c r="V6536" s="773">
        <v>111</v>
      </c>
      <c r="W6536" s="773" t="s">
        <v>390</v>
      </c>
    </row>
    <row r="6537" spans="19:23">
      <c r="S6537" s="27">
        <v>44985</v>
      </c>
      <c r="T6537" s="773" t="s">
        <v>132</v>
      </c>
      <c r="U6537" s="773">
        <v>193</v>
      </c>
      <c r="V6537" s="773">
        <v>483</v>
      </c>
      <c r="W6537" s="773" t="s">
        <v>390</v>
      </c>
    </row>
    <row r="6538" spans="19:23">
      <c r="S6538" s="27">
        <v>44985</v>
      </c>
      <c r="T6538" s="773" t="s">
        <v>132</v>
      </c>
      <c r="U6538" s="773">
        <v>645</v>
      </c>
      <c r="V6538" s="773">
        <v>673</v>
      </c>
      <c r="W6538" s="773" t="s">
        <v>390</v>
      </c>
    </row>
    <row r="6539" spans="19:23">
      <c r="S6539" s="27">
        <v>44985</v>
      </c>
      <c r="T6539" s="773" t="s">
        <v>132</v>
      </c>
      <c r="U6539" s="773">
        <v>245</v>
      </c>
      <c r="V6539" s="773">
        <v>3141</v>
      </c>
      <c r="W6539" s="773" t="s">
        <v>390</v>
      </c>
    </row>
    <row r="6540" spans="19:23">
      <c r="S6540" s="27">
        <v>44985</v>
      </c>
      <c r="T6540" s="773" t="s">
        <v>132</v>
      </c>
      <c r="U6540" s="773">
        <v>327</v>
      </c>
      <c r="V6540" s="773">
        <v>3</v>
      </c>
      <c r="W6540" s="773" t="s">
        <v>410</v>
      </c>
    </row>
    <row r="6541" spans="19:23">
      <c r="S6541" s="27">
        <v>44985</v>
      </c>
      <c r="T6541" s="773" t="s">
        <v>132</v>
      </c>
      <c r="U6541" s="773">
        <v>669</v>
      </c>
      <c r="V6541" s="773">
        <v>2947</v>
      </c>
      <c r="W6541" s="773" t="s">
        <v>390</v>
      </c>
    </row>
    <row r="6542" spans="19:23">
      <c r="S6542" s="27">
        <v>44985</v>
      </c>
      <c r="T6542" s="773" t="s">
        <v>132</v>
      </c>
      <c r="U6542" s="773">
        <v>804</v>
      </c>
      <c r="V6542" s="773">
        <v>2118</v>
      </c>
      <c r="W6542" s="773" t="s">
        <v>390</v>
      </c>
    </row>
    <row r="6543" spans="19:23">
      <c r="S6543" s="27">
        <v>44985</v>
      </c>
      <c r="T6543" s="773" t="s">
        <v>132</v>
      </c>
      <c r="U6543" s="773">
        <v>704</v>
      </c>
      <c r="V6543" s="773">
        <v>3360</v>
      </c>
      <c r="W6543" s="773" t="s">
        <v>390</v>
      </c>
    </row>
    <row r="6544" spans="19:23">
      <c r="S6544" s="27">
        <v>44985</v>
      </c>
      <c r="T6544" s="773" t="s">
        <v>132</v>
      </c>
      <c r="U6544" s="773">
        <v>73</v>
      </c>
      <c r="V6544" s="773">
        <v>3</v>
      </c>
      <c r="W6544" s="773" t="s">
        <v>410</v>
      </c>
    </row>
    <row r="6545" spans="19:23">
      <c r="S6545" s="27">
        <v>44985</v>
      </c>
      <c r="T6545" s="773" t="s">
        <v>132</v>
      </c>
      <c r="U6545" s="773">
        <v>342</v>
      </c>
      <c r="V6545" s="773">
        <v>2635</v>
      </c>
      <c r="W6545" s="773" t="s">
        <v>390</v>
      </c>
    </row>
    <row r="6546" spans="19:23">
      <c r="S6546" s="27">
        <v>44985</v>
      </c>
      <c r="T6546" s="773" t="s">
        <v>132</v>
      </c>
      <c r="U6546" s="773">
        <v>790</v>
      </c>
      <c r="V6546" s="773">
        <v>3</v>
      </c>
      <c r="W6546" s="773" t="s">
        <v>410</v>
      </c>
    </row>
    <row r="6547" spans="19:23">
      <c r="S6547" s="27">
        <v>44985</v>
      </c>
      <c r="T6547" s="773" t="s">
        <v>132</v>
      </c>
      <c r="U6547" s="773">
        <v>232</v>
      </c>
      <c r="V6547" s="773">
        <v>3</v>
      </c>
      <c r="W6547" s="773" t="s">
        <v>410</v>
      </c>
    </row>
    <row r="6548" spans="19:23">
      <c r="S6548" s="27">
        <v>44985</v>
      </c>
      <c r="T6548" s="773" t="s">
        <v>132</v>
      </c>
      <c r="U6548" s="773">
        <v>254</v>
      </c>
      <c r="V6548" s="773">
        <v>6</v>
      </c>
      <c r="W6548" s="773" t="s">
        <v>410</v>
      </c>
    </row>
    <row r="6549" spans="19:23">
      <c r="S6549" s="27">
        <v>44985</v>
      </c>
      <c r="T6549" s="773" t="s">
        <v>132</v>
      </c>
      <c r="U6549" s="773">
        <v>667</v>
      </c>
      <c r="V6549" s="773">
        <v>2</v>
      </c>
      <c r="W6549" s="773" t="s">
        <v>410</v>
      </c>
    </row>
    <row r="6550" spans="19:23">
      <c r="S6550" s="27">
        <v>44985</v>
      </c>
      <c r="T6550" s="773" t="s">
        <v>132</v>
      </c>
      <c r="U6550" s="773">
        <v>650</v>
      </c>
      <c r="V6550" s="773">
        <v>30</v>
      </c>
      <c r="W6550" s="773" t="s">
        <v>410</v>
      </c>
    </row>
    <row r="6551" spans="19:23">
      <c r="S6551" s="27">
        <v>44985</v>
      </c>
      <c r="T6551" s="773" t="s">
        <v>132</v>
      </c>
      <c r="U6551" s="773">
        <v>105</v>
      </c>
      <c r="V6551" s="773">
        <v>2</v>
      </c>
      <c r="W6551" s="773" t="s">
        <v>410</v>
      </c>
    </row>
    <row r="6552" spans="19:23">
      <c r="S6552" s="27">
        <v>44985</v>
      </c>
      <c r="T6552" s="773" t="s">
        <v>132</v>
      </c>
      <c r="U6552" s="773">
        <v>528</v>
      </c>
      <c r="V6552" s="773">
        <v>71</v>
      </c>
      <c r="W6552" s="773" t="s">
        <v>410</v>
      </c>
    </row>
    <row r="6553" spans="19:23">
      <c r="S6553" s="27">
        <v>44985</v>
      </c>
      <c r="T6553" s="773" t="s">
        <v>132</v>
      </c>
      <c r="U6553" s="773">
        <v>279</v>
      </c>
      <c r="V6553" s="773">
        <v>2</v>
      </c>
      <c r="W6553" s="773" t="s">
        <v>410</v>
      </c>
    </row>
    <row r="6554" spans="19:23">
      <c r="S6554" s="27">
        <v>44985</v>
      </c>
      <c r="T6554" s="773" t="s">
        <v>132</v>
      </c>
      <c r="U6554" s="773">
        <v>159</v>
      </c>
      <c r="V6554" s="773">
        <v>11</v>
      </c>
      <c r="W6554" s="773" t="s">
        <v>410</v>
      </c>
    </row>
    <row r="6555" spans="19:23">
      <c r="S6555" s="27">
        <v>44985</v>
      </c>
      <c r="T6555" s="773" t="s">
        <v>132</v>
      </c>
      <c r="U6555" s="773">
        <v>109</v>
      </c>
      <c r="V6555" s="773">
        <v>1</v>
      </c>
      <c r="W6555" s="773" t="s">
        <v>410</v>
      </c>
    </row>
    <row r="6556" spans="19:23">
      <c r="S6556" s="27">
        <v>44985</v>
      </c>
      <c r="T6556" s="773" t="s">
        <v>132</v>
      </c>
      <c r="U6556" s="773">
        <v>119</v>
      </c>
      <c r="V6556" s="773">
        <v>1</v>
      </c>
      <c r="W6556" s="773" t="s">
        <v>410</v>
      </c>
    </row>
    <row r="6557" spans="19:23">
      <c r="S6557" s="27">
        <v>44985</v>
      </c>
      <c r="T6557" s="773" t="s">
        <v>132</v>
      </c>
      <c r="U6557" s="773">
        <v>215</v>
      </c>
      <c r="V6557" s="773">
        <v>656</v>
      </c>
      <c r="W6557" s="773" t="s">
        <v>390</v>
      </c>
    </row>
    <row r="6558" spans="19:23">
      <c r="S6558" s="27">
        <v>44985</v>
      </c>
      <c r="T6558" s="773" t="s">
        <v>132</v>
      </c>
      <c r="U6558" s="773">
        <v>698</v>
      </c>
      <c r="V6558" s="773">
        <v>2781</v>
      </c>
      <c r="W6558" s="773" t="s">
        <v>390</v>
      </c>
    </row>
    <row r="6559" spans="19:23">
      <c r="S6559" s="27">
        <v>44985</v>
      </c>
      <c r="T6559" s="773" t="s">
        <v>132</v>
      </c>
      <c r="U6559" s="773">
        <v>161</v>
      </c>
      <c r="V6559" s="773">
        <v>1</v>
      </c>
      <c r="W6559" s="773" t="s">
        <v>410</v>
      </c>
    </row>
    <row r="6560" spans="19:23">
      <c r="S6560" s="27">
        <v>44985</v>
      </c>
      <c r="T6560" s="773" t="s">
        <v>132</v>
      </c>
      <c r="U6560" s="773">
        <v>672</v>
      </c>
      <c r="V6560" s="773">
        <v>2413</v>
      </c>
      <c r="W6560" s="773" t="s">
        <v>390</v>
      </c>
    </row>
    <row r="6561" spans="19:23">
      <c r="S6561" s="27">
        <v>44985</v>
      </c>
      <c r="T6561" s="773" t="s">
        <v>132</v>
      </c>
      <c r="U6561" s="773">
        <v>666</v>
      </c>
      <c r="V6561" s="773">
        <v>1590</v>
      </c>
      <c r="W6561" s="773" t="s">
        <v>390</v>
      </c>
    </row>
    <row r="6562" spans="19:23">
      <c r="S6562" s="27">
        <v>44985</v>
      </c>
      <c r="T6562" s="773" t="s">
        <v>132</v>
      </c>
      <c r="U6562" s="773">
        <v>233</v>
      </c>
      <c r="V6562" s="773">
        <v>2536</v>
      </c>
      <c r="W6562" s="773" t="s">
        <v>390</v>
      </c>
    </row>
    <row r="6563" spans="19:23">
      <c r="S6563" s="27">
        <v>44985</v>
      </c>
      <c r="T6563" s="773" t="s">
        <v>132</v>
      </c>
      <c r="U6563" s="773">
        <v>737</v>
      </c>
      <c r="V6563" s="773">
        <v>1921</v>
      </c>
      <c r="W6563" s="773" t="s">
        <v>390</v>
      </c>
    </row>
    <row r="6564" spans="19:23">
      <c r="S6564" s="27">
        <v>44985</v>
      </c>
      <c r="T6564" s="773" t="s">
        <v>132</v>
      </c>
      <c r="U6564" s="773">
        <v>203</v>
      </c>
      <c r="V6564" s="773">
        <v>2498</v>
      </c>
      <c r="W6564" s="773" t="s">
        <v>390</v>
      </c>
    </row>
    <row r="6565" spans="19:23">
      <c r="S6565" s="27">
        <v>44985</v>
      </c>
      <c r="T6565" s="773" t="s">
        <v>132</v>
      </c>
      <c r="U6565" s="773">
        <v>93</v>
      </c>
      <c r="V6565" s="773">
        <v>1161</v>
      </c>
      <c r="W6565" s="773" t="s">
        <v>390</v>
      </c>
    </row>
    <row r="6566" spans="19:23">
      <c r="S6566" s="27">
        <v>44985</v>
      </c>
      <c r="T6566" s="773" t="s">
        <v>132</v>
      </c>
      <c r="U6566" s="773">
        <v>266</v>
      </c>
      <c r="V6566" s="773">
        <v>2444</v>
      </c>
      <c r="W6566" s="773" t="s">
        <v>390</v>
      </c>
    </row>
    <row r="6567" spans="19:23">
      <c r="S6567" s="27">
        <v>44985</v>
      </c>
      <c r="T6567" s="773" t="s">
        <v>132</v>
      </c>
      <c r="U6567" s="773">
        <v>732</v>
      </c>
      <c r="V6567" s="773">
        <v>3541</v>
      </c>
      <c r="W6567" s="773" t="s">
        <v>390</v>
      </c>
    </row>
    <row r="6568" spans="19:23">
      <c r="S6568" s="27">
        <v>44985</v>
      </c>
      <c r="T6568" s="773" t="s">
        <v>132</v>
      </c>
      <c r="U6568" s="773">
        <v>793</v>
      </c>
      <c r="V6568" s="773">
        <v>20</v>
      </c>
      <c r="W6568" s="773" t="s">
        <v>410</v>
      </c>
    </row>
    <row r="6569" spans="19:23">
      <c r="S6569" s="27">
        <v>44985</v>
      </c>
      <c r="T6569" s="773" t="s">
        <v>132</v>
      </c>
      <c r="U6569" s="773">
        <v>216</v>
      </c>
      <c r="V6569" s="773">
        <v>2453</v>
      </c>
      <c r="W6569" s="773" t="s">
        <v>390</v>
      </c>
    </row>
    <row r="6570" spans="19:23">
      <c r="S6570" s="27">
        <v>44985</v>
      </c>
      <c r="T6570" s="773" t="s">
        <v>132</v>
      </c>
      <c r="U6570" s="773">
        <v>257</v>
      </c>
      <c r="V6570" s="773">
        <v>3032</v>
      </c>
      <c r="W6570" s="773" t="s">
        <v>390</v>
      </c>
    </row>
    <row r="6571" spans="19:23">
      <c r="S6571" s="27">
        <v>44985</v>
      </c>
      <c r="T6571" s="773" t="s">
        <v>132</v>
      </c>
      <c r="U6571" s="773">
        <v>725</v>
      </c>
      <c r="V6571" s="773">
        <v>344</v>
      </c>
      <c r="W6571" s="773" t="s">
        <v>390</v>
      </c>
    </row>
    <row r="6572" spans="19:23">
      <c r="S6572" s="27">
        <v>44985</v>
      </c>
      <c r="T6572" s="773" t="s">
        <v>132</v>
      </c>
      <c r="U6572" s="773">
        <v>39</v>
      </c>
      <c r="V6572" s="773">
        <v>1</v>
      </c>
      <c r="W6572" s="773" t="s">
        <v>410</v>
      </c>
    </row>
    <row r="6573" spans="19:23">
      <c r="S6573" s="27">
        <v>44985</v>
      </c>
      <c r="T6573" s="773" t="s">
        <v>132</v>
      </c>
      <c r="U6573" s="773">
        <v>241</v>
      </c>
      <c r="V6573" s="773">
        <v>12</v>
      </c>
      <c r="W6573" s="773" t="s">
        <v>410</v>
      </c>
    </row>
    <row r="6574" spans="19:23">
      <c r="S6574" s="27">
        <v>44985</v>
      </c>
      <c r="T6574" s="773" t="s">
        <v>132</v>
      </c>
      <c r="U6574" s="773">
        <v>136</v>
      </c>
      <c r="V6574" s="773">
        <v>12</v>
      </c>
      <c r="W6574" s="773" t="s">
        <v>410</v>
      </c>
    </row>
    <row r="6575" spans="19:23">
      <c r="S6575" s="27">
        <v>44985</v>
      </c>
      <c r="T6575" s="773" t="s">
        <v>132</v>
      </c>
      <c r="U6575" s="773">
        <v>275</v>
      </c>
      <c r="V6575" s="773">
        <v>19</v>
      </c>
      <c r="W6575" s="773" t="s">
        <v>410</v>
      </c>
    </row>
    <row r="6576" spans="19:23">
      <c r="S6576" s="27">
        <v>44985</v>
      </c>
      <c r="T6576" s="773" t="s">
        <v>132</v>
      </c>
      <c r="U6576" s="773">
        <v>308</v>
      </c>
      <c r="V6576" s="773">
        <v>2298</v>
      </c>
      <c r="W6576" s="773" t="s">
        <v>390</v>
      </c>
    </row>
    <row r="6577" spans="19:23">
      <c r="S6577" s="27">
        <v>44985</v>
      </c>
      <c r="T6577" s="773" t="s">
        <v>132</v>
      </c>
      <c r="U6577" s="773">
        <v>194</v>
      </c>
      <c r="V6577" s="773">
        <v>3695</v>
      </c>
      <c r="W6577" s="773" t="s">
        <v>390</v>
      </c>
    </row>
    <row r="6578" spans="19:23">
      <c r="S6578" s="27">
        <v>44985</v>
      </c>
      <c r="T6578" s="773" t="s">
        <v>132</v>
      </c>
      <c r="U6578" s="773">
        <v>660</v>
      </c>
      <c r="V6578" s="773">
        <v>5</v>
      </c>
      <c r="W6578" s="773" t="s">
        <v>410</v>
      </c>
    </row>
    <row r="6579" spans="19:23">
      <c r="S6579" s="27">
        <v>44985</v>
      </c>
      <c r="T6579" s="773" t="s">
        <v>132</v>
      </c>
      <c r="U6579" s="773">
        <v>687</v>
      </c>
      <c r="V6579" s="773">
        <v>3125</v>
      </c>
      <c r="W6579" s="773" t="s">
        <v>390</v>
      </c>
    </row>
    <row r="6580" spans="19:23">
      <c r="S6580" s="27">
        <v>44985</v>
      </c>
      <c r="T6580" s="773" t="s">
        <v>132</v>
      </c>
      <c r="U6580" s="773">
        <v>701</v>
      </c>
      <c r="V6580" s="773">
        <v>2392</v>
      </c>
      <c r="W6580" s="773" t="s">
        <v>390</v>
      </c>
    </row>
    <row r="6581" spans="19:23">
      <c r="S6581" s="27">
        <v>44985</v>
      </c>
      <c r="T6581" s="773" t="s">
        <v>132</v>
      </c>
      <c r="U6581" s="773">
        <v>101</v>
      </c>
      <c r="V6581" s="773">
        <v>281</v>
      </c>
      <c r="W6581" s="773" t="s">
        <v>390</v>
      </c>
    </row>
    <row r="6582" spans="19:23">
      <c r="S6582" s="27">
        <v>44985</v>
      </c>
      <c r="T6582" s="773" t="s">
        <v>132</v>
      </c>
      <c r="U6582" s="773">
        <v>621</v>
      </c>
      <c r="V6582" s="773">
        <v>2488</v>
      </c>
      <c r="W6582" s="773" t="s">
        <v>390</v>
      </c>
    </row>
    <row r="6583" spans="19:23">
      <c r="S6583" s="27">
        <v>45016</v>
      </c>
      <c r="T6583" s="773" t="s">
        <v>132</v>
      </c>
      <c r="U6583" s="773">
        <v>212</v>
      </c>
      <c r="V6583" s="773">
        <v>3449</v>
      </c>
      <c r="W6583" s="773" t="s">
        <v>390</v>
      </c>
    </row>
    <row r="6584" spans="19:23">
      <c r="S6584" s="27">
        <v>45016</v>
      </c>
      <c r="T6584" s="773" t="s">
        <v>132</v>
      </c>
      <c r="U6584" s="773">
        <v>328</v>
      </c>
      <c r="V6584" s="773">
        <v>670</v>
      </c>
      <c r="W6584" s="773" t="s">
        <v>390</v>
      </c>
    </row>
    <row r="6585" spans="19:23">
      <c r="S6585" s="27">
        <v>45016</v>
      </c>
      <c r="T6585" s="773" t="s">
        <v>132</v>
      </c>
      <c r="U6585" s="773">
        <v>232</v>
      </c>
      <c r="V6585" s="773">
        <v>3</v>
      </c>
      <c r="W6585" s="773" t="s">
        <v>410</v>
      </c>
    </row>
    <row r="6586" spans="19:23">
      <c r="S6586" s="27">
        <v>45016</v>
      </c>
      <c r="T6586" s="773" t="s">
        <v>132</v>
      </c>
      <c r="U6586" s="773">
        <v>322</v>
      </c>
      <c r="V6586" s="773">
        <v>2551</v>
      </c>
      <c r="W6586" s="773" t="s">
        <v>390</v>
      </c>
    </row>
    <row r="6587" spans="19:23">
      <c r="S6587" s="27">
        <v>45016</v>
      </c>
      <c r="T6587" s="773" t="s">
        <v>132</v>
      </c>
      <c r="U6587" s="773">
        <v>27</v>
      </c>
      <c r="V6587" s="773">
        <v>1</v>
      </c>
      <c r="W6587" s="773" t="s">
        <v>410</v>
      </c>
    </row>
    <row r="6588" spans="19:23">
      <c r="S6588" s="27">
        <v>45016</v>
      </c>
      <c r="T6588" s="773" t="s">
        <v>132</v>
      </c>
      <c r="U6588" s="773">
        <v>319</v>
      </c>
      <c r="V6588" s="773">
        <v>3240</v>
      </c>
      <c r="W6588" s="773" t="s">
        <v>390</v>
      </c>
    </row>
    <row r="6589" spans="19:23">
      <c r="S6589" s="27">
        <v>45016</v>
      </c>
      <c r="T6589" s="773" t="s">
        <v>132</v>
      </c>
      <c r="U6589" s="773">
        <v>92</v>
      </c>
      <c r="V6589" s="773">
        <v>8</v>
      </c>
      <c r="W6589" s="773" t="s">
        <v>410</v>
      </c>
    </row>
    <row r="6590" spans="19:23">
      <c r="S6590" s="27">
        <v>45016</v>
      </c>
      <c r="T6590" s="773" t="s">
        <v>132</v>
      </c>
      <c r="U6590" s="773">
        <v>799</v>
      </c>
      <c r="V6590" s="773">
        <v>24</v>
      </c>
      <c r="W6590" s="773" t="s">
        <v>410</v>
      </c>
    </row>
    <row r="6591" spans="19:23">
      <c r="S6591" s="27">
        <v>45016</v>
      </c>
      <c r="T6591" s="773" t="s">
        <v>132</v>
      </c>
      <c r="U6591" s="773">
        <v>132</v>
      </c>
      <c r="V6591" s="773">
        <v>2990</v>
      </c>
      <c r="W6591" s="773" t="s">
        <v>390</v>
      </c>
    </row>
    <row r="6592" spans="19:23">
      <c r="S6592" s="27">
        <v>45016</v>
      </c>
      <c r="T6592" s="773" t="s">
        <v>132</v>
      </c>
      <c r="U6592" s="773">
        <v>798</v>
      </c>
      <c r="V6592" s="773">
        <v>18</v>
      </c>
      <c r="W6592" s="773" t="s">
        <v>410</v>
      </c>
    </row>
    <row r="6593" spans="19:23">
      <c r="S6593" s="27">
        <v>45016</v>
      </c>
      <c r="T6593" s="773" t="s">
        <v>132</v>
      </c>
      <c r="U6593" s="773">
        <v>164</v>
      </c>
      <c r="V6593" s="773">
        <v>11</v>
      </c>
      <c r="W6593" s="773" t="s">
        <v>410</v>
      </c>
    </row>
    <row r="6594" spans="19:23">
      <c r="S6594" s="27">
        <v>45016</v>
      </c>
      <c r="T6594" s="773" t="s">
        <v>132</v>
      </c>
      <c r="U6594" s="773">
        <v>78</v>
      </c>
      <c r="V6594" s="773">
        <v>10</v>
      </c>
      <c r="W6594" s="773" t="s">
        <v>410</v>
      </c>
    </row>
    <row r="6595" spans="19:23">
      <c r="S6595" s="27">
        <v>45016</v>
      </c>
      <c r="T6595" s="773" t="s">
        <v>132</v>
      </c>
      <c r="U6595" s="773">
        <v>220</v>
      </c>
      <c r="V6595" s="773">
        <v>128</v>
      </c>
      <c r="W6595" s="773" t="s">
        <v>390</v>
      </c>
    </row>
    <row r="6596" spans="19:23">
      <c r="S6596" s="27">
        <v>45016</v>
      </c>
      <c r="T6596" s="773" t="s">
        <v>132</v>
      </c>
      <c r="U6596" s="773">
        <v>266</v>
      </c>
      <c r="V6596" s="773">
        <v>2467</v>
      </c>
      <c r="W6596" s="773" t="s">
        <v>390</v>
      </c>
    </row>
    <row r="6597" spans="19:23">
      <c r="S6597" s="27">
        <v>45016</v>
      </c>
      <c r="T6597" s="773" t="s">
        <v>132</v>
      </c>
      <c r="U6597" s="773">
        <v>202</v>
      </c>
      <c r="V6597" s="773">
        <v>2</v>
      </c>
      <c r="W6597" s="773" t="s">
        <v>410</v>
      </c>
    </row>
    <row r="6598" spans="19:23">
      <c r="S6598" s="27">
        <v>45016</v>
      </c>
      <c r="T6598" s="773" t="s">
        <v>132</v>
      </c>
      <c r="U6598" s="773">
        <v>43</v>
      </c>
      <c r="V6598" s="773">
        <v>1025</v>
      </c>
      <c r="W6598" s="773" t="s">
        <v>390</v>
      </c>
    </row>
    <row r="6599" spans="19:23">
      <c r="S6599" s="27">
        <v>45016</v>
      </c>
      <c r="T6599" s="773" t="s">
        <v>132</v>
      </c>
      <c r="U6599" s="773">
        <v>68</v>
      </c>
      <c r="V6599" s="773">
        <v>943</v>
      </c>
      <c r="W6599" s="773" t="s">
        <v>390</v>
      </c>
    </row>
    <row r="6600" spans="19:23">
      <c r="S6600" s="27">
        <v>45016</v>
      </c>
      <c r="T6600" s="773" t="s">
        <v>132</v>
      </c>
      <c r="U6600" s="773">
        <v>769</v>
      </c>
      <c r="V6600" s="773">
        <v>178</v>
      </c>
      <c r="W6600" s="773" t="s">
        <v>390</v>
      </c>
    </row>
    <row r="6601" spans="19:23">
      <c r="S6601" s="27">
        <v>45016</v>
      </c>
      <c r="T6601" s="773" t="s">
        <v>132</v>
      </c>
      <c r="U6601" s="773">
        <v>669</v>
      </c>
      <c r="V6601" s="773">
        <v>2971</v>
      </c>
      <c r="W6601" s="773" t="s">
        <v>390</v>
      </c>
    </row>
    <row r="6602" spans="19:23">
      <c r="S6602" s="27">
        <v>45016</v>
      </c>
      <c r="T6602" s="773" t="s">
        <v>132</v>
      </c>
      <c r="U6602" s="773">
        <v>792</v>
      </c>
      <c r="V6602" s="773">
        <v>659</v>
      </c>
      <c r="W6602" s="773" t="s">
        <v>390</v>
      </c>
    </row>
    <row r="6603" spans="19:23">
      <c r="S6603" s="27">
        <v>45016</v>
      </c>
      <c r="T6603" s="773" t="s">
        <v>132</v>
      </c>
      <c r="U6603" s="773">
        <v>735</v>
      </c>
      <c r="V6603" s="773">
        <v>2688</v>
      </c>
      <c r="W6603" s="773" t="s">
        <v>390</v>
      </c>
    </row>
    <row r="6604" spans="19:23">
      <c r="S6604" s="27">
        <v>45016</v>
      </c>
      <c r="T6604" s="773" t="s">
        <v>132</v>
      </c>
      <c r="U6604" s="773">
        <v>658</v>
      </c>
      <c r="V6604" s="773">
        <v>6</v>
      </c>
      <c r="W6604" s="773" t="s">
        <v>410</v>
      </c>
    </row>
    <row r="6605" spans="19:23">
      <c r="S6605" s="27">
        <v>45016</v>
      </c>
      <c r="T6605" s="773" t="s">
        <v>132</v>
      </c>
      <c r="U6605" s="773">
        <v>790</v>
      </c>
      <c r="V6605" s="773">
        <v>6</v>
      </c>
      <c r="W6605" s="773" t="s">
        <v>410</v>
      </c>
    </row>
    <row r="6606" spans="19:23">
      <c r="S6606" s="27">
        <v>45016</v>
      </c>
      <c r="T6606" s="773" t="s">
        <v>132</v>
      </c>
      <c r="U6606" s="773">
        <v>697</v>
      </c>
      <c r="V6606" s="773">
        <v>1477</v>
      </c>
      <c r="W6606" s="773" t="s">
        <v>390</v>
      </c>
    </row>
    <row r="6607" spans="19:23">
      <c r="S6607" s="27">
        <v>45016</v>
      </c>
      <c r="T6607" s="773" t="s">
        <v>132</v>
      </c>
      <c r="U6607" s="773">
        <v>316</v>
      </c>
      <c r="V6607" s="773">
        <v>7</v>
      </c>
      <c r="W6607" s="773" t="s">
        <v>410</v>
      </c>
    </row>
    <row r="6608" spans="19:23">
      <c r="S6608" s="27">
        <v>45016</v>
      </c>
      <c r="T6608" s="773" t="s">
        <v>132</v>
      </c>
      <c r="U6608" s="773">
        <v>246</v>
      </c>
      <c r="V6608" s="773">
        <v>8</v>
      </c>
      <c r="W6608" s="773" t="s">
        <v>410</v>
      </c>
    </row>
    <row r="6609" spans="19:23">
      <c r="S6609" s="27">
        <v>45016</v>
      </c>
      <c r="T6609" s="773" t="s">
        <v>132</v>
      </c>
      <c r="U6609" s="773">
        <v>56</v>
      </c>
      <c r="V6609" s="773">
        <v>9</v>
      </c>
      <c r="W6609" s="773" t="s">
        <v>410</v>
      </c>
    </row>
    <row r="6610" spans="19:23">
      <c r="S6610" s="27">
        <v>45016</v>
      </c>
      <c r="T6610" s="773" t="s">
        <v>132</v>
      </c>
      <c r="U6610" s="773">
        <v>264</v>
      </c>
      <c r="V6610" s="773">
        <v>385</v>
      </c>
      <c r="W6610" s="773" t="s">
        <v>390</v>
      </c>
    </row>
    <row r="6611" spans="19:23">
      <c r="S6611" s="27">
        <v>45016</v>
      </c>
      <c r="T6611" s="773" t="s">
        <v>132</v>
      </c>
      <c r="U6611" s="773">
        <v>312</v>
      </c>
      <c r="V6611" s="773">
        <v>2679</v>
      </c>
      <c r="W6611" s="773" t="s">
        <v>390</v>
      </c>
    </row>
    <row r="6612" spans="19:23">
      <c r="S6612" s="27">
        <v>45016</v>
      </c>
      <c r="T6612" s="773" t="s">
        <v>132</v>
      </c>
      <c r="U6612" s="773">
        <v>230</v>
      </c>
      <c r="V6612" s="773">
        <v>6</v>
      </c>
      <c r="W6612" s="773" t="s">
        <v>410</v>
      </c>
    </row>
    <row r="6613" spans="19:23">
      <c r="S6613" s="27">
        <v>45016</v>
      </c>
      <c r="T6613" s="773" t="s">
        <v>132</v>
      </c>
      <c r="U6613" s="773">
        <v>82</v>
      </c>
      <c r="V6613" s="773">
        <v>1</v>
      </c>
      <c r="W6613" s="773" t="s">
        <v>410</v>
      </c>
    </row>
    <row r="6614" spans="19:23">
      <c r="S6614" s="27">
        <v>45016</v>
      </c>
      <c r="T6614" s="773" t="s">
        <v>132</v>
      </c>
      <c r="U6614" s="773">
        <v>283</v>
      </c>
      <c r="V6614" s="773">
        <v>1</v>
      </c>
      <c r="W6614" s="773" t="s">
        <v>410</v>
      </c>
    </row>
    <row r="6615" spans="19:23">
      <c r="S6615" s="27">
        <v>45016</v>
      </c>
      <c r="T6615" s="773" t="s">
        <v>132</v>
      </c>
      <c r="U6615" s="773">
        <v>89</v>
      </c>
      <c r="V6615" s="773">
        <v>1092</v>
      </c>
      <c r="W6615" s="773" t="s">
        <v>390</v>
      </c>
    </row>
    <row r="6616" spans="19:23">
      <c r="S6616" s="27">
        <v>45016</v>
      </c>
      <c r="T6616" s="773" t="s">
        <v>132</v>
      </c>
      <c r="U6616" s="773">
        <v>130</v>
      </c>
      <c r="V6616" s="773">
        <v>2</v>
      </c>
      <c r="W6616" s="773" t="s">
        <v>410</v>
      </c>
    </row>
    <row r="6617" spans="19:23">
      <c r="S6617" s="27">
        <v>45016</v>
      </c>
      <c r="T6617" s="773" t="s">
        <v>132</v>
      </c>
      <c r="U6617" s="773">
        <v>710</v>
      </c>
      <c r="V6617" s="773">
        <v>994</v>
      </c>
      <c r="W6617" s="773" t="s">
        <v>390</v>
      </c>
    </row>
    <row r="6618" spans="19:23">
      <c r="S6618" s="27">
        <v>45016</v>
      </c>
      <c r="T6618" s="773" t="s">
        <v>132</v>
      </c>
      <c r="U6618" s="773">
        <v>344</v>
      </c>
      <c r="V6618" s="773">
        <v>158</v>
      </c>
      <c r="W6618" s="773" t="s">
        <v>390</v>
      </c>
    </row>
    <row r="6619" spans="19:23">
      <c r="S6619" s="27">
        <v>45016</v>
      </c>
      <c r="T6619" s="773" t="s">
        <v>132</v>
      </c>
      <c r="U6619" s="773">
        <v>255</v>
      </c>
      <c r="V6619" s="773">
        <v>519</v>
      </c>
      <c r="W6619" s="773" t="s">
        <v>390</v>
      </c>
    </row>
    <row r="6620" spans="19:23">
      <c r="S6620" s="27">
        <v>45016</v>
      </c>
      <c r="T6620" s="773" t="s">
        <v>132</v>
      </c>
      <c r="U6620" s="773">
        <v>203</v>
      </c>
      <c r="V6620" s="773">
        <v>2512</v>
      </c>
      <c r="W6620" s="773" t="s">
        <v>390</v>
      </c>
    </row>
    <row r="6621" spans="19:23">
      <c r="S6621" s="27">
        <v>45016</v>
      </c>
      <c r="T6621" s="773" t="s">
        <v>132</v>
      </c>
      <c r="U6621" s="773">
        <v>124</v>
      </c>
      <c r="V6621" s="773">
        <v>9</v>
      </c>
      <c r="W6621" s="773" t="s">
        <v>410</v>
      </c>
    </row>
    <row r="6622" spans="19:23">
      <c r="S6622" s="27">
        <v>45016</v>
      </c>
      <c r="T6622" s="773" t="s">
        <v>132</v>
      </c>
      <c r="U6622" s="773">
        <v>245</v>
      </c>
      <c r="V6622" s="773">
        <v>3161</v>
      </c>
      <c r="W6622" s="773" t="s">
        <v>390</v>
      </c>
    </row>
    <row r="6623" spans="19:23">
      <c r="S6623" s="27">
        <v>45016</v>
      </c>
      <c r="T6623" s="773" t="s">
        <v>132</v>
      </c>
      <c r="U6623" s="773">
        <v>706</v>
      </c>
      <c r="V6623" s="773">
        <v>1197</v>
      </c>
      <c r="W6623" s="773" t="s">
        <v>390</v>
      </c>
    </row>
    <row r="6624" spans="19:23">
      <c r="S6624" s="27">
        <v>45016</v>
      </c>
      <c r="T6624" s="773" t="s">
        <v>132</v>
      </c>
      <c r="U6624" s="773">
        <v>69</v>
      </c>
      <c r="V6624" s="773">
        <v>1</v>
      </c>
      <c r="W6624" s="773" t="s">
        <v>410</v>
      </c>
    </row>
    <row r="6625" spans="19:23">
      <c r="S6625" s="27">
        <v>45016</v>
      </c>
      <c r="T6625" s="773" t="s">
        <v>132</v>
      </c>
      <c r="U6625" s="773">
        <v>738</v>
      </c>
      <c r="V6625" s="773">
        <v>87</v>
      </c>
      <c r="W6625" s="773" t="s">
        <v>410</v>
      </c>
    </row>
    <row r="6626" spans="19:23">
      <c r="S6626" s="27">
        <v>45016</v>
      </c>
      <c r="T6626" s="773" t="s">
        <v>132</v>
      </c>
      <c r="U6626" s="773">
        <v>329</v>
      </c>
      <c r="V6626" s="773">
        <v>4003</v>
      </c>
      <c r="W6626" s="773" t="s">
        <v>390</v>
      </c>
    </row>
    <row r="6627" spans="19:23">
      <c r="S6627" s="27">
        <v>45016</v>
      </c>
      <c r="T6627" s="773" t="s">
        <v>132</v>
      </c>
      <c r="U6627" s="773">
        <v>53</v>
      </c>
      <c r="V6627" s="773">
        <v>3</v>
      </c>
      <c r="W6627" s="773" t="s">
        <v>410</v>
      </c>
    </row>
    <row r="6628" spans="19:23">
      <c r="S6628" s="27">
        <v>45016</v>
      </c>
      <c r="T6628" s="773" t="s">
        <v>132</v>
      </c>
      <c r="U6628" s="773">
        <v>707</v>
      </c>
      <c r="V6628" s="773">
        <v>256</v>
      </c>
      <c r="W6628" s="773" t="s">
        <v>390</v>
      </c>
    </row>
    <row r="6629" spans="19:23">
      <c r="S6629" s="27">
        <v>45016</v>
      </c>
      <c r="T6629" s="773" t="s">
        <v>132</v>
      </c>
      <c r="U6629" s="773">
        <v>41</v>
      </c>
      <c r="V6629" s="773">
        <v>1</v>
      </c>
      <c r="W6629" s="773" t="s">
        <v>410</v>
      </c>
    </row>
    <row r="6630" spans="19:23">
      <c r="S6630" s="27">
        <v>45016</v>
      </c>
      <c r="T6630" s="773" t="s">
        <v>132</v>
      </c>
      <c r="U6630" s="773">
        <v>709</v>
      </c>
      <c r="V6630" s="773">
        <v>2448</v>
      </c>
      <c r="W6630" s="773" t="s">
        <v>390</v>
      </c>
    </row>
    <row r="6631" spans="19:23">
      <c r="S6631" s="27">
        <v>45016</v>
      </c>
      <c r="T6631" s="773" t="s">
        <v>132</v>
      </c>
      <c r="U6631" s="773">
        <v>665</v>
      </c>
      <c r="V6631" s="773">
        <v>17</v>
      </c>
      <c r="W6631" s="773" t="s">
        <v>410</v>
      </c>
    </row>
    <row r="6632" spans="19:23">
      <c r="S6632" s="27">
        <v>45016</v>
      </c>
      <c r="T6632" s="773" t="s">
        <v>132</v>
      </c>
      <c r="U6632" s="773">
        <v>70</v>
      </c>
      <c r="V6632" s="773">
        <v>208</v>
      </c>
      <c r="W6632" s="773" t="s">
        <v>390</v>
      </c>
    </row>
    <row r="6633" spans="19:23">
      <c r="S6633" s="27">
        <v>45016</v>
      </c>
      <c r="T6633" s="773" t="s">
        <v>132</v>
      </c>
      <c r="U6633" s="773">
        <v>803</v>
      </c>
      <c r="V6633" s="773">
        <v>14</v>
      </c>
      <c r="W6633" s="773" t="s">
        <v>410</v>
      </c>
    </row>
    <row r="6634" spans="19:23">
      <c r="S6634" s="27">
        <v>45016</v>
      </c>
      <c r="T6634" s="773" t="s">
        <v>132</v>
      </c>
      <c r="U6634" s="773">
        <v>740</v>
      </c>
      <c r="V6634" s="773">
        <v>716</v>
      </c>
      <c r="W6634" s="773" t="s">
        <v>390</v>
      </c>
    </row>
    <row r="6635" spans="19:23">
      <c r="S6635" s="27">
        <v>45016</v>
      </c>
      <c r="T6635" s="773" t="s">
        <v>132</v>
      </c>
      <c r="U6635" s="773">
        <v>101</v>
      </c>
      <c r="V6635" s="773">
        <v>283</v>
      </c>
      <c r="W6635" s="773" t="s">
        <v>390</v>
      </c>
    </row>
    <row r="6636" spans="19:23">
      <c r="S6636" s="27">
        <v>45016</v>
      </c>
      <c r="T6636" s="773" t="s">
        <v>132</v>
      </c>
      <c r="U6636" s="773">
        <v>528</v>
      </c>
      <c r="V6636" s="773">
        <v>68</v>
      </c>
      <c r="W6636" s="773" t="s">
        <v>410</v>
      </c>
    </row>
    <row r="6637" spans="19:23">
      <c r="S6637" s="27">
        <v>45016</v>
      </c>
      <c r="T6637" s="773" t="s">
        <v>132</v>
      </c>
      <c r="U6637" s="773">
        <v>48</v>
      </c>
      <c r="V6637" s="773">
        <v>14</v>
      </c>
      <c r="W6637" s="773" t="s">
        <v>410</v>
      </c>
    </row>
    <row r="6638" spans="19:23">
      <c r="S6638" s="27">
        <v>45016</v>
      </c>
      <c r="T6638" s="773" t="s">
        <v>132</v>
      </c>
      <c r="U6638" s="773">
        <v>326</v>
      </c>
      <c r="V6638" s="773">
        <v>2737</v>
      </c>
      <c r="W6638" s="773" t="s">
        <v>390</v>
      </c>
    </row>
    <row r="6639" spans="19:23">
      <c r="S6639" s="27">
        <v>45016</v>
      </c>
      <c r="T6639" s="773" t="s">
        <v>132</v>
      </c>
      <c r="U6639" s="773">
        <v>662</v>
      </c>
      <c r="V6639" s="773">
        <v>12</v>
      </c>
      <c r="W6639" s="773" t="s">
        <v>410</v>
      </c>
    </row>
    <row r="6640" spans="19:23">
      <c r="S6640" s="27">
        <v>45016</v>
      </c>
      <c r="T6640" s="773" t="s">
        <v>132</v>
      </c>
      <c r="U6640" s="773">
        <v>35</v>
      </c>
      <c r="V6640" s="773">
        <v>883</v>
      </c>
      <c r="W6640" s="773" t="s">
        <v>390</v>
      </c>
    </row>
    <row r="6641" spans="19:23">
      <c r="S6641" s="27">
        <v>45016</v>
      </c>
      <c r="T6641" s="773" t="s">
        <v>132</v>
      </c>
      <c r="U6641" s="773">
        <v>736</v>
      </c>
      <c r="V6641" s="773">
        <v>3272</v>
      </c>
      <c r="W6641" s="773" t="s">
        <v>390</v>
      </c>
    </row>
    <row r="6642" spans="19:23">
      <c r="S6642" s="27">
        <v>45016</v>
      </c>
      <c r="T6642" s="773" t="s">
        <v>132</v>
      </c>
      <c r="U6642" s="773">
        <v>195</v>
      </c>
      <c r="V6642" s="773">
        <v>1</v>
      </c>
      <c r="W6642" s="773" t="s">
        <v>410</v>
      </c>
    </row>
    <row r="6643" spans="19:23">
      <c r="S6643" s="27">
        <v>45016</v>
      </c>
      <c r="T6643" s="773" t="s">
        <v>132</v>
      </c>
      <c r="U6643" s="773">
        <v>218</v>
      </c>
      <c r="V6643" s="773">
        <v>177</v>
      </c>
      <c r="W6643" s="773" t="s">
        <v>390</v>
      </c>
    </row>
    <row r="6644" spans="19:23">
      <c r="S6644" s="27">
        <v>45016</v>
      </c>
      <c r="T6644" s="773" t="s">
        <v>132</v>
      </c>
      <c r="U6644" s="773">
        <v>741</v>
      </c>
      <c r="V6644" s="773">
        <v>2842</v>
      </c>
      <c r="W6644" s="773" t="s">
        <v>390</v>
      </c>
    </row>
    <row r="6645" spans="19:23">
      <c r="S6645" s="27">
        <v>45016</v>
      </c>
      <c r="T6645" s="773" t="s">
        <v>132</v>
      </c>
      <c r="U6645" s="773">
        <v>317</v>
      </c>
      <c r="V6645" s="773">
        <v>3436</v>
      </c>
      <c r="W6645" s="773" t="s">
        <v>390</v>
      </c>
    </row>
    <row r="6646" spans="19:23">
      <c r="S6646" s="27">
        <v>45016</v>
      </c>
      <c r="T6646" s="773" t="s">
        <v>132</v>
      </c>
      <c r="U6646" s="773">
        <v>308</v>
      </c>
      <c r="V6646" s="773">
        <v>2322</v>
      </c>
      <c r="W6646" s="773" t="s">
        <v>390</v>
      </c>
    </row>
    <row r="6647" spans="19:23">
      <c r="S6647" s="27">
        <v>45016</v>
      </c>
      <c r="T6647" s="773" t="s">
        <v>132</v>
      </c>
      <c r="U6647" s="773">
        <v>13</v>
      </c>
      <c r="V6647" s="773">
        <v>2629</v>
      </c>
      <c r="W6647" s="773" t="s">
        <v>390</v>
      </c>
    </row>
    <row r="6648" spans="19:23">
      <c r="S6648" s="27">
        <v>45016</v>
      </c>
      <c r="T6648" s="773" t="s">
        <v>132</v>
      </c>
      <c r="U6648" s="773">
        <v>87</v>
      </c>
      <c r="V6648" s="773">
        <v>2</v>
      </c>
      <c r="W6648" s="773" t="s">
        <v>410</v>
      </c>
    </row>
    <row r="6649" spans="19:23">
      <c r="S6649" s="27">
        <v>45016</v>
      </c>
      <c r="T6649" s="773" t="s">
        <v>132</v>
      </c>
      <c r="U6649" s="773">
        <v>84</v>
      </c>
      <c r="V6649" s="773">
        <v>2477</v>
      </c>
      <c r="W6649" s="773" t="s">
        <v>390</v>
      </c>
    </row>
    <row r="6650" spans="19:23">
      <c r="S6650" s="27">
        <v>45016</v>
      </c>
      <c r="T6650" s="773" t="s">
        <v>132</v>
      </c>
      <c r="U6650" s="773">
        <v>315</v>
      </c>
      <c r="V6650" s="773">
        <v>1972</v>
      </c>
      <c r="W6650" s="773" t="s">
        <v>390</v>
      </c>
    </row>
    <row r="6651" spans="19:23">
      <c r="S6651" s="27">
        <v>45016</v>
      </c>
      <c r="T6651" s="773" t="s">
        <v>132</v>
      </c>
      <c r="U6651" s="773">
        <v>696</v>
      </c>
      <c r="V6651" s="773">
        <v>41</v>
      </c>
      <c r="W6651" s="773" t="s">
        <v>410</v>
      </c>
    </row>
    <row r="6652" spans="19:23">
      <c r="S6652" s="27">
        <v>45016</v>
      </c>
      <c r="T6652" s="773" t="s">
        <v>132</v>
      </c>
      <c r="U6652" s="773">
        <v>271</v>
      </c>
      <c r="V6652" s="773">
        <v>2958</v>
      </c>
      <c r="W6652" s="773" t="s">
        <v>390</v>
      </c>
    </row>
    <row r="6653" spans="19:23">
      <c r="S6653" s="27">
        <v>45016</v>
      </c>
      <c r="T6653" s="773" t="s">
        <v>132</v>
      </c>
      <c r="U6653" s="773">
        <v>256</v>
      </c>
      <c r="V6653" s="773">
        <v>272</v>
      </c>
      <c r="W6653" s="773" t="s">
        <v>390</v>
      </c>
    </row>
    <row r="6654" spans="19:23">
      <c r="S6654" s="27">
        <v>45016</v>
      </c>
      <c r="T6654" s="773" t="s">
        <v>132</v>
      </c>
      <c r="U6654" s="773">
        <v>265</v>
      </c>
      <c r="V6654" s="773">
        <v>18</v>
      </c>
      <c r="W6654" s="773" t="s">
        <v>410</v>
      </c>
    </row>
    <row r="6655" spans="19:23">
      <c r="S6655" s="27">
        <v>45016</v>
      </c>
      <c r="T6655" s="773" t="s">
        <v>132</v>
      </c>
      <c r="U6655" s="773">
        <v>108</v>
      </c>
      <c r="V6655" s="773">
        <v>10</v>
      </c>
      <c r="W6655" s="773" t="s">
        <v>410</v>
      </c>
    </row>
    <row r="6656" spans="19:23">
      <c r="S6656" s="27">
        <v>45016</v>
      </c>
      <c r="T6656" s="773" t="s">
        <v>132</v>
      </c>
      <c r="U6656" s="773">
        <v>194</v>
      </c>
      <c r="V6656" s="773">
        <v>3702</v>
      </c>
      <c r="W6656" s="773" t="s">
        <v>390</v>
      </c>
    </row>
    <row r="6657" spans="19:23">
      <c r="S6657" s="27">
        <v>45016</v>
      </c>
      <c r="T6657" s="773" t="s">
        <v>132</v>
      </c>
      <c r="U6657" s="773">
        <v>247</v>
      </c>
      <c r="V6657" s="773">
        <v>2520</v>
      </c>
      <c r="W6657" s="773" t="s">
        <v>390</v>
      </c>
    </row>
    <row r="6658" spans="19:23">
      <c r="S6658" s="27">
        <v>45016</v>
      </c>
      <c r="T6658" s="773" t="s">
        <v>132</v>
      </c>
      <c r="U6658" s="773">
        <v>523</v>
      </c>
      <c r="V6658" s="773">
        <v>1</v>
      </c>
      <c r="W6658" s="773" t="s">
        <v>410</v>
      </c>
    </row>
    <row r="6659" spans="19:23">
      <c r="S6659" s="27">
        <v>45016</v>
      </c>
      <c r="T6659" s="773" t="s">
        <v>132</v>
      </c>
      <c r="U6659" s="773">
        <v>703</v>
      </c>
      <c r="V6659" s="773">
        <v>3304</v>
      </c>
      <c r="W6659" s="773" t="s">
        <v>390</v>
      </c>
    </row>
    <row r="6660" spans="19:23">
      <c r="S6660" s="27">
        <v>45016</v>
      </c>
      <c r="T6660" s="773" t="s">
        <v>132</v>
      </c>
      <c r="U6660" s="773">
        <v>325</v>
      </c>
      <c r="V6660" s="773">
        <v>2153</v>
      </c>
      <c r="W6660" s="773" t="s">
        <v>390</v>
      </c>
    </row>
    <row r="6661" spans="19:23">
      <c r="S6661" s="27">
        <v>45016</v>
      </c>
      <c r="T6661" s="773" t="s">
        <v>132</v>
      </c>
      <c r="U6661" s="773">
        <v>93</v>
      </c>
      <c r="V6661" s="773">
        <v>1159</v>
      </c>
      <c r="W6661" s="773" t="s">
        <v>390</v>
      </c>
    </row>
    <row r="6662" spans="19:23">
      <c r="S6662" s="27">
        <v>45016</v>
      </c>
      <c r="T6662" s="773" t="s">
        <v>132</v>
      </c>
      <c r="U6662" s="773">
        <v>77</v>
      </c>
      <c r="V6662" s="773">
        <v>3692</v>
      </c>
      <c r="W6662" s="773" t="s">
        <v>390</v>
      </c>
    </row>
    <row r="6663" spans="19:23">
      <c r="S6663" s="27">
        <v>45016</v>
      </c>
      <c r="T6663" s="773" t="s">
        <v>132</v>
      </c>
      <c r="U6663" s="773">
        <v>739</v>
      </c>
      <c r="V6663" s="773">
        <v>2158</v>
      </c>
      <c r="W6663" s="773" t="s">
        <v>390</v>
      </c>
    </row>
    <row r="6664" spans="19:23">
      <c r="S6664" s="27">
        <v>45016</v>
      </c>
      <c r="T6664" s="773" t="s">
        <v>132</v>
      </c>
      <c r="U6664" s="773">
        <v>81</v>
      </c>
      <c r="V6664" s="773">
        <v>9</v>
      </c>
      <c r="W6664" s="773" t="s">
        <v>410</v>
      </c>
    </row>
    <row r="6665" spans="19:23">
      <c r="S6665" s="27">
        <v>45016</v>
      </c>
      <c r="T6665" s="773" t="s">
        <v>132</v>
      </c>
      <c r="U6665" s="773">
        <v>648</v>
      </c>
      <c r="V6665" s="773">
        <v>1</v>
      </c>
      <c r="W6665" s="773" t="s">
        <v>410</v>
      </c>
    </row>
    <row r="6666" spans="19:23">
      <c r="S6666" s="27">
        <v>45016</v>
      </c>
      <c r="T6666" s="773" t="s">
        <v>132</v>
      </c>
      <c r="U6666" s="773">
        <v>305</v>
      </c>
      <c r="V6666" s="773">
        <v>4994</v>
      </c>
      <c r="W6666" s="773" t="s">
        <v>390</v>
      </c>
    </row>
    <row r="6667" spans="19:23">
      <c r="S6667" s="27">
        <v>45016</v>
      </c>
      <c r="T6667" s="773" t="s">
        <v>132</v>
      </c>
      <c r="U6667" s="773">
        <v>129</v>
      </c>
      <c r="V6667" s="773">
        <v>4</v>
      </c>
      <c r="W6667" s="773" t="s">
        <v>410</v>
      </c>
    </row>
    <row r="6668" spans="19:23">
      <c r="S6668" s="27">
        <v>45016</v>
      </c>
      <c r="T6668" s="773" t="s">
        <v>132</v>
      </c>
      <c r="U6668" s="773">
        <v>11</v>
      </c>
      <c r="V6668" s="773">
        <v>27</v>
      </c>
      <c r="W6668" s="773" t="s">
        <v>410</v>
      </c>
    </row>
    <row r="6669" spans="19:23">
      <c r="S6669" s="27">
        <v>45016</v>
      </c>
      <c r="T6669" s="773" t="s">
        <v>132</v>
      </c>
      <c r="U6669" s="773">
        <v>191</v>
      </c>
      <c r="V6669" s="773">
        <v>351</v>
      </c>
      <c r="W6669" s="773" t="s">
        <v>390</v>
      </c>
    </row>
    <row r="6670" spans="19:23">
      <c r="S6670" s="27">
        <v>45016</v>
      </c>
      <c r="T6670" s="773" t="s">
        <v>132</v>
      </c>
      <c r="U6670" s="773">
        <v>171</v>
      </c>
      <c r="V6670" s="773">
        <v>51</v>
      </c>
      <c r="W6670" s="773" t="s">
        <v>410</v>
      </c>
    </row>
    <row r="6671" spans="19:23">
      <c r="S6671" s="27">
        <v>45016</v>
      </c>
      <c r="T6671" s="773" t="s">
        <v>132</v>
      </c>
      <c r="U6671" s="773">
        <v>243</v>
      </c>
      <c r="V6671" s="773">
        <v>339</v>
      </c>
      <c r="W6671" s="773" t="s">
        <v>390</v>
      </c>
    </row>
    <row r="6672" spans="19:23">
      <c r="S6672" s="27">
        <v>45016</v>
      </c>
      <c r="T6672" s="773" t="s">
        <v>132</v>
      </c>
      <c r="U6672" s="773">
        <v>150</v>
      </c>
      <c r="V6672" s="773">
        <v>326</v>
      </c>
      <c r="W6672" s="773" t="s">
        <v>390</v>
      </c>
    </row>
    <row r="6673" spans="19:23">
      <c r="S6673" s="27">
        <v>45016</v>
      </c>
      <c r="T6673" s="773" t="s">
        <v>132</v>
      </c>
      <c r="U6673" s="773">
        <v>645</v>
      </c>
      <c r="V6673" s="773">
        <v>668</v>
      </c>
      <c r="W6673" s="773" t="s">
        <v>390</v>
      </c>
    </row>
    <row r="6674" spans="19:23">
      <c r="S6674" s="27">
        <v>45016</v>
      </c>
      <c r="T6674" s="773" t="s">
        <v>132</v>
      </c>
      <c r="U6674" s="773">
        <v>694</v>
      </c>
      <c r="V6674" s="773">
        <v>1</v>
      </c>
      <c r="W6674" s="773" t="s">
        <v>410</v>
      </c>
    </row>
    <row r="6675" spans="19:23">
      <c r="S6675" s="27">
        <v>45016</v>
      </c>
      <c r="T6675" s="773" t="s">
        <v>132</v>
      </c>
      <c r="U6675" s="773">
        <v>98</v>
      </c>
      <c r="V6675" s="773">
        <v>30</v>
      </c>
      <c r="W6675" s="773" t="s">
        <v>410</v>
      </c>
    </row>
    <row r="6676" spans="19:23">
      <c r="S6676" s="27">
        <v>45016</v>
      </c>
      <c r="T6676" s="773" t="s">
        <v>132</v>
      </c>
      <c r="U6676" s="773">
        <v>253</v>
      </c>
      <c r="V6676" s="773">
        <v>11</v>
      </c>
      <c r="W6676" s="773" t="s">
        <v>410</v>
      </c>
    </row>
    <row r="6677" spans="19:23">
      <c r="S6677" s="27">
        <v>45016</v>
      </c>
      <c r="T6677" s="773" t="s">
        <v>132</v>
      </c>
      <c r="U6677" s="773">
        <v>672</v>
      </c>
      <c r="V6677" s="773">
        <v>2462</v>
      </c>
      <c r="W6677" s="773" t="s">
        <v>390</v>
      </c>
    </row>
    <row r="6678" spans="19:23">
      <c r="S6678" s="27">
        <v>45016</v>
      </c>
      <c r="T6678" s="773" t="s">
        <v>132</v>
      </c>
      <c r="U6678" s="773">
        <v>251</v>
      </c>
      <c r="V6678" s="773">
        <v>1946</v>
      </c>
      <c r="W6678" s="773" t="s">
        <v>390</v>
      </c>
    </row>
    <row r="6679" spans="19:23">
      <c r="S6679" s="27">
        <v>45016</v>
      </c>
      <c r="T6679" s="773" t="s">
        <v>132</v>
      </c>
      <c r="U6679" s="773">
        <v>233</v>
      </c>
      <c r="V6679" s="773">
        <v>2533</v>
      </c>
      <c r="W6679" s="773" t="s">
        <v>390</v>
      </c>
    </row>
    <row r="6680" spans="19:23">
      <c r="S6680" s="27">
        <v>45016</v>
      </c>
      <c r="T6680" s="773" t="s">
        <v>132</v>
      </c>
      <c r="U6680" s="773">
        <v>651</v>
      </c>
      <c r="V6680" s="773">
        <v>79</v>
      </c>
      <c r="W6680" s="773" t="s">
        <v>410</v>
      </c>
    </row>
    <row r="6681" spans="19:23">
      <c r="S6681" s="27">
        <v>45016</v>
      </c>
      <c r="T6681" s="773" t="s">
        <v>132</v>
      </c>
      <c r="U6681" s="773">
        <v>141</v>
      </c>
      <c r="V6681" s="773">
        <v>1</v>
      </c>
      <c r="W6681" s="773" t="s">
        <v>410</v>
      </c>
    </row>
    <row r="6682" spans="19:23">
      <c r="S6682" s="27">
        <v>45016</v>
      </c>
      <c r="T6682" s="773" t="s">
        <v>132</v>
      </c>
      <c r="U6682" s="773">
        <v>701</v>
      </c>
      <c r="V6682" s="773">
        <v>2409</v>
      </c>
      <c r="W6682" s="773" t="s">
        <v>390</v>
      </c>
    </row>
    <row r="6683" spans="19:23">
      <c r="S6683" s="27">
        <v>45016</v>
      </c>
      <c r="T6683" s="773" t="s">
        <v>132</v>
      </c>
      <c r="U6683" s="773">
        <v>729</v>
      </c>
      <c r="V6683" s="773">
        <v>104</v>
      </c>
      <c r="W6683" s="773" t="s">
        <v>390</v>
      </c>
    </row>
    <row r="6684" spans="19:23">
      <c r="S6684" s="27">
        <v>45016</v>
      </c>
      <c r="T6684" s="773" t="s">
        <v>132</v>
      </c>
      <c r="U6684" s="773">
        <v>726</v>
      </c>
      <c r="V6684" s="773">
        <v>101</v>
      </c>
      <c r="W6684" s="773" t="s">
        <v>390</v>
      </c>
    </row>
    <row r="6685" spans="19:23">
      <c r="S6685" s="27">
        <v>45016</v>
      </c>
      <c r="T6685" s="773" t="s">
        <v>132</v>
      </c>
      <c r="U6685" s="773">
        <v>275</v>
      </c>
      <c r="V6685" s="773">
        <v>19</v>
      </c>
      <c r="W6685" s="773" t="s">
        <v>410</v>
      </c>
    </row>
    <row r="6686" spans="19:23">
      <c r="S6686" s="27">
        <v>45016</v>
      </c>
      <c r="T6686" s="773" t="s">
        <v>132</v>
      </c>
      <c r="U6686" s="773">
        <v>96</v>
      </c>
      <c r="V6686" s="773">
        <v>3</v>
      </c>
      <c r="W6686" s="773" t="s">
        <v>410</v>
      </c>
    </row>
    <row r="6687" spans="19:23">
      <c r="S6687" s="27">
        <v>45016</v>
      </c>
      <c r="T6687" s="773" t="s">
        <v>132</v>
      </c>
      <c r="U6687" s="773">
        <v>342</v>
      </c>
      <c r="V6687" s="773">
        <v>2674</v>
      </c>
      <c r="W6687" s="773" t="s">
        <v>390</v>
      </c>
    </row>
    <row r="6688" spans="19:23">
      <c r="S6688" s="27">
        <v>45016</v>
      </c>
      <c r="T6688" s="773" t="s">
        <v>132</v>
      </c>
      <c r="U6688" s="773">
        <v>119</v>
      </c>
      <c r="V6688" s="773">
        <v>1</v>
      </c>
      <c r="W6688" s="773" t="s">
        <v>410</v>
      </c>
    </row>
    <row r="6689" spans="19:23">
      <c r="S6689" s="27">
        <v>45016</v>
      </c>
      <c r="T6689" s="773" t="s">
        <v>132</v>
      </c>
      <c r="U6689" s="773">
        <v>182</v>
      </c>
      <c r="V6689" s="773">
        <v>164</v>
      </c>
      <c r="W6689" s="773" t="s">
        <v>390</v>
      </c>
    </row>
    <row r="6690" spans="19:23">
      <c r="S6690" s="27">
        <v>45016</v>
      </c>
      <c r="T6690" s="773" t="s">
        <v>132</v>
      </c>
      <c r="U6690" s="773">
        <v>64</v>
      </c>
      <c r="V6690" s="773">
        <v>1</v>
      </c>
      <c r="W6690" s="773" t="s">
        <v>410</v>
      </c>
    </row>
    <row r="6691" spans="19:23">
      <c r="S6691" s="27">
        <v>45016</v>
      </c>
      <c r="T6691" s="773" t="s">
        <v>132</v>
      </c>
      <c r="U6691" s="773">
        <v>216</v>
      </c>
      <c r="V6691" s="773">
        <v>2650</v>
      </c>
      <c r="W6691" s="773" t="s">
        <v>390</v>
      </c>
    </row>
    <row r="6692" spans="19:23">
      <c r="S6692" s="27">
        <v>45016</v>
      </c>
      <c r="T6692" s="773" t="s">
        <v>132</v>
      </c>
      <c r="U6692" s="773">
        <v>306</v>
      </c>
      <c r="V6692" s="773">
        <v>2403</v>
      </c>
      <c r="W6692" s="773" t="s">
        <v>390</v>
      </c>
    </row>
    <row r="6693" spans="19:23">
      <c r="S6693" s="27">
        <v>45016</v>
      </c>
      <c r="T6693" s="773" t="s">
        <v>132</v>
      </c>
      <c r="U6693" s="773">
        <v>183</v>
      </c>
      <c r="V6693" s="773">
        <v>585</v>
      </c>
      <c r="W6693" s="773" t="s">
        <v>390</v>
      </c>
    </row>
    <row r="6694" spans="19:23">
      <c r="S6694" s="27">
        <v>45016</v>
      </c>
      <c r="T6694" s="773" t="s">
        <v>132</v>
      </c>
      <c r="U6694" s="773">
        <v>700</v>
      </c>
      <c r="V6694" s="773">
        <v>2826</v>
      </c>
      <c r="W6694" s="773" t="s">
        <v>390</v>
      </c>
    </row>
    <row r="6695" spans="19:23">
      <c r="S6695" s="27">
        <v>45016</v>
      </c>
      <c r="T6695" s="773" t="s">
        <v>132</v>
      </c>
      <c r="U6695" s="773">
        <v>254</v>
      </c>
      <c r="V6695" s="773">
        <v>6</v>
      </c>
      <c r="W6695" s="773" t="s">
        <v>410</v>
      </c>
    </row>
    <row r="6696" spans="19:23">
      <c r="S6696" s="27">
        <v>45016</v>
      </c>
      <c r="T6696" s="773" t="s">
        <v>132</v>
      </c>
      <c r="U6696" s="773">
        <v>46</v>
      </c>
      <c r="V6696" s="773">
        <v>1</v>
      </c>
      <c r="W6696" s="773" t="s">
        <v>410</v>
      </c>
    </row>
    <row r="6697" spans="19:23">
      <c r="S6697" s="27">
        <v>45016</v>
      </c>
      <c r="T6697" s="773" t="s">
        <v>132</v>
      </c>
      <c r="U6697" s="773">
        <v>103</v>
      </c>
      <c r="V6697" s="773">
        <v>3303</v>
      </c>
      <c r="W6697" s="773" t="s">
        <v>390</v>
      </c>
    </row>
    <row r="6698" spans="19:23">
      <c r="S6698" s="27">
        <v>45016</v>
      </c>
      <c r="T6698" s="773" t="s">
        <v>132</v>
      </c>
      <c r="U6698" s="773">
        <v>797</v>
      </c>
      <c r="V6698" s="773">
        <v>53</v>
      </c>
      <c r="W6698" s="773" t="s">
        <v>410</v>
      </c>
    </row>
    <row r="6699" spans="19:23">
      <c r="S6699" s="27">
        <v>45016</v>
      </c>
      <c r="T6699" s="773" t="s">
        <v>132</v>
      </c>
      <c r="U6699" s="773">
        <v>63</v>
      </c>
      <c r="V6699" s="773">
        <v>1</v>
      </c>
      <c r="W6699" s="773" t="s">
        <v>410</v>
      </c>
    </row>
    <row r="6700" spans="19:23">
      <c r="S6700" s="27">
        <v>45016</v>
      </c>
      <c r="T6700" s="773" t="s">
        <v>132</v>
      </c>
      <c r="U6700" s="773">
        <v>660</v>
      </c>
      <c r="V6700" s="773">
        <v>5</v>
      </c>
      <c r="W6700" s="773" t="s">
        <v>410</v>
      </c>
    </row>
    <row r="6701" spans="19:23">
      <c r="S6701" s="27">
        <v>45016</v>
      </c>
      <c r="T6701" s="773" t="s">
        <v>132</v>
      </c>
      <c r="U6701" s="773">
        <v>324</v>
      </c>
      <c r="V6701" s="773">
        <v>3237</v>
      </c>
      <c r="W6701" s="773" t="s">
        <v>390</v>
      </c>
    </row>
    <row r="6702" spans="19:23">
      <c r="S6702" s="27">
        <v>45016</v>
      </c>
      <c r="T6702" s="773" t="s">
        <v>132</v>
      </c>
      <c r="U6702" s="773">
        <v>320</v>
      </c>
      <c r="V6702" s="773">
        <v>1701</v>
      </c>
      <c r="W6702" s="773" t="s">
        <v>390</v>
      </c>
    </row>
    <row r="6703" spans="19:23">
      <c r="S6703" s="27">
        <v>45016</v>
      </c>
      <c r="T6703" s="773" t="s">
        <v>132</v>
      </c>
      <c r="U6703" s="773">
        <v>779</v>
      </c>
      <c r="V6703" s="773">
        <v>2175</v>
      </c>
      <c r="W6703" s="773" t="s">
        <v>390</v>
      </c>
    </row>
    <row r="6704" spans="19:23">
      <c r="S6704" s="27">
        <v>45016</v>
      </c>
      <c r="T6704" s="773" t="s">
        <v>132</v>
      </c>
      <c r="U6704" s="773">
        <v>188</v>
      </c>
      <c r="V6704" s="773">
        <v>842</v>
      </c>
      <c r="W6704" s="773" t="s">
        <v>390</v>
      </c>
    </row>
    <row r="6705" spans="19:23">
      <c r="S6705" s="27">
        <v>45016</v>
      </c>
      <c r="T6705" s="773" t="s">
        <v>132</v>
      </c>
      <c r="U6705" s="773">
        <v>304</v>
      </c>
      <c r="V6705" s="773">
        <v>122</v>
      </c>
      <c r="W6705" s="773" t="s">
        <v>390</v>
      </c>
    </row>
    <row r="6706" spans="19:23">
      <c r="S6706" s="27">
        <v>45016</v>
      </c>
      <c r="T6706" s="773" t="s">
        <v>132</v>
      </c>
      <c r="U6706" s="773">
        <v>252</v>
      </c>
      <c r="V6706" s="773">
        <v>233</v>
      </c>
      <c r="W6706" s="773" t="s">
        <v>390</v>
      </c>
    </row>
    <row r="6707" spans="19:23">
      <c r="S6707" s="27">
        <v>45016</v>
      </c>
      <c r="T6707" s="773" t="s">
        <v>132</v>
      </c>
      <c r="U6707" s="773">
        <v>675</v>
      </c>
      <c r="V6707" s="773">
        <v>58</v>
      </c>
      <c r="W6707" s="773" t="s">
        <v>410</v>
      </c>
    </row>
    <row r="6708" spans="19:23">
      <c r="S6708" s="27">
        <v>45016</v>
      </c>
      <c r="T6708" s="773" t="s">
        <v>132</v>
      </c>
      <c r="U6708" s="773">
        <v>71</v>
      </c>
      <c r="V6708" s="773">
        <v>1</v>
      </c>
      <c r="W6708" s="773" t="s">
        <v>410</v>
      </c>
    </row>
    <row r="6709" spans="19:23">
      <c r="S6709" s="27">
        <v>45016</v>
      </c>
      <c r="T6709" s="773" t="s">
        <v>132</v>
      </c>
      <c r="U6709" s="773">
        <v>621</v>
      </c>
      <c r="V6709" s="773">
        <v>2514</v>
      </c>
      <c r="W6709" s="773" t="s">
        <v>390</v>
      </c>
    </row>
    <row r="6710" spans="19:23">
      <c r="S6710" s="27">
        <v>45016</v>
      </c>
      <c r="T6710" s="773" t="s">
        <v>132</v>
      </c>
      <c r="U6710" s="773">
        <v>52</v>
      </c>
      <c r="V6710" s="773">
        <v>8</v>
      </c>
      <c r="W6710" s="773" t="s">
        <v>410</v>
      </c>
    </row>
    <row r="6711" spans="19:23">
      <c r="S6711" s="27">
        <v>45016</v>
      </c>
      <c r="T6711" s="773" t="s">
        <v>132</v>
      </c>
      <c r="U6711" s="773">
        <v>200</v>
      </c>
      <c r="V6711" s="773">
        <v>5</v>
      </c>
      <c r="W6711" s="773" t="s">
        <v>410</v>
      </c>
    </row>
    <row r="6712" spans="19:23">
      <c r="S6712" s="27">
        <v>45016</v>
      </c>
      <c r="T6712" s="773" t="s">
        <v>132</v>
      </c>
      <c r="U6712" s="773">
        <v>674</v>
      </c>
      <c r="V6712" s="773">
        <v>3552</v>
      </c>
      <c r="W6712" s="773" t="s">
        <v>390</v>
      </c>
    </row>
    <row r="6713" spans="19:23">
      <c r="S6713" s="27">
        <v>45016</v>
      </c>
      <c r="T6713" s="773" t="s">
        <v>132</v>
      </c>
      <c r="U6713" s="773">
        <v>323</v>
      </c>
      <c r="V6713" s="773">
        <v>3189</v>
      </c>
      <c r="W6713" s="773" t="s">
        <v>390</v>
      </c>
    </row>
    <row r="6714" spans="19:23">
      <c r="S6714" s="27">
        <v>45016</v>
      </c>
      <c r="T6714" s="773" t="s">
        <v>132</v>
      </c>
      <c r="U6714" s="773">
        <v>724</v>
      </c>
      <c r="V6714" s="773">
        <v>2486</v>
      </c>
      <c r="W6714" s="773" t="s">
        <v>390</v>
      </c>
    </row>
    <row r="6715" spans="19:23">
      <c r="S6715" s="27">
        <v>45016</v>
      </c>
      <c r="T6715" s="773" t="s">
        <v>132</v>
      </c>
      <c r="U6715" s="773">
        <v>805</v>
      </c>
      <c r="V6715" s="773">
        <v>1</v>
      </c>
      <c r="W6715" s="773" t="s">
        <v>410</v>
      </c>
    </row>
    <row r="6716" spans="19:23">
      <c r="S6716" s="27">
        <v>45016</v>
      </c>
      <c r="T6716" s="773" t="s">
        <v>132</v>
      </c>
      <c r="U6716" s="773">
        <v>750</v>
      </c>
      <c r="V6716" s="773">
        <v>117</v>
      </c>
      <c r="W6716" s="773" t="s">
        <v>390</v>
      </c>
    </row>
    <row r="6717" spans="19:23">
      <c r="S6717" s="27">
        <v>45016</v>
      </c>
      <c r="T6717" s="773" t="s">
        <v>132</v>
      </c>
      <c r="U6717" s="773">
        <v>654</v>
      </c>
      <c r="V6717" s="773">
        <v>953</v>
      </c>
      <c r="W6717" s="773" t="s">
        <v>390</v>
      </c>
    </row>
    <row r="6718" spans="19:23">
      <c r="S6718" s="27">
        <v>45016</v>
      </c>
      <c r="T6718" s="773" t="s">
        <v>132</v>
      </c>
      <c r="U6718" s="773">
        <v>684</v>
      </c>
      <c r="V6718" s="773">
        <v>3214</v>
      </c>
      <c r="W6718" s="773" t="s">
        <v>390</v>
      </c>
    </row>
    <row r="6719" spans="19:23">
      <c r="S6719" s="27">
        <v>45016</v>
      </c>
      <c r="T6719" s="773" t="s">
        <v>132</v>
      </c>
      <c r="U6719" s="773">
        <v>801</v>
      </c>
      <c r="V6719" s="773">
        <v>30</v>
      </c>
      <c r="W6719" s="773" t="s">
        <v>410</v>
      </c>
    </row>
    <row r="6720" spans="19:23">
      <c r="S6720" s="27">
        <v>45016</v>
      </c>
      <c r="T6720" s="773" t="s">
        <v>132</v>
      </c>
      <c r="U6720" s="773">
        <v>227</v>
      </c>
      <c r="V6720" s="773">
        <v>1</v>
      </c>
      <c r="W6720" s="773" t="s">
        <v>410</v>
      </c>
    </row>
    <row r="6721" spans="19:23">
      <c r="S6721" s="27">
        <v>45016</v>
      </c>
      <c r="T6721" s="773" t="s">
        <v>132</v>
      </c>
      <c r="U6721" s="773">
        <v>728</v>
      </c>
      <c r="V6721" s="773">
        <v>1343</v>
      </c>
      <c r="W6721" s="773" t="s">
        <v>390</v>
      </c>
    </row>
    <row r="6722" spans="19:23">
      <c r="S6722" s="27">
        <v>45016</v>
      </c>
      <c r="T6722" s="773" t="s">
        <v>132</v>
      </c>
      <c r="U6722" s="773">
        <v>676</v>
      </c>
      <c r="V6722" s="773">
        <v>3</v>
      </c>
      <c r="W6722" s="773" t="s">
        <v>410</v>
      </c>
    </row>
    <row r="6723" spans="19:23">
      <c r="S6723" s="27">
        <v>45016</v>
      </c>
      <c r="T6723" s="773" t="s">
        <v>132</v>
      </c>
      <c r="U6723" s="773">
        <v>249</v>
      </c>
      <c r="V6723" s="773">
        <v>3465</v>
      </c>
      <c r="W6723" s="773" t="s">
        <v>390</v>
      </c>
    </row>
    <row r="6724" spans="19:23">
      <c r="S6724" s="27">
        <v>45016</v>
      </c>
      <c r="T6724" s="773" t="s">
        <v>132</v>
      </c>
      <c r="U6724" s="773">
        <v>44</v>
      </c>
      <c r="V6724" s="773">
        <v>2215</v>
      </c>
      <c r="W6724" s="773" t="s">
        <v>390</v>
      </c>
    </row>
    <row r="6725" spans="19:23">
      <c r="S6725" s="27">
        <v>45016</v>
      </c>
      <c r="T6725" s="773" t="s">
        <v>132</v>
      </c>
      <c r="U6725" s="773">
        <v>279</v>
      </c>
      <c r="V6725" s="773">
        <v>1</v>
      </c>
      <c r="W6725" s="773" t="s">
        <v>410</v>
      </c>
    </row>
    <row r="6726" spans="19:23">
      <c r="S6726" s="27">
        <v>45016</v>
      </c>
      <c r="T6726" s="773" t="s">
        <v>132</v>
      </c>
      <c r="U6726" s="773">
        <v>139</v>
      </c>
      <c r="V6726" s="773">
        <v>2451</v>
      </c>
      <c r="W6726" s="773" t="s">
        <v>390</v>
      </c>
    </row>
    <row r="6727" spans="19:23">
      <c r="S6727" s="27">
        <v>45016</v>
      </c>
      <c r="T6727" s="773" t="s">
        <v>132</v>
      </c>
      <c r="U6727" s="773">
        <v>718</v>
      </c>
      <c r="V6727" s="773">
        <v>1563</v>
      </c>
      <c r="W6727" s="773" t="s">
        <v>390</v>
      </c>
    </row>
    <row r="6728" spans="19:23">
      <c r="S6728" s="27">
        <v>45016</v>
      </c>
      <c r="T6728" s="773" t="s">
        <v>132</v>
      </c>
      <c r="U6728" s="773">
        <v>303</v>
      </c>
      <c r="V6728" s="773">
        <v>3</v>
      </c>
      <c r="W6728" s="773" t="s">
        <v>410</v>
      </c>
    </row>
    <row r="6729" spans="19:23">
      <c r="S6729" s="27">
        <v>45016</v>
      </c>
      <c r="T6729" s="773" t="s">
        <v>132</v>
      </c>
      <c r="U6729" s="773">
        <v>240</v>
      </c>
      <c r="V6729" s="773">
        <v>3</v>
      </c>
      <c r="W6729" s="773" t="s">
        <v>410</v>
      </c>
    </row>
    <row r="6730" spans="19:23">
      <c r="S6730" s="27">
        <v>45016</v>
      </c>
      <c r="T6730" s="773" t="s">
        <v>132</v>
      </c>
      <c r="U6730" s="773">
        <v>802</v>
      </c>
      <c r="V6730" s="773">
        <v>20</v>
      </c>
      <c r="W6730" s="773" t="s">
        <v>410</v>
      </c>
    </row>
    <row r="6731" spans="19:23">
      <c r="S6731" s="27">
        <v>45016</v>
      </c>
      <c r="T6731" s="773" t="s">
        <v>132</v>
      </c>
      <c r="U6731" s="773">
        <v>148</v>
      </c>
      <c r="V6731" s="773">
        <v>5</v>
      </c>
      <c r="W6731" s="773" t="s">
        <v>410</v>
      </c>
    </row>
    <row r="6732" spans="19:23">
      <c r="S6732" s="27">
        <v>45016</v>
      </c>
      <c r="T6732" s="773" t="s">
        <v>132</v>
      </c>
      <c r="U6732" s="773">
        <v>725</v>
      </c>
      <c r="V6732" s="773">
        <v>413</v>
      </c>
      <c r="W6732" s="773" t="s">
        <v>390</v>
      </c>
    </row>
    <row r="6733" spans="19:23">
      <c r="S6733" s="27">
        <v>45016</v>
      </c>
      <c r="T6733" s="773" t="s">
        <v>132</v>
      </c>
      <c r="U6733" s="773">
        <v>678</v>
      </c>
      <c r="V6733" s="773">
        <v>185</v>
      </c>
      <c r="W6733" s="773" t="s">
        <v>390</v>
      </c>
    </row>
    <row r="6734" spans="19:23">
      <c r="S6734" s="27">
        <v>45016</v>
      </c>
      <c r="T6734" s="773" t="s">
        <v>132</v>
      </c>
      <c r="U6734" s="773">
        <v>173</v>
      </c>
      <c r="V6734" s="773">
        <v>6</v>
      </c>
      <c r="W6734" s="773" t="s">
        <v>410</v>
      </c>
    </row>
    <row r="6735" spans="19:23">
      <c r="S6735" s="27">
        <v>45016</v>
      </c>
      <c r="T6735" s="773" t="s">
        <v>132</v>
      </c>
      <c r="U6735" s="773">
        <v>231</v>
      </c>
      <c r="V6735" s="773">
        <v>4</v>
      </c>
      <c r="W6735" s="773" t="s">
        <v>410</v>
      </c>
    </row>
    <row r="6736" spans="19:23">
      <c r="S6736" s="27">
        <v>45016</v>
      </c>
      <c r="T6736" s="773" t="s">
        <v>132</v>
      </c>
      <c r="U6736" s="773">
        <v>732</v>
      </c>
      <c r="V6736" s="773">
        <v>3559</v>
      </c>
      <c r="W6736" s="773" t="s">
        <v>390</v>
      </c>
    </row>
    <row r="6737" spans="19:23">
      <c r="S6737" s="27">
        <v>45016</v>
      </c>
      <c r="T6737" s="773" t="s">
        <v>132</v>
      </c>
      <c r="U6737" s="773">
        <v>204</v>
      </c>
      <c r="V6737" s="773">
        <v>6</v>
      </c>
      <c r="W6737" s="773" t="s">
        <v>410</v>
      </c>
    </row>
    <row r="6738" spans="19:23">
      <c r="S6738" s="27">
        <v>45016</v>
      </c>
      <c r="T6738" s="773" t="s">
        <v>132</v>
      </c>
      <c r="U6738" s="773">
        <v>698</v>
      </c>
      <c r="V6738" s="773">
        <v>2821</v>
      </c>
      <c r="W6738" s="773" t="s">
        <v>390</v>
      </c>
    </row>
    <row r="6739" spans="19:23">
      <c r="S6739" s="27">
        <v>45016</v>
      </c>
      <c r="T6739" s="773" t="s">
        <v>132</v>
      </c>
      <c r="U6739" s="773">
        <v>193</v>
      </c>
      <c r="V6739" s="773">
        <v>484</v>
      </c>
      <c r="W6739" s="773" t="s">
        <v>390</v>
      </c>
    </row>
    <row r="6740" spans="19:23">
      <c r="S6740" s="27">
        <v>45016</v>
      </c>
      <c r="T6740" s="773" t="s">
        <v>132</v>
      </c>
      <c r="U6740" s="773">
        <v>153</v>
      </c>
      <c r="V6740" s="773">
        <v>2320</v>
      </c>
      <c r="W6740" s="773" t="s">
        <v>390</v>
      </c>
    </row>
    <row r="6741" spans="19:23">
      <c r="S6741" s="27">
        <v>45016</v>
      </c>
      <c r="T6741" s="773" t="s">
        <v>132</v>
      </c>
      <c r="U6741" s="773">
        <v>667</v>
      </c>
      <c r="V6741" s="773">
        <v>2</v>
      </c>
      <c r="W6741" s="773" t="s">
        <v>410</v>
      </c>
    </row>
    <row r="6742" spans="19:23">
      <c r="S6742" s="27">
        <v>45016</v>
      </c>
      <c r="T6742" s="773" t="s">
        <v>132</v>
      </c>
      <c r="U6742" s="773">
        <v>102</v>
      </c>
      <c r="V6742" s="773">
        <v>2</v>
      </c>
      <c r="W6742" s="773" t="s">
        <v>410</v>
      </c>
    </row>
    <row r="6743" spans="19:23">
      <c r="S6743" s="27">
        <v>45016</v>
      </c>
      <c r="T6743" s="773" t="s">
        <v>132</v>
      </c>
      <c r="U6743" s="773">
        <v>650</v>
      </c>
      <c r="V6743" s="773">
        <v>30</v>
      </c>
      <c r="W6743" s="773" t="s">
        <v>410</v>
      </c>
    </row>
    <row r="6744" spans="19:23">
      <c r="S6744" s="27">
        <v>45016</v>
      </c>
      <c r="T6744" s="773" t="s">
        <v>132</v>
      </c>
      <c r="U6744" s="773">
        <v>76</v>
      </c>
      <c r="V6744" s="773">
        <v>3013</v>
      </c>
      <c r="W6744" s="773" t="s">
        <v>390</v>
      </c>
    </row>
    <row r="6745" spans="19:23">
      <c r="S6745" s="27">
        <v>45016</v>
      </c>
      <c r="T6745" s="773" t="s">
        <v>132</v>
      </c>
      <c r="U6745" s="773">
        <v>693</v>
      </c>
      <c r="V6745" s="773">
        <v>1</v>
      </c>
      <c r="W6745" s="773" t="s">
        <v>410</v>
      </c>
    </row>
    <row r="6746" spans="19:23">
      <c r="S6746" s="27">
        <v>45016</v>
      </c>
      <c r="T6746" s="773" t="s">
        <v>132</v>
      </c>
      <c r="U6746" s="773">
        <v>159</v>
      </c>
      <c r="V6746" s="773">
        <v>12</v>
      </c>
      <c r="W6746" s="773" t="s">
        <v>410</v>
      </c>
    </row>
    <row r="6747" spans="19:23">
      <c r="S6747" s="27">
        <v>45016</v>
      </c>
      <c r="T6747" s="773" t="s">
        <v>132</v>
      </c>
      <c r="U6747" s="773">
        <v>295</v>
      </c>
      <c r="V6747" s="773">
        <v>22</v>
      </c>
      <c r="W6747" s="773" t="s">
        <v>410</v>
      </c>
    </row>
    <row r="6748" spans="19:23">
      <c r="S6748" s="27">
        <v>45016</v>
      </c>
      <c r="T6748" s="773" t="s">
        <v>132</v>
      </c>
      <c r="U6748" s="773">
        <v>294</v>
      </c>
      <c r="V6748" s="773">
        <v>3</v>
      </c>
      <c r="W6748" s="773" t="s">
        <v>410</v>
      </c>
    </row>
    <row r="6749" spans="19:23">
      <c r="S6749" s="27">
        <v>45016</v>
      </c>
      <c r="T6749" s="773" t="s">
        <v>132</v>
      </c>
      <c r="U6749" s="773">
        <v>136</v>
      </c>
      <c r="V6749" s="773">
        <v>12</v>
      </c>
      <c r="W6749" s="773" t="s">
        <v>410</v>
      </c>
    </row>
    <row r="6750" spans="19:23">
      <c r="S6750" s="27">
        <v>45016</v>
      </c>
      <c r="T6750" s="773" t="s">
        <v>132</v>
      </c>
      <c r="U6750" s="773">
        <v>262</v>
      </c>
      <c r="V6750" s="773">
        <v>35</v>
      </c>
      <c r="W6750" s="773" t="s">
        <v>410</v>
      </c>
    </row>
    <row r="6751" spans="19:23">
      <c r="S6751" s="27">
        <v>45016</v>
      </c>
      <c r="T6751" s="773" t="s">
        <v>132</v>
      </c>
      <c r="U6751" s="773">
        <v>241</v>
      </c>
      <c r="V6751" s="773">
        <v>12</v>
      </c>
      <c r="W6751" s="773" t="s">
        <v>410</v>
      </c>
    </row>
    <row r="6752" spans="19:23">
      <c r="S6752" s="27">
        <v>45016</v>
      </c>
      <c r="T6752" s="773" t="s">
        <v>132</v>
      </c>
      <c r="U6752" s="773">
        <v>793</v>
      </c>
      <c r="V6752" s="773">
        <v>49</v>
      </c>
      <c r="W6752" s="773" t="s">
        <v>410</v>
      </c>
    </row>
    <row r="6753" spans="19:23">
      <c r="S6753" s="27">
        <v>45016</v>
      </c>
      <c r="T6753" s="773" t="s">
        <v>132</v>
      </c>
      <c r="U6753" s="773">
        <v>222</v>
      </c>
      <c r="V6753" s="773">
        <v>5</v>
      </c>
      <c r="W6753" s="773" t="s">
        <v>410</v>
      </c>
    </row>
    <row r="6754" spans="19:23">
      <c r="S6754" s="27">
        <v>45016</v>
      </c>
      <c r="T6754" s="773" t="s">
        <v>132</v>
      </c>
      <c r="U6754" s="773">
        <v>670</v>
      </c>
      <c r="V6754" s="773">
        <v>2550</v>
      </c>
      <c r="W6754" s="773" t="s">
        <v>390</v>
      </c>
    </row>
    <row r="6755" spans="19:23">
      <c r="S6755" s="27">
        <v>45016</v>
      </c>
      <c r="T6755" s="773" t="s">
        <v>132</v>
      </c>
      <c r="U6755" s="773">
        <v>66</v>
      </c>
      <c r="V6755" s="773">
        <v>1</v>
      </c>
      <c r="W6755" s="773" t="s">
        <v>410</v>
      </c>
    </row>
    <row r="6756" spans="19:23">
      <c r="S6756" s="27">
        <v>45016</v>
      </c>
      <c r="T6756" s="773" t="s">
        <v>132</v>
      </c>
      <c r="U6756" s="773">
        <v>0</v>
      </c>
      <c r="V6756" s="773">
        <v>47</v>
      </c>
      <c r="W6756" s="773" t="s">
        <v>410</v>
      </c>
    </row>
    <row r="6757" spans="19:23">
      <c r="S6757" s="27">
        <v>45016</v>
      </c>
      <c r="T6757" s="773" t="s">
        <v>132</v>
      </c>
      <c r="U6757" s="773">
        <v>699</v>
      </c>
      <c r="V6757" s="773">
        <v>1430</v>
      </c>
      <c r="W6757" s="773" t="s">
        <v>390</v>
      </c>
    </row>
    <row r="6758" spans="19:23">
      <c r="S6758" s="27">
        <v>45016</v>
      </c>
      <c r="T6758" s="773" t="s">
        <v>132</v>
      </c>
      <c r="U6758" s="773">
        <v>120</v>
      </c>
      <c r="V6758" s="773">
        <v>1</v>
      </c>
      <c r="W6758" s="773" t="s">
        <v>410</v>
      </c>
    </row>
    <row r="6759" spans="19:23">
      <c r="S6759" s="27">
        <v>45016</v>
      </c>
      <c r="T6759" s="773" t="s">
        <v>132</v>
      </c>
      <c r="U6759" s="773">
        <v>691</v>
      </c>
      <c r="V6759" s="773">
        <v>3083</v>
      </c>
      <c r="W6759" s="773" t="s">
        <v>390</v>
      </c>
    </row>
    <row r="6760" spans="19:23">
      <c r="S6760" s="27">
        <v>45016</v>
      </c>
      <c r="T6760" s="773" t="s">
        <v>132</v>
      </c>
      <c r="U6760" s="773">
        <v>109</v>
      </c>
      <c r="V6760" s="773">
        <v>1</v>
      </c>
      <c r="W6760" s="773" t="s">
        <v>410</v>
      </c>
    </row>
    <row r="6761" spans="19:23">
      <c r="S6761" s="27">
        <v>45016</v>
      </c>
      <c r="T6761" s="773" t="s">
        <v>132</v>
      </c>
      <c r="U6761" s="773">
        <v>155</v>
      </c>
      <c r="V6761" s="773">
        <v>2586</v>
      </c>
      <c r="W6761" s="773" t="s">
        <v>390</v>
      </c>
    </row>
    <row r="6762" spans="19:23">
      <c r="S6762" s="27">
        <v>45016</v>
      </c>
      <c r="T6762" s="773" t="s">
        <v>132</v>
      </c>
      <c r="U6762" s="773">
        <v>40</v>
      </c>
      <c r="V6762" s="773">
        <v>4</v>
      </c>
      <c r="W6762" s="773" t="s">
        <v>410</v>
      </c>
    </row>
    <row r="6763" spans="19:23">
      <c r="S6763" s="27">
        <v>45016</v>
      </c>
      <c r="T6763" s="773" t="s">
        <v>132</v>
      </c>
      <c r="U6763" s="773">
        <v>290</v>
      </c>
      <c r="V6763" s="773">
        <v>521</v>
      </c>
      <c r="W6763" s="773" t="s">
        <v>390</v>
      </c>
    </row>
    <row r="6764" spans="19:23">
      <c r="S6764" s="27">
        <v>45016</v>
      </c>
      <c r="T6764" s="773" t="s">
        <v>132</v>
      </c>
      <c r="U6764" s="773">
        <v>133</v>
      </c>
      <c r="V6764" s="773">
        <v>4</v>
      </c>
      <c r="W6764" s="773" t="s">
        <v>410</v>
      </c>
    </row>
    <row r="6765" spans="19:23">
      <c r="S6765" s="27">
        <v>45016</v>
      </c>
      <c r="T6765" s="773" t="s">
        <v>132</v>
      </c>
      <c r="U6765" s="773">
        <v>158</v>
      </c>
      <c r="V6765" s="773">
        <v>163</v>
      </c>
      <c r="W6765" s="773" t="s">
        <v>390</v>
      </c>
    </row>
    <row r="6766" spans="19:23">
      <c r="S6766" s="27">
        <v>45016</v>
      </c>
      <c r="T6766" s="773" t="s">
        <v>132</v>
      </c>
      <c r="U6766" s="773">
        <v>804</v>
      </c>
      <c r="V6766" s="773">
        <v>2136</v>
      </c>
      <c r="W6766" s="773" t="s">
        <v>390</v>
      </c>
    </row>
    <row r="6767" spans="19:23">
      <c r="S6767" s="27">
        <v>45016</v>
      </c>
      <c r="T6767" s="773" t="s">
        <v>132</v>
      </c>
      <c r="U6767" s="773">
        <v>663</v>
      </c>
      <c r="V6767" s="773">
        <v>403</v>
      </c>
      <c r="W6767" s="773" t="s">
        <v>390</v>
      </c>
    </row>
    <row r="6768" spans="19:23">
      <c r="S6768" s="27">
        <v>45016</v>
      </c>
      <c r="T6768" s="773" t="s">
        <v>132</v>
      </c>
      <c r="U6768" s="773">
        <v>641</v>
      </c>
      <c r="V6768" s="773">
        <v>2167</v>
      </c>
      <c r="W6768" s="773" t="s">
        <v>390</v>
      </c>
    </row>
    <row r="6769" spans="19:23">
      <c r="S6769" s="27">
        <v>45016</v>
      </c>
      <c r="T6769" s="773" t="s">
        <v>132</v>
      </c>
      <c r="U6769" s="773">
        <v>321</v>
      </c>
      <c r="V6769" s="773">
        <v>1929</v>
      </c>
      <c r="W6769" s="773" t="s">
        <v>390</v>
      </c>
    </row>
    <row r="6770" spans="19:23">
      <c r="S6770" s="27">
        <v>45016</v>
      </c>
      <c r="T6770" s="773" t="s">
        <v>132</v>
      </c>
      <c r="U6770" s="773">
        <v>140</v>
      </c>
      <c r="V6770" s="773">
        <v>659</v>
      </c>
      <c r="W6770" s="773" t="s">
        <v>390</v>
      </c>
    </row>
    <row r="6771" spans="19:23">
      <c r="S6771" s="27">
        <v>45016</v>
      </c>
      <c r="T6771" s="773" t="s">
        <v>132</v>
      </c>
      <c r="U6771" s="773">
        <v>666</v>
      </c>
      <c r="V6771" s="773">
        <v>1639</v>
      </c>
      <c r="W6771" s="773" t="s">
        <v>390</v>
      </c>
    </row>
    <row r="6772" spans="19:23">
      <c r="S6772" s="27">
        <v>45016</v>
      </c>
      <c r="T6772" s="773" t="s">
        <v>132</v>
      </c>
      <c r="U6772" s="773">
        <v>297</v>
      </c>
      <c r="V6772" s="773">
        <v>1591</v>
      </c>
      <c r="W6772" s="773" t="s">
        <v>390</v>
      </c>
    </row>
    <row r="6773" spans="19:23">
      <c r="S6773" s="27">
        <v>45016</v>
      </c>
      <c r="T6773" s="773" t="s">
        <v>132</v>
      </c>
      <c r="U6773" s="773">
        <v>671</v>
      </c>
      <c r="V6773" s="773">
        <v>2093</v>
      </c>
      <c r="W6773" s="773" t="s">
        <v>390</v>
      </c>
    </row>
    <row r="6774" spans="19:23">
      <c r="S6774" s="27">
        <v>45016</v>
      </c>
      <c r="T6774" s="773" t="s">
        <v>132</v>
      </c>
      <c r="U6774" s="773">
        <v>311</v>
      </c>
      <c r="V6774" s="773">
        <v>2518</v>
      </c>
      <c r="W6774" s="773" t="s">
        <v>390</v>
      </c>
    </row>
    <row r="6775" spans="19:23">
      <c r="S6775" s="27">
        <v>45016</v>
      </c>
      <c r="T6775" s="773" t="s">
        <v>132</v>
      </c>
      <c r="U6775" s="773">
        <v>79</v>
      </c>
      <c r="V6775" s="773">
        <v>4</v>
      </c>
      <c r="W6775" s="773" t="s">
        <v>410</v>
      </c>
    </row>
    <row r="6776" spans="19:23">
      <c r="S6776" s="27">
        <v>45016</v>
      </c>
      <c r="T6776" s="773" t="s">
        <v>132</v>
      </c>
      <c r="U6776" s="773">
        <v>58</v>
      </c>
      <c r="V6776" s="773">
        <v>1</v>
      </c>
      <c r="W6776" s="773" t="s">
        <v>410</v>
      </c>
    </row>
    <row r="6777" spans="19:23">
      <c r="S6777" s="27">
        <v>45016</v>
      </c>
      <c r="T6777" s="773" t="s">
        <v>132</v>
      </c>
      <c r="U6777" s="773">
        <v>296</v>
      </c>
      <c r="V6777" s="773">
        <v>2495</v>
      </c>
      <c r="W6777" s="773" t="s">
        <v>390</v>
      </c>
    </row>
    <row r="6778" spans="19:23">
      <c r="S6778" s="27">
        <v>45016</v>
      </c>
      <c r="T6778" s="773" t="s">
        <v>132</v>
      </c>
      <c r="U6778" s="773">
        <v>687</v>
      </c>
      <c r="V6778" s="773">
        <v>3141</v>
      </c>
      <c r="W6778" s="773" t="s">
        <v>390</v>
      </c>
    </row>
    <row r="6779" spans="19:23">
      <c r="S6779" s="27">
        <v>45016</v>
      </c>
      <c r="T6779" s="773" t="s">
        <v>132</v>
      </c>
      <c r="U6779" s="773">
        <v>748</v>
      </c>
      <c r="V6779" s="773">
        <v>153</v>
      </c>
      <c r="W6779" s="773" t="s">
        <v>390</v>
      </c>
    </row>
    <row r="6780" spans="19:23">
      <c r="S6780" s="27">
        <v>45016</v>
      </c>
      <c r="T6780" s="773" t="s">
        <v>132</v>
      </c>
      <c r="U6780" s="773">
        <v>716</v>
      </c>
      <c r="V6780" s="773">
        <v>373</v>
      </c>
      <c r="W6780" s="773" t="s">
        <v>390</v>
      </c>
    </row>
    <row r="6781" spans="19:23">
      <c r="S6781" s="27">
        <v>45016</v>
      </c>
      <c r="T6781" s="773" t="s">
        <v>132</v>
      </c>
      <c r="U6781" s="773">
        <v>652</v>
      </c>
      <c r="V6781" s="773">
        <v>3664</v>
      </c>
      <c r="W6781" s="773" t="s">
        <v>390</v>
      </c>
    </row>
    <row r="6782" spans="19:23">
      <c r="S6782" s="27">
        <v>45016</v>
      </c>
      <c r="T6782" s="773" t="s">
        <v>132</v>
      </c>
      <c r="U6782" s="773">
        <v>653</v>
      </c>
      <c r="V6782" s="773">
        <v>6</v>
      </c>
      <c r="W6782" s="773" t="s">
        <v>410</v>
      </c>
    </row>
    <row r="6783" spans="19:23">
      <c r="S6783" s="27">
        <v>45016</v>
      </c>
      <c r="T6783" s="773" t="s">
        <v>132</v>
      </c>
      <c r="U6783" s="773">
        <v>723</v>
      </c>
      <c r="V6783" s="773">
        <v>2217</v>
      </c>
      <c r="W6783" s="773" t="s">
        <v>390</v>
      </c>
    </row>
    <row r="6784" spans="19:23">
      <c r="S6784" s="27">
        <v>45016</v>
      </c>
      <c r="T6784" s="773" t="s">
        <v>132</v>
      </c>
      <c r="U6784" s="773">
        <v>704</v>
      </c>
      <c r="V6784" s="773">
        <v>3396</v>
      </c>
      <c r="W6784" s="773" t="s">
        <v>390</v>
      </c>
    </row>
    <row r="6785" spans="19:23">
      <c r="S6785" s="27">
        <v>45016</v>
      </c>
      <c r="T6785" s="773" t="s">
        <v>132</v>
      </c>
      <c r="U6785" s="773">
        <v>83</v>
      </c>
      <c r="V6785" s="773">
        <v>2470</v>
      </c>
      <c r="W6785" s="773" t="s">
        <v>390</v>
      </c>
    </row>
    <row r="6786" spans="19:23">
      <c r="S6786" s="27">
        <v>45016</v>
      </c>
      <c r="T6786" s="773" t="s">
        <v>132</v>
      </c>
      <c r="U6786" s="773">
        <v>215</v>
      </c>
      <c r="V6786" s="773">
        <v>660</v>
      </c>
      <c r="W6786" s="773" t="s">
        <v>390</v>
      </c>
    </row>
    <row r="6787" spans="19:23">
      <c r="S6787" s="27">
        <v>45016</v>
      </c>
      <c r="T6787" s="773" t="s">
        <v>132</v>
      </c>
      <c r="U6787" s="773">
        <v>737</v>
      </c>
      <c r="V6787" s="773">
        <v>2154</v>
      </c>
      <c r="W6787" s="773" t="s">
        <v>390</v>
      </c>
    </row>
    <row r="6788" spans="19:23">
      <c r="S6788" s="27">
        <v>45016</v>
      </c>
      <c r="T6788" s="773" t="s">
        <v>132</v>
      </c>
      <c r="U6788" s="773">
        <v>292</v>
      </c>
      <c r="V6788" s="773">
        <v>4</v>
      </c>
      <c r="W6788" s="773" t="s">
        <v>410</v>
      </c>
    </row>
    <row r="6789" spans="19:23">
      <c r="S6789" s="27">
        <v>45016</v>
      </c>
      <c r="T6789" s="773" t="s">
        <v>132</v>
      </c>
      <c r="U6789" s="773">
        <v>105</v>
      </c>
      <c r="V6789" s="773">
        <v>2</v>
      </c>
      <c r="W6789" s="773" t="s">
        <v>410</v>
      </c>
    </row>
    <row r="6790" spans="19:23">
      <c r="S6790" s="27">
        <v>45016</v>
      </c>
      <c r="T6790" s="773" t="s">
        <v>132</v>
      </c>
      <c r="U6790" s="773">
        <v>257</v>
      </c>
      <c r="V6790" s="773">
        <v>3035</v>
      </c>
      <c r="W6790" s="773" t="s">
        <v>390</v>
      </c>
    </row>
    <row r="6791" spans="19:23">
      <c r="S6791" s="27">
        <v>45016</v>
      </c>
      <c r="T6791" s="773" t="s">
        <v>132</v>
      </c>
      <c r="U6791" s="773">
        <v>157</v>
      </c>
      <c r="V6791" s="773">
        <v>11</v>
      </c>
      <c r="W6791" s="773" t="s">
        <v>410</v>
      </c>
    </row>
    <row r="6792" spans="19:23">
      <c r="S6792" s="27">
        <v>45016</v>
      </c>
      <c r="T6792" s="773" t="s">
        <v>132</v>
      </c>
      <c r="U6792" s="773">
        <v>680</v>
      </c>
      <c r="V6792" s="773">
        <v>3032</v>
      </c>
      <c r="W6792" s="773" t="s">
        <v>390</v>
      </c>
    </row>
    <row r="6793" spans="19:23">
      <c r="S6793" s="27">
        <v>45016</v>
      </c>
      <c r="T6793" s="773" t="s">
        <v>132</v>
      </c>
      <c r="U6793" s="773">
        <v>239</v>
      </c>
      <c r="V6793" s="773">
        <v>7</v>
      </c>
      <c r="W6793" s="773" t="s">
        <v>410</v>
      </c>
    </row>
    <row r="6794" spans="19:23">
      <c r="S6794" s="27">
        <v>45016</v>
      </c>
      <c r="T6794" s="773" t="s">
        <v>132</v>
      </c>
      <c r="U6794" s="773">
        <v>664</v>
      </c>
      <c r="V6794" s="773">
        <v>3504</v>
      </c>
      <c r="W6794" s="773" t="s">
        <v>390</v>
      </c>
    </row>
    <row r="6795" spans="19:23">
      <c r="S6795" s="27">
        <v>45016</v>
      </c>
      <c r="T6795" s="773" t="s">
        <v>132</v>
      </c>
      <c r="U6795" s="773">
        <v>727</v>
      </c>
      <c r="V6795" s="773">
        <v>3694</v>
      </c>
      <c r="W6795" s="773" t="s">
        <v>390</v>
      </c>
    </row>
    <row r="6796" spans="19:23">
      <c r="S6796" s="27">
        <v>45016</v>
      </c>
      <c r="T6796" s="773" t="s">
        <v>132</v>
      </c>
      <c r="U6796" s="773">
        <v>39</v>
      </c>
      <c r="V6796" s="773">
        <v>1</v>
      </c>
      <c r="W6796" s="773" t="s">
        <v>410</v>
      </c>
    </row>
    <row r="6797" spans="19:23">
      <c r="S6797" s="27">
        <v>45016</v>
      </c>
      <c r="T6797" s="773" t="s">
        <v>132</v>
      </c>
      <c r="U6797" s="773">
        <v>94</v>
      </c>
      <c r="V6797" s="773">
        <v>561</v>
      </c>
      <c r="W6797" s="773" t="s">
        <v>390</v>
      </c>
    </row>
    <row r="6798" spans="19:23">
      <c r="S6798" s="27">
        <v>45016</v>
      </c>
      <c r="T6798" s="773" t="s">
        <v>132</v>
      </c>
      <c r="U6798" s="773">
        <v>169</v>
      </c>
      <c r="V6798" s="773">
        <v>3259</v>
      </c>
      <c r="W6798" s="773" t="s">
        <v>390</v>
      </c>
    </row>
    <row r="6799" spans="19:23">
      <c r="S6799" s="27">
        <v>45016</v>
      </c>
      <c r="T6799" s="773" t="s">
        <v>132</v>
      </c>
      <c r="U6799" s="773">
        <v>791</v>
      </c>
      <c r="V6799" s="773">
        <v>3185</v>
      </c>
      <c r="W6799" s="773" t="s">
        <v>390</v>
      </c>
    </row>
    <row r="6800" spans="19:23">
      <c r="S6800" s="27">
        <v>45016</v>
      </c>
      <c r="T6800" s="773" t="s">
        <v>132</v>
      </c>
      <c r="U6800" s="773">
        <v>720</v>
      </c>
      <c r="V6800" s="773">
        <v>2955</v>
      </c>
      <c r="W6800" s="773" t="s">
        <v>390</v>
      </c>
    </row>
    <row r="6801" spans="19:23">
      <c r="S6801" s="27">
        <v>45016</v>
      </c>
      <c r="T6801" s="773" t="s">
        <v>132</v>
      </c>
      <c r="U6801" s="773">
        <v>73</v>
      </c>
      <c r="V6801" s="773">
        <v>3</v>
      </c>
      <c r="W6801" s="773" t="s">
        <v>410</v>
      </c>
    </row>
    <row r="6802" spans="19:23">
      <c r="S6802" s="27">
        <v>45016</v>
      </c>
      <c r="T6802" s="773" t="s">
        <v>132</v>
      </c>
      <c r="U6802" s="773">
        <v>213</v>
      </c>
      <c r="V6802" s="773">
        <v>1</v>
      </c>
      <c r="W6802" s="773" t="s">
        <v>410</v>
      </c>
    </row>
    <row r="6803" spans="19:23">
      <c r="S6803" s="27">
        <v>45016</v>
      </c>
      <c r="T6803" s="773" t="s">
        <v>132</v>
      </c>
      <c r="U6803" s="773">
        <v>59</v>
      </c>
      <c r="V6803" s="773">
        <v>2</v>
      </c>
      <c r="W6803" s="773" t="s">
        <v>410</v>
      </c>
    </row>
    <row r="6804" spans="19:23">
      <c r="S6804" s="27">
        <v>45016</v>
      </c>
      <c r="T6804" s="773" t="s">
        <v>132</v>
      </c>
      <c r="U6804" s="773">
        <v>318</v>
      </c>
      <c r="V6804" s="773">
        <v>2529</v>
      </c>
      <c r="W6804" s="773" t="s">
        <v>390</v>
      </c>
    </row>
    <row r="6805" spans="19:23">
      <c r="S6805" s="27">
        <v>45016</v>
      </c>
      <c r="T6805" s="773" t="s">
        <v>132</v>
      </c>
      <c r="U6805" s="773">
        <v>327</v>
      </c>
      <c r="V6805" s="773">
        <v>3</v>
      </c>
      <c r="W6805" s="773" t="s">
        <v>410</v>
      </c>
    </row>
    <row r="6806" spans="19:23">
      <c r="S6806" s="27">
        <v>45016</v>
      </c>
      <c r="T6806" s="773" t="s">
        <v>132</v>
      </c>
      <c r="U6806" s="773">
        <v>722</v>
      </c>
      <c r="V6806" s="773">
        <v>1</v>
      </c>
      <c r="W6806" s="773" t="s">
        <v>410</v>
      </c>
    </row>
    <row r="6807" spans="19:23">
      <c r="S6807" s="27">
        <v>45016</v>
      </c>
      <c r="T6807" s="773" t="s">
        <v>132</v>
      </c>
      <c r="U6807" s="773">
        <v>161</v>
      </c>
      <c r="V6807" s="773">
        <v>1</v>
      </c>
      <c r="W6807" s="773" t="s">
        <v>410</v>
      </c>
    </row>
    <row r="6808" spans="19:23">
      <c r="S6808" s="27">
        <v>45046</v>
      </c>
      <c r="T6808" s="773" t="s">
        <v>132</v>
      </c>
      <c r="U6808" s="773">
        <v>83</v>
      </c>
      <c r="V6808" s="773">
        <v>2502</v>
      </c>
      <c r="W6808" s="773" t="s">
        <v>390</v>
      </c>
    </row>
    <row r="6809" spans="19:23">
      <c r="S6809" s="27">
        <v>45046</v>
      </c>
      <c r="T6809" s="773" t="s">
        <v>132</v>
      </c>
      <c r="U6809" s="773">
        <v>309</v>
      </c>
      <c r="V6809" s="773">
        <v>1</v>
      </c>
      <c r="W6809" s="773" t="s">
        <v>410</v>
      </c>
    </row>
    <row r="6810" spans="19:23">
      <c r="S6810" s="27">
        <v>45046</v>
      </c>
      <c r="T6810" s="773" t="s">
        <v>132</v>
      </c>
      <c r="U6810" s="773">
        <v>694</v>
      </c>
      <c r="V6810" s="773">
        <v>1</v>
      </c>
      <c r="W6810" s="773" t="s">
        <v>410</v>
      </c>
    </row>
    <row r="6811" spans="19:23">
      <c r="S6811" s="27">
        <v>45046</v>
      </c>
      <c r="T6811" s="773" t="s">
        <v>132</v>
      </c>
      <c r="U6811" s="773">
        <v>139</v>
      </c>
      <c r="V6811" s="773">
        <v>2462</v>
      </c>
      <c r="W6811" s="773" t="s">
        <v>390</v>
      </c>
    </row>
    <row r="6812" spans="19:23">
      <c r="S6812" s="27">
        <v>45046</v>
      </c>
      <c r="T6812" s="773" t="s">
        <v>132</v>
      </c>
      <c r="U6812" s="773">
        <v>648</v>
      </c>
      <c r="V6812" s="773">
        <v>1</v>
      </c>
      <c r="W6812" s="773" t="s">
        <v>410</v>
      </c>
    </row>
    <row r="6813" spans="19:23">
      <c r="S6813" s="27">
        <v>45046</v>
      </c>
      <c r="T6813" s="773" t="s">
        <v>132</v>
      </c>
      <c r="U6813" s="773">
        <v>120</v>
      </c>
      <c r="V6813" s="773">
        <v>1</v>
      </c>
      <c r="W6813" s="773" t="s">
        <v>410</v>
      </c>
    </row>
    <row r="6814" spans="19:23">
      <c r="S6814" s="27">
        <v>45046</v>
      </c>
      <c r="T6814" s="773" t="s">
        <v>132</v>
      </c>
      <c r="U6814" s="773">
        <v>296</v>
      </c>
      <c r="V6814" s="773">
        <v>2512</v>
      </c>
      <c r="W6814" s="773" t="s">
        <v>390</v>
      </c>
    </row>
    <row r="6815" spans="19:23">
      <c r="S6815" s="27">
        <v>45046</v>
      </c>
      <c r="T6815" s="773" t="s">
        <v>132</v>
      </c>
      <c r="U6815" s="773">
        <v>283</v>
      </c>
      <c r="V6815" s="773">
        <v>1</v>
      </c>
      <c r="W6815" s="773" t="s">
        <v>410</v>
      </c>
    </row>
    <row r="6816" spans="19:23">
      <c r="S6816" s="27">
        <v>45046</v>
      </c>
      <c r="T6816" s="773" t="s">
        <v>132</v>
      </c>
      <c r="U6816" s="773">
        <v>325</v>
      </c>
      <c r="V6816" s="773">
        <v>2177</v>
      </c>
      <c r="W6816" s="773" t="s">
        <v>390</v>
      </c>
    </row>
    <row r="6817" spans="19:23">
      <c r="S6817" s="27">
        <v>45046</v>
      </c>
      <c r="T6817" s="773" t="s">
        <v>132</v>
      </c>
      <c r="U6817" s="773">
        <v>246</v>
      </c>
      <c r="V6817" s="773">
        <v>8</v>
      </c>
      <c r="W6817" s="773" t="s">
        <v>410</v>
      </c>
    </row>
    <row r="6818" spans="19:23">
      <c r="S6818" s="27">
        <v>45046</v>
      </c>
      <c r="T6818" s="773" t="s">
        <v>132</v>
      </c>
      <c r="U6818" s="773">
        <v>164</v>
      </c>
      <c r="V6818" s="773">
        <v>11</v>
      </c>
      <c r="W6818" s="773" t="s">
        <v>410</v>
      </c>
    </row>
    <row r="6819" spans="19:23">
      <c r="S6819" s="27">
        <v>45046</v>
      </c>
      <c r="T6819" s="773" t="s">
        <v>132</v>
      </c>
      <c r="U6819" s="773">
        <v>68</v>
      </c>
      <c r="V6819" s="773">
        <v>967</v>
      </c>
      <c r="W6819" s="773" t="s">
        <v>390</v>
      </c>
    </row>
    <row r="6820" spans="19:23">
      <c r="S6820" s="27">
        <v>45046</v>
      </c>
      <c r="T6820" s="773" t="s">
        <v>132</v>
      </c>
      <c r="U6820" s="773">
        <v>316</v>
      </c>
      <c r="V6820" s="773">
        <v>7</v>
      </c>
      <c r="W6820" s="773" t="s">
        <v>410</v>
      </c>
    </row>
    <row r="6821" spans="19:23">
      <c r="S6821" s="27">
        <v>45046</v>
      </c>
      <c r="T6821" s="773" t="s">
        <v>132</v>
      </c>
      <c r="U6821" s="773">
        <v>779</v>
      </c>
      <c r="V6821" s="773">
        <v>2181</v>
      </c>
      <c r="W6821" s="773" t="s">
        <v>390</v>
      </c>
    </row>
    <row r="6822" spans="19:23">
      <c r="S6822" s="27">
        <v>45046</v>
      </c>
      <c r="T6822" s="773" t="s">
        <v>132</v>
      </c>
      <c r="U6822" s="773">
        <v>52</v>
      </c>
      <c r="V6822" s="773">
        <v>8</v>
      </c>
      <c r="W6822" s="773" t="s">
        <v>410</v>
      </c>
    </row>
    <row r="6823" spans="19:23">
      <c r="S6823" s="27">
        <v>45046</v>
      </c>
      <c r="T6823" s="773" t="s">
        <v>132</v>
      </c>
      <c r="U6823" s="773">
        <v>703</v>
      </c>
      <c r="V6823" s="773">
        <v>3323</v>
      </c>
      <c r="W6823" s="773" t="s">
        <v>390</v>
      </c>
    </row>
    <row r="6824" spans="19:23">
      <c r="S6824" s="27">
        <v>45046</v>
      </c>
      <c r="T6824" s="773" t="s">
        <v>132</v>
      </c>
      <c r="U6824" s="773">
        <v>741</v>
      </c>
      <c r="V6824" s="773">
        <v>2871</v>
      </c>
      <c r="W6824" s="773" t="s">
        <v>390</v>
      </c>
    </row>
    <row r="6825" spans="19:23">
      <c r="S6825" s="27">
        <v>45046</v>
      </c>
      <c r="T6825" s="773" t="s">
        <v>132</v>
      </c>
      <c r="U6825" s="773">
        <v>678</v>
      </c>
      <c r="V6825" s="773">
        <v>183</v>
      </c>
      <c r="W6825" s="773" t="s">
        <v>390</v>
      </c>
    </row>
    <row r="6826" spans="19:23">
      <c r="S6826" s="27">
        <v>45046</v>
      </c>
      <c r="T6826" s="773" t="s">
        <v>132</v>
      </c>
      <c r="U6826" s="773">
        <v>804</v>
      </c>
      <c r="V6826" s="773">
        <v>2146</v>
      </c>
      <c r="W6826" s="773" t="s">
        <v>390</v>
      </c>
    </row>
    <row r="6827" spans="19:23">
      <c r="S6827" s="27">
        <v>45046</v>
      </c>
      <c r="T6827" s="773" t="s">
        <v>132</v>
      </c>
      <c r="U6827" s="773">
        <v>732</v>
      </c>
      <c r="V6827" s="773">
        <v>3580</v>
      </c>
      <c r="W6827" s="773" t="s">
        <v>390</v>
      </c>
    </row>
    <row r="6828" spans="19:23">
      <c r="S6828" s="27">
        <v>45046</v>
      </c>
      <c r="T6828" s="773" t="s">
        <v>132</v>
      </c>
      <c r="U6828" s="773">
        <v>191</v>
      </c>
      <c r="V6828" s="773">
        <v>354</v>
      </c>
      <c r="W6828" s="773" t="s">
        <v>390</v>
      </c>
    </row>
    <row r="6829" spans="19:23">
      <c r="S6829" s="27">
        <v>45046</v>
      </c>
      <c r="T6829" s="773" t="s">
        <v>132</v>
      </c>
      <c r="U6829" s="773">
        <v>70</v>
      </c>
      <c r="V6829" s="773">
        <v>209</v>
      </c>
      <c r="W6829" s="773" t="s">
        <v>390</v>
      </c>
    </row>
    <row r="6830" spans="19:23">
      <c r="S6830" s="27">
        <v>45046</v>
      </c>
      <c r="T6830" s="773" t="s">
        <v>132</v>
      </c>
      <c r="U6830" s="773">
        <v>200</v>
      </c>
      <c r="V6830" s="773">
        <v>6</v>
      </c>
      <c r="W6830" s="773" t="s">
        <v>410</v>
      </c>
    </row>
    <row r="6831" spans="19:23">
      <c r="S6831" s="27">
        <v>45046</v>
      </c>
      <c r="T6831" s="773" t="s">
        <v>132</v>
      </c>
      <c r="U6831" s="773">
        <v>651</v>
      </c>
      <c r="V6831" s="773">
        <v>90</v>
      </c>
      <c r="W6831" s="773" t="s">
        <v>410</v>
      </c>
    </row>
    <row r="6832" spans="19:23">
      <c r="S6832" s="27">
        <v>45046</v>
      </c>
      <c r="T6832" s="773" t="s">
        <v>132</v>
      </c>
      <c r="U6832" s="773">
        <v>315</v>
      </c>
      <c r="V6832" s="773">
        <v>1997</v>
      </c>
      <c r="W6832" s="773" t="s">
        <v>390</v>
      </c>
    </row>
    <row r="6833" spans="19:23">
      <c r="S6833" s="27">
        <v>45046</v>
      </c>
      <c r="T6833" s="773" t="s">
        <v>132</v>
      </c>
      <c r="U6833" s="773">
        <v>266</v>
      </c>
      <c r="V6833" s="773">
        <v>2477</v>
      </c>
      <c r="W6833" s="773" t="s">
        <v>390</v>
      </c>
    </row>
    <row r="6834" spans="19:23">
      <c r="S6834" s="27">
        <v>45046</v>
      </c>
      <c r="T6834" s="773" t="s">
        <v>132</v>
      </c>
      <c r="U6834" s="773">
        <v>306</v>
      </c>
      <c r="V6834" s="773">
        <v>2421</v>
      </c>
      <c r="W6834" s="773" t="s">
        <v>390</v>
      </c>
    </row>
    <row r="6835" spans="19:23">
      <c r="S6835" s="27">
        <v>45046</v>
      </c>
      <c r="T6835" s="773" t="s">
        <v>132</v>
      </c>
      <c r="U6835" s="773">
        <v>802</v>
      </c>
      <c r="V6835" s="773">
        <v>43</v>
      </c>
      <c r="W6835" s="773" t="s">
        <v>410</v>
      </c>
    </row>
    <row r="6836" spans="19:23">
      <c r="S6836" s="27">
        <v>45046</v>
      </c>
      <c r="T6836" s="773" t="s">
        <v>132</v>
      </c>
      <c r="U6836" s="773">
        <v>736</v>
      </c>
      <c r="V6836" s="773">
        <v>3322</v>
      </c>
      <c r="W6836" s="773" t="s">
        <v>390</v>
      </c>
    </row>
    <row r="6837" spans="19:23">
      <c r="S6837" s="27">
        <v>45046</v>
      </c>
      <c r="T6837" s="773" t="s">
        <v>132</v>
      </c>
      <c r="U6837" s="773">
        <v>275</v>
      </c>
      <c r="V6837" s="773">
        <v>19</v>
      </c>
      <c r="W6837" s="773" t="s">
        <v>410</v>
      </c>
    </row>
    <row r="6838" spans="19:23">
      <c r="S6838" s="27">
        <v>45046</v>
      </c>
      <c r="T6838" s="773" t="s">
        <v>132</v>
      </c>
      <c r="U6838" s="773">
        <v>58</v>
      </c>
      <c r="V6838" s="773">
        <v>1</v>
      </c>
      <c r="W6838" s="773" t="s">
        <v>410</v>
      </c>
    </row>
    <row r="6839" spans="19:23">
      <c r="S6839" s="27">
        <v>45046</v>
      </c>
      <c r="T6839" s="773" t="s">
        <v>132</v>
      </c>
      <c r="U6839" s="773">
        <v>707</v>
      </c>
      <c r="V6839" s="773">
        <v>253</v>
      </c>
      <c r="W6839" s="773" t="s">
        <v>390</v>
      </c>
    </row>
    <row r="6840" spans="19:23">
      <c r="S6840" s="27">
        <v>45046</v>
      </c>
      <c r="T6840" s="773" t="s">
        <v>132</v>
      </c>
      <c r="U6840" s="773">
        <v>676</v>
      </c>
      <c r="V6840" s="773">
        <v>3</v>
      </c>
      <c r="W6840" s="773" t="s">
        <v>410</v>
      </c>
    </row>
    <row r="6841" spans="19:23">
      <c r="S6841" s="27">
        <v>45046</v>
      </c>
      <c r="T6841" s="773" t="s">
        <v>132</v>
      </c>
      <c r="U6841" s="773">
        <v>706</v>
      </c>
      <c r="V6841" s="773">
        <v>1208</v>
      </c>
      <c r="W6841" s="773" t="s">
        <v>390</v>
      </c>
    </row>
    <row r="6842" spans="19:23">
      <c r="S6842" s="27">
        <v>45046</v>
      </c>
      <c r="T6842" s="773" t="s">
        <v>132</v>
      </c>
      <c r="U6842" s="773">
        <v>735</v>
      </c>
      <c r="V6842" s="773">
        <v>2707</v>
      </c>
      <c r="W6842" s="773" t="s">
        <v>390</v>
      </c>
    </row>
    <row r="6843" spans="19:23">
      <c r="S6843" s="27">
        <v>45046</v>
      </c>
      <c r="T6843" s="773" t="s">
        <v>132</v>
      </c>
      <c r="U6843" s="773">
        <v>82</v>
      </c>
      <c r="V6843" s="773">
        <v>1</v>
      </c>
      <c r="W6843" s="773" t="s">
        <v>410</v>
      </c>
    </row>
    <row r="6844" spans="19:23">
      <c r="S6844" s="27">
        <v>45046</v>
      </c>
      <c r="T6844" s="773" t="s">
        <v>132</v>
      </c>
      <c r="U6844" s="773">
        <v>64</v>
      </c>
      <c r="V6844" s="773">
        <v>1</v>
      </c>
      <c r="W6844" s="773" t="s">
        <v>410</v>
      </c>
    </row>
    <row r="6845" spans="19:23">
      <c r="S6845" s="27">
        <v>45046</v>
      </c>
      <c r="T6845" s="773" t="s">
        <v>132</v>
      </c>
      <c r="U6845" s="773">
        <v>41</v>
      </c>
      <c r="V6845" s="773">
        <v>1</v>
      </c>
      <c r="W6845" s="773" t="s">
        <v>410</v>
      </c>
    </row>
    <row r="6846" spans="19:23">
      <c r="S6846" s="27">
        <v>45046</v>
      </c>
      <c r="T6846" s="773" t="s">
        <v>132</v>
      </c>
      <c r="U6846" s="773">
        <v>660</v>
      </c>
      <c r="V6846" s="773">
        <v>5</v>
      </c>
      <c r="W6846" s="773" t="s">
        <v>410</v>
      </c>
    </row>
    <row r="6847" spans="19:23">
      <c r="S6847" s="27">
        <v>45046</v>
      </c>
      <c r="T6847" s="773" t="s">
        <v>132</v>
      </c>
      <c r="U6847" s="773">
        <v>183</v>
      </c>
      <c r="V6847" s="773">
        <v>587</v>
      </c>
      <c r="W6847" s="773" t="s">
        <v>390</v>
      </c>
    </row>
    <row r="6848" spans="19:23">
      <c r="S6848" s="27">
        <v>45046</v>
      </c>
      <c r="T6848" s="773" t="s">
        <v>132</v>
      </c>
      <c r="U6848" s="773">
        <v>247</v>
      </c>
      <c r="V6848" s="773">
        <v>2507</v>
      </c>
      <c r="W6848" s="773" t="s">
        <v>390</v>
      </c>
    </row>
    <row r="6849" spans="19:23">
      <c r="S6849" s="27">
        <v>45046</v>
      </c>
      <c r="T6849" s="773" t="s">
        <v>132</v>
      </c>
      <c r="U6849" s="773">
        <v>291</v>
      </c>
      <c r="V6849" s="773">
        <v>2</v>
      </c>
      <c r="W6849" s="773" t="s">
        <v>410</v>
      </c>
    </row>
    <row r="6850" spans="19:23">
      <c r="S6850" s="27">
        <v>45046</v>
      </c>
      <c r="T6850" s="773" t="s">
        <v>132</v>
      </c>
      <c r="U6850" s="773">
        <v>188</v>
      </c>
      <c r="V6850" s="773">
        <v>872</v>
      </c>
      <c r="W6850" s="773" t="s">
        <v>390</v>
      </c>
    </row>
    <row r="6851" spans="19:23">
      <c r="S6851" s="27">
        <v>45046</v>
      </c>
      <c r="T6851" s="773" t="s">
        <v>132</v>
      </c>
      <c r="U6851" s="773">
        <v>78</v>
      </c>
      <c r="V6851" s="773">
        <v>10</v>
      </c>
      <c r="W6851" s="773" t="s">
        <v>410</v>
      </c>
    </row>
    <row r="6852" spans="19:23">
      <c r="S6852" s="27">
        <v>45046</v>
      </c>
      <c r="T6852" s="773" t="s">
        <v>132</v>
      </c>
      <c r="U6852" s="773">
        <v>89</v>
      </c>
      <c r="V6852" s="773">
        <v>1089</v>
      </c>
      <c r="W6852" s="773" t="s">
        <v>390</v>
      </c>
    </row>
    <row r="6853" spans="19:23">
      <c r="S6853" s="27">
        <v>45046</v>
      </c>
      <c r="T6853" s="773" t="s">
        <v>132</v>
      </c>
      <c r="U6853" s="773">
        <v>253</v>
      </c>
      <c r="V6853" s="773">
        <v>11</v>
      </c>
      <c r="W6853" s="773" t="s">
        <v>410</v>
      </c>
    </row>
    <row r="6854" spans="19:23">
      <c r="S6854" s="27">
        <v>45046</v>
      </c>
      <c r="T6854" s="773" t="s">
        <v>132</v>
      </c>
      <c r="U6854" s="773">
        <v>84</v>
      </c>
      <c r="V6854" s="773">
        <v>2486</v>
      </c>
      <c r="W6854" s="773" t="s">
        <v>390</v>
      </c>
    </row>
    <row r="6855" spans="19:23">
      <c r="S6855" s="27">
        <v>45046</v>
      </c>
      <c r="T6855" s="773" t="s">
        <v>132</v>
      </c>
      <c r="U6855" s="773">
        <v>171</v>
      </c>
      <c r="V6855" s="773">
        <v>54</v>
      </c>
      <c r="W6855" s="773" t="s">
        <v>410</v>
      </c>
    </row>
    <row r="6856" spans="19:23">
      <c r="S6856" s="27">
        <v>45046</v>
      </c>
      <c r="T6856" s="773" t="s">
        <v>132</v>
      </c>
      <c r="U6856" s="773">
        <v>230</v>
      </c>
      <c r="V6856" s="773">
        <v>7</v>
      </c>
      <c r="W6856" s="773" t="s">
        <v>410</v>
      </c>
    </row>
    <row r="6857" spans="19:23">
      <c r="S6857" s="27">
        <v>45046</v>
      </c>
      <c r="T6857" s="773" t="s">
        <v>132</v>
      </c>
      <c r="U6857" s="773">
        <v>255</v>
      </c>
      <c r="V6857" s="773">
        <v>533</v>
      </c>
      <c r="W6857" s="773" t="s">
        <v>390</v>
      </c>
    </row>
    <row r="6858" spans="19:23">
      <c r="S6858" s="27">
        <v>45046</v>
      </c>
      <c r="T6858" s="773" t="s">
        <v>132</v>
      </c>
      <c r="U6858" s="773">
        <v>109</v>
      </c>
      <c r="V6858" s="773">
        <v>1</v>
      </c>
      <c r="W6858" s="773" t="s">
        <v>410</v>
      </c>
    </row>
    <row r="6859" spans="19:23">
      <c r="S6859" s="27">
        <v>45046</v>
      </c>
      <c r="T6859" s="773" t="s">
        <v>132</v>
      </c>
      <c r="U6859" s="773">
        <v>132</v>
      </c>
      <c r="V6859" s="773">
        <v>2992</v>
      </c>
      <c r="W6859" s="773" t="s">
        <v>390</v>
      </c>
    </row>
    <row r="6860" spans="19:23">
      <c r="S6860" s="27">
        <v>45046</v>
      </c>
      <c r="T6860" s="773" t="s">
        <v>132</v>
      </c>
      <c r="U6860" s="773">
        <v>528</v>
      </c>
      <c r="V6860" s="773">
        <v>81</v>
      </c>
      <c r="W6860" s="773" t="s">
        <v>410</v>
      </c>
    </row>
    <row r="6861" spans="19:23">
      <c r="S6861" s="27">
        <v>45046</v>
      </c>
      <c r="T6861" s="773" t="s">
        <v>132</v>
      </c>
      <c r="U6861" s="773">
        <v>304</v>
      </c>
      <c r="V6861" s="773">
        <v>130</v>
      </c>
      <c r="W6861" s="773" t="s">
        <v>390</v>
      </c>
    </row>
    <row r="6862" spans="19:23">
      <c r="S6862" s="27">
        <v>45046</v>
      </c>
      <c r="T6862" s="773" t="s">
        <v>132</v>
      </c>
      <c r="U6862" s="773">
        <v>97</v>
      </c>
      <c r="V6862" s="773">
        <v>1</v>
      </c>
      <c r="W6862" s="773" t="s">
        <v>410</v>
      </c>
    </row>
    <row r="6863" spans="19:23">
      <c r="S6863" s="27">
        <v>45046</v>
      </c>
      <c r="T6863" s="773" t="s">
        <v>132</v>
      </c>
      <c r="U6863" s="773">
        <v>523</v>
      </c>
      <c r="V6863" s="773">
        <v>1</v>
      </c>
      <c r="W6863" s="773" t="s">
        <v>410</v>
      </c>
    </row>
    <row r="6864" spans="19:23">
      <c r="S6864" s="27">
        <v>45046</v>
      </c>
      <c r="T6864" s="773" t="s">
        <v>132</v>
      </c>
      <c r="U6864" s="773">
        <v>48</v>
      </c>
      <c r="V6864" s="773">
        <v>178</v>
      </c>
      <c r="W6864" s="773" t="s">
        <v>390</v>
      </c>
    </row>
    <row r="6865" spans="19:23">
      <c r="S6865" s="27">
        <v>45046</v>
      </c>
      <c r="T6865" s="773" t="s">
        <v>132</v>
      </c>
      <c r="U6865" s="773">
        <v>79</v>
      </c>
      <c r="V6865" s="773">
        <v>4</v>
      </c>
      <c r="W6865" s="773" t="s">
        <v>410</v>
      </c>
    </row>
    <row r="6866" spans="19:23">
      <c r="S6866" s="27">
        <v>45046</v>
      </c>
      <c r="T6866" s="773" t="s">
        <v>132</v>
      </c>
      <c r="U6866" s="773">
        <v>27</v>
      </c>
      <c r="V6866" s="773">
        <v>1</v>
      </c>
      <c r="W6866" s="773" t="s">
        <v>410</v>
      </c>
    </row>
    <row r="6867" spans="19:23">
      <c r="S6867" s="27">
        <v>45046</v>
      </c>
      <c r="T6867" s="773" t="s">
        <v>132</v>
      </c>
      <c r="U6867" s="773">
        <v>687</v>
      </c>
      <c r="V6867" s="773">
        <v>3165</v>
      </c>
      <c r="W6867" s="773" t="s">
        <v>390</v>
      </c>
    </row>
    <row r="6868" spans="19:23">
      <c r="S6868" s="27">
        <v>45046</v>
      </c>
      <c r="T6868" s="773" t="s">
        <v>132</v>
      </c>
      <c r="U6868" s="773">
        <v>194</v>
      </c>
      <c r="V6868" s="773">
        <v>3793</v>
      </c>
      <c r="W6868" s="773" t="s">
        <v>390</v>
      </c>
    </row>
    <row r="6869" spans="19:23">
      <c r="S6869" s="27">
        <v>45046</v>
      </c>
      <c r="T6869" s="773" t="s">
        <v>132</v>
      </c>
      <c r="U6869" s="773">
        <v>56</v>
      </c>
      <c r="V6869" s="773">
        <v>9</v>
      </c>
      <c r="W6869" s="773" t="s">
        <v>410</v>
      </c>
    </row>
    <row r="6870" spans="19:23">
      <c r="S6870" s="27">
        <v>45046</v>
      </c>
      <c r="T6870" s="773" t="s">
        <v>132</v>
      </c>
      <c r="U6870" s="773">
        <v>790</v>
      </c>
      <c r="V6870" s="773">
        <v>674</v>
      </c>
      <c r="W6870" s="773" t="s">
        <v>390</v>
      </c>
    </row>
    <row r="6871" spans="19:23">
      <c r="S6871" s="27">
        <v>45046</v>
      </c>
      <c r="T6871" s="773" t="s">
        <v>132</v>
      </c>
      <c r="U6871" s="773">
        <v>792</v>
      </c>
      <c r="V6871" s="773">
        <v>670</v>
      </c>
      <c r="W6871" s="773" t="s">
        <v>390</v>
      </c>
    </row>
    <row r="6872" spans="19:23">
      <c r="S6872" s="27">
        <v>45046</v>
      </c>
      <c r="T6872" s="773" t="s">
        <v>132</v>
      </c>
      <c r="U6872" s="773">
        <v>256</v>
      </c>
      <c r="V6872" s="773">
        <v>272</v>
      </c>
      <c r="W6872" s="773" t="s">
        <v>390</v>
      </c>
    </row>
    <row r="6873" spans="19:23">
      <c r="S6873" s="27">
        <v>45046</v>
      </c>
      <c r="T6873" s="773" t="s">
        <v>132</v>
      </c>
      <c r="U6873" s="773">
        <v>130</v>
      </c>
      <c r="V6873" s="773">
        <v>2</v>
      </c>
      <c r="W6873" s="773" t="s">
        <v>410</v>
      </c>
    </row>
    <row r="6874" spans="19:23">
      <c r="S6874" s="27">
        <v>45046</v>
      </c>
      <c r="T6874" s="773" t="s">
        <v>132</v>
      </c>
      <c r="U6874" s="773">
        <v>98</v>
      </c>
      <c r="V6874" s="773">
        <v>29</v>
      </c>
      <c r="W6874" s="773" t="s">
        <v>410</v>
      </c>
    </row>
    <row r="6875" spans="19:23">
      <c r="S6875" s="27">
        <v>45046</v>
      </c>
      <c r="T6875" s="773" t="s">
        <v>132</v>
      </c>
      <c r="U6875" s="773">
        <v>728</v>
      </c>
      <c r="V6875" s="773">
        <v>1373</v>
      </c>
      <c r="W6875" s="773" t="s">
        <v>390</v>
      </c>
    </row>
    <row r="6876" spans="19:23">
      <c r="S6876" s="27">
        <v>45046</v>
      </c>
      <c r="T6876" s="773" t="s">
        <v>132</v>
      </c>
      <c r="U6876" s="773">
        <v>662</v>
      </c>
      <c r="V6876" s="773">
        <v>13</v>
      </c>
      <c r="W6876" s="773" t="s">
        <v>410</v>
      </c>
    </row>
    <row r="6877" spans="19:23">
      <c r="S6877" s="27">
        <v>45046</v>
      </c>
      <c r="T6877" s="773" t="s">
        <v>132</v>
      </c>
      <c r="U6877" s="773">
        <v>801</v>
      </c>
      <c r="V6877" s="773">
        <v>60</v>
      </c>
      <c r="W6877" s="773" t="s">
        <v>410</v>
      </c>
    </row>
    <row r="6878" spans="19:23">
      <c r="S6878" s="27">
        <v>45046</v>
      </c>
      <c r="T6878" s="773" t="s">
        <v>132</v>
      </c>
      <c r="U6878" s="773">
        <v>297</v>
      </c>
      <c r="V6878" s="773">
        <v>1580</v>
      </c>
      <c r="W6878" s="773" t="s">
        <v>390</v>
      </c>
    </row>
    <row r="6879" spans="19:23">
      <c r="S6879" s="27">
        <v>45046</v>
      </c>
      <c r="T6879" s="773" t="s">
        <v>132</v>
      </c>
      <c r="U6879" s="773">
        <v>769</v>
      </c>
      <c r="V6879" s="773">
        <v>1781</v>
      </c>
      <c r="W6879" s="773" t="s">
        <v>390</v>
      </c>
    </row>
    <row r="6880" spans="19:23">
      <c r="S6880" s="27">
        <v>45046</v>
      </c>
      <c r="T6880" s="773" t="s">
        <v>132</v>
      </c>
      <c r="U6880" s="773">
        <v>53</v>
      </c>
      <c r="V6880" s="773">
        <v>3</v>
      </c>
      <c r="W6880" s="773" t="s">
        <v>410</v>
      </c>
    </row>
    <row r="6881" spans="19:23">
      <c r="S6881" s="27">
        <v>45046</v>
      </c>
      <c r="T6881" s="773" t="s">
        <v>132</v>
      </c>
      <c r="U6881" s="773">
        <v>658</v>
      </c>
      <c r="V6881" s="773">
        <v>6</v>
      </c>
      <c r="W6881" s="773" t="s">
        <v>410</v>
      </c>
    </row>
    <row r="6882" spans="19:23">
      <c r="S6882" s="27">
        <v>45046</v>
      </c>
      <c r="T6882" s="773" t="s">
        <v>132</v>
      </c>
      <c r="U6882" s="773">
        <v>87</v>
      </c>
      <c r="V6882" s="773">
        <v>2</v>
      </c>
      <c r="W6882" s="773" t="s">
        <v>410</v>
      </c>
    </row>
    <row r="6883" spans="19:23">
      <c r="S6883" s="27">
        <v>45046</v>
      </c>
      <c r="T6883" s="773" t="s">
        <v>132</v>
      </c>
      <c r="U6883" s="773">
        <v>140</v>
      </c>
      <c r="V6883" s="773">
        <v>669</v>
      </c>
      <c r="W6883" s="773" t="s">
        <v>390</v>
      </c>
    </row>
    <row r="6884" spans="19:23">
      <c r="S6884" s="27">
        <v>45046</v>
      </c>
      <c r="T6884" s="773" t="s">
        <v>132</v>
      </c>
      <c r="U6884" s="773">
        <v>727</v>
      </c>
      <c r="V6884" s="773">
        <v>3726</v>
      </c>
      <c r="W6884" s="773" t="s">
        <v>390</v>
      </c>
    </row>
    <row r="6885" spans="19:23">
      <c r="S6885" s="27">
        <v>45046</v>
      </c>
      <c r="T6885" s="773" t="s">
        <v>132</v>
      </c>
      <c r="U6885" s="773">
        <v>249</v>
      </c>
      <c r="V6885" s="773">
        <v>3455</v>
      </c>
      <c r="W6885" s="773" t="s">
        <v>390</v>
      </c>
    </row>
    <row r="6886" spans="19:23">
      <c r="S6886" s="27">
        <v>45046</v>
      </c>
      <c r="T6886" s="773" t="s">
        <v>132</v>
      </c>
      <c r="U6886" s="773">
        <v>675</v>
      </c>
      <c r="V6886" s="773">
        <v>53</v>
      </c>
      <c r="W6886" s="773" t="s">
        <v>410</v>
      </c>
    </row>
    <row r="6887" spans="19:23">
      <c r="S6887" s="27">
        <v>45046</v>
      </c>
      <c r="T6887" s="773" t="s">
        <v>132</v>
      </c>
      <c r="U6887" s="773">
        <v>697</v>
      </c>
      <c r="V6887" s="773">
        <v>1472</v>
      </c>
      <c r="W6887" s="773" t="s">
        <v>390</v>
      </c>
    </row>
    <row r="6888" spans="19:23">
      <c r="S6888" s="27">
        <v>45046</v>
      </c>
      <c r="T6888" s="773" t="s">
        <v>132</v>
      </c>
      <c r="U6888" s="773">
        <v>13</v>
      </c>
      <c r="V6888" s="773">
        <v>2627</v>
      </c>
      <c r="W6888" s="773" t="s">
        <v>390</v>
      </c>
    </row>
    <row r="6889" spans="19:23">
      <c r="S6889" s="27">
        <v>45046</v>
      </c>
      <c r="T6889" s="773" t="s">
        <v>132</v>
      </c>
      <c r="U6889" s="773">
        <v>227</v>
      </c>
      <c r="V6889" s="773">
        <v>1</v>
      </c>
      <c r="W6889" s="773" t="s">
        <v>410</v>
      </c>
    </row>
    <row r="6890" spans="19:23">
      <c r="S6890" s="27">
        <v>45046</v>
      </c>
      <c r="T6890" s="773" t="s">
        <v>132</v>
      </c>
      <c r="U6890" s="773">
        <v>92</v>
      </c>
      <c r="V6890" s="773">
        <v>7</v>
      </c>
      <c r="W6890" s="773" t="s">
        <v>410</v>
      </c>
    </row>
    <row r="6891" spans="19:23">
      <c r="S6891" s="27">
        <v>45046</v>
      </c>
      <c r="T6891" s="773" t="s">
        <v>132</v>
      </c>
      <c r="U6891" s="773">
        <v>718</v>
      </c>
      <c r="V6891" s="773">
        <v>1627</v>
      </c>
      <c r="W6891" s="773" t="s">
        <v>390</v>
      </c>
    </row>
    <row r="6892" spans="19:23">
      <c r="S6892" s="27">
        <v>45046</v>
      </c>
      <c r="T6892" s="773" t="s">
        <v>132</v>
      </c>
      <c r="U6892" s="773">
        <v>791</v>
      </c>
      <c r="V6892" s="773">
        <v>3199</v>
      </c>
      <c r="W6892" s="773" t="s">
        <v>390</v>
      </c>
    </row>
    <row r="6893" spans="19:23">
      <c r="S6893" s="27">
        <v>45046</v>
      </c>
      <c r="T6893" s="773" t="s">
        <v>132</v>
      </c>
      <c r="U6893" s="773">
        <v>294</v>
      </c>
      <c r="V6893" s="773">
        <v>3</v>
      </c>
      <c r="W6893" s="773" t="s">
        <v>410</v>
      </c>
    </row>
    <row r="6894" spans="19:23">
      <c r="S6894" s="27">
        <v>45046</v>
      </c>
      <c r="T6894" s="773" t="s">
        <v>132</v>
      </c>
      <c r="U6894" s="773">
        <v>671</v>
      </c>
      <c r="V6894" s="773">
        <v>2100</v>
      </c>
      <c r="W6894" s="773" t="s">
        <v>390</v>
      </c>
    </row>
    <row r="6895" spans="19:23">
      <c r="S6895" s="27">
        <v>45046</v>
      </c>
      <c r="T6895" s="773" t="s">
        <v>132</v>
      </c>
      <c r="U6895" s="773">
        <v>725</v>
      </c>
      <c r="V6895" s="773">
        <v>456</v>
      </c>
      <c r="W6895" s="773" t="s">
        <v>390</v>
      </c>
    </row>
    <row r="6896" spans="19:23">
      <c r="S6896" s="27">
        <v>45046</v>
      </c>
      <c r="T6896" s="773" t="s">
        <v>132</v>
      </c>
      <c r="U6896" s="773">
        <v>202</v>
      </c>
      <c r="V6896" s="773">
        <v>2</v>
      </c>
      <c r="W6896" s="773" t="s">
        <v>410</v>
      </c>
    </row>
    <row r="6897" spans="19:23">
      <c r="S6897" s="27">
        <v>45046</v>
      </c>
      <c r="T6897" s="773" t="s">
        <v>132</v>
      </c>
      <c r="U6897" s="773">
        <v>750</v>
      </c>
      <c r="V6897" s="773">
        <v>186</v>
      </c>
      <c r="W6897" s="773" t="s">
        <v>390</v>
      </c>
    </row>
    <row r="6898" spans="19:23">
      <c r="S6898" s="27">
        <v>45046</v>
      </c>
      <c r="T6898" s="773" t="s">
        <v>132</v>
      </c>
      <c r="U6898" s="773">
        <v>35</v>
      </c>
      <c r="V6898" s="773">
        <v>880</v>
      </c>
      <c r="W6898" s="773" t="s">
        <v>390</v>
      </c>
    </row>
    <row r="6899" spans="19:23">
      <c r="S6899" s="27">
        <v>45046</v>
      </c>
      <c r="T6899" s="773" t="s">
        <v>132</v>
      </c>
      <c r="U6899" s="773">
        <v>326</v>
      </c>
      <c r="V6899" s="773">
        <v>2759</v>
      </c>
      <c r="W6899" s="773" t="s">
        <v>390</v>
      </c>
    </row>
    <row r="6900" spans="19:23">
      <c r="S6900" s="27">
        <v>45046</v>
      </c>
      <c r="T6900" s="773" t="s">
        <v>132</v>
      </c>
      <c r="U6900" s="773">
        <v>329</v>
      </c>
      <c r="V6900" s="773">
        <v>4000</v>
      </c>
      <c r="W6900" s="773" t="s">
        <v>390</v>
      </c>
    </row>
    <row r="6901" spans="19:23">
      <c r="S6901" s="27">
        <v>45046</v>
      </c>
      <c r="T6901" s="773" t="s">
        <v>132</v>
      </c>
      <c r="U6901" s="773">
        <v>243</v>
      </c>
      <c r="V6901" s="773">
        <v>333</v>
      </c>
      <c r="W6901" s="773" t="s">
        <v>390</v>
      </c>
    </row>
    <row r="6902" spans="19:23">
      <c r="S6902" s="27">
        <v>45046</v>
      </c>
      <c r="T6902" s="773" t="s">
        <v>132</v>
      </c>
      <c r="U6902" s="773">
        <v>158</v>
      </c>
      <c r="V6902" s="773">
        <v>164</v>
      </c>
      <c r="W6902" s="773" t="s">
        <v>390</v>
      </c>
    </row>
    <row r="6903" spans="19:23">
      <c r="S6903" s="27">
        <v>45046</v>
      </c>
      <c r="T6903" s="773" t="s">
        <v>132</v>
      </c>
      <c r="U6903" s="773">
        <v>320</v>
      </c>
      <c r="V6903" s="773">
        <v>1715</v>
      </c>
      <c r="W6903" s="773" t="s">
        <v>390</v>
      </c>
    </row>
    <row r="6904" spans="19:23">
      <c r="S6904" s="27">
        <v>45046</v>
      </c>
      <c r="T6904" s="773" t="s">
        <v>132</v>
      </c>
      <c r="U6904" s="773">
        <v>684</v>
      </c>
      <c r="V6904" s="773">
        <v>3225</v>
      </c>
      <c r="W6904" s="773" t="s">
        <v>390</v>
      </c>
    </row>
    <row r="6905" spans="19:23">
      <c r="S6905" s="27">
        <v>45046</v>
      </c>
      <c r="T6905" s="773" t="s">
        <v>132</v>
      </c>
      <c r="U6905" s="773">
        <v>108</v>
      </c>
      <c r="V6905" s="773">
        <v>10</v>
      </c>
      <c r="W6905" s="773" t="s">
        <v>410</v>
      </c>
    </row>
    <row r="6906" spans="19:23">
      <c r="S6906" s="27">
        <v>45046</v>
      </c>
      <c r="T6906" s="773" t="s">
        <v>132</v>
      </c>
      <c r="U6906" s="773">
        <v>129</v>
      </c>
      <c r="V6906" s="773">
        <v>4</v>
      </c>
      <c r="W6906" s="773" t="s">
        <v>410</v>
      </c>
    </row>
    <row r="6907" spans="19:23">
      <c r="S6907" s="27">
        <v>45046</v>
      </c>
      <c r="T6907" s="773" t="s">
        <v>132</v>
      </c>
      <c r="U6907" s="773">
        <v>700</v>
      </c>
      <c r="V6907" s="773">
        <v>2857</v>
      </c>
      <c r="W6907" s="773" t="s">
        <v>390</v>
      </c>
    </row>
    <row r="6908" spans="19:23">
      <c r="S6908" s="27">
        <v>45046</v>
      </c>
      <c r="T6908" s="773" t="s">
        <v>132</v>
      </c>
      <c r="U6908" s="773">
        <v>344</v>
      </c>
      <c r="V6908" s="773">
        <v>174</v>
      </c>
      <c r="W6908" s="773" t="s">
        <v>390</v>
      </c>
    </row>
    <row r="6909" spans="19:23">
      <c r="S6909" s="27">
        <v>45046</v>
      </c>
      <c r="T6909" s="773" t="s">
        <v>132</v>
      </c>
      <c r="U6909" s="773">
        <v>212</v>
      </c>
      <c r="V6909" s="773">
        <v>3461</v>
      </c>
      <c r="W6909" s="773" t="s">
        <v>390</v>
      </c>
    </row>
    <row r="6910" spans="19:23">
      <c r="S6910" s="27">
        <v>45046</v>
      </c>
      <c r="T6910" s="773" t="s">
        <v>132</v>
      </c>
      <c r="U6910" s="773">
        <v>257</v>
      </c>
      <c r="V6910" s="773">
        <v>3057</v>
      </c>
      <c r="W6910" s="773" t="s">
        <v>390</v>
      </c>
    </row>
    <row r="6911" spans="19:23">
      <c r="S6911" s="27">
        <v>45046</v>
      </c>
      <c r="T6911" s="773" t="s">
        <v>132</v>
      </c>
      <c r="U6911" s="773">
        <v>39</v>
      </c>
      <c r="V6911" s="773">
        <v>1</v>
      </c>
      <c r="W6911" s="773" t="s">
        <v>410</v>
      </c>
    </row>
    <row r="6912" spans="19:23">
      <c r="S6912" s="27">
        <v>45046</v>
      </c>
      <c r="T6912" s="773" t="s">
        <v>132</v>
      </c>
      <c r="U6912" s="773">
        <v>319</v>
      </c>
      <c r="V6912" s="773">
        <v>3262</v>
      </c>
      <c r="W6912" s="773" t="s">
        <v>390</v>
      </c>
    </row>
    <row r="6913" spans="19:23">
      <c r="S6913" s="27">
        <v>45046</v>
      </c>
      <c r="T6913" s="773" t="s">
        <v>132</v>
      </c>
      <c r="U6913" s="773">
        <v>318</v>
      </c>
      <c r="V6913" s="773">
        <v>2554</v>
      </c>
      <c r="W6913" s="773" t="s">
        <v>390</v>
      </c>
    </row>
    <row r="6914" spans="19:23">
      <c r="S6914" s="27">
        <v>45046</v>
      </c>
      <c r="T6914" s="773" t="s">
        <v>132</v>
      </c>
      <c r="U6914" s="773">
        <v>254</v>
      </c>
      <c r="V6914" s="773">
        <v>6</v>
      </c>
      <c r="W6914" s="773" t="s">
        <v>410</v>
      </c>
    </row>
    <row r="6915" spans="19:23">
      <c r="S6915" s="27">
        <v>45046</v>
      </c>
      <c r="T6915" s="773" t="s">
        <v>132</v>
      </c>
      <c r="U6915" s="773">
        <v>239</v>
      </c>
      <c r="V6915" s="773">
        <v>7</v>
      </c>
      <c r="W6915" s="773" t="s">
        <v>410</v>
      </c>
    </row>
    <row r="6916" spans="19:23">
      <c r="S6916" s="27">
        <v>45046</v>
      </c>
      <c r="T6916" s="773" t="s">
        <v>132</v>
      </c>
      <c r="U6916" s="773">
        <v>295</v>
      </c>
      <c r="V6916" s="773">
        <v>21</v>
      </c>
      <c r="W6916" s="773" t="s">
        <v>410</v>
      </c>
    </row>
    <row r="6917" spans="19:23">
      <c r="S6917" s="27">
        <v>45046</v>
      </c>
      <c r="T6917" s="773" t="s">
        <v>132</v>
      </c>
      <c r="U6917" s="773">
        <v>710</v>
      </c>
      <c r="V6917" s="773">
        <v>1008</v>
      </c>
      <c r="W6917" s="773" t="s">
        <v>390</v>
      </c>
    </row>
    <row r="6918" spans="19:23">
      <c r="S6918" s="27">
        <v>45046</v>
      </c>
      <c r="T6918" s="773" t="s">
        <v>132</v>
      </c>
      <c r="U6918" s="773">
        <v>203</v>
      </c>
      <c r="V6918" s="773">
        <v>2520</v>
      </c>
      <c r="W6918" s="773" t="s">
        <v>390</v>
      </c>
    </row>
    <row r="6919" spans="19:23">
      <c r="S6919" s="27">
        <v>45046</v>
      </c>
      <c r="T6919" s="773" t="s">
        <v>132</v>
      </c>
      <c r="U6919" s="773">
        <v>798</v>
      </c>
      <c r="V6919" s="773">
        <v>29</v>
      </c>
      <c r="W6919" s="773" t="s">
        <v>410</v>
      </c>
    </row>
    <row r="6920" spans="19:23">
      <c r="S6920" s="27">
        <v>45046</v>
      </c>
      <c r="T6920" s="773" t="s">
        <v>132</v>
      </c>
      <c r="U6920" s="773">
        <v>740</v>
      </c>
      <c r="V6920" s="773">
        <v>722</v>
      </c>
      <c r="W6920" s="773" t="s">
        <v>390</v>
      </c>
    </row>
    <row r="6921" spans="19:23">
      <c r="S6921" s="27">
        <v>45046</v>
      </c>
      <c r="T6921" s="773" t="s">
        <v>132</v>
      </c>
      <c r="U6921" s="773">
        <v>666</v>
      </c>
      <c r="V6921" s="773">
        <v>1674</v>
      </c>
      <c r="W6921" s="773" t="s">
        <v>390</v>
      </c>
    </row>
    <row r="6922" spans="19:23">
      <c r="S6922" s="27">
        <v>45046</v>
      </c>
      <c r="T6922" s="773" t="s">
        <v>132</v>
      </c>
      <c r="U6922" s="773">
        <v>195</v>
      </c>
      <c r="V6922" s="773">
        <v>1</v>
      </c>
      <c r="W6922" s="773" t="s">
        <v>410</v>
      </c>
    </row>
    <row r="6923" spans="19:23">
      <c r="S6923" s="27">
        <v>45046</v>
      </c>
      <c r="T6923" s="773" t="s">
        <v>132</v>
      </c>
      <c r="U6923" s="773">
        <v>698</v>
      </c>
      <c r="V6923" s="773">
        <v>2822</v>
      </c>
      <c r="W6923" s="773" t="s">
        <v>390</v>
      </c>
    </row>
    <row r="6924" spans="19:23">
      <c r="S6924" s="27">
        <v>45046</v>
      </c>
      <c r="T6924" s="773" t="s">
        <v>132</v>
      </c>
      <c r="U6924" s="773">
        <v>799</v>
      </c>
      <c r="V6924" s="773">
        <v>30</v>
      </c>
      <c r="W6924" s="773" t="s">
        <v>410</v>
      </c>
    </row>
    <row r="6925" spans="19:23">
      <c r="S6925" s="27">
        <v>45046</v>
      </c>
      <c r="T6925" s="773" t="s">
        <v>132</v>
      </c>
      <c r="U6925" s="773">
        <v>69</v>
      </c>
      <c r="V6925" s="773">
        <v>1</v>
      </c>
      <c r="W6925" s="773" t="s">
        <v>410</v>
      </c>
    </row>
    <row r="6926" spans="19:23">
      <c r="S6926" s="27">
        <v>45046</v>
      </c>
      <c r="T6926" s="773" t="s">
        <v>132</v>
      </c>
      <c r="U6926" s="773">
        <v>669</v>
      </c>
      <c r="V6926" s="773">
        <v>2983</v>
      </c>
      <c r="W6926" s="773" t="s">
        <v>390</v>
      </c>
    </row>
    <row r="6927" spans="19:23">
      <c r="S6927" s="27">
        <v>45046</v>
      </c>
      <c r="T6927" s="773" t="s">
        <v>132</v>
      </c>
      <c r="U6927" s="773">
        <v>96</v>
      </c>
      <c r="V6927" s="773">
        <v>3</v>
      </c>
      <c r="W6927" s="773" t="s">
        <v>410</v>
      </c>
    </row>
    <row r="6928" spans="19:23">
      <c r="S6928" s="27">
        <v>45046</v>
      </c>
      <c r="T6928" s="773" t="s">
        <v>132</v>
      </c>
      <c r="U6928" s="773">
        <v>290</v>
      </c>
      <c r="V6928" s="773">
        <v>523</v>
      </c>
      <c r="W6928" s="773" t="s">
        <v>390</v>
      </c>
    </row>
    <row r="6929" spans="19:23">
      <c r="S6929" s="27">
        <v>45046</v>
      </c>
      <c r="T6929" s="773" t="s">
        <v>132</v>
      </c>
      <c r="U6929" s="773">
        <v>204</v>
      </c>
      <c r="V6929" s="773">
        <v>6</v>
      </c>
      <c r="W6929" s="773" t="s">
        <v>410</v>
      </c>
    </row>
    <row r="6930" spans="19:23">
      <c r="S6930" s="27">
        <v>45046</v>
      </c>
      <c r="T6930" s="773" t="s">
        <v>132</v>
      </c>
      <c r="U6930" s="773">
        <v>738</v>
      </c>
      <c r="V6930" s="773">
        <v>99</v>
      </c>
      <c r="W6930" s="773" t="s">
        <v>410</v>
      </c>
    </row>
    <row r="6931" spans="19:23">
      <c r="S6931" s="27">
        <v>45046</v>
      </c>
      <c r="T6931" s="773" t="s">
        <v>132</v>
      </c>
      <c r="U6931" s="773">
        <v>305</v>
      </c>
      <c r="V6931" s="773">
        <v>5003</v>
      </c>
      <c r="W6931" s="773" t="s">
        <v>390</v>
      </c>
    </row>
    <row r="6932" spans="19:23">
      <c r="S6932" s="27">
        <v>45046</v>
      </c>
      <c r="T6932" s="773" t="s">
        <v>132</v>
      </c>
      <c r="U6932" s="773">
        <v>101</v>
      </c>
      <c r="V6932" s="773">
        <v>282</v>
      </c>
      <c r="W6932" s="773" t="s">
        <v>390</v>
      </c>
    </row>
    <row r="6933" spans="19:23">
      <c r="S6933" s="27">
        <v>45046</v>
      </c>
      <c r="T6933" s="773" t="s">
        <v>132</v>
      </c>
      <c r="U6933" s="773">
        <v>665</v>
      </c>
      <c r="V6933" s="773">
        <v>17</v>
      </c>
      <c r="W6933" s="773" t="s">
        <v>410</v>
      </c>
    </row>
    <row r="6934" spans="19:23">
      <c r="S6934" s="27">
        <v>45046</v>
      </c>
      <c r="T6934" s="773" t="s">
        <v>132</v>
      </c>
      <c r="U6934" s="773">
        <v>169</v>
      </c>
      <c r="V6934" s="773">
        <v>3272</v>
      </c>
      <c r="W6934" s="773" t="s">
        <v>390</v>
      </c>
    </row>
    <row r="6935" spans="19:23">
      <c r="S6935" s="27">
        <v>45046</v>
      </c>
      <c r="T6935" s="773" t="s">
        <v>132</v>
      </c>
      <c r="U6935" s="773">
        <v>11</v>
      </c>
      <c r="V6935" s="773">
        <v>27</v>
      </c>
      <c r="W6935" s="773" t="s">
        <v>410</v>
      </c>
    </row>
    <row r="6936" spans="19:23">
      <c r="S6936" s="27">
        <v>45046</v>
      </c>
      <c r="T6936" s="773" t="s">
        <v>132</v>
      </c>
      <c r="U6936" s="773">
        <v>693</v>
      </c>
      <c r="V6936" s="773">
        <v>1</v>
      </c>
      <c r="W6936" s="773" t="s">
        <v>410</v>
      </c>
    </row>
    <row r="6937" spans="19:23">
      <c r="S6937" s="27">
        <v>45046</v>
      </c>
      <c r="T6937" s="773" t="s">
        <v>132</v>
      </c>
      <c r="U6937" s="773">
        <v>161</v>
      </c>
      <c r="V6937" s="773">
        <v>1</v>
      </c>
      <c r="W6937" s="773" t="s">
        <v>410</v>
      </c>
    </row>
    <row r="6938" spans="19:23">
      <c r="S6938" s="27">
        <v>45046</v>
      </c>
      <c r="T6938" s="773" t="s">
        <v>132</v>
      </c>
      <c r="U6938" s="773">
        <v>641</v>
      </c>
      <c r="V6938" s="773">
        <v>2155</v>
      </c>
      <c r="W6938" s="773" t="s">
        <v>390</v>
      </c>
    </row>
    <row r="6939" spans="19:23">
      <c r="S6939" s="27">
        <v>45046</v>
      </c>
      <c r="T6939" s="773" t="s">
        <v>132</v>
      </c>
      <c r="U6939" s="773">
        <v>102</v>
      </c>
      <c r="V6939" s="773">
        <v>2</v>
      </c>
      <c r="W6939" s="773" t="s">
        <v>410</v>
      </c>
    </row>
    <row r="6940" spans="19:23">
      <c r="S6940" s="27">
        <v>45046</v>
      </c>
      <c r="T6940" s="773" t="s">
        <v>132</v>
      </c>
      <c r="U6940" s="773">
        <v>342</v>
      </c>
      <c r="V6940" s="773">
        <v>2678</v>
      </c>
      <c r="W6940" s="773" t="s">
        <v>390</v>
      </c>
    </row>
    <row r="6941" spans="19:23">
      <c r="S6941" s="27">
        <v>45046</v>
      </c>
      <c r="T6941" s="773" t="s">
        <v>132</v>
      </c>
      <c r="U6941" s="773">
        <v>232</v>
      </c>
      <c r="V6941" s="773">
        <v>1</v>
      </c>
      <c r="W6941" s="773" t="s">
        <v>410</v>
      </c>
    </row>
    <row r="6942" spans="19:23">
      <c r="S6942" s="27">
        <v>45046</v>
      </c>
      <c r="T6942" s="773" t="s">
        <v>132</v>
      </c>
      <c r="U6942" s="773">
        <v>303</v>
      </c>
      <c r="V6942" s="773">
        <v>4</v>
      </c>
      <c r="W6942" s="773" t="s">
        <v>410</v>
      </c>
    </row>
    <row r="6943" spans="19:23">
      <c r="S6943" s="27">
        <v>45046</v>
      </c>
      <c r="T6943" s="773" t="s">
        <v>132</v>
      </c>
      <c r="U6943" s="773">
        <v>94</v>
      </c>
      <c r="V6943" s="773">
        <v>600</v>
      </c>
      <c r="W6943" s="773" t="s">
        <v>390</v>
      </c>
    </row>
    <row r="6944" spans="19:23">
      <c r="S6944" s="27">
        <v>45046</v>
      </c>
      <c r="T6944" s="773" t="s">
        <v>132</v>
      </c>
      <c r="U6944" s="773">
        <v>322</v>
      </c>
      <c r="V6944" s="773">
        <v>2553</v>
      </c>
      <c r="W6944" s="773" t="s">
        <v>390</v>
      </c>
    </row>
    <row r="6945" spans="19:23">
      <c r="S6945" s="27">
        <v>45046</v>
      </c>
      <c r="T6945" s="773" t="s">
        <v>132</v>
      </c>
      <c r="U6945" s="773">
        <v>729</v>
      </c>
      <c r="V6945" s="773">
        <v>118</v>
      </c>
      <c r="W6945" s="773" t="s">
        <v>390</v>
      </c>
    </row>
    <row r="6946" spans="19:23">
      <c r="S6946" s="27">
        <v>45046</v>
      </c>
      <c r="T6946" s="773" t="s">
        <v>132</v>
      </c>
      <c r="U6946" s="773">
        <v>43</v>
      </c>
      <c r="V6946" s="773">
        <v>1025</v>
      </c>
      <c r="W6946" s="773" t="s">
        <v>390</v>
      </c>
    </row>
    <row r="6947" spans="19:23">
      <c r="S6947" s="27">
        <v>45046</v>
      </c>
      <c r="T6947" s="773" t="s">
        <v>132</v>
      </c>
      <c r="U6947" s="773">
        <v>265</v>
      </c>
      <c r="V6947" s="773">
        <v>18</v>
      </c>
      <c r="W6947" s="773" t="s">
        <v>410</v>
      </c>
    </row>
    <row r="6948" spans="19:23">
      <c r="S6948" s="27">
        <v>45046</v>
      </c>
      <c r="T6948" s="773" t="s">
        <v>132</v>
      </c>
      <c r="U6948" s="773">
        <v>803</v>
      </c>
      <c r="V6948" s="773">
        <v>27</v>
      </c>
      <c r="W6948" s="773" t="s">
        <v>410</v>
      </c>
    </row>
    <row r="6949" spans="19:23">
      <c r="S6949" s="27">
        <v>45046</v>
      </c>
      <c r="T6949" s="773" t="s">
        <v>132</v>
      </c>
      <c r="U6949" s="773">
        <v>670</v>
      </c>
      <c r="V6949" s="773">
        <v>2557</v>
      </c>
      <c r="W6949" s="773" t="s">
        <v>390</v>
      </c>
    </row>
    <row r="6950" spans="19:23">
      <c r="S6950" s="27">
        <v>45046</v>
      </c>
      <c r="T6950" s="773" t="s">
        <v>132</v>
      </c>
      <c r="U6950" s="773">
        <v>654</v>
      </c>
      <c r="V6950" s="773">
        <v>951</v>
      </c>
      <c r="W6950" s="773" t="s">
        <v>390</v>
      </c>
    </row>
    <row r="6951" spans="19:23">
      <c r="S6951" s="27">
        <v>45046</v>
      </c>
      <c r="T6951" s="773" t="s">
        <v>132</v>
      </c>
      <c r="U6951" s="773">
        <v>674</v>
      </c>
      <c r="V6951" s="773">
        <v>3560</v>
      </c>
      <c r="W6951" s="773" t="s">
        <v>390</v>
      </c>
    </row>
    <row r="6952" spans="19:23">
      <c r="S6952" s="27">
        <v>45046</v>
      </c>
      <c r="T6952" s="773" t="s">
        <v>132</v>
      </c>
      <c r="U6952" s="773">
        <v>44</v>
      </c>
      <c r="V6952" s="773">
        <v>2228</v>
      </c>
      <c r="W6952" s="773" t="s">
        <v>390</v>
      </c>
    </row>
    <row r="6953" spans="19:23">
      <c r="S6953" s="27">
        <v>45046</v>
      </c>
      <c r="T6953" s="773" t="s">
        <v>132</v>
      </c>
      <c r="U6953" s="773">
        <v>793</v>
      </c>
      <c r="V6953" s="773">
        <v>64</v>
      </c>
      <c r="W6953" s="773" t="s">
        <v>410</v>
      </c>
    </row>
    <row r="6954" spans="19:23">
      <c r="S6954" s="27">
        <v>45046</v>
      </c>
      <c r="T6954" s="773" t="s">
        <v>132</v>
      </c>
      <c r="U6954" s="773">
        <v>153</v>
      </c>
      <c r="V6954" s="773">
        <v>2312</v>
      </c>
      <c r="W6954" s="773" t="s">
        <v>390</v>
      </c>
    </row>
    <row r="6955" spans="19:23">
      <c r="S6955" s="27">
        <v>45046</v>
      </c>
      <c r="T6955" s="773" t="s">
        <v>132</v>
      </c>
      <c r="U6955" s="773">
        <v>279</v>
      </c>
      <c r="V6955" s="773">
        <v>1</v>
      </c>
      <c r="W6955" s="773" t="s">
        <v>410</v>
      </c>
    </row>
    <row r="6956" spans="19:23">
      <c r="S6956" s="27">
        <v>45046</v>
      </c>
      <c r="T6956" s="773" t="s">
        <v>132</v>
      </c>
      <c r="U6956" s="773">
        <v>150</v>
      </c>
      <c r="V6956" s="773">
        <v>333</v>
      </c>
      <c r="W6956" s="773" t="s">
        <v>390</v>
      </c>
    </row>
    <row r="6957" spans="19:23">
      <c r="S6957" s="27">
        <v>45046</v>
      </c>
      <c r="T6957" s="773" t="s">
        <v>132</v>
      </c>
      <c r="U6957" s="773">
        <v>805</v>
      </c>
      <c r="V6957" s="773">
        <v>6</v>
      </c>
      <c r="W6957" s="773" t="s">
        <v>410</v>
      </c>
    </row>
    <row r="6958" spans="19:23">
      <c r="S6958" s="27">
        <v>45046</v>
      </c>
      <c r="T6958" s="773" t="s">
        <v>132</v>
      </c>
      <c r="U6958" s="773">
        <v>724</v>
      </c>
      <c r="V6958" s="773">
        <v>2512</v>
      </c>
      <c r="W6958" s="773" t="s">
        <v>390</v>
      </c>
    </row>
    <row r="6959" spans="19:23">
      <c r="S6959" s="27">
        <v>45046</v>
      </c>
      <c r="T6959" s="773" t="s">
        <v>132</v>
      </c>
      <c r="U6959" s="773">
        <v>806</v>
      </c>
      <c r="V6959" s="773">
        <v>82</v>
      </c>
      <c r="W6959" s="773" t="s">
        <v>410</v>
      </c>
    </row>
    <row r="6960" spans="19:23">
      <c r="S6960" s="27">
        <v>45046</v>
      </c>
      <c r="T6960" s="773" t="s">
        <v>132</v>
      </c>
      <c r="U6960" s="773">
        <v>119</v>
      </c>
      <c r="V6960" s="773">
        <v>1</v>
      </c>
      <c r="W6960" s="773" t="s">
        <v>410</v>
      </c>
    </row>
    <row r="6961" spans="19:23">
      <c r="S6961" s="27">
        <v>45046</v>
      </c>
      <c r="T6961" s="773" t="s">
        <v>132</v>
      </c>
      <c r="U6961" s="773">
        <v>264</v>
      </c>
      <c r="V6961" s="773">
        <v>390</v>
      </c>
      <c r="W6961" s="773" t="s">
        <v>390</v>
      </c>
    </row>
    <row r="6962" spans="19:23">
      <c r="S6962" s="27">
        <v>45046</v>
      </c>
      <c r="T6962" s="773" t="s">
        <v>132</v>
      </c>
      <c r="U6962" s="773">
        <v>748</v>
      </c>
      <c r="V6962" s="773">
        <v>191</v>
      </c>
      <c r="W6962" s="773" t="s">
        <v>390</v>
      </c>
    </row>
    <row r="6963" spans="19:23">
      <c r="S6963" s="27">
        <v>45046</v>
      </c>
      <c r="T6963" s="773" t="s">
        <v>132</v>
      </c>
      <c r="U6963" s="773">
        <v>723</v>
      </c>
      <c r="V6963" s="773">
        <v>2234</v>
      </c>
      <c r="W6963" s="773" t="s">
        <v>390</v>
      </c>
    </row>
    <row r="6964" spans="19:23">
      <c r="S6964" s="27">
        <v>45046</v>
      </c>
      <c r="T6964" s="773" t="s">
        <v>132</v>
      </c>
      <c r="U6964" s="773">
        <v>81</v>
      </c>
      <c r="V6964" s="773">
        <v>8</v>
      </c>
      <c r="W6964" s="773" t="s">
        <v>410</v>
      </c>
    </row>
    <row r="6965" spans="19:23">
      <c r="S6965" s="27">
        <v>45046</v>
      </c>
      <c r="T6965" s="773" t="s">
        <v>132</v>
      </c>
      <c r="U6965" s="773">
        <v>317</v>
      </c>
      <c r="V6965" s="773">
        <v>3456</v>
      </c>
      <c r="W6965" s="773" t="s">
        <v>390</v>
      </c>
    </row>
    <row r="6966" spans="19:23">
      <c r="S6966" s="27">
        <v>45046</v>
      </c>
      <c r="T6966" s="773" t="s">
        <v>132</v>
      </c>
      <c r="U6966" s="773">
        <v>240</v>
      </c>
      <c r="V6966" s="773">
        <v>3</v>
      </c>
      <c r="W6966" s="773" t="s">
        <v>410</v>
      </c>
    </row>
    <row r="6967" spans="19:23">
      <c r="S6967" s="27">
        <v>45046</v>
      </c>
      <c r="T6967" s="773" t="s">
        <v>132</v>
      </c>
      <c r="U6967" s="773">
        <v>652</v>
      </c>
      <c r="V6967" s="773">
        <v>3675</v>
      </c>
      <c r="W6967" s="773" t="s">
        <v>390</v>
      </c>
    </row>
    <row r="6968" spans="19:23">
      <c r="S6968" s="27">
        <v>45046</v>
      </c>
      <c r="T6968" s="773" t="s">
        <v>132</v>
      </c>
      <c r="U6968" s="773">
        <v>328</v>
      </c>
      <c r="V6968" s="773">
        <v>588</v>
      </c>
      <c r="W6968" s="773" t="s">
        <v>390</v>
      </c>
    </row>
    <row r="6969" spans="19:23">
      <c r="S6969" s="27">
        <v>45046</v>
      </c>
      <c r="T6969" s="773" t="s">
        <v>132</v>
      </c>
      <c r="U6969" s="773">
        <v>327</v>
      </c>
      <c r="V6969" s="773">
        <v>3</v>
      </c>
      <c r="W6969" s="773" t="s">
        <v>410</v>
      </c>
    </row>
    <row r="6970" spans="19:23">
      <c r="S6970" s="27">
        <v>45046</v>
      </c>
      <c r="T6970" s="773" t="s">
        <v>132</v>
      </c>
      <c r="U6970" s="773">
        <v>245</v>
      </c>
      <c r="V6970" s="773">
        <v>3160</v>
      </c>
      <c r="W6970" s="773" t="s">
        <v>390</v>
      </c>
    </row>
    <row r="6971" spans="19:23">
      <c r="S6971" s="27">
        <v>45046</v>
      </c>
      <c r="T6971" s="773" t="s">
        <v>132</v>
      </c>
      <c r="U6971" s="773">
        <v>696</v>
      </c>
      <c r="V6971" s="773">
        <v>57</v>
      </c>
      <c r="W6971" s="773" t="s">
        <v>410</v>
      </c>
    </row>
    <row r="6972" spans="19:23">
      <c r="S6972" s="27">
        <v>45046</v>
      </c>
      <c r="T6972" s="773" t="s">
        <v>132</v>
      </c>
      <c r="U6972" s="773">
        <v>136</v>
      </c>
      <c r="V6972" s="773">
        <v>22</v>
      </c>
      <c r="W6972" s="773" t="s">
        <v>410</v>
      </c>
    </row>
    <row r="6973" spans="19:23">
      <c r="S6973" s="27">
        <v>45046</v>
      </c>
      <c r="T6973" s="773" t="s">
        <v>132</v>
      </c>
      <c r="U6973" s="773">
        <v>63</v>
      </c>
      <c r="V6973" s="773">
        <v>1</v>
      </c>
      <c r="W6973" s="773" t="s">
        <v>410</v>
      </c>
    </row>
    <row r="6974" spans="19:23">
      <c r="S6974" s="27">
        <v>45046</v>
      </c>
      <c r="T6974" s="773" t="s">
        <v>132</v>
      </c>
      <c r="U6974" s="773">
        <v>312</v>
      </c>
      <c r="V6974" s="773">
        <v>2692</v>
      </c>
      <c r="W6974" s="773" t="s">
        <v>390</v>
      </c>
    </row>
    <row r="6975" spans="19:23">
      <c r="S6975" s="27">
        <v>45046</v>
      </c>
      <c r="T6975" s="773" t="s">
        <v>132</v>
      </c>
      <c r="U6975" s="773">
        <v>155</v>
      </c>
      <c r="V6975" s="773">
        <v>2585</v>
      </c>
      <c r="W6975" s="773" t="s">
        <v>390</v>
      </c>
    </row>
    <row r="6976" spans="19:23">
      <c r="S6976" s="27">
        <v>45046</v>
      </c>
      <c r="T6976" s="773" t="s">
        <v>132</v>
      </c>
      <c r="U6976" s="773">
        <v>271</v>
      </c>
      <c r="V6976" s="773">
        <v>2984</v>
      </c>
      <c r="W6976" s="773" t="s">
        <v>390</v>
      </c>
    </row>
    <row r="6977" spans="19:23">
      <c r="S6977" s="27">
        <v>45046</v>
      </c>
      <c r="T6977" s="773" t="s">
        <v>132</v>
      </c>
      <c r="U6977" s="773">
        <v>324</v>
      </c>
      <c r="V6977" s="773">
        <v>3266</v>
      </c>
      <c r="W6977" s="773" t="s">
        <v>390</v>
      </c>
    </row>
    <row r="6978" spans="19:23">
      <c r="S6978" s="27">
        <v>45046</v>
      </c>
      <c r="T6978" s="773" t="s">
        <v>132</v>
      </c>
      <c r="U6978" s="773">
        <v>216</v>
      </c>
      <c r="V6978" s="773">
        <v>2647</v>
      </c>
      <c r="W6978" s="773" t="s">
        <v>390</v>
      </c>
    </row>
    <row r="6979" spans="19:23">
      <c r="S6979" s="27">
        <v>45046</v>
      </c>
      <c r="T6979" s="773" t="s">
        <v>132</v>
      </c>
      <c r="U6979" s="773">
        <v>663</v>
      </c>
      <c r="V6979" s="773">
        <v>379</v>
      </c>
      <c r="W6979" s="773" t="s">
        <v>390</v>
      </c>
    </row>
    <row r="6980" spans="19:23">
      <c r="S6980" s="27">
        <v>45046</v>
      </c>
      <c r="T6980" s="773" t="s">
        <v>132</v>
      </c>
      <c r="U6980" s="773">
        <v>664</v>
      </c>
      <c r="V6980" s="773">
        <v>3537</v>
      </c>
      <c r="W6980" s="773" t="s">
        <v>390</v>
      </c>
    </row>
    <row r="6981" spans="19:23">
      <c r="S6981" s="27">
        <v>45046</v>
      </c>
      <c r="T6981" s="773" t="s">
        <v>132</v>
      </c>
      <c r="U6981" s="773">
        <v>323</v>
      </c>
      <c r="V6981" s="773">
        <v>3200</v>
      </c>
      <c r="W6981" s="773" t="s">
        <v>390</v>
      </c>
    </row>
    <row r="6982" spans="19:23">
      <c r="S6982" s="27">
        <v>45046</v>
      </c>
      <c r="T6982" s="773" t="s">
        <v>132</v>
      </c>
      <c r="U6982" s="773">
        <v>809</v>
      </c>
      <c r="V6982" s="773">
        <v>24</v>
      </c>
      <c r="W6982" s="773" t="s">
        <v>410</v>
      </c>
    </row>
    <row r="6983" spans="19:23">
      <c r="S6983" s="27">
        <v>45046</v>
      </c>
      <c r="T6983" s="773" t="s">
        <v>132</v>
      </c>
      <c r="U6983" s="773">
        <v>66</v>
      </c>
      <c r="V6983" s="773">
        <v>1</v>
      </c>
      <c r="W6983" s="773" t="s">
        <v>410</v>
      </c>
    </row>
    <row r="6984" spans="19:23">
      <c r="S6984" s="27">
        <v>45046</v>
      </c>
      <c r="T6984" s="773" t="s">
        <v>132</v>
      </c>
      <c r="U6984" s="773">
        <v>653</v>
      </c>
      <c r="V6984" s="773">
        <v>7</v>
      </c>
      <c r="W6984" s="773" t="s">
        <v>410</v>
      </c>
    </row>
    <row r="6985" spans="19:23">
      <c r="S6985" s="27">
        <v>45046</v>
      </c>
      <c r="T6985" s="773" t="s">
        <v>132</v>
      </c>
      <c r="U6985" s="773">
        <v>222</v>
      </c>
      <c r="V6985" s="773">
        <v>5</v>
      </c>
      <c r="W6985" s="773" t="s">
        <v>410</v>
      </c>
    </row>
    <row r="6986" spans="19:23">
      <c r="S6986" s="27">
        <v>45046</v>
      </c>
      <c r="T6986" s="773" t="s">
        <v>132</v>
      </c>
      <c r="U6986" s="773">
        <v>709</v>
      </c>
      <c r="V6986" s="773">
        <v>2471</v>
      </c>
      <c r="W6986" s="773" t="s">
        <v>390</v>
      </c>
    </row>
    <row r="6987" spans="19:23">
      <c r="S6987" s="27">
        <v>45046</v>
      </c>
      <c r="T6987" s="773" t="s">
        <v>132</v>
      </c>
      <c r="U6987" s="773">
        <v>218</v>
      </c>
      <c r="V6987" s="773">
        <v>177</v>
      </c>
      <c r="W6987" s="773" t="s">
        <v>390</v>
      </c>
    </row>
    <row r="6988" spans="19:23">
      <c r="S6988" s="27">
        <v>45046</v>
      </c>
      <c r="T6988" s="773" t="s">
        <v>132</v>
      </c>
      <c r="U6988" s="773">
        <v>40</v>
      </c>
      <c r="V6988" s="773">
        <v>4</v>
      </c>
      <c r="W6988" s="773" t="s">
        <v>410</v>
      </c>
    </row>
    <row r="6989" spans="19:23">
      <c r="S6989" s="27">
        <v>45046</v>
      </c>
      <c r="T6989" s="773" t="s">
        <v>132</v>
      </c>
      <c r="U6989" s="773">
        <v>133</v>
      </c>
      <c r="V6989" s="773">
        <v>4</v>
      </c>
      <c r="W6989" s="773" t="s">
        <v>410</v>
      </c>
    </row>
    <row r="6990" spans="19:23">
      <c r="S6990" s="27">
        <v>45046</v>
      </c>
      <c r="T6990" s="773" t="s">
        <v>132</v>
      </c>
      <c r="U6990" s="773">
        <v>650</v>
      </c>
      <c r="V6990" s="773">
        <v>36</v>
      </c>
      <c r="W6990" s="773" t="s">
        <v>410</v>
      </c>
    </row>
    <row r="6991" spans="19:23">
      <c r="S6991" s="27">
        <v>45046</v>
      </c>
      <c r="T6991" s="773" t="s">
        <v>132</v>
      </c>
      <c r="U6991" s="773">
        <v>103</v>
      </c>
      <c r="V6991" s="773">
        <v>1740</v>
      </c>
      <c r="W6991" s="773" t="s">
        <v>390</v>
      </c>
    </row>
    <row r="6992" spans="19:23">
      <c r="S6992" s="27">
        <v>45046</v>
      </c>
      <c r="T6992" s="773" t="s">
        <v>132</v>
      </c>
      <c r="U6992" s="773">
        <v>193</v>
      </c>
      <c r="V6992" s="773">
        <v>482</v>
      </c>
      <c r="W6992" s="773" t="s">
        <v>390</v>
      </c>
    </row>
    <row r="6993" spans="19:23">
      <c r="S6993" s="27">
        <v>45046</v>
      </c>
      <c r="T6993" s="773" t="s">
        <v>132</v>
      </c>
      <c r="U6993" s="773">
        <v>621</v>
      </c>
      <c r="V6993" s="773">
        <v>2534</v>
      </c>
      <c r="W6993" s="773" t="s">
        <v>390</v>
      </c>
    </row>
    <row r="6994" spans="19:23">
      <c r="S6994" s="27">
        <v>45046</v>
      </c>
      <c r="T6994" s="773" t="s">
        <v>132</v>
      </c>
      <c r="U6994" s="773">
        <v>701</v>
      </c>
      <c r="V6994" s="773">
        <v>2404</v>
      </c>
      <c r="W6994" s="773" t="s">
        <v>390</v>
      </c>
    </row>
    <row r="6995" spans="19:23">
      <c r="S6995" s="27">
        <v>45046</v>
      </c>
      <c r="T6995" s="773" t="s">
        <v>132</v>
      </c>
      <c r="U6995" s="773">
        <v>252</v>
      </c>
      <c r="V6995" s="773">
        <v>224</v>
      </c>
      <c r="W6995" s="773" t="s">
        <v>390</v>
      </c>
    </row>
    <row r="6996" spans="19:23">
      <c r="S6996" s="27">
        <v>45046</v>
      </c>
      <c r="T6996" s="773" t="s">
        <v>132</v>
      </c>
      <c r="U6996" s="773">
        <v>59</v>
      </c>
      <c r="V6996" s="773">
        <v>2</v>
      </c>
      <c r="W6996" s="773" t="s">
        <v>410</v>
      </c>
    </row>
    <row r="6997" spans="19:23">
      <c r="S6997" s="27">
        <v>45046</v>
      </c>
      <c r="T6997" s="773" t="s">
        <v>132</v>
      </c>
      <c r="U6997" s="773">
        <v>173</v>
      </c>
      <c r="V6997" s="773">
        <v>6</v>
      </c>
      <c r="W6997" s="773" t="s">
        <v>410</v>
      </c>
    </row>
    <row r="6998" spans="19:23">
      <c r="S6998" s="27">
        <v>45046</v>
      </c>
      <c r="T6998" s="773" t="s">
        <v>132</v>
      </c>
      <c r="U6998" s="773">
        <v>71</v>
      </c>
      <c r="V6998" s="773">
        <v>1</v>
      </c>
      <c r="W6998" s="773" t="s">
        <v>410</v>
      </c>
    </row>
    <row r="6999" spans="19:23">
      <c r="S6999" s="27">
        <v>45046</v>
      </c>
      <c r="T6999" s="773" t="s">
        <v>132</v>
      </c>
      <c r="U6999" s="773">
        <v>159</v>
      </c>
      <c r="V6999" s="773">
        <v>12</v>
      </c>
      <c r="W6999" s="773" t="s">
        <v>410</v>
      </c>
    </row>
    <row r="7000" spans="19:23">
      <c r="S7000" s="27">
        <v>45046</v>
      </c>
      <c r="T7000" s="773" t="s">
        <v>132</v>
      </c>
      <c r="U7000" s="773">
        <v>739</v>
      </c>
      <c r="V7000" s="773">
        <v>2179</v>
      </c>
      <c r="W7000" s="773" t="s">
        <v>390</v>
      </c>
    </row>
    <row r="7001" spans="19:23">
      <c r="S7001" s="27">
        <v>45046</v>
      </c>
      <c r="T7001" s="773" t="s">
        <v>132</v>
      </c>
      <c r="U7001" s="773">
        <v>308</v>
      </c>
      <c r="V7001" s="773">
        <v>2332</v>
      </c>
      <c r="W7001" s="773" t="s">
        <v>390</v>
      </c>
    </row>
    <row r="7002" spans="19:23">
      <c r="S7002" s="27">
        <v>45046</v>
      </c>
      <c r="T7002" s="773" t="s">
        <v>132</v>
      </c>
      <c r="U7002" s="773">
        <v>737</v>
      </c>
      <c r="V7002" s="773">
        <v>2171</v>
      </c>
      <c r="W7002" s="773" t="s">
        <v>390</v>
      </c>
    </row>
    <row r="7003" spans="19:23">
      <c r="S7003" s="27">
        <v>45046</v>
      </c>
      <c r="T7003" s="773" t="s">
        <v>132</v>
      </c>
      <c r="U7003" s="773">
        <v>157</v>
      </c>
      <c r="V7003" s="773">
        <v>11</v>
      </c>
      <c r="W7003" s="773" t="s">
        <v>410</v>
      </c>
    </row>
    <row r="7004" spans="19:23">
      <c r="S7004" s="27">
        <v>45046</v>
      </c>
      <c r="T7004" s="773" t="s">
        <v>132</v>
      </c>
      <c r="U7004" s="773">
        <v>667</v>
      </c>
      <c r="V7004" s="773">
        <v>2</v>
      </c>
      <c r="W7004" s="773" t="s">
        <v>410</v>
      </c>
    </row>
    <row r="7005" spans="19:23">
      <c r="S7005" s="27">
        <v>45046</v>
      </c>
      <c r="T7005" s="773" t="s">
        <v>132</v>
      </c>
      <c r="U7005" s="773">
        <v>292</v>
      </c>
      <c r="V7005" s="773">
        <v>4</v>
      </c>
      <c r="W7005" s="773" t="s">
        <v>410</v>
      </c>
    </row>
    <row r="7006" spans="19:23">
      <c r="S7006" s="27">
        <v>45046</v>
      </c>
      <c r="T7006" s="773" t="s">
        <v>132</v>
      </c>
      <c r="U7006" s="773">
        <v>46</v>
      </c>
      <c r="V7006" s="773">
        <v>1</v>
      </c>
      <c r="W7006" s="773" t="s">
        <v>410</v>
      </c>
    </row>
    <row r="7007" spans="19:23">
      <c r="S7007" s="27">
        <v>45046</v>
      </c>
      <c r="T7007" s="773" t="s">
        <v>132</v>
      </c>
      <c r="U7007" s="773">
        <v>220</v>
      </c>
      <c r="V7007" s="773">
        <v>128</v>
      </c>
      <c r="W7007" s="773" t="s">
        <v>390</v>
      </c>
    </row>
    <row r="7008" spans="19:23">
      <c r="S7008" s="27">
        <v>45046</v>
      </c>
      <c r="T7008" s="773" t="s">
        <v>132</v>
      </c>
      <c r="U7008" s="773">
        <v>311</v>
      </c>
      <c r="V7008" s="773">
        <v>2546</v>
      </c>
      <c r="W7008" s="773" t="s">
        <v>390</v>
      </c>
    </row>
    <row r="7009" spans="19:23">
      <c r="S7009" s="27">
        <v>45046</v>
      </c>
      <c r="T7009" s="773" t="s">
        <v>132</v>
      </c>
      <c r="U7009" s="773">
        <v>76</v>
      </c>
      <c r="V7009" s="773">
        <v>3005</v>
      </c>
      <c r="W7009" s="773" t="s">
        <v>390</v>
      </c>
    </row>
    <row r="7010" spans="19:23">
      <c r="S7010" s="27">
        <v>45046</v>
      </c>
      <c r="T7010" s="773" t="s">
        <v>132</v>
      </c>
      <c r="U7010" s="773">
        <v>672</v>
      </c>
      <c r="V7010" s="773">
        <v>2480</v>
      </c>
      <c r="W7010" s="773" t="s">
        <v>390</v>
      </c>
    </row>
    <row r="7011" spans="19:23">
      <c r="S7011" s="27">
        <v>45046</v>
      </c>
      <c r="T7011" s="773" t="s">
        <v>132</v>
      </c>
      <c r="U7011" s="773">
        <v>321</v>
      </c>
      <c r="V7011" s="773">
        <v>1928</v>
      </c>
      <c r="W7011" s="773" t="s">
        <v>390</v>
      </c>
    </row>
    <row r="7012" spans="19:23">
      <c r="S7012" s="27">
        <v>45046</v>
      </c>
      <c r="T7012" s="773" t="s">
        <v>132</v>
      </c>
      <c r="U7012" s="773">
        <v>680</v>
      </c>
      <c r="V7012" s="773">
        <v>3089</v>
      </c>
      <c r="W7012" s="773" t="s">
        <v>390</v>
      </c>
    </row>
    <row r="7013" spans="19:23">
      <c r="S7013" s="27">
        <v>45046</v>
      </c>
      <c r="T7013" s="773" t="s">
        <v>132</v>
      </c>
      <c r="U7013" s="773">
        <v>722</v>
      </c>
      <c r="V7013" s="773">
        <v>1</v>
      </c>
      <c r="W7013" s="773" t="s">
        <v>410</v>
      </c>
    </row>
    <row r="7014" spans="19:23">
      <c r="S7014" s="27">
        <v>45046</v>
      </c>
      <c r="T7014" s="773" t="s">
        <v>132</v>
      </c>
      <c r="U7014" s="773">
        <v>699</v>
      </c>
      <c r="V7014" s="773">
        <v>1381</v>
      </c>
      <c r="W7014" s="773" t="s">
        <v>390</v>
      </c>
    </row>
    <row r="7015" spans="19:23">
      <c r="S7015" s="27">
        <v>45046</v>
      </c>
      <c r="T7015" s="773" t="s">
        <v>132</v>
      </c>
      <c r="U7015" s="773">
        <v>726</v>
      </c>
      <c r="V7015" s="773">
        <v>106</v>
      </c>
      <c r="W7015" s="773" t="s">
        <v>390</v>
      </c>
    </row>
    <row r="7016" spans="19:23">
      <c r="S7016" s="27">
        <v>45046</v>
      </c>
      <c r="T7016" s="773" t="s">
        <v>132</v>
      </c>
      <c r="U7016" s="773">
        <v>262</v>
      </c>
      <c r="V7016" s="773">
        <v>35</v>
      </c>
      <c r="W7016" s="773" t="s">
        <v>410</v>
      </c>
    </row>
    <row r="7017" spans="19:23">
      <c r="S7017" s="27">
        <v>45046</v>
      </c>
      <c r="T7017" s="773" t="s">
        <v>132</v>
      </c>
      <c r="U7017" s="773">
        <v>251</v>
      </c>
      <c r="V7017" s="773">
        <v>1950</v>
      </c>
      <c r="W7017" s="773" t="s">
        <v>390</v>
      </c>
    </row>
    <row r="7018" spans="19:23">
      <c r="S7018" s="27">
        <v>45046</v>
      </c>
      <c r="T7018" s="773" t="s">
        <v>132</v>
      </c>
      <c r="U7018" s="773">
        <v>141</v>
      </c>
      <c r="V7018" s="773">
        <v>1</v>
      </c>
      <c r="W7018" s="773" t="s">
        <v>410</v>
      </c>
    </row>
    <row r="7019" spans="19:23">
      <c r="S7019" s="27">
        <v>45046</v>
      </c>
      <c r="T7019" s="773" t="s">
        <v>132</v>
      </c>
      <c r="U7019" s="773">
        <v>105</v>
      </c>
      <c r="V7019" s="773">
        <v>2</v>
      </c>
      <c r="W7019" s="773" t="s">
        <v>410</v>
      </c>
    </row>
    <row r="7020" spans="19:23">
      <c r="S7020" s="27">
        <v>45046</v>
      </c>
      <c r="T7020" s="773" t="s">
        <v>132</v>
      </c>
      <c r="U7020" s="773">
        <v>716</v>
      </c>
      <c r="V7020" s="773">
        <v>360</v>
      </c>
      <c r="W7020" s="773" t="s">
        <v>390</v>
      </c>
    </row>
    <row r="7021" spans="19:23">
      <c r="S7021" s="27">
        <v>45046</v>
      </c>
      <c r="T7021" s="773" t="s">
        <v>132</v>
      </c>
      <c r="U7021" s="773">
        <v>231</v>
      </c>
      <c r="V7021" s="773">
        <v>4</v>
      </c>
      <c r="W7021" s="773" t="s">
        <v>410</v>
      </c>
    </row>
    <row r="7022" spans="19:23">
      <c r="S7022" s="27">
        <v>45046</v>
      </c>
      <c r="T7022" s="773" t="s">
        <v>132</v>
      </c>
      <c r="U7022" s="773">
        <v>645</v>
      </c>
      <c r="V7022" s="773">
        <v>1</v>
      </c>
      <c r="W7022" s="773" t="s">
        <v>410</v>
      </c>
    </row>
    <row r="7023" spans="19:23">
      <c r="S7023" s="27">
        <v>45046</v>
      </c>
      <c r="T7023" s="773" t="s">
        <v>132</v>
      </c>
      <c r="U7023" s="773">
        <v>73</v>
      </c>
      <c r="V7023" s="773">
        <v>3</v>
      </c>
      <c r="W7023" s="773" t="s">
        <v>410</v>
      </c>
    </row>
    <row r="7024" spans="19:23">
      <c r="S7024" s="27">
        <v>45046</v>
      </c>
      <c r="T7024" s="773" t="s">
        <v>132</v>
      </c>
      <c r="U7024" s="773">
        <v>691</v>
      </c>
      <c r="V7024" s="773">
        <v>3103</v>
      </c>
      <c r="W7024" s="773" t="s">
        <v>390</v>
      </c>
    </row>
    <row r="7025" spans="19:23">
      <c r="S7025" s="27">
        <v>45046</v>
      </c>
      <c r="T7025" s="773" t="s">
        <v>132</v>
      </c>
      <c r="U7025" s="773">
        <v>233</v>
      </c>
      <c r="V7025" s="773">
        <v>2520</v>
      </c>
      <c r="W7025" s="773" t="s">
        <v>390</v>
      </c>
    </row>
    <row r="7026" spans="19:23">
      <c r="S7026" s="27">
        <v>45046</v>
      </c>
      <c r="T7026" s="773" t="s">
        <v>132</v>
      </c>
      <c r="U7026" s="773">
        <v>215</v>
      </c>
      <c r="V7026" s="773">
        <v>661</v>
      </c>
      <c r="W7026" s="773" t="s">
        <v>390</v>
      </c>
    </row>
    <row r="7027" spans="19:23">
      <c r="S7027" s="27">
        <v>45046</v>
      </c>
      <c r="T7027" s="773" t="s">
        <v>132</v>
      </c>
      <c r="U7027" s="773">
        <v>0</v>
      </c>
      <c r="V7027" s="773">
        <v>47</v>
      </c>
      <c r="W7027" s="773" t="s">
        <v>410</v>
      </c>
    </row>
    <row r="7028" spans="19:23">
      <c r="S7028" s="27">
        <v>45046</v>
      </c>
      <c r="T7028" s="773" t="s">
        <v>132</v>
      </c>
      <c r="U7028" s="773">
        <v>77</v>
      </c>
      <c r="V7028" s="773">
        <v>3705</v>
      </c>
      <c r="W7028" s="773" t="s">
        <v>390</v>
      </c>
    </row>
    <row r="7029" spans="19:23">
      <c r="S7029" s="27">
        <v>45046</v>
      </c>
      <c r="T7029" s="773" t="s">
        <v>132</v>
      </c>
      <c r="U7029" s="773">
        <v>797</v>
      </c>
      <c r="V7029" s="773">
        <v>89</v>
      </c>
      <c r="W7029" s="773" t="s">
        <v>410</v>
      </c>
    </row>
    <row r="7030" spans="19:23">
      <c r="S7030" s="27">
        <v>45046</v>
      </c>
      <c r="T7030" s="773" t="s">
        <v>132</v>
      </c>
      <c r="U7030" s="773">
        <v>148</v>
      </c>
      <c r="V7030" s="773">
        <v>5</v>
      </c>
      <c r="W7030" s="773" t="s">
        <v>410</v>
      </c>
    </row>
    <row r="7031" spans="19:23">
      <c r="S7031" s="27">
        <v>45046</v>
      </c>
      <c r="T7031" s="773" t="s">
        <v>132</v>
      </c>
      <c r="U7031" s="773">
        <v>704</v>
      </c>
      <c r="V7031" s="773">
        <v>3429</v>
      </c>
      <c r="W7031" s="773" t="s">
        <v>390</v>
      </c>
    </row>
    <row r="7032" spans="19:23">
      <c r="S7032" s="27">
        <v>45046</v>
      </c>
      <c r="T7032" s="773" t="s">
        <v>132</v>
      </c>
      <c r="U7032" s="773">
        <v>213</v>
      </c>
      <c r="V7032" s="773">
        <v>1</v>
      </c>
      <c r="W7032" s="773" t="s">
        <v>410</v>
      </c>
    </row>
    <row r="7033" spans="19:23">
      <c r="S7033" s="27">
        <v>45046</v>
      </c>
      <c r="T7033" s="773" t="s">
        <v>132</v>
      </c>
      <c r="U7033" s="773">
        <v>720</v>
      </c>
      <c r="V7033" s="773">
        <v>2972</v>
      </c>
      <c r="W7033" s="773" t="s">
        <v>390</v>
      </c>
    </row>
    <row r="7034" spans="19:23">
      <c r="S7034" s="27">
        <v>45046</v>
      </c>
      <c r="T7034" s="773" t="s">
        <v>132</v>
      </c>
      <c r="U7034" s="773">
        <v>241</v>
      </c>
      <c r="V7034" s="773">
        <v>12</v>
      </c>
      <c r="W7034" s="773" t="s">
        <v>410</v>
      </c>
    </row>
    <row r="7035" spans="19:23">
      <c r="S7035" s="27">
        <v>45046</v>
      </c>
      <c r="T7035" s="773" t="s">
        <v>132</v>
      </c>
      <c r="U7035" s="773">
        <v>93</v>
      </c>
      <c r="V7035" s="773">
        <v>1152</v>
      </c>
      <c r="W7035" s="773" t="s">
        <v>390</v>
      </c>
    </row>
    <row r="7036" spans="19:23">
      <c r="S7036" s="27">
        <v>45077</v>
      </c>
      <c r="T7036" s="773" t="s">
        <v>132</v>
      </c>
      <c r="U7036" s="773">
        <v>233</v>
      </c>
      <c r="V7036" s="773">
        <v>2143</v>
      </c>
      <c r="W7036" s="773" t="s">
        <v>390</v>
      </c>
    </row>
    <row r="7037" spans="19:23">
      <c r="S7037" s="27">
        <v>45077</v>
      </c>
      <c r="T7037" s="773" t="s">
        <v>132</v>
      </c>
      <c r="U7037" s="773">
        <v>63</v>
      </c>
      <c r="V7037" s="773">
        <v>1</v>
      </c>
      <c r="W7037" s="773" t="s">
        <v>410</v>
      </c>
    </row>
    <row r="7038" spans="19:23">
      <c r="S7038" s="27">
        <v>45077</v>
      </c>
      <c r="T7038" s="773" t="s">
        <v>132</v>
      </c>
      <c r="U7038" s="773">
        <v>240</v>
      </c>
      <c r="V7038" s="773">
        <v>3</v>
      </c>
      <c r="W7038" s="773" t="s">
        <v>410</v>
      </c>
    </row>
    <row r="7039" spans="19:23">
      <c r="S7039" s="27">
        <v>45077</v>
      </c>
      <c r="T7039" s="773" t="s">
        <v>132</v>
      </c>
      <c r="U7039" s="773">
        <v>645</v>
      </c>
      <c r="V7039" s="773">
        <v>1</v>
      </c>
      <c r="W7039" s="773" t="s">
        <v>410</v>
      </c>
    </row>
    <row r="7040" spans="19:23">
      <c r="S7040" s="27">
        <v>45077</v>
      </c>
      <c r="T7040" s="773" t="s">
        <v>132</v>
      </c>
      <c r="U7040" s="773">
        <v>52</v>
      </c>
      <c r="V7040" s="773">
        <v>8</v>
      </c>
      <c r="W7040" s="773" t="s">
        <v>410</v>
      </c>
    </row>
    <row r="7041" spans="19:23">
      <c r="S7041" s="27">
        <v>45077</v>
      </c>
      <c r="T7041" s="773" t="s">
        <v>132</v>
      </c>
      <c r="U7041" s="773">
        <v>738</v>
      </c>
      <c r="V7041" s="773">
        <v>114</v>
      </c>
      <c r="W7041" s="773" t="s">
        <v>390</v>
      </c>
    </row>
    <row r="7042" spans="19:23">
      <c r="S7042" s="27">
        <v>45077</v>
      </c>
      <c r="T7042" s="773" t="s">
        <v>132</v>
      </c>
      <c r="U7042" s="773">
        <v>40</v>
      </c>
      <c r="V7042" s="773">
        <v>4</v>
      </c>
      <c r="W7042" s="773" t="s">
        <v>410</v>
      </c>
    </row>
    <row r="7043" spans="19:23">
      <c r="S7043" s="27">
        <v>45077</v>
      </c>
      <c r="T7043" s="773" t="s">
        <v>132</v>
      </c>
      <c r="U7043" s="773">
        <v>271</v>
      </c>
      <c r="V7043" s="773">
        <v>3003</v>
      </c>
      <c r="W7043" s="773" t="s">
        <v>390</v>
      </c>
    </row>
    <row r="7044" spans="19:23">
      <c r="S7044" s="27">
        <v>45077</v>
      </c>
      <c r="T7044" s="773" t="s">
        <v>132</v>
      </c>
      <c r="U7044" s="773">
        <v>803</v>
      </c>
      <c r="V7044" s="773">
        <v>40</v>
      </c>
      <c r="W7044" s="773" t="s">
        <v>410</v>
      </c>
    </row>
    <row r="7045" spans="19:23">
      <c r="S7045" s="27">
        <v>45077</v>
      </c>
      <c r="T7045" s="773" t="s">
        <v>132</v>
      </c>
      <c r="U7045" s="773">
        <v>737</v>
      </c>
      <c r="V7045" s="773">
        <v>2183</v>
      </c>
      <c r="W7045" s="773" t="s">
        <v>390</v>
      </c>
    </row>
    <row r="7046" spans="19:23">
      <c r="S7046" s="27">
        <v>45077</v>
      </c>
      <c r="T7046" s="773" t="s">
        <v>132</v>
      </c>
      <c r="U7046" s="773">
        <v>66</v>
      </c>
      <c r="V7046" s="773">
        <v>1</v>
      </c>
      <c r="W7046" s="773" t="s">
        <v>410</v>
      </c>
    </row>
    <row r="7047" spans="19:23">
      <c r="S7047" s="27">
        <v>45077</v>
      </c>
      <c r="T7047" s="773" t="s">
        <v>132</v>
      </c>
      <c r="U7047" s="773">
        <v>161</v>
      </c>
      <c r="V7047" s="773">
        <v>1</v>
      </c>
      <c r="W7047" s="773" t="s">
        <v>410</v>
      </c>
    </row>
    <row r="7048" spans="19:23">
      <c r="S7048" s="27">
        <v>45077</v>
      </c>
      <c r="T7048" s="773" t="s">
        <v>132</v>
      </c>
      <c r="U7048" s="773">
        <v>691</v>
      </c>
      <c r="V7048" s="773">
        <v>3109</v>
      </c>
      <c r="W7048" s="773" t="s">
        <v>390</v>
      </c>
    </row>
    <row r="7049" spans="19:23">
      <c r="S7049" s="27">
        <v>45077</v>
      </c>
      <c r="T7049" s="773" t="s">
        <v>132</v>
      </c>
      <c r="U7049" s="773">
        <v>648</v>
      </c>
      <c r="V7049" s="773">
        <v>1</v>
      </c>
      <c r="W7049" s="773" t="s">
        <v>410</v>
      </c>
    </row>
    <row r="7050" spans="19:23">
      <c r="S7050" s="27">
        <v>45077</v>
      </c>
      <c r="T7050" s="773" t="s">
        <v>132</v>
      </c>
      <c r="U7050" s="773">
        <v>718</v>
      </c>
      <c r="V7050" s="773">
        <v>1650</v>
      </c>
      <c r="W7050" s="773" t="s">
        <v>390</v>
      </c>
    </row>
    <row r="7051" spans="19:23">
      <c r="S7051" s="27">
        <v>45077</v>
      </c>
      <c r="T7051" s="773" t="s">
        <v>132</v>
      </c>
      <c r="U7051" s="773">
        <v>317</v>
      </c>
      <c r="V7051" s="773">
        <v>3480</v>
      </c>
      <c r="W7051" s="773" t="s">
        <v>390</v>
      </c>
    </row>
    <row r="7052" spans="19:23">
      <c r="S7052" s="27">
        <v>45077</v>
      </c>
      <c r="T7052" s="773" t="s">
        <v>132</v>
      </c>
      <c r="U7052" s="773">
        <v>805</v>
      </c>
      <c r="V7052" s="773">
        <v>17</v>
      </c>
      <c r="W7052" s="773" t="s">
        <v>410</v>
      </c>
    </row>
    <row r="7053" spans="19:23">
      <c r="S7053" s="27">
        <v>45077</v>
      </c>
      <c r="T7053" s="773" t="s">
        <v>132</v>
      </c>
      <c r="U7053" s="773">
        <v>70</v>
      </c>
      <c r="V7053" s="773">
        <v>209</v>
      </c>
      <c r="W7053" s="773" t="s">
        <v>390</v>
      </c>
    </row>
    <row r="7054" spans="19:23">
      <c r="S7054" s="27">
        <v>45077</v>
      </c>
      <c r="T7054" s="773" t="s">
        <v>132</v>
      </c>
      <c r="U7054" s="773">
        <v>700</v>
      </c>
      <c r="V7054" s="773">
        <v>2921</v>
      </c>
      <c r="W7054" s="773" t="s">
        <v>390</v>
      </c>
    </row>
    <row r="7055" spans="19:23">
      <c r="S7055" s="27">
        <v>45077</v>
      </c>
      <c r="T7055" s="773" t="s">
        <v>132</v>
      </c>
      <c r="U7055" s="773">
        <v>169</v>
      </c>
      <c r="V7055" s="773">
        <v>3261</v>
      </c>
      <c r="W7055" s="773" t="s">
        <v>390</v>
      </c>
    </row>
    <row r="7056" spans="19:23">
      <c r="S7056" s="27">
        <v>45077</v>
      </c>
      <c r="T7056" s="773" t="s">
        <v>132</v>
      </c>
      <c r="U7056" s="773">
        <v>43</v>
      </c>
      <c r="V7056" s="773">
        <v>1014</v>
      </c>
      <c r="W7056" s="773" t="s">
        <v>390</v>
      </c>
    </row>
    <row r="7057" spans="19:23">
      <c r="S7057" s="27">
        <v>45077</v>
      </c>
      <c r="T7057" s="773" t="s">
        <v>132</v>
      </c>
      <c r="U7057" s="773">
        <v>124</v>
      </c>
      <c r="V7057" s="773">
        <v>1</v>
      </c>
      <c r="W7057" s="773" t="s">
        <v>410</v>
      </c>
    </row>
    <row r="7058" spans="19:23">
      <c r="S7058" s="27">
        <v>45077</v>
      </c>
      <c r="T7058" s="773" t="s">
        <v>132</v>
      </c>
      <c r="U7058" s="773">
        <v>318</v>
      </c>
      <c r="V7058" s="773">
        <v>2588</v>
      </c>
      <c r="W7058" s="773" t="s">
        <v>390</v>
      </c>
    </row>
    <row r="7059" spans="19:23">
      <c r="S7059" s="27">
        <v>45077</v>
      </c>
      <c r="T7059" s="773" t="s">
        <v>132</v>
      </c>
      <c r="U7059" s="773">
        <v>155</v>
      </c>
      <c r="V7059" s="773">
        <v>2592</v>
      </c>
      <c r="W7059" s="773" t="s">
        <v>390</v>
      </c>
    </row>
    <row r="7060" spans="19:23">
      <c r="S7060" s="27">
        <v>45077</v>
      </c>
      <c r="T7060" s="773" t="s">
        <v>132</v>
      </c>
      <c r="U7060" s="773">
        <v>97</v>
      </c>
      <c r="V7060" s="773">
        <v>1</v>
      </c>
      <c r="W7060" s="773" t="s">
        <v>410</v>
      </c>
    </row>
    <row r="7061" spans="19:23">
      <c r="S7061" s="27">
        <v>45077</v>
      </c>
      <c r="T7061" s="773" t="s">
        <v>132</v>
      </c>
      <c r="U7061" s="773">
        <v>132</v>
      </c>
      <c r="V7061" s="773">
        <v>3024</v>
      </c>
      <c r="W7061" s="773" t="s">
        <v>390</v>
      </c>
    </row>
    <row r="7062" spans="19:23">
      <c r="S7062" s="27">
        <v>45077</v>
      </c>
      <c r="T7062" s="773" t="s">
        <v>132</v>
      </c>
      <c r="U7062" s="773">
        <v>328</v>
      </c>
      <c r="V7062" s="773">
        <v>550</v>
      </c>
      <c r="W7062" s="773" t="s">
        <v>390</v>
      </c>
    </row>
    <row r="7063" spans="19:23">
      <c r="S7063" s="27">
        <v>45077</v>
      </c>
      <c r="T7063" s="773" t="s">
        <v>132</v>
      </c>
      <c r="U7063" s="773">
        <v>651</v>
      </c>
      <c r="V7063" s="773">
        <v>91</v>
      </c>
      <c r="W7063" s="773" t="s">
        <v>410</v>
      </c>
    </row>
    <row r="7064" spans="19:23">
      <c r="S7064" s="27">
        <v>45077</v>
      </c>
      <c r="T7064" s="773" t="s">
        <v>132</v>
      </c>
      <c r="U7064" s="773">
        <v>663</v>
      </c>
      <c r="V7064" s="773">
        <v>318</v>
      </c>
      <c r="W7064" s="773" t="s">
        <v>390</v>
      </c>
    </row>
    <row r="7065" spans="19:23">
      <c r="S7065" s="27">
        <v>45077</v>
      </c>
      <c r="T7065" s="773" t="s">
        <v>132</v>
      </c>
      <c r="U7065" s="773">
        <v>188</v>
      </c>
      <c r="V7065" s="773">
        <v>908</v>
      </c>
      <c r="W7065" s="773" t="s">
        <v>390</v>
      </c>
    </row>
    <row r="7066" spans="19:23">
      <c r="S7066" s="27">
        <v>45077</v>
      </c>
      <c r="T7066" s="773" t="s">
        <v>132</v>
      </c>
      <c r="U7066" s="773">
        <v>699</v>
      </c>
      <c r="V7066" s="773">
        <v>1373</v>
      </c>
      <c r="W7066" s="773" t="s">
        <v>390</v>
      </c>
    </row>
    <row r="7067" spans="19:23">
      <c r="S7067" s="27">
        <v>45077</v>
      </c>
      <c r="T7067" s="773" t="s">
        <v>132</v>
      </c>
      <c r="U7067" s="773">
        <v>216</v>
      </c>
      <c r="V7067" s="773">
        <v>2651</v>
      </c>
      <c r="W7067" s="773" t="s">
        <v>390</v>
      </c>
    </row>
    <row r="7068" spans="19:23">
      <c r="S7068" s="27">
        <v>45077</v>
      </c>
      <c r="T7068" s="773" t="s">
        <v>132</v>
      </c>
      <c r="U7068" s="773">
        <v>79</v>
      </c>
      <c r="V7068" s="773">
        <v>4</v>
      </c>
      <c r="W7068" s="773" t="s">
        <v>410</v>
      </c>
    </row>
    <row r="7069" spans="19:23">
      <c r="S7069" s="27">
        <v>45077</v>
      </c>
      <c r="T7069" s="773" t="s">
        <v>132</v>
      </c>
      <c r="U7069" s="773">
        <v>105</v>
      </c>
      <c r="V7069" s="773">
        <v>2</v>
      </c>
      <c r="W7069" s="773" t="s">
        <v>410</v>
      </c>
    </row>
    <row r="7070" spans="19:23">
      <c r="S7070" s="27">
        <v>45077</v>
      </c>
      <c r="T7070" s="773" t="s">
        <v>132</v>
      </c>
      <c r="U7070" s="773">
        <v>296</v>
      </c>
      <c r="V7070" s="773">
        <v>2530</v>
      </c>
      <c r="W7070" s="773" t="s">
        <v>390</v>
      </c>
    </row>
    <row r="7071" spans="19:23">
      <c r="S7071" s="27">
        <v>45077</v>
      </c>
      <c r="T7071" s="773" t="s">
        <v>132</v>
      </c>
      <c r="U7071" s="773">
        <v>809</v>
      </c>
      <c r="V7071" s="773">
        <v>57</v>
      </c>
      <c r="W7071" s="773" t="s">
        <v>410</v>
      </c>
    </row>
    <row r="7072" spans="19:23">
      <c r="S7072" s="27">
        <v>45077</v>
      </c>
      <c r="T7072" s="773" t="s">
        <v>132</v>
      </c>
      <c r="U7072" s="773">
        <v>641</v>
      </c>
      <c r="V7072" s="773">
        <v>2164</v>
      </c>
      <c r="W7072" s="773" t="s">
        <v>390</v>
      </c>
    </row>
    <row r="7073" spans="19:23">
      <c r="S7073" s="27">
        <v>45077</v>
      </c>
      <c r="T7073" s="773" t="s">
        <v>132</v>
      </c>
      <c r="U7073" s="773">
        <v>321</v>
      </c>
      <c r="V7073" s="773">
        <v>1927</v>
      </c>
      <c r="W7073" s="773" t="s">
        <v>390</v>
      </c>
    </row>
    <row r="7074" spans="19:23">
      <c r="S7074" s="27">
        <v>45077</v>
      </c>
      <c r="T7074" s="773" t="s">
        <v>132</v>
      </c>
      <c r="U7074" s="773">
        <v>173</v>
      </c>
      <c r="V7074" s="773">
        <v>6</v>
      </c>
      <c r="W7074" s="773" t="s">
        <v>410</v>
      </c>
    </row>
    <row r="7075" spans="19:23">
      <c r="S7075" s="27">
        <v>45077</v>
      </c>
      <c r="T7075" s="773" t="s">
        <v>132</v>
      </c>
      <c r="U7075" s="773">
        <v>76</v>
      </c>
      <c r="V7075" s="773">
        <v>3001</v>
      </c>
      <c r="W7075" s="773" t="s">
        <v>390</v>
      </c>
    </row>
    <row r="7076" spans="19:23">
      <c r="S7076" s="27">
        <v>45077</v>
      </c>
      <c r="T7076" s="773" t="s">
        <v>132</v>
      </c>
      <c r="U7076" s="773">
        <v>253</v>
      </c>
      <c r="V7076" s="773">
        <v>10</v>
      </c>
      <c r="W7076" s="773" t="s">
        <v>410</v>
      </c>
    </row>
    <row r="7077" spans="19:23">
      <c r="S7077" s="27">
        <v>45077</v>
      </c>
      <c r="T7077" s="773" t="s">
        <v>132</v>
      </c>
      <c r="U7077" s="773">
        <v>653</v>
      </c>
      <c r="V7077" s="773">
        <v>9</v>
      </c>
      <c r="W7077" s="773" t="s">
        <v>410</v>
      </c>
    </row>
    <row r="7078" spans="19:23">
      <c r="S7078" s="27">
        <v>45077</v>
      </c>
      <c r="T7078" s="773" t="s">
        <v>132</v>
      </c>
      <c r="U7078" s="773">
        <v>82</v>
      </c>
      <c r="V7078" s="773">
        <v>1</v>
      </c>
      <c r="W7078" s="773" t="s">
        <v>410</v>
      </c>
    </row>
    <row r="7079" spans="19:23">
      <c r="S7079" s="27">
        <v>45077</v>
      </c>
      <c r="T7079" s="773" t="s">
        <v>132</v>
      </c>
      <c r="U7079" s="773">
        <v>239</v>
      </c>
      <c r="V7079" s="773">
        <v>7</v>
      </c>
      <c r="W7079" s="773" t="s">
        <v>410</v>
      </c>
    </row>
    <row r="7080" spans="19:23">
      <c r="S7080" s="27">
        <v>45077</v>
      </c>
      <c r="T7080" s="773" t="s">
        <v>132</v>
      </c>
      <c r="U7080" s="773">
        <v>77</v>
      </c>
      <c r="V7080" s="773">
        <v>3729</v>
      </c>
      <c r="W7080" s="773" t="s">
        <v>390</v>
      </c>
    </row>
    <row r="7081" spans="19:23">
      <c r="S7081" s="27">
        <v>45077</v>
      </c>
      <c r="T7081" s="773" t="s">
        <v>132</v>
      </c>
      <c r="U7081" s="773">
        <v>275</v>
      </c>
      <c r="V7081" s="773">
        <v>19</v>
      </c>
      <c r="W7081" s="773" t="s">
        <v>410</v>
      </c>
    </row>
    <row r="7082" spans="19:23">
      <c r="S7082" s="27">
        <v>45077</v>
      </c>
      <c r="T7082" s="773" t="s">
        <v>132</v>
      </c>
      <c r="U7082" s="773">
        <v>727</v>
      </c>
      <c r="V7082" s="773">
        <v>3757</v>
      </c>
      <c r="W7082" s="773" t="s">
        <v>390</v>
      </c>
    </row>
    <row r="7083" spans="19:23">
      <c r="S7083" s="27">
        <v>45077</v>
      </c>
      <c r="T7083" s="773" t="s">
        <v>132</v>
      </c>
      <c r="U7083" s="773">
        <v>687</v>
      </c>
      <c r="V7083" s="773">
        <v>3185</v>
      </c>
      <c r="W7083" s="773" t="s">
        <v>390</v>
      </c>
    </row>
    <row r="7084" spans="19:23">
      <c r="S7084" s="27">
        <v>45077</v>
      </c>
      <c r="T7084" s="773" t="s">
        <v>132</v>
      </c>
      <c r="U7084" s="773">
        <v>71</v>
      </c>
      <c r="V7084" s="773">
        <v>1</v>
      </c>
      <c r="W7084" s="773" t="s">
        <v>410</v>
      </c>
    </row>
    <row r="7085" spans="19:23">
      <c r="S7085" s="27">
        <v>45077</v>
      </c>
      <c r="T7085" s="773" t="s">
        <v>132</v>
      </c>
      <c r="U7085" s="773">
        <v>266</v>
      </c>
      <c r="V7085" s="773">
        <v>2489</v>
      </c>
      <c r="W7085" s="773" t="s">
        <v>390</v>
      </c>
    </row>
    <row r="7086" spans="19:23">
      <c r="S7086" s="27">
        <v>45077</v>
      </c>
      <c r="T7086" s="773" t="s">
        <v>132</v>
      </c>
      <c r="U7086" s="773">
        <v>725</v>
      </c>
      <c r="V7086" s="773">
        <v>501</v>
      </c>
      <c r="W7086" s="773" t="s">
        <v>390</v>
      </c>
    </row>
    <row r="7087" spans="19:23">
      <c r="S7087" s="27">
        <v>45077</v>
      </c>
      <c r="T7087" s="773" t="s">
        <v>132</v>
      </c>
      <c r="U7087" s="773">
        <v>136</v>
      </c>
      <c r="V7087" s="773">
        <v>22</v>
      </c>
      <c r="W7087" s="773" t="s">
        <v>410</v>
      </c>
    </row>
    <row r="7088" spans="19:23">
      <c r="S7088" s="27">
        <v>45077</v>
      </c>
      <c r="T7088" s="773" t="s">
        <v>132</v>
      </c>
      <c r="U7088" s="773">
        <v>262</v>
      </c>
      <c r="V7088" s="773">
        <v>33</v>
      </c>
      <c r="W7088" s="773" t="s">
        <v>410</v>
      </c>
    </row>
    <row r="7089" spans="19:23">
      <c r="S7089" s="27">
        <v>45077</v>
      </c>
      <c r="T7089" s="773" t="s">
        <v>132</v>
      </c>
      <c r="U7089" s="773">
        <v>254</v>
      </c>
      <c r="V7089" s="773">
        <v>6</v>
      </c>
      <c r="W7089" s="773" t="s">
        <v>410</v>
      </c>
    </row>
    <row r="7090" spans="19:23">
      <c r="S7090" s="27">
        <v>45077</v>
      </c>
      <c r="T7090" s="773" t="s">
        <v>132</v>
      </c>
      <c r="U7090" s="773">
        <v>164</v>
      </c>
      <c r="V7090" s="773">
        <v>11</v>
      </c>
      <c r="W7090" s="773" t="s">
        <v>410</v>
      </c>
    </row>
    <row r="7091" spans="19:23">
      <c r="S7091" s="27">
        <v>45077</v>
      </c>
      <c r="T7091" s="773" t="s">
        <v>132</v>
      </c>
      <c r="U7091" s="773">
        <v>804</v>
      </c>
      <c r="V7091" s="773">
        <v>2163</v>
      </c>
      <c r="W7091" s="773" t="s">
        <v>390</v>
      </c>
    </row>
    <row r="7092" spans="19:23">
      <c r="S7092" s="27">
        <v>45077</v>
      </c>
      <c r="T7092" s="773" t="s">
        <v>132</v>
      </c>
      <c r="U7092" s="773">
        <v>213</v>
      </c>
      <c r="V7092" s="773">
        <v>1</v>
      </c>
      <c r="W7092" s="773" t="s">
        <v>410</v>
      </c>
    </row>
    <row r="7093" spans="19:23">
      <c r="S7093" s="27">
        <v>45077</v>
      </c>
      <c r="T7093" s="773" t="s">
        <v>132</v>
      </c>
      <c r="U7093" s="773">
        <v>769</v>
      </c>
      <c r="V7093" s="773">
        <v>1800</v>
      </c>
      <c r="W7093" s="773" t="s">
        <v>390</v>
      </c>
    </row>
    <row r="7094" spans="19:23">
      <c r="S7094" s="27">
        <v>45077</v>
      </c>
      <c r="T7094" s="773" t="s">
        <v>132</v>
      </c>
      <c r="U7094" s="773">
        <v>662</v>
      </c>
      <c r="V7094" s="773">
        <v>14</v>
      </c>
      <c r="W7094" s="773" t="s">
        <v>410</v>
      </c>
    </row>
    <row r="7095" spans="19:23">
      <c r="S7095" s="27">
        <v>45077</v>
      </c>
      <c r="T7095" s="773" t="s">
        <v>132</v>
      </c>
      <c r="U7095" s="773">
        <v>670</v>
      </c>
      <c r="V7095" s="773">
        <v>2590</v>
      </c>
      <c r="W7095" s="773" t="s">
        <v>390</v>
      </c>
    </row>
    <row r="7096" spans="19:23">
      <c r="S7096" s="27">
        <v>45077</v>
      </c>
      <c r="T7096" s="773" t="s">
        <v>132</v>
      </c>
      <c r="U7096" s="773">
        <v>222</v>
      </c>
      <c r="V7096" s="773">
        <v>5</v>
      </c>
      <c r="W7096" s="773" t="s">
        <v>410</v>
      </c>
    </row>
    <row r="7097" spans="19:23">
      <c r="S7097" s="27">
        <v>45077</v>
      </c>
      <c r="T7097" s="773" t="s">
        <v>132</v>
      </c>
      <c r="U7097" s="773">
        <v>89</v>
      </c>
      <c r="V7097" s="773">
        <v>1099</v>
      </c>
      <c r="W7097" s="773" t="s">
        <v>390</v>
      </c>
    </row>
    <row r="7098" spans="19:23">
      <c r="S7098" s="27">
        <v>45077</v>
      </c>
      <c r="T7098" s="773" t="s">
        <v>132</v>
      </c>
      <c r="U7098" s="773">
        <v>323</v>
      </c>
      <c r="V7098" s="773">
        <v>3222</v>
      </c>
      <c r="W7098" s="773" t="s">
        <v>390</v>
      </c>
    </row>
    <row r="7099" spans="19:23">
      <c r="S7099" s="27">
        <v>45077</v>
      </c>
      <c r="T7099" s="773" t="s">
        <v>132</v>
      </c>
      <c r="U7099" s="773">
        <v>257</v>
      </c>
      <c r="V7099" s="773">
        <v>3092</v>
      </c>
      <c r="W7099" s="773" t="s">
        <v>390</v>
      </c>
    </row>
    <row r="7100" spans="19:23">
      <c r="S7100" s="27">
        <v>45077</v>
      </c>
      <c r="T7100" s="773" t="s">
        <v>132</v>
      </c>
      <c r="U7100" s="773">
        <v>344</v>
      </c>
      <c r="V7100" s="773">
        <v>182</v>
      </c>
      <c r="W7100" s="773" t="s">
        <v>390</v>
      </c>
    </row>
    <row r="7101" spans="19:23">
      <c r="S7101" s="27">
        <v>45077</v>
      </c>
      <c r="T7101" s="773" t="s">
        <v>132</v>
      </c>
      <c r="U7101" s="773">
        <v>204</v>
      </c>
      <c r="V7101" s="773">
        <v>7</v>
      </c>
      <c r="W7101" s="773" t="s">
        <v>410</v>
      </c>
    </row>
    <row r="7102" spans="19:23">
      <c r="S7102" s="27">
        <v>45077</v>
      </c>
      <c r="T7102" s="773" t="s">
        <v>132</v>
      </c>
      <c r="U7102" s="773">
        <v>684</v>
      </c>
      <c r="V7102" s="773">
        <v>3240</v>
      </c>
      <c r="W7102" s="773" t="s">
        <v>390</v>
      </c>
    </row>
    <row r="7103" spans="19:23">
      <c r="S7103" s="27">
        <v>45077</v>
      </c>
      <c r="T7103" s="773" t="s">
        <v>132</v>
      </c>
      <c r="U7103" s="773">
        <v>231</v>
      </c>
      <c r="V7103" s="773">
        <v>5</v>
      </c>
      <c r="W7103" s="773" t="s">
        <v>410</v>
      </c>
    </row>
    <row r="7104" spans="19:23">
      <c r="S7104" s="27">
        <v>45077</v>
      </c>
      <c r="T7104" s="773" t="s">
        <v>132</v>
      </c>
      <c r="U7104" s="773">
        <v>193</v>
      </c>
      <c r="V7104" s="773">
        <v>485</v>
      </c>
      <c r="W7104" s="773" t="s">
        <v>390</v>
      </c>
    </row>
    <row r="7105" spans="19:23">
      <c r="S7105" s="27">
        <v>45077</v>
      </c>
      <c r="T7105" s="773" t="s">
        <v>132</v>
      </c>
      <c r="U7105" s="773">
        <v>325</v>
      </c>
      <c r="V7105" s="773">
        <v>2189</v>
      </c>
      <c r="W7105" s="773" t="s">
        <v>390</v>
      </c>
    </row>
    <row r="7106" spans="19:23">
      <c r="S7106" s="27">
        <v>45077</v>
      </c>
      <c r="T7106" s="773" t="s">
        <v>132</v>
      </c>
      <c r="U7106" s="773">
        <v>251</v>
      </c>
      <c r="V7106" s="773">
        <v>1955</v>
      </c>
      <c r="W7106" s="773" t="s">
        <v>390</v>
      </c>
    </row>
    <row r="7107" spans="19:23">
      <c r="S7107" s="27">
        <v>45077</v>
      </c>
      <c r="T7107" s="773" t="s">
        <v>132</v>
      </c>
      <c r="U7107" s="773">
        <v>139</v>
      </c>
      <c r="V7107" s="773">
        <v>2534</v>
      </c>
      <c r="W7107" s="773" t="s">
        <v>390</v>
      </c>
    </row>
    <row r="7108" spans="19:23">
      <c r="S7108" s="27">
        <v>45077</v>
      </c>
      <c r="T7108" s="773" t="s">
        <v>132</v>
      </c>
      <c r="U7108" s="773">
        <v>652</v>
      </c>
      <c r="V7108" s="773">
        <v>3688</v>
      </c>
      <c r="W7108" s="773" t="s">
        <v>390</v>
      </c>
    </row>
    <row r="7109" spans="19:23">
      <c r="S7109" s="27">
        <v>45077</v>
      </c>
      <c r="T7109" s="773" t="s">
        <v>132</v>
      </c>
      <c r="U7109" s="773">
        <v>779</v>
      </c>
      <c r="V7109" s="773">
        <v>2190</v>
      </c>
      <c r="W7109" s="773" t="s">
        <v>390</v>
      </c>
    </row>
    <row r="7110" spans="19:23">
      <c r="S7110" s="27">
        <v>45077</v>
      </c>
      <c r="T7110" s="773" t="s">
        <v>132</v>
      </c>
      <c r="U7110" s="773">
        <v>694</v>
      </c>
      <c r="V7110" s="773">
        <v>1</v>
      </c>
      <c r="W7110" s="773" t="s">
        <v>410</v>
      </c>
    </row>
    <row r="7111" spans="19:23">
      <c r="S7111" s="27">
        <v>45077</v>
      </c>
      <c r="T7111" s="773" t="s">
        <v>132</v>
      </c>
      <c r="U7111" s="773">
        <v>701</v>
      </c>
      <c r="V7111" s="773">
        <v>2407</v>
      </c>
      <c r="W7111" s="773" t="s">
        <v>390</v>
      </c>
    </row>
    <row r="7112" spans="19:23">
      <c r="S7112" s="27">
        <v>45077</v>
      </c>
      <c r="T7112" s="773" t="s">
        <v>132</v>
      </c>
      <c r="U7112" s="773">
        <v>39</v>
      </c>
      <c r="V7112" s="773">
        <v>1</v>
      </c>
      <c r="W7112" s="773" t="s">
        <v>410</v>
      </c>
    </row>
    <row r="7113" spans="19:23">
      <c r="S7113" s="27">
        <v>45077</v>
      </c>
      <c r="T7113" s="773" t="s">
        <v>132</v>
      </c>
      <c r="U7113" s="773">
        <v>669</v>
      </c>
      <c r="V7113" s="773">
        <v>3006</v>
      </c>
      <c r="W7113" s="773" t="s">
        <v>390</v>
      </c>
    </row>
    <row r="7114" spans="19:23">
      <c r="S7114" s="27">
        <v>45077</v>
      </c>
      <c r="T7114" s="773" t="s">
        <v>132</v>
      </c>
      <c r="U7114" s="773">
        <v>87</v>
      </c>
      <c r="V7114" s="773">
        <v>2</v>
      </c>
      <c r="W7114" s="773" t="s">
        <v>410</v>
      </c>
    </row>
    <row r="7115" spans="19:23">
      <c r="S7115" s="27">
        <v>45077</v>
      </c>
      <c r="T7115" s="773" t="s">
        <v>132</v>
      </c>
      <c r="U7115" s="773">
        <v>329</v>
      </c>
      <c r="V7115" s="773">
        <v>4037</v>
      </c>
      <c r="W7115" s="773" t="s">
        <v>390</v>
      </c>
    </row>
    <row r="7116" spans="19:23">
      <c r="S7116" s="27">
        <v>45077</v>
      </c>
      <c r="T7116" s="773" t="s">
        <v>132</v>
      </c>
      <c r="U7116" s="773">
        <v>698</v>
      </c>
      <c r="V7116" s="773">
        <v>2826</v>
      </c>
      <c r="W7116" s="773" t="s">
        <v>390</v>
      </c>
    </row>
    <row r="7117" spans="19:23">
      <c r="S7117" s="27">
        <v>45077</v>
      </c>
      <c r="T7117" s="773" t="s">
        <v>132</v>
      </c>
      <c r="U7117" s="773">
        <v>119</v>
      </c>
      <c r="V7117" s="773">
        <v>1</v>
      </c>
      <c r="W7117" s="773" t="s">
        <v>410</v>
      </c>
    </row>
    <row r="7118" spans="19:23">
      <c r="S7118" s="27">
        <v>45077</v>
      </c>
      <c r="T7118" s="773" t="s">
        <v>132</v>
      </c>
      <c r="U7118" s="773">
        <v>735</v>
      </c>
      <c r="V7118" s="773">
        <v>2730</v>
      </c>
      <c r="W7118" s="773" t="s">
        <v>390</v>
      </c>
    </row>
    <row r="7119" spans="19:23">
      <c r="S7119" s="27">
        <v>45077</v>
      </c>
      <c r="T7119" s="773" t="s">
        <v>132</v>
      </c>
      <c r="U7119" s="773">
        <v>141</v>
      </c>
      <c r="V7119" s="773">
        <v>1</v>
      </c>
      <c r="W7119" s="773" t="s">
        <v>410</v>
      </c>
    </row>
    <row r="7120" spans="19:23">
      <c r="S7120" s="27">
        <v>45077</v>
      </c>
      <c r="T7120" s="773" t="s">
        <v>132</v>
      </c>
      <c r="U7120" s="773">
        <v>740</v>
      </c>
      <c r="V7120" s="773">
        <v>741</v>
      </c>
      <c r="W7120" s="773" t="s">
        <v>390</v>
      </c>
    </row>
    <row r="7121" spans="19:23">
      <c r="S7121" s="27">
        <v>45077</v>
      </c>
      <c r="T7121" s="773" t="s">
        <v>132</v>
      </c>
      <c r="U7121" s="773">
        <v>292</v>
      </c>
      <c r="V7121" s="773">
        <v>4</v>
      </c>
      <c r="W7121" s="773" t="s">
        <v>410</v>
      </c>
    </row>
    <row r="7122" spans="19:23">
      <c r="S7122" s="27">
        <v>45077</v>
      </c>
      <c r="T7122" s="773" t="s">
        <v>132</v>
      </c>
      <c r="U7122" s="773">
        <v>812</v>
      </c>
      <c r="V7122" s="773">
        <v>3642</v>
      </c>
      <c r="W7122" s="773" t="s">
        <v>390</v>
      </c>
    </row>
    <row r="7123" spans="19:23">
      <c r="S7123" s="27">
        <v>45077</v>
      </c>
      <c r="T7123" s="773" t="s">
        <v>132</v>
      </c>
      <c r="U7123" s="773">
        <v>806</v>
      </c>
      <c r="V7123" s="773">
        <v>102</v>
      </c>
      <c r="W7123" s="773" t="s">
        <v>390</v>
      </c>
    </row>
    <row r="7124" spans="19:23">
      <c r="S7124" s="27">
        <v>45077</v>
      </c>
      <c r="T7124" s="773" t="s">
        <v>132</v>
      </c>
      <c r="U7124" s="773">
        <v>342</v>
      </c>
      <c r="V7124" s="773">
        <v>2706</v>
      </c>
      <c r="W7124" s="773" t="s">
        <v>390</v>
      </c>
    </row>
    <row r="7125" spans="19:23">
      <c r="S7125" s="27">
        <v>45077</v>
      </c>
      <c r="T7125" s="773" t="s">
        <v>132</v>
      </c>
      <c r="U7125" s="773">
        <v>704</v>
      </c>
      <c r="V7125" s="773">
        <v>3482</v>
      </c>
      <c r="W7125" s="773" t="s">
        <v>390</v>
      </c>
    </row>
    <row r="7126" spans="19:23">
      <c r="S7126" s="27">
        <v>45077</v>
      </c>
      <c r="T7126" s="773" t="s">
        <v>132</v>
      </c>
      <c r="U7126" s="773">
        <v>664</v>
      </c>
      <c r="V7126" s="773">
        <v>3574</v>
      </c>
      <c r="W7126" s="773" t="s">
        <v>390</v>
      </c>
    </row>
    <row r="7127" spans="19:23">
      <c r="S7127" s="27">
        <v>45077</v>
      </c>
      <c r="T7127" s="773" t="s">
        <v>132</v>
      </c>
      <c r="U7127" s="773">
        <v>666</v>
      </c>
      <c r="V7127" s="773">
        <v>1701</v>
      </c>
      <c r="W7127" s="773" t="s">
        <v>390</v>
      </c>
    </row>
    <row r="7128" spans="19:23">
      <c r="S7128" s="27">
        <v>45077</v>
      </c>
      <c r="T7128" s="773" t="s">
        <v>132</v>
      </c>
      <c r="U7128" s="773">
        <v>27</v>
      </c>
      <c r="V7128" s="773">
        <v>1</v>
      </c>
      <c r="W7128" s="773" t="s">
        <v>410</v>
      </c>
    </row>
    <row r="7129" spans="19:23">
      <c r="S7129" s="27">
        <v>45077</v>
      </c>
      <c r="T7129" s="773" t="s">
        <v>132</v>
      </c>
      <c r="U7129" s="773">
        <v>150</v>
      </c>
      <c r="V7129" s="773">
        <v>333</v>
      </c>
      <c r="W7129" s="773" t="s">
        <v>390</v>
      </c>
    </row>
    <row r="7130" spans="19:23">
      <c r="S7130" s="27">
        <v>45077</v>
      </c>
      <c r="T7130" s="773" t="s">
        <v>132</v>
      </c>
      <c r="U7130" s="773">
        <v>291</v>
      </c>
      <c r="V7130" s="773">
        <v>2</v>
      </c>
      <c r="W7130" s="773" t="s">
        <v>410</v>
      </c>
    </row>
    <row r="7131" spans="19:23">
      <c r="S7131" s="27">
        <v>45077</v>
      </c>
      <c r="T7131" s="773" t="s">
        <v>132</v>
      </c>
      <c r="U7131" s="773">
        <v>739</v>
      </c>
      <c r="V7131" s="773">
        <v>2203</v>
      </c>
      <c r="W7131" s="773" t="s">
        <v>390</v>
      </c>
    </row>
    <row r="7132" spans="19:23">
      <c r="S7132" s="27">
        <v>45077</v>
      </c>
      <c r="T7132" s="773" t="s">
        <v>132</v>
      </c>
      <c r="U7132" s="773">
        <v>133</v>
      </c>
      <c r="V7132" s="773">
        <v>4</v>
      </c>
      <c r="W7132" s="773" t="s">
        <v>410</v>
      </c>
    </row>
    <row r="7133" spans="19:23">
      <c r="S7133" s="27">
        <v>45077</v>
      </c>
      <c r="T7133" s="773" t="s">
        <v>132</v>
      </c>
      <c r="U7133" s="773">
        <v>790</v>
      </c>
      <c r="V7133" s="773">
        <v>677</v>
      </c>
      <c r="W7133" s="773" t="s">
        <v>390</v>
      </c>
    </row>
    <row r="7134" spans="19:23">
      <c r="S7134" s="27">
        <v>45077</v>
      </c>
      <c r="T7134" s="773" t="s">
        <v>132</v>
      </c>
      <c r="U7134" s="773">
        <v>658</v>
      </c>
      <c r="V7134" s="773">
        <v>6</v>
      </c>
      <c r="W7134" s="773" t="s">
        <v>410</v>
      </c>
    </row>
    <row r="7135" spans="19:23">
      <c r="S7135" s="27">
        <v>45077</v>
      </c>
      <c r="T7135" s="773" t="s">
        <v>132</v>
      </c>
      <c r="U7135" s="773">
        <v>327</v>
      </c>
      <c r="V7135" s="773">
        <v>3</v>
      </c>
      <c r="W7135" s="773" t="s">
        <v>410</v>
      </c>
    </row>
    <row r="7136" spans="19:23">
      <c r="S7136" s="27">
        <v>45077</v>
      </c>
      <c r="T7136" s="773" t="s">
        <v>132</v>
      </c>
      <c r="U7136" s="773">
        <v>750</v>
      </c>
      <c r="V7136" s="773">
        <v>184</v>
      </c>
      <c r="W7136" s="773" t="s">
        <v>390</v>
      </c>
    </row>
    <row r="7137" spans="19:23">
      <c r="S7137" s="27">
        <v>45077</v>
      </c>
      <c r="T7137" s="773" t="s">
        <v>132</v>
      </c>
      <c r="U7137" s="773">
        <v>315</v>
      </c>
      <c r="V7137" s="773">
        <v>2004</v>
      </c>
      <c r="W7137" s="773" t="s">
        <v>390</v>
      </c>
    </row>
    <row r="7138" spans="19:23">
      <c r="S7138" s="27">
        <v>45077</v>
      </c>
      <c r="T7138" s="773" t="s">
        <v>132</v>
      </c>
      <c r="U7138" s="773">
        <v>697</v>
      </c>
      <c r="V7138" s="773">
        <v>1480</v>
      </c>
      <c r="W7138" s="773" t="s">
        <v>390</v>
      </c>
    </row>
    <row r="7139" spans="19:23">
      <c r="S7139" s="27">
        <v>45077</v>
      </c>
      <c r="T7139" s="773" t="s">
        <v>132</v>
      </c>
      <c r="U7139" s="773">
        <v>93</v>
      </c>
      <c r="V7139" s="773">
        <v>1150</v>
      </c>
      <c r="W7139" s="773" t="s">
        <v>390</v>
      </c>
    </row>
    <row r="7140" spans="19:23">
      <c r="S7140" s="27">
        <v>45077</v>
      </c>
      <c r="T7140" s="773" t="s">
        <v>132</v>
      </c>
      <c r="U7140" s="773">
        <v>680</v>
      </c>
      <c r="V7140" s="773">
        <v>3139</v>
      </c>
      <c r="W7140" s="773" t="s">
        <v>390</v>
      </c>
    </row>
    <row r="7141" spans="19:23">
      <c r="S7141" s="27">
        <v>45077</v>
      </c>
      <c r="T7141" s="773" t="s">
        <v>132</v>
      </c>
      <c r="U7141" s="773">
        <v>672</v>
      </c>
      <c r="V7141" s="773">
        <v>2490</v>
      </c>
      <c r="W7141" s="773" t="s">
        <v>390</v>
      </c>
    </row>
    <row r="7142" spans="19:23">
      <c r="S7142" s="27">
        <v>45077</v>
      </c>
      <c r="T7142" s="773" t="s">
        <v>132</v>
      </c>
      <c r="U7142" s="773">
        <v>723</v>
      </c>
      <c r="V7142" s="773">
        <v>2239</v>
      </c>
      <c r="W7142" s="773" t="s">
        <v>390</v>
      </c>
    </row>
    <row r="7143" spans="19:23">
      <c r="S7143" s="27">
        <v>45077</v>
      </c>
      <c r="T7143" s="773" t="s">
        <v>132</v>
      </c>
      <c r="U7143" s="773">
        <v>650</v>
      </c>
      <c r="V7143" s="773">
        <v>37</v>
      </c>
      <c r="W7143" s="773" t="s">
        <v>410</v>
      </c>
    </row>
    <row r="7144" spans="19:23">
      <c r="S7144" s="27">
        <v>45077</v>
      </c>
      <c r="T7144" s="773" t="s">
        <v>132</v>
      </c>
      <c r="U7144" s="773">
        <v>295</v>
      </c>
      <c r="V7144" s="773">
        <v>2</v>
      </c>
      <c r="W7144" s="773" t="s">
        <v>410</v>
      </c>
    </row>
    <row r="7145" spans="19:23">
      <c r="S7145" s="27">
        <v>45077</v>
      </c>
      <c r="T7145" s="773" t="s">
        <v>132</v>
      </c>
      <c r="U7145" s="773">
        <v>120</v>
      </c>
      <c r="V7145" s="773">
        <v>1</v>
      </c>
      <c r="W7145" s="773" t="s">
        <v>410</v>
      </c>
    </row>
    <row r="7146" spans="19:23">
      <c r="S7146" s="27">
        <v>45077</v>
      </c>
      <c r="T7146" s="773" t="s">
        <v>132</v>
      </c>
      <c r="U7146" s="773">
        <v>59</v>
      </c>
      <c r="V7146" s="773">
        <v>2</v>
      </c>
      <c r="W7146" s="773" t="s">
        <v>410</v>
      </c>
    </row>
    <row r="7147" spans="19:23">
      <c r="S7147" s="27">
        <v>45077</v>
      </c>
      <c r="T7147" s="773" t="s">
        <v>132</v>
      </c>
      <c r="U7147" s="773">
        <v>675</v>
      </c>
      <c r="V7147" s="773">
        <v>52</v>
      </c>
      <c r="W7147" s="773" t="s">
        <v>410</v>
      </c>
    </row>
    <row r="7148" spans="19:23">
      <c r="S7148" s="27">
        <v>45077</v>
      </c>
      <c r="T7148" s="773" t="s">
        <v>132</v>
      </c>
      <c r="U7148" s="773">
        <v>671</v>
      </c>
      <c r="V7148" s="773">
        <v>2147</v>
      </c>
      <c r="W7148" s="773" t="s">
        <v>390</v>
      </c>
    </row>
    <row r="7149" spans="19:23">
      <c r="S7149" s="27">
        <v>45077</v>
      </c>
      <c r="T7149" s="773" t="s">
        <v>132</v>
      </c>
      <c r="U7149" s="773">
        <v>722</v>
      </c>
      <c r="V7149" s="773">
        <v>1</v>
      </c>
      <c r="W7149" s="773" t="s">
        <v>410</v>
      </c>
    </row>
    <row r="7150" spans="19:23">
      <c r="S7150" s="27">
        <v>45077</v>
      </c>
      <c r="T7150" s="773" t="s">
        <v>132</v>
      </c>
      <c r="U7150" s="773">
        <v>716</v>
      </c>
      <c r="V7150" s="773">
        <v>344</v>
      </c>
      <c r="W7150" s="773" t="s">
        <v>390</v>
      </c>
    </row>
    <row r="7151" spans="19:23">
      <c r="S7151" s="27">
        <v>45077</v>
      </c>
      <c r="T7151" s="773" t="s">
        <v>132</v>
      </c>
      <c r="U7151" s="773">
        <v>227</v>
      </c>
      <c r="V7151" s="773">
        <v>1</v>
      </c>
      <c r="W7151" s="773" t="s">
        <v>410</v>
      </c>
    </row>
    <row r="7152" spans="19:23">
      <c r="S7152" s="27">
        <v>45077</v>
      </c>
      <c r="T7152" s="773" t="s">
        <v>132</v>
      </c>
      <c r="U7152" s="773">
        <v>676</v>
      </c>
      <c r="V7152" s="773">
        <v>4</v>
      </c>
      <c r="W7152" s="773" t="s">
        <v>410</v>
      </c>
    </row>
    <row r="7153" spans="19:23">
      <c r="S7153" s="27">
        <v>45077</v>
      </c>
      <c r="T7153" s="773" t="s">
        <v>132</v>
      </c>
      <c r="U7153" s="773">
        <v>220</v>
      </c>
      <c r="V7153" s="773">
        <v>131</v>
      </c>
      <c r="W7153" s="773" t="s">
        <v>390</v>
      </c>
    </row>
    <row r="7154" spans="19:23">
      <c r="S7154" s="27">
        <v>45077</v>
      </c>
      <c r="T7154" s="773" t="s">
        <v>132</v>
      </c>
      <c r="U7154" s="773">
        <v>797</v>
      </c>
      <c r="V7154" s="773">
        <v>3297</v>
      </c>
      <c r="W7154" s="773" t="s">
        <v>390</v>
      </c>
    </row>
    <row r="7155" spans="19:23">
      <c r="S7155" s="27">
        <v>45077</v>
      </c>
      <c r="T7155" s="773" t="s">
        <v>132</v>
      </c>
      <c r="U7155" s="773">
        <v>171</v>
      </c>
      <c r="V7155" s="773">
        <v>59</v>
      </c>
      <c r="W7155" s="773" t="s">
        <v>410</v>
      </c>
    </row>
    <row r="7156" spans="19:23">
      <c r="S7156" s="27">
        <v>45077</v>
      </c>
      <c r="T7156" s="773" t="s">
        <v>132</v>
      </c>
      <c r="U7156" s="773">
        <v>215</v>
      </c>
      <c r="V7156" s="773">
        <v>659</v>
      </c>
      <c r="W7156" s="773" t="s">
        <v>390</v>
      </c>
    </row>
    <row r="7157" spans="19:23">
      <c r="S7157" s="27">
        <v>45077</v>
      </c>
      <c r="T7157" s="773" t="s">
        <v>132</v>
      </c>
      <c r="U7157" s="773">
        <v>35</v>
      </c>
      <c r="V7157" s="773">
        <v>879</v>
      </c>
      <c r="W7157" s="773" t="s">
        <v>390</v>
      </c>
    </row>
    <row r="7158" spans="19:23">
      <c r="S7158" s="27">
        <v>45077</v>
      </c>
      <c r="T7158" s="773" t="s">
        <v>132</v>
      </c>
      <c r="U7158" s="773">
        <v>157</v>
      </c>
      <c r="V7158" s="773">
        <v>11</v>
      </c>
      <c r="W7158" s="773" t="s">
        <v>410</v>
      </c>
    </row>
    <row r="7159" spans="19:23">
      <c r="S7159" s="27">
        <v>45077</v>
      </c>
      <c r="T7159" s="773" t="s">
        <v>132</v>
      </c>
      <c r="U7159" s="773">
        <v>191</v>
      </c>
      <c r="V7159" s="773">
        <v>358</v>
      </c>
      <c r="W7159" s="773" t="s">
        <v>390</v>
      </c>
    </row>
    <row r="7160" spans="19:23">
      <c r="S7160" s="27">
        <v>45077</v>
      </c>
      <c r="T7160" s="773" t="s">
        <v>132</v>
      </c>
      <c r="U7160" s="773">
        <v>94</v>
      </c>
      <c r="V7160" s="773">
        <v>611</v>
      </c>
      <c r="W7160" s="773" t="s">
        <v>390</v>
      </c>
    </row>
    <row r="7161" spans="19:23">
      <c r="S7161" s="27">
        <v>45077</v>
      </c>
      <c r="T7161" s="773" t="s">
        <v>132</v>
      </c>
      <c r="U7161" s="773">
        <v>802</v>
      </c>
      <c r="V7161" s="773">
        <v>10</v>
      </c>
      <c r="W7161" s="773" t="s">
        <v>410</v>
      </c>
    </row>
    <row r="7162" spans="19:23">
      <c r="S7162" s="27">
        <v>45077</v>
      </c>
      <c r="T7162" s="773" t="s">
        <v>132</v>
      </c>
      <c r="U7162" s="773">
        <v>96</v>
      </c>
      <c r="V7162" s="773">
        <v>3</v>
      </c>
      <c r="W7162" s="773" t="s">
        <v>410</v>
      </c>
    </row>
    <row r="7163" spans="19:23">
      <c r="S7163" s="27">
        <v>45077</v>
      </c>
      <c r="T7163" s="773" t="s">
        <v>132</v>
      </c>
      <c r="U7163" s="773">
        <v>528</v>
      </c>
      <c r="V7163" s="773">
        <v>81</v>
      </c>
      <c r="W7163" s="773" t="s">
        <v>410</v>
      </c>
    </row>
    <row r="7164" spans="19:23">
      <c r="S7164" s="27">
        <v>45077</v>
      </c>
      <c r="T7164" s="773" t="s">
        <v>132</v>
      </c>
      <c r="U7164" s="773">
        <v>158</v>
      </c>
      <c r="V7164" s="773">
        <v>166</v>
      </c>
      <c r="W7164" s="773" t="s">
        <v>390</v>
      </c>
    </row>
    <row r="7165" spans="19:23">
      <c r="S7165" s="27">
        <v>45077</v>
      </c>
      <c r="T7165" s="773" t="s">
        <v>132</v>
      </c>
      <c r="U7165" s="773">
        <v>324</v>
      </c>
      <c r="V7165" s="773">
        <v>3294</v>
      </c>
      <c r="W7165" s="773" t="s">
        <v>390</v>
      </c>
    </row>
    <row r="7166" spans="19:23">
      <c r="S7166" s="27">
        <v>45077</v>
      </c>
      <c r="T7166" s="773" t="s">
        <v>132</v>
      </c>
      <c r="U7166" s="773">
        <v>290</v>
      </c>
      <c r="V7166" s="773">
        <v>527</v>
      </c>
      <c r="W7166" s="773" t="s">
        <v>390</v>
      </c>
    </row>
    <row r="7167" spans="19:23">
      <c r="S7167" s="27">
        <v>45077</v>
      </c>
      <c r="T7167" s="773" t="s">
        <v>132</v>
      </c>
      <c r="U7167" s="773">
        <v>109</v>
      </c>
      <c r="V7167" s="773">
        <v>1</v>
      </c>
      <c r="W7167" s="773" t="s">
        <v>410</v>
      </c>
    </row>
    <row r="7168" spans="19:23">
      <c r="S7168" s="27">
        <v>45077</v>
      </c>
      <c r="T7168" s="773" t="s">
        <v>132</v>
      </c>
      <c r="U7168" s="773">
        <v>724</v>
      </c>
      <c r="V7168" s="773">
        <v>2516</v>
      </c>
      <c r="W7168" s="773" t="s">
        <v>390</v>
      </c>
    </row>
    <row r="7169" spans="19:23">
      <c r="S7169" s="27">
        <v>45077</v>
      </c>
      <c r="T7169" s="773" t="s">
        <v>132</v>
      </c>
      <c r="U7169" s="773">
        <v>44</v>
      </c>
      <c r="V7169" s="773">
        <v>2235</v>
      </c>
      <c r="W7169" s="773" t="s">
        <v>390</v>
      </c>
    </row>
    <row r="7170" spans="19:23">
      <c r="S7170" s="27">
        <v>45077</v>
      </c>
      <c r="T7170" s="773" t="s">
        <v>132</v>
      </c>
      <c r="U7170" s="773">
        <v>793</v>
      </c>
      <c r="V7170" s="773">
        <v>101</v>
      </c>
      <c r="W7170" s="773" t="s">
        <v>390</v>
      </c>
    </row>
    <row r="7171" spans="19:23">
      <c r="S7171" s="27">
        <v>45077</v>
      </c>
      <c r="T7171" s="773" t="s">
        <v>132</v>
      </c>
      <c r="U7171" s="773">
        <v>294</v>
      </c>
      <c r="V7171" s="773">
        <v>3</v>
      </c>
      <c r="W7171" s="773" t="s">
        <v>410</v>
      </c>
    </row>
    <row r="7172" spans="19:23">
      <c r="S7172" s="27">
        <v>45077</v>
      </c>
      <c r="T7172" s="773" t="s">
        <v>132</v>
      </c>
      <c r="U7172" s="773">
        <v>709</v>
      </c>
      <c r="V7172" s="773">
        <v>2503</v>
      </c>
      <c r="W7172" s="773" t="s">
        <v>390</v>
      </c>
    </row>
    <row r="7173" spans="19:23">
      <c r="S7173" s="27">
        <v>45077</v>
      </c>
      <c r="T7173" s="773" t="s">
        <v>132</v>
      </c>
      <c r="U7173" s="773">
        <v>741</v>
      </c>
      <c r="V7173" s="773">
        <v>2887</v>
      </c>
      <c r="W7173" s="773" t="s">
        <v>390</v>
      </c>
    </row>
    <row r="7174" spans="19:23">
      <c r="S7174" s="27">
        <v>45077</v>
      </c>
      <c r="T7174" s="773" t="s">
        <v>132</v>
      </c>
      <c r="U7174" s="773">
        <v>320</v>
      </c>
      <c r="V7174" s="773">
        <v>1720</v>
      </c>
      <c r="W7174" s="773" t="s">
        <v>390</v>
      </c>
    </row>
    <row r="7175" spans="19:23">
      <c r="S7175" s="27">
        <v>45077</v>
      </c>
      <c r="T7175" s="773" t="s">
        <v>132</v>
      </c>
      <c r="U7175" s="773">
        <v>693</v>
      </c>
      <c r="V7175" s="773">
        <v>1</v>
      </c>
      <c r="W7175" s="773" t="s">
        <v>410</v>
      </c>
    </row>
    <row r="7176" spans="19:23">
      <c r="S7176" s="27">
        <v>45077</v>
      </c>
      <c r="T7176" s="773" t="s">
        <v>132</v>
      </c>
      <c r="U7176" s="773">
        <v>252</v>
      </c>
      <c r="V7176" s="773">
        <v>199</v>
      </c>
      <c r="W7176" s="773" t="s">
        <v>390</v>
      </c>
    </row>
    <row r="7177" spans="19:23">
      <c r="S7177" s="27">
        <v>45077</v>
      </c>
      <c r="T7177" s="773" t="s">
        <v>132</v>
      </c>
      <c r="U7177" s="773">
        <v>728</v>
      </c>
      <c r="V7177" s="773">
        <v>1408</v>
      </c>
      <c r="W7177" s="773" t="s">
        <v>390</v>
      </c>
    </row>
    <row r="7178" spans="19:23">
      <c r="S7178" s="27">
        <v>45077</v>
      </c>
      <c r="T7178" s="773" t="s">
        <v>132</v>
      </c>
      <c r="U7178" s="773">
        <v>48</v>
      </c>
      <c r="V7178" s="773">
        <v>180</v>
      </c>
      <c r="W7178" s="773" t="s">
        <v>390</v>
      </c>
    </row>
    <row r="7179" spans="19:23">
      <c r="S7179" s="27">
        <v>45077</v>
      </c>
      <c r="T7179" s="773" t="s">
        <v>132</v>
      </c>
      <c r="U7179" s="773">
        <v>748</v>
      </c>
      <c r="V7179" s="773">
        <v>212</v>
      </c>
      <c r="W7179" s="773" t="s">
        <v>390</v>
      </c>
    </row>
    <row r="7180" spans="19:23">
      <c r="S7180" s="27">
        <v>45077</v>
      </c>
      <c r="T7180" s="773" t="s">
        <v>132</v>
      </c>
      <c r="U7180" s="773">
        <v>103</v>
      </c>
      <c r="V7180" s="773">
        <v>1746</v>
      </c>
      <c r="W7180" s="773" t="s">
        <v>390</v>
      </c>
    </row>
    <row r="7181" spans="19:23">
      <c r="S7181" s="27">
        <v>45077</v>
      </c>
      <c r="T7181" s="773" t="s">
        <v>132</v>
      </c>
      <c r="U7181" s="773">
        <v>13</v>
      </c>
      <c r="V7181" s="773">
        <v>2594</v>
      </c>
      <c r="W7181" s="773" t="s">
        <v>390</v>
      </c>
    </row>
    <row r="7182" spans="19:23">
      <c r="S7182" s="27">
        <v>45077</v>
      </c>
      <c r="T7182" s="773" t="s">
        <v>132</v>
      </c>
      <c r="U7182" s="773">
        <v>11</v>
      </c>
      <c r="V7182" s="773">
        <v>27</v>
      </c>
      <c r="W7182" s="773" t="s">
        <v>410</v>
      </c>
    </row>
    <row r="7183" spans="19:23">
      <c r="S7183" s="27">
        <v>45077</v>
      </c>
      <c r="T7183" s="773" t="s">
        <v>132</v>
      </c>
      <c r="U7183" s="773">
        <v>304</v>
      </c>
      <c r="V7183" s="773">
        <v>133</v>
      </c>
      <c r="W7183" s="773" t="s">
        <v>390</v>
      </c>
    </row>
    <row r="7184" spans="19:23">
      <c r="S7184" s="27">
        <v>45077</v>
      </c>
      <c r="T7184" s="773" t="s">
        <v>132</v>
      </c>
      <c r="U7184" s="773">
        <v>148</v>
      </c>
      <c r="V7184" s="773">
        <v>5</v>
      </c>
      <c r="W7184" s="773" t="s">
        <v>410</v>
      </c>
    </row>
    <row r="7185" spans="19:23">
      <c r="S7185" s="27">
        <v>45077</v>
      </c>
      <c r="T7185" s="773" t="s">
        <v>132</v>
      </c>
      <c r="U7185" s="773">
        <v>710</v>
      </c>
      <c r="V7185" s="773">
        <v>1029</v>
      </c>
      <c r="W7185" s="773" t="s">
        <v>390</v>
      </c>
    </row>
    <row r="7186" spans="19:23">
      <c r="S7186" s="27">
        <v>45077</v>
      </c>
      <c r="T7186" s="773" t="s">
        <v>132</v>
      </c>
      <c r="U7186" s="773">
        <v>621</v>
      </c>
      <c r="V7186" s="773">
        <v>2540</v>
      </c>
      <c r="W7186" s="773" t="s">
        <v>390</v>
      </c>
    </row>
    <row r="7187" spans="19:23">
      <c r="S7187" s="27">
        <v>45077</v>
      </c>
      <c r="T7187" s="773" t="s">
        <v>132</v>
      </c>
      <c r="U7187" s="773">
        <v>732</v>
      </c>
      <c r="V7187" s="773">
        <v>3591</v>
      </c>
      <c r="W7187" s="773" t="s">
        <v>390</v>
      </c>
    </row>
    <row r="7188" spans="19:23">
      <c r="S7188" s="27">
        <v>45077</v>
      </c>
      <c r="T7188" s="773" t="s">
        <v>132</v>
      </c>
      <c r="U7188" s="773">
        <v>53</v>
      </c>
      <c r="V7188" s="773">
        <v>4</v>
      </c>
      <c r="W7188" s="773" t="s">
        <v>410</v>
      </c>
    </row>
    <row r="7189" spans="19:23">
      <c r="S7189" s="27">
        <v>45077</v>
      </c>
      <c r="T7189" s="773" t="s">
        <v>132</v>
      </c>
      <c r="U7189" s="773">
        <v>665</v>
      </c>
      <c r="V7189" s="773">
        <v>17</v>
      </c>
      <c r="W7189" s="773" t="s">
        <v>410</v>
      </c>
    </row>
    <row r="7190" spans="19:23">
      <c r="S7190" s="27">
        <v>45077</v>
      </c>
      <c r="T7190" s="773" t="s">
        <v>132</v>
      </c>
      <c r="U7190" s="773">
        <v>212</v>
      </c>
      <c r="V7190" s="773">
        <v>3499</v>
      </c>
      <c r="W7190" s="773" t="s">
        <v>390</v>
      </c>
    </row>
    <row r="7191" spans="19:23">
      <c r="S7191" s="27">
        <v>45077</v>
      </c>
      <c r="T7191" s="773" t="s">
        <v>132</v>
      </c>
      <c r="U7191" s="773">
        <v>316</v>
      </c>
      <c r="V7191" s="773">
        <v>7</v>
      </c>
      <c r="W7191" s="773" t="s">
        <v>410</v>
      </c>
    </row>
    <row r="7192" spans="19:23">
      <c r="S7192" s="27">
        <v>45077</v>
      </c>
      <c r="T7192" s="773" t="s">
        <v>132</v>
      </c>
      <c r="U7192" s="773">
        <v>667</v>
      </c>
      <c r="V7192" s="773">
        <v>2</v>
      </c>
      <c r="W7192" s="773" t="s">
        <v>410</v>
      </c>
    </row>
    <row r="7193" spans="19:23">
      <c r="S7193" s="27">
        <v>45077</v>
      </c>
      <c r="T7193" s="773" t="s">
        <v>132</v>
      </c>
      <c r="U7193" s="773">
        <v>265</v>
      </c>
      <c r="V7193" s="773">
        <v>18</v>
      </c>
      <c r="W7193" s="773" t="s">
        <v>410</v>
      </c>
    </row>
    <row r="7194" spans="19:23">
      <c r="S7194" s="27">
        <v>45077</v>
      </c>
      <c r="T7194" s="773" t="s">
        <v>132</v>
      </c>
      <c r="U7194" s="773">
        <v>73</v>
      </c>
      <c r="V7194" s="773">
        <v>3</v>
      </c>
      <c r="W7194" s="773" t="s">
        <v>410</v>
      </c>
    </row>
    <row r="7195" spans="19:23">
      <c r="S7195" s="27">
        <v>45077</v>
      </c>
      <c r="T7195" s="773" t="s">
        <v>132</v>
      </c>
      <c r="U7195" s="773">
        <v>46</v>
      </c>
      <c r="V7195" s="773">
        <v>1</v>
      </c>
      <c r="W7195" s="773" t="s">
        <v>410</v>
      </c>
    </row>
    <row r="7196" spans="19:23">
      <c r="S7196" s="27">
        <v>45077</v>
      </c>
      <c r="T7196" s="773" t="s">
        <v>132</v>
      </c>
      <c r="U7196" s="773">
        <v>102</v>
      </c>
      <c r="V7196" s="773">
        <v>2</v>
      </c>
      <c r="W7196" s="773" t="s">
        <v>410</v>
      </c>
    </row>
    <row r="7197" spans="19:23">
      <c r="S7197" s="27">
        <v>45077</v>
      </c>
      <c r="T7197" s="773" t="s">
        <v>132</v>
      </c>
      <c r="U7197" s="773">
        <v>203</v>
      </c>
      <c r="V7197" s="773">
        <v>2523</v>
      </c>
      <c r="W7197" s="773" t="s">
        <v>390</v>
      </c>
    </row>
    <row r="7198" spans="19:23">
      <c r="S7198" s="27">
        <v>45077</v>
      </c>
      <c r="T7198" s="773" t="s">
        <v>132</v>
      </c>
      <c r="U7198" s="773">
        <v>311</v>
      </c>
      <c r="V7198" s="773">
        <v>2573</v>
      </c>
      <c r="W7198" s="773" t="s">
        <v>390</v>
      </c>
    </row>
    <row r="7199" spans="19:23">
      <c r="S7199" s="27">
        <v>45077</v>
      </c>
      <c r="T7199" s="773" t="s">
        <v>132</v>
      </c>
      <c r="U7199" s="773">
        <v>255</v>
      </c>
      <c r="V7199" s="773">
        <v>554</v>
      </c>
      <c r="W7199" s="773" t="s">
        <v>390</v>
      </c>
    </row>
    <row r="7200" spans="19:23">
      <c r="S7200" s="27">
        <v>45077</v>
      </c>
      <c r="T7200" s="773" t="s">
        <v>132</v>
      </c>
      <c r="U7200" s="773">
        <v>84</v>
      </c>
      <c r="V7200" s="773">
        <v>2512</v>
      </c>
      <c r="W7200" s="773" t="s">
        <v>390</v>
      </c>
    </row>
    <row r="7201" spans="19:23">
      <c r="S7201" s="27">
        <v>45077</v>
      </c>
      <c r="T7201" s="773" t="s">
        <v>132</v>
      </c>
      <c r="U7201" s="773">
        <v>194</v>
      </c>
      <c r="V7201" s="773">
        <v>188</v>
      </c>
      <c r="W7201" s="773" t="s">
        <v>390</v>
      </c>
    </row>
    <row r="7202" spans="19:23">
      <c r="S7202" s="27">
        <v>45077</v>
      </c>
      <c r="T7202" s="773" t="s">
        <v>132</v>
      </c>
      <c r="U7202" s="773">
        <v>218</v>
      </c>
      <c r="V7202" s="773">
        <v>179</v>
      </c>
      <c r="W7202" s="773" t="s">
        <v>390</v>
      </c>
    </row>
    <row r="7203" spans="19:23">
      <c r="S7203" s="27">
        <v>45077</v>
      </c>
      <c r="T7203" s="773" t="s">
        <v>132</v>
      </c>
      <c r="U7203" s="773">
        <v>108</v>
      </c>
      <c r="V7203" s="773">
        <v>10</v>
      </c>
      <c r="W7203" s="773" t="s">
        <v>410</v>
      </c>
    </row>
    <row r="7204" spans="19:23">
      <c r="S7204" s="27">
        <v>45077</v>
      </c>
      <c r="T7204" s="773" t="s">
        <v>132</v>
      </c>
      <c r="U7204" s="773">
        <v>305</v>
      </c>
      <c r="V7204" s="773">
        <v>5012</v>
      </c>
      <c r="W7204" s="773" t="s">
        <v>390</v>
      </c>
    </row>
    <row r="7205" spans="19:23">
      <c r="S7205" s="27">
        <v>45077</v>
      </c>
      <c r="T7205" s="773" t="s">
        <v>132</v>
      </c>
      <c r="U7205" s="773">
        <v>654</v>
      </c>
      <c r="V7205" s="773">
        <v>954</v>
      </c>
      <c r="W7205" s="773" t="s">
        <v>390</v>
      </c>
    </row>
    <row r="7206" spans="19:23">
      <c r="S7206" s="27">
        <v>45077</v>
      </c>
      <c r="T7206" s="773" t="s">
        <v>132</v>
      </c>
      <c r="U7206" s="773">
        <v>200</v>
      </c>
      <c r="V7206" s="773">
        <v>6</v>
      </c>
      <c r="W7206" s="773" t="s">
        <v>410</v>
      </c>
    </row>
    <row r="7207" spans="19:23">
      <c r="S7207" s="27">
        <v>45077</v>
      </c>
      <c r="T7207" s="773" t="s">
        <v>132</v>
      </c>
      <c r="U7207" s="773">
        <v>523</v>
      </c>
      <c r="V7207" s="773">
        <v>1</v>
      </c>
      <c r="W7207" s="773" t="s">
        <v>410</v>
      </c>
    </row>
    <row r="7208" spans="19:23">
      <c r="S7208" s="27">
        <v>45077</v>
      </c>
      <c r="T7208" s="773" t="s">
        <v>132</v>
      </c>
      <c r="U7208" s="773">
        <v>696</v>
      </c>
      <c r="V7208" s="773">
        <v>81</v>
      </c>
      <c r="W7208" s="773" t="s">
        <v>410</v>
      </c>
    </row>
    <row r="7209" spans="19:23">
      <c r="S7209" s="27">
        <v>45077</v>
      </c>
      <c r="T7209" s="773" t="s">
        <v>132</v>
      </c>
      <c r="U7209" s="773">
        <v>326</v>
      </c>
      <c r="V7209" s="773">
        <v>2785</v>
      </c>
      <c r="W7209" s="773" t="s">
        <v>390</v>
      </c>
    </row>
    <row r="7210" spans="19:23">
      <c r="S7210" s="27">
        <v>45077</v>
      </c>
      <c r="T7210" s="773" t="s">
        <v>132</v>
      </c>
      <c r="U7210" s="773">
        <v>246</v>
      </c>
      <c r="V7210" s="773">
        <v>8</v>
      </c>
      <c r="W7210" s="773" t="s">
        <v>410</v>
      </c>
    </row>
    <row r="7211" spans="19:23">
      <c r="S7211" s="27">
        <v>45077</v>
      </c>
      <c r="T7211" s="773" t="s">
        <v>132</v>
      </c>
      <c r="U7211" s="773">
        <v>798</v>
      </c>
      <c r="V7211" s="773">
        <v>68</v>
      </c>
      <c r="W7211" s="773" t="s">
        <v>410</v>
      </c>
    </row>
    <row r="7212" spans="19:23">
      <c r="S7212" s="27">
        <v>45077</v>
      </c>
      <c r="T7212" s="773" t="s">
        <v>132</v>
      </c>
      <c r="U7212" s="773">
        <v>116</v>
      </c>
      <c r="V7212" s="773">
        <v>1</v>
      </c>
      <c r="W7212" s="773" t="s">
        <v>410</v>
      </c>
    </row>
    <row r="7213" spans="19:23">
      <c r="S7213" s="27">
        <v>45077</v>
      </c>
      <c r="T7213" s="773" t="s">
        <v>132</v>
      </c>
      <c r="U7213" s="773">
        <v>83</v>
      </c>
      <c r="V7213" s="773">
        <v>2511</v>
      </c>
      <c r="W7213" s="773" t="s">
        <v>390</v>
      </c>
    </row>
    <row r="7214" spans="19:23">
      <c r="S7214" s="27">
        <v>45077</v>
      </c>
      <c r="T7214" s="773" t="s">
        <v>132</v>
      </c>
      <c r="U7214" s="773">
        <v>195</v>
      </c>
      <c r="V7214" s="773">
        <v>1</v>
      </c>
      <c r="W7214" s="773" t="s">
        <v>410</v>
      </c>
    </row>
    <row r="7215" spans="19:23">
      <c r="S7215" s="27">
        <v>45077</v>
      </c>
      <c r="T7215" s="773" t="s">
        <v>132</v>
      </c>
      <c r="U7215" s="773">
        <v>303</v>
      </c>
      <c r="V7215" s="773">
        <v>4</v>
      </c>
      <c r="W7215" s="773" t="s">
        <v>410</v>
      </c>
    </row>
    <row r="7216" spans="19:23">
      <c r="S7216" s="27">
        <v>45077</v>
      </c>
      <c r="T7216" s="773" t="s">
        <v>132</v>
      </c>
      <c r="U7216" s="773">
        <v>183</v>
      </c>
      <c r="V7216" s="773">
        <v>588</v>
      </c>
      <c r="W7216" s="773" t="s">
        <v>390</v>
      </c>
    </row>
    <row r="7217" spans="19:23">
      <c r="S7217" s="27">
        <v>45077</v>
      </c>
      <c r="T7217" s="773" t="s">
        <v>132</v>
      </c>
      <c r="U7217" s="773">
        <v>674</v>
      </c>
      <c r="V7217" s="773">
        <v>3573</v>
      </c>
      <c r="W7217" s="773" t="s">
        <v>390</v>
      </c>
    </row>
    <row r="7218" spans="19:23">
      <c r="S7218" s="27">
        <v>45077</v>
      </c>
      <c r="T7218" s="773" t="s">
        <v>132</v>
      </c>
      <c r="U7218" s="773">
        <v>308</v>
      </c>
      <c r="V7218" s="773">
        <v>2370</v>
      </c>
      <c r="W7218" s="773" t="s">
        <v>390</v>
      </c>
    </row>
    <row r="7219" spans="19:23">
      <c r="S7219" s="27">
        <v>45077</v>
      </c>
      <c r="T7219" s="773" t="s">
        <v>132</v>
      </c>
      <c r="U7219" s="773">
        <v>81</v>
      </c>
      <c r="V7219" s="773">
        <v>9</v>
      </c>
      <c r="W7219" s="773" t="s">
        <v>410</v>
      </c>
    </row>
    <row r="7220" spans="19:23">
      <c r="S7220" s="27">
        <v>45077</v>
      </c>
      <c r="T7220" s="773" t="s">
        <v>132</v>
      </c>
      <c r="U7220" s="773">
        <v>130</v>
      </c>
      <c r="V7220" s="773">
        <v>2</v>
      </c>
      <c r="W7220" s="773" t="s">
        <v>410</v>
      </c>
    </row>
    <row r="7221" spans="19:23">
      <c r="S7221" s="27">
        <v>45077</v>
      </c>
      <c r="T7221" s="773" t="s">
        <v>132</v>
      </c>
      <c r="U7221" s="773">
        <v>64</v>
      </c>
      <c r="V7221" s="773">
        <v>1</v>
      </c>
      <c r="W7221" s="773" t="s">
        <v>410</v>
      </c>
    </row>
    <row r="7222" spans="19:23">
      <c r="S7222" s="27">
        <v>45077</v>
      </c>
      <c r="T7222" s="773" t="s">
        <v>132</v>
      </c>
      <c r="U7222" s="773">
        <v>729</v>
      </c>
      <c r="V7222" s="773">
        <v>127</v>
      </c>
      <c r="W7222" s="773" t="s">
        <v>390</v>
      </c>
    </row>
    <row r="7223" spans="19:23">
      <c r="S7223" s="27">
        <v>45077</v>
      </c>
      <c r="T7223" s="773" t="s">
        <v>132</v>
      </c>
      <c r="U7223" s="773">
        <v>159</v>
      </c>
      <c r="V7223" s="773">
        <v>13</v>
      </c>
      <c r="W7223" s="773" t="s">
        <v>410</v>
      </c>
    </row>
    <row r="7224" spans="19:23">
      <c r="S7224" s="27">
        <v>45077</v>
      </c>
      <c r="T7224" s="773" t="s">
        <v>132</v>
      </c>
      <c r="U7224" s="773">
        <v>726</v>
      </c>
      <c r="V7224" s="773">
        <v>119</v>
      </c>
      <c r="W7224" s="773" t="s">
        <v>390</v>
      </c>
    </row>
    <row r="7225" spans="19:23">
      <c r="S7225" s="27">
        <v>45077</v>
      </c>
      <c r="T7225" s="773" t="s">
        <v>132</v>
      </c>
      <c r="U7225" s="773">
        <v>247</v>
      </c>
      <c r="V7225" s="773">
        <v>2502</v>
      </c>
      <c r="W7225" s="773" t="s">
        <v>390</v>
      </c>
    </row>
    <row r="7226" spans="19:23">
      <c r="S7226" s="27">
        <v>45077</v>
      </c>
      <c r="T7226" s="773" t="s">
        <v>132</v>
      </c>
      <c r="U7226" s="773">
        <v>58</v>
      </c>
      <c r="V7226" s="773">
        <v>1</v>
      </c>
      <c r="W7226" s="773" t="s">
        <v>410</v>
      </c>
    </row>
    <row r="7227" spans="19:23">
      <c r="S7227" s="27">
        <v>45077</v>
      </c>
      <c r="T7227" s="773" t="s">
        <v>132</v>
      </c>
      <c r="U7227" s="773">
        <v>720</v>
      </c>
      <c r="V7227" s="773">
        <v>3000</v>
      </c>
      <c r="W7227" s="773" t="s">
        <v>390</v>
      </c>
    </row>
    <row r="7228" spans="19:23">
      <c r="S7228" s="27">
        <v>45077</v>
      </c>
      <c r="T7228" s="773" t="s">
        <v>132</v>
      </c>
      <c r="U7228" s="773">
        <v>241</v>
      </c>
      <c r="V7228" s="773">
        <v>12</v>
      </c>
      <c r="W7228" s="773" t="s">
        <v>410</v>
      </c>
    </row>
    <row r="7229" spans="19:23">
      <c r="S7229" s="27">
        <v>45077</v>
      </c>
      <c r="T7229" s="773" t="s">
        <v>132</v>
      </c>
      <c r="U7229" s="773">
        <v>92</v>
      </c>
      <c r="V7229" s="773">
        <v>7</v>
      </c>
      <c r="W7229" s="773" t="s">
        <v>410</v>
      </c>
    </row>
    <row r="7230" spans="19:23">
      <c r="S7230" s="27">
        <v>45077</v>
      </c>
      <c r="T7230" s="773" t="s">
        <v>132</v>
      </c>
      <c r="U7230" s="773">
        <v>678</v>
      </c>
      <c r="V7230" s="773">
        <v>183</v>
      </c>
      <c r="W7230" s="773" t="s">
        <v>390</v>
      </c>
    </row>
    <row r="7231" spans="19:23">
      <c r="S7231" s="27">
        <v>45077</v>
      </c>
      <c r="T7231" s="773" t="s">
        <v>132</v>
      </c>
      <c r="U7231" s="773">
        <v>245</v>
      </c>
      <c r="V7231" s="773">
        <v>3163</v>
      </c>
      <c r="W7231" s="773" t="s">
        <v>390</v>
      </c>
    </row>
    <row r="7232" spans="19:23">
      <c r="S7232" s="27">
        <v>45077</v>
      </c>
      <c r="T7232" s="773" t="s">
        <v>132</v>
      </c>
      <c r="U7232" s="773">
        <v>791</v>
      </c>
      <c r="V7232" s="773">
        <v>3209</v>
      </c>
      <c r="W7232" s="773" t="s">
        <v>390</v>
      </c>
    </row>
    <row r="7233" spans="19:23">
      <c r="S7233" s="27">
        <v>45077</v>
      </c>
      <c r="T7233" s="773" t="s">
        <v>132</v>
      </c>
      <c r="U7233" s="773">
        <v>792</v>
      </c>
      <c r="V7233" s="773">
        <v>682</v>
      </c>
      <c r="W7233" s="773" t="s">
        <v>390</v>
      </c>
    </row>
    <row r="7234" spans="19:23">
      <c r="S7234" s="27">
        <v>45077</v>
      </c>
      <c r="T7234" s="773" t="s">
        <v>132</v>
      </c>
      <c r="U7234" s="773">
        <v>306</v>
      </c>
      <c r="V7234" s="773">
        <v>2454</v>
      </c>
      <c r="W7234" s="773" t="s">
        <v>390</v>
      </c>
    </row>
    <row r="7235" spans="19:23">
      <c r="S7235" s="27">
        <v>45077</v>
      </c>
      <c r="T7235" s="773" t="s">
        <v>132</v>
      </c>
      <c r="U7235" s="773">
        <v>283</v>
      </c>
      <c r="V7235" s="773">
        <v>1</v>
      </c>
      <c r="W7235" s="773" t="s">
        <v>410</v>
      </c>
    </row>
    <row r="7236" spans="19:23">
      <c r="S7236" s="27">
        <v>45077</v>
      </c>
      <c r="T7236" s="773" t="s">
        <v>132</v>
      </c>
      <c r="U7236" s="773">
        <v>78</v>
      </c>
      <c r="V7236" s="773">
        <v>10</v>
      </c>
      <c r="W7236" s="773" t="s">
        <v>410</v>
      </c>
    </row>
    <row r="7237" spans="19:23">
      <c r="S7237" s="27">
        <v>45077</v>
      </c>
      <c r="T7237" s="773" t="s">
        <v>132</v>
      </c>
      <c r="U7237" s="773">
        <v>801</v>
      </c>
      <c r="V7237" s="773">
        <v>392</v>
      </c>
      <c r="W7237" s="773" t="s">
        <v>390</v>
      </c>
    </row>
    <row r="7238" spans="19:23">
      <c r="S7238" s="27">
        <v>45077</v>
      </c>
      <c r="T7238" s="773" t="s">
        <v>132</v>
      </c>
      <c r="U7238" s="773">
        <v>101</v>
      </c>
      <c r="V7238" s="773">
        <v>281</v>
      </c>
      <c r="W7238" s="773" t="s">
        <v>390</v>
      </c>
    </row>
    <row r="7239" spans="19:23">
      <c r="S7239" s="27">
        <v>45077</v>
      </c>
      <c r="T7239" s="773" t="s">
        <v>132</v>
      </c>
      <c r="U7239" s="773">
        <v>297</v>
      </c>
      <c r="V7239" s="773">
        <v>1582</v>
      </c>
      <c r="W7239" s="773" t="s">
        <v>390</v>
      </c>
    </row>
    <row r="7240" spans="19:23">
      <c r="S7240" s="27">
        <v>45077</v>
      </c>
      <c r="T7240" s="773" t="s">
        <v>132</v>
      </c>
      <c r="U7240" s="773">
        <v>243</v>
      </c>
      <c r="V7240" s="773">
        <v>330</v>
      </c>
      <c r="W7240" s="773" t="s">
        <v>390</v>
      </c>
    </row>
    <row r="7241" spans="19:23">
      <c r="S7241" s="27">
        <v>45077</v>
      </c>
      <c r="T7241" s="773" t="s">
        <v>132</v>
      </c>
      <c r="U7241" s="773">
        <v>736</v>
      </c>
      <c r="V7241" s="773">
        <v>3744</v>
      </c>
      <c r="W7241" s="773" t="s">
        <v>390</v>
      </c>
    </row>
    <row r="7242" spans="19:23">
      <c r="S7242" s="27">
        <v>45077</v>
      </c>
      <c r="T7242" s="773" t="s">
        <v>132</v>
      </c>
      <c r="U7242" s="773">
        <v>140</v>
      </c>
      <c r="V7242" s="773">
        <v>695</v>
      </c>
      <c r="W7242" s="773" t="s">
        <v>390</v>
      </c>
    </row>
    <row r="7243" spans="19:23">
      <c r="S7243" s="27">
        <v>45077</v>
      </c>
      <c r="T7243" s="773" t="s">
        <v>132</v>
      </c>
      <c r="U7243" s="773">
        <v>703</v>
      </c>
      <c r="V7243" s="773">
        <v>139</v>
      </c>
      <c r="W7243" s="773" t="s">
        <v>390</v>
      </c>
    </row>
    <row r="7244" spans="19:23">
      <c r="S7244" s="27">
        <v>45077</v>
      </c>
      <c r="T7244" s="773" t="s">
        <v>132</v>
      </c>
      <c r="U7244" s="773">
        <v>706</v>
      </c>
      <c r="V7244" s="773">
        <v>1226</v>
      </c>
      <c r="W7244" s="773" t="s">
        <v>390</v>
      </c>
    </row>
    <row r="7245" spans="19:23">
      <c r="S7245" s="27">
        <v>45077</v>
      </c>
      <c r="T7245" s="773" t="s">
        <v>132</v>
      </c>
      <c r="U7245" s="773">
        <v>68</v>
      </c>
      <c r="V7245" s="773">
        <v>981</v>
      </c>
      <c r="W7245" s="773" t="s">
        <v>390</v>
      </c>
    </row>
    <row r="7246" spans="19:23">
      <c r="S7246" s="27">
        <v>45077</v>
      </c>
      <c r="T7246" s="773" t="s">
        <v>132</v>
      </c>
      <c r="U7246" s="773">
        <v>264</v>
      </c>
      <c r="V7246" s="773">
        <v>395</v>
      </c>
      <c r="W7246" s="773" t="s">
        <v>390</v>
      </c>
    </row>
    <row r="7247" spans="19:23">
      <c r="S7247" s="27">
        <v>45077</v>
      </c>
      <c r="T7247" s="773" t="s">
        <v>132</v>
      </c>
      <c r="U7247" s="773">
        <v>319</v>
      </c>
      <c r="V7247" s="773">
        <v>3260</v>
      </c>
      <c r="W7247" s="773" t="s">
        <v>390</v>
      </c>
    </row>
    <row r="7248" spans="19:23">
      <c r="S7248" s="27">
        <v>45077</v>
      </c>
      <c r="T7248" s="773" t="s">
        <v>132</v>
      </c>
      <c r="U7248" s="773">
        <v>249</v>
      </c>
      <c r="V7248" s="773">
        <v>3488</v>
      </c>
      <c r="W7248" s="773" t="s">
        <v>390</v>
      </c>
    </row>
    <row r="7249" spans="19:23">
      <c r="S7249" s="27">
        <v>45077</v>
      </c>
      <c r="T7249" s="773" t="s">
        <v>132</v>
      </c>
      <c r="U7249" s="773">
        <v>230</v>
      </c>
      <c r="V7249" s="773">
        <v>7</v>
      </c>
      <c r="W7249" s="773" t="s">
        <v>410</v>
      </c>
    </row>
    <row r="7250" spans="19:23">
      <c r="S7250" s="27">
        <v>45077</v>
      </c>
      <c r="T7250" s="773" t="s">
        <v>132</v>
      </c>
      <c r="U7250" s="773">
        <v>322</v>
      </c>
      <c r="V7250" s="773">
        <v>2567</v>
      </c>
      <c r="W7250" s="773" t="s">
        <v>390</v>
      </c>
    </row>
    <row r="7251" spans="19:23">
      <c r="S7251" s="27">
        <v>45077</v>
      </c>
      <c r="T7251" s="773" t="s">
        <v>132</v>
      </c>
      <c r="U7251" s="773">
        <v>153</v>
      </c>
      <c r="V7251" s="773">
        <v>2326</v>
      </c>
      <c r="W7251" s="773" t="s">
        <v>390</v>
      </c>
    </row>
    <row r="7252" spans="19:23">
      <c r="S7252" s="27">
        <v>45077</v>
      </c>
      <c r="T7252" s="773" t="s">
        <v>132</v>
      </c>
      <c r="U7252" s="773">
        <v>69</v>
      </c>
      <c r="V7252" s="773">
        <v>1</v>
      </c>
      <c r="W7252" s="773" t="s">
        <v>410</v>
      </c>
    </row>
    <row r="7253" spans="19:23">
      <c r="S7253" s="27">
        <v>45077</v>
      </c>
      <c r="T7253" s="773" t="s">
        <v>132</v>
      </c>
      <c r="U7253" s="773">
        <v>799</v>
      </c>
      <c r="V7253" s="773">
        <v>44</v>
      </c>
      <c r="W7253" s="773" t="s">
        <v>410</v>
      </c>
    </row>
    <row r="7254" spans="19:23">
      <c r="S7254" s="27">
        <v>45077</v>
      </c>
      <c r="T7254" s="773" t="s">
        <v>132</v>
      </c>
      <c r="U7254" s="773">
        <v>41</v>
      </c>
      <c r="V7254" s="773">
        <v>1</v>
      </c>
      <c r="W7254" s="773" t="s">
        <v>410</v>
      </c>
    </row>
    <row r="7255" spans="19:23">
      <c r="S7255" s="27">
        <v>45077</v>
      </c>
      <c r="T7255" s="773" t="s">
        <v>132</v>
      </c>
      <c r="U7255" s="773">
        <v>202</v>
      </c>
      <c r="V7255" s="773">
        <v>2</v>
      </c>
      <c r="W7255" s="773" t="s">
        <v>410</v>
      </c>
    </row>
    <row r="7256" spans="19:23">
      <c r="S7256" s="27">
        <v>45077</v>
      </c>
      <c r="T7256" s="773" t="s">
        <v>132</v>
      </c>
      <c r="U7256" s="773">
        <v>256</v>
      </c>
      <c r="V7256" s="773">
        <v>272</v>
      </c>
      <c r="W7256" s="773" t="s">
        <v>390</v>
      </c>
    </row>
    <row r="7257" spans="19:23">
      <c r="S7257" s="27">
        <v>45077</v>
      </c>
      <c r="T7257" s="773" t="s">
        <v>132</v>
      </c>
      <c r="U7257" s="773">
        <v>98</v>
      </c>
      <c r="V7257" s="773">
        <v>29</v>
      </c>
      <c r="W7257" s="773" t="s">
        <v>410</v>
      </c>
    </row>
    <row r="7258" spans="19:23">
      <c r="S7258" s="27">
        <v>45077</v>
      </c>
      <c r="T7258" s="773" t="s">
        <v>132</v>
      </c>
      <c r="U7258" s="773">
        <v>56</v>
      </c>
      <c r="V7258" s="773">
        <v>9</v>
      </c>
      <c r="W7258" s="773" t="s">
        <v>410</v>
      </c>
    </row>
    <row r="7259" spans="19:23">
      <c r="S7259" s="27">
        <v>45077</v>
      </c>
      <c r="T7259" s="773" t="s">
        <v>132</v>
      </c>
      <c r="U7259" s="773">
        <v>524</v>
      </c>
      <c r="V7259" s="773">
        <v>1</v>
      </c>
      <c r="W7259" s="773" t="s">
        <v>410</v>
      </c>
    </row>
    <row r="7260" spans="19:23">
      <c r="S7260" s="27">
        <v>45077</v>
      </c>
      <c r="T7260" s="773" t="s">
        <v>132</v>
      </c>
      <c r="U7260" s="773">
        <v>312</v>
      </c>
      <c r="V7260" s="773">
        <v>2699</v>
      </c>
      <c r="W7260" s="773" t="s">
        <v>390</v>
      </c>
    </row>
    <row r="7261" spans="19:23">
      <c r="S7261" s="27">
        <v>45077</v>
      </c>
      <c r="T7261" s="773" t="s">
        <v>132</v>
      </c>
      <c r="U7261" s="773">
        <v>129</v>
      </c>
      <c r="V7261" s="773">
        <v>4</v>
      </c>
      <c r="W7261" s="773" t="s">
        <v>410</v>
      </c>
    </row>
    <row r="7262" spans="19:23">
      <c r="S7262" s="27">
        <v>45077</v>
      </c>
      <c r="T7262" s="773" t="s">
        <v>132</v>
      </c>
      <c r="U7262" s="773">
        <v>660</v>
      </c>
      <c r="V7262" s="773">
        <v>5</v>
      </c>
      <c r="W7262" s="773" t="s">
        <v>410</v>
      </c>
    </row>
    <row r="7263" spans="19:23">
      <c r="S7263" s="27">
        <v>45077</v>
      </c>
      <c r="T7263" s="773" t="s">
        <v>132</v>
      </c>
      <c r="U7263" s="773">
        <v>0</v>
      </c>
      <c r="V7263" s="773">
        <v>49</v>
      </c>
      <c r="W7263" s="773" t="s">
        <v>410</v>
      </c>
    </row>
    <row r="7264" spans="19:23">
      <c r="S7264" s="27">
        <v>45107</v>
      </c>
      <c r="T7264" s="773" t="s">
        <v>132</v>
      </c>
      <c r="U7264" s="773">
        <v>648</v>
      </c>
      <c r="V7264" s="773">
        <v>1</v>
      </c>
      <c r="W7264" s="773" t="s">
        <v>410</v>
      </c>
    </row>
    <row r="7265" spans="19:23">
      <c r="S7265" s="27">
        <v>45107</v>
      </c>
      <c r="T7265" s="773" t="s">
        <v>132</v>
      </c>
      <c r="U7265" s="773">
        <v>324</v>
      </c>
      <c r="V7265" s="773">
        <v>3260</v>
      </c>
      <c r="W7265" s="773" t="s">
        <v>390</v>
      </c>
    </row>
    <row r="7266" spans="19:23">
      <c r="S7266" s="27">
        <v>45107</v>
      </c>
      <c r="T7266" s="773" t="s">
        <v>132</v>
      </c>
      <c r="U7266" s="773">
        <v>251</v>
      </c>
      <c r="V7266" s="773">
        <v>1950</v>
      </c>
      <c r="W7266" s="773" t="s">
        <v>390</v>
      </c>
    </row>
    <row r="7267" spans="19:23">
      <c r="S7267" s="27">
        <v>45107</v>
      </c>
      <c r="T7267" s="773" t="s">
        <v>132</v>
      </c>
      <c r="U7267" s="773">
        <v>46</v>
      </c>
      <c r="V7267" s="773">
        <v>1</v>
      </c>
      <c r="W7267" s="773" t="s">
        <v>410</v>
      </c>
    </row>
    <row r="7268" spans="19:23">
      <c r="S7268" s="27">
        <v>45107</v>
      </c>
      <c r="T7268" s="773" t="s">
        <v>132</v>
      </c>
      <c r="U7268" s="773">
        <v>803</v>
      </c>
      <c r="V7268" s="773">
        <v>55</v>
      </c>
      <c r="W7268" s="773" t="s">
        <v>410</v>
      </c>
    </row>
    <row r="7269" spans="19:23">
      <c r="S7269" s="27">
        <v>45107</v>
      </c>
      <c r="T7269" s="773" t="s">
        <v>132</v>
      </c>
      <c r="U7269" s="773">
        <v>157</v>
      </c>
      <c r="V7269" s="773">
        <v>11</v>
      </c>
      <c r="W7269" s="773" t="s">
        <v>410</v>
      </c>
    </row>
    <row r="7270" spans="19:23">
      <c r="S7270" s="27">
        <v>45107</v>
      </c>
      <c r="T7270" s="773" t="s">
        <v>132</v>
      </c>
      <c r="U7270" s="773">
        <v>710</v>
      </c>
      <c r="V7270" s="773">
        <v>1044</v>
      </c>
      <c r="W7270" s="773" t="s">
        <v>390</v>
      </c>
    </row>
    <row r="7271" spans="19:23">
      <c r="S7271" s="27">
        <v>45107</v>
      </c>
      <c r="T7271" s="773" t="s">
        <v>132</v>
      </c>
      <c r="U7271" s="773">
        <v>724</v>
      </c>
      <c r="V7271" s="773">
        <v>2527</v>
      </c>
      <c r="W7271" s="773" t="s">
        <v>390</v>
      </c>
    </row>
    <row r="7272" spans="19:23">
      <c r="S7272" s="27">
        <v>45107</v>
      </c>
      <c r="T7272" s="773" t="s">
        <v>132</v>
      </c>
      <c r="U7272" s="773">
        <v>308</v>
      </c>
      <c r="V7272" s="773">
        <v>2365</v>
      </c>
      <c r="W7272" s="773" t="s">
        <v>390</v>
      </c>
    </row>
    <row r="7273" spans="19:23">
      <c r="S7273" s="27">
        <v>45107</v>
      </c>
      <c r="T7273" s="773" t="s">
        <v>132</v>
      </c>
      <c r="U7273" s="773">
        <v>718</v>
      </c>
      <c r="V7273" s="773">
        <v>1652</v>
      </c>
      <c r="W7273" s="773" t="s">
        <v>390</v>
      </c>
    </row>
    <row r="7274" spans="19:23">
      <c r="S7274" s="27">
        <v>45107</v>
      </c>
      <c r="T7274" s="773" t="s">
        <v>132</v>
      </c>
      <c r="U7274" s="773">
        <v>97</v>
      </c>
      <c r="V7274" s="773">
        <v>1</v>
      </c>
      <c r="W7274" s="773" t="s">
        <v>410</v>
      </c>
    </row>
    <row r="7275" spans="19:23">
      <c r="S7275" s="27">
        <v>45107</v>
      </c>
      <c r="T7275" s="773" t="s">
        <v>132</v>
      </c>
      <c r="U7275" s="773">
        <v>102</v>
      </c>
      <c r="V7275" s="773">
        <v>2</v>
      </c>
      <c r="W7275" s="773" t="s">
        <v>410</v>
      </c>
    </row>
    <row r="7276" spans="19:23">
      <c r="S7276" s="27">
        <v>45107</v>
      </c>
      <c r="T7276" s="773" t="s">
        <v>132</v>
      </c>
      <c r="U7276" s="773">
        <v>804</v>
      </c>
      <c r="V7276" s="773">
        <v>2167</v>
      </c>
      <c r="W7276" s="773" t="s">
        <v>390</v>
      </c>
    </row>
    <row r="7277" spans="19:23">
      <c r="S7277" s="27">
        <v>45107</v>
      </c>
      <c r="T7277" s="773" t="s">
        <v>132</v>
      </c>
      <c r="U7277" s="773">
        <v>291</v>
      </c>
      <c r="V7277" s="773">
        <v>2</v>
      </c>
      <c r="W7277" s="773" t="s">
        <v>410</v>
      </c>
    </row>
    <row r="7278" spans="19:23">
      <c r="S7278" s="27">
        <v>45107</v>
      </c>
      <c r="T7278" s="773" t="s">
        <v>132</v>
      </c>
      <c r="U7278" s="773">
        <v>645</v>
      </c>
      <c r="V7278" s="773">
        <v>1</v>
      </c>
      <c r="W7278" s="773" t="s">
        <v>410</v>
      </c>
    </row>
    <row r="7279" spans="19:23">
      <c r="S7279" s="27">
        <v>45107</v>
      </c>
      <c r="T7279" s="773" t="s">
        <v>132</v>
      </c>
      <c r="U7279" s="773">
        <v>327</v>
      </c>
      <c r="V7279" s="773">
        <v>3</v>
      </c>
      <c r="W7279" s="773" t="s">
        <v>410</v>
      </c>
    </row>
    <row r="7280" spans="19:23">
      <c r="S7280" s="27">
        <v>45107</v>
      </c>
      <c r="T7280" s="773" t="s">
        <v>132</v>
      </c>
      <c r="U7280" s="773">
        <v>27</v>
      </c>
      <c r="V7280" s="773">
        <v>1</v>
      </c>
      <c r="W7280" s="773" t="s">
        <v>410</v>
      </c>
    </row>
    <row r="7281" spans="19:23">
      <c r="S7281" s="27">
        <v>45107</v>
      </c>
      <c r="T7281" s="773" t="s">
        <v>132</v>
      </c>
      <c r="U7281" s="773">
        <v>664</v>
      </c>
      <c r="V7281" s="773">
        <v>3578</v>
      </c>
      <c r="W7281" s="773" t="s">
        <v>390</v>
      </c>
    </row>
    <row r="7282" spans="19:23">
      <c r="S7282" s="27">
        <v>45107</v>
      </c>
      <c r="T7282" s="773" t="s">
        <v>132</v>
      </c>
      <c r="U7282" s="773">
        <v>71</v>
      </c>
      <c r="V7282" s="773">
        <v>1</v>
      </c>
      <c r="W7282" s="773" t="s">
        <v>410</v>
      </c>
    </row>
    <row r="7283" spans="19:23">
      <c r="S7283" s="27">
        <v>45107</v>
      </c>
      <c r="T7283" s="773" t="s">
        <v>132</v>
      </c>
      <c r="U7283" s="773">
        <v>188</v>
      </c>
      <c r="V7283" s="773">
        <v>891</v>
      </c>
      <c r="W7283" s="773" t="s">
        <v>390</v>
      </c>
    </row>
    <row r="7284" spans="19:23">
      <c r="S7284" s="27">
        <v>45107</v>
      </c>
      <c r="T7284" s="773" t="s">
        <v>132</v>
      </c>
      <c r="U7284" s="773">
        <v>295</v>
      </c>
      <c r="V7284" s="773">
        <v>2</v>
      </c>
      <c r="W7284" s="773" t="s">
        <v>410</v>
      </c>
    </row>
    <row r="7285" spans="19:23">
      <c r="S7285" s="27">
        <v>45107</v>
      </c>
      <c r="T7285" s="773" t="s">
        <v>132</v>
      </c>
      <c r="U7285" s="773">
        <v>275</v>
      </c>
      <c r="V7285" s="773">
        <v>19</v>
      </c>
      <c r="W7285" s="773" t="s">
        <v>410</v>
      </c>
    </row>
    <row r="7286" spans="19:23">
      <c r="S7286" s="27">
        <v>45107</v>
      </c>
      <c r="T7286" s="773" t="s">
        <v>132</v>
      </c>
      <c r="U7286" s="773">
        <v>44</v>
      </c>
      <c r="V7286" s="773">
        <v>2244</v>
      </c>
      <c r="W7286" s="773" t="s">
        <v>390</v>
      </c>
    </row>
    <row r="7287" spans="19:23">
      <c r="S7287" s="27">
        <v>45107</v>
      </c>
      <c r="T7287" s="773" t="s">
        <v>132</v>
      </c>
      <c r="U7287" s="773">
        <v>722</v>
      </c>
      <c r="V7287" s="773">
        <v>1</v>
      </c>
      <c r="W7287" s="773" t="s">
        <v>410</v>
      </c>
    </row>
    <row r="7288" spans="19:23">
      <c r="S7288" s="27">
        <v>45107</v>
      </c>
      <c r="T7288" s="773" t="s">
        <v>132</v>
      </c>
      <c r="U7288" s="773">
        <v>296</v>
      </c>
      <c r="V7288" s="773">
        <v>2503</v>
      </c>
      <c r="W7288" s="773" t="s">
        <v>390</v>
      </c>
    </row>
    <row r="7289" spans="19:23">
      <c r="S7289" s="27">
        <v>45107</v>
      </c>
      <c r="T7289" s="773" t="s">
        <v>132</v>
      </c>
      <c r="U7289" s="773">
        <v>271</v>
      </c>
      <c r="V7289" s="773">
        <v>3007</v>
      </c>
      <c r="W7289" s="773" t="s">
        <v>390</v>
      </c>
    </row>
    <row r="7290" spans="19:23">
      <c r="S7290" s="27">
        <v>45107</v>
      </c>
      <c r="T7290" s="773" t="s">
        <v>132</v>
      </c>
      <c r="U7290" s="773">
        <v>687</v>
      </c>
      <c r="V7290" s="773">
        <v>3145</v>
      </c>
      <c r="W7290" s="773" t="s">
        <v>390</v>
      </c>
    </row>
    <row r="7291" spans="19:23">
      <c r="S7291" s="27">
        <v>45107</v>
      </c>
      <c r="T7291" s="773" t="s">
        <v>132</v>
      </c>
      <c r="U7291" s="773">
        <v>249</v>
      </c>
      <c r="V7291" s="773">
        <v>3418</v>
      </c>
      <c r="W7291" s="773" t="s">
        <v>390</v>
      </c>
    </row>
    <row r="7292" spans="19:23">
      <c r="S7292" s="27">
        <v>45107</v>
      </c>
      <c r="T7292" s="773" t="s">
        <v>132</v>
      </c>
      <c r="U7292" s="773">
        <v>68</v>
      </c>
      <c r="V7292" s="773">
        <v>1025</v>
      </c>
      <c r="W7292" s="773" t="s">
        <v>390</v>
      </c>
    </row>
    <row r="7293" spans="19:23">
      <c r="S7293" s="27">
        <v>45107</v>
      </c>
      <c r="T7293" s="773" t="s">
        <v>132</v>
      </c>
      <c r="U7293" s="773">
        <v>670</v>
      </c>
      <c r="V7293" s="773">
        <v>2569</v>
      </c>
      <c r="W7293" s="773" t="s">
        <v>390</v>
      </c>
    </row>
    <row r="7294" spans="19:23">
      <c r="S7294" s="27">
        <v>45107</v>
      </c>
      <c r="T7294" s="773" t="s">
        <v>132</v>
      </c>
      <c r="U7294" s="773">
        <v>169</v>
      </c>
      <c r="V7294" s="773">
        <v>3170</v>
      </c>
      <c r="W7294" s="773" t="s">
        <v>390</v>
      </c>
    </row>
    <row r="7295" spans="19:23">
      <c r="S7295" s="27">
        <v>45107</v>
      </c>
      <c r="T7295" s="773" t="s">
        <v>132</v>
      </c>
      <c r="U7295" s="773">
        <v>329</v>
      </c>
      <c r="V7295" s="773">
        <v>4032</v>
      </c>
      <c r="W7295" s="773" t="s">
        <v>390</v>
      </c>
    </row>
    <row r="7296" spans="19:23">
      <c r="S7296" s="27">
        <v>45107</v>
      </c>
      <c r="T7296" s="773" t="s">
        <v>132</v>
      </c>
      <c r="U7296" s="773">
        <v>231</v>
      </c>
      <c r="V7296" s="773">
        <v>5</v>
      </c>
      <c r="W7296" s="773" t="s">
        <v>410</v>
      </c>
    </row>
    <row r="7297" spans="19:23">
      <c r="S7297" s="27">
        <v>45107</v>
      </c>
      <c r="T7297" s="773" t="s">
        <v>132</v>
      </c>
      <c r="U7297" s="773">
        <v>676</v>
      </c>
      <c r="V7297" s="773">
        <v>4</v>
      </c>
      <c r="W7297" s="773" t="s">
        <v>410</v>
      </c>
    </row>
    <row r="7298" spans="19:23">
      <c r="S7298" s="27">
        <v>45107</v>
      </c>
      <c r="T7298" s="773" t="s">
        <v>132</v>
      </c>
      <c r="U7298" s="773">
        <v>215</v>
      </c>
      <c r="V7298" s="773">
        <v>611</v>
      </c>
      <c r="W7298" s="773" t="s">
        <v>390</v>
      </c>
    </row>
    <row r="7299" spans="19:23">
      <c r="S7299" s="27">
        <v>45107</v>
      </c>
      <c r="T7299" s="773" t="s">
        <v>132</v>
      </c>
      <c r="U7299" s="773">
        <v>669</v>
      </c>
      <c r="V7299" s="773">
        <v>3008</v>
      </c>
      <c r="W7299" s="773" t="s">
        <v>390</v>
      </c>
    </row>
    <row r="7300" spans="19:23">
      <c r="S7300" s="27">
        <v>45107</v>
      </c>
      <c r="T7300" s="773" t="s">
        <v>132</v>
      </c>
      <c r="U7300" s="773">
        <v>706</v>
      </c>
      <c r="V7300" s="773">
        <v>1231</v>
      </c>
      <c r="W7300" s="773" t="s">
        <v>390</v>
      </c>
    </row>
    <row r="7301" spans="19:23">
      <c r="S7301" s="27">
        <v>45107</v>
      </c>
      <c r="T7301" s="773" t="s">
        <v>132</v>
      </c>
      <c r="U7301" s="773">
        <v>321</v>
      </c>
      <c r="V7301" s="773">
        <v>1905</v>
      </c>
      <c r="W7301" s="773" t="s">
        <v>390</v>
      </c>
    </row>
    <row r="7302" spans="19:23">
      <c r="S7302" s="27">
        <v>45107</v>
      </c>
      <c r="T7302" s="773" t="s">
        <v>132</v>
      </c>
      <c r="U7302" s="773">
        <v>290</v>
      </c>
      <c r="V7302" s="773">
        <v>522</v>
      </c>
      <c r="W7302" s="773" t="s">
        <v>390</v>
      </c>
    </row>
    <row r="7303" spans="19:23">
      <c r="S7303" s="27">
        <v>45107</v>
      </c>
      <c r="T7303" s="773" t="s">
        <v>132</v>
      </c>
      <c r="U7303" s="773">
        <v>315</v>
      </c>
      <c r="V7303" s="773">
        <v>2015</v>
      </c>
      <c r="W7303" s="773" t="s">
        <v>390</v>
      </c>
    </row>
    <row r="7304" spans="19:23">
      <c r="S7304" s="27">
        <v>45107</v>
      </c>
      <c r="T7304" s="773" t="s">
        <v>132</v>
      </c>
      <c r="U7304" s="773">
        <v>684</v>
      </c>
      <c r="V7304" s="773">
        <v>3234</v>
      </c>
      <c r="W7304" s="773" t="s">
        <v>390</v>
      </c>
    </row>
    <row r="7305" spans="19:23">
      <c r="S7305" s="27">
        <v>45107</v>
      </c>
      <c r="T7305" s="773" t="s">
        <v>132</v>
      </c>
      <c r="U7305" s="773">
        <v>262</v>
      </c>
      <c r="V7305" s="773">
        <v>32</v>
      </c>
      <c r="W7305" s="773" t="s">
        <v>410</v>
      </c>
    </row>
    <row r="7306" spans="19:23">
      <c r="S7306" s="27">
        <v>45107</v>
      </c>
      <c r="T7306" s="773" t="s">
        <v>132</v>
      </c>
      <c r="U7306" s="773">
        <v>243</v>
      </c>
      <c r="V7306" s="773">
        <v>331</v>
      </c>
      <c r="W7306" s="773" t="s">
        <v>390</v>
      </c>
    </row>
    <row r="7307" spans="19:23">
      <c r="S7307" s="27">
        <v>45107</v>
      </c>
      <c r="T7307" s="773" t="s">
        <v>132</v>
      </c>
      <c r="U7307" s="773">
        <v>727</v>
      </c>
      <c r="V7307" s="773">
        <v>3728</v>
      </c>
      <c r="W7307" s="773" t="s">
        <v>390</v>
      </c>
    </row>
    <row r="7308" spans="19:23">
      <c r="S7308" s="27">
        <v>45107</v>
      </c>
      <c r="T7308" s="773" t="s">
        <v>132</v>
      </c>
      <c r="U7308" s="773">
        <v>738</v>
      </c>
      <c r="V7308" s="773">
        <v>72</v>
      </c>
      <c r="W7308" s="773" t="s">
        <v>410</v>
      </c>
    </row>
    <row r="7309" spans="19:23">
      <c r="S7309" s="27">
        <v>45107</v>
      </c>
      <c r="T7309" s="773" t="s">
        <v>132</v>
      </c>
      <c r="U7309" s="773">
        <v>40</v>
      </c>
      <c r="V7309" s="773">
        <v>4</v>
      </c>
      <c r="W7309" s="773" t="s">
        <v>410</v>
      </c>
    </row>
    <row r="7310" spans="19:23">
      <c r="S7310" s="27">
        <v>45107</v>
      </c>
      <c r="T7310" s="773" t="s">
        <v>132</v>
      </c>
      <c r="U7310" s="773">
        <v>203</v>
      </c>
      <c r="V7310" s="773">
        <v>2512</v>
      </c>
      <c r="W7310" s="773" t="s">
        <v>390</v>
      </c>
    </row>
    <row r="7311" spans="19:23">
      <c r="S7311" s="27">
        <v>45107</v>
      </c>
      <c r="T7311" s="773" t="s">
        <v>132</v>
      </c>
      <c r="U7311" s="773">
        <v>116</v>
      </c>
      <c r="V7311" s="773">
        <v>1</v>
      </c>
      <c r="W7311" s="773" t="s">
        <v>410</v>
      </c>
    </row>
    <row r="7312" spans="19:23">
      <c r="S7312" s="27">
        <v>45107</v>
      </c>
      <c r="T7312" s="773" t="s">
        <v>132</v>
      </c>
      <c r="U7312" s="773">
        <v>696</v>
      </c>
      <c r="V7312" s="773">
        <v>89</v>
      </c>
      <c r="W7312" s="773" t="s">
        <v>410</v>
      </c>
    </row>
    <row r="7313" spans="19:23">
      <c r="S7313" s="27">
        <v>45107</v>
      </c>
      <c r="T7313" s="773" t="s">
        <v>132</v>
      </c>
      <c r="U7313" s="773">
        <v>77</v>
      </c>
      <c r="V7313" s="773">
        <v>3702</v>
      </c>
      <c r="W7313" s="773" t="s">
        <v>390</v>
      </c>
    </row>
    <row r="7314" spans="19:23">
      <c r="S7314" s="27">
        <v>45107</v>
      </c>
      <c r="T7314" s="773" t="s">
        <v>132</v>
      </c>
      <c r="U7314" s="773">
        <v>193</v>
      </c>
      <c r="V7314" s="773">
        <v>484</v>
      </c>
      <c r="W7314" s="773" t="s">
        <v>390</v>
      </c>
    </row>
    <row r="7315" spans="19:23">
      <c r="S7315" s="27">
        <v>45107</v>
      </c>
      <c r="T7315" s="773" t="s">
        <v>132</v>
      </c>
      <c r="U7315" s="773">
        <v>671</v>
      </c>
      <c r="V7315" s="773">
        <v>2119</v>
      </c>
      <c r="W7315" s="773" t="s">
        <v>390</v>
      </c>
    </row>
    <row r="7316" spans="19:23">
      <c r="S7316" s="27">
        <v>45107</v>
      </c>
      <c r="T7316" s="773" t="s">
        <v>132</v>
      </c>
      <c r="U7316" s="773">
        <v>92</v>
      </c>
      <c r="V7316" s="773">
        <v>7</v>
      </c>
      <c r="W7316" s="773" t="s">
        <v>410</v>
      </c>
    </row>
    <row r="7317" spans="19:23">
      <c r="S7317" s="27">
        <v>45107</v>
      </c>
      <c r="T7317" s="773" t="s">
        <v>132</v>
      </c>
      <c r="U7317" s="773">
        <v>806</v>
      </c>
      <c r="V7317" s="773">
        <v>108</v>
      </c>
      <c r="W7317" s="773" t="s">
        <v>390</v>
      </c>
    </row>
    <row r="7318" spans="19:23">
      <c r="S7318" s="27">
        <v>45107</v>
      </c>
      <c r="T7318" s="773" t="s">
        <v>132</v>
      </c>
      <c r="U7318" s="773">
        <v>304</v>
      </c>
      <c r="V7318" s="773">
        <v>138</v>
      </c>
      <c r="W7318" s="773" t="s">
        <v>390</v>
      </c>
    </row>
    <row r="7319" spans="19:23">
      <c r="S7319" s="27">
        <v>45107</v>
      </c>
      <c r="T7319" s="773" t="s">
        <v>132</v>
      </c>
      <c r="U7319" s="773">
        <v>94</v>
      </c>
      <c r="V7319" s="773">
        <v>559</v>
      </c>
      <c r="W7319" s="773" t="s">
        <v>390</v>
      </c>
    </row>
    <row r="7320" spans="19:23">
      <c r="S7320" s="27">
        <v>45107</v>
      </c>
      <c r="T7320" s="773" t="s">
        <v>132</v>
      </c>
      <c r="U7320" s="773">
        <v>328</v>
      </c>
      <c r="V7320" s="773">
        <v>544</v>
      </c>
      <c r="W7320" s="773" t="s">
        <v>390</v>
      </c>
    </row>
    <row r="7321" spans="19:23">
      <c r="S7321" s="27">
        <v>45107</v>
      </c>
      <c r="T7321" s="773" t="s">
        <v>132</v>
      </c>
      <c r="U7321" s="773">
        <v>63</v>
      </c>
      <c r="V7321" s="773">
        <v>1</v>
      </c>
      <c r="W7321" s="773" t="s">
        <v>410</v>
      </c>
    </row>
    <row r="7322" spans="19:23">
      <c r="S7322" s="27">
        <v>45107</v>
      </c>
      <c r="T7322" s="773" t="s">
        <v>132</v>
      </c>
      <c r="U7322" s="773">
        <v>723</v>
      </c>
      <c r="V7322" s="773">
        <v>2280</v>
      </c>
      <c r="W7322" s="773" t="s">
        <v>390</v>
      </c>
    </row>
    <row r="7323" spans="19:23">
      <c r="S7323" s="27">
        <v>45107</v>
      </c>
      <c r="T7323" s="773" t="s">
        <v>132</v>
      </c>
      <c r="U7323" s="773">
        <v>265</v>
      </c>
      <c r="V7323" s="773">
        <v>18</v>
      </c>
      <c r="W7323" s="773" t="s">
        <v>410</v>
      </c>
    </row>
    <row r="7324" spans="19:23">
      <c r="S7324" s="27">
        <v>45107</v>
      </c>
      <c r="T7324" s="773" t="s">
        <v>132</v>
      </c>
      <c r="U7324" s="773">
        <v>43</v>
      </c>
      <c r="V7324" s="773">
        <v>1011</v>
      </c>
      <c r="W7324" s="773" t="s">
        <v>390</v>
      </c>
    </row>
    <row r="7325" spans="19:23">
      <c r="S7325" s="27">
        <v>45107</v>
      </c>
      <c r="T7325" s="773" t="s">
        <v>132</v>
      </c>
      <c r="U7325" s="773">
        <v>69</v>
      </c>
      <c r="V7325" s="773">
        <v>1</v>
      </c>
      <c r="W7325" s="773" t="s">
        <v>410</v>
      </c>
    </row>
    <row r="7326" spans="19:23">
      <c r="S7326" s="27">
        <v>45107</v>
      </c>
      <c r="T7326" s="773" t="s">
        <v>132</v>
      </c>
      <c r="U7326" s="773">
        <v>109</v>
      </c>
      <c r="V7326" s="773">
        <v>1</v>
      </c>
      <c r="W7326" s="773" t="s">
        <v>410</v>
      </c>
    </row>
    <row r="7327" spans="19:23">
      <c r="S7327" s="27">
        <v>45107</v>
      </c>
      <c r="T7327" s="773" t="s">
        <v>132</v>
      </c>
      <c r="U7327" s="773">
        <v>254</v>
      </c>
      <c r="V7327" s="773">
        <v>6</v>
      </c>
      <c r="W7327" s="773" t="s">
        <v>410</v>
      </c>
    </row>
    <row r="7328" spans="19:23">
      <c r="S7328" s="27">
        <v>45107</v>
      </c>
      <c r="T7328" s="773" t="s">
        <v>132</v>
      </c>
      <c r="U7328" s="773">
        <v>698</v>
      </c>
      <c r="V7328" s="773">
        <v>2804</v>
      </c>
      <c r="W7328" s="773" t="s">
        <v>390</v>
      </c>
    </row>
    <row r="7329" spans="19:23">
      <c r="S7329" s="27">
        <v>45107</v>
      </c>
      <c r="T7329" s="773" t="s">
        <v>132</v>
      </c>
      <c r="U7329" s="773">
        <v>797</v>
      </c>
      <c r="V7329" s="773">
        <v>3306</v>
      </c>
      <c r="W7329" s="773" t="s">
        <v>390</v>
      </c>
    </row>
    <row r="7330" spans="19:23">
      <c r="S7330" s="27">
        <v>45107</v>
      </c>
      <c r="T7330" s="773" t="s">
        <v>132</v>
      </c>
      <c r="U7330" s="773">
        <v>741</v>
      </c>
      <c r="V7330" s="773">
        <v>2891</v>
      </c>
      <c r="W7330" s="773" t="s">
        <v>390</v>
      </c>
    </row>
    <row r="7331" spans="19:23">
      <c r="S7331" s="27">
        <v>45107</v>
      </c>
      <c r="T7331" s="773" t="s">
        <v>132</v>
      </c>
      <c r="U7331" s="773">
        <v>344</v>
      </c>
      <c r="V7331" s="773">
        <v>204</v>
      </c>
      <c r="W7331" s="773" t="s">
        <v>390</v>
      </c>
    </row>
    <row r="7332" spans="19:23">
      <c r="S7332" s="27">
        <v>45107</v>
      </c>
      <c r="T7332" s="773" t="s">
        <v>132</v>
      </c>
      <c r="U7332" s="773">
        <v>812</v>
      </c>
      <c r="V7332" s="773">
        <v>3620</v>
      </c>
      <c r="W7332" s="773" t="s">
        <v>390</v>
      </c>
    </row>
    <row r="7333" spans="19:23">
      <c r="S7333" s="27">
        <v>45107</v>
      </c>
      <c r="T7333" s="773" t="s">
        <v>132</v>
      </c>
      <c r="U7333" s="773">
        <v>119</v>
      </c>
      <c r="V7333" s="773">
        <v>1</v>
      </c>
      <c r="W7333" s="773" t="s">
        <v>410</v>
      </c>
    </row>
    <row r="7334" spans="19:23">
      <c r="S7334" s="27">
        <v>45107</v>
      </c>
      <c r="T7334" s="773" t="s">
        <v>132</v>
      </c>
      <c r="U7334" s="773">
        <v>641</v>
      </c>
      <c r="V7334" s="773">
        <v>2177</v>
      </c>
      <c r="W7334" s="773" t="s">
        <v>390</v>
      </c>
    </row>
    <row r="7335" spans="19:23">
      <c r="S7335" s="27">
        <v>45107</v>
      </c>
      <c r="T7335" s="773" t="s">
        <v>132</v>
      </c>
      <c r="U7335" s="773">
        <v>660</v>
      </c>
      <c r="V7335" s="773">
        <v>5</v>
      </c>
      <c r="W7335" s="773" t="s">
        <v>410</v>
      </c>
    </row>
    <row r="7336" spans="19:23">
      <c r="S7336" s="27">
        <v>45107</v>
      </c>
      <c r="T7336" s="773" t="s">
        <v>132</v>
      </c>
      <c r="U7336" s="773">
        <v>667</v>
      </c>
      <c r="V7336" s="773">
        <v>1</v>
      </c>
      <c r="W7336" s="773" t="s">
        <v>410</v>
      </c>
    </row>
    <row r="7337" spans="19:23">
      <c r="S7337" s="27">
        <v>45107</v>
      </c>
      <c r="T7337" s="773" t="s">
        <v>132</v>
      </c>
      <c r="U7337" s="773">
        <v>704</v>
      </c>
      <c r="V7337" s="773">
        <v>3477</v>
      </c>
      <c r="W7337" s="773" t="s">
        <v>390</v>
      </c>
    </row>
    <row r="7338" spans="19:23">
      <c r="S7338" s="27">
        <v>45107</v>
      </c>
      <c r="T7338" s="773" t="s">
        <v>132</v>
      </c>
      <c r="U7338" s="773">
        <v>183</v>
      </c>
      <c r="V7338" s="773">
        <v>584</v>
      </c>
      <c r="W7338" s="773" t="s">
        <v>390</v>
      </c>
    </row>
    <row r="7339" spans="19:23">
      <c r="S7339" s="27">
        <v>45107</v>
      </c>
      <c r="T7339" s="773" t="s">
        <v>132</v>
      </c>
      <c r="U7339" s="773">
        <v>66</v>
      </c>
      <c r="V7339" s="773">
        <v>1</v>
      </c>
      <c r="W7339" s="773" t="s">
        <v>410</v>
      </c>
    </row>
    <row r="7340" spans="19:23">
      <c r="S7340" s="27">
        <v>45107</v>
      </c>
      <c r="T7340" s="773" t="s">
        <v>132</v>
      </c>
      <c r="U7340" s="773">
        <v>255</v>
      </c>
      <c r="V7340" s="773">
        <v>558</v>
      </c>
      <c r="W7340" s="773" t="s">
        <v>390</v>
      </c>
    </row>
    <row r="7341" spans="19:23">
      <c r="S7341" s="27">
        <v>45107</v>
      </c>
      <c r="T7341" s="773" t="s">
        <v>132</v>
      </c>
      <c r="U7341" s="773">
        <v>793</v>
      </c>
      <c r="V7341" s="773">
        <v>116</v>
      </c>
      <c r="W7341" s="773" t="s">
        <v>390</v>
      </c>
    </row>
    <row r="7342" spans="19:23">
      <c r="S7342" s="27">
        <v>45107</v>
      </c>
      <c r="T7342" s="773" t="s">
        <v>132</v>
      </c>
      <c r="U7342" s="773">
        <v>735</v>
      </c>
      <c r="V7342" s="773">
        <v>2724</v>
      </c>
      <c r="W7342" s="773" t="s">
        <v>390</v>
      </c>
    </row>
    <row r="7343" spans="19:23">
      <c r="S7343" s="27">
        <v>45107</v>
      </c>
      <c r="T7343" s="773" t="s">
        <v>132</v>
      </c>
      <c r="U7343" s="773">
        <v>779</v>
      </c>
      <c r="V7343" s="773">
        <v>2224</v>
      </c>
      <c r="W7343" s="773" t="s">
        <v>390</v>
      </c>
    </row>
    <row r="7344" spans="19:23">
      <c r="S7344" s="27">
        <v>45107</v>
      </c>
      <c r="T7344" s="773" t="s">
        <v>132</v>
      </c>
      <c r="U7344" s="773">
        <v>11</v>
      </c>
      <c r="V7344" s="773">
        <v>27</v>
      </c>
      <c r="W7344" s="773" t="s">
        <v>410</v>
      </c>
    </row>
    <row r="7345" spans="19:23">
      <c r="S7345" s="27">
        <v>45107</v>
      </c>
      <c r="T7345" s="773" t="s">
        <v>132</v>
      </c>
      <c r="U7345" s="773">
        <v>79</v>
      </c>
      <c r="V7345" s="773">
        <v>4</v>
      </c>
      <c r="W7345" s="773" t="s">
        <v>410</v>
      </c>
    </row>
    <row r="7346" spans="19:23">
      <c r="S7346" s="27">
        <v>45107</v>
      </c>
      <c r="T7346" s="773" t="s">
        <v>132</v>
      </c>
      <c r="U7346" s="773">
        <v>726</v>
      </c>
      <c r="V7346" s="773">
        <v>130</v>
      </c>
      <c r="W7346" s="773" t="s">
        <v>390</v>
      </c>
    </row>
    <row r="7347" spans="19:23">
      <c r="S7347" s="27">
        <v>45107</v>
      </c>
      <c r="T7347" s="773" t="s">
        <v>132</v>
      </c>
      <c r="U7347" s="773">
        <v>220</v>
      </c>
      <c r="V7347" s="773">
        <v>134</v>
      </c>
      <c r="W7347" s="773" t="s">
        <v>390</v>
      </c>
    </row>
    <row r="7348" spans="19:23">
      <c r="S7348" s="27">
        <v>45107</v>
      </c>
      <c r="T7348" s="773" t="s">
        <v>132</v>
      </c>
      <c r="U7348" s="773">
        <v>222</v>
      </c>
      <c r="V7348" s="773">
        <v>5</v>
      </c>
      <c r="W7348" s="773" t="s">
        <v>410</v>
      </c>
    </row>
    <row r="7349" spans="19:23">
      <c r="S7349" s="27">
        <v>45107</v>
      </c>
      <c r="T7349" s="773" t="s">
        <v>132</v>
      </c>
      <c r="U7349" s="773">
        <v>651</v>
      </c>
      <c r="V7349" s="773">
        <v>90</v>
      </c>
      <c r="W7349" s="773" t="s">
        <v>410</v>
      </c>
    </row>
    <row r="7350" spans="19:23">
      <c r="S7350" s="27">
        <v>45107</v>
      </c>
      <c r="T7350" s="773" t="s">
        <v>132</v>
      </c>
      <c r="U7350" s="773">
        <v>528</v>
      </c>
      <c r="V7350" s="773">
        <v>83</v>
      </c>
      <c r="W7350" s="773" t="s">
        <v>410</v>
      </c>
    </row>
    <row r="7351" spans="19:23">
      <c r="S7351" s="27">
        <v>45107</v>
      </c>
      <c r="T7351" s="773" t="s">
        <v>132</v>
      </c>
      <c r="U7351" s="773">
        <v>322</v>
      </c>
      <c r="V7351" s="773">
        <v>2566</v>
      </c>
      <c r="W7351" s="773" t="s">
        <v>390</v>
      </c>
    </row>
    <row r="7352" spans="19:23">
      <c r="S7352" s="27">
        <v>45107</v>
      </c>
      <c r="T7352" s="773" t="s">
        <v>132</v>
      </c>
      <c r="U7352" s="773">
        <v>239</v>
      </c>
      <c r="V7352" s="773">
        <v>6</v>
      </c>
      <c r="W7352" s="773" t="s">
        <v>410</v>
      </c>
    </row>
    <row r="7353" spans="19:23">
      <c r="S7353" s="27">
        <v>45107</v>
      </c>
      <c r="T7353" s="773" t="s">
        <v>132</v>
      </c>
      <c r="U7353" s="773">
        <v>213</v>
      </c>
      <c r="V7353" s="773">
        <v>1</v>
      </c>
      <c r="W7353" s="773" t="s">
        <v>410</v>
      </c>
    </row>
    <row r="7354" spans="19:23">
      <c r="S7354" s="27">
        <v>45107</v>
      </c>
      <c r="T7354" s="773" t="s">
        <v>132</v>
      </c>
      <c r="U7354" s="773">
        <v>98</v>
      </c>
      <c r="V7354" s="773">
        <v>27</v>
      </c>
      <c r="W7354" s="773" t="s">
        <v>410</v>
      </c>
    </row>
    <row r="7355" spans="19:23">
      <c r="S7355" s="27">
        <v>45107</v>
      </c>
      <c r="T7355" s="773" t="s">
        <v>132</v>
      </c>
      <c r="U7355" s="773">
        <v>64</v>
      </c>
      <c r="V7355" s="773">
        <v>1</v>
      </c>
      <c r="W7355" s="773" t="s">
        <v>410</v>
      </c>
    </row>
    <row r="7356" spans="19:23">
      <c r="S7356" s="27">
        <v>45107</v>
      </c>
      <c r="T7356" s="773" t="s">
        <v>132</v>
      </c>
      <c r="U7356" s="773">
        <v>161</v>
      </c>
      <c r="V7356" s="773">
        <v>1</v>
      </c>
      <c r="W7356" s="773" t="s">
        <v>410</v>
      </c>
    </row>
    <row r="7357" spans="19:23">
      <c r="S7357" s="27">
        <v>45107</v>
      </c>
      <c r="T7357" s="773" t="s">
        <v>132</v>
      </c>
      <c r="U7357" s="773">
        <v>96</v>
      </c>
      <c r="V7357" s="773">
        <v>3</v>
      </c>
      <c r="W7357" s="773" t="s">
        <v>410</v>
      </c>
    </row>
    <row r="7358" spans="19:23">
      <c r="S7358" s="27">
        <v>45107</v>
      </c>
      <c r="T7358" s="773" t="s">
        <v>132</v>
      </c>
      <c r="U7358" s="773">
        <v>155</v>
      </c>
      <c r="V7358" s="773">
        <v>2588</v>
      </c>
      <c r="W7358" s="773" t="s">
        <v>390</v>
      </c>
    </row>
    <row r="7359" spans="19:23">
      <c r="S7359" s="27">
        <v>45107</v>
      </c>
      <c r="T7359" s="773" t="s">
        <v>132</v>
      </c>
      <c r="U7359" s="773">
        <v>153</v>
      </c>
      <c r="V7359" s="773">
        <v>2336</v>
      </c>
      <c r="W7359" s="773" t="s">
        <v>390</v>
      </c>
    </row>
    <row r="7360" spans="19:23">
      <c r="S7360" s="27">
        <v>45107</v>
      </c>
      <c r="T7360" s="773" t="s">
        <v>132</v>
      </c>
      <c r="U7360" s="773">
        <v>133</v>
      </c>
      <c r="V7360" s="773">
        <v>4</v>
      </c>
      <c r="W7360" s="773" t="s">
        <v>410</v>
      </c>
    </row>
    <row r="7361" spans="19:23">
      <c r="S7361" s="27">
        <v>45107</v>
      </c>
      <c r="T7361" s="773" t="s">
        <v>132</v>
      </c>
      <c r="U7361" s="773">
        <v>84</v>
      </c>
      <c r="V7361" s="773">
        <v>2511</v>
      </c>
      <c r="W7361" s="773" t="s">
        <v>390</v>
      </c>
    </row>
    <row r="7362" spans="19:23">
      <c r="S7362" s="27">
        <v>45107</v>
      </c>
      <c r="T7362" s="773" t="s">
        <v>132</v>
      </c>
      <c r="U7362" s="773">
        <v>41</v>
      </c>
      <c r="V7362" s="773">
        <v>1</v>
      </c>
      <c r="W7362" s="773" t="s">
        <v>410</v>
      </c>
    </row>
    <row r="7363" spans="19:23">
      <c r="S7363" s="27">
        <v>45107</v>
      </c>
      <c r="T7363" s="773" t="s">
        <v>132</v>
      </c>
      <c r="U7363" s="773">
        <v>240</v>
      </c>
      <c r="V7363" s="773">
        <v>3</v>
      </c>
      <c r="W7363" s="773" t="s">
        <v>410</v>
      </c>
    </row>
    <row r="7364" spans="19:23">
      <c r="S7364" s="27">
        <v>45107</v>
      </c>
      <c r="T7364" s="773" t="s">
        <v>132</v>
      </c>
      <c r="U7364" s="773">
        <v>737</v>
      </c>
      <c r="V7364" s="773">
        <v>2189</v>
      </c>
      <c r="W7364" s="773" t="s">
        <v>390</v>
      </c>
    </row>
    <row r="7365" spans="19:23">
      <c r="S7365" s="27">
        <v>45107</v>
      </c>
      <c r="T7365" s="773" t="s">
        <v>132</v>
      </c>
      <c r="U7365" s="773">
        <v>736</v>
      </c>
      <c r="V7365" s="773">
        <v>3688</v>
      </c>
      <c r="W7365" s="773" t="s">
        <v>390</v>
      </c>
    </row>
    <row r="7366" spans="19:23">
      <c r="S7366" s="27">
        <v>45107</v>
      </c>
      <c r="T7366" s="773" t="s">
        <v>132</v>
      </c>
      <c r="U7366" s="773">
        <v>70</v>
      </c>
      <c r="V7366" s="773">
        <v>210</v>
      </c>
      <c r="W7366" s="773" t="s">
        <v>390</v>
      </c>
    </row>
    <row r="7367" spans="19:23">
      <c r="S7367" s="27">
        <v>45107</v>
      </c>
      <c r="T7367" s="773" t="s">
        <v>132</v>
      </c>
      <c r="U7367" s="773">
        <v>621</v>
      </c>
      <c r="V7367" s="773">
        <v>2557</v>
      </c>
      <c r="W7367" s="773" t="s">
        <v>390</v>
      </c>
    </row>
    <row r="7368" spans="19:23">
      <c r="S7368" s="27">
        <v>45107</v>
      </c>
      <c r="T7368" s="773" t="s">
        <v>132</v>
      </c>
      <c r="U7368" s="773">
        <v>120</v>
      </c>
      <c r="V7368" s="773">
        <v>1</v>
      </c>
      <c r="W7368" s="773" t="s">
        <v>410</v>
      </c>
    </row>
    <row r="7369" spans="19:23">
      <c r="S7369" s="27">
        <v>45107</v>
      </c>
      <c r="T7369" s="773" t="s">
        <v>132</v>
      </c>
      <c r="U7369" s="773">
        <v>141</v>
      </c>
      <c r="V7369" s="773">
        <v>1</v>
      </c>
      <c r="W7369" s="773" t="s">
        <v>410</v>
      </c>
    </row>
    <row r="7370" spans="19:23">
      <c r="S7370" s="27">
        <v>45107</v>
      </c>
      <c r="T7370" s="773" t="s">
        <v>132</v>
      </c>
      <c r="U7370" s="773">
        <v>139</v>
      </c>
      <c r="V7370" s="773">
        <v>2541</v>
      </c>
      <c r="W7370" s="773" t="s">
        <v>390</v>
      </c>
    </row>
    <row r="7371" spans="19:23">
      <c r="S7371" s="27">
        <v>45107</v>
      </c>
      <c r="T7371" s="773" t="s">
        <v>132</v>
      </c>
      <c r="U7371" s="773">
        <v>93</v>
      </c>
      <c r="V7371" s="773">
        <v>1142</v>
      </c>
      <c r="W7371" s="773" t="s">
        <v>390</v>
      </c>
    </row>
    <row r="7372" spans="19:23">
      <c r="S7372" s="27">
        <v>45107</v>
      </c>
      <c r="T7372" s="773" t="s">
        <v>132</v>
      </c>
      <c r="U7372" s="773">
        <v>678</v>
      </c>
      <c r="V7372" s="773">
        <v>183</v>
      </c>
      <c r="W7372" s="773" t="s">
        <v>390</v>
      </c>
    </row>
    <row r="7373" spans="19:23">
      <c r="S7373" s="27">
        <v>45107</v>
      </c>
      <c r="T7373" s="773" t="s">
        <v>132</v>
      </c>
      <c r="U7373" s="773">
        <v>666</v>
      </c>
      <c r="V7373" s="773">
        <v>1743</v>
      </c>
      <c r="W7373" s="773" t="s">
        <v>390</v>
      </c>
    </row>
    <row r="7374" spans="19:23">
      <c r="S7374" s="27">
        <v>45107</v>
      </c>
      <c r="T7374" s="773" t="s">
        <v>132</v>
      </c>
      <c r="U7374" s="773">
        <v>725</v>
      </c>
      <c r="V7374" s="773">
        <v>535</v>
      </c>
      <c r="W7374" s="773" t="s">
        <v>390</v>
      </c>
    </row>
    <row r="7375" spans="19:23">
      <c r="S7375" s="27">
        <v>45107</v>
      </c>
      <c r="T7375" s="773" t="s">
        <v>132</v>
      </c>
      <c r="U7375" s="773">
        <v>691</v>
      </c>
      <c r="V7375" s="773">
        <v>3093</v>
      </c>
      <c r="W7375" s="773" t="s">
        <v>390</v>
      </c>
    </row>
    <row r="7376" spans="19:23">
      <c r="S7376" s="27">
        <v>45107</v>
      </c>
      <c r="T7376" s="773" t="s">
        <v>132</v>
      </c>
      <c r="U7376" s="773">
        <v>103</v>
      </c>
      <c r="V7376" s="773">
        <v>1743</v>
      </c>
      <c r="W7376" s="773" t="s">
        <v>390</v>
      </c>
    </row>
    <row r="7377" spans="19:23">
      <c r="S7377" s="27">
        <v>45107</v>
      </c>
      <c r="T7377" s="773" t="s">
        <v>132</v>
      </c>
      <c r="U7377" s="773">
        <v>728</v>
      </c>
      <c r="V7377" s="773">
        <v>1390</v>
      </c>
      <c r="W7377" s="773" t="s">
        <v>390</v>
      </c>
    </row>
    <row r="7378" spans="19:23">
      <c r="S7378" s="27">
        <v>45107</v>
      </c>
      <c r="T7378" s="773" t="s">
        <v>132</v>
      </c>
      <c r="U7378" s="773">
        <v>245</v>
      </c>
      <c r="V7378" s="773">
        <v>3156</v>
      </c>
      <c r="W7378" s="773" t="s">
        <v>390</v>
      </c>
    </row>
    <row r="7379" spans="19:23">
      <c r="S7379" s="27">
        <v>45107</v>
      </c>
      <c r="T7379" s="773" t="s">
        <v>132</v>
      </c>
      <c r="U7379" s="773">
        <v>230</v>
      </c>
      <c r="V7379" s="773">
        <v>7</v>
      </c>
      <c r="W7379" s="773" t="s">
        <v>410</v>
      </c>
    </row>
    <row r="7380" spans="19:23">
      <c r="S7380" s="27">
        <v>45107</v>
      </c>
      <c r="T7380" s="773" t="s">
        <v>132</v>
      </c>
      <c r="U7380" s="773">
        <v>212</v>
      </c>
      <c r="V7380" s="773">
        <v>3489</v>
      </c>
      <c r="W7380" s="773" t="s">
        <v>390</v>
      </c>
    </row>
    <row r="7381" spans="19:23">
      <c r="S7381" s="27">
        <v>45107</v>
      </c>
      <c r="T7381" s="773" t="s">
        <v>132</v>
      </c>
      <c r="U7381" s="773">
        <v>652</v>
      </c>
      <c r="V7381" s="773">
        <v>3592</v>
      </c>
      <c r="W7381" s="773" t="s">
        <v>390</v>
      </c>
    </row>
    <row r="7382" spans="19:23">
      <c r="S7382" s="27">
        <v>45107</v>
      </c>
      <c r="T7382" s="773" t="s">
        <v>132</v>
      </c>
      <c r="U7382" s="773">
        <v>720</v>
      </c>
      <c r="V7382" s="773">
        <v>2998</v>
      </c>
      <c r="W7382" s="773" t="s">
        <v>390</v>
      </c>
    </row>
    <row r="7383" spans="19:23">
      <c r="S7383" s="27">
        <v>45107</v>
      </c>
      <c r="T7383" s="773" t="s">
        <v>132</v>
      </c>
      <c r="U7383" s="773">
        <v>650</v>
      </c>
      <c r="V7383" s="773">
        <v>37</v>
      </c>
      <c r="W7383" s="773" t="s">
        <v>410</v>
      </c>
    </row>
    <row r="7384" spans="19:23">
      <c r="S7384" s="27">
        <v>45107</v>
      </c>
      <c r="T7384" s="773" t="s">
        <v>132</v>
      </c>
      <c r="U7384" s="773">
        <v>58</v>
      </c>
      <c r="V7384" s="773">
        <v>1</v>
      </c>
      <c r="W7384" s="773" t="s">
        <v>410</v>
      </c>
    </row>
    <row r="7385" spans="19:23">
      <c r="S7385" s="27">
        <v>45107</v>
      </c>
      <c r="T7385" s="773" t="s">
        <v>132</v>
      </c>
      <c r="U7385" s="773">
        <v>672</v>
      </c>
      <c r="V7385" s="773">
        <v>2471</v>
      </c>
      <c r="W7385" s="773" t="s">
        <v>390</v>
      </c>
    </row>
    <row r="7386" spans="19:23">
      <c r="S7386" s="27">
        <v>45107</v>
      </c>
      <c r="T7386" s="773" t="s">
        <v>132</v>
      </c>
      <c r="U7386" s="773">
        <v>303</v>
      </c>
      <c r="V7386" s="773">
        <v>4</v>
      </c>
      <c r="W7386" s="773" t="s">
        <v>410</v>
      </c>
    </row>
    <row r="7387" spans="19:23">
      <c r="S7387" s="27">
        <v>45107</v>
      </c>
      <c r="T7387" s="773" t="s">
        <v>132</v>
      </c>
      <c r="U7387" s="773">
        <v>524</v>
      </c>
      <c r="V7387" s="773">
        <v>2</v>
      </c>
      <c r="W7387" s="773" t="s">
        <v>410</v>
      </c>
    </row>
    <row r="7388" spans="19:23">
      <c r="S7388" s="27">
        <v>45107</v>
      </c>
      <c r="T7388" s="773" t="s">
        <v>132</v>
      </c>
      <c r="U7388" s="773">
        <v>701</v>
      </c>
      <c r="V7388" s="773">
        <v>2400</v>
      </c>
      <c r="W7388" s="773" t="s">
        <v>390</v>
      </c>
    </row>
    <row r="7389" spans="19:23">
      <c r="S7389" s="27">
        <v>45107</v>
      </c>
      <c r="T7389" s="773" t="s">
        <v>132</v>
      </c>
      <c r="U7389" s="773">
        <v>257</v>
      </c>
      <c r="V7389" s="773">
        <v>3100</v>
      </c>
      <c r="W7389" s="773" t="s">
        <v>390</v>
      </c>
    </row>
    <row r="7390" spans="19:23">
      <c r="S7390" s="27">
        <v>45107</v>
      </c>
      <c r="T7390" s="773" t="s">
        <v>132</v>
      </c>
      <c r="U7390" s="773">
        <v>700</v>
      </c>
      <c r="V7390" s="773">
        <v>2929</v>
      </c>
      <c r="W7390" s="773" t="s">
        <v>390</v>
      </c>
    </row>
    <row r="7391" spans="19:23">
      <c r="S7391" s="27">
        <v>45107</v>
      </c>
      <c r="T7391" s="773" t="s">
        <v>132</v>
      </c>
      <c r="U7391" s="773">
        <v>256</v>
      </c>
      <c r="V7391" s="773">
        <v>265</v>
      </c>
      <c r="W7391" s="773" t="s">
        <v>390</v>
      </c>
    </row>
    <row r="7392" spans="19:23">
      <c r="S7392" s="27">
        <v>45107</v>
      </c>
      <c r="T7392" s="773" t="s">
        <v>132</v>
      </c>
      <c r="U7392" s="773">
        <v>59</v>
      </c>
      <c r="V7392" s="773">
        <v>3</v>
      </c>
      <c r="W7392" s="773" t="s">
        <v>410</v>
      </c>
    </row>
    <row r="7393" spans="19:23">
      <c r="S7393" s="27">
        <v>45107</v>
      </c>
      <c r="T7393" s="773" t="s">
        <v>132</v>
      </c>
      <c r="U7393" s="773">
        <v>191</v>
      </c>
      <c r="V7393" s="773">
        <v>358</v>
      </c>
      <c r="W7393" s="773" t="s">
        <v>390</v>
      </c>
    </row>
    <row r="7394" spans="19:23">
      <c r="S7394" s="27">
        <v>45107</v>
      </c>
      <c r="T7394" s="773" t="s">
        <v>132</v>
      </c>
      <c r="U7394" s="773">
        <v>136</v>
      </c>
      <c r="V7394" s="773">
        <v>22</v>
      </c>
      <c r="W7394" s="773" t="s">
        <v>410</v>
      </c>
    </row>
    <row r="7395" spans="19:23">
      <c r="S7395" s="27">
        <v>45107</v>
      </c>
      <c r="T7395" s="773" t="s">
        <v>132</v>
      </c>
      <c r="U7395" s="773">
        <v>204</v>
      </c>
      <c r="V7395" s="773">
        <v>7</v>
      </c>
      <c r="W7395" s="773" t="s">
        <v>410</v>
      </c>
    </row>
    <row r="7396" spans="19:23">
      <c r="S7396" s="27">
        <v>45107</v>
      </c>
      <c r="T7396" s="773" t="s">
        <v>132</v>
      </c>
      <c r="U7396" s="773">
        <v>729</v>
      </c>
      <c r="V7396" s="773">
        <v>134</v>
      </c>
      <c r="W7396" s="773" t="s">
        <v>390</v>
      </c>
    </row>
    <row r="7397" spans="19:23">
      <c r="S7397" s="27">
        <v>45107</v>
      </c>
      <c r="T7397" s="773" t="s">
        <v>132</v>
      </c>
      <c r="U7397" s="773">
        <v>48</v>
      </c>
      <c r="V7397" s="773">
        <v>182</v>
      </c>
      <c r="W7397" s="773" t="s">
        <v>390</v>
      </c>
    </row>
    <row r="7398" spans="19:23">
      <c r="S7398" s="27">
        <v>45107</v>
      </c>
      <c r="T7398" s="773" t="s">
        <v>132</v>
      </c>
      <c r="U7398" s="773">
        <v>316</v>
      </c>
      <c r="V7398" s="773">
        <v>7</v>
      </c>
      <c r="W7398" s="773" t="s">
        <v>410</v>
      </c>
    </row>
    <row r="7399" spans="19:23">
      <c r="S7399" s="27">
        <v>45107</v>
      </c>
      <c r="T7399" s="773" t="s">
        <v>132</v>
      </c>
      <c r="U7399" s="773">
        <v>319</v>
      </c>
      <c r="V7399" s="773">
        <v>3243</v>
      </c>
      <c r="W7399" s="773" t="s">
        <v>390</v>
      </c>
    </row>
    <row r="7400" spans="19:23">
      <c r="S7400" s="27">
        <v>45107</v>
      </c>
      <c r="T7400" s="773" t="s">
        <v>132</v>
      </c>
      <c r="U7400" s="773">
        <v>680</v>
      </c>
      <c r="V7400" s="773">
        <v>3113</v>
      </c>
      <c r="W7400" s="773" t="s">
        <v>390</v>
      </c>
    </row>
    <row r="7401" spans="19:23">
      <c r="S7401" s="27">
        <v>45107</v>
      </c>
      <c r="T7401" s="773" t="s">
        <v>132</v>
      </c>
      <c r="U7401" s="773">
        <v>694</v>
      </c>
      <c r="V7401" s="773">
        <v>1</v>
      </c>
      <c r="W7401" s="773" t="s">
        <v>410</v>
      </c>
    </row>
    <row r="7402" spans="19:23">
      <c r="S7402" s="27">
        <v>45107</v>
      </c>
      <c r="T7402" s="773" t="s">
        <v>132</v>
      </c>
      <c r="U7402" s="773">
        <v>105</v>
      </c>
      <c r="V7402" s="773">
        <v>2</v>
      </c>
      <c r="W7402" s="773" t="s">
        <v>410</v>
      </c>
    </row>
    <row r="7403" spans="19:23">
      <c r="S7403" s="27">
        <v>45107</v>
      </c>
      <c r="T7403" s="773" t="s">
        <v>132</v>
      </c>
      <c r="U7403" s="773">
        <v>101</v>
      </c>
      <c r="V7403" s="773">
        <v>281</v>
      </c>
      <c r="W7403" s="773" t="s">
        <v>390</v>
      </c>
    </row>
    <row r="7404" spans="19:23">
      <c r="S7404" s="27">
        <v>45107</v>
      </c>
      <c r="T7404" s="773" t="s">
        <v>132</v>
      </c>
      <c r="U7404" s="773">
        <v>663</v>
      </c>
      <c r="V7404" s="773">
        <v>315</v>
      </c>
      <c r="W7404" s="773" t="s">
        <v>390</v>
      </c>
    </row>
    <row r="7405" spans="19:23">
      <c r="S7405" s="27">
        <v>45107</v>
      </c>
      <c r="T7405" s="773" t="s">
        <v>132</v>
      </c>
      <c r="U7405" s="773">
        <v>805</v>
      </c>
      <c r="V7405" s="773">
        <v>34</v>
      </c>
      <c r="W7405" s="773" t="s">
        <v>410</v>
      </c>
    </row>
    <row r="7406" spans="19:23">
      <c r="S7406" s="27">
        <v>45107</v>
      </c>
      <c r="T7406" s="773" t="s">
        <v>132</v>
      </c>
      <c r="U7406" s="773">
        <v>159</v>
      </c>
      <c r="V7406" s="773">
        <v>10</v>
      </c>
      <c r="W7406" s="773" t="s">
        <v>410</v>
      </c>
    </row>
    <row r="7407" spans="19:23">
      <c r="S7407" s="27">
        <v>45107</v>
      </c>
      <c r="T7407" s="773" t="s">
        <v>132</v>
      </c>
      <c r="U7407" s="773">
        <v>709</v>
      </c>
      <c r="V7407" s="773">
        <v>2502</v>
      </c>
      <c r="W7407" s="773" t="s">
        <v>390</v>
      </c>
    </row>
    <row r="7408" spans="19:23">
      <c r="S7408" s="27">
        <v>45107</v>
      </c>
      <c r="T7408" s="773" t="s">
        <v>132</v>
      </c>
      <c r="U7408" s="773">
        <v>801</v>
      </c>
      <c r="V7408" s="773">
        <v>400</v>
      </c>
      <c r="W7408" s="773" t="s">
        <v>390</v>
      </c>
    </row>
    <row r="7409" spans="19:23">
      <c r="S7409" s="27">
        <v>45107</v>
      </c>
      <c r="T7409" s="773" t="s">
        <v>132</v>
      </c>
      <c r="U7409" s="773">
        <v>716</v>
      </c>
      <c r="V7409" s="773">
        <v>333</v>
      </c>
      <c r="W7409" s="773" t="s">
        <v>390</v>
      </c>
    </row>
    <row r="7410" spans="19:23">
      <c r="S7410" s="27">
        <v>45107</v>
      </c>
      <c r="T7410" s="773" t="s">
        <v>132</v>
      </c>
      <c r="U7410" s="773">
        <v>769</v>
      </c>
      <c r="V7410" s="773">
        <v>1781</v>
      </c>
      <c r="W7410" s="773" t="s">
        <v>390</v>
      </c>
    </row>
    <row r="7411" spans="19:23">
      <c r="S7411" s="27">
        <v>45107</v>
      </c>
      <c r="T7411" s="773" t="s">
        <v>132</v>
      </c>
      <c r="U7411" s="773">
        <v>87</v>
      </c>
      <c r="V7411" s="773">
        <v>2</v>
      </c>
      <c r="W7411" s="773" t="s">
        <v>410</v>
      </c>
    </row>
    <row r="7412" spans="19:23">
      <c r="S7412" s="27">
        <v>45107</v>
      </c>
      <c r="T7412" s="773" t="s">
        <v>132</v>
      </c>
      <c r="U7412" s="773">
        <v>739</v>
      </c>
      <c r="V7412" s="773">
        <v>2177</v>
      </c>
      <c r="W7412" s="773" t="s">
        <v>390</v>
      </c>
    </row>
    <row r="7413" spans="19:23">
      <c r="S7413" s="27">
        <v>45107</v>
      </c>
      <c r="T7413" s="773" t="s">
        <v>132</v>
      </c>
      <c r="U7413" s="773">
        <v>791</v>
      </c>
      <c r="V7413" s="773">
        <v>3217</v>
      </c>
      <c r="W7413" s="773" t="s">
        <v>390</v>
      </c>
    </row>
    <row r="7414" spans="19:23">
      <c r="S7414" s="27">
        <v>45107</v>
      </c>
      <c r="T7414" s="773" t="s">
        <v>132</v>
      </c>
      <c r="U7414" s="773">
        <v>39</v>
      </c>
      <c r="V7414" s="773">
        <v>1</v>
      </c>
      <c r="W7414" s="773" t="s">
        <v>410</v>
      </c>
    </row>
    <row r="7415" spans="19:23">
      <c r="S7415" s="27">
        <v>45107</v>
      </c>
      <c r="T7415" s="773" t="s">
        <v>132</v>
      </c>
      <c r="U7415" s="773">
        <v>312</v>
      </c>
      <c r="V7415" s="773">
        <v>2690</v>
      </c>
      <c r="W7415" s="773" t="s">
        <v>390</v>
      </c>
    </row>
    <row r="7416" spans="19:23">
      <c r="S7416" s="27">
        <v>45107</v>
      </c>
      <c r="T7416" s="773" t="s">
        <v>132</v>
      </c>
      <c r="U7416" s="773">
        <v>173</v>
      </c>
      <c r="V7416" s="773">
        <v>6</v>
      </c>
      <c r="W7416" s="773" t="s">
        <v>410</v>
      </c>
    </row>
    <row r="7417" spans="19:23">
      <c r="S7417" s="27">
        <v>45107</v>
      </c>
      <c r="T7417" s="773" t="s">
        <v>132</v>
      </c>
      <c r="U7417" s="773">
        <v>809</v>
      </c>
      <c r="V7417" s="773">
        <v>74</v>
      </c>
      <c r="W7417" s="773" t="s">
        <v>410</v>
      </c>
    </row>
    <row r="7418" spans="19:23">
      <c r="S7418" s="27">
        <v>45107</v>
      </c>
      <c r="T7418" s="773" t="s">
        <v>132</v>
      </c>
      <c r="U7418" s="773">
        <v>292</v>
      </c>
      <c r="V7418" s="773">
        <v>4</v>
      </c>
      <c r="W7418" s="773" t="s">
        <v>410</v>
      </c>
    </row>
    <row r="7419" spans="19:23">
      <c r="S7419" s="27">
        <v>45107</v>
      </c>
      <c r="T7419" s="773" t="s">
        <v>132</v>
      </c>
      <c r="U7419" s="773">
        <v>148</v>
      </c>
      <c r="V7419" s="773">
        <v>5</v>
      </c>
      <c r="W7419" s="773" t="s">
        <v>410</v>
      </c>
    </row>
    <row r="7420" spans="19:23">
      <c r="S7420" s="27">
        <v>45107</v>
      </c>
      <c r="T7420" s="773" t="s">
        <v>132</v>
      </c>
      <c r="U7420" s="773">
        <v>73</v>
      </c>
      <c r="V7420" s="773">
        <v>3</v>
      </c>
      <c r="W7420" s="773" t="s">
        <v>410</v>
      </c>
    </row>
    <row r="7421" spans="19:23">
      <c r="S7421" s="27">
        <v>45107</v>
      </c>
      <c r="T7421" s="773" t="s">
        <v>132</v>
      </c>
      <c r="U7421" s="773">
        <v>253</v>
      </c>
      <c r="V7421" s="773">
        <v>11</v>
      </c>
      <c r="W7421" s="773" t="s">
        <v>410</v>
      </c>
    </row>
    <row r="7422" spans="19:23">
      <c r="S7422" s="27">
        <v>45107</v>
      </c>
      <c r="T7422" s="773" t="s">
        <v>132</v>
      </c>
      <c r="U7422" s="773">
        <v>665</v>
      </c>
      <c r="V7422" s="773">
        <v>17</v>
      </c>
      <c r="W7422" s="773" t="s">
        <v>410</v>
      </c>
    </row>
    <row r="7423" spans="19:23">
      <c r="S7423" s="27">
        <v>45107</v>
      </c>
      <c r="T7423" s="773" t="s">
        <v>132</v>
      </c>
      <c r="U7423" s="773">
        <v>674</v>
      </c>
      <c r="V7423" s="773">
        <v>3563</v>
      </c>
      <c r="W7423" s="773" t="s">
        <v>390</v>
      </c>
    </row>
    <row r="7424" spans="19:23">
      <c r="S7424" s="27">
        <v>45107</v>
      </c>
      <c r="T7424" s="773" t="s">
        <v>132</v>
      </c>
      <c r="U7424" s="773">
        <v>124</v>
      </c>
      <c r="V7424" s="773">
        <v>1</v>
      </c>
      <c r="W7424" s="773" t="s">
        <v>410</v>
      </c>
    </row>
    <row r="7425" spans="19:23">
      <c r="S7425" s="27">
        <v>45107</v>
      </c>
      <c r="T7425" s="773" t="s">
        <v>132</v>
      </c>
      <c r="U7425" s="773">
        <v>342</v>
      </c>
      <c r="V7425" s="773">
        <v>2728</v>
      </c>
      <c r="W7425" s="773" t="s">
        <v>390</v>
      </c>
    </row>
    <row r="7426" spans="19:23">
      <c r="S7426" s="27">
        <v>45107</v>
      </c>
      <c r="T7426" s="773" t="s">
        <v>132</v>
      </c>
      <c r="U7426" s="773">
        <v>130</v>
      </c>
      <c r="V7426" s="773">
        <v>2</v>
      </c>
      <c r="W7426" s="773" t="s">
        <v>410</v>
      </c>
    </row>
    <row r="7427" spans="19:23">
      <c r="S7427" s="27">
        <v>45107</v>
      </c>
      <c r="T7427" s="773" t="s">
        <v>132</v>
      </c>
      <c r="U7427" s="773">
        <v>35</v>
      </c>
      <c r="V7427" s="773">
        <v>875</v>
      </c>
      <c r="W7427" s="773" t="s">
        <v>390</v>
      </c>
    </row>
    <row r="7428" spans="19:23">
      <c r="S7428" s="27">
        <v>45107</v>
      </c>
      <c r="T7428" s="773" t="s">
        <v>132</v>
      </c>
      <c r="U7428" s="773">
        <v>318</v>
      </c>
      <c r="V7428" s="773">
        <v>2570</v>
      </c>
      <c r="W7428" s="773" t="s">
        <v>390</v>
      </c>
    </row>
    <row r="7429" spans="19:23">
      <c r="S7429" s="27">
        <v>45107</v>
      </c>
      <c r="T7429" s="773" t="s">
        <v>132</v>
      </c>
      <c r="U7429" s="773">
        <v>740</v>
      </c>
      <c r="V7429" s="773">
        <v>750</v>
      </c>
      <c r="W7429" s="773" t="s">
        <v>390</v>
      </c>
    </row>
    <row r="7430" spans="19:23">
      <c r="S7430" s="27">
        <v>45107</v>
      </c>
      <c r="T7430" s="773" t="s">
        <v>132</v>
      </c>
      <c r="U7430" s="773">
        <v>227</v>
      </c>
      <c r="V7430" s="773">
        <v>1</v>
      </c>
      <c r="W7430" s="773" t="s">
        <v>410</v>
      </c>
    </row>
    <row r="7431" spans="19:23">
      <c r="S7431" s="27">
        <v>45107</v>
      </c>
      <c r="T7431" s="773" t="s">
        <v>132</v>
      </c>
      <c r="U7431" s="773">
        <v>132</v>
      </c>
      <c r="V7431" s="773">
        <v>3030</v>
      </c>
      <c r="W7431" s="773" t="s">
        <v>390</v>
      </c>
    </row>
    <row r="7432" spans="19:23">
      <c r="S7432" s="27">
        <v>45107</v>
      </c>
      <c r="T7432" s="773" t="s">
        <v>132</v>
      </c>
      <c r="U7432" s="773">
        <v>164</v>
      </c>
      <c r="V7432" s="773">
        <v>11</v>
      </c>
      <c r="W7432" s="773" t="s">
        <v>410</v>
      </c>
    </row>
    <row r="7433" spans="19:23">
      <c r="S7433" s="27">
        <v>45107</v>
      </c>
      <c r="T7433" s="773" t="s">
        <v>132</v>
      </c>
      <c r="U7433" s="773">
        <v>52</v>
      </c>
      <c r="V7433" s="773">
        <v>8</v>
      </c>
      <c r="W7433" s="773" t="s">
        <v>410</v>
      </c>
    </row>
    <row r="7434" spans="19:23">
      <c r="S7434" s="27">
        <v>45107</v>
      </c>
      <c r="T7434" s="773" t="s">
        <v>132</v>
      </c>
      <c r="U7434" s="773">
        <v>697</v>
      </c>
      <c r="V7434" s="773">
        <v>1470</v>
      </c>
      <c r="W7434" s="773" t="s">
        <v>390</v>
      </c>
    </row>
    <row r="7435" spans="19:23">
      <c r="S7435" s="27">
        <v>45107</v>
      </c>
      <c r="T7435" s="773" t="s">
        <v>132</v>
      </c>
      <c r="U7435" s="773">
        <v>653</v>
      </c>
      <c r="V7435" s="773">
        <v>9</v>
      </c>
      <c r="W7435" s="773" t="s">
        <v>410</v>
      </c>
    </row>
    <row r="7436" spans="19:23">
      <c r="S7436" s="27">
        <v>45107</v>
      </c>
      <c r="T7436" s="773" t="s">
        <v>132</v>
      </c>
      <c r="U7436" s="773">
        <v>658</v>
      </c>
      <c r="V7436" s="773">
        <v>6</v>
      </c>
      <c r="W7436" s="773" t="s">
        <v>410</v>
      </c>
    </row>
    <row r="7437" spans="19:23">
      <c r="S7437" s="27">
        <v>45107</v>
      </c>
      <c r="T7437" s="773" t="s">
        <v>132</v>
      </c>
      <c r="U7437" s="773">
        <v>325</v>
      </c>
      <c r="V7437" s="773">
        <v>2200</v>
      </c>
      <c r="W7437" s="773" t="s">
        <v>390</v>
      </c>
    </row>
    <row r="7438" spans="19:23">
      <c r="S7438" s="27">
        <v>45107</v>
      </c>
      <c r="T7438" s="773" t="s">
        <v>132</v>
      </c>
      <c r="U7438" s="773">
        <v>53</v>
      </c>
      <c r="V7438" s="773">
        <v>4</v>
      </c>
      <c r="W7438" s="773" t="s">
        <v>410</v>
      </c>
    </row>
    <row r="7439" spans="19:23">
      <c r="S7439" s="27">
        <v>45107</v>
      </c>
      <c r="T7439" s="773" t="s">
        <v>132</v>
      </c>
      <c r="U7439" s="773">
        <v>320</v>
      </c>
      <c r="V7439" s="773">
        <v>1710</v>
      </c>
      <c r="W7439" s="773" t="s">
        <v>390</v>
      </c>
    </row>
    <row r="7440" spans="19:23">
      <c r="S7440" s="27">
        <v>45107</v>
      </c>
      <c r="T7440" s="773" t="s">
        <v>132</v>
      </c>
      <c r="U7440" s="773">
        <v>218</v>
      </c>
      <c r="V7440" s="773">
        <v>181</v>
      </c>
      <c r="W7440" s="773" t="s">
        <v>390</v>
      </c>
    </row>
    <row r="7441" spans="19:23">
      <c r="S7441" s="27">
        <v>45107</v>
      </c>
      <c r="T7441" s="773" t="s">
        <v>132</v>
      </c>
      <c r="U7441" s="773">
        <v>129</v>
      </c>
      <c r="V7441" s="773">
        <v>4</v>
      </c>
      <c r="W7441" s="773" t="s">
        <v>410</v>
      </c>
    </row>
    <row r="7442" spans="19:23">
      <c r="S7442" s="27">
        <v>45107</v>
      </c>
      <c r="T7442" s="773" t="s">
        <v>132</v>
      </c>
      <c r="U7442" s="773">
        <v>0</v>
      </c>
      <c r="V7442" s="773">
        <v>46</v>
      </c>
      <c r="W7442" s="773" t="s">
        <v>410</v>
      </c>
    </row>
    <row r="7443" spans="19:23">
      <c r="S7443" s="27">
        <v>45107</v>
      </c>
      <c r="T7443" s="773" t="s">
        <v>132</v>
      </c>
      <c r="U7443" s="773">
        <v>81</v>
      </c>
      <c r="V7443" s="773">
        <v>9</v>
      </c>
      <c r="W7443" s="773" t="s">
        <v>410</v>
      </c>
    </row>
    <row r="7444" spans="19:23">
      <c r="S7444" s="27">
        <v>45107</v>
      </c>
      <c r="T7444" s="773" t="s">
        <v>132</v>
      </c>
      <c r="U7444" s="773">
        <v>140</v>
      </c>
      <c r="V7444" s="773">
        <v>710</v>
      </c>
      <c r="W7444" s="773" t="s">
        <v>390</v>
      </c>
    </row>
    <row r="7445" spans="19:23">
      <c r="S7445" s="27">
        <v>45107</v>
      </c>
      <c r="T7445" s="773" t="s">
        <v>132</v>
      </c>
      <c r="U7445" s="773">
        <v>802</v>
      </c>
      <c r="V7445" s="773">
        <v>35</v>
      </c>
      <c r="W7445" s="773" t="s">
        <v>410</v>
      </c>
    </row>
    <row r="7446" spans="19:23">
      <c r="S7446" s="27">
        <v>45107</v>
      </c>
      <c r="T7446" s="773" t="s">
        <v>132</v>
      </c>
      <c r="U7446" s="773">
        <v>662</v>
      </c>
      <c r="V7446" s="773">
        <v>18</v>
      </c>
      <c r="W7446" s="773" t="s">
        <v>410</v>
      </c>
    </row>
    <row r="7447" spans="19:23">
      <c r="S7447" s="27">
        <v>45107</v>
      </c>
      <c r="T7447" s="773" t="s">
        <v>132</v>
      </c>
      <c r="U7447" s="773">
        <v>76</v>
      </c>
      <c r="V7447" s="773">
        <v>2981</v>
      </c>
      <c r="W7447" s="773" t="s">
        <v>390</v>
      </c>
    </row>
    <row r="7448" spans="19:23">
      <c r="S7448" s="27">
        <v>45107</v>
      </c>
      <c r="T7448" s="773" t="s">
        <v>132</v>
      </c>
      <c r="U7448" s="773">
        <v>326</v>
      </c>
      <c r="V7448" s="773">
        <v>2824</v>
      </c>
      <c r="W7448" s="773" t="s">
        <v>390</v>
      </c>
    </row>
    <row r="7449" spans="19:23">
      <c r="S7449" s="27">
        <v>45107</v>
      </c>
      <c r="T7449" s="773" t="s">
        <v>132</v>
      </c>
      <c r="U7449" s="773">
        <v>306</v>
      </c>
      <c r="V7449" s="773">
        <v>2457</v>
      </c>
      <c r="W7449" s="773" t="s">
        <v>390</v>
      </c>
    </row>
    <row r="7450" spans="19:23">
      <c r="S7450" s="27">
        <v>45107</v>
      </c>
      <c r="T7450" s="773" t="s">
        <v>132</v>
      </c>
      <c r="U7450" s="773">
        <v>790</v>
      </c>
      <c r="V7450" s="773">
        <v>680</v>
      </c>
      <c r="W7450" s="773" t="s">
        <v>390</v>
      </c>
    </row>
    <row r="7451" spans="19:23">
      <c r="S7451" s="27">
        <v>45107</v>
      </c>
      <c r="T7451" s="773" t="s">
        <v>132</v>
      </c>
      <c r="U7451" s="773">
        <v>13</v>
      </c>
      <c r="V7451" s="773">
        <v>2562</v>
      </c>
      <c r="W7451" s="773" t="s">
        <v>390</v>
      </c>
    </row>
    <row r="7452" spans="19:23">
      <c r="S7452" s="27">
        <v>45107</v>
      </c>
      <c r="T7452" s="773" t="s">
        <v>132</v>
      </c>
      <c r="U7452" s="773">
        <v>693</v>
      </c>
      <c r="V7452" s="773">
        <v>1</v>
      </c>
      <c r="W7452" s="773" t="s">
        <v>410</v>
      </c>
    </row>
    <row r="7453" spans="19:23">
      <c r="S7453" s="27">
        <v>45107</v>
      </c>
      <c r="T7453" s="773" t="s">
        <v>132</v>
      </c>
      <c r="U7453" s="773">
        <v>703</v>
      </c>
      <c r="V7453" s="773">
        <v>141</v>
      </c>
      <c r="W7453" s="773" t="s">
        <v>390</v>
      </c>
    </row>
    <row r="7454" spans="19:23">
      <c r="S7454" s="27">
        <v>45107</v>
      </c>
      <c r="T7454" s="773" t="s">
        <v>132</v>
      </c>
      <c r="U7454" s="773">
        <v>200</v>
      </c>
      <c r="V7454" s="773">
        <v>7</v>
      </c>
      <c r="W7454" s="773" t="s">
        <v>410</v>
      </c>
    </row>
    <row r="7455" spans="19:23">
      <c r="S7455" s="27">
        <v>45107</v>
      </c>
      <c r="T7455" s="773" t="s">
        <v>132</v>
      </c>
      <c r="U7455" s="773">
        <v>311</v>
      </c>
      <c r="V7455" s="773">
        <v>2564</v>
      </c>
      <c r="W7455" s="773" t="s">
        <v>390</v>
      </c>
    </row>
    <row r="7456" spans="19:23">
      <c r="S7456" s="27">
        <v>45107</v>
      </c>
      <c r="T7456" s="773" t="s">
        <v>132</v>
      </c>
      <c r="U7456" s="773">
        <v>252</v>
      </c>
      <c r="V7456" s="773">
        <v>196</v>
      </c>
      <c r="W7456" s="773" t="s">
        <v>390</v>
      </c>
    </row>
    <row r="7457" spans="19:23">
      <c r="S7457" s="27">
        <v>45107</v>
      </c>
      <c r="T7457" s="773" t="s">
        <v>132</v>
      </c>
      <c r="U7457" s="773">
        <v>241</v>
      </c>
      <c r="V7457" s="773">
        <v>12</v>
      </c>
      <c r="W7457" s="773" t="s">
        <v>410</v>
      </c>
    </row>
    <row r="7458" spans="19:23">
      <c r="S7458" s="27">
        <v>45107</v>
      </c>
      <c r="T7458" s="773" t="s">
        <v>132</v>
      </c>
      <c r="U7458" s="773">
        <v>233</v>
      </c>
      <c r="V7458" s="773">
        <v>2131</v>
      </c>
      <c r="W7458" s="773" t="s">
        <v>390</v>
      </c>
    </row>
    <row r="7459" spans="19:23">
      <c r="S7459" s="27">
        <v>45107</v>
      </c>
      <c r="T7459" s="773" t="s">
        <v>132</v>
      </c>
      <c r="U7459" s="773">
        <v>266</v>
      </c>
      <c r="V7459" s="773">
        <v>2483</v>
      </c>
      <c r="W7459" s="773" t="s">
        <v>390</v>
      </c>
    </row>
    <row r="7460" spans="19:23">
      <c r="S7460" s="27">
        <v>45107</v>
      </c>
      <c r="T7460" s="773" t="s">
        <v>132</v>
      </c>
      <c r="U7460" s="773">
        <v>246</v>
      </c>
      <c r="V7460" s="773">
        <v>8</v>
      </c>
      <c r="W7460" s="773" t="s">
        <v>410</v>
      </c>
    </row>
    <row r="7461" spans="19:23">
      <c r="S7461" s="27">
        <v>45107</v>
      </c>
      <c r="T7461" s="773" t="s">
        <v>132</v>
      </c>
      <c r="U7461" s="773">
        <v>171</v>
      </c>
      <c r="V7461" s="773">
        <v>57</v>
      </c>
      <c r="W7461" s="773" t="s">
        <v>410</v>
      </c>
    </row>
    <row r="7462" spans="19:23">
      <c r="S7462" s="27">
        <v>45107</v>
      </c>
      <c r="T7462" s="773" t="s">
        <v>132</v>
      </c>
      <c r="U7462" s="773">
        <v>732</v>
      </c>
      <c r="V7462" s="773">
        <v>3580</v>
      </c>
      <c r="W7462" s="773" t="s">
        <v>390</v>
      </c>
    </row>
    <row r="7463" spans="19:23">
      <c r="S7463" s="27">
        <v>45107</v>
      </c>
      <c r="T7463" s="773" t="s">
        <v>132</v>
      </c>
      <c r="U7463" s="773">
        <v>750</v>
      </c>
      <c r="V7463" s="773">
        <v>204</v>
      </c>
      <c r="W7463" s="773" t="s">
        <v>390</v>
      </c>
    </row>
    <row r="7464" spans="19:23">
      <c r="S7464" s="27">
        <v>45107</v>
      </c>
      <c r="T7464" s="773" t="s">
        <v>132</v>
      </c>
      <c r="U7464" s="773">
        <v>56</v>
      </c>
      <c r="V7464" s="773">
        <v>9</v>
      </c>
      <c r="W7464" s="773" t="s">
        <v>410</v>
      </c>
    </row>
    <row r="7465" spans="19:23">
      <c r="S7465" s="27">
        <v>45107</v>
      </c>
      <c r="T7465" s="773" t="s">
        <v>132</v>
      </c>
      <c r="U7465" s="773">
        <v>317</v>
      </c>
      <c r="V7465" s="773">
        <v>3442</v>
      </c>
      <c r="W7465" s="773" t="s">
        <v>390</v>
      </c>
    </row>
    <row r="7466" spans="19:23">
      <c r="S7466" s="27">
        <v>45107</v>
      </c>
      <c r="T7466" s="773" t="s">
        <v>132</v>
      </c>
      <c r="U7466" s="773">
        <v>323</v>
      </c>
      <c r="V7466" s="773">
        <v>3179</v>
      </c>
      <c r="W7466" s="773" t="s">
        <v>390</v>
      </c>
    </row>
    <row r="7467" spans="19:23">
      <c r="S7467" s="27">
        <v>45107</v>
      </c>
      <c r="T7467" s="773" t="s">
        <v>132</v>
      </c>
      <c r="U7467" s="773">
        <v>108</v>
      </c>
      <c r="V7467" s="773">
        <v>10</v>
      </c>
      <c r="W7467" s="773" t="s">
        <v>410</v>
      </c>
    </row>
    <row r="7468" spans="19:23">
      <c r="S7468" s="27">
        <v>45107</v>
      </c>
      <c r="T7468" s="773" t="s">
        <v>132</v>
      </c>
      <c r="U7468" s="773">
        <v>748</v>
      </c>
      <c r="V7468" s="773">
        <v>200</v>
      </c>
      <c r="W7468" s="773" t="s">
        <v>390</v>
      </c>
    </row>
    <row r="7469" spans="19:23">
      <c r="S7469" s="27">
        <v>45107</v>
      </c>
      <c r="T7469" s="773" t="s">
        <v>132</v>
      </c>
      <c r="U7469" s="773">
        <v>247</v>
      </c>
      <c r="V7469" s="773">
        <v>2488</v>
      </c>
      <c r="W7469" s="773" t="s">
        <v>390</v>
      </c>
    </row>
    <row r="7470" spans="19:23">
      <c r="S7470" s="27">
        <v>45107</v>
      </c>
      <c r="T7470" s="773" t="s">
        <v>132</v>
      </c>
      <c r="U7470" s="773">
        <v>699</v>
      </c>
      <c r="V7470" s="773">
        <v>1362</v>
      </c>
      <c r="W7470" s="773" t="s">
        <v>390</v>
      </c>
    </row>
    <row r="7471" spans="19:23">
      <c r="S7471" s="27">
        <v>45107</v>
      </c>
      <c r="T7471" s="773" t="s">
        <v>132</v>
      </c>
      <c r="U7471" s="773">
        <v>83</v>
      </c>
      <c r="V7471" s="773">
        <v>2534</v>
      </c>
      <c r="W7471" s="773" t="s">
        <v>390</v>
      </c>
    </row>
    <row r="7472" spans="19:23">
      <c r="S7472" s="27">
        <v>45107</v>
      </c>
      <c r="T7472" s="773" t="s">
        <v>132</v>
      </c>
      <c r="U7472" s="773">
        <v>195</v>
      </c>
      <c r="V7472" s="773">
        <v>1</v>
      </c>
      <c r="W7472" s="773" t="s">
        <v>410</v>
      </c>
    </row>
    <row r="7473" spans="19:23">
      <c r="S7473" s="27">
        <v>45107</v>
      </c>
      <c r="T7473" s="773" t="s">
        <v>132</v>
      </c>
      <c r="U7473" s="773">
        <v>305</v>
      </c>
      <c r="V7473" s="773">
        <v>5001</v>
      </c>
      <c r="W7473" s="773" t="s">
        <v>390</v>
      </c>
    </row>
    <row r="7474" spans="19:23">
      <c r="S7474" s="27">
        <v>45107</v>
      </c>
      <c r="T7474" s="773" t="s">
        <v>132</v>
      </c>
      <c r="U7474" s="773">
        <v>89</v>
      </c>
      <c r="V7474" s="773">
        <v>1100</v>
      </c>
      <c r="W7474" s="773" t="s">
        <v>390</v>
      </c>
    </row>
    <row r="7475" spans="19:23">
      <c r="S7475" s="27">
        <v>45107</v>
      </c>
      <c r="T7475" s="773" t="s">
        <v>132</v>
      </c>
      <c r="U7475" s="773">
        <v>283</v>
      </c>
      <c r="V7475" s="773">
        <v>1</v>
      </c>
      <c r="W7475" s="773" t="s">
        <v>410</v>
      </c>
    </row>
    <row r="7476" spans="19:23">
      <c r="S7476" s="27">
        <v>45107</v>
      </c>
      <c r="T7476" s="773" t="s">
        <v>132</v>
      </c>
      <c r="U7476" s="773">
        <v>294</v>
      </c>
      <c r="V7476" s="773">
        <v>3</v>
      </c>
      <c r="W7476" s="773" t="s">
        <v>410</v>
      </c>
    </row>
    <row r="7477" spans="19:23">
      <c r="S7477" s="27">
        <v>45107</v>
      </c>
      <c r="T7477" s="773" t="s">
        <v>132</v>
      </c>
      <c r="U7477" s="773">
        <v>216</v>
      </c>
      <c r="V7477" s="773">
        <v>2650</v>
      </c>
      <c r="W7477" s="773" t="s">
        <v>390</v>
      </c>
    </row>
    <row r="7478" spans="19:23">
      <c r="S7478" s="27">
        <v>45107</v>
      </c>
      <c r="T7478" s="773" t="s">
        <v>132</v>
      </c>
      <c r="U7478" s="773">
        <v>675</v>
      </c>
      <c r="V7478" s="773">
        <v>50</v>
      </c>
      <c r="W7478" s="773" t="s">
        <v>410</v>
      </c>
    </row>
    <row r="7479" spans="19:23">
      <c r="S7479" s="27">
        <v>45107</v>
      </c>
      <c r="T7479" s="773" t="s">
        <v>132</v>
      </c>
      <c r="U7479" s="773">
        <v>654</v>
      </c>
      <c r="V7479" s="773">
        <v>947</v>
      </c>
      <c r="W7479" s="773" t="s">
        <v>390</v>
      </c>
    </row>
    <row r="7480" spans="19:23">
      <c r="S7480" s="27">
        <v>45107</v>
      </c>
      <c r="T7480" s="773" t="s">
        <v>132</v>
      </c>
      <c r="U7480" s="773">
        <v>523</v>
      </c>
      <c r="V7480" s="773">
        <v>1</v>
      </c>
      <c r="W7480" s="773" t="s">
        <v>410</v>
      </c>
    </row>
    <row r="7481" spans="19:23">
      <c r="S7481" s="27">
        <v>45107</v>
      </c>
      <c r="T7481" s="773" t="s">
        <v>132</v>
      </c>
      <c r="U7481" s="773">
        <v>82</v>
      </c>
      <c r="V7481" s="773">
        <v>1</v>
      </c>
      <c r="W7481" s="773" t="s">
        <v>410</v>
      </c>
    </row>
    <row r="7482" spans="19:23">
      <c r="S7482" s="27">
        <v>45107</v>
      </c>
      <c r="T7482" s="773" t="s">
        <v>132</v>
      </c>
      <c r="U7482" s="773">
        <v>158</v>
      </c>
      <c r="V7482" s="773">
        <v>169</v>
      </c>
      <c r="W7482" s="773" t="s">
        <v>390</v>
      </c>
    </row>
    <row r="7483" spans="19:23">
      <c r="S7483" s="27">
        <v>45107</v>
      </c>
      <c r="T7483" s="773" t="s">
        <v>132</v>
      </c>
      <c r="U7483" s="773">
        <v>792</v>
      </c>
      <c r="V7483" s="773">
        <v>695</v>
      </c>
      <c r="W7483" s="773" t="s">
        <v>390</v>
      </c>
    </row>
    <row r="7484" spans="19:23">
      <c r="S7484" s="27">
        <v>45107</v>
      </c>
      <c r="T7484" s="773" t="s">
        <v>132</v>
      </c>
      <c r="U7484" s="773">
        <v>264</v>
      </c>
      <c r="V7484" s="773">
        <v>393</v>
      </c>
      <c r="W7484" s="773" t="s">
        <v>390</v>
      </c>
    </row>
    <row r="7485" spans="19:23">
      <c r="S7485" s="27">
        <v>45107</v>
      </c>
      <c r="T7485" s="773" t="s">
        <v>132</v>
      </c>
      <c r="U7485" s="773">
        <v>78</v>
      </c>
      <c r="V7485" s="773">
        <v>10</v>
      </c>
      <c r="W7485" s="773" t="s">
        <v>410</v>
      </c>
    </row>
    <row r="7486" spans="19:23">
      <c r="S7486" s="27">
        <v>45107</v>
      </c>
      <c r="T7486" s="773" t="s">
        <v>132</v>
      </c>
      <c r="U7486" s="773">
        <v>814</v>
      </c>
      <c r="V7486" s="773">
        <v>3</v>
      </c>
      <c r="W7486" s="773" t="s">
        <v>410</v>
      </c>
    </row>
    <row r="7487" spans="19:23">
      <c r="S7487" s="27">
        <v>45107</v>
      </c>
      <c r="T7487" s="773" t="s">
        <v>132</v>
      </c>
      <c r="U7487" s="773">
        <v>297</v>
      </c>
      <c r="V7487" s="773">
        <v>1577</v>
      </c>
      <c r="W7487" s="773" t="s">
        <v>390</v>
      </c>
    </row>
    <row r="7488" spans="19:23">
      <c r="S7488" s="27">
        <v>45107</v>
      </c>
      <c r="T7488" s="773" t="s">
        <v>132</v>
      </c>
      <c r="U7488" s="773">
        <v>799</v>
      </c>
      <c r="V7488" s="773">
        <v>64</v>
      </c>
      <c r="W7488" s="773" t="s">
        <v>410</v>
      </c>
    </row>
    <row r="7489" spans="19:23">
      <c r="S7489" s="27">
        <v>45107</v>
      </c>
      <c r="T7489" s="773" t="s">
        <v>132</v>
      </c>
      <c r="U7489" s="773">
        <v>194</v>
      </c>
      <c r="V7489" s="773">
        <v>201</v>
      </c>
      <c r="W7489" s="773" t="s">
        <v>390</v>
      </c>
    </row>
    <row r="7490" spans="19:23">
      <c r="S7490" s="27">
        <v>45107</v>
      </c>
      <c r="T7490" s="773" t="s">
        <v>132</v>
      </c>
      <c r="U7490" s="773">
        <v>202</v>
      </c>
      <c r="V7490" s="773">
        <v>2</v>
      </c>
      <c r="W7490" s="773" t="s">
        <v>410</v>
      </c>
    </row>
    <row r="7491" spans="19:23">
      <c r="S7491" s="27">
        <v>45107</v>
      </c>
      <c r="T7491" s="773" t="s">
        <v>132</v>
      </c>
      <c r="U7491" s="773">
        <v>798</v>
      </c>
      <c r="V7491" s="773">
        <v>91</v>
      </c>
      <c r="W7491" s="773" t="s">
        <v>410</v>
      </c>
    </row>
    <row r="7492" spans="19:23">
      <c r="S7492" s="27">
        <v>45107</v>
      </c>
      <c r="T7492" s="773" t="s">
        <v>132</v>
      </c>
      <c r="U7492" s="773">
        <v>150</v>
      </c>
      <c r="V7492" s="773">
        <v>332</v>
      </c>
      <c r="W7492" s="773" t="s">
        <v>390</v>
      </c>
    </row>
    <row r="7493" spans="19:23">
      <c r="S7493" s="27">
        <v>45138</v>
      </c>
      <c r="T7493" s="773" t="s">
        <v>132</v>
      </c>
      <c r="U7493" s="773">
        <v>241</v>
      </c>
      <c r="V7493" s="773">
        <v>12</v>
      </c>
      <c r="W7493" s="773" t="s">
        <v>410</v>
      </c>
    </row>
    <row r="7494" spans="19:23">
      <c r="S7494" s="27">
        <v>45138</v>
      </c>
      <c r="T7494" s="773" t="s">
        <v>132</v>
      </c>
      <c r="U7494" s="773">
        <v>41</v>
      </c>
      <c r="V7494" s="773">
        <v>1</v>
      </c>
      <c r="W7494" s="773" t="s">
        <v>410</v>
      </c>
    </row>
    <row r="7495" spans="19:23">
      <c r="S7495" s="27">
        <v>45138</v>
      </c>
      <c r="T7495" s="773" t="s">
        <v>132</v>
      </c>
      <c r="U7495" s="773">
        <v>150</v>
      </c>
      <c r="V7495" s="773">
        <v>331</v>
      </c>
      <c r="W7495" s="773" t="s">
        <v>390</v>
      </c>
    </row>
    <row r="7496" spans="19:23">
      <c r="S7496" s="27">
        <v>45138</v>
      </c>
      <c r="T7496" s="773" t="s">
        <v>132</v>
      </c>
      <c r="U7496" s="773">
        <v>233</v>
      </c>
      <c r="V7496" s="773">
        <v>2125</v>
      </c>
      <c r="W7496" s="773" t="s">
        <v>390</v>
      </c>
    </row>
    <row r="7497" spans="19:23">
      <c r="S7497" s="27">
        <v>45138</v>
      </c>
      <c r="T7497" s="773" t="s">
        <v>132</v>
      </c>
      <c r="U7497" s="773">
        <v>264</v>
      </c>
      <c r="V7497" s="773">
        <v>397</v>
      </c>
      <c r="W7497" s="773" t="s">
        <v>390</v>
      </c>
    </row>
    <row r="7498" spans="19:23">
      <c r="S7498" s="27">
        <v>45138</v>
      </c>
      <c r="T7498" s="773" t="s">
        <v>132</v>
      </c>
      <c r="U7498" s="773">
        <v>230</v>
      </c>
      <c r="V7498" s="773">
        <v>7</v>
      </c>
      <c r="W7498" s="773" t="s">
        <v>410</v>
      </c>
    </row>
    <row r="7499" spans="19:23">
      <c r="S7499" s="27">
        <v>45138</v>
      </c>
      <c r="T7499" s="773" t="s">
        <v>132</v>
      </c>
      <c r="U7499" s="773">
        <v>664</v>
      </c>
      <c r="V7499" s="773">
        <v>3582</v>
      </c>
      <c r="W7499" s="773" t="s">
        <v>390</v>
      </c>
    </row>
    <row r="7500" spans="19:23">
      <c r="S7500" s="27">
        <v>45138</v>
      </c>
      <c r="T7500" s="773" t="s">
        <v>132</v>
      </c>
      <c r="U7500" s="773">
        <v>43</v>
      </c>
      <c r="V7500" s="773">
        <v>1036</v>
      </c>
      <c r="W7500" s="773" t="s">
        <v>390</v>
      </c>
    </row>
    <row r="7501" spans="19:23">
      <c r="S7501" s="27">
        <v>45138</v>
      </c>
      <c r="T7501" s="773" t="s">
        <v>132</v>
      </c>
      <c r="U7501" s="773">
        <v>809</v>
      </c>
      <c r="V7501" s="773">
        <v>85</v>
      </c>
      <c r="W7501" s="773" t="s">
        <v>410</v>
      </c>
    </row>
    <row r="7502" spans="19:23">
      <c r="S7502" s="27">
        <v>45138</v>
      </c>
      <c r="T7502" s="773" t="s">
        <v>132</v>
      </c>
      <c r="U7502" s="773">
        <v>133</v>
      </c>
      <c r="V7502" s="773">
        <v>4</v>
      </c>
      <c r="W7502" s="773" t="s">
        <v>410</v>
      </c>
    </row>
    <row r="7503" spans="19:23">
      <c r="S7503" s="27">
        <v>45138</v>
      </c>
      <c r="T7503" s="773" t="s">
        <v>132</v>
      </c>
      <c r="U7503" s="773">
        <v>706</v>
      </c>
      <c r="V7503" s="773">
        <v>1230</v>
      </c>
      <c r="W7503" s="773" t="s">
        <v>390</v>
      </c>
    </row>
    <row r="7504" spans="19:23">
      <c r="S7504" s="27">
        <v>45138</v>
      </c>
      <c r="T7504" s="773" t="s">
        <v>132</v>
      </c>
      <c r="U7504" s="773">
        <v>102</v>
      </c>
      <c r="V7504" s="773">
        <v>2</v>
      </c>
      <c r="W7504" s="773" t="s">
        <v>410</v>
      </c>
    </row>
    <row r="7505" spans="19:23">
      <c r="S7505" s="27">
        <v>45138</v>
      </c>
      <c r="T7505" s="773" t="s">
        <v>132</v>
      </c>
      <c r="U7505" s="773">
        <v>0</v>
      </c>
      <c r="V7505" s="773">
        <v>45</v>
      </c>
      <c r="W7505" s="773" t="s">
        <v>410</v>
      </c>
    </row>
    <row r="7506" spans="19:23">
      <c r="S7506" s="27">
        <v>45138</v>
      </c>
      <c r="T7506" s="773" t="s">
        <v>132</v>
      </c>
      <c r="U7506" s="773">
        <v>64</v>
      </c>
      <c r="V7506" s="773">
        <v>1</v>
      </c>
      <c r="W7506" s="773" t="s">
        <v>410</v>
      </c>
    </row>
    <row r="7507" spans="19:23">
      <c r="S7507" s="27">
        <v>45138</v>
      </c>
      <c r="T7507" s="773" t="s">
        <v>132</v>
      </c>
      <c r="U7507" s="773">
        <v>735</v>
      </c>
      <c r="V7507" s="773">
        <v>2708</v>
      </c>
      <c r="W7507" s="773" t="s">
        <v>390</v>
      </c>
    </row>
    <row r="7508" spans="19:23">
      <c r="S7508" s="27">
        <v>45138</v>
      </c>
      <c r="T7508" s="773" t="s">
        <v>132</v>
      </c>
      <c r="U7508" s="773">
        <v>320</v>
      </c>
      <c r="V7508" s="773">
        <v>1689</v>
      </c>
      <c r="W7508" s="773" t="s">
        <v>390</v>
      </c>
    </row>
    <row r="7509" spans="19:23">
      <c r="S7509" s="27">
        <v>45138</v>
      </c>
      <c r="T7509" s="773" t="s">
        <v>132</v>
      </c>
      <c r="U7509" s="773">
        <v>675</v>
      </c>
      <c r="V7509" s="773">
        <v>50</v>
      </c>
      <c r="W7509" s="773" t="s">
        <v>410</v>
      </c>
    </row>
    <row r="7510" spans="19:23">
      <c r="S7510" s="27">
        <v>45138</v>
      </c>
      <c r="T7510" s="773" t="s">
        <v>132</v>
      </c>
      <c r="U7510" s="773">
        <v>171</v>
      </c>
      <c r="V7510" s="773">
        <v>59</v>
      </c>
      <c r="W7510" s="773" t="s">
        <v>410</v>
      </c>
    </row>
    <row r="7511" spans="19:23">
      <c r="S7511" s="27">
        <v>45138</v>
      </c>
      <c r="T7511" s="773" t="s">
        <v>132</v>
      </c>
      <c r="U7511" s="773">
        <v>256</v>
      </c>
      <c r="V7511" s="773">
        <v>264</v>
      </c>
      <c r="W7511" s="773" t="s">
        <v>390</v>
      </c>
    </row>
    <row r="7512" spans="19:23">
      <c r="S7512" s="27">
        <v>45138</v>
      </c>
      <c r="T7512" s="773" t="s">
        <v>132</v>
      </c>
      <c r="U7512" s="773">
        <v>155</v>
      </c>
      <c r="V7512" s="773">
        <v>2587</v>
      </c>
      <c r="W7512" s="773" t="s">
        <v>390</v>
      </c>
    </row>
    <row r="7513" spans="19:23">
      <c r="S7513" s="27">
        <v>45138</v>
      </c>
      <c r="T7513" s="773" t="s">
        <v>132</v>
      </c>
      <c r="U7513" s="773">
        <v>669</v>
      </c>
      <c r="V7513" s="773">
        <v>2982</v>
      </c>
      <c r="W7513" s="773" t="s">
        <v>390</v>
      </c>
    </row>
    <row r="7514" spans="19:23">
      <c r="S7514" s="27">
        <v>45138</v>
      </c>
      <c r="T7514" s="773" t="s">
        <v>132</v>
      </c>
      <c r="U7514" s="773">
        <v>160</v>
      </c>
      <c r="V7514" s="773">
        <v>2</v>
      </c>
      <c r="W7514" s="773" t="s">
        <v>410</v>
      </c>
    </row>
    <row r="7515" spans="19:23">
      <c r="S7515" s="27">
        <v>45138</v>
      </c>
      <c r="T7515" s="773" t="s">
        <v>132</v>
      </c>
      <c r="U7515" s="773">
        <v>120</v>
      </c>
      <c r="V7515" s="773">
        <v>1</v>
      </c>
      <c r="W7515" s="773" t="s">
        <v>410</v>
      </c>
    </row>
    <row r="7516" spans="19:23">
      <c r="S7516" s="27">
        <v>45138</v>
      </c>
      <c r="T7516" s="773" t="s">
        <v>132</v>
      </c>
      <c r="U7516" s="773">
        <v>305</v>
      </c>
      <c r="V7516" s="773">
        <v>4990</v>
      </c>
      <c r="W7516" s="773" t="s">
        <v>390</v>
      </c>
    </row>
    <row r="7517" spans="19:23">
      <c r="S7517" s="27">
        <v>45138</v>
      </c>
      <c r="T7517" s="773" t="s">
        <v>132</v>
      </c>
      <c r="U7517" s="773">
        <v>790</v>
      </c>
      <c r="V7517" s="773">
        <v>676</v>
      </c>
      <c r="W7517" s="773" t="s">
        <v>390</v>
      </c>
    </row>
    <row r="7518" spans="19:23">
      <c r="S7518" s="27">
        <v>45138</v>
      </c>
      <c r="T7518" s="773" t="s">
        <v>132</v>
      </c>
      <c r="U7518" s="773">
        <v>271</v>
      </c>
      <c r="V7518" s="773">
        <v>3017</v>
      </c>
      <c r="W7518" s="773" t="s">
        <v>390</v>
      </c>
    </row>
    <row r="7519" spans="19:23">
      <c r="S7519" s="27">
        <v>45138</v>
      </c>
      <c r="T7519" s="773" t="s">
        <v>132</v>
      </c>
      <c r="U7519" s="773">
        <v>124</v>
      </c>
      <c r="V7519" s="773">
        <v>1</v>
      </c>
      <c r="W7519" s="773" t="s">
        <v>410</v>
      </c>
    </row>
    <row r="7520" spans="19:23">
      <c r="S7520" s="27">
        <v>45138</v>
      </c>
      <c r="T7520" s="773" t="s">
        <v>132</v>
      </c>
      <c r="U7520" s="773">
        <v>129</v>
      </c>
      <c r="V7520" s="773">
        <v>4</v>
      </c>
      <c r="W7520" s="773" t="s">
        <v>410</v>
      </c>
    </row>
    <row r="7521" spans="19:23">
      <c r="S7521" s="27">
        <v>45138</v>
      </c>
      <c r="T7521" s="773" t="s">
        <v>132</v>
      </c>
      <c r="U7521" s="773">
        <v>218</v>
      </c>
      <c r="V7521" s="773">
        <v>319</v>
      </c>
      <c r="W7521" s="773" t="s">
        <v>390</v>
      </c>
    </row>
    <row r="7522" spans="19:23">
      <c r="S7522" s="27">
        <v>45138</v>
      </c>
      <c r="T7522" s="773" t="s">
        <v>132</v>
      </c>
      <c r="U7522" s="773">
        <v>697</v>
      </c>
      <c r="V7522" s="773">
        <v>1463</v>
      </c>
      <c r="W7522" s="773" t="s">
        <v>390</v>
      </c>
    </row>
    <row r="7523" spans="19:23">
      <c r="S7523" s="27">
        <v>45138</v>
      </c>
      <c r="T7523" s="773" t="s">
        <v>132</v>
      </c>
      <c r="U7523" s="773">
        <v>723</v>
      </c>
      <c r="V7523" s="773">
        <v>2293</v>
      </c>
      <c r="W7523" s="773" t="s">
        <v>390</v>
      </c>
    </row>
    <row r="7524" spans="19:23">
      <c r="S7524" s="27">
        <v>45138</v>
      </c>
      <c r="T7524" s="773" t="s">
        <v>132</v>
      </c>
      <c r="U7524" s="773">
        <v>148</v>
      </c>
      <c r="V7524" s="773">
        <v>5</v>
      </c>
      <c r="W7524" s="773" t="s">
        <v>410</v>
      </c>
    </row>
    <row r="7525" spans="19:23">
      <c r="S7525" s="27">
        <v>45138</v>
      </c>
      <c r="T7525" s="773" t="s">
        <v>132</v>
      </c>
      <c r="U7525" s="773">
        <v>13</v>
      </c>
      <c r="V7525" s="773">
        <v>2594</v>
      </c>
      <c r="W7525" s="773" t="s">
        <v>390</v>
      </c>
    </row>
    <row r="7526" spans="19:23">
      <c r="S7526" s="27">
        <v>45138</v>
      </c>
      <c r="T7526" s="773" t="s">
        <v>132</v>
      </c>
      <c r="U7526" s="773">
        <v>704</v>
      </c>
      <c r="V7526" s="773">
        <v>3475</v>
      </c>
      <c r="W7526" s="773" t="s">
        <v>390</v>
      </c>
    </row>
    <row r="7527" spans="19:23">
      <c r="S7527" s="27">
        <v>45138</v>
      </c>
      <c r="T7527" s="773" t="s">
        <v>132</v>
      </c>
      <c r="U7527" s="773">
        <v>317</v>
      </c>
      <c r="V7527" s="773">
        <v>3439</v>
      </c>
      <c r="W7527" s="773" t="s">
        <v>390</v>
      </c>
    </row>
    <row r="7528" spans="19:23">
      <c r="S7528" s="27">
        <v>45138</v>
      </c>
      <c r="T7528" s="773" t="s">
        <v>132</v>
      </c>
      <c r="U7528" s="773">
        <v>81</v>
      </c>
      <c r="V7528" s="773">
        <v>9</v>
      </c>
      <c r="W7528" s="773" t="s">
        <v>410</v>
      </c>
    </row>
    <row r="7529" spans="19:23">
      <c r="S7529" s="27">
        <v>45138</v>
      </c>
      <c r="T7529" s="773" t="s">
        <v>132</v>
      </c>
      <c r="U7529" s="773">
        <v>79</v>
      </c>
      <c r="V7529" s="773">
        <v>4</v>
      </c>
      <c r="W7529" s="773" t="s">
        <v>410</v>
      </c>
    </row>
    <row r="7530" spans="19:23">
      <c r="S7530" s="27">
        <v>45138</v>
      </c>
      <c r="T7530" s="773" t="s">
        <v>132</v>
      </c>
      <c r="U7530" s="773">
        <v>718</v>
      </c>
      <c r="V7530" s="773">
        <v>1675</v>
      </c>
      <c r="W7530" s="773" t="s">
        <v>390</v>
      </c>
    </row>
    <row r="7531" spans="19:23">
      <c r="S7531" s="27">
        <v>45138</v>
      </c>
      <c r="T7531" s="773" t="s">
        <v>132</v>
      </c>
      <c r="U7531" s="773">
        <v>696</v>
      </c>
      <c r="V7531" s="773">
        <v>94</v>
      </c>
      <c r="W7531" s="773" t="s">
        <v>410</v>
      </c>
    </row>
    <row r="7532" spans="19:23">
      <c r="S7532" s="27">
        <v>45138</v>
      </c>
      <c r="T7532" s="773" t="s">
        <v>132</v>
      </c>
      <c r="U7532" s="773">
        <v>769</v>
      </c>
      <c r="V7532" s="773">
        <v>1779</v>
      </c>
      <c r="W7532" s="773" t="s">
        <v>390</v>
      </c>
    </row>
    <row r="7533" spans="19:23">
      <c r="S7533" s="27">
        <v>45138</v>
      </c>
      <c r="T7533" s="773" t="s">
        <v>132</v>
      </c>
      <c r="U7533" s="773">
        <v>48</v>
      </c>
      <c r="V7533" s="773">
        <v>183</v>
      </c>
      <c r="W7533" s="773" t="s">
        <v>390</v>
      </c>
    </row>
    <row r="7534" spans="19:23">
      <c r="S7534" s="27">
        <v>45138</v>
      </c>
      <c r="T7534" s="773" t="s">
        <v>132</v>
      </c>
      <c r="U7534" s="773">
        <v>693</v>
      </c>
      <c r="V7534" s="773">
        <v>1</v>
      </c>
      <c r="W7534" s="773" t="s">
        <v>410</v>
      </c>
    </row>
    <row r="7535" spans="19:23">
      <c r="S7535" s="27">
        <v>45138</v>
      </c>
      <c r="T7535" s="773" t="s">
        <v>132</v>
      </c>
      <c r="U7535" s="773">
        <v>109</v>
      </c>
      <c r="V7535" s="773">
        <v>2</v>
      </c>
      <c r="W7535" s="773" t="s">
        <v>410</v>
      </c>
    </row>
    <row r="7536" spans="19:23">
      <c r="S7536" s="27">
        <v>45138</v>
      </c>
      <c r="T7536" s="773" t="s">
        <v>132</v>
      </c>
      <c r="U7536" s="773">
        <v>245</v>
      </c>
      <c r="V7536" s="773">
        <v>3150</v>
      </c>
      <c r="W7536" s="773" t="s">
        <v>390</v>
      </c>
    </row>
    <row r="7537" spans="19:23">
      <c r="S7537" s="27">
        <v>45138</v>
      </c>
      <c r="T7537" s="773" t="s">
        <v>132</v>
      </c>
      <c r="U7537" s="773">
        <v>87</v>
      </c>
      <c r="V7537" s="773">
        <v>2</v>
      </c>
      <c r="W7537" s="773" t="s">
        <v>410</v>
      </c>
    </row>
    <row r="7538" spans="19:23">
      <c r="S7538" s="27">
        <v>45138</v>
      </c>
      <c r="T7538" s="773" t="s">
        <v>132</v>
      </c>
      <c r="U7538" s="773">
        <v>670</v>
      </c>
      <c r="V7538" s="773">
        <v>2568</v>
      </c>
      <c r="W7538" s="773" t="s">
        <v>390</v>
      </c>
    </row>
    <row r="7539" spans="19:23">
      <c r="S7539" s="27">
        <v>45138</v>
      </c>
      <c r="T7539" s="773" t="s">
        <v>132</v>
      </c>
      <c r="U7539" s="773">
        <v>283</v>
      </c>
      <c r="V7539" s="773">
        <v>1</v>
      </c>
      <c r="W7539" s="773" t="s">
        <v>410</v>
      </c>
    </row>
    <row r="7540" spans="19:23">
      <c r="S7540" s="27">
        <v>45138</v>
      </c>
      <c r="T7540" s="773" t="s">
        <v>132</v>
      </c>
      <c r="U7540" s="773">
        <v>247</v>
      </c>
      <c r="V7540" s="773">
        <v>2473</v>
      </c>
      <c r="W7540" s="773" t="s">
        <v>390</v>
      </c>
    </row>
    <row r="7541" spans="19:23">
      <c r="S7541" s="27">
        <v>45138</v>
      </c>
      <c r="T7541" s="773" t="s">
        <v>132</v>
      </c>
      <c r="U7541" s="773">
        <v>528</v>
      </c>
      <c r="V7541" s="773">
        <v>86</v>
      </c>
      <c r="W7541" s="773" t="s">
        <v>410</v>
      </c>
    </row>
    <row r="7542" spans="19:23">
      <c r="S7542" s="27">
        <v>45138</v>
      </c>
      <c r="T7542" s="773" t="s">
        <v>132</v>
      </c>
      <c r="U7542" s="773">
        <v>716</v>
      </c>
      <c r="V7542" s="773">
        <v>324</v>
      </c>
      <c r="W7542" s="773" t="s">
        <v>390</v>
      </c>
    </row>
    <row r="7543" spans="19:23">
      <c r="S7543" s="27">
        <v>45138</v>
      </c>
      <c r="T7543" s="773" t="s">
        <v>132</v>
      </c>
      <c r="U7543" s="773">
        <v>202</v>
      </c>
      <c r="V7543" s="773">
        <v>2</v>
      </c>
      <c r="W7543" s="773" t="s">
        <v>410</v>
      </c>
    </row>
    <row r="7544" spans="19:23">
      <c r="S7544" s="27">
        <v>45138</v>
      </c>
      <c r="T7544" s="773" t="s">
        <v>132</v>
      </c>
      <c r="U7544" s="773">
        <v>653</v>
      </c>
      <c r="V7544" s="773">
        <v>9</v>
      </c>
      <c r="W7544" s="773" t="s">
        <v>410</v>
      </c>
    </row>
    <row r="7545" spans="19:23">
      <c r="S7545" s="27">
        <v>45138</v>
      </c>
      <c r="T7545" s="773" t="s">
        <v>132</v>
      </c>
      <c r="U7545" s="773">
        <v>801</v>
      </c>
      <c r="V7545" s="773">
        <v>413</v>
      </c>
      <c r="W7545" s="773" t="s">
        <v>390</v>
      </c>
    </row>
    <row r="7546" spans="19:23">
      <c r="S7546" s="27">
        <v>45138</v>
      </c>
      <c r="T7546" s="773" t="s">
        <v>132</v>
      </c>
      <c r="U7546" s="773">
        <v>159</v>
      </c>
      <c r="V7546" s="773">
        <v>15</v>
      </c>
      <c r="W7546" s="773" t="s">
        <v>410</v>
      </c>
    </row>
    <row r="7547" spans="19:23">
      <c r="S7547" s="27">
        <v>45138</v>
      </c>
      <c r="T7547" s="773" t="s">
        <v>132</v>
      </c>
      <c r="U7547" s="773">
        <v>84</v>
      </c>
      <c r="V7547" s="773">
        <v>2503</v>
      </c>
      <c r="W7547" s="773" t="s">
        <v>390</v>
      </c>
    </row>
    <row r="7548" spans="19:23">
      <c r="S7548" s="27">
        <v>45138</v>
      </c>
      <c r="T7548" s="773" t="s">
        <v>132</v>
      </c>
      <c r="U7548" s="773">
        <v>779</v>
      </c>
      <c r="V7548" s="773">
        <v>2237</v>
      </c>
      <c r="W7548" s="773" t="s">
        <v>390</v>
      </c>
    </row>
    <row r="7549" spans="19:23">
      <c r="S7549" s="27">
        <v>45138</v>
      </c>
      <c r="T7549" s="773" t="s">
        <v>132</v>
      </c>
      <c r="U7549" s="773">
        <v>727</v>
      </c>
      <c r="V7549" s="773">
        <v>3734</v>
      </c>
      <c r="W7549" s="773" t="s">
        <v>390</v>
      </c>
    </row>
    <row r="7550" spans="19:23">
      <c r="S7550" s="27">
        <v>45138</v>
      </c>
      <c r="T7550" s="773" t="s">
        <v>132</v>
      </c>
      <c r="U7550" s="773">
        <v>240</v>
      </c>
      <c r="V7550" s="773">
        <v>4</v>
      </c>
      <c r="W7550" s="773" t="s">
        <v>410</v>
      </c>
    </row>
    <row r="7551" spans="19:23">
      <c r="S7551" s="27">
        <v>45138</v>
      </c>
      <c r="T7551" s="773" t="s">
        <v>132</v>
      </c>
      <c r="U7551" s="773">
        <v>164</v>
      </c>
      <c r="V7551" s="773">
        <v>11</v>
      </c>
      <c r="W7551" s="773" t="s">
        <v>410</v>
      </c>
    </row>
    <row r="7552" spans="19:23">
      <c r="S7552" s="27">
        <v>45138</v>
      </c>
      <c r="T7552" s="773" t="s">
        <v>132</v>
      </c>
      <c r="U7552" s="773">
        <v>648</v>
      </c>
      <c r="V7552" s="773">
        <v>1</v>
      </c>
      <c r="W7552" s="773" t="s">
        <v>410</v>
      </c>
    </row>
    <row r="7553" spans="19:23">
      <c r="S7553" s="27">
        <v>45138</v>
      </c>
      <c r="T7553" s="773" t="s">
        <v>132</v>
      </c>
      <c r="U7553" s="773">
        <v>89</v>
      </c>
      <c r="V7553" s="773">
        <v>1104</v>
      </c>
      <c r="W7553" s="773" t="s">
        <v>390</v>
      </c>
    </row>
    <row r="7554" spans="19:23">
      <c r="S7554" s="27">
        <v>45138</v>
      </c>
      <c r="T7554" s="773" t="s">
        <v>132</v>
      </c>
      <c r="U7554" s="773">
        <v>63</v>
      </c>
      <c r="V7554" s="773">
        <v>1</v>
      </c>
      <c r="W7554" s="773" t="s">
        <v>410</v>
      </c>
    </row>
    <row r="7555" spans="19:23">
      <c r="S7555" s="27">
        <v>45138</v>
      </c>
      <c r="T7555" s="773" t="s">
        <v>132</v>
      </c>
      <c r="U7555" s="773">
        <v>71</v>
      </c>
      <c r="V7555" s="773">
        <v>1</v>
      </c>
      <c r="W7555" s="773" t="s">
        <v>410</v>
      </c>
    </row>
    <row r="7556" spans="19:23">
      <c r="S7556" s="27">
        <v>45138</v>
      </c>
      <c r="T7556" s="773" t="s">
        <v>132</v>
      </c>
      <c r="U7556" s="773">
        <v>227</v>
      </c>
      <c r="V7556" s="773">
        <v>1</v>
      </c>
      <c r="W7556" s="773" t="s">
        <v>410</v>
      </c>
    </row>
    <row r="7557" spans="19:23">
      <c r="S7557" s="27">
        <v>45138</v>
      </c>
      <c r="T7557" s="773" t="s">
        <v>132</v>
      </c>
      <c r="U7557" s="773">
        <v>69</v>
      </c>
      <c r="V7557" s="773">
        <v>1</v>
      </c>
      <c r="W7557" s="773" t="s">
        <v>410</v>
      </c>
    </row>
    <row r="7558" spans="19:23">
      <c r="S7558" s="27">
        <v>45138</v>
      </c>
      <c r="T7558" s="773" t="s">
        <v>132</v>
      </c>
      <c r="U7558" s="773">
        <v>662</v>
      </c>
      <c r="V7558" s="773">
        <v>348</v>
      </c>
      <c r="W7558" s="773" t="s">
        <v>390</v>
      </c>
    </row>
    <row r="7559" spans="19:23">
      <c r="S7559" s="27">
        <v>45138</v>
      </c>
      <c r="T7559" s="773" t="s">
        <v>132</v>
      </c>
      <c r="U7559" s="773">
        <v>294</v>
      </c>
      <c r="V7559" s="773">
        <v>3</v>
      </c>
      <c r="W7559" s="773" t="s">
        <v>410</v>
      </c>
    </row>
    <row r="7560" spans="19:23">
      <c r="S7560" s="27">
        <v>45138</v>
      </c>
      <c r="T7560" s="773" t="s">
        <v>132</v>
      </c>
      <c r="U7560" s="773">
        <v>658</v>
      </c>
      <c r="V7560" s="773">
        <v>6</v>
      </c>
      <c r="W7560" s="773" t="s">
        <v>410</v>
      </c>
    </row>
    <row r="7561" spans="19:23">
      <c r="S7561" s="27">
        <v>45138</v>
      </c>
      <c r="T7561" s="773" t="s">
        <v>132</v>
      </c>
      <c r="U7561" s="773">
        <v>105</v>
      </c>
      <c r="V7561" s="773">
        <v>2</v>
      </c>
      <c r="W7561" s="773" t="s">
        <v>410</v>
      </c>
    </row>
    <row r="7562" spans="19:23">
      <c r="S7562" s="27">
        <v>45138</v>
      </c>
      <c r="T7562" s="773" t="s">
        <v>132</v>
      </c>
      <c r="U7562" s="773">
        <v>108</v>
      </c>
      <c r="V7562" s="773">
        <v>10</v>
      </c>
      <c r="W7562" s="773" t="s">
        <v>410</v>
      </c>
    </row>
    <row r="7563" spans="19:23">
      <c r="S7563" s="27">
        <v>45138</v>
      </c>
      <c r="T7563" s="773" t="s">
        <v>132</v>
      </c>
      <c r="U7563" s="773">
        <v>703</v>
      </c>
      <c r="V7563" s="773">
        <v>145</v>
      </c>
      <c r="W7563" s="773" t="s">
        <v>390</v>
      </c>
    </row>
    <row r="7564" spans="19:23">
      <c r="S7564" s="27">
        <v>45138</v>
      </c>
      <c r="T7564" s="773" t="s">
        <v>132</v>
      </c>
      <c r="U7564" s="773">
        <v>722</v>
      </c>
      <c r="V7564" s="773">
        <v>1</v>
      </c>
      <c r="W7564" s="773" t="s">
        <v>410</v>
      </c>
    </row>
    <row r="7565" spans="19:23">
      <c r="S7565" s="27">
        <v>45138</v>
      </c>
      <c r="T7565" s="773" t="s">
        <v>132</v>
      </c>
      <c r="U7565" s="773">
        <v>83</v>
      </c>
      <c r="V7565" s="773">
        <v>2530</v>
      </c>
      <c r="W7565" s="773" t="s">
        <v>390</v>
      </c>
    </row>
    <row r="7566" spans="19:23">
      <c r="S7566" s="27">
        <v>45138</v>
      </c>
      <c r="T7566" s="773" t="s">
        <v>132</v>
      </c>
      <c r="U7566" s="773">
        <v>729</v>
      </c>
      <c r="V7566" s="773">
        <v>143</v>
      </c>
      <c r="W7566" s="773" t="s">
        <v>390</v>
      </c>
    </row>
    <row r="7567" spans="19:23">
      <c r="S7567" s="27">
        <v>45138</v>
      </c>
      <c r="T7567" s="773" t="s">
        <v>132</v>
      </c>
      <c r="U7567" s="773">
        <v>652</v>
      </c>
      <c r="V7567" s="773">
        <v>3576</v>
      </c>
      <c r="W7567" s="773" t="s">
        <v>390</v>
      </c>
    </row>
    <row r="7568" spans="19:23">
      <c r="S7568" s="27">
        <v>45138</v>
      </c>
      <c r="T7568" s="773" t="s">
        <v>132</v>
      </c>
      <c r="U7568" s="773">
        <v>308</v>
      </c>
      <c r="V7568" s="773">
        <v>2322</v>
      </c>
      <c r="W7568" s="773" t="s">
        <v>390</v>
      </c>
    </row>
    <row r="7569" spans="19:23">
      <c r="S7569" s="27">
        <v>45138</v>
      </c>
      <c r="T7569" s="773" t="s">
        <v>132</v>
      </c>
      <c r="U7569" s="773">
        <v>249</v>
      </c>
      <c r="V7569" s="773">
        <v>3400</v>
      </c>
      <c r="W7569" s="773" t="s">
        <v>390</v>
      </c>
    </row>
    <row r="7570" spans="19:23">
      <c r="S7570" s="27">
        <v>45138</v>
      </c>
      <c r="T7570" s="773" t="s">
        <v>132</v>
      </c>
      <c r="U7570" s="773">
        <v>698</v>
      </c>
      <c r="V7570" s="773">
        <v>2757</v>
      </c>
      <c r="W7570" s="773" t="s">
        <v>390</v>
      </c>
    </row>
    <row r="7571" spans="19:23">
      <c r="S7571" s="27">
        <v>45138</v>
      </c>
      <c r="T7571" s="773" t="s">
        <v>132</v>
      </c>
      <c r="U7571" s="773">
        <v>674</v>
      </c>
      <c r="V7571" s="773">
        <v>3572</v>
      </c>
      <c r="W7571" s="773" t="s">
        <v>390</v>
      </c>
    </row>
    <row r="7572" spans="19:23">
      <c r="S7572" s="27">
        <v>45138</v>
      </c>
      <c r="T7572" s="773" t="s">
        <v>132</v>
      </c>
      <c r="U7572" s="773">
        <v>741</v>
      </c>
      <c r="V7572" s="773">
        <v>2913</v>
      </c>
      <c r="W7572" s="773" t="s">
        <v>390</v>
      </c>
    </row>
    <row r="7573" spans="19:23">
      <c r="S7573" s="27">
        <v>45138</v>
      </c>
      <c r="T7573" s="773" t="s">
        <v>132</v>
      </c>
      <c r="U7573" s="773">
        <v>266</v>
      </c>
      <c r="V7573" s="773">
        <v>2481</v>
      </c>
      <c r="W7573" s="773" t="s">
        <v>390</v>
      </c>
    </row>
    <row r="7574" spans="19:23">
      <c r="S7574" s="27">
        <v>45138</v>
      </c>
      <c r="T7574" s="773" t="s">
        <v>132</v>
      </c>
      <c r="U7574" s="773">
        <v>191</v>
      </c>
      <c r="V7574" s="773">
        <v>352</v>
      </c>
      <c r="W7574" s="773" t="s">
        <v>390</v>
      </c>
    </row>
    <row r="7575" spans="19:23">
      <c r="S7575" s="27">
        <v>45138</v>
      </c>
      <c r="T7575" s="773" t="s">
        <v>132</v>
      </c>
      <c r="U7575" s="773">
        <v>817</v>
      </c>
      <c r="V7575" s="773">
        <v>2511</v>
      </c>
      <c r="W7575" s="773" t="s">
        <v>390</v>
      </c>
    </row>
    <row r="7576" spans="19:23">
      <c r="S7576" s="27">
        <v>45138</v>
      </c>
      <c r="T7576" s="773" t="s">
        <v>132</v>
      </c>
      <c r="U7576" s="773">
        <v>132</v>
      </c>
      <c r="V7576" s="773">
        <v>3012</v>
      </c>
      <c r="W7576" s="773" t="s">
        <v>390</v>
      </c>
    </row>
    <row r="7577" spans="19:23">
      <c r="S7577" s="27">
        <v>45138</v>
      </c>
      <c r="T7577" s="773" t="s">
        <v>132</v>
      </c>
      <c r="U7577" s="773">
        <v>130</v>
      </c>
      <c r="V7577" s="773">
        <v>2</v>
      </c>
      <c r="W7577" s="773" t="s">
        <v>410</v>
      </c>
    </row>
    <row r="7578" spans="19:23">
      <c r="S7578" s="27">
        <v>45138</v>
      </c>
      <c r="T7578" s="773" t="s">
        <v>132</v>
      </c>
      <c r="U7578" s="773">
        <v>183</v>
      </c>
      <c r="V7578" s="773">
        <v>583</v>
      </c>
      <c r="W7578" s="773" t="s">
        <v>390</v>
      </c>
    </row>
    <row r="7579" spans="19:23">
      <c r="S7579" s="27">
        <v>45138</v>
      </c>
      <c r="T7579" s="773" t="s">
        <v>132</v>
      </c>
      <c r="U7579" s="773">
        <v>812</v>
      </c>
      <c r="V7579" s="773">
        <v>3603</v>
      </c>
      <c r="W7579" s="773" t="s">
        <v>390</v>
      </c>
    </row>
    <row r="7580" spans="19:23">
      <c r="S7580" s="27">
        <v>45138</v>
      </c>
      <c r="T7580" s="773" t="s">
        <v>132</v>
      </c>
      <c r="U7580" s="773">
        <v>791</v>
      </c>
      <c r="V7580" s="773">
        <v>3226</v>
      </c>
      <c r="W7580" s="773" t="s">
        <v>390</v>
      </c>
    </row>
    <row r="7581" spans="19:23">
      <c r="S7581" s="27">
        <v>45138</v>
      </c>
      <c r="T7581" s="773" t="s">
        <v>132</v>
      </c>
      <c r="U7581" s="773">
        <v>70</v>
      </c>
      <c r="V7581" s="773">
        <v>212</v>
      </c>
      <c r="W7581" s="773" t="s">
        <v>390</v>
      </c>
    </row>
    <row r="7582" spans="19:23">
      <c r="S7582" s="27">
        <v>45138</v>
      </c>
      <c r="T7582" s="773" t="s">
        <v>132</v>
      </c>
      <c r="U7582" s="773">
        <v>720</v>
      </c>
      <c r="V7582" s="773">
        <v>2993</v>
      </c>
      <c r="W7582" s="773" t="s">
        <v>390</v>
      </c>
    </row>
    <row r="7583" spans="19:23">
      <c r="S7583" s="27">
        <v>45138</v>
      </c>
      <c r="T7583" s="773" t="s">
        <v>132</v>
      </c>
      <c r="U7583" s="773">
        <v>66</v>
      </c>
      <c r="V7583" s="773">
        <v>1</v>
      </c>
      <c r="W7583" s="773" t="s">
        <v>410</v>
      </c>
    </row>
    <row r="7584" spans="19:23">
      <c r="S7584" s="27">
        <v>45138</v>
      </c>
      <c r="T7584" s="773" t="s">
        <v>132</v>
      </c>
      <c r="U7584" s="773">
        <v>660</v>
      </c>
      <c r="V7584" s="773">
        <v>5</v>
      </c>
      <c r="W7584" s="773" t="s">
        <v>410</v>
      </c>
    </row>
    <row r="7585" spans="19:23">
      <c r="S7585" s="27">
        <v>45138</v>
      </c>
      <c r="T7585" s="773" t="s">
        <v>132</v>
      </c>
      <c r="U7585" s="773">
        <v>710</v>
      </c>
      <c r="V7585" s="773">
        <v>1057</v>
      </c>
      <c r="W7585" s="773" t="s">
        <v>390</v>
      </c>
    </row>
    <row r="7586" spans="19:23">
      <c r="S7586" s="27">
        <v>45138</v>
      </c>
      <c r="T7586" s="773" t="s">
        <v>132</v>
      </c>
      <c r="U7586" s="773">
        <v>802</v>
      </c>
      <c r="V7586" s="773">
        <v>46</v>
      </c>
      <c r="W7586" s="773" t="s">
        <v>410</v>
      </c>
    </row>
    <row r="7587" spans="19:23">
      <c r="S7587" s="27">
        <v>45138</v>
      </c>
      <c r="T7587" s="773" t="s">
        <v>132</v>
      </c>
      <c r="U7587" s="773">
        <v>651</v>
      </c>
      <c r="V7587" s="773">
        <v>84</v>
      </c>
      <c r="W7587" s="773" t="s">
        <v>410</v>
      </c>
    </row>
    <row r="7588" spans="19:23">
      <c r="S7588" s="27">
        <v>45138</v>
      </c>
      <c r="T7588" s="773" t="s">
        <v>132</v>
      </c>
      <c r="U7588" s="773">
        <v>700</v>
      </c>
      <c r="V7588" s="773">
        <v>2927</v>
      </c>
      <c r="W7588" s="773" t="s">
        <v>390</v>
      </c>
    </row>
    <row r="7589" spans="19:23">
      <c r="S7589" s="27">
        <v>45138</v>
      </c>
      <c r="T7589" s="773" t="s">
        <v>132</v>
      </c>
      <c r="U7589" s="773">
        <v>792</v>
      </c>
      <c r="V7589" s="773">
        <v>683</v>
      </c>
      <c r="W7589" s="773" t="s">
        <v>390</v>
      </c>
    </row>
    <row r="7590" spans="19:23">
      <c r="S7590" s="27">
        <v>45138</v>
      </c>
      <c r="T7590" s="773" t="s">
        <v>132</v>
      </c>
      <c r="U7590" s="773">
        <v>694</v>
      </c>
      <c r="V7590" s="773">
        <v>1</v>
      </c>
      <c r="W7590" s="773" t="s">
        <v>410</v>
      </c>
    </row>
    <row r="7591" spans="19:23">
      <c r="S7591" s="27">
        <v>45138</v>
      </c>
      <c r="T7591" s="773" t="s">
        <v>132</v>
      </c>
      <c r="U7591" s="773">
        <v>725</v>
      </c>
      <c r="V7591" s="773">
        <v>545</v>
      </c>
      <c r="W7591" s="773" t="s">
        <v>390</v>
      </c>
    </row>
    <row r="7592" spans="19:23">
      <c r="S7592" s="27">
        <v>45138</v>
      </c>
      <c r="T7592" s="773" t="s">
        <v>132</v>
      </c>
      <c r="U7592" s="773">
        <v>11</v>
      </c>
      <c r="V7592" s="773">
        <v>27</v>
      </c>
      <c r="W7592" s="773" t="s">
        <v>410</v>
      </c>
    </row>
    <row r="7593" spans="19:23">
      <c r="S7593" s="27">
        <v>45138</v>
      </c>
      <c r="T7593" s="773" t="s">
        <v>132</v>
      </c>
      <c r="U7593" s="773">
        <v>93</v>
      </c>
      <c r="V7593" s="773">
        <v>1140</v>
      </c>
      <c r="W7593" s="773" t="s">
        <v>390</v>
      </c>
    </row>
    <row r="7594" spans="19:23">
      <c r="S7594" s="27">
        <v>45138</v>
      </c>
      <c r="T7594" s="773" t="s">
        <v>132</v>
      </c>
      <c r="U7594" s="773">
        <v>46</v>
      </c>
      <c r="V7594" s="773">
        <v>1</v>
      </c>
      <c r="W7594" s="773" t="s">
        <v>410</v>
      </c>
    </row>
    <row r="7595" spans="19:23">
      <c r="S7595" s="27">
        <v>45138</v>
      </c>
      <c r="T7595" s="773" t="s">
        <v>132</v>
      </c>
      <c r="U7595" s="773">
        <v>136</v>
      </c>
      <c r="V7595" s="773">
        <v>22</v>
      </c>
      <c r="W7595" s="773" t="s">
        <v>410</v>
      </c>
    </row>
    <row r="7596" spans="19:23">
      <c r="S7596" s="27">
        <v>45138</v>
      </c>
      <c r="T7596" s="773" t="s">
        <v>132</v>
      </c>
      <c r="U7596" s="773">
        <v>621</v>
      </c>
      <c r="V7596" s="773">
        <v>2573</v>
      </c>
      <c r="W7596" s="773" t="s">
        <v>390</v>
      </c>
    </row>
    <row r="7597" spans="19:23">
      <c r="S7597" s="27">
        <v>45138</v>
      </c>
      <c r="T7597" s="773" t="s">
        <v>132</v>
      </c>
      <c r="U7597" s="773">
        <v>325</v>
      </c>
      <c r="V7597" s="773">
        <v>2199</v>
      </c>
      <c r="W7597" s="773" t="s">
        <v>390</v>
      </c>
    </row>
    <row r="7598" spans="19:23">
      <c r="S7598" s="27">
        <v>45138</v>
      </c>
      <c r="T7598" s="773" t="s">
        <v>132</v>
      </c>
      <c r="U7598" s="773">
        <v>328</v>
      </c>
      <c r="V7598" s="773">
        <v>531</v>
      </c>
      <c r="W7598" s="773" t="s">
        <v>390</v>
      </c>
    </row>
    <row r="7599" spans="19:23">
      <c r="S7599" s="27">
        <v>45138</v>
      </c>
      <c r="T7599" s="773" t="s">
        <v>132</v>
      </c>
      <c r="U7599" s="773">
        <v>292</v>
      </c>
      <c r="V7599" s="773">
        <v>4</v>
      </c>
      <c r="W7599" s="773" t="s">
        <v>410</v>
      </c>
    </row>
    <row r="7600" spans="19:23">
      <c r="S7600" s="27">
        <v>45138</v>
      </c>
      <c r="T7600" s="773" t="s">
        <v>132</v>
      </c>
      <c r="U7600" s="773">
        <v>35</v>
      </c>
      <c r="V7600" s="773">
        <v>875</v>
      </c>
      <c r="W7600" s="773" t="s">
        <v>390</v>
      </c>
    </row>
    <row r="7601" spans="19:23">
      <c r="S7601" s="27">
        <v>45138</v>
      </c>
      <c r="T7601" s="773" t="s">
        <v>132</v>
      </c>
      <c r="U7601" s="773">
        <v>322</v>
      </c>
      <c r="V7601" s="773">
        <v>2561</v>
      </c>
      <c r="W7601" s="773" t="s">
        <v>390</v>
      </c>
    </row>
    <row r="7602" spans="19:23">
      <c r="S7602" s="27">
        <v>45138</v>
      </c>
      <c r="T7602" s="773" t="s">
        <v>132</v>
      </c>
      <c r="U7602" s="773">
        <v>327</v>
      </c>
      <c r="V7602" s="773">
        <v>3</v>
      </c>
      <c r="W7602" s="773" t="s">
        <v>410</v>
      </c>
    </row>
    <row r="7603" spans="19:23">
      <c r="S7603" s="27">
        <v>45138</v>
      </c>
      <c r="T7603" s="773" t="s">
        <v>132</v>
      </c>
      <c r="U7603" s="773">
        <v>254</v>
      </c>
      <c r="V7603" s="773">
        <v>6</v>
      </c>
      <c r="W7603" s="773" t="s">
        <v>410</v>
      </c>
    </row>
    <row r="7604" spans="19:23">
      <c r="S7604" s="27">
        <v>45138</v>
      </c>
      <c r="T7604" s="773" t="s">
        <v>132</v>
      </c>
      <c r="U7604" s="773">
        <v>701</v>
      </c>
      <c r="V7604" s="773">
        <v>2391</v>
      </c>
      <c r="W7604" s="773" t="s">
        <v>390</v>
      </c>
    </row>
    <row r="7605" spans="19:23">
      <c r="S7605" s="27">
        <v>45138</v>
      </c>
      <c r="T7605" s="773" t="s">
        <v>132</v>
      </c>
      <c r="U7605" s="773">
        <v>39</v>
      </c>
      <c r="V7605" s="773">
        <v>1</v>
      </c>
      <c r="W7605" s="773" t="s">
        <v>410</v>
      </c>
    </row>
    <row r="7606" spans="19:23">
      <c r="S7606" s="27">
        <v>45138</v>
      </c>
      <c r="T7606" s="773" t="s">
        <v>132</v>
      </c>
      <c r="U7606" s="773">
        <v>265</v>
      </c>
      <c r="V7606" s="773">
        <v>18</v>
      </c>
      <c r="W7606" s="773" t="s">
        <v>410</v>
      </c>
    </row>
    <row r="7607" spans="19:23">
      <c r="S7607" s="27">
        <v>45138</v>
      </c>
      <c r="T7607" s="773" t="s">
        <v>132</v>
      </c>
      <c r="U7607" s="773">
        <v>524</v>
      </c>
      <c r="V7607" s="773">
        <v>2</v>
      </c>
      <c r="W7607" s="773" t="s">
        <v>410</v>
      </c>
    </row>
    <row r="7608" spans="19:23">
      <c r="S7608" s="27">
        <v>45138</v>
      </c>
      <c r="T7608" s="773" t="s">
        <v>132</v>
      </c>
      <c r="U7608" s="773">
        <v>748</v>
      </c>
      <c r="V7608" s="773">
        <v>211</v>
      </c>
      <c r="W7608" s="773" t="s">
        <v>390</v>
      </c>
    </row>
    <row r="7609" spans="19:23">
      <c r="S7609" s="27">
        <v>45138</v>
      </c>
      <c r="T7609" s="773" t="s">
        <v>132</v>
      </c>
      <c r="U7609" s="773">
        <v>252</v>
      </c>
      <c r="V7609" s="773">
        <v>190</v>
      </c>
      <c r="W7609" s="773" t="s">
        <v>390</v>
      </c>
    </row>
    <row r="7610" spans="19:23">
      <c r="S7610" s="27">
        <v>45138</v>
      </c>
      <c r="T7610" s="773" t="s">
        <v>132</v>
      </c>
      <c r="U7610" s="773">
        <v>116</v>
      </c>
      <c r="V7610" s="773">
        <v>1</v>
      </c>
      <c r="W7610" s="773" t="s">
        <v>410</v>
      </c>
    </row>
    <row r="7611" spans="19:23">
      <c r="S7611" s="27">
        <v>45138</v>
      </c>
      <c r="T7611" s="773" t="s">
        <v>132</v>
      </c>
      <c r="U7611" s="773">
        <v>140</v>
      </c>
      <c r="V7611" s="773">
        <v>689</v>
      </c>
      <c r="W7611" s="773" t="s">
        <v>390</v>
      </c>
    </row>
    <row r="7612" spans="19:23">
      <c r="S7612" s="27">
        <v>45138</v>
      </c>
      <c r="T7612" s="773" t="s">
        <v>132</v>
      </c>
      <c r="U7612" s="773">
        <v>315</v>
      </c>
      <c r="V7612" s="773">
        <v>2043</v>
      </c>
      <c r="W7612" s="773" t="s">
        <v>390</v>
      </c>
    </row>
    <row r="7613" spans="19:23">
      <c r="S7613" s="27">
        <v>45138</v>
      </c>
      <c r="T7613" s="773" t="s">
        <v>132</v>
      </c>
      <c r="U7613" s="773">
        <v>194</v>
      </c>
      <c r="V7613" s="773">
        <v>211</v>
      </c>
      <c r="W7613" s="773" t="s">
        <v>390</v>
      </c>
    </row>
    <row r="7614" spans="19:23">
      <c r="S7614" s="27">
        <v>45138</v>
      </c>
      <c r="T7614" s="773" t="s">
        <v>132</v>
      </c>
      <c r="U7614" s="773">
        <v>523</v>
      </c>
      <c r="V7614" s="773">
        <v>1</v>
      </c>
      <c r="W7614" s="773" t="s">
        <v>410</v>
      </c>
    </row>
    <row r="7615" spans="19:23">
      <c r="S7615" s="27">
        <v>45138</v>
      </c>
      <c r="T7615" s="773" t="s">
        <v>132</v>
      </c>
      <c r="U7615" s="773">
        <v>97</v>
      </c>
      <c r="V7615" s="773">
        <v>1</v>
      </c>
      <c r="W7615" s="773" t="s">
        <v>410</v>
      </c>
    </row>
    <row r="7616" spans="19:23">
      <c r="S7616" s="27">
        <v>45138</v>
      </c>
      <c r="T7616" s="773" t="s">
        <v>132</v>
      </c>
      <c r="U7616" s="773">
        <v>728</v>
      </c>
      <c r="V7616" s="773">
        <v>1403</v>
      </c>
      <c r="W7616" s="773" t="s">
        <v>390</v>
      </c>
    </row>
    <row r="7617" spans="19:23">
      <c r="S7617" s="27">
        <v>45138</v>
      </c>
      <c r="T7617" s="773" t="s">
        <v>132</v>
      </c>
      <c r="U7617" s="773">
        <v>798</v>
      </c>
      <c r="V7617" s="773">
        <v>3064</v>
      </c>
      <c r="W7617" s="773" t="s">
        <v>390</v>
      </c>
    </row>
    <row r="7618" spans="19:23">
      <c r="S7618" s="27">
        <v>45138</v>
      </c>
      <c r="T7618" s="773" t="s">
        <v>132</v>
      </c>
      <c r="U7618" s="773">
        <v>304</v>
      </c>
      <c r="V7618" s="773">
        <v>288</v>
      </c>
      <c r="W7618" s="773" t="s">
        <v>390</v>
      </c>
    </row>
    <row r="7619" spans="19:23">
      <c r="S7619" s="27">
        <v>45138</v>
      </c>
      <c r="T7619" s="773" t="s">
        <v>132</v>
      </c>
      <c r="U7619" s="773">
        <v>667</v>
      </c>
      <c r="V7619" s="773">
        <v>1</v>
      </c>
      <c r="W7619" s="773" t="s">
        <v>410</v>
      </c>
    </row>
    <row r="7620" spans="19:23">
      <c r="S7620" s="27">
        <v>45138</v>
      </c>
      <c r="T7620" s="773" t="s">
        <v>132</v>
      </c>
      <c r="U7620" s="773">
        <v>650</v>
      </c>
      <c r="V7620" s="773">
        <v>35</v>
      </c>
      <c r="W7620" s="773" t="s">
        <v>410</v>
      </c>
    </row>
    <row r="7621" spans="19:23">
      <c r="S7621" s="27">
        <v>45138</v>
      </c>
      <c r="T7621" s="773" t="s">
        <v>132</v>
      </c>
      <c r="U7621" s="773">
        <v>56</v>
      </c>
      <c r="V7621" s="773">
        <v>9</v>
      </c>
      <c r="W7621" s="773" t="s">
        <v>410</v>
      </c>
    </row>
    <row r="7622" spans="19:23">
      <c r="S7622" s="27">
        <v>45138</v>
      </c>
      <c r="T7622" s="773" t="s">
        <v>132</v>
      </c>
      <c r="U7622" s="773">
        <v>797</v>
      </c>
      <c r="V7622" s="773">
        <v>3278</v>
      </c>
      <c r="W7622" s="773" t="s">
        <v>390</v>
      </c>
    </row>
    <row r="7623" spans="19:23">
      <c r="S7623" s="27">
        <v>45138</v>
      </c>
      <c r="T7623" s="773" t="s">
        <v>132</v>
      </c>
      <c r="U7623" s="773">
        <v>726</v>
      </c>
      <c r="V7623" s="773">
        <v>139</v>
      </c>
      <c r="W7623" s="773" t="s">
        <v>390</v>
      </c>
    </row>
    <row r="7624" spans="19:23">
      <c r="S7624" s="27">
        <v>45138</v>
      </c>
      <c r="T7624" s="773" t="s">
        <v>132</v>
      </c>
      <c r="U7624" s="773">
        <v>158</v>
      </c>
      <c r="V7624" s="773">
        <v>171</v>
      </c>
      <c r="W7624" s="773" t="s">
        <v>390</v>
      </c>
    </row>
    <row r="7625" spans="19:23">
      <c r="S7625" s="27">
        <v>45138</v>
      </c>
      <c r="T7625" s="773" t="s">
        <v>132</v>
      </c>
      <c r="U7625" s="773">
        <v>213</v>
      </c>
      <c r="V7625" s="773">
        <v>1</v>
      </c>
      <c r="W7625" s="773" t="s">
        <v>410</v>
      </c>
    </row>
    <row r="7626" spans="19:23">
      <c r="S7626" s="27">
        <v>45138</v>
      </c>
      <c r="T7626" s="773" t="s">
        <v>132</v>
      </c>
      <c r="U7626" s="773">
        <v>295</v>
      </c>
      <c r="V7626" s="773">
        <v>2</v>
      </c>
      <c r="W7626" s="773" t="s">
        <v>410</v>
      </c>
    </row>
    <row r="7627" spans="19:23">
      <c r="S7627" s="27">
        <v>45138</v>
      </c>
      <c r="T7627" s="773" t="s">
        <v>132</v>
      </c>
      <c r="U7627" s="773">
        <v>200</v>
      </c>
      <c r="V7627" s="773">
        <v>7</v>
      </c>
      <c r="W7627" s="773" t="s">
        <v>410</v>
      </c>
    </row>
    <row r="7628" spans="19:23">
      <c r="S7628" s="27">
        <v>45138</v>
      </c>
      <c r="T7628" s="773" t="s">
        <v>132</v>
      </c>
      <c r="U7628" s="773">
        <v>173</v>
      </c>
      <c r="V7628" s="773">
        <v>6</v>
      </c>
      <c r="W7628" s="773" t="s">
        <v>410</v>
      </c>
    </row>
    <row r="7629" spans="19:23">
      <c r="S7629" s="27">
        <v>45138</v>
      </c>
      <c r="T7629" s="773" t="s">
        <v>132</v>
      </c>
      <c r="U7629" s="773">
        <v>255</v>
      </c>
      <c r="V7629" s="773">
        <v>553</v>
      </c>
      <c r="W7629" s="773" t="s">
        <v>390</v>
      </c>
    </row>
    <row r="7630" spans="19:23">
      <c r="S7630" s="27">
        <v>45138</v>
      </c>
      <c r="T7630" s="773" t="s">
        <v>132</v>
      </c>
      <c r="U7630" s="773">
        <v>676</v>
      </c>
      <c r="V7630" s="773">
        <v>4</v>
      </c>
      <c r="W7630" s="773" t="s">
        <v>410</v>
      </c>
    </row>
    <row r="7631" spans="19:23">
      <c r="S7631" s="27">
        <v>45138</v>
      </c>
      <c r="T7631" s="773" t="s">
        <v>132</v>
      </c>
      <c r="U7631" s="773">
        <v>709</v>
      </c>
      <c r="V7631" s="773">
        <v>2520</v>
      </c>
      <c r="W7631" s="773" t="s">
        <v>390</v>
      </c>
    </row>
    <row r="7632" spans="19:23">
      <c r="S7632" s="27">
        <v>45138</v>
      </c>
      <c r="T7632" s="773" t="s">
        <v>132</v>
      </c>
      <c r="U7632" s="773">
        <v>204</v>
      </c>
      <c r="V7632" s="773">
        <v>7</v>
      </c>
      <c r="W7632" s="773" t="s">
        <v>410</v>
      </c>
    </row>
    <row r="7633" spans="19:23">
      <c r="S7633" s="27">
        <v>45138</v>
      </c>
      <c r="T7633" s="773" t="s">
        <v>132</v>
      </c>
      <c r="U7633" s="773">
        <v>691</v>
      </c>
      <c r="V7633" s="773">
        <v>3084</v>
      </c>
      <c r="W7633" s="773" t="s">
        <v>390</v>
      </c>
    </row>
    <row r="7634" spans="19:23">
      <c r="S7634" s="27">
        <v>45138</v>
      </c>
      <c r="T7634" s="773" t="s">
        <v>132</v>
      </c>
      <c r="U7634" s="773">
        <v>641</v>
      </c>
      <c r="V7634" s="773">
        <v>2202</v>
      </c>
      <c r="W7634" s="773" t="s">
        <v>390</v>
      </c>
    </row>
    <row r="7635" spans="19:23">
      <c r="S7635" s="27">
        <v>45138</v>
      </c>
      <c r="T7635" s="773" t="s">
        <v>132</v>
      </c>
      <c r="U7635" s="773">
        <v>666</v>
      </c>
      <c r="V7635" s="773">
        <v>1756</v>
      </c>
      <c r="W7635" s="773" t="s">
        <v>390</v>
      </c>
    </row>
    <row r="7636" spans="19:23">
      <c r="S7636" s="27">
        <v>45138</v>
      </c>
      <c r="T7636" s="773" t="s">
        <v>132</v>
      </c>
      <c r="U7636" s="773">
        <v>262</v>
      </c>
      <c r="V7636" s="773">
        <v>32</v>
      </c>
      <c r="W7636" s="773" t="s">
        <v>410</v>
      </c>
    </row>
    <row r="7637" spans="19:23">
      <c r="S7637" s="27">
        <v>45138</v>
      </c>
      <c r="T7637" s="773" t="s">
        <v>132</v>
      </c>
      <c r="U7637" s="773">
        <v>814</v>
      </c>
      <c r="V7637" s="773">
        <v>3491</v>
      </c>
      <c r="W7637" s="773" t="s">
        <v>390</v>
      </c>
    </row>
    <row r="7638" spans="19:23">
      <c r="S7638" s="27">
        <v>45138</v>
      </c>
      <c r="T7638" s="773" t="s">
        <v>132</v>
      </c>
      <c r="U7638" s="773">
        <v>750</v>
      </c>
      <c r="V7638" s="773">
        <v>214</v>
      </c>
      <c r="W7638" s="773" t="s">
        <v>390</v>
      </c>
    </row>
    <row r="7639" spans="19:23">
      <c r="S7639" s="27">
        <v>45138</v>
      </c>
      <c r="T7639" s="773" t="s">
        <v>132</v>
      </c>
      <c r="U7639" s="773">
        <v>738</v>
      </c>
      <c r="V7639" s="773">
        <v>85</v>
      </c>
      <c r="W7639" s="773" t="s">
        <v>410</v>
      </c>
    </row>
    <row r="7640" spans="19:23">
      <c r="S7640" s="27">
        <v>45138</v>
      </c>
      <c r="T7640" s="773" t="s">
        <v>132</v>
      </c>
      <c r="U7640" s="773">
        <v>44</v>
      </c>
      <c r="V7640" s="773">
        <v>2234</v>
      </c>
      <c r="W7640" s="773" t="s">
        <v>390</v>
      </c>
    </row>
    <row r="7641" spans="19:23">
      <c r="S7641" s="27">
        <v>45138</v>
      </c>
      <c r="T7641" s="773" t="s">
        <v>132</v>
      </c>
      <c r="U7641" s="773">
        <v>215</v>
      </c>
      <c r="V7641" s="773">
        <v>613</v>
      </c>
      <c r="W7641" s="773" t="s">
        <v>390</v>
      </c>
    </row>
    <row r="7642" spans="19:23">
      <c r="S7642" s="27">
        <v>45138</v>
      </c>
      <c r="T7642" s="773" t="s">
        <v>132</v>
      </c>
      <c r="U7642" s="773">
        <v>732</v>
      </c>
      <c r="V7642" s="773">
        <v>3584</v>
      </c>
      <c r="W7642" s="773" t="s">
        <v>390</v>
      </c>
    </row>
    <row r="7643" spans="19:23">
      <c r="S7643" s="27">
        <v>45138</v>
      </c>
      <c r="T7643" s="773" t="s">
        <v>132</v>
      </c>
      <c r="U7643" s="773">
        <v>318</v>
      </c>
      <c r="V7643" s="773">
        <v>2542</v>
      </c>
      <c r="W7643" s="773" t="s">
        <v>390</v>
      </c>
    </row>
    <row r="7644" spans="19:23">
      <c r="S7644" s="27">
        <v>45138</v>
      </c>
      <c r="T7644" s="773" t="s">
        <v>132</v>
      </c>
      <c r="U7644" s="773">
        <v>319</v>
      </c>
      <c r="V7644" s="773">
        <v>3239</v>
      </c>
      <c r="W7644" s="773" t="s">
        <v>390</v>
      </c>
    </row>
    <row r="7645" spans="19:23">
      <c r="S7645" s="27">
        <v>45138</v>
      </c>
      <c r="T7645" s="773" t="s">
        <v>132</v>
      </c>
      <c r="U7645" s="773">
        <v>53</v>
      </c>
      <c r="V7645" s="773">
        <v>4</v>
      </c>
      <c r="W7645" s="773" t="s">
        <v>410</v>
      </c>
    </row>
    <row r="7646" spans="19:23">
      <c r="S7646" s="27">
        <v>45138</v>
      </c>
      <c r="T7646" s="773" t="s">
        <v>132</v>
      </c>
      <c r="U7646" s="773">
        <v>77</v>
      </c>
      <c r="V7646" s="773">
        <v>3709</v>
      </c>
      <c r="W7646" s="773" t="s">
        <v>390</v>
      </c>
    </row>
    <row r="7647" spans="19:23">
      <c r="S7647" s="27">
        <v>45138</v>
      </c>
      <c r="T7647" s="773" t="s">
        <v>132</v>
      </c>
      <c r="U7647" s="773">
        <v>323</v>
      </c>
      <c r="V7647" s="773">
        <v>3209</v>
      </c>
      <c r="W7647" s="773" t="s">
        <v>390</v>
      </c>
    </row>
    <row r="7648" spans="19:23">
      <c r="S7648" s="27">
        <v>45138</v>
      </c>
      <c r="T7648" s="773" t="s">
        <v>132</v>
      </c>
      <c r="U7648" s="773">
        <v>92</v>
      </c>
      <c r="V7648" s="773">
        <v>7</v>
      </c>
      <c r="W7648" s="773" t="s">
        <v>410</v>
      </c>
    </row>
    <row r="7649" spans="19:23">
      <c r="S7649" s="27">
        <v>45138</v>
      </c>
      <c r="T7649" s="773" t="s">
        <v>132</v>
      </c>
      <c r="U7649" s="773">
        <v>27</v>
      </c>
      <c r="V7649" s="773">
        <v>1</v>
      </c>
      <c r="W7649" s="773" t="s">
        <v>410</v>
      </c>
    </row>
    <row r="7650" spans="19:23">
      <c r="S7650" s="27">
        <v>45138</v>
      </c>
      <c r="T7650" s="773" t="s">
        <v>132</v>
      </c>
      <c r="U7650" s="773">
        <v>40</v>
      </c>
      <c r="V7650" s="773">
        <v>3</v>
      </c>
      <c r="W7650" s="773" t="s">
        <v>410</v>
      </c>
    </row>
    <row r="7651" spans="19:23">
      <c r="S7651" s="27">
        <v>45138</v>
      </c>
      <c r="T7651" s="773" t="s">
        <v>132</v>
      </c>
      <c r="U7651" s="773">
        <v>275</v>
      </c>
      <c r="V7651" s="773">
        <v>19</v>
      </c>
      <c r="W7651" s="773" t="s">
        <v>410</v>
      </c>
    </row>
    <row r="7652" spans="19:23">
      <c r="S7652" s="27">
        <v>45138</v>
      </c>
      <c r="T7652" s="773" t="s">
        <v>132</v>
      </c>
      <c r="U7652" s="773">
        <v>739</v>
      </c>
      <c r="V7652" s="773">
        <v>2187</v>
      </c>
      <c r="W7652" s="773" t="s">
        <v>390</v>
      </c>
    </row>
    <row r="7653" spans="19:23">
      <c r="S7653" s="27">
        <v>45138</v>
      </c>
      <c r="T7653" s="773" t="s">
        <v>132</v>
      </c>
      <c r="U7653" s="773">
        <v>297</v>
      </c>
      <c r="V7653" s="773">
        <v>1581</v>
      </c>
      <c r="W7653" s="773" t="s">
        <v>390</v>
      </c>
    </row>
    <row r="7654" spans="19:23">
      <c r="S7654" s="27">
        <v>45138</v>
      </c>
      <c r="T7654" s="773" t="s">
        <v>132</v>
      </c>
      <c r="U7654" s="773">
        <v>665</v>
      </c>
      <c r="V7654" s="773">
        <v>17</v>
      </c>
      <c r="W7654" s="773" t="s">
        <v>410</v>
      </c>
    </row>
    <row r="7655" spans="19:23">
      <c r="S7655" s="27">
        <v>45138</v>
      </c>
      <c r="T7655" s="773" t="s">
        <v>132</v>
      </c>
      <c r="U7655" s="773">
        <v>257</v>
      </c>
      <c r="V7655" s="773">
        <v>3058</v>
      </c>
      <c r="W7655" s="773" t="s">
        <v>390</v>
      </c>
    </row>
    <row r="7656" spans="19:23">
      <c r="S7656" s="27">
        <v>45138</v>
      </c>
      <c r="T7656" s="773" t="s">
        <v>132</v>
      </c>
      <c r="U7656" s="773">
        <v>793</v>
      </c>
      <c r="V7656" s="773">
        <v>126</v>
      </c>
      <c r="W7656" s="773" t="s">
        <v>390</v>
      </c>
    </row>
    <row r="7657" spans="19:23">
      <c r="S7657" s="27">
        <v>45138</v>
      </c>
      <c r="T7657" s="773" t="s">
        <v>132</v>
      </c>
      <c r="U7657" s="773">
        <v>306</v>
      </c>
      <c r="V7657" s="773">
        <v>2482</v>
      </c>
      <c r="W7657" s="773" t="s">
        <v>390</v>
      </c>
    </row>
    <row r="7658" spans="19:23">
      <c r="S7658" s="27">
        <v>45138</v>
      </c>
      <c r="T7658" s="773" t="s">
        <v>132</v>
      </c>
      <c r="U7658" s="773">
        <v>59</v>
      </c>
      <c r="V7658" s="773">
        <v>2</v>
      </c>
      <c r="W7658" s="773" t="s">
        <v>410</v>
      </c>
    </row>
    <row r="7659" spans="19:23">
      <c r="S7659" s="27">
        <v>45138</v>
      </c>
      <c r="T7659" s="773" t="s">
        <v>132</v>
      </c>
      <c r="U7659" s="773">
        <v>195</v>
      </c>
      <c r="V7659" s="773">
        <v>1</v>
      </c>
      <c r="W7659" s="773" t="s">
        <v>410</v>
      </c>
    </row>
    <row r="7660" spans="19:23">
      <c r="S7660" s="27">
        <v>45138</v>
      </c>
      <c r="T7660" s="773" t="s">
        <v>132</v>
      </c>
      <c r="U7660" s="773">
        <v>663</v>
      </c>
      <c r="V7660" s="773">
        <v>291</v>
      </c>
      <c r="W7660" s="773" t="s">
        <v>390</v>
      </c>
    </row>
    <row r="7661" spans="19:23">
      <c r="S7661" s="27">
        <v>45138</v>
      </c>
      <c r="T7661" s="773" t="s">
        <v>132</v>
      </c>
      <c r="U7661" s="773">
        <v>188</v>
      </c>
      <c r="V7661" s="773">
        <v>893</v>
      </c>
      <c r="W7661" s="773" t="s">
        <v>390</v>
      </c>
    </row>
    <row r="7662" spans="19:23">
      <c r="S7662" s="27">
        <v>45138</v>
      </c>
      <c r="T7662" s="773" t="s">
        <v>132</v>
      </c>
      <c r="U7662" s="773">
        <v>52</v>
      </c>
      <c r="V7662" s="773">
        <v>8</v>
      </c>
      <c r="W7662" s="773" t="s">
        <v>410</v>
      </c>
    </row>
    <row r="7663" spans="19:23">
      <c r="S7663" s="27">
        <v>45138</v>
      </c>
      <c r="T7663" s="773" t="s">
        <v>132</v>
      </c>
      <c r="U7663" s="773">
        <v>291</v>
      </c>
      <c r="V7663" s="773">
        <v>2</v>
      </c>
      <c r="W7663" s="773" t="s">
        <v>410</v>
      </c>
    </row>
    <row r="7664" spans="19:23">
      <c r="S7664" s="27">
        <v>45138</v>
      </c>
      <c r="T7664" s="773" t="s">
        <v>132</v>
      </c>
      <c r="U7664" s="773">
        <v>296</v>
      </c>
      <c r="V7664" s="773">
        <v>2496</v>
      </c>
      <c r="W7664" s="773" t="s">
        <v>390</v>
      </c>
    </row>
    <row r="7665" spans="19:23">
      <c r="S7665" s="27">
        <v>45138</v>
      </c>
      <c r="T7665" s="773" t="s">
        <v>132</v>
      </c>
      <c r="U7665" s="773">
        <v>98</v>
      </c>
      <c r="V7665" s="773">
        <v>27</v>
      </c>
      <c r="W7665" s="773" t="s">
        <v>410</v>
      </c>
    </row>
    <row r="7666" spans="19:23">
      <c r="S7666" s="27">
        <v>45138</v>
      </c>
      <c r="T7666" s="773" t="s">
        <v>132</v>
      </c>
      <c r="U7666" s="773">
        <v>58</v>
      </c>
      <c r="V7666" s="773">
        <v>1</v>
      </c>
      <c r="W7666" s="773" t="s">
        <v>410</v>
      </c>
    </row>
    <row r="7667" spans="19:23">
      <c r="S7667" s="27">
        <v>45138</v>
      </c>
      <c r="T7667" s="773" t="s">
        <v>132</v>
      </c>
      <c r="U7667" s="773">
        <v>344</v>
      </c>
      <c r="V7667" s="773">
        <v>221</v>
      </c>
      <c r="W7667" s="773" t="s">
        <v>390</v>
      </c>
    </row>
    <row r="7668" spans="19:23">
      <c r="S7668" s="27">
        <v>45138</v>
      </c>
      <c r="T7668" s="773" t="s">
        <v>132</v>
      </c>
      <c r="U7668" s="773">
        <v>324</v>
      </c>
      <c r="V7668" s="773">
        <v>3257</v>
      </c>
      <c r="W7668" s="773" t="s">
        <v>390</v>
      </c>
    </row>
    <row r="7669" spans="19:23">
      <c r="S7669" s="27">
        <v>45138</v>
      </c>
      <c r="T7669" s="773" t="s">
        <v>132</v>
      </c>
      <c r="U7669" s="773">
        <v>153</v>
      </c>
      <c r="V7669" s="773">
        <v>2369</v>
      </c>
      <c r="W7669" s="773" t="s">
        <v>390</v>
      </c>
    </row>
    <row r="7670" spans="19:23">
      <c r="S7670" s="27">
        <v>45138</v>
      </c>
      <c r="T7670" s="773" t="s">
        <v>132</v>
      </c>
      <c r="U7670" s="773">
        <v>312</v>
      </c>
      <c r="V7670" s="773">
        <v>2670</v>
      </c>
      <c r="W7670" s="773" t="s">
        <v>390</v>
      </c>
    </row>
    <row r="7671" spans="19:23">
      <c r="S7671" s="27">
        <v>45138</v>
      </c>
      <c r="T7671" s="773" t="s">
        <v>132</v>
      </c>
      <c r="U7671" s="773">
        <v>119</v>
      </c>
      <c r="V7671" s="773">
        <v>1</v>
      </c>
      <c r="W7671" s="773" t="s">
        <v>410</v>
      </c>
    </row>
    <row r="7672" spans="19:23">
      <c r="S7672" s="27">
        <v>45138</v>
      </c>
      <c r="T7672" s="773" t="s">
        <v>132</v>
      </c>
      <c r="U7672" s="773">
        <v>321</v>
      </c>
      <c r="V7672" s="773">
        <v>1902</v>
      </c>
      <c r="W7672" s="773" t="s">
        <v>390</v>
      </c>
    </row>
    <row r="7673" spans="19:23">
      <c r="S7673" s="27">
        <v>45138</v>
      </c>
      <c r="T7673" s="773" t="s">
        <v>132</v>
      </c>
      <c r="U7673" s="773">
        <v>736</v>
      </c>
      <c r="V7673" s="773">
        <v>3703</v>
      </c>
      <c r="W7673" s="773" t="s">
        <v>390</v>
      </c>
    </row>
    <row r="7674" spans="19:23">
      <c r="S7674" s="27">
        <v>45138</v>
      </c>
      <c r="T7674" s="773" t="s">
        <v>132</v>
      </c>
      <c r="U7674" s="773">
        <v>303</v>
      </c>
      <c r="V7674" s="773">
        <v>4</v>
      </c>
      <c r="W7674" s="773" t="s">
        <v>410</v>
      </c>
    </row>
    <row r="7675" spans="19:23">
      <c r="S7675" s="27">
        <v>45138</v>
      </c>
      <c r="T7675" s="773" t="s">
        <v>132</v>
      </c>
      <c r="U7675" s="773">
        <v>684</v>
      </c>
      <c r="V7675" s="773">
        <v>3206</v>
      </c>
      <c r="W7675" s="773" t="s">
        <v>390</v>
      </c>
    </row>
    <row r="7676" spans="19:23">
      <c r="S7676" s="27">
        <v>45138</v>
      </c>
      <c r="T7676" s="773" t="s">
        <v>132</v>
      </c>
      <c r="U7676" s="773">
        <v>702</v>
      </c>
      <c r="V7676" s="773">
        <v>1</v>
      </c>
      <c r="W7676" s="773" t="s">
        <v>410</v>
      </c>
    </row>
    <row r="7677" spans="19:23">
      <c r="S7677" s="27">
        <v>45138</v>
      </c>
      <c r="T7677" s="773" t="s">
        <v>132</v>
      </c>
      <c r="U7677" s="773">
        <v>326</v>
      </c>
      <c r="V7677" s="773">
        <v>2824</v>
      </c>
      <c r="W7677" s="773" t="s">
        <v>390</v>
      </c>
    </row>
    <row r="7678" spans="19:23">
      <c r="S7678" s="27">
        <v>45138</v>
      </c>
      <c r="T7678" s="773" t="s">
        <v>132</v>
      </c>
      <c r="U7678" s="773">
        <v>329</v>
      </c>
      <c r="V7678" s="773">
        <v>4021</v>
      </c>
      <c r="W7678" s="773" t="s">
        <v>390</v>
      </c>
    </row>
    <row r="7679" spans="19:23">
      <c r="S7679" s="27">
        <v>45138</v>
      </c>
      <c r="T7679" s="773" t="s">
        <v>132</v>
      </c>
      <c r="U7679" s="773">
        <v>654</v>
      </c>
      <c r="V7679" s="773">
        <v>938</v>
      </c>
      <c r="W7679" s="773" t="s">
        <v>390</v>
      </c>
    </row>
    <row r="7680" spans="19:23">
      <c r="S7680" s="27">
        <v>45138</v>
      </c>
      <c r="T7680" s="773" t="s">
        <v>132</v>
      </c>
      <c r="U7680" s="773">
        <v>141</v>
      </c>
      <c r="V7680" s="773">
        <v>1</v>
      </c>
      <c r="W7680" s="773" t="s">
        <v>410</v>
      </c>
    </row>
    <row r="7681" spans="19:23">
      <c r="S7681" s="27">
        <v>45138</v>
      </c>
      <c r="T7681" s="773" t="s">
        <v>132</v>
      </c>
      <c r="U7681" s="773">
        <v>805</v>
      </c>
      <c r="V7681" s="773">
        <v>36</v>
      </c>
      <c r="W7681" s="773" t="s">
        <v>410</v>
      </c>
    </row>
    <row r="7682" spans="19:23">
      <c r="S7682" s="27">
        <v>45138</v>
      </c>
      <c r="T7682" s="773" t="s">
        <v>132</v>
      </c>
      <c r="U7682" s="773">
        <v>73</v>
      </c>
      <c r="V7682" s="773">
        <v>3</v>
      </c>
      <c r="W7682" s="773" t="s">
        <v>410</v>
      </c>
    </row>
    <row r="7683" spans="19:23">
      <c r="S7683" s="27">
        <v>45138</v>
      </c>
      <c r="T7683" s="773" t="s">
        <v>132</v>
      </c>
      <c r="U7683" s="773">
        <v>68</v>
      </c>
      <c r="V7683" s="773">
        <v>1065</v>
      </c>
      <c r="W7683" s="773" t="s">
        <v>390</v>
      </c>
    </row>
    <row r="7684" spans="19:23">
      <c r="S7684" s="27">
        <v>45138</v>
      </c>
      <c r="T7684" s="773" t="s">
        <v>132</v>
      </c>
      <c r="U7684" s="773">
        <v>251</v>
      </c>
      <c r="V7684" s="773">
        <v>1956</v>
      </c>
      <c r="W7684" s="773" t="s">
        <v>390</v>
      </c>
    </row>
    <row r="7685" spans="19:23">
      <c r="S7685" s="27">
        <v>45138</v>
      </c>
      <c r="T7685" s="773" t="s">
        <v>132</v>
      </c>
      <c r="U7685" s="773">
        <v>96</v>
      </c>
      <c r="V7685" s="773">
        <v>3</v>
      </c>
      <c r="W7685" s="773" t="s">
        <v>410</v>
      </c>
    </row>
    <row r="7686" spans="19:23">
      <c r="S7686" s="27">
        <v>45138</v>
      </c>
      <c r="T7686" s="773" t="s">
        <v>132</v>
      </c>
      <c r="U7686" s="773">
        <v>169</v>
      </c>
      <c r="V7686" s="773">
        <v>3171</v>
      </c>
      <c r="W7686" s="773" t="s">
        <v>390</v>
      </c>
    </row>
    <row r="7687" spans="19:23">
      <c r="S7687" s="27">
        <v>45138</v>
      </c>
      <c r="T7687" s="773" t="s">
        <v>132</v>
      </c>
      <c r="U7687" s="773">
        <v>78</v>
      </c>
      <c r="V7687" s="773">
        <v>10</v>
      </c>
      <c r="W7687" s="773" t="s">
        <v>410</v>
      </c>
    </row>
    <row r="7688" spans="19:23">
      <c r="S7688" s="27">
        <v>45138</v>
      </c>
      <c r="T7688" s="773" t="s">
        <v>132</v>
      </c>
      <c r="U7688" s="773">
        <v>799</v>
      </c>
      <c r="V7688" s="773">
        <v>82</v>
      </c>
      <c r="W7688" s="773" t="s">
        <v>410</v>
      </c>
    </row>
    <row r="7689" spans="19:23">
      <c r="S7689" s="27">
        <v>45138</v>
      </c>
      <c r="T7689" s="773" t="s">
        <v>132</v>
      </c>
      <c r="U7689" s="773">
        <v>193</v>
      </c>
      <c r="V7689" s="773">
        <v>482</v>
      </c>
      <c r="W7689" s="773" t="s">
        <v>390</v>
      </c>
    </row>
    <row r="7690" spans="19:23">
      <c r="S7690" s="27">
        <v>45138</v>
      </c>
      <c r="T7690" s="773" t="s">
        <v>132</v>
      </c>
      <c r="U7690" s="773">
        <v>803</v>
      </c>
      <c r="V7690" s="773">
        <v>81</v>
      </c>
      <c r="W7690" s="773" t="s">
        <v>410</v>
      </c>
    </row>
    <row r="7691" spans="19:23">
      <c r="S7691" s="27">
        <v>45138</v>
      </c>
      <c r="T7691" s="773" t="s">
        <v>132</v>
      </c>
      <c r="U7691" s="773">
        <v>806</v>
      </c>
      <c r="V7691" s="773">
        <v>110</v>
      </c>
      <c r="W7691" s="773" t="s">
        <v>390</v>
      </c>
    </row>
    <row r="7692" spans="19:23">
      <c r="S7692" s="27">
        <v>45138</v>
      </c>
      <c r="T7692" s="773" t="s">
        <v>132</v>
      </c>
      <c r="U7692" s="773">
        <v>672</v>
      </c>
      <c r="V7692" s="773">
        <v>2430</v>
      </c>
      <c r="W7692" s="773" t="s">
        <v>390</v>
      </c>
    </row>
    <row r="7693" spans="19:23">
      <c r="S7693" s="27">
        <v>45138</v>
      </c>
      <c r="T7693" s="773" t="s">
        <v>132</v>
      </c>
      <c r="U7693" s="773">
        <v>231</v>
      </c>
      <c r="V7693" s="773">
        <v>8</v>
      </c>
      <c r="W7693" s="773" t="s">
        <v>410</v>
      </c>
    </row>
    <row r="7694" spans="19:23">
      <c r="S7694" s="27">
        <v>45138</v>
      </c>
      <c r="T7694" s="773" t="s">
        <v>132</v>
      </c>
      <c r="U7694" s="773">
        <v>139</v>
      </c>
      <c r="V7694" s="773">
        <v>2506</v>
      </c>
      <c r="W7694" s="773" t="s">
        <v>390</v>
      </c>
    </row>
    <row r="7695" spans="19:23">
      <c r="S7695" s="27">
        <v>45138</v>
      </c>
      <c r="T7695" s="773" t="s">
        <v>132</v>
      </c>
      <c r="U7695" s="773">
        <v>342</v>
      </c>
      <c r="V7695" s="773">
        <v>2699</v>
      </c>
      <c r="W7695" s="773" t="s">
        <v>390</v>
      </c>
    </row>
    <row r="7696" spans="19:23">
      <c r="S7696" s="27">
        <v>45138</v>
      </c>
      <c r="T7696" s="773" t="s">
        <v>132</v>
      </c>
      <c r="U7696" s="773">
        <v>687</v>
      </c>
      <c r="V7696" s="773">
        <v>3144</v>
      </c>
      <c r="W7696" s="773" t="s">
        <v>390</v>
      </c>
    </row>
    <row r="7697" spans="19:23">
      <c r="S7697" s="27">
        <v>45138</v>
      </c>
      <c r="T7697" s="773" t="s">
        <v>132</v>
      </c>
      <c r="U7697" s="773">
        <v>103</v>
      </c>
      <c r="V7697" s="773">
        <v>1772</v>
      </c>
      <c r="W7697" s="773" t="s">
        <v>390</v>
      </c>
    </row>
    <row r="7698" spans="19:23">
      <c r="S7698" s="27">
        <v>45138</v>
      </c>
      <c r="T7698" s="773" t="s">
        <v>132</v>
      </c>
      <c r="U7698" s="773">
        <v>161</v>
      </c>
      <c r="V7698" s="773">
        <v>1</v>
      </c>
      <c r="W7698" s="773" t="s">
        <v>410</v>
      </c>
    </row>
    <row r="7699" spans="19:23">
      <c r="S7699" s="27">
        <v>45138</v>
      </c>
      <c r="T7699" s="773" t="s">
        <v>132</v>
      </c>
      <c r="U7699" s="773">
        <v>222</v>
      </c>
      <c r="V7699" s="773">
        <v>5</v>
      </c>
      <c r="W7699" s="773" t="s">
        <v>410</v>
      </c>
    </row>
    <row r="7700" spans="19:23">
      <c r="S7700" s="27">
        <v>45138</v>
      </c>
      <c r="T7700" s="773" t="s">
        <v>132</v>
      </c>
      <c r="U7700" s="773">
        <v>737</v>
      </c>
      <c r="V7700" s="773">
        <v>2195</v>
      </c>
      <c r="W7700" s="773" t="s">
        <v>390</v>
      </c>
    </row>
    <row r="7701" spans="19:23">
      <c r="S7701" s="27">
        <v>45138</v>
      </c>
      <c r="T7701" s="773" t="s">
        <v>132</v>
      </c>
      <c r="U7701" s="773">
        <v>316</v>
      </c>
      <c r="V7701" s="773">
        <v>7</v>
      </c>
      <c r="W7701" s="773" t="s">
        <v>410</v>
      </c>
    </row>
    <row r="7702" spans="19:23">
      <c r="S7702" s="27">
        <v>45138</v>
      </c>
      <c r="T7702" s="773" t="s">
        <v>132</v>
      </c>
      <c r="U7702" s="773">
        <v>157</v>
      </c>
      <c r="V7702" s="773">
        <v>11</v>
      </c>
      <c r="W7702" s="773" t="s">
        <v>410</v>
      </c>
    </row>
    <row r="7703" spans="19:23">
      <c r="S7703" s="27">
        <v>45138</v>
      </c>
      <c r="T7703" s="773" t="s">
        <v>132</v>
      </c>
      <c r="U7703" s="773">
        <v>220</v>
      </c>
      <c r="V7703" s="773">
        <v>133</v>
      </c>
      <c r="W7703" s="773" t="s">
        <v>390</v>
      </c>
    </row>
    <row r="7704" spans="19:23">
      <c r="S7704" s="27">
        <v>45138</v>
      </c>
      <c r="T7704" s="773" t="s">
        <v>132</v>
      </c>
      <c r="U7704" s="773">
        <v>94</v>
      </c>
      <c r="V7704" s="773">
        <v>583</v>
      </c>
      <c r="W7704" s="773" t="s">
        <v>390</v>
      </c>
    </row>
    <row r="7705" spans="19:23">
      <c r="S7705" s="27">
        <v>45138</v>
      </c>
      <c r="T7705" s="773" t="s">
        <v>132</v>
      </c>
      <c r="U7705" s="773">
        <v>290</v>
      </c>
      <c r="V7705" s="773">
        <v>522</v>
      </c>
      <c r="W7705" s="773" t="s">
        <v>390</v>
      </c>
    </row>
    <row r="7706" spans="19:23">
      <c r="S7706" s="27">
        <v>45138</v>
      </c>
      <c r="T7706" s="773" t="s">
        <v>132</v>
      </c>
      <c r="U7706" s="773">
        <v>699</v>
      </c>
      <c r="V7706" s="773">
        <v>1355</v>
      </c>
      <c r="W7706" s="773" t="s">
        <v>390</v>
      </c>
    </row>
    <row r="7707" spans="19:23">
      <c r="S7707" s="27">
        <v>45138</v>
      </c>
      <c r="T7707" s="773" t="s">
        <v>132</v>
      </c>
      <c r="U7707" s="773">
        <v>740</v>
      </c>
      <c r="V7707" s="773">
        <v>754</v>
      </c>
      <c r="W7707" s="773" t="s">
        <v>390</v>
      </c>
    </row>
    <row r="7708" spans="19:23">
      <c r="S7708" s="27">
        <v>45138</v>
      </c>
      <c r="T7708" s="773" t="s">
        <v>132</v>
      </c>
      <c r="U7708" s="773">
        <v>239</v>
      </c>
      <c r="V7708" s="773">
        <v>6</v>
      </c>
      <c r="W7708" s="773" t="s">
        <v>410</v>
      </c>
    </row>
    <row r="7709" spans="19:23">
      <c r="S7709" s="27">
        <v>45138</v>
      </c>
      <c r="T7709" s="773" t="s">
        <v>132</v>
      </c>
      <c r="U7709" s="773">
        <v>246</v>
      </c>
      <c r="V7709" s="773">
        <v>8</v>
      </c>
      <c r="W7709" s="773" t="s">
        <v>410</v>
      </c>
    </row>
    <row r="7710" spans="19:23">
      <c r="S7710" s="27">
        <v>45138</v>
      </c>
      <c r="T7710" s="773" t="s">
        <v>132</v>
      </c>
      <c r="U7710" s="773">
        <v>253</v>
      </c>
      <c r="V7710" s="773">
        <v>10</v>
      </c>
      <c r="W7710" s="773" t="s">
        <v>410</v>
      </c>
    </row>
    <row r="7711" spans="19:23">
      <c r="S7711" s="27">
        <v>45138</v>
      </c>
      <c r="T7711" s="773" t="s">
        <v>132</v>
      </c>
      <c r="U7711" s="773">
        <v>804</v>
      </c>
      <c r="V7711" s="773">
        <v>2165</v>
      </c>
      <c r="W7711" s="773" t="s">
        <v>390</v>
      </c>
    </row>
    <row r="7712" spans="19:23">
      <c r="S7712" s="27">
        <v>45138</v>
      </c>
      <c r="T7712" s="773" t="s">
        <v>132</v>
      </c>
      <c r="U7712" s="773">
        <v>671</v>
      </c>
      <c r="V7712" s="773">
        <v>2119</v>
      </c>
      <c r="W7712" s="773" t="s">
        <v>390</v>
      </c>
    </row>
    <row r="7713" spans="19:23">
      <c r="S7713" s="27">
        <v>45138</v>
      </c>
      <c r="T7713" s="773" t="s">
        <v>132</v>
      </c>
      <c r="U7713" s="773">
        <v>311</v>
      </c>
      <c r="V7713" s="773">
        <v>2611</v>
      </c>
      <c r="W7713" s="773" t="s">
        <v>390</v>
      </c>
    </row>
    <row r="7714" spans="19:23">
      <c r="S7714" s="27">
        <v>45138</v>
      </c>
      <c r="T7714" s="773" t="s">
        <v>132</v>
      </c>
      <c r="U7714" s="773">
        <v>724</v>
      </c>
      <c r="V7714" s="773">
        <v>2569</v>
      </c>
      <c r="W7714" s="773" t="s">
        <v>390</v>
      </c>
    </row>
    <row r="7715" spans="19:23">
      <c r="S7715" s="27">
        <v>45138</v>
      </c>
      <c r="T7715" s="773" t="s">
        <v>132</v>
      </c>
      <c r="U7715" s="773">
        <v>216</v>
      </c>
      <c r="V7715" s="773">
        <v>2647</v>
      </c>
      <c r="W7715" s="773" t="s">
        <v>390</v>
      </c>
    </row>
    <row r="7716" spans="19:23">
      <c r="S7716" s="27">
        <v>45138</v>
      </c>
      <c r="T7716" s="773" t="s">
        <v>132</v>
      </c>
      <c r="U7716" s="773">
        <v>680</v>
      </c>
      <c r="V7716" s="773">
        <v>3118</v>
      </c>
      <c r="W7716" s="773" t="s">
        <v>390</v>
      </c>
    </row>
    <row r="7717" spans="19:23">
      <c r="S7717" s="27">
        <v>45138</v>
      </c>
      <c r="T7717" s="773" t="s">
        <v>132</v>
      </c>
      <c r="U7717" s="773">
        <v>678</v>
      </c>
      <c r="V7717" s="773">
        <v>182</v>
      </c>
      <c r="W7717" s="773" t="s">
        <v>390</v>
      </c>
    </row>
    <row r="7718" spans="19:23">
      <c r="S7718" s="27">
        <v>45169</v>
      </c>
      <c r="T7718" s="773" t="s">
        <v>132</v>
      </c>
      <c r="U7718" s="773">
        <v>654</v>
      </c>
      <c r="V7718" s="773">
        <v>916</v>
      </c>
      <c r="W7718" s="773" t="s">
        <v>390</v>
      </c>
    </row>
    <row r="7719" spans="19:23">
      <c r="S7719" s="27">
        <v>45169</v>
      </c>
      <c r="T7719" s="773" t="s">
        <v>132</v>
      </c>
      <c r="U7719" s="773">
        <v>97</v>
      </c>
      <c r="V7719" s="773">
        <v>1</v>
      </c>
      <c r="W7719" s="773" t="s">
        <v>410</v>
      </c>
    </row>
    <row r="7720" spans="19:23">
      <c r="S7720" s="27">
        <v>45169</v>
      </c>
      <c r="T7720" s="773" t="s">
        <v>132</v>
      </c>
      <c r="U7720" s="773">
        <v>252</v>
      </c>
      <c r="V7720" s="773">
        <v>149</v>
      </c>
      <c r="W7720" s="773" t="s">
        <v>390</v>
      </c>
    </row>
    <row r="7721" spans="19:23">
      <c r="S7721" s="27">
        <v>45169</v>
      </c>
      <c r="T7721" s="773" t="s">
        <v>132</v>
      </c>
      <c r="U7721" s="773">
        <v>133</v>
      </c>
      <c r="V7721" s="773">
        <v>3</v>
      </c>
      <c r="W7721" s="773" t="s">
        <v>410</v>
      </c>
    </row>
    <row r="7722" spans="19:23">
      <c r="S7722" s="27">
        <v>45169</v>
      </c>
      <c r="T7722" s="773" t="s">
        <v>132</v>
      </c>
      <c r="U7722" s="773">
        <v>323</v>
      </c>
      <c r="V7722" s="773">
        <v>3141</v>
      </c>
      <c r="W7722" s="773" t="s">
        <v>390</v>
      </c>
    </row>
    <row r="7723" spans="19:23">
      <c r="S7723" s="27">
        <v>45169</v>
      </c>
      <c r="T7723" s="773" t="s">
        <v>132</v>
      </c>
      <c r="U7723" s="773">
        <v>222</v>
      </c>
      <c r="V7723" s="773">
        <v>5</v>
      </c>
      <c r="W7723" s="773" t="s">
        <v>410</v>
      </c>
    </row>
    <row r="7724" spans="19:23">
      <c r="S7724" s="27">
        <v>45169</v>
      </c>
      <c r="T7724" s="773" t="s">
        <v>132</v>
      </c>
      <c r="U7724" s="773">
        <v>245</v>
      </c>
      <c r="V7724" s="773">
        <v>3080</v>
      </c>
      <c r="W7724" s="773" t="s">
        <v>390</v>
      </c>
    </row>
    <row r="7725" spans="19:23">
      <c r="S7725" s="27">
        <v>45169</v>
      </c>
      <c r="T7725" s="773" t="s">
        <v>132</v>
      </c>
      <c r="U7725" s="773">
        <v>155</v>
      </c>
      <c r="V7725" s="773">
        <v>2553</v>
      </c>
      <c r="W7725" s="773" t="s">
        <v>390</v>
      </c>
    </row>
    <row r="7726" spans="19:23">
      <c r="S7726" s="27">
        <v>45169</v>
      </c>
      <c r="T7726" s="773" t="s">
        <v>132</v>
      </c>
      <c r="U7726" s="773">
        <v>130</v>
      </c>
      <c r="V7726" s="773">
        <v>1</v>
      </c>
      <c r="W7726" s="773" t="s">
        <v>410</v>
      </c>
    </row>
    <row r="7727" spans="19:23">
      <c r="S7727" s="27">
        <v>45169</v>
      </c>
      <c r="T7727" s="773" t="s">
        <v>132</v>
      </c>
      <c r="U7727" s="773">
        <v>342</v>
      </c>
      <c r="V7727" s="773">
        <v>2668</v>
      </c>
      <c r="W7727" s="773" t="s">
        <v>390</v>
      </c>
    </row>
    <row r="7728" spans="19:23">
      <c r="S7728" s="27">
        <v>45169</v>
      </c>
      <c r="T7728" s="773" t="s">
        <v>132</v>
      </c>
      <c r="U7728" s="773">
        <v>105</v>
      </c>
      <c r="V7728" s="773">
        <v>2</v>
      </c>
      <c r="W7728" s="773" t="s">
        <v>410</v>
      </c>
    </row>
    <row r="7729" spans="19:23">
      <c r="S7729" s="27">
        <v>45169</v>
      </c>
      <c r="T7729" s="773" t="s">
        <v>132</v>
      </c>
      <c r="U7729" s="773">
        <v>748</v>
      </c>
      <c r="V7729" s="773">
        <v>766</v>
      </c>
      <c r="W7729" s="773" t="s">
        <v>390</v>
      </c>
    </row>
    <row r="7730" spans="19:23">
      <c r="S7730" s="27">
        <v>45169</v>
      </c>
      <c r="T7730" s="773" t="s">
        <v>132</v>
      </c>
      <c r="U7730" s="773">
        <v>710</v>
      </c>
      <c r="V7730" s="773">
        <v>1064</v>
      </c>
      <c r="W7730" s="773" t="s">
        <v>390</v>
      </c>
    </row>
    <row r="7731" spans="19:23">
      <c r="S7731" s="27">
        <v>45169</v>
      </c>
      <c r="T7731" s="773" t="s">
        <v>132</v>
      </c>
      <c r="U7731" s="773">
        <v>680</v>
      </c>
      <c r="V7731" s="773">
        <v>3011</v>
      </c>
      <c r="W7731" s="773" t="s">
        <v>390</v>
      </c>
    </row>
    <row r="7732" spans="19:23">
      <c r="S7732" s="27">
        <v>45169</v>
      </c>
      <c r="T7732" s="773" t="s">
        <v>132</v>
      </c>
      <c r="U7732" s="773">
        <v>296</v>
      </c>
      <c r="V7732" s="773">
        <v>2413</v>
      </c>
      <c r="W7732" s="773" t="s">
        <v>390</v>
      </c>
    </row>
    <row r="7733" spans="19:23">
      <c r="S7733" s="27">
        <v>45169</v>
      </c>
      <c r="T7733" s="773" t="s">
        <v>132</v>
      </c>
      <c r="U7733" s="773">
        <v>254</v>
      </c>
      <c r="V7733" s="773">
        <v>5</v>
      </c>
      <c r="W7733" s="773" t="s">
        <v>410</v>
      </c>
    </row>
    <row r="7734" spans="19:23">
      <c r="S7734" s="27">
        <v>45169</v>
      </c>
      <c r="T7734" s="773" t="s">
        <v>132</v>
      </c>
      <c r="U7734" s="773">
        <v>233</v>
      </c>
      <c r="V7734" s="773">
        <v>2046</v>
      </c>
      <c r="W7734" s="773" t="s">
        <v>390</v>
      </c>
    </row>
    <row r="7735" spans="19:23">
      <c r="S7735" s="27">
        <v>45169</v>
      </c>
      <c r="T7735" s="773" t="s">
        <v>132</v>
      </c>
      <c r="U7735" s="773">
        <v>11</v>
      </c>
      <c r="V7735" s="773">
        <v>26</v>
      </c>
      <c r="W7735" s="773" t="s">
        <v>410</v>
      </c>
    </row>
    <row r="7736" spans="19:23">
      <c r="S7736" s="27">
        <v>45169</v>
      </c>
      <c r="T7736" s="773" t="s">
        <v>132</v>
      </c>
      <c r="U7736" s="773">
        <v>120</v>
      </c>
      <c r="V7736" s="773">
        <v>1</v>
      </c>
      <c r="W7736" s="773" t="s">
        <v>410</v>
      </c>
    </row>
    <row r="7737" spans="19:23">
      <c r="S7737" s="27">
        <v>45169</v>
      </c>
      <c r="T7737" s="773" t="s">
        <v>132</v>
      </c>
      <c r="U7737" s="773">
        <v>741</v>
      </c>
      <c r="V7737" s="773">
        <v>2854</v>
      </c>
      <c r="W7737" s="773" t="s">
        <v>390</v>
      </c>
    </row>
    <row r="7738" spans="19:23">
      <c r="S7738" s="27">
        <v>45169</v>
      </c>
      <c r="T7738" s="773" t="s">
        <v>132</v>
      </c>
      <c r="U7738" s="773">
        <v>116</v>
      </c>
      <c r="V7738" s="773">
        <v>1</v>
      </c>
      <c r="W7738" s="773" t="s">
        <v>410</v>
      </c>
    </row>
    <row r="7739" spans="19:23">
      <c r="S7739" s="27">
        <v>45169</v>
      </c>
      <c r="T7739" s="773" t="s">
        <v>132</v>
      </c>
      <c r="U7739" s="773">
        <v>666</v>
      </c>
      <c r="V7739" s="773">
        <v>1725</v>
      </c>
      <c r="W7739" s="773" t="s">
        <v>390</v>
      </c>
    </row>
    <row r="7740" spans="19:23">
      <c r="S7740" s="27">
        <v>45169</v>
      </c>
      <c r="T7740" s="773" t="s">
        <v>132</v>
      </c>
      <c r="U7740" s="773">
        <v>96</v>
      </c>
      <c r="V7740" s="773">
        <v>3</v>
      </c>
      <c r="W7740" s="773" t="s">
        <v>410</v>
      </c>
    </row>
    <row r="7741" spans="19:23">
      <c r="S7741" s="27">
        <v>45169</v>
      </c>
      <c r="T7741" s="773" t="s">
        <v>132</v>
      </c>
      <c r="U7741" s="773">
        <v>722</v>
      </c>
      <c r="V7741" s="773">
        <v>1</v>
      </c>
      <c r="W7741" s="773" t="s">
        <v>410</v>
      </c>
    </row>
    <row r="7742" spans="19:23">
      <c r="S7742" s="27">
        <v>45169</v>
      </c>
      <c r="T7742" s="773" t="s">
        <v>132</v>
      </c>
      <c r="U7742" s="773">
        <v>671</v>
      </c>
      <c r="V7742" s="773">
        <v>2072</v>
      </c>
      <c r="W7742" s="773" t="s">
        <v>390</v>
      </c>
    </row>
    <row r="7743" spans="19:23">
      <c r="S7743" s="27">
        <v>45169</v>
      </c>
      <c r="T7743" s="773" t="s">
        <v>132</v>
      </c>
      <c r="U7743" s="773">
        <v>148</v>
      </c>
      <c r="V7743" s="773">
        <v>4</v>
      </c>
      <c r="W7743" s="773" t="s">
        <v>410</v>
      </c>
    </row>
    <row r="7744" spans="19:23">
      <c r="S7744" s="27">
        <v>45169</v>
      </c>
      <c r="T7744" s="773" t="s">
        <v>132</v>
      </c>
      <c r="U7744" s="773">
        <v>256</v>
      </c>
      <c r="V7744" s="773">
        <v>257</v>
      </c>
      <c r="W7744" s="773" t="s">
        <v>390</v>
      </c>
    </row>
    <row r="7745" spans="19:23">
      <c r="S7745" s="27">
        <v>45169</v>
      </c>
      <c r="T7745" s="773" t="s">
        <v>132</v>
      </c>
      <c r="U7745" s="773">
        <v>648</v>
      </c>
      <c r="V7745" s="773">
        <v>1</v>
      </c>
      <c r="W7745" s="773" t="s">
        <v>410</v>
      </c>
    </row>
    <row r="7746" spans="19:23">
      <c r="S7746" s="27">
        <v>45169</v>
      </c>
      <c r="T7746" s="773" t="s">
        <v>132</v>
      </c>
      <c r="U7746" s="773">
        <v>801</v>
      </c>
      <c r="V7746" s="773">
        <v>422</v>
      </c>
      <c r="W7746" s="773" t="s">
        <v>390</v>
      </c>
    </row>
    <row r="7747" spans="19:23">
      <c r="S7747" s="27">
        <v>45169</v>
      </c>
      <c r="T7747" s="773" t="s">
        <v>132</v>
      </c>
      <c r="U7747" s="773">
        <v>157</v>
      </c>
      <c r="V7747" s="773">
        <v>11</v>
      </c>
      <c r="W7747" s="773" t="s">
        <v>410</v>
      </c>
    </row>
    <row r="7748" spans="19:23">
      <c r="S7748" s="27">
        <v>45169</v>
      </c>
      <c r="T7748" s="773" t="s">
        <v>132</v>
      </c>
      <c r="U7748" s="773">
        <v>739</v>
      </c>
      <c r="V7748" s="773">
        <v>2158</v>
      </c>
      <c r="W7748" s="773" t="s">
        <v>390</v>
      </c>
    </row>
    <row r="7749" spans="19:23">
      <c r="S7749" s="27">
        <v>45169</v>
      </c>
      <c r="T7749" s="773" t="s">
        <v>132</v>
      </c>
      <c r="U7749" s="773">
        <v>103</v>
      </c>
      <c r="V7749" s="773">
        <v>1739</v>
      </c>
      <c r="W7749" s="773" t="s">
        <v>390</v>
      </c>
    </row>
    <row r="7750" spans="19:23">
      <c r="S7750" s="27">
        <v>45169</v>
      </c>
      <c r="T7750" s="773" t="s">
        <v>132</v>
      </c>
      <c r="U7750" s="773">
        <v>703</v>
      </c>
      <c r="V7750" s="773">
        <v>157</v>
      </c>
      <c r="W7750" s="773" t="s">
        <v>390</v>
      </c>
    </row>
    <row r="7751" spans="19:23">
      <c r="S7751" s="27">
        <v>45169</v>
      </c>
      <c r="T7751" s="773" t="s">
        <v>132</v>
      </c>
      <c r="U7751" s="773">
        <v>790</v>
      </c>
      <c r="V7751" s="773">
        <v>654</v>
      </c>
      <c r="W7751" s="773" t="s">
        <v>390</v>
      </c>
    </row>
    <row r="7752" spans="19:23">
      <c r="S7752" s="27">
        <v>45169</v>
      </c>
      <c r="T7752" s="773" t="s">
        <v>132</v>
      </c>
      <c r="U7752" s="773">
        <v>52</v>
      </c>
      <c r="V7752" s="773">
        <v>8</v>
      </c>
      <c r="W7752" s="773" t="s">
        <v>410</v>
      </c>
    </row>
    <row r="7753" spans="19:23">
      <c r="S7753" s="27">
        <v>45169</v>
      </c>
      <c r="T7753" s="773" t="s">
        <v>132</v>
      </c>
      <c r="U7753" s="773">
        <v>294</v>
      </c>
      <c r="V7753" s="773">
        <v>3</v>
      </c>
      <c r="W7753" s="773" t="s">
        <v>410</v>
      </c>
    </row>
    <row r="7754" spans="19:23">
      <c r="S7754" s="27">
        <v>45169</v>
      </c>
      <c r="T7754" s="773" t="s">
        <v>132</v>
      </c>
      <c r="U7754" s="773">
        <v>716</v>
      </c>
      <c r="V7754" s="773">
        <v>315</v>
      </c>
      <c r="W7754" s="773" t="s">
        <v>390</v>
      </c>
    </row>
    <row r="7755" spans="19:23">
      <c r="S7755" s="27">
        <v>45169</v>
      </c>
      <c r="T7755" s="773" t="s">
        <v>132</v>
      </c>
      <c r="U7755" s="773">
        <v>290</v>
      </c>
      <c r="V7755" s="773">
        <v>505</v>
      </c>
      <c r="W7755" s="773" t="s">
        <v>390</v>
      </c>
    </row>
    <row r="7756" spans="19:23">
      <c r="S7756" s="27">
        <v>45169</v>
      </c>
      <c r="T7756" s="773" t="s">
        <v>132</v>
      </c>
      <c r="U7756" s="773">
        <v>68</v>
      </c>
      <c r="V7756" s="773">
        <v>1075</v>
      </c>
      <c r="W7756" s="773" t="s">
        <v>390</v>
      </c>
    </row>
    <row r="7757" spans="19:23">
      <c r="S7757" s="27">
        <v>45169</v>
      </c>
      <c r="T7757" s="773" t="s">
        <v>132</v>
      </c>
      <c r="U7757" s="773">
        <v>191</v>
      </c>
      <c r="V7757" s="773">
        <v>339</v>
      </c>
      <c r="W7757" s="773" t="s">
        <v>390</v>
      </c>
    </row>
    <row r="7758" spans="19:23">
      <c r="S7758" s="27">
        <v>45169</v>
      </c>
      <c r="T7758" s="773" t="s">
        <v>132</v>
      </c>
      <c r="U7758" s="773">
        <v>650</v>
      </c>
      <c r="V7758" s="773">
        <v>29</v>
      </c>
      <c r="W7758" s="773" t="s">
        <v>410</v>
      </c>
    </row>
    <row r="7759" spans="19:23">
      <c r="S7759" s="27">
        <v>45169</v>
      </c>
      <c r="T7759" s="773" t="s">
        <v>132</v>
      </c>
      <c r="U7759" s="773">
        <v>325</v>
      </c>
      <c r="V7759" s="773">
        <v>2180</v>
      </c>
      <c r="W7759" s="773" t="s">
        <v>390</v>
      </c>
    </row>
    <row r="7760" spans="19:23">
      <c r="S7760" s="27">
        <v>45169</v>
      </c>
      <c r="T7760" s="773" t="s">
        <v>132</v>
      </c>
      <c r="U7760" s="773">
        <v>218</v>
      </c>
      <c r="V7760" s="773">
        <v>298</v>
      </c>
      <c r="W7760" s="773" t="s">
        <v>390</v>
      </c>
    </row>
    <row r="7761" spans="19:23">
      <c r="S7761" s="27">
        <v>45169</v>
      </c>
      <c r="T7761" s="773" t="s">
        <v>132</v>
      </c>
      <c r="U7761" s="773">
        <v>132</v>
      </c>
      <c r="V7761" s="773">
        <v>2888</v>
      </c>
      <c r="W7761" s="773" t="s">
        <v>390</v>
      </c>
    </row>
    <row r="7762" spans="19:23">
      <c r="S7762" s="27">
        <v>45169</v>
      </c>
      <c r="T7762" s="773" t="s">
        <v>132</v>
      </c>
      <c r="U7762" s="773">
        <v>249</v>
      </c>
      <c r="V7762" s="773">
        <v>3326</v>
      </c>
      <c r="W7762" s="773" t="s">
        <v>390</v>
      </c>
    </row>
    <row r="7763" spans="19:23">
      <c r="S7763" s="27">
        <v>45169</v>
      </c>
      <c r="T7763" s="773" t="s">
        <v>132</v>
      </c>
      <c r="U7763" s="773">
        <v>812</v>
      </c>
      <c r="V7763" s="773">
        <v>3472</v>
      </c>
      <c r="W7763" s="773" t="s">
        <v>390</v>
      </c>
    </row>
    <row r="7764" spans="19:23">
      <c r="S7764" s="27">
        <v>45169</v>
      </c>
      <c r="T7764" s="773" t="s">
        <v>132</v>
      </c>
      <c r="U7764" s="773">
        <v>129</v>
      </c>
      <c r="V7764" s="773">
        <v>4</v>
      </c>
      <c r="W7764" s="773" t="s">
        <v>410</v>
      </c>
    </row>
    <row r="7765" spans="19:23">
      <c r="S7765" s="27">
        <v>45169</v>
      </c>
      <c r="T7765" s="773" t="s">
        <v>132</v>
      </c>
      <c r="U7765" s="773">
        <v>318</v>
      </c>
      <c r="V7765" s="773">
        <v>2491</v>
      </c>
      <c r="W7765" s="773" t="s">
        <v>390</v>
      </c>
    </row>
    <row r="7766" spans="19:23">
      <c r="S7766" s="27">
        <v>45169</v>
      </c>
      <c r="T7766" s="773" t="s">
        <v>132</v>
      </c>
      <c r="U7766" s="773">
        <v>750</v>
      </c>
      <c r="V7766" s="773">
        <v>234</v>
      </c>
      <c r="W7766" s="773" t="s">
        <v>390</v>
      </c>
    </row>
    <row r="7767" spans="19:23">
      <c r="S7767" s="27">
        <v>45169</v>
      </c>
      <c r="T7767" s="773" t="s">
        <v>132</v>
      </c>
      <c r="U7767" s="773">
        <v>239</v>
      </c>
      <c r="V7767" s="773">
        <v>6</v>
      </c>
      <c r="W7767" s="773" t="s">
        <v>410</v>
      </c>
    </row>
    <row r="7768" spans="19:23">
      <c r="S7768" s="27">
        <v>45169</v>
      </c>
      <c r="T7768" s="773" t="s">
        <v>132</v>
      </c>
      <c r="U7768" s="773">
        <v>691</v>
      </c>
      <c r="V7768" s="773">
        <v>2991</v>
      </c>
      <c r="W7768" s="773" t="s">
        <v>390</v>
      </c>
    </row>
    <row r="7769" spans="19:23">
      <c r="S7769" s="27">
        <v>45169</v>
      </c>
      <c r="T7769" s="773" t="s">
        <v>132</v>
      </c>
      <c r="U7769" s="773">
        <v>676</v>
      </c>
      <c r="V7769" s="773">
        <v>4</v>
      </c>
      <c r="W7769" s="773" t="s">
        <v>410</v>
      </c>
    </row>
    <row r="7770" spans="19:23">
      <c r="S7770" s="27">
        <v>45169</v>
      </c>
      <c r="T7770" s="773" t="s">
        <v>132</v>
      </c>
      <c r="U7770" s="773">
        <v>802</v>
      </c>
      <c r="V7770" s="773">
        <v>53</v>
      </c>
      <c r="W7770" s="773" t="s">
        <v>410</v>
      </c>
    </row>
    <row r="7771" spans="19:23">
      <c r="S7771" s="27">
        <v>45169</v>
      </c>
      <c r="T7771" s="773" t="s">
        <v>132</v>
      </c>
      <c r="U7771" s="773">
        <v>660</v>
      </c>
      <c r="V7771" s="773">
        <v>5</v>
      </c>
      <c r="W7771" s="773" t="s">
        <v>410</v>
      </c>
    </row>
    <row r="7772" spans="19:23">
      <c r="S7772" s="27">
        <v>45169</v>
      </c>
      <c r="T7772" s="773" t="s">
        <v>132</v>
      </c>
      <c r="U7772" s="773">
        <v>81</v>
      </c>
      <c r="V7772" s="773">
        <v>9</v>
      </c>
      <c r="W7772" s="773" t="s">
        <v>410</v>
      </c>
    </row>
    <row r="7773" spans="19:23">
      <c r="S7773" s="27">
        <v>45169</v>
      </c>
      <c r="T7773" s="773" t="s">
        <v>132</v>
      </c>
      <c r="U7773" s="773">
        <v>73</v>
      </c>
      <c r="V7773" s="773">
        <v>1</v>
      </c>
      <c r="W7773" s="773" t="s">
        <v>410</v>
      </c>
    </row>
    <row r="7774" spans="19:23">
      <c r="S7774" s="27">
        <v>45169</v>
      </c>
      <c r="T7774" s="773" t="s">
        <v>132</v>
      </c>
      <c r="U7774" s="773">
        <v>136</v>
      </c>
      <c r="V7774" s="773">
        <v>23</v>
      </c>
      <c r="W7774" s="773" t="s">
        <v>410</v>
      </c>
    </row>
    <row r="7775" spans="19:23">
      <c r="S7775" s="27">
        <v>45169</v>
      </c>
      <c r="T7775" s="773" t="s">
        <v>132</v>
      </c>
      <c r="U7775" s="773">
        <v>329</v>
      </c>
      <c r="V7775" s="773">
        <v>3909</v>
      </c>
      <c r="W7775" s="773" t="s">
        <v>390</v>
      </c>
    </row>
    <row r="7776" spans="19:23">
      <c r="S7776" s="27">
        <v>45169</v>
      </c>
      <c r="T7776" s="773" t="s">
        <v>132</v>
      </c>
      <c r="U7776" s="773">
        <v>798</v>
      </c>
      <c r="V7776" s="773">
        <v>2960</v>
      </c>
      <c r="W7776" s="773" t="s">
        <v>390</v>
      </c>
    </row>
    <row r="7777" spans="19:23">
      <c r="S7777" s="27">
        <v>45169</v>
      </c>
      <c r="T7777" s="773" t="s">
        <v>132</v>
      </c>
      <c r="U7777" s="773">
        <v>102</v>
      </c>
      <c r="V7777" s="773">
        <v>1</v>
      </c>
      <c r="W7777" s="773" t="s">
        <v>410</v>
      </c>
    </row>
    <row r="7778" spans="19:23">
      <c r="S7778" s="27">
        <v>45169</v>
      </c>
      <c r="T7778" s="773" t="s">
        <v>132</v>
      </c>
      <c r="U7778" s="773">
        <v>793</v>
      </c>
      <c r="V7778" s="773">
        <v>180</v>
      </c>
      <c r="W7778" s="773" t="s">
        <v>390</v>
      </c>
    </row>
    <row r="7779" spans="19:23">
      <c r="S7779" s="27">
        <v>45169</v>
      </c>
      <c r="T7779" s="773" t="s">
        <v>132</v>
      </c>
      <c r="U7779" s="773">
        <v>253</v>
      </c>
      <c r="V7779" s="773">
        <v>10</v>
      </c>
      <c r="W7779" s="773" t="s">
        <v>410</v>
      </c>
    </row>
    <row r="7780" spans="19:23">
      <c r="S7780" s="27">
        <v>45169</v>
      </c>
      <c r="T7780" s="773" t="s">
        <v>132</v>
      </c>
      <c r="U7780" s="773">
        <v>161</v>
      </c>
      <c r="V7780" s="773">
        <v>1</v>
      </c>
      <c r="W7780" s="773" t="s">
        <v>410</v>
      </c>
    </row>
    <row r="7781" spans="19:23">
      <c r="S7781" s="27">
        <v>45169</v>
      </c>
      <c r="T7781" s="773" t="s">
        <v>132</v>
      </c>
      <c r="U7781" s="773">
        <v>674</v>
      </c>
      <c r="V7781" s="773">
        <v>3525</v>
      </c>
      <c r="W7781" s="773" t="s">
        <v>390</v>
      </c>
    </row>
    <row r="7782" spans="19:23">
      <c r="S7782" s="27">
        <v>45169</v>
      </c>
      <c r="T7782" s="773" t="s">
        <v>132</v>
      </c>
      <c r="U7782" s="773">
        <v>27</v>
      </c>
      <c r="V7782" s="773">
        <v>1</v>
      </c>
      <c r="W7782" s="773" t="s">
        <v>410</v>
      </c>
    </row>
    <row r="7783" spans="19:23">
      <c r="S7783" s="27">
        <v>45169</v>
      </c>
      <c r="T7783" s="773" t="s">
        <v>132</v>
      </c>
      <c r="U7783" s="773">
        <v>723</v>
      </c>
      <c r="V7783" s="773">
        <v>2243</v>
      </c>
      <c r="W7783" s="773" t="s">
        <v>390</v>
      </c>
    </row>
    <row r="7784" spans="19:23">
      <c r="S7784" s="27">
        <v>45169</v>
      </c>
      <c r="T7784" s="773" t="s">
        <v>132</v>
      </c>
      <c r="U7784" s="773">
        <v>94</v>
      </c>
      <c r="V7784" s="773">
        <v>604</v>
      </c>
      <c r="W7784" s="773" t="s">
        <v>390</v>
      </c>
    </row>
    <row r="7785" spans="19:23">
      <c r="S7785" s="27">
        <v>45169</v>
      </c>
      <c r="T7785" s="773" t="s">
        <v>132</v>
      </c>
      <c r="U7785" s="773">
        <v>265</v>
      </c>
      <c r="V7785" s="773">
        <v>17</v>
      </c>
      <c r="W7785" s="773" t="s">
        <v>410</v>
      </c>
    </row>
    <row r="7786" spans="19:23">
      <c r="S7786" s="27">
        <v>45169</v>
      </c>
      <c r="T7786" s="773" t="s">
        <v>132</v>
      </c>
      <c r="U7786" s="773">
        <v>726</v>
      </c>
      <c r="V7786" s="773">
        <v>789</v>
      </c>
      <c r="W7786" s="773" t="s">
        <v>390</v>
      </c>
    </row>
    <row r="7787" spans="19:23">
      <c r="S7787" s="27">
        <v>45169</v>
      </c>
      <c r="T7787" s="773" t="s">
        <v>132</v>
      </c>
      <c r="U7787" s="773">
        <v>621</v>
      </c>
      <c r="V7787" s="773">
        <v>2605</v>
      </c>
      <c r="W7787" s="773" t="s">
        <v>390</v>
      </c>
    </row>
    <row r="7788" spans="19:23">
      <c r="S7788" s="27">
        <v>45169</v>
      </c>
      <c r="T7788" s="773" t="s">
        <v>132</v>
      </c>
      <c r="U7788" s="773">
        <v>701</v>
      </c>
      <c r="V7788" s="773">
        <v>2372</v>
      </c>
      <c r="W7788" s="773" t="s">
        <v>390</v>
      </c>
    </row>
    <row r="7789" spans="19:23">
      <c r="S7789" s="27">
        <v>45169</v>
      </c>
      <c r="T7789" s="773" t="s">
        <v>132</v>
      </c>
      <c r="U7789" s="773">
        <v>58</v>
      </c>
      <c r="V7789" s="773">
        <v>1</v>
      </c>
      <c r="W7789" s="773" t="s">
        <v>410</v>
      </c>
    </row>
    <row r="7790" spans="19:23">
      <c r="S7790" s="27">
        <v>45169</v>
      </c>
      <c r="T7790" s="773" t="s">
        <v>132</v>
      </c>
      <c r="U7790" s="773">
        <v>736</v>
      </c>
      <c r="V7790" s="773">
        <v>3615</v>
      </c>
      <c r="W7790" s="773" t="s">
        <v>390</v>
      </c>
    </row>
    <row r="7791" spans="19:23">
      <c r="S7791" s="27">
        <v>45169</v>
      </c>
      <c r="T7791" s="773" t="s">
        <v>132</v>
      </c>
      <c r="U7791" s="773">
        <v>662</v>
      </c>
      <c r="V7791" s="773">
        <v>335</v>
      </c>
      <c r="W7791" s="773" t="s">
        <v>390</v>
      </c>
    </row>
    <row r="7792" spans="19:23">
      <c r="S7792" s="27">
        <v>45169</v>
      </c>
      <c r="T7792" s="773" t="s">
        <v>132</v>
      </c>
      <c r="U7792" s="773">
        <v>663</v>
      </c>
      <c r="V7792" s="773">
        <v>247</v>
      </c>
      <c r="W7792" s="773" t="s">
        <v>390</v>
      </c>
    </row>
    <row r="7793" spans="19:23">
      <c r="S7793" s="27">
        <v>45169</v>
      </c>
      <c r="T7793" s="773" t="s">
        <v>132</v>
      </c>
      <c r="U7793" s="773">
        <v>213</v>
      </c>
      <c r="V7793" s="773">
        <v>1</v>
      </c>
      <c r="W7793" s="773" t="s">
        <v>410</v>
      </c>
    </row>
    <row r="7794" spans="19:23">
      <c r="S7794" s="27">
        <v>45169</v>
      </c>
      <c r="T7794" s="773" t="s">
        <v>132</v>
      </c>
      <c r="U7794" s="773">
        <v>77</v>
      </c>
      <c r="V7794" s="773">
        <v>3623</v>
      </c>
      <c r="W7794" s="773" t="s">
        <v>390</v>
      </c>
    </row>
    <row r="7795" spans="19:23">
      <c r="S7795" s="27">
        <v>45169</v>
      </c>
      <c r="T7795" s="773" t="s">
        <v>132</v>
      </c>
      <c r="U7795" s="773">
        <v>792</v>
      </c>
      <c r="V7795" s="773">
        <v>682</v>
      </c>
      <c r="W7795" s="773" t="s">
        <v>390</v>
      </c>
    </row>
    <row r="7796" spans="19:23">
      <c r="S7796" s="27">
        <v>45169</v>
      </c>
      <c r="T7796" s="773" t="s">
        <v>132</v>
      </c>
      <c r="U7796" s="773">
        <v>93</v>
      </c>
      <c r="V7796" s="773">
        <v>1074</v>
      </c>
      <c r="W7796" s="773" t="s">
        <v>390</v>
      </c>
    </row>
    <row r="7797" spans="19:23">
      <c r="S7797" s="27">
        <v>45169</v>
      </c>
      <c r="T7797" s="773" t="s">
        <v>132</v>
      </c>
      <c r="U7797" s="773">
        <v>652</v>
      </c>
      <c r="V7797" s="773">
        <v>3467</v>
      </c>
      <c r="W7797" s="773" t="s">
        <v>390</v>
      </c>
    </row>
    <row r="7798" spans="19:23">
      <c r="S7798" s="27">
        <v>45169</v>
      </c>
      <c r="T7798" s="773" t="s">
        <v>132</v>
      </c>
      <c r="U7798" s="773">
        <v>257</v>
      </c>
      <c r="V7798" s="773">
        <v>2970</v>
      </c>
      <c r="W7798" s="773" t="s">
        <v>390</v>
      </c>
    </row>
    <row r="7799" spans="19:23">
      <c r="S7799" s="27">
        <v>45169</v>
      </c>
      <c r="T7799" s="773" t="s">
        <v>132</v>
      </c>
      <c r="U7799" s="773">
        <v>809</v>
      </c>
      <c r="V7799" s="773">
        <v>95</v>
      </c>
      <c r="W7799" s="773" t="s">
        <v>410</v>
      </c>
    </row>
    <row r="7800" spans="19:23">
      <c r="S7800" s="27">
        <v>45169</v>
      </c>
      <c r="T7800" s="773" t="s">
        <v>132</v>
      </c>
      <c r="U7800" s="773">
        <v>315</v>
      </c>
      <c r="V7800" s="773">
        <v>2018</v>
      </c>
      <c r="W7800" s="773" t="s">
        <v>390</v>
      </c>
    </row>
    <row r="7801" spans="19:23">
      <c r="S7801" s="27">
        <v>45169</v>
      </c>
      <c r="T7801" s="773" t="s">
        <v>132</v>
      </c>
      <c r="U7801" s="773">
        <v>769</v>
      </c>
      <c r="V7801" s="773">
        <v>1715</v>
      </c>
      <c r="W7801" s="773" t="s">
        <v>390</v>
      </c>
    </row>
    <row r="7802" spans="19:23">
      <c r="S7802" s="27">
        <v>45169</v>
      </c>
      <c r="T7802" s="773" t="s">
        <v>132</v>
      </c>
      <c r="U7802" s="773">
        <v>706</v>
      </c>
      <c r="V7802" s="773">
        <v>1224</v>
      </c>
      <c r="W7802" s="773" t="s">
        <v>390</v>
      </c>
    </row>
    <row r="7803" spans="19:23">
      <c r="S7803" s="27">
        <v>45169</v>
      </c>
      <c r="T7803" s="773" t="s">
        <v>132</v>
      </c>
      <c r="U7803" s="773">
        <v>698</v>
      </c>
      <c r="V7803" s="773">
        <v>2708</v>
      </c>
      <c r="W7803" s="773" t="s">
        <v>390</v>
      </c>
    </row>
    <row r="7804" spans="19:23">
      <c r="S7804" s="27">
        <v>45169</v>
      </c>
      <c r="T7804" s="773" t="s">
        <v>132</v>
      </c>
      <c r="U7804" s="773">
        <v>59</v>
      </c>
      <c r="V7804" s="773">
        <v>2</v>
      </c>
      <c r="W7804" s="773" t="s">
        <v>410</v>
      </c>
    </row>
    <row r="7805" spans="19:23">
      <c r="S7805" s="27">
        <v>45169</v>
      </c>
      <c r="T7805" s="773" t="s">
        <v>132</v>
      </c>
      <c r="U7805" s="773">
        <v>89</v>
      </c>
      <c r="V7805" s="773">
        <v>1073</v>
      </c>
      <c r="W7805" s="773" t="s">
        <v>390</v>
      </c>
    </row>
    <row r="7806" spans="19:23">
      <c r="S7806" s="27">
        <v>45169</v>
      </c>
      <c r="T7806" s="773" t="s">
        <v>132</v>
      </c>
      <c r="U7806" s="773">
        <v>326</v>
      </c>
      <c r="V7806" s="773">
        <v>2798</v>
      </c>
      <c r="W7806" s="773" t="s">
        <v>390</v>
      </c>
    </row>
    <row r="7807" spans="19:23">
      <c r="S7807" s="27">
        <v>45169</v>
      </c>
      <c r="T7807" s="773" t="s">
        <v>132</v>
      </c>
      <c r="U7807" s="773">
        <v>188</v>
      </c>
      <c r="V7807" s="773">
        <v>826</v>
      </c>
      <c r="W7807" s="773" t="s">
        <v>390</v>
      </c>
    </row>
    <row r="7808" spans="19:23">
      <c r="S7808" s="27">
        <v>45169</v>
      </c>
      <c r="T7808" s="773" t="s">
        <v>132</v>
      </c>
      <c r="U7808" s="773">
        <v>220</v>
      </c>
      <c r="V7808" s="773">
        <v>124</v>
      </c>
      <c r="W7808" s="773" t="s">
        <v>390</v>
      </c>
    </row>
    <row r="7809" spans="19:23">
      <c r="S7809" s="27">
        <v>45169</v>
      </c>
      <c r="T7809" s="773" t="s">
        <v>132</v>
      </c>
      <c r="U7809" s="773">
        <v>678</v>
      </c>
      <c r="V7809" s="773">
        <v>172</v>
      </c>
      <c r="W7809" s="773" t="s">
        <v>390</v>
      </c>
    </row>
    <row r="7810" spans="19:23">
      <c r="S7810" s="27">
        <v>45169</v>
      </c>
      <c r="T7810" s="773" t="s">
        <v>132</v>
      </c>
      <c r="U7810" s="773">
        <v>320</v>
      </c>
      <c r="V7810" s="773">
        <v>1675</v>
      </c>
      <c r="W7810" s="773" t="s">
        <v>390</v>
      </c>
    </row>
    <row r="7811" spans="19:23">
      <c r="S7811" s="27">
        <v>45169</v>
      </c>
      <c r="T7811" s="773" t="s">
        <v>132</v>
      </c>
      <c r="U7811" s="773">
        <v>48</v>
      </c>
      <c r="V7811" s="773">
        <v>179</v>
      </c>
      <c r="W7811" s="773" t="s">
        <v>390</v>
      </c>
    </row>
    <row r="7812" spans="19:23">
      <c r="S7812" s="27">
        <v>45169</v>
      </c>
      <c r="T7812" s="773" t="s">
        <v>132</v>
      </c>
      <c r="U7812" s="773">
        <v>108</v>
      </c>
      <c r="V7812" s="773">
        <v>10</v>
      </c>
      <c r="W7812" s="773" t="s">
        <v>410</v>
      </c>
    </row>
    <row r="7813" spans="19:23">
      <c r="S7813" s="27">
        <v>45169</v>
      </c>
      <c r="T7813" s="773" t="s">
        <v>132</v>
      </c>
      <c r="U7813" s="773">
        <v>817</v>
      </c>
      <c r="V7813" s="773">
        <v>2409</v>
      </c>
      <c r="W7813" s="773" t="s">
        <v>390</v>
      </c>
    </row>
    <row r="7814" spans="19:23">
      <c r="S7814" s="27">
        <v>45169</v>
      </c>
      <c r="T7814" s="773" t="s">
        <v>132</v>
      </c>
      <c r="U7814" s="773">
        <v>696</v>
      </c>
      <c r="V7814" s="773">
        <v>94</v>
      </c>
      <c r="W7814" s="773" t="s">
        <v>410</v>
      </c>
    </row>
    <row r="7815" spans="19:23">
      <c r="S7815" s="27">
        <v>45169</v>
      </c>
      <c r="T7815" s="773" t="s">
        <v>132</v>
      </c>
      <c r="U7815" s="773">
        <v>728</v>
      </c>
      <c r="V7815" s="773">
        <v>1349</v>
      </c>
      <c r="W7815" s="773" t="s">
        <v>390</v>
      </c>
    </row>
    <row r="7816" spans="19:23">
      <c r="S7816" s="27">
        <v>45169</v>
      </c>
      <c r="T7816" s="773" t="s">
        <v>132</v>
      </c>
      <c r="U7816" s="773">
        <v>665</v>
      </c>
      <c r="V7816" s="773">
        <v>18</v>
      </c>
      <c r="W7816" s="773" t="s">
        <v>410</v>
      </c>
    </row>
    <row r="7817" spans="19:23">
      <c r="S7817" s="27">
        <v>45169</v>
      </c>
      <c r="T7817" s="773" t="s">
        <v>132</v>
      </c>
      <c r="U7817" s="773">
        <v>306</v>
      </c>
      <c r="V7817" s="773">
        <v>2424</v>
      </c>
      <c r="W7817" s="773" t="s">
        <v>390</v>
      </c>
    </row>
    <row r="7818" spans="19:23">
      <c r="S7818" s="27">
        <v>45169</v>
      </c>
      <c r="T7818" s="773" t="s">
        <v>132</v>
      </c>
      <c r="U7818" s="773">
        <v>202</v>
      </c>
      <c r="V7818" s="773">
        <v>1</v>
      </c>
      <c r="W7818" s="773" t="s">
        <v>410</v>
      </c>
    </row>
    <row r="7819" spans="19:23">
      <c r="S7819" s="27">
        <v>45169</v>
      </c>
      <c r="T7819" s="773" t="s">
        <v>132</v>
      </c>
      <c r="U7819" s="773">
        <v>693</v>
      </c>
      <c r="V7819" s="773">
        <v>1</v>
      </c>
      <c r="W7819" s="773" t="s">
        <v>410</v>
      </c>
    </row>
    <row r="7820" spans="19:23">
      <c r="S7820" s="27">
        <v>45169</v>
      </c>
      <c r="T7820" s="773" t="s">
        <v>132</v>
      </c>
      <c r="U7820" s="773">
        <v>324</v>
      </c>
      <c r="V7820" s="773">
        <v>3188</v>
      </c>
      <c r="W7820" s="773" t="s">
        <v>390</v>
      </c>
    </row>
    <row r="7821" spans="19:23">
      <c r="S7821" s="27">
        <v>45169</v>
      </c>
      <c r="T7821" s="773" t="s">
        <v>132</v>
      </c>
      <c r="U7821" s="773">
        <v>56</v>
      </c>
      <c r="V7821" s="773">
        <v>9</v>
      </c>
      <c r="W7821" s="773" t="s">
        <v>410</v>
      </c>
    </row>
    <row r="7822" spans="19:23">
      <c r="S7822" s="27">
        <v>45169</v>
      </c>
      <c r="T7822" s="773" t="s">
        <v>132</v>
      </c>
      <c r="U7822" s="773">
        <v>153</v>
      </c>
      <c r="V7822" s="773">
        <v>2277</v>
      </c>
      <c r="W7822" s="773" t="s">
        <v>390</v>
      </c>
    </row>
    <row r="7823" spans="19:23">
      <c r="S7823" s="27">
        <v>45169</v>
      </c>
      <c r="T7823" s="773" t="s">
        <v>132</v>
      </c>
      <c r="U7823" s="773">
        <v>724</v>
      </c>
      <c r="V7823" s="773">
        <v>2516</v>
      </c>
      <c r="W7823" s="773" t="s">
        <v>390</v>
      </c>
    </row>
    <row r="7824" spans="19:23">
      <c r="S7824" s="27">
        <v>45169</v>
      </c>
      <c r="T7824" s="773" t="s">
        <v>132</v>
      </c>
      <c r="U7824" s="773">
        <v>216</v>
      </c>
      <c r="V7824" s="773">
        <v>2619</v>
      </c>
      <c r="W7824" s="773" t="s">
        <v>390</v>
      </c>
    </row>
    <row r="7825" spans="19:23">
      <c r="S7825" s="27">
        <v>45169</v>
      </c>
      <c r="T7825" s="773" t="s">
        <v>132</v>
      </c>
      <c r="U7825" s="773">
        <v>264</v>
      </c>
      <c r="V7825" s="773">
        <v>387</v>
      </c>
      <c r="W7825" s="773" t="s">
        <v>390</v>
      </c>
    </row>
    <row r="7826" spans="19:23">
      <c r="S7826" s="27">
        <v>45169</v>
      </c>
      <c r="T7826" s="773" t="s">
        <v>132</v>
      </c>
      <c r="U7826" s="773">
        <v>241</v>
      </c>
      <c r="V7826" s="773">
        <v>12</v>
      </c>
      <c r="W7826" s="773" t="s">
        <v>410</v>
      </c>
    </row>
    <row r="7827" spans="19:23">
      <c r="S7827" s="27">
        <v>45169</v>
      </c>
      <c r="T7827" s="773" t="s">
        <v>132</v>
      </c>
      <c r="U7827" s="773">
        <v>183</v>
      </c>
      <c r="V7827" s="773">
        <v>566</v>
      </c>
      <c r="W7827" s="773" t="s">
        <v>390</v>
      </c>
    </row>
    <row r="7828" spans="19:23">
      <c r="S7828" s="27">
        <v>45169</v>
      </c>
      <c r="T7828" s="773" t="s">
        <v>132</v>
      </c>
      <c r="U7828" s="773">
        <v>304</v>
      </c>
      <c r="V7828" s="773">
        <v>299</v>
      </c>
      <c r="W7828" s="773" t="s">
        <v>390</v>
      </c>
    </row>
    <row r="7829" spans="19:23">
      <c r="S7829" s="27">
        <v>45169</v>
      </c>
      <c r="T7829" s="773" t="s">
        <v>132</v>
      </c>
      <c r="U7829" s="773">
        <v>806</v>
      </c>
      <c r="V7829" s="773">
        <v>107</v>
      </c>
      <c r="W7829" s="773" t="s">
        <v>390</v>
      </c>
    </row>
    <row r="7830" spans="19:23">
      <c r="S7830" s="27">
        <v>45169</v>
      </c>
      <c r="T7830" s="773" t="s">
        <v>132</v>
      </c>
      <c r="U7830" s="773">
        <v>729</v>
      </c>
      <c r="V7830" s="773">
        <v>144</v>
      </c>
      <c r="W7830" s="773" t="s">
        <v>390</v>
      </c>
    </row>
    <row r="7831" spans="19:23">
      <c r="S7831" s="27">
        <v>45169</v>
      </c>
      <c r="T7831" s="773" t="s">
        <v>132</v>
      </c>
      <c r="U7831" s="773">
        <v>247</v>
      </c>
      <c r="V7831" s="773">
        <v>2401</v>
      </c>
      <c r="W7831" s="773" t="s">
        <v>390</v>
      </c>
    </row>
    <row r="7832" spans="19:23">
      <c r="S7832" s="27">
        <v>45169</v>
      </c>
      <c r="T7832" s="773" t="s">
        <v>132</v>
      </c>
      <c r="U7832" s="773">
        <v>317</v>
      </c>
      <c r="V7832" s="773">
        <v>3311</v>
      </c>
      <c r="W7832" s="773" t="s">
        <v>390</v>
      </c>
    </row>
    <row r="7833" spans="19:23">
      <c r="S7833" s="27">
        <v>45169</v>
      </c>
      <c r="T7833" s="773" t="s">
        <v>132</v>
      </c>
      <c r="U7833" s="773">
        <v>523</v>
      </c>
      <c r="V7833" s="773">
        <v>1</v>
      </c>
      <c r="W7833" s="773" t="s">
        <v>410</v>
      </c>
    </row>
    <row r="7834" spans="19:23">
      <c r="S7834" s="27">
        <v>45169</v>
      </c>
      <c r="T7834" s="773" t="s">
        <v>132</v>
      </c>
      <c r="U7834" s="773">
        <v>735</v>
      </c>
      <c r="V7834" s="773">
        <v>2734</v>
      </c>
      <c r="W7834" s="773" t="s">
        <v>390</v>
      </c>
    </row>
    <row r="7835" spans="19:23">
      <c r="S7835" s="27">
        <v>45169</v>
      </c>
      <c r="T7835" s="773" t="s">
        <v>132</v>
      </c>
      <c r="U7835" s="773">
        <v>308</v>
      </c>
      <c r="V7835" s="773">
        <v>2300</v>
      </c>
      <c r="W7835" s="773" t="s">
        <v>390</v>
      </c>
    </row>
    <row r="7836" spans="19:23">
      <c r="S7836" s="27">
        <v>45169</v>
      </c>
      <c r="T7836" s="773" t="s">
        <v>132</v>
      </c>
      <c r="U7836" s="773">
        <v>700</v>
      </c>
      <c r="V7836" s="773">
        <v>2845</v>
      </c>
      <c r="W7836" s="773" t="s">
        <v>390</v>
      </c>
    </row>
    <row r="7837" spans="19:23">
      <c r="S7837" s="27">
        <v>45169</v>
      </c>
      <c r="T7837" s="773" t="s">
        <v>132</v>
      </c>
      <c r="U7837" s="773">
        <v>84</v>
      </c>
      <c r="V7837" s="773">
        <v>2470</v>
      </c>
      <c r="W7837" s="773" t="s">
        <v>390</v>
      </c>
    </row>
    <row r="7838" spans="19:23">
      <c r="S7838" s="27">
        <v>45169</v>
      </c>
      <c r="T7838" s="773" t="s">
        <v>132</v>
      </c>
      <c r="U7838" s="773">
        <v>41</v>
      </c>
      <c r="V7838" s="773">
        <v>1</v>
      </c>
      <c r="W7838" s="773" t="s">
        <v>410</v>
      </c>
    </row>
    <row r="7839" spans="19:23">
      <c r="S7839" s="27">
        <v>45169</v>
      </c>
      <c r="T7839" s="773" t="s">
        <v>132</v>
      </c>
      <c r="U7839" s="773">
        <v>528</v>
      </c>
      <c r="V7839" s="773">
        <v>63</v>
      </c>
      <c r="W7839" s="773" t="s">
        <v>410</v>
      </c>
    </row>
    <row r="7840" spans="19:23">
      <c r="S7840" s="27">
        <v>45169</v>
      </c>
      <c r="T7840" s="773" t="s">
        <v>132</v>
      </c>
      <c r="U7840" s="773">
        <v>193</v>
      </c>
      <c r="V7840" s="773">
        <v>474</v>
      </c>
      <c r="W7840" s="773" t="s">
        <v>390</v>
      </c>
    </row>
    <row r="7841" spans="19:23">
      <c r="S7841" s="27">
        <v>45169</v>
      </c>
      <c r="T7841" s="773" t="s">
        <v>132</v>
      </c>
      <c r="U7841" s="773">
        <v>805</v>
      </c>
      <c r="V7841" s="773">
        <v>39</v>
      </c>
      <c r="W7841" s="773" t="s">
        <v>410</v>
      </c>
    </row>
    <row r="7842" spans="19:23">
      <c r="S7842" s="27">
        <v>45169</v>
      </c>
      <c r="T7842" s="773" t="s">
        <v>132</v>
      </c>
      <c r="U7842" s="773">
        <v>675</v>
      </c>
      <c r="V7842" s="773">
        <v>49</v>
      </c>
      <c r="W7842" s="773" t="s">
        <v>410</v>
      </c>
    </row>
    <row r="7843" spans="19:23">
      <c r="S7843" s="27">
        <v>45169</v>
      </c>
      <c r="T7843" s="773" t="s">
        <v>132</v>
      </c>
      <c r="U7843" s="773">
        <v>171</v>
      </c>
      <c r="V7843" s="773">
        <v>58</v>
      </c>
      <c r="W7843" s="773" t="s">
        <v>410</v>
      </c>
    </row>
    <row r="7844" spans="19:23">
      <c r="S7844" s="27">
        <v>45169</v>
      </c>
      <c r="T7844" s="773" t="s">
        <v>132</v>
      </c>
      <c r="U7844" s="773">
        <v>814</v>
      </c>
      <c r="V7844" s="773">
        <v>3384</v>
      </c>
      <c r="W7844" s="773" t="s">
        <v>390</v>
      </c>
    </row>
    <row r="7845" spans="19:23">
      <c r="S7845" s="27">
        <v>45169</v>
      </c>
      <c r="T7845" s="773" t="s">
        <v>132</v>
      </c>
      <c r="U7845" s="773">
        <v>727</v>
      </c>
      <c r="V7845" s="773">
        <v>3581</v>
      </c>
      <c r="W7845" s="773" t="s">
        <v>390</v>
      </c>
    </row>
    <row r="7846" spans="19:23">
      <c r="S7846" s="27">
        <v>45169</v>
      </c>
      <c r="T7846" s="773" t="s">
        <v>132</v>
      </c>
      <c r="U7846" s="773">
        <v>292</v>
      </c>
      <c r="V7846" s="773">
        <v>4</v>
      </c>
      <c r="W7846" s="773" t="s">
        <v>410</v>
      </c>
    </row>
    <row r="7847" spans="19:23">
      <c r="S7847" s="27">
        <v>45169</v>
      </c>
      <c r="T7847" s="773" t="s">
        <v>132</v>
      </c>
      <c r="U7847" s="773">
        <v>46</v>
      </c>
      <c r="V7847" s="773">
        <v>1</v>
      </c>
      <c r="W7847" s="773" t="s">
        <v>410</v>
      </c>
    </row>
    <row r="7848" spans="19:23">
      <c r="S7848" s="27">
        <v>45169</v>
      </c>
      <c r="T7848" s="773" t="s">
        <v>132</v>
      </c>
      <c r="U7848" s="773">
        <v>194</v>
      </c>
      <c r="V7848" s="773">
        <v>220</v>
      </c>
      <c r="W7848" s="773" t="s">
        <v>390</v>
      </c>
    </row>
    <row r="7849" spans="19:23">
      <c r="S7849" s="27">
        <v>45169</v>
      </c>
      <c r="T7849" s="773" t="s">
        <v>132</v>
      </c>
      <c r="U7849" s="773">
        <v>13</v>
      </c>
      <c r="V7849" s="773">
        <v>2576</v>
      </c>
      <c r="W7849" s="773" t="s">
        <v>390</v>
      </c>
    </row>
    <row r="7850" spans="19:23">
      <c r="S7850" s="27">
        <v>45169</v>
      </c>
      <c r="T7850" s="773" t="s">
        <v>132</v>
      </c>
      <c r="U7850" s="773">
        <v>92</v>
      </c>
      <c r="V7850" s="773">
        <v>7</v>
      </c>
      <c r="W7850" s="773" t="s">
        <v>410</v>
      </c>
    </row>
    <row r="7851" spans="19:23">
      <c r="S7851" s="27">
        <v>45169</v>
      </c>
      <c r="T7851" s="773" t="s">
        <v>132</v>
      </c>
      <c r="U7851" s="773">
        <v>141</v>
      </c>
      <c r="V7851" s="773">
        <v>1</v>
      </c>
      <c r="W7851" s="773" t="s">
        <v>410</v>
      </c>
    </row>
    <row r="7852" spans="19:23">
      <c r="S7852" s="27">
        <v>45169</v>
      </c>
      <c r="T7852" s="773" t="s">
        <v>132</v>
      </c>
      <c r="U7852" s="773">
        <v>98</v>
      </c>
      <c r="V7852" s="773">
        <v>26</v>
      </c>
      <c r="W7852" s="773" t="s">
        <v>410</v>
      </c>
    </row>
    <row r="7853" spans="19:23">
      <c r="S7853" s="27">
        <v>45169</v>
      </c>
      <c r="T7853" s="773" t="s">
        <v>132</v>
      </c>
      <c r="U7853" s="773">
        <v>670</v>
      </c>
      <c r="V7853" s="773">
        <v>2509</v>
      </c>
      <c r="W7853" s="773" t="s">
        <v>390</v>
      </c>
    </row>
    <row r="7854" spans="19:23">
      <c r="S7854" s="27">
        <v>45169</v>
      </c>
      <c r="T7854" s="773" t="s">
        <v>132</v>
      </c>
      <c r="U7854" s="773">
        <v>119</v>
      </c>
      <c r="V7854" s="773">
        <v>1</v>
      </c>
      <c r="W7854" s="773" t="s">
        <v>410</v>
      </c>
    </row>
    <row r="7855" spans="19:23">
      <c r="S7855" s="27">
        <v>45169</v>
      </c>
      <c r="T7855" s="773" t="s">
        <v>132</v>
      </c>
      <c r="U7855" s="773">
        <v>35</v>
      </c>
      <c r="V7855" s="773">
        <v>878</v>
      </c>
      <c r="W7855" s="773" t="s">
        <v>390</v>
      </c>
    </row>
    <row r="7856" spans="19:23">
      <c r="S7856" s="27">
        <v>45169</v>
      </c>
      <c r="T7856" s="773" t="s">
        <v>132</v>
      </c>
      <c r="U7856" s="773">
        <v>87</v>
      </c>
      <c r="V7856" s="773">
        <v>2</v>
      </c>
      <c r="W7856" s="773" t="s">
        <v>410</v>
      </c>
    </row>
    <row r="7857" spans="19:23">
      <c r="S7857" s="27">
        <v>45169</v>
      </c>
      <c r="T7857" s="773" t="s">
        <v>132</v>
      </c>
      <c r="U7857" s="773">
        <v>327</v>
      </c>
      <c r="V7857" s="773">
        <v>3</v>
      </c>
      <c r="W7857" s="773" t="s">
        <v>410</v>
      </c>
    </row>
    <row r="7858" spans="19:23">
      <c r="S7858" s="27">
        <v>45169</v>
      </c>
      <c r="T7858" s="773" t="s">
        <v>132</v>
      </c>
      <c r="U7858" s="773">
        <v>266</v>
      </c>
      <c r="V7858" s="773">
        <v>2417</v>
      </c>
      <c r="W7858" s="773" t="s">
        <v>390</v>
      </c>
    </row>
    <row r="7859" spans="19:23">
      <c r="S7859" s="27">
        <v>45169</v>
      </c>
      <c r="T7859" s="773" t="s">
        <v>132</v>
      </c>
      <c r="U7859" s="773">
        <v>150</v>
      </c>
      <c r="V7859" s="773">
        <v>316</v>
      </c>
      <c r="W7859" s="773" t="s">
        <v>390</v>
      </c>
    </row>
    <row r="7860" spans="19:23">
      <c r="S7860" s="27">
        <v>45169</v>
      </c>
      <c r="T7860" s="773" t="s">
        <v>132</v>
      </c>
      <c r="U7860" s="773">
        <v>215</v>
      </c>
      <c r="V7860" s="773">
        <v>6</v>
      </c>
      <c r="W7860" s="773" t="s">
        <v>410</v>
      </c>
    </row>
    <row r="7861" spans="19:23">
      <c r="S7861" s="27">
        <v>45169</v>
      </c>
      <c r="T7861" s="773" t="s">
        <v>132</v>
      </c>
      <c r="U7861" s="773">
        <v>297</v>
      </c>
      <c r="V7861" s="773">
        <v>1562</v>
      </c>
      <c r="W7861" s="773" t="s">
        <v>390</v>
      </c>
    </row>
    <row r="7862" spans="19:23">
      <c r="S7862" s="27">
        <v>45169</v>
      </c>
      <c r="T7862" s="773" t="s">
        <v>132</v>
      </c>
      <c r="U7862" s="773">
        <v>200</v>
      </c>
      <c r="V7862" s="773">
        <v>7</v>
      </c>
      <c r="W7862" s="773" t="s">
        <v>410</v>
      </c>
    </row>
    <row r="7863" spans="19:23">
      <c r="S7863" s="27">
        <v>45169</v>
      </c>
      <c r="T7863" s="773" t="s">
        <v>132</v>
      </c>
      <c r="U7863" s="773">
        <v>672</v>
      </c>
      <c r="V7863" s="773">
        <v>2386</v>
      </c>
      <c r="W7863" s="773" t="s">
        <v>390</v>
      </c>
    </row>
    <row r="7864" spans="19:23">
      <c r="S7864" s="27">
        <v>45169</v>
      </c>
      <c r="T7864" s="773" t="s">
        <v>132</v>
      </c>
      <c r="U7864" s="773">
        <v>204</v>
      </c>
      <c r="V7864" s="773">
        <v>6</v>
      </c>
      <c r="W7864" s="773" t="s">
        <v>410</v>
      </c>
    </row>
    <row r="7865" spans="19:23">
      <c r="S7865" s="27">
        <v>45169</v>
      </c>
      <c r="T7865" s="773" t="s">
        <v>132</v>
      </c>
      <c r="U7865" s="773">
        <v>658</v>
      </c>
      <c r="V7865" s="773">
        <v>5</v>
      </c>
      <c r="W7865" s="773" t="s">
        <v>410</v>
      </c>
    </row>
    <row r="7866" spans="19:23">
      <c r="S7866" s="27">
        <v>45169</v>
      </c>
      <c r="T7866" s="773" t="s">
        <v>132</v>
      </c>
      <c r="U7866" s="773">
        <v>63</v>
      </c>
      <c r="V7866" s="773">
        <v>1</v>
      </c>
      <c r="W7866" s="773" t="s">
        <v>410</v>
      </c>
    </row>
    <row r="7867" spans="19:23">
      <c r="S7867" s="27">
        <v>45169</v>
      </c>
      <c r="T7867" s="773" t="s">
        <v>132</v>
      </c>
      <c r="U7867" s="773">
        <v>71</v>
      </c>
      <c r="V7867" s="773">
        <v>1</v>
      </c>
      <c r="W7867" s="773" t="s">
        <v>410</v>
      </c>
    </row>
    <row r="7868" spans="19:23">
      <c r="S7868" s="27">
        <v>45169</v>
      </c>
      <c r="T7868" s="773" t="s">
        <v>132</v>
      </c>
      <c r="U7868" s="773">
        <v>709</v>
      </c>
      <c r="V7868" s="773">
        <v>2492</v>
      </c>
      <c r="W7868" s="773" t="s">
        <v>390</v>
      </c>
    </row>
    <row r="7869" spans="19:23">
      <c r="S7869" s="27">
        <v>45169</v>
      </c>
      <c r="T7869" s="773" t="s">
        <v>132</v>
      </c>
      <c r="U7869" s="773">
        <v>78</v>
      </c>
      <c r="V7869" s="773">
        <v>8</v>
      </c>
      <c r="W7869" s="773" t="s">
        <v>410</v>
      </c>
    </row>
    <row r="7870" spans="19:23">
      <c r="S7870" s="27">
        <v>45169</v>
      </c>
      <c r="T7870" s="773" t="s">
        <v>132</v>
      </c>
      <c r="U7870" s="773">
        <v>109</v>
      </c>
      <c r="V7870" s="773">
        <v>2</v>
      </c>
      <c r="W7870" s="773" t="s">
        <v>410</v>
      </c>
    </row>
    <row r="7871" spans="19:23">
      <c r="S7871" s="27">
        <v>45169</v>
      </c>
      <c r="T7871" s="773" t="s">
        <v>132</v>
      </c>
      <c r="U7871" s="773">
        <v>160</v>
      </c>
      <c r="V7871" s="773">
        <v>2</v>
      </c>
      <c r="W7871" s="773" t="s">
        <v>410</v>
      </c>
    </row>
    <row r="7872" spans="19:23">
      <c r="S7872" s="27">
        <v>45169</v>
      </c>
      <c r="T7872" s="773" t="s">
        <v>132</v>
      </c>
      <c r="U7872" s="773">
        <v>702</v>
      </c>
      <c r="V7872" s="773">
        <v>1</v>
      </c>
      <c r="W7872" s="773" t="s">
        <v>410</v>
      </c>
    </row>
    <row r="7873" spans="19:23">
      <c r="S7873" s="27">
        <v>45169</v>
      </c>
      <c r="T7873" s="773" t="s">
        <v>132</v>
      </c>
      <c r="U7873" s="773">
        <v>737</v>
      </c>
      <c r="V7873" s="773">
        <v>2154</v>
      </c>
      <c r="W7873" s="773" t="s">
        <v>390</v>
      </c>
    </row>
    <row r="7874" spans="19:23">
      <c r="S7874" s="27">
        <v>45169</v>
      </c>
      <c r="T7874" s="773" t="s">
        <v>132</v>
      </c>
      <c r="U7874" s="773">
        <v>669</v>
      </c>
      <c r="V7874" s="773">
        <v>2919</v>
      </c>
      <c r="W7874" s="773" t="s">
        <v>390</v>
      </c>
    </row>
    <row r="7875" spans="19:23">
      <c r="S7875" s="27">
        <v>45169</v>
      </c>
      <c r="T7875" s="773" t="s">
        <v>132</v>
      </c>
      <c r="U7875" s="773">
        <v>83</v>
      </c>
      <c r="V7875" s="773">
        <v>2476</v>
      </c>
      <c r="W7875" s="773" t="s">
        <v>390</v>
      </c>
    </row>
    <row r="7876" spans="19:23">
      <c r="S7876" s="27">
        <v>45169</v>
      </c>
      <c r="T7876" s="773" t="s">
        <v>132</v>
      </c>
      <c r="U7876" s="773">
        <v>169</v>
      </c>
      <c r="V7876" s="773">
        <v>3081</v>
      </c>
      <c r="W7876" s="773" t="s">
        <v>390</v>
      </c>
    </row>
    <row r="7877" spans="19:23">
      <c r="S7877" s="27">
        <v>45169</v>
      </c>
      <c r="T7877" s="773" t="s">
        <v>132</v>
      </c>
      <c r="U7877" s="773">
        <v>195</v>
      </c>
      <c r="V7877" s="773">
        <v>1</v>
      </c>
      <c r="W7877" s="773" t="s">
        <v>410</v>
      </c>
    </row>
    <row r="7878" spans="19:23">
      <c r="S7878" s="27">
        <v>45169</v>
      </c>
      <c r="T7878" s="773" t="s">
        <v>132</v>
      </c>
      <c r="U7878" s="773">
        <v>319</v>
      </c>
      <c r="V7878" s="773">
        <v>3167</v>
      </c>
      <c r="W7878" s="773" t="s">
        <v>390</v>
      </c>
    </row>
    <row r="7879" spans="19:23">
      <c r="S7879" s="27">
        <v>45169</v>
      </c>
      <c r="T7879" s="773" t="s">
        <v>132</v>
      </c>
      <c r="U7879" s="773">
        <v>322</v>
      </c>
      <c r="V7879" s="773">
        <v>2499</v>
      </c>
      <c r="W7879" s="773" t="s">
        <v>390</v>
      </c>
    </row>
    <row r="7880" spans="19:23">
      <c r="S7880" s="27">
        <v>45169</v>
      </c>
      <c r="T7880" s="773" t="s">
        <v>132</v>
      </c>
      <c r="U7880" s="773">
        <v>70</v>
      </c>
      <c r="V7880" s="773">
        <v>210</v>
      </c>
      <c r="W7880" s="773" t="s">
        <v>390</v>
      </c>
    </row>
    <row r="7881" spans="19:23">
      <c r="S7881" s="27">
        <v>45169</v>
      </c>
      <c r="T7881" s="773" t="s">
        <v>132</v>
      </c>
      <c r="U7881" s="773">
        <v>158</v>
      </c>
      <c r="V7881" s="773">
        <v>174</v>
      </c>
      <c r="W7881" s="773" t="s">
        <v>390</v>
      </c>
    </row>
    <row r="7882" spans="19:23">
      <c r="S7882" s="27">
        <v>45169</v>
      </c>
      <c r="T7882" s="773" t="s">
        <v>132</v>
      </c>
      <c r="U7882" s="773">
        <v>291</v>
      </c>
      <c r="V7882" s="773">
        <v>2</v>
      </c>
      <c r="W7882" s="773" t="s">
        <v>410</v>
      </c>
    </row>
    <row r="7883" spans="19:23">
      <c r="S7883" s="27">
        <v>45169</v>
      </c>
      <c r="T7883" s="773" t="s">
        <v>132</v>
      </c>
      <c r="U7883" s="773">
        <v>804</v>
      </c>
      <c r="V7883" s="773">
        <v>2164</v>
      </c>
      <c r="W7883" s="773" t="s">
        <v>390</v>
      </c>
    </row>
    <row r="7884" spans="19:23">
      <c r="S7884" s="27">
        <v>45169</v>
      </c>
      <c r="T7884" s="773" t="s">
        <v>132</v>
      </c>
      <c r="U7884" s="773">
        <v>641</v>
      </c>
      <c r="V7884" s="773">
        <v>2217</v>
      </c>
      <c r="W7884" s="773" t="s">
        <v>390</v>
      </c>
    </row>
    <row r="7885" spans="19:23">
      <c r="S7885" s="27">
        <v>45169</v>
      </c>
      <c r="T7885" s="773" t="s">
        <v>132</v>
      </c>
      <c r="U7885" s="773">
        <v>164</v>
      </c>
      <c r="V7885" s="773">
        <v>11</v>
      </c>
      <c r="W7885" s="773" t="s">
        <v>410</v>
      </c>
    </row>
    <row r="7886" spans="19:23">
      <c r="S7886" s="27">
        <v>45169</v>
      </c>
      <c r="T7886" s="773" t="s">
        <v>132</v>
      </c>
      <c r="U7886" s="773">
        <v>684</v>
      </c>
      <c r="V7886" s="773">
        <v>3093</v>
      </c>
      <c r="W7886" s="773" t="s">
        <v>390</v>
      </c>
    </row>
    <row r="7887" spans="19:23">
      <c r="S7887" s="27">
        <v>45169</v>
      </c>
      <c r="T7887" s="773" t="s">
        <v>132</v>
      </c>
      <c r="U7887" s="773">
        <v>227</v>
      </c>
      <c r="V7887" s="773">
        <v>1</v>
      </c>
      <c r="W7887" s="773" t="s">
        <v>410</v>
      </c>
    </row>
    <row r="7888" spans="19:23">
      <c r="S7888" s="27">
        <v>45169</v>
      </c>
      <c r="T7888" s="773" t="s">
        <v>132</v>
      </c>
      <c r="U7888" s="773">
        <v>255</v>
      </c>
      <c r="V7888" s="773">
        <v>575</v>
      </c>
      <c r="W7888" s="773" t="s">
        <v>390</v>
      </c>
    </row>
    <row r="7889" spans="19:23">
      <c r="S7889" s="27">
        <v>45169</v>
      </c>
      <c r="T7889" s="773" t="s">
        <v>132</v>
      </c>
      <c r="U7889" s="773">
        <v>124</v>
      </c>
      <c r="V7889" s="773">
        <v>1</v>
      </c>
      <c r="W7889" s="773" t="s">
        <v>410</v>
      </c>
    </row>
    <row r="7890" spans="19:23">
      <c r="S7890" s="27">
        <v>45169</v>
      </c>
      <c r="T7890" s="773" t="s">
        <v>132</v>
      </c>
      <c r="U7890" s="773">
        <v>53</v>
      </c>
      <c r="V7890" s="773">
        <v>4</v>
      </c>
      <c r="W7890" s="773" t="s">
        <v>410</v>
      </c>
    </row>
    <row r="7891" spans="19:23">
      <c r="S7891" s="27">
        <v>45169</v>
      </c>
      <c r="T7891" s="773" t="s">
        <v>132</v>
      </c>
      <c r="U7891" s="773">
        <v>740</v>
      </c>
      <c r="V7891" s="773">
        <v>746</v>
      </c>
      <c r="W7891" s="773" t="s">
        <v>390</v>
      </c>
    </row>
    <row r="7892" spans="19:23">
      <c r="S7892" s="27">
        <v>45169</v>
      </c>
      <c r="T7892" s="773" t="s">
        <v>132</v>
      </c>
      <c r="U7892" s="773">
        <v>797</v>
      </c>
      <c r="V7892" s="773">
        <v>3204</v>
      </c>
      <c r="W7892" s="773" t="s">
        <v>390</v>
      </c>
    </row>
    <row r="7893" spans="19:23">
      <c r="S7893" s="27">
        <v>45169</v>
      </c>
      <c r="T7893" s="773" t="s">
        <v>132</v>
      </c>
      <c r="U7893" s="773">
        <v>732</v>
      </c>
      <c r="V7893" s="773">
        <v>3492</v>
      </c>
      <c r="W7893" s="773" t="s">
        <v>390</v>
      </c>
    </row>
    <row r="7894" spans="19:23">
      <c r="S7894" s="27">
        <v>45169</v>
      </c>
      <c r="T7894" s="773" t="s">
        <v>132</v>
      </c>
      <c r="U7894" s="773">
        <v>720</v>
      </c>
      <c r="V7894" s="773">
        <v>2905</v>
      </c>
      <c r="W7894" s="773" t="s">
        <v>390</v>
      </c>
    </row>
    <row r="7895" spans="19:23">
      <c r="S7895" s="27">
        <v>45169</v>
      </c>
      <c r="T7895" s="773" t="s">
        <v>132</v>
      </c>
      <c r="U7895" s="773">
        <v>271</v>
      </c>
      <c r="V7895" s="773">
        <v>2972</v>
      </c>
      <c r="W7895" s="773" t="s">
        <v>390</v>
      </c>
    </row>
    <row r="7896" spans="19:23">
      <c r="S7896" s="27">
        <v>45169</v>
      </c>
      <c r="T7896" s="773" t="s">
        <v>132</v>
      </c>
      <c r="U7896" s="773">
        <v>231</v>
      </c>
      <c r="V7896" s="773">
        <v>8</v>
      </c>
      <c r="W7896" s="773" t="s">
        <v>410</v>
      </c>
    </row>
    <row r="7897" spans="19:23">
      <c r="S7897" s="27">
        <v>45169</v>
      </c>
      <c r="T7897" s="773" t="s">
        <v>132</v>
      </c>
      <c r="U7897" s="773">
        <v>699</v>
      </c>
      <c r="V7897" s="773">
        <v>699</v>
      </c>
      <c r="W7897" s="773" t="s">
        <v>390</v>
      </c>
    </row>
    <row r="7898" spans="19:23">
      <c r="S7898" s="27">
        <v>45169</v>
      </c>
      <c r="T7898" s="773" t="s">
        <v>132</v>
      </c>
      <c r="U7898" s="773">
        <v>311</v>
      </c>
      <c r="V7898" s="773">
        <v>2510</v>
      </c>
      <c r="W7898" s="773" t="s">
        <v>390</v>
      </c>
    </row>
    <row r="7899" spans="19:23">
      <c r="S7899" s="27">
        <v>45169</v>
      </c>
      <c r="T7899" s="773" t="s">
        <v>132</v>
      </c>
      <c r="U7899" s="773">
        <v>779</v>
      </c>
      <c r="V7899" s="773">
        <v>2120</v>
      </c>
      <c r="W7899" s="773" t="s">
        <v>390</v>
      </c>
    </row>
    <row r="7900" spans="19:23">
      <c r="S7900" s="27">
        <v>45169</v>
      </c>
      <c r="T7900" s="773" t="s">
        <v>132</v>
      </c>
      <c r="U7900" s="773">
        <v>328</v>
      </c>
      <c r="V7900" s="773">
        <v>473</v>
      </c>
      <c r="W7900" s="773" t="s">
        <v>390</v>
      </c>
    </row>
    <row r="7901" spans="19:23">
      <c r="S7901" s="27">
        <v>45169</v>
      </c>
      <c r="T7901" s="773" t="s">
        <v>132</v>
      </c>
      <c r="U7901" s="773">
        <v>305</v>
      </c>
      <c r="V7901" s="773">
        <v>4884</v>
      </c>
      <c r="W7901" s="773" t="s">
        <v>390</v>
      </c>
    </row>
    <row r="7902" spans="19:23">
      <c r="S7902" s="27">
        <v>45169</v>
      </c>
      <c r="T7902" s="773" t="s">
        <v>132</v>
      </c>
      <c r="U7902" s="773">
        <v>697</v>
      </c>
      <c r="V7902" s="773">
        <v>1416</v>
      </c>
      <c r="W7902" s="773" t="s">
        <v>390</v>
      </c>
    </row>
    <row r="7903" spans="19:23">
      <c r="S7903" s="27">
        <v>45169</v>
      </c>
      <c r="T7903" s="773" t="s">
        <v>132</v>
      </c>
      <c r="U7903" s="773">
        <v>295</v>
      </c>
      <c r="V7903" s="773">
        <v>2</v>
      </c>
      <c r="W7903" s="773" t="s">
        <v>410</v>
      </c>
    </row>
    <row r="7904" spans="19:23">
      <c r="S7904" s="27">
        <v>45169</v>
      </c>
      <c r="T7904" s="773" t="s">
        <v>132</v>
      </c>
      <c r="U7904" s="773">
        <v>819</v>
      </c>
      <c r="V7904" s="773">
        <v>2399</v>
      </c>
      <c r="W7904" s="773" t="s">
        <v>390</v>
      </c>
    </row>
    <row r="7905" spans="19:23">
      <c r="S7905" s="27">
        <v>45169</v>
      </c>
      <c r="T7905" s="773" t="s">
        <v>132</v>
      </c>
      <c r="U7905" s="773">
        <v>791</v>
      </c>
      <c r="V7905" s="773">
        <v>3144</v>
      </c>
      <c r="W7905" s="773" t="s">
        <v>390</v>
      </c>
    </row>
    <row r="7906" spans="19:23">
      <c r="S7906" s="27">
        <v>45169</v>
      </c>
      <c r="T7906" s="773" t="s">
        <v>132</v>
      </c>
      <c r="U7906" s="773">
        <v>173</v>
      </c>
      <c r="V7906" s="773">
        <v>5</v>
      </c>
      <c r="W7906" s="773" t="s">
        <v>410</v>
      </c>
    </row>
    <row r="7907" spans="19:23">
      <c r="S7907" s="27">
        <v>45169</v>
      </c>
      <c r="T7907" s="773" t="s">
        <v>132</v>
      </c>
      <c r="U7907" s="773">
        <v>246</v>
      </c>
      <c r="V7907" s="773">
        <v>8</v>
      </c>
      <c r="W7907" s="773" t="s">
        <v>410</v>
      </c>
    </row>
    <row r="7908" spans="19:23">
      <c r="S7908" s="27">
        <v>45169</v>
      </c>
      <c r="T7908" s="773" t="s">
        <v>132</v>
      </c>
      <c r="U7908" s="773">
        <v>687</v>
      </c>
      <c r="V7908" s="773">
        <v>3027</v>
      </c>
      <c r="W7908" s="773" t="s">
        <v>390</v>
      </c>
    </row>
    <row r="7909" spans="19:23">
      <c r="S7909" s="27">
        <v>45169</v>
      </c>
      <c r="T7909" s="773" t="s">
        <v>132</v>
      </c>
      <c r="U7909" s="773">
        <v>664</v>
      </c>
      <c r="V7909" s="773">
        <v>3503</v>
      </c>
      <c r="W7909" s="773" t="s">
        <v>390</v>
      </c>
    </row>
    <row r="7910" spans="19:23">
      <c r="S7910" s="27">
        <v>45169</v>
      </c>
      <c r="T7910" s="773" t="s">
        <v>132</v>
      </c>
      <c r="U7910" s="773">
        <v>275</v>
      </c>
      <c r="V7910" s="773">
        <v>22</v>
      </c>
      <c r="W7910" s="773" t="s">
        <v>410</v>
      </c>
    </row>
    <row r="7911" spans="19:23">
      <c r="S7911" s="27">
        <v>45169</v>
      </c>
      <c r="T7911" s="773" t="s">
        <v>132</v>
      </c>
      <c r="U7911" s="773">
        <v>44</v>
      </c>
      <c r="V7911" s="773">
        <v>2206</v>
      </c>
      <c r="W7911" s="773" t="s">
        <v>390</v>
      </c>
    </row>
    <row r="7912" spans="19:23">
      <c r="S7912" s="27">
        <v>45169</v>
      </c>
      <c r="T7912" s="773" t="s">
        <v>132</v>
      </c>
      <c r="U7912" s="773">
        <v>283</v>
      </c>
      <c r="V7912" s="773">
        <v>1</v>
      </c>
      <c r="W7912" s="773" t="s">
        <v>410</v>
      </c>
    </row>
    <row r="7913" spans="19:23">
      <c r="S7913" s="27">
        <v>45169</v>
      </c>
      <c r="T7913" s="773" t="s">
        <v>132</v>
      </c>
      <c r="U7913" s="773">
        <v>240</v>
      </c>
      <c r="V7913" s="773">
        <v>4</v>
      </c>
      <c r="W7913" s="773" t="s">
        <v>410</v>
      </c>
    </row>
    <row r="7914" spans="19:23">
      <c r="S7914" s="27">
        <v>45169</v>
      </c>
      <c r="T7914" s="773" t="s">
        <v>132</v>
      </c>
      <c r="U7914" s="773">
        <v>651</v>
      </c>
      <c r="V7914" s="773">
        <v>60</v>
      </c>
      <c r="W7914" s="773" t="s">
        <v>410</v>
      </c>
    </row>
    <row r="7915" spans="19:23">
      <c r="S7915" s="27">
        <v>45169</v>
      </c>
      <c r="T7915" s="773" t="s">
        <v>132</v>
      </c>
      <c r="U7915" s="773">
        <v>803</v>
      </c>
      <c r="V7915" s="773">
        <v>91</v>
      </c>
      <c r="W7915" s="773" t="s">
        <v>410</v>
      </c>
    </row>
    <row r="7916" spans="19:23">
      <c r="S7916" s="27">
        <v>45169</v>
      </c>
      <c r="T7916" s="773" t="s">
        <v>132</v>
      </c>
      <c r="U7916" s="773">
        <v>321</v>
      </c>
      <c r="V7916" s="773">
        <v>1852</v>
      </c>
      <c r="W7916" s="773" t="s">
        <v>390</v>
      </c>
    </row>
    <row r="7917" spans="19:23">
      <c r="S7917" s="27">
        <v>45169</v>
      </c>
      <c r="T7917" s="773" t="s">
        <v>132</v>
      </c>
      <c r="U7917" s="773">
        <v>69</v>
      </c>
      <c r="V7917" s="773">
        <v>1</v>
      </c>
      <c r="W7917" s="773" t="s">
        <v>410</v>
      </c>
    </row>
    <row r="7918" spans="19:23">
      <c r="S7918" s="27">
        <v>45169</v>
      </c>
      <c r="T7918" s="773" t="s">
        <v>132</v>
      </c>
      <c r="U7918" s="773">
        <v>230</v>
      </c>
      <c r="V7918" s="773">
        <v>7</v>
      </c>
      <c r="W7918" s="773" t="s">
        <v>410</v>
      </c>
    </row>
    <row r="7919" spans="19:23">
      <c r="S7919" s="27">
        <v>45169</v>
      </c>
      <c r="T7919" s="773" t="s">
        <v>132</v>
      </c>
      <c r="U7919" s="773">
        <v>262</v>
      </c>
      <c r="V7919" s="773">
        <v>32</v>
      </c>
      <c r="W7919" s="773" t="s">
        <v>410</v>
      </c>
    </row>
    <row r="7920" spans="19:23">
      <c r="S7920" s="27">
        <v>45169</v>
      </c>
      <c r="T7920" s="773" t="s">
        <v>132</v>
      </c>
      <c r="U7920" s="773">
        <v>316</v>
      </c>
      <c r="V7920" s="773">
        <v>8</v>
      </c>
      <c r="W7920" s="773" t="s">
        <v>410</v>
      </c>
    </row>
    <row r="7921" spans="19:23">
      <c r="S7921" s="27">
        <v>45169</v>
      </c>
      <c r="T7921" s="773" t="s">
        <v>132</v>
      </c>
      <c r="U7921" s="773">
        <v>40</v>
      </c>
      <c r="V7921" s="773">
        <v>3</v>
      </c>
      <c r="W7921" s="773" t="s">
        <v>410</v>
      </c>
    </row>
    <row r="7922" spans="19:23">
      <c r="S7922" s="27">
        <v>45169</v>
      </c>
      <c r="T7922" s="773" t="s">
        <v>132</v>
      </c>
      <c r="U7922" s="773">
        <v>79</v>
      </c>
      <c r="V7922" s="773">
        <v>4</v>
      </c>
      <c r="W7922" s="773" t="s">
        <v>410</v>
      </c>
    </row>
    <row r="7923" spans="19:23">
      <c r="S7923" s="27">
        <v>45169</v>
      </c>
      <c r="T7923" s="773" t="s">
        <v>132</v>
      </c>
      <c r="U7923" s="773">
        <v>704</v>
      </c>
      <c r="V7923" s="773">
        <v>3411</v>
      </c>
      <c r="W7923" s="773" t="s">
        <v>390</v>
      </c>
    </row>
    <row r="7924" spans="19:23">
      <c r="S7924" s="27">
        <v>45169</v>
      </c>
      <c r="T7924" s="773" t="s">
        <v>132</v>
      </c>
      <c r="U7924" s="773">
        <v>718</v>
      </c>
      <c r="V7924" s="773">
        <v>1593</v>
      </c>
      <c r="W7924" s="773" t="s">
        <v>390</v>
      </c>
    </row>
    <row r="7925" spans="19:23">
      <c r="S7925" s="27">
        <v>45169</v>
      </c>
      <c r="T7925" s="773" t="s">
        <v>132</v>
      </c>
      <c r="U7925" s="773">
        <v>139</v>
      </c>
      <c r="V7925" s="773">
        <v>76</v>
      </c>
      <c r="W7925" s="773" t="s">
        <v>410</v>
      </c>
    </row>
    <row r="7926" spans="19:23">
      <c r="S7926" s="27">
        <v>45169</v>
      </c>
      <c r="T7926" s="773" t="s">
        <v>132</v>
      </c>
      <c r="U7926" s="773">
        <v>738</v>
      </c>
      <c r="V7926" s="773">
        <v>85</v>
      </c>
      <c r="W7926" s="773" t="s">
        <v>410</v>
      </c>
    </row>
    <row r="7927" spans="19:23">
      <c r="S7927" s="27">
        <v>45169</v>
      </c>
      <c r="T7927" s="773" t="s">
        <v>132</v>
      </c>
      <c r="U7927" s="773">
        <v>64</v>
      </c>
      <c r="V7927" s="773">
        <v>1</v>
      </c>
      <c r="W7927" s="773" t="s">
        <v>410</v>
      </c>
    </row>
    <row r="7928" spans="19:23">
      <c r="S7928" s="27">
        <v>45169</v>
      </c>
      <c r="T7928" s="773" t="s">
        <v>132</v>
      </c>
      <c r="U7928" s="773">
        <v>667</v>
      </c>
      <c r="V7928" s="773">
        <v>1</v>
      </c>
      <c r="W7928" s="773" t="s">
        <v>410</v>
      </c>
    </row>
    <row r="7929" spans="19:23">
      <c r="S7929" s="27">
        <v>45169</v>
      </c>
      <c r="T7929" s="773" t="s">
        <v>132</v>
      </c>
      <c r="U7929" s="773">
        <v>312</v>
      </c>
      <c r="V7929" s="773">
        <v>2599</v>
      </c>
      <c r="W7929" s="773" t="s">
        <v>390</v>
      </c>
    </row>
    <row r="7930" spans="19:23">
      <c r="S7930" s="27">
        <v>45169</v>
      </c>
      <c r="T7930" s="773" t="s">
        <v>132</v>
      </c>
      <c r="U7930" s="773">
        <v>43</v>
      </c>
      <c r="V7930" s="773">
        <v>1004</v>
      </c>
      <c r="W7930" s="773" t="s">
        <v>390</v>
      </c>
    </row>
    <row r="7931" spans="19:23">
      <c r="S7931" s="27">
        <v>45169</v>
      </c>
      <c r="T7931" s="773" t="s">
        <v>132</v>
      </c>
      <c r="U7931" s="773">
        <v>0</v>
      </c>
      <c r="V7931" s="773">
        <v>41</v>
      </c>
      <c r="W7931" s="773" t="s">
        <v>410</v>
      </c>
    </row>
    <row r="7932" spans="19:23">
      <c r="S7932" s="27">
        <v>45169</v>
      </c>
      <c r="T7932" s="773" t="s">
        <v>132</v>
      </c>
      <c r="U7932" s="773">
        <v>140</v>
      </c>
      <c r="V7932" s="773">
        <v>690</v>
      </c>
      <c r="W7932" s="773" t="s">
        <v>390</v>
      </c>
    </row>
    <row r="7933" spans="19:23">
      <c r="S7933" s="27">
        <v>45169</v>
      </c>
      <c r="T7933" s="773" t="s">
        <v>132</v>
      </c>
      <c r="U7933" s="773">
        <v>344</v>
      </c>
      <c r="V7933" s="773">
        <v>241</v>
      </c>
      <c r="W7933" s="773" t="s">
        <v>390</v>
      </c>
    </row>
    <row r="7934" spans="19:23">
      <c r="S7934" s="27">
        <v>45169</v>
      </c>
      <c r="T7934" s="773" t="s">
        <v>132</v>
      </c>
      <c r="U7934" s="773">
        <v>303</v>
      </c>
      <c r="V7934" s="773">
        <v>4</v>
      </c>
      <c r="W7934" s="773" t="s">
        <v>410</v>
      </c>
    </row>
    <row r="7935" spans="19:23">
      <c r="S7935" s="27">
        <v>45169</v>
      </c>
      <c r="T7935" s="773" t="s">
        <v>132</v>
      </c>
      <c r="U7935" s="773">
        <v>725</v>
      </c>
      <c r="V7935" s="773">
        <v>538</v>
      </c>
      <c r="W7935" s="773" t="s">
        <v>390</v>
      </c>
    </row>
    <row r="7936" spans="19:23">
      <c r="S7936" s="27">
        <v>45169</v>
      </c>
      <c r="T7936" s="773" t="s">
        <v>132</v>
      </c>
      <c r="U7936" s="773">
        <v>251</v>
      </c>
      <c r="V7936" s="773">
        <v>1925</v>
      </c>
      <c r="W7936" s="773" t="s">
        <v>390</v>
      </c>
    </row>
    <row r="7937" spans="19:23">
      <c r="S7937" s="27">
        <v>45169</v>
      </c>
      <c r="T7937" s="773" t="s">
        <v>132</v>
      </c>
      <c r="U7937" s="773">
        <v>159</v>
      </c>
      <c r="V7937" s="773">
        <v>11</v>
      </c>
      <c r="W7937" s="773" t="s">
        <v>410</v>
      </c>
    </row>
    <row r="7938" spans="19:23">
      <c r="S7938" s="27">
        <v>45169</v>
      </c>
      <c r="T7938" s="773" t="s">
        <v>132</v>
      </c>
      <c r="U7938" s="773">
        <v>653</v>
      </c>
      <c r="V7938" s="773">
        <v>8</v>
      </c>
      <c r="W7938" s="773" t="s">
        <v>410</v>
      </c>
    </row>
    <row r="7939" spans="19:23">
      <c r="S7939" s="27">
        <v>45169</v>
      </c>
      <c r="T7939" s="773" t="s">
        <v>132</v>
      </c>
      <c r="U7939" s="773">
        <v>66</v>
      </c>
      <c r="V7939" s="773">
        <v>1</v>
      </c>
      <c r="W7939" s="773" t="s">
        <v>410</v>
      </c>
    </row>
    <row r="7940" spans="19:23">
      <c r="S7940" s="27">
        <v>45169</v>
      </c>
      <c r="T7940" s="773" t="s">
        <v>132</v>
      </c>
      <c r="U7940" s="773">
        <v>799</v>
      </c>
      <c r="V7940" s="773">
        <v>85</v>
      </c>
      <c r="W7940" s="773" t="s">
        <v>410</v>
      </c>
    </row>
    <row r="7941" spans="19:23">
      <c r="S7941" s="27">
        <v>45199</v>
      </c>
      <c r="T7941" s="773" t="s">
        <v>132</v>
      </c>
      <c r="U7941" s="773">
        <v>675</v>
      </c>
      <c r="V7941" s="773">
        <v>48</v>
      </c>
      <c r="W7941" s="773" t="s">
        <v>410</v>
      </c>
    </row>
    <row r="7942" spans="19:23">
      <c r="S7942" s="27">
        <v>45199</v>
      </c>
      <c r="T7942" s="773" t="s">
        <v>132</v>
      </c>
      <c r="U7942" s="773">
        <v>164</v>
      </c>
      <c r="V7942" s="773">
        <v>11</v>
      </c>
      <c r="W7942" s="773" t="s">
        <v>410</v>
      </c>
    </row>
    <row r="7943" spans="19:23">
      <c r="S7943" s="27">
        <v>45199</v>
      </c>
      <c r="T7943" s="773" t="s">
        <v>132</v>
      </c>
      <c r="U7943" s="773">
        <v>53</v>
      </c>
      <c r="V7943" s="773">
        <v>4</v>
      </c>
      <c r="W7943" s="773" t="s">
        <v>410</v>
      </c>
    </row>
    <row r="7944" spans="19:23">
      <c r="S7944" s="27">
        <v>45199</v>
      </c>
      <c r="T7944" s="773" t="s">
        <v>132</v>
      </c>
      <c r="U7944" s="773">
        <v>710</v>
      </c>
      <c r="V7944" s="773">
        <v>1149</v>
      </c>
      <c r="W7944" s="773" t="s">
        <v>390</v>
      </c>
    </row>
    <row r="7945" spans="19:23">
      <c r="S7945" s="27">
        <v>45199</v>
      </c>
      <c r="T7945" s="773" t="s">
        <v>132</v>
      </c>
      <c r="U7945" s="773">
        <v>750</v>
      </c>
      <c r="V7945" s="773">
        <v>238</v>
      </c>
      <c r="W7945" s="773" t="s">
        <v>390</v>
      </c>
    </row>
    <row r="7946" spans="19:23">
      <c r="S7946" s="27">
        <v>45199</v>
      </c>
      <c r="T7946" s="773" t="s">
        <v>132</v>
      </c>
      <c r="U7946" s="773">
        <v>193</v>
      </c>
      <c r="V7946" s="773">
        <v>469</v>
      </c>
      <c r="W7946" s="773" t="s">
        <v>390</v>
      </c>
    </row>
    <row r="7947" spans="19:23">
      <c r="S7947" s="27">
        <v>45199</v>
      </c>
      <c r="T7947" s="773" t="s">
        <v>132</v>
      </c>
      <c r="U7947" s="773">
        <v>245</v>
      </c>
      <c r="V7947" s="773">
        <v>3093</v>
      </c>
      <c r="W7947" s="773" t="s">
        <v>390</v>
      </c>
    </row>
    <row r="7948" spans="19:23">
      <c r="S7948" s="27">
        <v>45199</v>
      </c>
      <c r="T7948" s="773" t="s">
        <v>132</v>
      </c>
      <c r="U7948" s="773">
        <v>323</v>
      </c>
      <c r="V7948" s="773">
        <v>3143</v>
      </c>
      <c r="W7948" s="773" t="s">
        <v>390</v>
      </c>
    </row>
    <row r="7949" spans="19:23">
      <c r="S7949" s="27">
        <v>45199</v>
      </c>
      <c r="T7949" s="773" t="s">
        <v>132</v>
      </c>
      <c r="U7949" s="773">
        <v>173</v>
      </c>
      <c r="V7949" s="773">
        <v>5</v>
      </c>
      <c r="W7949" s="773" t="s">
        <v>410</v>
      </c>
    </row>
    <row r="7950" spans="19:23">
      <c r="S7950" s="27">
        <v>45199</v>
      </c>
      <c r="T7950" s="773" t="s">
        <v>132</v>
      </c>
      <c r="U7950" s="773">
        <v>824</v>
      </c>
      <c r="V7950" s="773">
        <v>2</v>
      </c>
      <c r="W7950" s="773" t="s">
        <v>410</v>
      </c>
    </row>
    <row r="7951" spans="19:23">
      <c r="S7951" s="27">
        <v>45199</v>
      </c>
      <c r="T7951" s="773" t="s">
        <v>132</v>
      </c>
      <c r="U7951" s="773">
        <v>801</v>
      </c>
      <c r="V7951" s="773">
        <v>430</v>
      </c>
      <c r="W7951" s="773" t="s">
        <v>390</v>
      </c>
    </row>
    <row r="7952" spans="19:23">
      <c r="S7952" s="27">
        <v>45199</v>
      </c>
      <c r="T7952" s="773" t="s">
        <v>132</v>
      </c>
      <c r="U7952" s="773">
        <v>35</v>
      </c>
      <c r="V7952" s="773">
        <v>874</v>
      </c>
      <c r="W7952" s="773" t="s">
        <v>390</v>
      </c>
    </row>
    <row r="7953" spans="19:23">
      <c r="S7953" s="27">
        <v>45199</v>
      </c>
      <c r="T7953" s="773" t="s">
        <v>132</v>
      </c>
      <c r="U7953" s="773">
        <v>48</v>
      </c>
      <c r="V7953" s="773">
        <v>172</v>
      </c>
      <c r="W7953" s="773" t="s">
        <v>390</v>
      </c>
    </row>
    <row r="7954" spans="19:23">
      <c r="S7954" s="27">
        <v>45199</v>
      </c>
      <c r="T7954" s="773" t="s">
        <v>132</v>
      </c>
      <c r="U7954" s="773">
        <v>110</v>
      </c>
      <c r="V7954" s="773">
        <v>4</v>
      </c>
      <c r="W7954" s="773" t="s">
        <v>410</v>
      </c>
    </row>
    <row r="7955" spans="19:23">
      <c r="S7955" s="27">
        <v>45199</v>
      </c>
      <c r="T7955" s="773" t="s">
        <v>132</v>
      </c>
      <c r="U7955" s="773">
        <v>94</v>
      </c>
      <c r="V7955" s="773">
        <v>584</v>
      </c>
      <c r="W7955" s="773" t="s">
        <v>390</v>
      </c>
    </row>
    <row r="7956" spans="19:23">
      <c r="S7956" s="27">
        <v>45199</v>
      </c>
      <c r="T7956" s="773" t="s">
        <v>132</v>
      </c>
      <c r="U7956" s="773">
        <v>215</v>
      </c>
      <c r="V7956" s="773">
        <v>4</v>
      </c>
      <c r="W7956" s="773" t="s">
        <v>410</v>
      </c>
    </row>
    <row r="7957" spans="19:23">
      <c r="S7957" s="27">
        <v>45199</v>
      </c>
      <c r="T7957" s="773" t="s">
        <v>132</v>
      </c>
      <c r="U7957" s="773">
        <v>315</v>
      </c>
      <c r="V7957" s="773">
        <v>2001</v>
      </c>
      <c r="W7957" s="773" t="s">
        <v>390</v>
      </c>
    </row>
    <row r="7958" spans="19:23">
      <c r="S7958" s="27">
        <v>45199</v>
      </c>
      <c r="T7958" s="773" t="s">
        <v>132</v>
      </c>
      <c r="U7958" s="773">
        <v>249</v>
      </c>
      <c r="V7958" s="773">
        <v>3257</v>
      </c>
      <c r="W7958" s="773" t="s">
        <v>390</v>
      </c>
    </row>
    <row r="7959" spans="19:23">
      <c r="S7959" s="27">
        <v>45199</v>
      </c>
      <c r="T7959" s="773" t="s">
        <v>132</v>
      </c>
      <c r="U7959" s="773">
        <v>150</v>
      </c>
      <c r="V7959" s="773">
        <v>310</v>
      </c>
      <c r="W7959" s="773" t="s">
        <v>390</v>
      </c>
    </row>
    <row r="7960" spans="19:23">
      <c r="S7960" s="27">
        <v>45199</v>
      </c>
      <c r="T7960" s="773" t="s">
        <v>132</v>
      </c>
      <c r="U7960" s="773">
        <v>262</v>
      </c>
      <c r="V7960" s="773">
        <v>30</v>
      </c>
      <c r="W7960" s="773" t="s">
        <v>410</v>
      </c>
    </row>
    <row r="7961" spans="19:23">
      <c r="S7961" s="27">
        <v>45199</v>
      </c>
      <c r="T7961" s="773" t="s">
        <v>132</v>
      </c>
      <c r="U7961" s="773">
        <v>735</v>
      </c>
      <c r="V7961" s="773">
        <v>2753</v>
      </c>
      <c r="W7961" s="773" t="s">
        <v>390</v>
      </c>
    </row>
    <row r="7962" spans="19:23">
      <c r="S7962" s="27">
        <v>45199</v>
      </c>
      <c r="T7962" s="773" t="s">
        <v>132</v>
      </c>
      <c r="U7962" s="773">
        <v>701</v>
      </c>
      <c r="V7962" s="773">
        <v>2361</v>
      </c>
      <c r="W7962" s="773" t="s">
        <v>390</v>
      </c>
    </row>
    <row r="7963" spans="19:23">
      <c r="S7963" s="27">
        <v>45199</v>
      </c>
      <c r="T7963" s="773" t="s">
        <v>132</v>
      </c>
      <c r="U7963" s="773">
        <v>316</v>
      </c>
      <c r="V7963" s="773">
        <v>8</v>
      </c>
      <c r="W7963" s="773" t="s">
        <v>410</v>
      </c>
    </row>
    <row r="7964" spans="19:23">
      <c r="S7964" s="27">
        <v>45199</v>
      </c>
      <c r="T7964" s="773" t="s">
        <v>132</v>
      </c>
      <c r="U7964" s="773">
        <v>251</v>
      </c>
      <c r="V7964" s="773">
        <v>1904</v>
      </c>
      <c r="W7964" s="773" t="s">
        <v>390</v>
      </c>
    </row>
    <row r="7965" spans="19:23">
      <c r="S7965" s="27">
        <v>45199</v>
      </c>
      <c r="T7965" s="773" t="s">
        <v>132</v>
      </c>
      <c r="U7965" s="773">
        <v>680</v>
      </c>
      <c r="V7965" s="773">
        <v>2959</v>
      </c>
      <c r="W7965" s="773" t="s">
        <v>390</v>
      </c>
    </row>
    <row r="7966" spans="19:23">
      <c r="S7966" s="27">
        <v>45199</v>
      </c>
      <c r="T7966" s="773" t="s">
        <v>132</v>
      </c>
      <c r="U7966" s="773">
        <v>188</v>
      </c>
      <c r="V7966" s="773">
        <v>837</v>
      </c>
      <c r="W7966" s="773" t="s">
        <v>390</v>
      </c>
    </row>
    <row r="7967" spans="19:23">
      <c r="S7967" s="27">
        <v>45199</v>
      </c>
      <c r="T7967" s="773" t="s">
        <v>132</v>
      </c>
      <c r="U7967" s="773">
        <v>621</v>
      </c>
      <c r="V7967" s="773">
        <v>2641</v>
      </c>
      <c r="W7967" s="773" t="s">
        <v>390</v>
      </c>
    </row>
    <row r="7968" spans="19:23">
      <c r="S7968" s="27">
        <v>45199</v>
      </c>
      <c r="T7968" s="773" t="s">
        <v>132</v>
      </c>
      <c r="U7968" s="773">
        <v>732</v>
      </c>
      <c r="V7968" s="773">
        <v>3478</v>
      </c>
      <c r="W7968" s="773" t="s">
        <v>390</v>
      </c>
    </row>
    <row r="7969" spans="19:23">
      <c r="S7969" s="27">
        <v>45199</v>
      </c>
      <c r="T7969" s="773" t="s">
        <v>132</v>
      </c>
      <c r="U7969" s="773">
        <v>230</v>
      </c>
      <c r="V7969" s="773">
        <v>7</v>
      </c>
      <c r="W7969" s="773" t="s">
        <v>410</v>
      </c>
    </row>
    <row r="7970" spans="19:23">
      <c r="S7970" s="27">
        <v>45199</v>
      </c>
      <c r="T7970" s="773" t="s">
        <v>132</v>
      </c>
      <c r="U7970" s="773">
        <v>216</v>
      </c>
      <c r="V7970" s="773">
        <v>2582</v>
      </c>
      <c r="W7970" s="773" t="s">
        <v>390</v>
      </c>
    </row>
    <row r="7971" spans="19:23">
      <c r="S7971" s="27">
        <v>45199</v>
      </c>
      <c r="T7971" s="773" t="s">
        <v>132</v>
      </c>
      <c r="U7971" s="773">
        <v>266</v>
      </c>
      <c r="V7971" s="773">
        <v>2387</v>
      </c>
      <c r="W7971" s="773" t="s">
        <v>390</v>
      </c>
    </row>
    <row r="7972" spans="19:23">
      <c r="S7972" s="27">
        <v>45199</v>
      </c>
      <c r="T7972" s="773" t="s">
        <v>132</v>
      </c>
      <c r="U7972" s="773">
        <v>241</v>
      </c>
      <c r="V7972" s="773">
        <v>12</v>
      </c>
      <c r="W7972" s="773" t="s">
        <v>410</v>
      </c>
    </row>
    <row r="7973" spans="19:23">
      <c r="S7973" s="27">
        <v>45199</v>
      </c>
      <c r="T7973" s="773" t="s">
        <v>132</v>
      </c>
      <c r="U7973" s="773">
        <v>132</v>
      </c>
      <c r="V7973" s="773">
        <v>2842</v>
      </c>
      <c r="W7973" s="773" t="s">
        <v>390</v>
      </c>
    </row>
    <row r="7974" spans="19:23">
      <c r="S7974" s="27">
        <v>45199</v>
      </c>
      <c r="T7974" s="773" t="s">
        <v>132</v>
      </c>
      <c r="U7974" s="773">
        <v>812</v>
      </c>
      <c r="V7974" s="773">
        <v>3415</v>
      </c>
      <c r="W7974" s="773" t="s">
        <v>390</v>
      </c>
    </row>
    <row r="7975" spans="19:23">
      <c r="S7975" s="27">
        <v>45199</v>
      </c>
      <c r="T7975" s="773" t="s">
        <v>132</v>
      </c>
      <c r="U7975" s="773">
        <v>344</v>
      </c>
      <c r="V7975" s="773">
        <v>266</v>
      </c>
      <c r="W7975" s="773" t="s">
        <v>390</v>
      </c>
    </row>
    <row r="7976" spans="19:23">
      <c r="S7976" s="27">
        <v>45199</v>
      </c>
      <c r="T7976" s="773" t="s">
        <v>132</v>
      </c>
      <c r="U7976" s="773">
        <v>204</v>
      </c>
      <c r="V7976" s="773">
        <v>5</v>
      </c>
      <c r="W7976" s="773" t="s">
        <v>410</v>
      </c>
    </row>
    <row r="7977" spans="19:23">
      <c r="S7977" s="27">
        <v>45199</v>
      </c>
      <c r="T7977" s="773" t="s">
        <v>132</v>
      </c>
      <c r="U7977" s="773">
        <v>305</v>
      </c>
      <c r="V7977" s="773">
        <v>4863</v>
      </c>
      <c r="W7977" s="773" t="s">
        <v>390</v>
      </c>
    </row>
    <row r="7978" spans="19:23">
      <c r="S7978" s="27">
        <v>45199</v>
      </c>
      <c r="T7978" s="773" t="s">
        <v>132</v>
      </c>
      <c r="U7978" s="773">
        <v>654</v>
      </c>
      <c r="V7978" s="773">
        <v>909</v>
      </c>
      <c r="W7978" s="773" t="s">
        <v>390</v>
      </c>
    </row>
    <row r="7979" spans="19:23">
      <c r="S7979" s="27">
        <v>45199</v>
      </c>
      <c r="T7979" s="773" t="s">
        <v>132</v>
      </c>
      <c r="U7979" s="773">
        <v>271</v>
      </c>
      <c r="V7979" s="773">
        <v>2977</v>
      </c>
      <c r="W7979" s="773" t="s">
        <v>390</v>
      </c>
    </row>
    <row r="7980" spans="19:23">
      <c r="S7980" s="27">
        <v>45199</v>
      </c>
      <c r="T7980" s="773" t="s">
        <v>132</v>
      </c>
      <c r="U7980" s="773">
        <v>528</v>
      </c>
      <c r="V7980" s="773">
        <v>54</v>
      </c>
      <c r="W7980" s="773" t="s">
        <v>410</v>
      </c>
    </row>
    <row r="7981" spans="19:23">
      <c r="S7981" s="27">
        <v>45199</v>
      </c>
      <c r="T7981" s="773" t="s">
        <v>132</v>
      </c>
      <c r="U7981" s="773">
        <v>81</v>
      </c>
      <c r="V7981" s="773">
        <v>8</v>
      </c>
      <c r="W7981" s="773" t="s">
        <v>410</v>
      </c>
    </row>
    <row r="7982" spans="19:23">
      <c r="S7982" s="27">
        <v>45199</v>
      </c>
      <c r="T7982" s="773" t="s">
        <v>132</v>
      </c>
      <c r="U7982" s="773">
        <v>87</v>
      </c>
      <c r="V7982" s="773">
        <v>2</v>
      </c>
      <c r="W7982" s="773" t="s">
        <v>410</v>
      </c>
    </row>
    <row r="7983" spans="19:23">
      <c r="S7983" s="27">
        <v>45199</v>
      </c>
      <c r="T7983" s="773" t="s">
        <v>132</v>
      </c>
      <c r="U7983" s="773">
        <v>290</v>
      </c>
      <c r="V7983" s="773">
        <v>503</v>
      </c>
      <c r="W7983" s="773" t="s">
        <v>390</v>
      </c>
    </row>
    <row r="7984" spans="19:23">
      <c r="S7984" s="27">
        <v>45199</v>
      </c>
      <c r="T7984" s="773" t="s">
        <v>132</v>
      </c>
      <c r="U7984" s="773">
        <v>793</v>
      </c>
      <c r="V7984" s="773">
        <v>203</v>
      </c>
      <c r="W7984" s="773" t="s">
        <v>390</v>
      </c>
    </row>
    <row r="7985" spans="19:23">
      <c r="S7985" s="27">
        <v>45199</v>
      </c>
      <c r="T7985" s="773" t="s">
        <v>132</v>
      </c>
      <c r="U7985" s="773">
        <v>171</v>
      </c>
      <c r="V7985" s="773">
        <v>58</v>
      </c>
      <c r="W7985" s="773" t="s">
        <v>410</v>
      </c>
    </row>
    <row r="7986" spans="19:23">
      <c r="S7986" s="27">
        <v>45199</v>
      </c>
      <c r="T7986" s="773" t="s">
        <v>132</v>
      </c>
      <c r="U7986" s="773">
        <v>329</v>
      </c>
      <c r="V7986" s="773">
        <v>3859</v>
      </c>
      <c r="W7986" s="773" t="s">
        <v>390</v>
      </c>
    </row>
    <row r="7987" spans="19:23">
      <c r="S7987" s="27">
        <v>45199</v>
      </c>
      <c r="T7987" s="773" t="s">
        <v>132</v>
      </c>
      <c r="U7987" s="773">
        <v>698</v>
      </c>
      <c r="V7987" s="773">
        <v>2654</v>
      </c>
      <c r="W7987" s="773" t="s">
        <v>390</v>
      </c>
    </row>
    <row r="7988" spans="19:23">
      <c r="S7988" s="27">
        <v>45199</v>
      </c>
      <c r="T7988" s="773" t="s">
        <v>132</v>
      </c>
      <c r="U7988" s="773">
        <v>70</v>
      </c>
      <c r="V7988" s="773">
        <v>208</v>
      </c>
      <c r="W7988" s="773" t="s">
        <v>390</v>
      </c>
    </row>
    <row r="7989" spans="19:23">
      <c r="S7989" s="27">
        <v>45199</v>
      </c>
      <c r="T7989" s="773" t="s">
        <v>132</v>
      </c>
      <c r="U7989" s="773">
        <v>303</v>
      </c>
      <c r="V7989" s="773">
        <v>4</v>
      </c>
      <c r="W7989" s="773" t="s">
        <v>410</v>
      </c>
    </row>
    <row r="7990" spans="19:23">
      <c r="S7990" s="27">
        <v>45199</v>
      </c>
      <c r="T7990" s="773" t="s">
        <v>132</v>
      </c>
      <c r="U7990" s="773">
        <v>247</v>
      </c>
      <c r="V7990" s="773">
        <v>2361</v>
      </c>
      <c r="W7990" s="773" t="s">
        <v>390</v>
      </c>
    </row>
    <row r="7991" spans="19:23">
      <c r="S7991" s="27">
        <v>45199</v>
      </c>
      <c r="T7991" s="773" t="s">
        <v>132</v>
      </c>
      <c r="U7991" s="773">
        <v>92</v>
      </c>
      <c r="V7991" s="773">
        <v>7</v>
      </c>
      <c r="W7991" s="773" t="s">
        <v>410</v>
      </c>
    </row>
    <row r="7992" spans="19:23">
      <c r="S7992" s="27">
        <v>45199</v>
      </c>
      <c r="T7992" s="773" t="s">
        <v>132</v>
      </c>
      <c r="U7992" s="773">
        <v>257</v>
      </c>
      <c r="V7992" s="773">
        <v>2866</v>
      </c>
      <c r="W7992" s="773" t="s">
        <v>390</v>
      </c>
    </row>
    <row r="7993" spans="19:23">
      <c r="S7993" s="27">
        <v>45199</v>
      </c>
      <c r="T7993" s="773" t="s">
        <v>132</v>
      </c>
      <c r="U7993" s="773">
        <v>311</v>
      </c>
      <c r="V7993" s="773">
        <v>2452</v>
      </c>
      <c r="W7993" s="773" t="s">
        <v>390</v>
      </c>
    </row>
    <row r="7994" spans="19:23">
      <c r="S7994" s="27">
        <v>45199</v>
      </c>
      <c r="T7994" s="773" t="s">
        <v>132</v>
      </c>
      <c r="U7994" s="773">
        <v>641</v>
      </c>
      <c r="V7994" s="773">
        <v>2277</v>
      </c>
      <c r="W7994" s="773" t="s">
        <v>390</v>
      </c>
    </row>
    <row r="7995" spans="19:23">
      <c r="S7995" s="27">
        <v>45199</v>
      </c>
      <c r="T7995" s="773" t="s">
        <v>132</v>
      </c>
      <c r="U7995" s="773">
        <v>83</v>
      </c>
      <c r="V7995" s="773">
        <v>2465</v>
      </c>
      <c r="W7995" s="773" t="s">
        <v>390</v>
      </c>
    </row>
    <row r="7996" spans="19:23">
      <c r="S7996" s="27">
        <v>45199</v>
      </c>
      <c r="T7996" s="773" t="s">
        <v>132</v>
      </c>
      <c r="U7996" s="773">
        <v>69</v>
      </c>
      <c r="V7996" s="773">
        <v>1</v>
      </c>
      <c r="W7996" s="773" t="s">
        <v>410</v>
      </c>
    </row>
    <row r="7997" spans="19:23">
      <c r="S7997" s="27">
        <v>45199</v>
      </c>
      <c r="T7997" s="773" t="s">
        <v>132</v>
      </c>
      <c r="U7997" s="773">
        <v>155</v>
      </c>
      <c r="V7997" s="773">
        <v>2516</v>
      </c>
      <c r="W7997" s="773" t="s">
        <v>390</v>
      </c>
    </row>
    <row r="7998" spans="19:23">
      <c r="S7998" s="27">
        <v>45199</v>
      </c>
      <c r="T7998" s="773" t="s">
        <v>132</v>
      </c>
      <c r="U7998" s="773">
        <v>141</v>
      </c>
      <c r="V7998" s="773">
        <v>1</v>
      </c>
      <c r="W7998" s="773" t="s">
        <v>410</v>
      </c>
    </row>
    <row r="7999" spans="19:23">
      <c r="S7999" s="27">
        <v>45199</v>
      </c>
      <c r="T7999" s="773" t="s">
        <v>132</v>
      </c>
      <c r="U7999" s="773">
        <v>650</v>
      </c>
      <c r="V7999" s="773">
        <v>20</v>
      </c>
      <c r="W7999" s="773" t="s">
        <v>410</v>
      </c>
    </row>
    <row r="8000" spans="19:23">
      <c r="S8000" s="27">
        <v>45199</v>
      </c>
      <c r="T8000" s="773" t="s">
        <v>132</v>
      </c>
      <c r="U8000" s="773">
        <v>139</v>
      </c>
      <c r="V8000" s="773">
        <v>76</v>
      </c>
      <c r="W8000" s="773" t="s">
        <v>410</v>
      </c>
    </row>
    <row r="8001" spans="19:23">
      <c r="S8001" s="27">
        <v>45199</v>
      </c>
      <c r="T8001" s="773" t="s">
        <v>132</v>
      </c>
      <c r="U8001" s="773">
        <v>11</v>
      </c>
      <c r="V8001" s="773">
        <v>26</v>
      </c>
      <c r="W8001" s="773" t="s">
        <v>410</v>
      </c>
    </row>
    <row r="8002" spans="19:23">
      <c r="S8002" s="27">
        <v>45199</v>
      </c>
      <c r="T8002" s="773" t="s">
        <v>132</v>
      </c>
      <c r="U8002" s="773">
        <v>66</v>
      </c>
      <c r="V8002" s="773">
        <v>1</v>
      </c>
      <c r="W8002" s="773" t="s">
        <v>410</v>
      </c>
    </row>
    <row r="8003" spans="19:23">
      <c r="S8003" s="27">
        <v>45199</v>
      </c>
      <c r="T8003" s="773" t="s">
        <v>132</v>
      </c>
      <c r="U8003" s="773">
        <v>700</v>
      </c>
      <c r="V8003" s="773">
        <v>2794</v>
      </c>
      <c r="W8003" s="773" t="s">
        <v>390</v>
      </c>
    </row>
    <row r="8004" spans="19:23">
      <c r="S8004" s="27">
        <v>45199</v>
      </c>
      <c r="T8004" s="773" t="s">
        <v>132</v>
      </c>
      <c r="U8004" s="773">
        <v>723</v>
      </c>
      <c r="V8004" s="773">
        <v>2234</v>
      </c>
      <c r="W8004" s="773" t="s">
        <v>390</v>
      </c>
    </row>
    <row r="8005" spans="19:23">
      <c r="S8005" s="27">
        <v>45199</v>
      </c>
      <c r="T8005" s="773" t="s">
        <v>132</v>
      </c>
      <c r="U8005" s="773">
        <v>669</v>
      </c>
      <c r="V8005" s="773">
        <v>2878</v>
      </c>
      <c r="W8005" s="773" t="s">
        <v>390</v>
      </c>
    </row>
    <row r="8006" spans="19:23">
      <c r="S8006" s="27">
        <v>45199</v>
      </c>
      <c r="T8006" s="773" t="s">
        <v>132</v>
      </c>
      <c r="U8006" s="773">
        <v>157</v>
      </c>
      <c r="V8006" s="773">
        <v>7</v>
      </c>
      <c r="W8006" s="773" t="s">
        <v>410</v>
      </c>
    </row>
    <row r="8007" spans="19:23">
      <c r="S8007" s="27">
        <v>45199</v>
      </c>
      <c r="T8007" s="773" t="s">
        <v>132</v>
      </c>
      <c r="U8007" s="773">
        <v>706</v>
      </c>
      <c r="V8007" s="773">
        <v>1218</v>
      </c>
      <c r="W8007" s="773" t="s">
        <v>390</v>
      </c>
    </row>
    <row r="8008" spans="19:23">
      <c r="S8008" s="27">
        <v>45199</v>
      </c>
      <c r="T8008" s="773" t="s">
        <v>132</v>
      </c>
      <c r="U8008" s="773">
        <v>738</v>
      </c>
      <c r="V8008" s="773">
        <v>96</v>
      </c>
      <c r="W8008" s="773" t="s">
        <v>410</v>
      </c>
    </row>
    <row r="8009" spans="19:23">
      <c r="S8009" s="27">
        <v>45199</v>
      </c>
      <c r="T8009" s="773" t="s">
        <v>132</v>
      </c>
      <c r="U8009" s="773">
        <v>318</v>
      </c>
      <c r="V8009" s="773">
        <v>2471</v>
      </c>
      <c r="W8009" s="773" t="s">
        <v>390</v>
      </c>
    </row>
    <row r="8010" spans="19:23">
      <c r="S8010" s="27">
        <v>45199</v>
      </c>
      <c r="T8010" s="773" t="s">
        <v>132</v>
      </c>
      <c r="U8010" s="773">
        <v>93</v>
      </c>
      <c r="V8010" s="773">
        <v>1037</v>
      </c>
      <c r="W8010" s="773" t="s">
        <v>390</v>
      </c>
    </row>
    <row r="8011" spans="19:23">
      <c r="S8011" s="27">
        <v>45199</v>
      </c>
      <c r="T8011" s="773" t="s">
        <v>132</v>
      </c>
      <c r="U8011" s="773">
        <v>202</v>
      </c>
      <c r="V8011" s="773">
        <v>1</v>
      </c>
      <c r="W8011" s="773" t="s">
        <v>410</v>
      </c>
    </row>
    <row r="8012" spans="19:23">
      <c r="S8012" s="27">
        <v>45199</v>
      </c>
      <c r="T8012" s="773" t="s">
        <v>132</v>
      </c>
      <c r="U8012" s="773">
        <v>183</v>
      </c>
      <c r="V8012" s="773">
        <v>567</v>
      </c>
      <c r="W8012" s="773" t="s">
        <v>390</v>
      </c>
    </row>
    <row r="8013" spans="19:23">
      <c r="S8013" s="27">
        <v>45199</v>
      </c>
      <c r="T8013" s="773" t="s">
        <v>132</v>
      </c>
      <c r="U8013" s="773">
        <v>664</v>
      </c>
      <c r="V8013" s="773">
        <v>3451</v>
      </c>
      <c r="W8013" s="773" t="s">
        <v>390</v>
      </c>
    </row>
    <row r="8014" spans="19:23">
      <c r="S8014" s="27">
        <v>45199</v>
      </c>
      <c r="T8014" s="773" t="s">
        <v>132</v>
      </c>
      <c r="U8014" s="773">
        <v>822</v>
      </c>
      <c r="V8014" s="773">
        <v>5</v>
      </c>
      <c r="W8014" s="773" t="s">
        <v>410</v>
      </c>
    </row>
    <row r="8015" spans="19:23">
      <c r="S8015" s="27">
        <v>45199</v>
      </c>
      <c r="T8015" s="773" t="s">
        <v>132</v>
      </c>
      <c r="U8015" s="773">
        <v>264</v>
      </c>
      <c r="V8015" s="773">
        <v>387</v>
      </c>
      <c r="W8015" s="773" t="s">
        <v>390</v>
      </c>
    </row>
    <row r="8016" spans="19:23">
      <c r="S8016" s="27">
        <v>45199</v>
      </c>
      <c r="T8016" s="773" t="s">
        <v>132</v>
      </c>
      <c r="U8016" s="773">
        <v>158</v>
      </c>
      <c r="V8016" s="773">
        <v>173</v>
      </c>
      <c r="W8016" s="773" t="s">
        <v>390</v>
      </c>
    </row>
    <row r="8017" spans="19:23">
      <c r="S8017" s="27">
        <v>45199</v>
      </c>
      <c r="T8017" s="773" t="s">
        <v>132</v>
      </c>
      <c r="U8017" s="773">
        <v>97</v>
      </c>
      <c r="V8017" s="773">
        <v>1</v>
      </c>
      <c r="W8017" s="773" t="s">
        <v>410</v>
      </c>
    </row>
    <row r="8018" spans="19:23">
      <c r="S8018" s="27">
        <v>45199</v>
      </c>
      <c r="T8018" s="773" t="s">
        <v>132</v>
      </c>
      <c r="U8018" s="773">
        <v>826</v>
      </c>
      <c r="V8018" s="773">
        <v>29</v>
      </c>
      <c r="W8018" s="773" t="s">
        <v>410</v>
      </c>
    </row>
    <row r="8019" spans="19:23">
      <c r="S8019" s="27">
        <v>45199</v>
      </c>
      <c r="T8019" s="773" t="s">
        <v>132</v>
      </c>
      <c r="U8019" s="773">
        <v>658</v>
      </c>
      <c r="V8019" s="773">
        <v>5</v>
      </c>
      <c r="W8019" s="773" t="s">
        <v>410</v>
      </c>
    </row>
    <row r="8020" spans="19:23">
      <c r="S8020" s="27">
        <v>45199</v>
      </c>
      <c r="T8020" s="773" t="s">
        <v>132</v>
      </c>
      <c r="U8020" s="773">
        <v>59</v>
      </c>
      <c r="V8020" s="773">
        <v>3</v>
      </c>
      <c r="W8020" s="773" t="s">
        <v>410</v>
      </c>
    </row>
    <row r="8021" spans="19:23">
      <c r="S8021" s="27">
        <v>45199</v>
      </c>
      <c r="T8021" s="773" t="s">
        <v>132</v>
      </c>
      <c r="U8021" s="773">
        <v>660</v>
      </c>
      <c r="V8021" s="773">
        <v>2</v>
      </c>
      <c r="W8021" s="773" t="s">
        <v>410</v>
      </c>
    </row>
    <row r="8022" spans="19:23">
      <c r="S8022" s="27">
        <v>45199</v>
      </c>
      <c r="T8022" s="773" t="s">
        <v>132</v>
      </c>
      <c r="U8022" s="773">
        <v>797</v>
      </c>
      <c r="V8022" s="773">
        <v>3138</v>
      </c>
      <c r="W8022" s="773" t="s">
        <v>390</v>
      </c>
    </row>
    <row r="8023" spans="19:23">
      <c r="S8023" s="27">
        <v>45199</v>
      </c>
      <c r="T8023" s="773" t="s">
        <v>132</v>
      </c>
      <c r="U8023" s="773">
        <v>707</v>
      </c>
      <c r="V8023" s="773">
        <v>1</v>
      </c>
      <c r="W8023" s="773" t="s">
        <v>410</v>
      </c>
    </row>
    <row r="8024" spans="19:23">
      <c r="S8024" s="27">
        <v>45199</v>
      </c>
      <c r="T8024" s="773" t="s">
        <v>132</v>
      </c>
      <c r="U8024" s="773">
        <v>818</v>
      </c>
      <c r="V8024" s="773">
        <v>2</v>
      </c>
      <c r="W8024" s="773" t="s">
        <v>410</v>
      </c>
    </row>
    <row r="8025" spans="19:23">
      <c r="S8025" s="27">
        <v>45199</v>
      </c>
      <c r="T8025" s="773" t="s">
        <v>132</v>
      </c>
      <c r="U8025" s="773">
        <v>233</v>
      </c>
      <c r="V8025" s="773">
        <v>2029</v>
      </c>
      <c r="W8025" s="773" t="s">
        <v>390</v>
      </c>
    </row>
    <row r="8026" spans="19:23">
      <c r="S8026" s="27">
        <v>45199</v>
      </c>
      <c r="T8026" s="773" t="s">
        <v>132</v>
      </c>
      <c r="U8026" s="773">
        <v>699</v>
      </c>
      <c r="V8026" s="773">
        <v>695</v>
      </c>
      <c r="W8026" s="773" t="s">
        <v>390</v>
      </c>
    </row>
    <row r="8027" spans="19:23">
      <c r="S8027" s="27">
        <v>45199</v>
      </c>
      <c r="T8027" s="773" t="s">
        <v>132</v>
      </c>
      <c r="U8027" s="773">
        <v>159</v>
      </c>
      <c r="V8027" s="773">
        <v>10</v>
      </c>
      <c r="W8027" s="773" t="s">
        <v>410</v>
      </c>
    </row>
    <row r="8028" spans="19:23">
      <c r="S8028" s="27">
        <v>45199</v>
      </c>
      <c r="T8028" s="773" t="s">
        <v>132</v>
      </c>
      <c r="U8028" s="773">
        <v>46</v>
      </c>
      <c r="V8028" s="773">
        <v>1</v>
      </c>
      <c r="W8028" s="773" t="s">
        <v>410</v>
      </c>
    </row>
    <row r="8029" spans="19:23">
      <c r="S8029" s="27">
        <v>45199</v>
      </c>
      <c r="T8029" s="773" t="s">
        <v>132</v>
      </c>
      <c r="U8029" s="773">
        <v>651</v>
      </c>
      <c r="V8029" s="773">
        <v>44</v>
      </c>
      <c r="W8029" s="773" t="s">
        <v>410</v>
      </c>
    </row>
    <row r="8030" spans="19:23">
      <c r="S8030" s="27">
        <v>45199</v>
      </c>
      <c r="T8030" s="773" t="s">
        <v>132</v>
      </c>
      <c r="U8030" s="773">
        <v>84</v>
      </c>
      <c r="V8030" s="773">
        <v>2431</v>
      </c>
      <c r="W8030" s="773" t="s">
        <v>390</v>
      </c>
    </row>
    <row r="8031" spans="19:23">
      <c r="S8031" s="27">
        <v>45199</v>
      </c>
      <c r="T8031" s="773" t="s">
        <v>132</v>
      </c>
      <c r="U8031" s="773">
        <v>292</v>
      </c>
      <c r="V8031" s="773">
        <v>4</v>
      </c>
      <c r="W8031" s="773" t="s">
        <v>410</v>
      </c>
    </row>
    <row r="8032" spans="19:23">
      <c r="S8032" s="27">
        <v>45199</v>
      </c>
      <c r="T8032" s="773" t="s">
        <v>132</v>
      </c>
      <c r="U8032" s="773">
        <v>737</v>
      </c>
      <c r="V8032" s="773">
        <v>2137</v>
      </c>
      <c r="W8032" s="773" t="s">
        <v>390</v>
      </c>
    </row>
    <row r="8033" spans="19:23">
      <c r="S8033" s="27">
        <v>45199</v>
      </c>
      <c r="T8033" s="773" t="s">
        <v>132</v>
      </c>
      <c r="U8033" s="773">
        <v>791</v>
      </c>
      <c r="V8033" s="773">
        <v>3120</v>
      </c>
      <c r="W8033" s="773" t="s">
        <v>390</v>
      </c>
    </row>
    <row r="8034" spans="19:23">
      <c r="S8034" s="27">
        <v>45199</v>
      </c>
      <c r="T8034" s="773" t="s">
        <v>132</v>
      </c>
      <c r="U8034" s="773">
        <v>265</v>
      </c>
      <c r="V8034" s="773">
        <v>17</v>
      </c>
      <c r="W8034" s="773" t="s">
        <v>410</v>
      </c>
    </row>
    <row r="8035" spans="19:23">
      <c r="S8035" s="27">
        <v>45199</v>
      </c>
      <c r="T8035" s="773" t="s">
        <v>132</v>
      </c>
      <c r="U8035" s="773">
        <v>283</v>
      </c>
      <c r="V8035" s="773">
        <v>1</v>
      </c>
      <c r="W8035" s="773" t="s">
        <v>410</v>
      </c>
    </row>
    <row r="8036" spans="19:23">
      <c r="S8036" s="27">
        <v>45199</v>
      </c>
      <c r="T8036" s="773" t="s">
        <v>132</v>
      </c>
      <c r="U8036" s="773">
        <v>64</v>
      </c>
      <c r="V8036" s="773">
        <v>1</v>
      </c>
      <c r="W8036" s="773" t="s">
        <v>410</v>
      </c>
    </row>
    <row r="8037" spans="19:23">
      <c r="S8037" s="27">
        <v>45199</v>
      </c>
      <c r="T8037" s="773" t="s">
        <v>132</v>
      </c>
      <c r="U8037" s="773">
        <v>741</v>
      </c>
      <c r="V8037" s="773">
        <v>2855</v>
      </c>
      <c r="W8037" s="773" t="s">
        <v>390</v>
      </c>
    </row>
    <row r="8038" spans="19:23">
      <c r="S8038" s="27">
        <v>45199</v>
      </c>
      <c r="T8038" s="773" t="s">
        <v>132</v>
      </c>
      <c r="U8038" s="773">
        <v>748</v>
      </c>
      <c r="V8038" s="773">
        <v>773</v>
      </c>
      <c r="W8038" s="773" t="s">
        <v>390</v>
      </c>
    </row>
    <row r="8039" spans="19:23">
      <c r="S8039" s="27">
        <v>45199</v>
      </c>
      <c r="T8039" s="773" t="s">
        <v>132</v>
      </c>
      <c r="U8039" s="773">
        <v>246</v>
      </c>
      <c r="V8039" s="773">
        <v>8</v>
      </c>
      <c r="W8039" s="773" t="s">
        <v>410</v>
      </c>
    </row>
    <row r="8040" spans="19:23">
      <c r="S8040" s="27">
        <v>45199</v>
      </c>
      <c r="T8040" s="773" t="s">
        <v>132</v>
      </c>
      <c r="U8040" s="773">
        <v>27</v>
      </c>
      <c r="V8040" s="773">
        <v>1</v>
      </c>
      <c r="W8040" s="773" t="s">
        <v>410</v>
      </c>
    </row>
    <row r="8041" spans="19:23">
      <c r="S8041" s="27">
        <v>45199</v>
      </c>
      <c r="T8041" s="773" t="s">
        <v>132</v>
      </c>
      <c r="U8041" s="773">
        <v>321</v>
      </c>
      <c r="V8041" s="773">
        <v>1843</v>
      </c>
      <c r="W8041" s="773" t="s">
        <v>390</v>
      </c>
    </row>
    <row r="8042" spans="19:23">
      <c r="S8042" s="27">
        <v>45199</v>
      </c>
      <c r="T8042" s="773" t="s">
        <v>132</v>
      </c>
      <c r="U8042" s="773">
        <v>662</v>
      </c>
      <c r="V8042" s="773">
        <v>334</v>
      </c>
      <c r="W8042" s="773" t="s">
        <v>390</v>
      </c>
    </row>
    <row r="8043" spans="19:23">
      <c r="S8043" s="27">
        <v>45199</v>
      </c>
      <c r="T8043" s="773" t="s">
        <v>132</v>
      </c>
      <c r="U8043" s="773">
        <v>58</v>
      </c>
      <c r="V8043" s="773">
        <v>1</v>
      </c>
      <c r="W8043" s="773" t="s">
        <v>410</v>
      </c>
    </row>
    <row r="8044" spans="19:23">
      <c r="S8044" s="27">
        <v>45199</v>
      </c>
      <c r="T8044" s="773" t="s">
        <v>132</v>
      </c>
      <c r="U8044" s="773">
        <v>109</v>
      </c>
      <c r="V8044" s="773">
        <v>6</v>
      </c>
      <c r="W8044" s="773" t="s">
        <v>410</v>
      </c>
    </row>
    <row r="8045" spans="19:23">
      <c r="S8045" s="27">
        <v>45199</v>
      </c>
      <c r="T8045" s="773" t="s">
        <v>132</v>
      </c>
      <c r="U8045" s="773">
        <v>702</v>
      </c>
      <c r="V8045" s="773">
        <v>1</v>
      </c>
      <c r="W8045" s="773" t="s">
        <v>410</v>
      </c>
    </row>
    <row r="8046" spans="19:23">
      <c r="S8046" s="27">
        <v>45199</v>
      </c>
      <c r="T8046" s="773" t="s">
        <v>132</v>
      </c>
      <c r="U8046" s="773">
        <v>255</v>
      </c>
      <c r="V8046" s="773">
        <v>607</v>
      </c>
      <c r="W8046" s="773" t="s">
        <v>390</v>
      </c>
    </row>
    <row r="8047" spans="19:23">
      <c r="S8047" s="27">
        <v>45199</v>
      </c>
      <c r="T8047" s="773" t="s">
        <v>132</v>
      </c>
      <c r="U8047" s="773">
        <v>709</v>
      </c>
      <c r="V8047" s="773">
        <v>2495</v>
      </c>
      <c r="W8047" s="773" t="s">
        <v>390</v>
      </c>
    </row>
    <row r="8048" spans="19:23">
      <c r="S8048" s="27">
        <v>45199</v>
      </c>
      <c r="T8048" s="773" t="s">
        <v>132</v>
      </c>
      <c r="U8048" s="773">
        <v>798</v>
      </c>
      <c r="V8048" s="773">
        <v>2869</v>
      </c>
      <c r="W8048" s="773" t="s">
        <v>390</v>
      </c>
    </row>
    <row r="8049" spans="19:23">
      <c r="S8049" s="27">
        <v>45199</v>
      </c>
      <c r="T8049" s="773" t="s">
        <v>132</v>
      </c>
      <c r="U8049" s="773">
        <v>724</v>
      </c>
      <c r="V8049" s="773">
        <v>2507</v>
      </c>
      <c r="W8049" s="773" t="s">
        <v>390</v>
      </c>
    </row>
    <row r="8050" spans="19:23">
      <c r="S8050" s="27">
        <v>45199</v>
      </c>
      <c r="T8050" s="773" t="s">
        <v>132</v>
      </c>
      <c r="U8050" s="773">
        <v>136</v>
      </c>
      <c r="V8050" s="773">
        <v>23</v>
      </c>
      <c r="W8050" s="773" t="s">
        <v>410</v>
      </c>
    </row>
    <row r="8051" spans="19:23">
      <c r="S8051" s="27">
        <v>45199</v>
      </c>
      <c r="T8051" s="773" t="s">
        <v>132</v>
      </c>
      <c r="U8051" s="773">
        <v>666</v>
      </c>
      <c r="V8051" s="773">
        <v>1728</v>
      </c>
      <c r="W8051" s="773" t="s">
        <v>390</v>
      </c>
    </row>
    <row r="8052" spans="19:23">
      <c r="S8052" s="27">
        <v>45199</v>
      </c>
      <c r="T8052" s="773" t="s">
        <v>132</v>
      </c>
      <c r="U8052" s="773">
        <v>814</v>
      </c>
      <c r="V8052" s="773">
        <v>3347</v>
      </c>
      <c r="W8052" s="773" t="s">
        <v>390</v>
      </c>
    </row>
    <row r="8053" spans="19:23">
      <c r="S8053" s="27">
        <v>45199</v>
      </c>
      <c r="T8053" s="773" t="s">
        <v>132</v>
      </c>
      <c r="U8053" s="773">
        <v>89</v>
      </c>
      <c r="V8053" s="773">
        <v>1077</v>
      </c>
      <c r="W8053" s="773" t="s">
        <v>390</v>
      </c>
    </row>
    <row r="8054" spans="19:23">
      <c r="S8054" s="27">
        <v>45199</v>
      </c>
      <c r="T8054" s="773" t="s">
        <v>132</v>
      </c>
      <c r="U8054" s="773">
        <v>96</v>
      </c>
      <c r="V8054" s="773">
        <v>3</v>
      </c>
      <c r="W8054" s="773" t="s">
        <v>410</v>
      </c>
    </row>
    <row r="8055" spans="19:23">
      <c r="S8055" s="27">
        <v>45199</v>
      </c>
      <c r="T8055" s="773" t="s">
        <v>132</v>
      </c>
      <c r="U8055" s="773">
        <v>326</v>
      </c>
      <c r="V8055" s="773">
        <v>2760</v>
      </c>
      <c r="W8055" s="773" t="s">
        <v>390</v>
      </c>
    </row>
    <row r="8056" spans="19:23">
      <c r="S8056" s="27">
        <v>45199</v>
      </c>
      <c r="T8056" s="773" t="s">
        <v>132</v>
      </c>
      <c r="U8056" s="773">
        <v>256</v>
      </c>
      <c r="V8056" s="773">
        <v>257</v>
      </c>
      <c r="W8056" s="773" t="s">
        <v>390</v>
      </c>
    </row>
    <row r="8057" spans="19:23">
      <c r="S8057" s="27">
        <v>45199</v>
      </c>
      <c r="T8057" s="773" t="s">
        <v>132</v>
      </c>
      <c r="U8057" s="773">
        <v>227</v>
      </c>
      <c r="V8057" s="773">
        <v>1</v>
      </c>
      <c r="W8057" s="773" t="s">
        <v>410</v>
      </c>
    </row>
    <row r="8058" spans="19:23">
      <c r="S8058" s="27">
        <v>45199</v>
      </c>
      <c r="T8058" s="773" t="s">
        <v>132</v>
      </c>
      <c r="U8058" s="773">
        <v>725</v>
      </c>
      <c r="V8058" s="773">
        <v>538</v>
      </c>
      <c r="W8058" s="773" t="s">
        <v>390</v>
      </c>
    </row>
    <row r="8059" spans="19:23">
      <c r="S8059" s="27">
        <v>45199</v>
      </c>
      <c r="T8059" s="773" t="s">
        <v>132</v>
      </c>
      <c r="U8059" s="773">
        <v>169</v>
      </c>
      <c r="V8059" s="773">
        <v>3072</v>
      </c>
      <c r="W8059" s="773" t="s">
        <v>390</v>
      </c>
    </row>
    <row r="8060" spans="19:23">
      <c r="S8060" s="27">
        <v>45199</v>
      </c>
      <c r="T8060" s="773" t="s">
        <v>132</v>
      </c>
      <c r="U8060" s="773">
        <v>213</v>
      </c>
      <c r="V8060" s="773">
        <v>1</v>
      </c>
      <c r="W8060" s="773" t="s">
        <v>410</v>
      </c>
    </row>
    <row r="8061" spans="19:23">
      <c r="S8061" s="27">
        <v>45199</v>
      </c>
      <c r="T8061" s="773" t="s">
        <v>132</v>
      </c>
      <c r="U8061" s="773">
        <v>116</v>
      </c>
      <c r="V8061" s="773">
        <v>1</v>
      </c>
      <c r="W8061" s="773" t="s">
        <v>410</v>
      </c>
    </row>
    <row r="8062" spans="19:23">
      <c r="S8062" s="27">
        <v>45199</v>
      </c>
      <c r="T8062" s="773" t="s">
        <v>132</v>
      </c>
      <c r="U8062" s="773">
        <v>678</v>
      </c>
      <c r="V8062" s="773">
        <v>159</v>
      </c>
      <c r="W8062" s="773" t="s">
        <v>390</v>
      </c>
    </row>
    <row r="8063" spans="19:23">
      <c r="S8063" s="27">
        <v>45199</v>
      </c>
      <c r="T8063" s="773" t="s">
        <v>132</v>
      </c>
      <c r="U8063" s="773">
        <v>716</v>
      </c>
      <c r="V8063" s="773">
        <v>308</v>
      </c>
      <c r="W8063" s="773" t="s">
        <v>390</v>
      </c>
    </row>
    <row r="8064" spans="19:23">
      <c r="S8064" s="27">
        <v>45199</v>
      </c>
      <c r="T8064" s="773" t="s">
        <v>132</v>
      </c>
      <c r="U8064" s="773">
        <v>296</v>
      </c>
      <c r="V8064" s="773">
        <v>2369</v>
      </c>
      <c r="W8064" s="773" t="s">
        <v>390</v>
      </c>
    </row>
    <row r="8065" spans="19:23">
      <c r="S8065" s="27">
        <v>45199</v>
      </c>
      <c r="T8065" s="773" t="s">
        <v>132</v>
      </c>
      <c r="U8065" s="773">
        <v>79</v>
      </c>
      <c r="V8065" s="773">
        <v>3</v>
      </c>
      <c r="W8065" s="773" t="s">
        <v>410</v>
      </c>
    </row>
    <row r="8066" spans="19:23">
      <c r="S8066" s="27">
        <v>45199</v>
      </c>
      <c r="T8066" s="773" t="s">
        <v>132</v>
      </c>
      <c r="U8066" s="773">
        <v>322</v>
      </c>
      <c r="V8066" s="773">
        <v>2497</v>
      </c>
      <c r="W8066" s="773" t="s">
        <v>390</v>
      </c>
    </row>
    <row r="8067" spans="19:23">
      <c r="S8067" s="27">
        <v>45199</v>
      </c>
      <c r="T8067" s="773" t="s">
        <v>132</v>
      </c>
      <c r="U8067" s="773">
        <v>68</v>
      </c>
      <c r="V8067" s="773">
        <v>1105</v>
      </c>
      <c r="W8067" s="773" t="s">
        <v>390</v>
      </c>
    </row>
    <row r="8068" spans="19:23">
      <c r="S8068" s="27">
        <v>45199</v>
      </c>
      <c r="T8068" s="773" t="s">
        <v>132</v>
      </c>
      <c r="U8068" s="773">
        <v>328</v>
      </c>
      <c r="V8068" s="773">
        <v>461</v>
      </c>
      <c r="W8068" s="773" t="s">
        <v>390</v>
      </c>
    </row>
    <row r="8069" spans="19:23">
      <c r="S8069" s="27">
        <v>45199</v>
      </c>
      <c r="T8069" s="773" t="s">
        <v>132</v>
      </c>
      <c r="U8069" s="773">
        <v>77</v>
      </c>
      <c r="V8069" s="773">
        <v>3634</v>
      </c>
      <c r="W8069" s="773" t="s">
        <v>390</v>
      </c>
    </row>
    <row r="8070" spans="19:23">
      <c r="S8070" s="27">
        <v>45199</v>
      </c>
      <c r="T8070" s="773" t="s">
        <v>132</v>
      </c>
      <c r="U8070" s="773">
        <v>103</v>
      </c>
      <c r="V8070" s="773">
        <v>1717</v>
      </c>
      <c r="W8070" s="773" t="s">
        <v>390</v>
      </c>
    </row>
    <row r="8071" spans="19:23">
      <c r="S8071" s="27">
        <v>45199</v>
      </c>
      <c r="T8071" s="773" t="s">
        <v>132</v>
      </c>
      <c r="U8071" s="773">
        <v>806</v>
      </c>
      <c r="V8071" s="773">
        <v>106</v>
      </c>
      <c r="W8071" s="773" t="s">
        <v>390</v>
      </c>
    </row>
    <row r="8072" spans="19:23">
      <c r="S8072" s="27">
        <v>45199</v>
      </c>
      <c r="T8072" s="773" t="s">
        <v>132</v>
      </c>
      <c r="U8072" s="773">
        <v>120</v>
      </c>
      <c r="V8072" s="773">
        <v>1</v>
      </c>
      <c r="W8072" s="773" t="s">
        <v>410</v>
      </c>
    </row>
    <row r="8073" spans="19:23">
      <c r="S8073" s="27">
        <v>45199</v>
      </c>
      <c r="T8073" s="773" t="s">
        <v>132</v>
      </c>
      <c r="U8073" s="773">
        <v>805</v>
      </c>
      <c r="V8073" s="773">
        <v>42</v>
      </c>
      <c r="W8073" s="773" t="s">
        <v>410</v>
      </c>
    </row>
    <row r="8074" spans="19:23">
      <c r="S8074" s="27">
        <v>45199</v>
      </c>
      <c r="T8074" s="773" t="s">
        <v>132</v>
      </c>
      <c r="U8074" s="773">
        <v>817</v>
      </c>
      <c r="V8074" s="773">
        <v>2373</v>
      </c>
      <c r="W8074" s="773" t="s">
        <v>390</v>
      </c>
    </row>
    <row r="8075" spans="19:23">
      <c r="S8075" s="27">
        <v>45199</v>
      </c>
      <c r="T8075" s="773" t="s">
        <v>132</v>
      </c>
      <c r="U8075" s="773">
        <v>327</v>
      </c>
      <c r="V8075" s="773">
        <v>3</v>
      </c>
      <c r="W8075" s="773" t="s">
        <v>410</v>
      </c>
    </row>
    <row r="8076" spans="19:23">
      <c r="S8076" s="27">
        <v>45199</v>
      </c>
      <c r="T8076" s="773" t="s">
        <v>132</v>
      </c>
      <c r="U8076" s="773">
        <v>790</v>
      </c>
      <c r="V8076" s="773">
        <v>643</v>
      </c>
      <c r="W8076" s="773" t="s">
        <v>390</v>
      </c>
    </row>
    <row r="8077" spans="19:23">
      <c r="S8077" s="27">
        <v>45199</v>
      </c>
      <c r="T8077" s="773" t="s">
        <v>132</v>
      </c>
      <c r="U8077" s="773">
        <v>691</v>
      </c>
      <c r="V8077" s="773">
        <v>2981</v>
      </c>
      <c r="W8077" s="773" t="s">
        <v>390</v>
      </c>
    </row>
    <row r="8078" spans="19:23">
      <c r="S8078" s="27">
        <v>45199</v>
      </c>
      <c r="T8078" s="773" t="s">
        <v>132</v>
      </c>
      <c r="U8078" s="773">
        <v>674</v>
      </c>
      <c r="V8078" s="773">
        <v>3523</v>
      </c>
      <c r="W8078" s="773" t="s">
        <v>390</v>
      </c>
    </row>
    <row r="8079" spans="19:23">
      <c r="S8079" s="27">
        <v>45199</v>
      </c>
      <c r="T8079" s="773" t="s">
        <v>132</v>
      </c>
      <c r="U8079" s="773">
        <v>672</v>
      </c>
      <c r="V8079" s="773">
        <v>2386</v>
      </c>
      <c r="W8079" s="773" t="s">
        <v>390</v>
      </c>
    </row>
    <row r="8080" spans="19:23">
      <c r="S8080" s="27">
        <v>45199</v>
      </c>
      <c r="T8080" s="773" t="s">
        <v>132</v>
      </c>
      <c r="U8080" s="773">
        <v>2</v>
      </c>
      <c r="V8080" s="773">
        <v>1</v>
      </c>
      <c r="W8080" s="773" t="s">
        <v>410</v>
      </c>
    </row>
    <row r="8081" spans="19:23">
      <c r="S8081" s="27">
        <v>45199</v>
      </c>
      <c r="T8081" s="773" t="s">
        <v>132</v>
      </c>
      <c r="U8081" s="773">
        <v>523</v>
      </c>
      <c r="V8081" s="773">
        <v>1</v>
      </c>
      <c r="W8081" s="773" t="s">
        <v>410</v>
      </c>
    </row>
    <row r="8082" spans="19:23">
      <c r="S8082" s="27">
        <v>45199</v>
      </c>
      <c r="T8082" s="773" t="s">
        <v>132</v>
      </c>
      <c r="U8082" s="773">
        <v>252</v>
      </c>
      <c r="V8082" s="773">
        <v>141</v>
      </c>
      <c r="W8082" s="773" t="s">
        <v>390</v>
      </c>
    </row>
    <row r="8083" spans="19:23">
      <c r="S8083" s="27">
        <v>45199</v>
      </c>
      <c r="T8083" s="773" t="s">
        <v>132</v>
      </c>
      <c r="U8083" s="773">
        <v>133</v>
      </c>
      <c r="V8083" s="773">
        <v>3</v>
      </c>
      <c r="W8083" s="773" t="s">
        <v>410</v>
      </c>
    </row>
    <row r="8084" spans="19:23">
      <c r="S8084" s="27">
        <v>45199</v>
      </c>
      <c r="T8084" s="773" t="s">
        <v>132</v>
      </c>
      <c r="U8084" s="773">
        <v>239</v>
      </c>
      <c r="V8084" s="773">
        <v>5</v>
      </c>
      <c r="W8084" s="773" t="s">
        <v>410</v>
      </c>
    </row>
    <row r="8085" spans="19:23">
      <c r="S8085" s="27">
        <v>45199</v>
      </c>
      <c r="T8085" s="773" t="s">
        <v>132</v>
      </c>
      <c r="U8085" s="773">
        <v>306</v>
      </c>
      <c r="V8085" s="773">
        <v>2405</v>
      </c>
      <c r="W8085" s="773" t="s">
        <v>390</v>
      </c>
    </row>
    <row r="8086" spans="19:23">
      <c r="S8086" s="27">
        <v>45199</v>
      </c>
      <c r="T8086" s="773" t="s">
        <v>132</v>
      </c>
      <c r="U8086" s="773">
        <v>44</v>
      </c>
      <c r="V8086" s="773">
        <v>2187</v>
      </c>
      <c r="W8086" s="773" t="s">
        <v>390</v>
      </c>
    </row>
    <row r="8087" spans="19:23">
      <c r="S8087" s="27">
        <v>45199</v>
      </c>
      <c r="T8087" s="773" t="s">
        <v>132</v>
      </c>
      <c r="U8087" s="773">
        <v>648</v>
      </c>
      <c r="V8087" s="773">
        <v>1</v>
      </c>
      <c r="W8087" s="773" t="s">
        <v>410</v>
      </c>
    </row>
    <row r="8088" spans="19:23">
      <c r="S8088" s="27">
        <v>45199</v>
      </c>
      <c r="T8088" s="773" t="s">
        <v>132</v>
      </c>
      <c r="U8088" s="773">
        <v>728</v>
      </c>
      <c r="V8088" s="773">
        <v>1344</v>
      </c>
      <c r="W8088" s="773" t="s">
        <v>390</v>
      </c>
    </row>
    <row r="8089" spans="19:23">
      <c r="S8089" s="27">
        <v>45199</v>
      </c>
      <c r="T8089" s="773" t="s">
        <v>132</v>
      </c>
      <c r="U8089" s="773">
        <v>779</v>
      </c>
      <c r="V8089" s="773">
        <v>2117</v>
      </c>
      <c r="W8089" s="773" t="s">
        <v>390</v>
      </c>
    </row>
    <row r="8090" spans="19:23">
      <c r="S8090" s="27">
        <v>45199</v>
      </c>
      <c r="T8090" s="773" t="s">
        <v>132</v>
      </c>
      <c r="U8090" s="773">
        <v>799</v>
      </c>
      <c r="V8090" s="773">
        <v>88</v>
      </c>
      <c r="W8090" s="773" t="s">
        <v>410</v>
      </c>
    </row>
    <row r="8091" spans="19:23">
      <c r="S8091" s="27">
        <v>45199</v>
      </c>
      <c r="T8091" s="773" t="s">
        <v>132</v>
      </c>
      <c r="U8091" s="773">
        <v>43</v>
      </c>
      <c r="V8091" s="773">
        <v>999</v>
      </c>
      <c r="W8091" s="773" t="s">
        <v>390</v>
      </c>
    </row>
    <row r="8092" spans="19:23">
      <c r="S8092" s="27">
        <v>45199</v>
      </c>
      <c r="T8092" s="773" t="s">
        <v>132</v>
      </c>
      <c r="U8092" s="773">
        <v>0</v>
      </c>
      <c r="V8092" s="773">
        <v>39</v>
      </c>
      <c r="W8092" s="773" t="s">
        <v>410</v>
      </c>
    </row>
    <row r="8093" spans="19:23">
      <c r="S8093" s="27">
        <v>45199</v>
      </c>
      <c r="T8093" s="773" t="s">
        <v>132</v>
      </c>
      <c r="U8093" s="773">
        <v>56</v>
      </c>
      <c r="V8093" s="773">
        <v>9</v>
      </c>
      <c r="W8093" s="773" t="s">
        <v>410</v>
      </c>
    </row>
    <row r="8094" spans="19:23">
      <c r="S8094" s="27">
        <v>45199</v>
      </c>
      <c r="T8094" s="773" t="s">
        <v>132</v>
      </c>
      <c r="U8094" s="773">
        <v>200</v>
      </c>
      <c r="V8094" s="773">
        <v>6</v>
      </c>
      <c r="W8094" s="773" t="s">
        <v>410</v>
      </c>
    </row>
    <row r="8095" spans="19:23">
      <c r="S8095" s="27">
        <v>45199</v>
      </c>
      <c r="T8095" s="773" t="s">
        <v>132</v>
      </c>
      <c r="U8095" s="773">
        <v>320</v>
      </c>
      <c r="V8095" s="773">
        <v>1662</v>
      </c>
      <c r="W8095" s="773" t="s">
        <v>390</v>
      </c>
    </row>
    <row r="8096" spans="19:23">
      <c r="S8096" s="27">
        <v>45199</v>
      </c>
      <c r="T8096" s="773" t="s">
        <v>132</v>
      </c>
      <c r="U8096" s="773">
        <v>342</v>
      </c>
      <c r="V8096" s="773">
        <v>2657</v>
      </c>
      <c r="W8096" s="773" t="s">
        <v>390</v>
      </c>
    </row>
    <row r="8097" spans="19:23">
      <c r="S8097" s="27">
        <v>45199</v>
      </c>
      <c r="T8097" s="773" t="s">
        <v>132</v>
      </c>
      <c r="U8097" s="773">
        <v>308</v>
      </c>
      <c r="V8097" s="773">
        <v>2298</v>
      </c>
      <c r="W8097" s="773" t="s">
        <v>390</v>
      </c>
    </row>
    <row r="8098" spans="19:23">
      <c r="S8098" s="27">
        <v>45199</v>
      </c>
      <c r="T8098" s="773" t="s">
        <v>132</v>
      </c>
      <c r="U8098" s="773">
        <v>720</v>
      </c>
      <c r="V8098" s="773">
        <v>2837</v>
      </c>
      <c r="W8098" s="773" t="s">
        <v>390</v>
      </c>
    </row>
    <row r="8099" spans="19:23">
      <c r="S8099" s="27">
        <v>45199</v>
      </c>
      <c r="T8099" s="773" t="s">
        <v>132</v>
      </c>
      <c r="U8099" s="773">
        <v>653</v>
      </c>
      <c r="V8099" s="773">
        <v>8</v>
      </c>
      <c r="W8099" s="773" t="s">
        <v>410</v>
      </c>
    </row>
    <row r="8100" spans="19:23">
      <c r="S8100" s="27">
        <v>45199</v>
      </c>
      <c r="T8100" s="773" t="s">
        <v>132</v>
      </c>
      <c r="U8100" s="773">
        <v>676</v>
      </c>
      <c r="V8100" s="773">
        <v>4</v>
      </c>
      <c r="W8100" s="773" t="s">
        <v>410</v>
      </c>
    </row>
    <row r="8101" spans="19:23">
      <c r="S8101" s="27">
        <v>45199</v>
      </c>
      <c r="T8101" s="773" t="s">
        <v>132</v>
      </c>
      <c r="U8101" s="773">
        <v>153</v>
      </c>
      <c r="V8101" s="773">
        <v>2261</v>
      </c>
      <c r="W8101" s="773" t="s">
        <v>390</v>
      </c>
    </row>
    <row r="8102" spans="19:23">
      <c r="S8102" s="27">
        <v>45199</v>
      </c>
      <c r="T8102" s="773" t="s">
        <v>132</v>
      </c>
      <c r="U8102" s="773">
        <v>769</v>
      </c>
      <c r="V8102" s="773">
        <v>1718</v>
      </c>
      <c r="W8102" s="773" t="s">
        <v>390</v>
      </c>
    </row>
    <row r="8103" spans="19:23">
      <c r="S8103" s="27">
        <v>45199</v>
      </c>
      <c r="T8103" s="773" t="s">
        <v>132</v>
      </c>
      <c r="U8103" s="773">
        <v>195</v>
      </c>
      <c r="V8103" s="773">
        <v>1</v>
      </c>
      <c r="W8103" s="773" t="s">
        <v>410</v>
      </c>
    </row>
    <row r="8104" spans="19:23">
      <c r="S8104" s="27">
        <v>45199</v>
      </c>
      <c r="T8104" s="773" t="s">
        <v>132</v>
      </c>
      <c r="U8104" s="773">
        <v>40</v>
      </c>
      <c r="V8104" s="773">
        <v>2</v>
      </c>
      <c r="W8104" s="773" t="s">
        <v>410</v>
      </c>
    </row>
    <row r="8105" spans="19:23">
      <c r="S8105" s="27">
        <v>45199</v>
      </c>
      <c r="T8105" s="773" t="s">
        <v>132</v>
      </c>
      <c r="U8105" s="773">
        <v>693</v>
      </c>
      <c r="V8105" s="773">
        <v>1</v>
      </c>
      <c r="W8105" s="773" t="s">
        <v>410</v>
      </c>
    </row>
    <row r="8106" spans="19:23">
      <c r="S8106" s="27">
        <v>45199</v>
      </c>
      <c r="T8106" s="773" t="s">
        <v>132</v>
      </c>
      <c r="U8106" s="773">
        <v>667</v>
      </c>
      <c r="V8106" s="773">
        <v>2</v>
      </c>
      <c r="W8106" s="773" t="s">
        <v>410</v>
      </c>
    </row>
    <row r="8107" spans="19:23">
      <c r="S8107" s="27">
        <v>45199</v>
      </c>
      <c r="T8107" s="773" t="s">
        <v>132</v>
      </c>
      <c r="U8107" s="773">
        <v>665</v>
      </c>
      <c r="V8107" s="773">
        <v>17</v>
      </c>
      <c r="W8107" s="773" t="s">
        <v>410</v>
      </c>
    </row>
    <row r="8108" spans="19:23">
      <c r="S8108" s="27">
        <v>45199</v>
      </c>
      <c r="T8108" s="773" t="s">
        <v>132</v>
      </c>
      <c r="U8108" s="773">
        <v>792</v>
      </c>
      <c r="V8108" s="773">
        <v>684</v>
      </c>
      <c r="W8108" s="773" t="s">
        <v>390</v>
      </c>
    </row>
    <row r="8109" spans="19:23">
      <c r="S8109" s="27">
        <v>45199</v>
      </c>
      <c r="T8109" s="773" t="s">
        <v>132</v>
      </c>
      <c r="U8109" s="773">
        <v>684</v>
      </c>
      <c r="V8109" s="773">
        <v>3005</v>
      </c>
      <c r="W8109" s="773" t="s">
        <v>390</v>
      </c>
    </row>
    <row r="8110" spans="19:23">
      <c r="S8110" s="27">
        <v>45199</v>
      </c>
      <c r="T8110" s="773" t="s">
        <v>132</v>
      </c>
      <c r="U8110" s="773">
        <v>317</v>
      </c>
      <c r="V8110" s="773">
        <v>3261</v>
      </c>
      <c r="W8110" s="773" t="s">
        <v>390</v>
      </c>
    </row>
    <row r="8111" spans="19:23">
      <c r="S8111" s="27">
        <v>45199</v>
      </c>
      <c r="T8111" s="773" t="s">
        <v>132</v>
      </c>
      <c r="U8111" s="773">
        <v>325</v>
      </c>
      <c r="V8111" s="773">
        <v>2184</v>
      </c>
      <c r="W8111" s="773" t="s">
        <v>390</v>
      </c>
    </row>
    <row r="8112" spans="19:23">
      <c r="S8112" s="27">
        <v>45199</v>
      </c>
      <c r="T8112" s="773" t="s">
        <v>132</v>
      </c>
      <c r="U8112" s="773">
        <v>696</v>
      </c>
      <c r="V8112" s="773">
        <v>104</v>
      </c>
      <c r="W8112" s="773" t="s">
        <v>390</v>
      </c>
    </row>
    <row r="8113" spans="19:23">
      <c r="S8113" s="27">
        <v>45199</v>
      </c>
      <c r="T8113" s="773" t="s">
        <v>132</v>
      </c>
      <c r="U8113" s="773">
        <v>220</v>
      </c>
      <c r="V8113" s="773">
        <v>115</v>
      </c>
      <c r="W8113" s="773" t="s">
        <v>390</v>
      </c>
    </row>
    <row r="8114" spans="19:23">
      <c r="S8114" s="27">
        <v>45199</v>
      </c>
      <c r="T8114" s="773" t="s">
        <v>132</v>
      </c>
      <c r="U8114" s="773">
        <v>823</v>
      </c>
      <c r="V8114" s="773">
        <v>5</v>
      </c>
      <c r="W8114" s="773" t="s">
        <v>410</v>
      </c>
    </row>
    <row r="8115" spans="19:23">
      <c r="S8115" s="27">
        <v>45199</v>
      </c>
      <c r="T8115" s="773" t="s">
        <v>132</v>
      </c>
      <c r="U8115" s="773">
        <v>240</v>
      </c>
      <c r="V8115" s="773">
        <v>4</v>
      </c>
      <c r="W8115" s="773" t="s">
        <v>410</v>
      </c>
    </row>
    <row r="8116" spans="19:23">
      <c r="S8116" s="27">
        <v>45199</v>
      </c>
      <c r="T8116" s="773" t="s">
        <v>132</v>
      </c>
      <c r="U8116" s="773">
        <v>41</v>
      </c>
      <c r="V8116" s="773">
        <v>1</v>
      </c>
      <c r="W8116" s="773" t="s">
        <v>410</v>
      </c>
    </row>
    <row r="8117" spans="19:23">
      <c r="S8117" s="27">
        <v>45199</v>
      </c>
      <c r="T8117" s="773" t="s">
        <v>132</v>
      </c>
      <c r="U8117" s="773">
        <v>98</v>
      </c>
      <c r="V8117" s="773">
        <v>24</v>
      </c>
      <c r="W8117" s="773" t="s">
        <v>410</v>
      </c>
    </row>
    <row r="8118" spans="19:23">
      <c r="S8118" s="27">
        <v>45199</v>
      </c>
      <c r="T8118" s="773" t="s">
        <v>132</v>
      </c>
      <c r="U8118" s="773">
        <v>71</v>
      </c>
      <c r="V8118" s="773">
        <v>1</v>
      </c>
      <c r="W8118" s="773" t="s">
        <v>410</v>
      </c>
    </row>
    <row r="8119" spans="19:23">
      <c r="S8119" s="27">
        <v>45199</v>
      </c>
      <c r="T8119" s="773" t="s">
        <v>132</v>
      </c>
      <c r="U8119" s="773">
        <v>78</v>
      </c>
      <c r="V8119" s="773">
        <v>5</v>
      </c>
      <c r="W8119" s="773" t="s">
        <v>410</v>
      </c>
    </row>
    <row r="8120" spans="19:23">
      <c r="S8120" s="27">
        <v>45199</v>
      </c>
      <c r="T8120" s="773" t="s">
        <v>132</v>
      </c>
      <c r="U8120" s="773">
        <v>13</v>
      </c>
      <c r="V8120" s="773">
        <v>2626</v>
      </c>
      <c r="W8120" s="773" t="s">
        <v>390</v>
      </c>
    </row>
    <row r="8121" spans="19:23">
      <c r="S8121" s="27">
        <v>45199</v>
      </c>
      <c r="T8121" s="773" t="s">
        <v>132</v>
      </c>
      <c r="U8121" s="773">
        <v>804</v>
      </c>
      <c r="V8121" s="773">
        <v>2146</v>
      </c>
      <c r="W8121" s="773" t="s">
        <v>390</v>
      </c>
    </row>
    <row r="8122" spans="19:23">
      <c r="S8122" s="27">
        <v>45199</v>
      </c>
      <c r="T8122" s="773" t="s">
        <v>132</v>
      </c>
      <c r="U8122" s="773">
        <v>291</v>
      </c>
      <c r="V8122" s="773">
        <v>2</v>
      </c>
      <c r="W8122" s="773" t="s">
        <v>410</v>
      </c>
    </row>
    <row r="8123" spans="19:23">
      <c r="S8123" s="27">
        <v>45199</v>
      </c>
      <c r="T8123" s="773" t="s">
        <v>132</v>
      </c>
      <c r="U8123" s="773">
        <v>319</v>
      </c>
      <c r="V8123" s="773">
        <v>3119</v>
      </c>
      <c r="W8123" s="773" t="s">
        <v>390</v>
      </c>
    </row>
    <row r="8124" spans="19:23">
      <c r="S8124" s="27">
        <v>45199</v>
      </c>
      <c r="T8124" s="773" t="s">
        <v>132</v>
      </c>
      <c r="U8124" s="773">
        <v>687</v>
      </c>
      <c r="V8124" s="773">
        <v>3015</v>
      </c>
      <c r="W8124" s="773" t="s">
        <v>390</v>
      </c>
    </row>
    <row r="8125" spans="19:23">
      <c r="S8125" s="27">
        <v>45199</v>
      </c>
      <c r="T8125" s="773" t="s">
        <v>132</v>
      </c>
      <c r="U8125" s="773">
        <v>124</v>
      </c>
      <c r="V8125" s="773">
        <v>1</v>
      </c>
      <c r="W8125" s="773" t="s">
        <v>410</v>
      </c>
    </row>
    <row r="8126" spans="19:23">
      <c r="S8126" s="27">
        <v>45199</v>
      </c>
      <c r="T8126" s="773" t="s">
        <v>132</v>
      </c>
      <c r="U8126" s="773">
        <v>671</v>
      </c>
      <c r="V8126" s="773">
        <v>2057</v>
      </c>
      <c r="W8126" s="773" t="s">
        <v>390</v>
      </c>
    </row>
    <row r="8127" spans="19:23">
      <c r="S8127" s="27">
        <v>45199</v>
      </c>
      <c r="T8127" s="773" t="s">
        <v>132</v>
      </c>
      <c r="U8127" s="773">
        <v>140</v>
      </c>
      <c r="V8127" s="773">
        <v>732</v>
      </c>
      <c r="W8127" s="773" t="s">
        <v>390</v>
      </c>
    </row>
    <row r="8128" spans="19:23">
      <c r="S8128" s="27">
        <v>45199</v>
      </c>
      <c r="T8128" s="773" t="s">
        <v>132</v>
      </c>
      <c r="U8128" s="773">
        <v>191</v>
      </c>
      <c r="V8128" s="773">
        <v>342</v>
      </c>
      <c r="W8128" s="773" t="s">
        <v>390</v>
      </c>
    </row>
    <row r="8129" spans="19:23">
      <c r="S8129" s="27">
        <v>45199</v>
      </c>
      <c r="T8129" s="773" t="s">
        <v>132</v>
      </c>
      <c r="U8129" s="773">
        <v>727</v>
      </c>
      <c r="V8129" s="773">
        <v>3574</v>
      </c>
      <c r="W8129" s="773" t="s">
        <v>390</v>
      </c>
    </row>
    <row r="8130" spans="19:23">
      <c r="S8130" s="27">
        <v>45199</v>
      </c>
      <c r="T8130" s="773" t="s">
        <v>132</v>
      </c>
      <c r="U8130" s="773">
        <v>297</v>
      </c>
      <c r="V8130" s="773">
        <v>1559</v>
      </c>
      <c r="W8130" s="773" t="s">
        <v>390</v>
      </c>
    </row>
    <row r="8131" spans="19:23">
      <c r="S8131" s="27">
        <v>45199</v>
      </c>
      <c r="T8131" s="773" t="s">
        <v>132</v>
      </c>
      <c r="U8131" s="773">
        <v>52</v>
      </c>
      <c r="V8131" s="773">
        <v>6</v>
      </c>
      <c r="W8131" s="773" t="s">
        <v>410</v>
      </c>
    </row>
    <row r="8132" spans="19:23">
      <c r="S8132" s="27">
        <v>45199</v>
      </c>
      <c r="T8132" s="773" t="s">
        <v>132</v>
      </c>
      <c r="U8132" s="773">
        <v>148</v>
      </c>
      <c r="V8132" s="773">
        <v>4</v>
      </c>
      <c r="W8132" s="773" t="s">
        <v>410</v>
      </c>
    </row>
    <row r="8133" spans="19:23">
      <c r="S8133" s="27">
        <v>45199</v>
      </c>
      <c r="T8133" s="773" t="s">
        <v>132</v>
      </c>
      <c r="U8133" s="773">
        <v>294</v>
      </c>
      <c r="V8133" s="773">
        <v>3</v>
      </c>
      <c r="W8133" s="773" t="s">
        <v>410</v>
      </c>
    </row>
    <row r="8134" spans="19:23">
      <c r="S8134" s="27">
        <v>45199</v>
      </c>
      <c r="T8134" s="773" t="s">
        <v>132</v>
      </c>
      <c r="U8134" s="773">
        <v>652</v>
      </c>
      <c r="V8134" s="773">
        <v>3408</v>
      </c>
      <c r="W8134" s="773" t="s">
        <v>390</v>
      </c>
    </row>
    <row r="8135" spans="19:23">
      <c r="S8135" s="27">
        <v>45199</v>
      </c>
      <c r="T8135" s="773" t="s">
        <v>132</v>
      </c>
      <c r="U8135" s="773">
        <v>726</v>
      </c>
      <c r="V8135" s="773">
        <v>787</v>
      </c>
      <c r="W8135" s="773" t="s">
        <v>390</v>
      </c>
    </row>
    <row r="8136" spans="19:23">
      <c r="S8136" s="27">
        <v>45199</v>
      </c>
      <c r="T8136" s="773" t="s">
        <v>132</v>
      </c>
      <c r="U8136" s="773">
        <v>739</v>
      </c>
      <c r="V8136" s="773">
        <v>2166</v>
      </c>
      <c r="W8136" s="773" t="s">
        <v>390</v>
      </c>
    </row>
    <row r="8137" spans="19:23">
      <c r="S8137" s="27">
        <v>45199</v>
      </c>
      <c r="T8137" s="773" t="s">
        <v>132</v>
      </c>
      <c r="U8137" s="773">
        <v>663</v>
      </c>
      <c r="V8137" s="773">
        <v>231</v>
      </c>
      <c r="W8137" s="773" t="s">
        <v>390</v>
      </c>
    </row>
    <row r="8138" spans="19:23">
      <c r="S8138" s="27">
        <v>45199</v>
      </c>
      <c r="T8138" s="773" t="s">
        <v>132</v>
      </c>
      <c r="U8138" s="773">
        <v>722</v>
      </c>
      <c r="V8138" s="773">
        <v>1</v>
      </c>
      <c r="W8138" s="773" t="s">
        <v>410</v>
      </c>
    </row>
    <row r="8139" spans="19:23">
      <c r="S8139" s="27">
        <v>45199</v>
      </c>
      <c r="T8139" s="773" t="s">
        <v>132</v>
      </c>
      <c r="U8139" s="773">
        <v>704</v>
      </c>
      <c r="V8139" s="773">
        <v>3391</v>
      </c>
      <c r="W8139" s="773" t="s">
        <v>390</v>
      </c>
    </row>
    <row r="8140" spans="19:23">
      <c r="S8140" s="27">
        <v>45199</v>
      </c>
      <c r="T8140" s="773" t="s">
        <v>132</v>
      </c>
      <c r="U8140" s="773">
        <v>119</v>
      </c>
      <c r="V8140" s="773">
        <v>1</v>
      </c>
      <c r="W8140" s="773" t="s">
        <v>410</v>
      </c>
    </row>
    <row r="8141" spans="19:23">
      <c r="S8141" s="27">
        <v>45199</v>
      </c>
      <c r="T8141" s="773" t="s">
        <v>132</v>
      </c>
      <c r="U8141" s="773">
        <v>73</v>
      </c>
      <c r="V8141" s="773">
        <v>1</v>
      </c>
      <c r="W8141" s="773" t="s">
        <v>410</v>
      </c>
    </row>
    <row r="8142" spans="19:23">
      <c r="S8142" s="27">
        <v>45199</v>
      </c>
      <c r="T8142" s="773" t="s">
        <v>132</v>
      </c>
      <c r="U8142" s="773">
        <v>819</v>
      </c>
      <c r="V8142" s="773">
        <v>2356</v>
      </c>
      <c r="W8142" s="773" t="s">
        <v>390</v>
      </c>
    </row>
    <row r="8143" spans="19:23">
      <c r="S8143" s="27">
        <v>45199</v>
      </c>
      <c r="T8143" s="773" t="s">
        <v>132</v>
      </c>
      <c r="U8143" s="773">
        <v>718</v>
      </c>
      <c r="V8143" s="773">
        <v>1597</v>
      </c>
      <c r="W8143" s="773" t="s">
        <v>390</v>
      </c>
    </row>
    <row r="8144" spans="19:23">
      <c r="S8144" s="27">
        <v>45199</v>
      </c>
      <c r="T8144" s="773" t="s">
        <v>132</v>
      </c>
      <c r="U8144" s="773">
        <v>324</v>
      </c>
      <c r="V8144" s="773">
        <v>3161</v>
      </c>
      <c r="W8144" s="773" t="s">
        <v>390</v>
      </c>
    </row>
    <row r="8145" spans="19:23">
      <c r="S8145" s="27">
        <v>45199</v>
      </c>
      <c r="T8145" s="773" t="s">
        <v>132</v>
      </c>
      <c r="U8145" s="773">
        <v>736</v>
      </c>
      <c r="V8145" s="773">
        <v>3632</v>
      </c>
      <c r="W8145" s="773" t="s">
        <v>390</v>
      </c>
    </row>
    <row r="8146" spans="19:23">
      <c r="S8146" s="27">
        <v>45199</v>
      </c>
      <c r="T8146" s="773" t="s">
        <v>132</v>
      </c>
      <c r="U8146" s="773">
        <v>304</v>
      </c>
      <c r="V8146" s="773">
        <v>304</v>
      </c>
      <c r="W8146" s="773" t="s">
        <v>390</v>
      </c>
    </row>
    <row r="8147" spans="19:23">
      <c r="S8147" s="27">
        <v>45199</v>
      </c>
      <c r="T8147" s="773" t="s">
        <v>132</v>
      </c>
      <c r="U8147" s="773">
        <v>670</v>
      </c>
      <c r="V8147" s="773">
        <v>2479</v>
      </c>
      <c r="W8147" s="773" t="s">
        <v>390</v>
      </c>
    </row>
    <row r="8148" spans="19:23">
      <c r="S8148" s="27">
        <v>45199</v>
      </c>
      <c r="T8148" s="773" t="s">
        <v>132</v>
      </c>
      <c r="U8148" s="773">
        <v>295</v>
      </c>
      <c r="V8148" s="773">
        <v>2</v>
      </c>
      <c r="W8148" s="773" t="s">
        <v>410</v>
      </c>
    </row>
    <row r="8149" spans="19:23">
      <c r="S8149" s="27">
        <v>45199</v>
      </c>
      <c r="T8149" s="773" t="s">
        <v>132</v>
      </c>
      <c r="U8149" s="773">
        <v>130</v>
      </c>
      <c r="V8149" s="773">
        <v>1</v>
      </c>
      <c r="W8149" s="773" t="s">
        <v>410</v>
      </c>
    </row>
    <row r="8150" spans="19:23">
      <c r="S8150" s="27">
        <v>45199</v>
      </c>
      <c r="T8150" s="773" t="s">
        <v>132</v>
      </c>
      <c r="U8150" s="773">
        <v>231</v>
      </c>
      <c r="V8150" s="773">
        <v>8</v>
      </c>
      <c r="W8150" s="773" t="s">
        <v>410</v>
      </c>
    </row>
    <row r="8151" spans="19:23">
      <c r="S8151" s="27">
        <v>45199</v>
      </c>
      <c r="T8151" s="773" t="s">
        <v>132</v>
      </c>
      <c r="U8151" s="773">
        <v>194</v>
      </c>
      <c r="V8151" s="773">
        <v>231</v>
      </c>
      <c r="W8151" s="773" t="s">
        <v>390</v>
      </c>
    </row>
    <row r="8152" spans="19:23">
      <c r="S8152" s="27">
        <v>45199</v>
      </c>
      <c r="T8152" s="773" t="s">
        <v>132</v>
      </c>
      <c r="U8152" s="773">
        <v>161</v>
      </c>
      <c r="V8152" s="773">
        <v>1</v>
      </c>
      <c r="W8152" s="773" t="s">
        <v>410</v>
      </c>
    </row>
    <row r="8153" spans="19:23">
      <c r="S8153" s="27">
        <v>45199</v>
      </c>
      <c r="T8153" s="773" t="s">
        <v>132</v>
      </c>
      <c r="U8153" s="773">
        <v>703</v>
      </c>
      <c r="V8153" s="773">
        <v>170</v>
      </c>
      <c r="W8153" s="773" t="s">
        <v>390</v>
      </c>
    </row>
    <row r="8154" spans="19:23">
      <c r="S8154" s="27">
        <v>45199</v>
      </c>
      <c r="T8154" s="773" t="s">
        <v>132</v>
      </c>
      <c r="U8154" s="773">
        <v>729</v>
      </c>
      <c r="V8154" s="773">
        <v>150</v>
      </c>
      <c r="W8154" s="773" t="s">
        <v>390</v>
      </c>
    </row>
    <row r="8155" spans="19:23">
      <c r="S8155" s="27">
        <v>45199</v>
      </c>
      <c r="T8155" s="773" t="s">
        <v>132</v>
      </c>
      <c r="U8155" s="773">
        <v>312</v>
      </c>
      <c r="V8155" s="773">
        <v>2554</v>
      </c>
      <c r="W8155" s="773" t="s">
        <v>390</v>
      </c>
    </row>
    <row r="8156" spans="19:23">
      <c r="S8156" s="27">
        <v>45199</v>
      </c>
      <c r="T8156" s="773" t="s">
        <v>132</v>
      </c>
      <c r="U8156" s="773">
        <v>275</v>
      </c>
      <c r="V8156" s="773">
        <v>22</v>
      </c>
      <c r="W8156" s="773" t="s">
        <v>410</v>
      </c>
    </row>
    <row r="8157" spans="19:23">
      <c r="S8157" s="27">
        <v>45199</v>
      </c>
      <c r="T8157" s="773" t="s">
        <v>132</v>
      </c>
      <c r="U8157" s="773">
        <v>253</v>
      </c>
      <c r="V8157" s="773">
        <v>8</v>
      </c>
      <c r="W8157" s="773" t="s">
        <v>410</v>
      </c>
    </row>
    <row r="8158" spans="19:23">
      <c r="S8158" s="27">
        <v>45199</v>
      </c>
      <c r="T8158" s="773" t="s">
        <v>132</v>
      </c>
      <c r="U8158" s="773">
        <v>222</v>
      </c>
      <c r="V8158" s="773">
        <v>5</v>
      </c>
      <c r="W8158" s="773" t="s">
        <v>410</v>
      </c>
    </row>
    <row r="8159" spans="19:23">
      <c r="S8159" s="27">
        <v>45199</v>
      </c>
      <c r="T8159" s="773" t="s">
        <v>132</v>
      </c>
      <c r="U8159" s="773">
        <v>108</v>
      </c>
      <c r="V8159" s="773">
        <v>8</v>
      </c>
      <c r="W8159" s="773" t="s">
        <v>410</v>
      </c>
    </row>
    <row r="8160" spans="19:23">
      <c r="S8160" s="27">
        <v>45199</v>
      </c>
      <c r="T8160" s="773" t="s">
        <v>132</v>
      </c>
      <c r="U8160" s="773">
        <v>740</v>
      </c>
      <c r="V8160" s="773">
        <v>749</v>
      </c>
      <c r="W8160" s="773" t="s">
        <v>390</v>
      </c>
    </row>
    <row r="8161" spans="19:23">
      <c r="S8161" s="27">
        <v>45199</v>
      </c>
      <c r="T8161" s="773" t="s">
        <v>132</v>
      </c>
      <c r="U8161" s="773">
        <v>697</v>
      </c>
      <c r="V8161" s="773">
        <v>1411</v>
      </c>
      <c r="W8161" s="773" t="s">
        <v>390</v>
      </c>
    </row>
    <row r="8162" spans="19:23">
      <c r="S8162" s="27">
        <v>45199</v>
      </c>
      <c r="T8162" s="773" t="s">
        <v>132</v>
      </c>
      <c r="U8162" s="773">
        <v>218</v>
      </c>
      <c r="V8162" s="773">
        <v>302</v>
      </c>
      <c r="W8162" s="773" t="s">
        <v>390</v>
      </c>
    </row>
    <row r="8163" spans="19:23">
      <c r="S8163" s="27">
        <v>45199</v>
      </c>
      <c r="T8163" s="773" t="s">
        <v>132</v>
      </c>
      <c r="U8163" s="773">
        <v>160</v>
      </c>
      <c r="V8163" s="773">
        <v>2</v>
      </c>
      <c r="W8163" s="773" t="s">
        <v>410</v>
      </c>
    </row>
    <row r="8164" spans="19:23">
      <c r="S8164" s="27">
        <v>45199</v>
      </c>
      <c r="T8164" s="773" t="s">
        <v>132</v>
      </c>
      <c r="U8164" s="773">
        <v>254</v>
      </c>
      <c r="V8164" s="773">
        <v>5</v>
      </c>
      <c r="W8164" s="773" t="s">
        <v>410</v>
      </c>
    </row>
    <row r="8165" spans="19:23">
      <c r="S8165" s="27">
        <v>45199</v>
      </c>
      <c r="T8165" s="773" t="s">
        <v>132</v>
      </c>
      <c r="U8165" s="773">
        <v>809</v>
      </c>
      <c r="V8165" s="773">
        <v>105</v>
      </c>
      <c r="W8165" s="773" t="s">
        <v>390</v>
      </c>
    </row>
    <row r="8166" spans="19:23">
      <c r="S8166" s="27">
        <v>45199</v>
      </c>
      <c r="T8166" s="773" t="s">
        <v>132</v>
      </c>
      <c r="U8166" s="773">
        <v>802</v>
      </c>
      <c r="V8166" s="773">
        <v>57</v>
      </c>
      <c r="W8166" s="773" t="s">
        <v>410</v>
      </c>
    </row>
    <row r="8167" spans="19:23">
      <c r="S8167" s="27">
        <v>45199</v>
      </c>
      <c r="T8167" s="773" t="s">
        <v>132</v>
      </c>
      <c r="U8167" s="773">
        <v>803</v>
      </c>
      <c r="V8167" s="773">
        <v>98</v>
      </c>
      <c r="W8167" s="773" t="s">
        <v>410</v>
      </c>
    </row>
    <row r="8168" spans="19:23">
      <c r="S8168" s="27">
        <v>45230</v>
      </c>
      <c r="T8168" s="773" t="s">
        <v>132</v>
      </c>
      <c r="U8168" s="773">
        <v>718</v>
      </c>
      <c r="V8168" s="773">
        <v>1625</v>
      </c>
      <c r="W8168" s="773" t="s">
        <v>390</v>
      </c>
    </row>
    <row r="8169" spans="19:23">
      <c r="S8169" s="27">
        <v>45230</v>
      </c>
      <c r="T8169" s="773" t="s">
        <v>132</v>
      </c>
      <c r="U8169" s="773">
        <v>710</v>
      </c>
      <c r="V8169" s="773">
        <v>1171</v>
      </c>
      <c r="W8169" s="773" t="s">
        <v>390</v>
      </c>
    </row>
    <row r="8170" spans="19:23">
      <c r="S8170" s="27">
        <v>45230</v>
      </c>
      <c r="T8170" s="773" t="s">
        <v>132</v>
      </c>
      <c r="U8170" s="773">
        <v>672</v>
      </c>
      <c r="V8170" s="773">
        <v>2383</v>
      </c>
      <c r="W8170" s="773" t="s">
        <v>390</v>
      </c>
    </row>
    <row r="8171" spans="19:23">
      <c r="S8171" s="27">
        <v>45230</v>
      </c>
      <c r="T8171" s="773" t="s">
        <v>132</v>
      </c>
      <c r="U8171" s="773">
        <v>650</v>
      </c>
      <c r="V8171" s="773">
        <v>19</v>
      </c>
      <c r="W8171" s="773" t="s">
        <v>410</v>
      </c>
    </row>
    <row r="8172" spans="19:23">
      <c r="S8172" s="27">
        <v>45230</v>
      </c>
      <c r="T8172" s="773" t="s">
        <v>132</v>
      </c>
      <c r="U8172" s="773">
        <v>246</v>
      </c>
      <c r="V8172" s="773">
        <v>8</v>
      </c>
      <c r="W8172" s="773" t="s">
        <v>410</v>
      </c>
    </row>
    <row r="8173" spans="19:23">
      <c r="S8173" s="27">
        <v>45230</v>
      </c>
      <c r="T8173" s="773" t="s">
        <v>132</v>
      </c>
      <c r="U8173" s="773">
        <v>171</v>
      </c>
      <c r="V8173" s="773">
        <v>59</v>
      </c>
      <c r="W8173" s="773" t="s">
        <v>410</v>
      </c>
    </row>
    <row r="8174" spans="19:23">
      <c r="S8174" s="27">
        <v>45230</v>
      </c>
      <c r="T8174" s="773" t="s">
        <v>132</v>
      </c>
      <c r="U8174" s="773">
        <v>716</v>
      </c>
      <c r="V8174" s="773">
        <v>303</v>
      </c>
      <c r="W8174" s="773" t="s">
        <v>390</v>
      </c>
    </row>
    <row r="8175" spans="19:23">
      <c r="S8175" s="27">
        <v>45230</v>
      </c>
      <c r="T8175" s="773" t="s">
        <v>132</v>
      </c>
      <c r="U8175" s="773">
        <v>740</v>
      </c>
      <c r="V8175" s="773">
        <v>752</v>
      </c>
      <c r="W8175" s="773" t="s">
        <v>390</v>
      </c>
    </row>
    <row r="8176" spans="19:23">
      <c r="S8176" s="27">
        <v>45230</v>
      </c>
      <c r="T8176" s="773" t="s">
        <v>132</v>
      </c>
      <c r="U8176" s="773">
        <v>247</v>
      </c>
      <c r="V8176" s="773">
        <v>2351</v>
      </c>
      <c r="W8176" s="773" t="s">
        <v>390</v>
      </c>
    </row>
    <row r="8177" spans="19:23">
      <c r="S8177" s="27">
        <v>45230</v>
      </c>
      <c r="T8177" s="773" t="s">
        <v>132</v>
      </c>
      <c r="U8177" s="773">
        <v>136</v>
      </c>
      <c r="V8177" s="773">
        <v>23</v>
      </c>
      <c r="W8177" s="773" t="s">
        <v>410</v>
      </c>
    </row>
    <row r="8178" spans="19:23">
      <c r="S8178" s="27">
        <v>45230</v>
      </c>
      <c r="T8178" s="773" t="s">
        <v>132</v>
      </c>
      <c r="U8178" s="773">
        <v>693</v>
      </c>
      <c r="V8178" s="773">
        <v>1</v>
      </c>
      <c r="W8178" s="773" t="s">
        <v>410</v>
      </c>
    </row>
    <row r="8179" spans="19:23">
      <c r="S8179" s="27">
        <v>45230</v>
      </c>
      <c r="T8179" s="773" t="s">
        <v>132</v>
      </c>
      <c r="U8179" s="773">
        <v>97</v>
      </c>
      <c r="V8179" s="773">
        <v>8</v>
      </c>
      <c r="W8179" s="773" t="s">
        <v>410</v>
      </c>
    </row>
    <row r="8180" spans="19:23">
      <c r="S8180" s="27">
        <v>45230</v>
      </c>
      <c r="T8180" s="773" t="s">
        <v>132</v>
      </c>
      <c r="U8180" s="773">
        <v>317</v>
      </c>
      <c r="V8180" s="773">
        <v>3265</v>
      </c>
      <c r="W8180" s="773" t="s">
        <v>390</v>
      </c>
    </row>
    <row r="8181" spans="19:23">
      <c r="S8181" s="27">
        <v>45230</v>
      </c>
      <c r="T8181" s="773" t="s">
        <v>132</v>
      </c>
      <c r="U8181" s="773">
        <v>0</v>
      </c>
      <c r="V8181" s="773">
        <v>39</v>
      </c>
      <c r="W8181" s="773" t="s">
        <v>410</v>
      </c>
    </row>
    <row r="8182" spans="19:23">
      <c r="S8182" s="27">
        <v>45230</v>
      </c>
      <c r="T8182" s="773" t="s">
        <v>132</v>
      </c>
      <c r="U8182" s="773">
        <v>213</v>
      </c>
      <c r="V8182" s="773">
        <v>1</v>
      </c>
      <c r="W8182" s="773" t="s">
        <v>410</v>
      </c>
    </row>
    <row r="8183" spans="19:23">
      <c r="S8183" s="27">
        <v>45230</v>
      </c>
      <c r="T8183" s="773" t="s">
        <v>132</v>
      </c>
      <c r="U8183" s="773">
        <v>70</v>
      </c>
      <c r="V8183" s="773">
        <v>207</v>
      </c>
      <c r="W8183" s="773" t="s">
        <v>390</v>
      </c>
    </row>
    <row r="8184" spans="19:23">
      <c r="S8184" s="27">
        <v>45230</v>
      </c>
      <c r="T8184" s="773" t="s">
        <v>132</v>
      </c>
      <c r="U8184" s="773">
        <v>200</v>
      </c>
      <c r="V8184" s="773">
        <v>7</v>
      </c>
      <c r="W8184" s="773" t="s">
        <v>410</v>
      </c>
    </row>
    <row r="8185" spans="19:23">
      <c r="S8185" s="27">
        <v>45230</v>
      </c>
      <c r="T8185" s="773" t="s">
        <v>132</v>
      </c>
      <c r="U8185" s="773">
        <v>323</v>
      </c>
      <c r="V8185" s="773">
        <v>3141</v>
      </c>
      <c r="W8185" s="773" t="s">
        <v>390</v>
      </c>
    </row>
    <row r="8186" spans="19:23">
      <c r="S8186" s="27">
        <v>45230</v>
      </c>
      <c r="T8186" s="773" t="s">
        <v>132</v>
      </c>
      <c r="U8186" s="773">
        <v>159</v>
      </c>
      <c r="V8186" s="773">
        <v>7</v>
      </c>
      <c r="W8186" s="773" t="s">
        <v>410</v>
      </c>
    </row>
    <row r="8187" spans="19:23">
      <c r="S8187" s="27">
        <v>45230</v>
      </c>
      <c r="T8187" s="773" t="s">
        <v>132</v>
      </c>
      <c r="U8187" s="773">
        <v>35</v>
      </c>
      <c r="V8187" s="773">
        <v>873</v>
      </c>
      <c r="W8187" s="773" t="s">
        <v>390</v>
      </c>
    </row>
    <row r="8188" spans="19:23">
      <c r="S8188" s="27">
        <v>45230</v>
      </c>
      <c r="T8188" s="773" t="s">
        <v>132</v>
      </c>
      <c r="U8188" s="773">
        <v>817</v>
      </c>
      <c r="V8188" s="773">
        <v>2390</v>
      </c>
      <c r="W8188" s="773" t="s">
        <v>390</v>
      </c>
    </row>
    <row r="8189" spans="19:23">
      <c r="S8189" s="27">
        <v>45230</v>
      </c>
      <c r="T8189" s="773" t="s">
        <v>132</v>
      </c>
      <c r="U8189" s="773">
        <v>295</v>
      </c>
      <c r="V8189" s="773">
        <v>2</v>
      </c>
      <c r="W8189" s="773" t="s">
        <v>410</v>
      </c>
    </row>
    <row r="8190" spans="19:23">
      <c r="S8190" s="27">
        <v>45230</v>
      </c>
      <c r="T8190" s="773" t="s">
        <v>132</v>
      </c>
      <c r="U8190" s="773">
        <v>216</v>
      </c>
      <c r="V8190" s="773">
        <v>2597</v>
      </c>
      <c r="W8190" s="773" t="s">
        <v>390</v>
      </c>
    </row>
    <row r="8191" spans="19:23">
      <c r="S8191" s="27">
        <v>45230</v>
      </c>
      <c r="T8191" s="773" t="s">
        <v>132</v>
      </c>
      <c r="U8191" s="773">
        <v>687</v>
      </c>
      <c r="V8191" s="773">
        <v>3017</v>
      </c>
      <c r="W8191" s="773" t="s">
        <v>390</v>
      </c>
    </row>
    <row r="8192" spans="19:23">
      <c r="S8192" s="27">
        <v>45230</v>
      </c>
      <c r="T8192" s="773" t="s">
        <v>132</v>
      </c>
      <c r="U8192" s="773">
        <v>824</v>
      </c>
      <c r="V8192" s="773">
        <v>2</v>
      </c>
      <c r="W8192" s="773" t="s">
        <v>410</v>
      </c>
    </row>
    <row r="8193" spans="19:23">
      <c r="S8193" s="27">
        <v>45230</v>
      </c>
      <c r="T8193" s="773" t="s">
        <v>132</v>
      </c>
      <c r="U8193" s="773">
        <v>723</v>
      </c>
      <c r="V8193" s="773">
        <v>2274</v>
      </c>
      <c r="W8193" s="773" t="s">
        <v>390</v>
      </c>
    </row>
    <row r="8194" spans="19:23">
      <c r="S8194" s="27">
        <v>45230</v>
      </c>
      <c r="T8194" s="773" t="s">
        <v>132</v>
      </c>
      <c r="U8194" s="773">
        <v>133</v>
      </c>
      <c r="V8194" s="773">
        <v>3</v>
      </c>
      <c r="W8194" s="773" t="s">
        <v>410</v>
      </c>
    </row>
    <row r="8195" spans="19:23">
      <c r="S8195" s="27">
        <v>45230</v>
      </c>
      <c r="T8195" s="773" t="s">
        <v>132</v>
      </c>
      <c r="U8195" s="773">
        <v>77</v>
      </c>
      <c r="V8195" s="773">
        <v>3648</v>
      </c>
      <c r="W8195" s="773" t="s">
        <v>390</v>
      </c>
    </row>
    <row r="8196" spans="19:23">
      <c r="S8196" s="27">
        <v>45230</v>
      </c>
      <c r="T8196" s="773" t="s">
        <v>132</v>
      </c>
      <c r="U8196" s="773">
        <v>158</v>
      </c>
      <c r="V8196" s="773">
        <v>174</v>
      </c>
      <c r="W8196" s="773" t="s">
        <v>390</v>
      </c>
    </row>
    <row r="8197" spans="19:23">
      <c r="S8197" s="27">
        <v>45230</v>
      </c>
      <c r="T8197" s="773" t="s">
        <v>132</v>
      </c>
      <c r="U8197" s="773">
        <v>312</v>
      </c>
      <c r="V8197" s="773">
        <v>2567</v>
      </c>
      <c r="W8197" s="773" t="s">
        <v>390</v>
      </c>
    </row>
    <row r="8198" spans="19:23">
      <c r="S8198" s="27">
        <v>45230</v>
      </c>
      <c r="T8198" s="773" t="s">
        <v>132</v>
      </c>
      <c r="U8198" s="773">
        <v>2</v>
      </c>
      <c r="V8198" s="773">
        <v>1</v>
      </c>
      <c r="W8198" s="773" t="s">
        <v>410</v>
      </c>
    </row>
    <row r="8199" spans="19:23">
      <c r="S8199" s="27">
        <v>45230</v>
      </c>
      <c r="T8199" s="773" t="s">
        <v>132</v>
      </c>
      <c r="U8199" s="773">
        <v>239</v>
      </c>
      <c r="V8199" s="773">
        <v>5</v>
      </c>
      <c r="W8199" s="773" t="s">
        <v>410</v>
      </c>
    </row>
    <row r="8200" spans="19:23">
      <c r="S8200" s="27">
        <v>45230</v>
      </c>
      <c r="T8200" s="773" t="s">
        <v>132</v>
      </c>
      <c r="U8200" s="773">
        <v>328</v>
      </c>
      <c r="V8200" s="773">
        <v>467</v>
      </c>
      <c r="W8200" s="773" t="s">
        <v>390</v>
      </c>
    </row>
    <row r="8201" spans="19:23">
      <c r="S8201" s="27">
        <v>45230</v>
      </c>
      <c r="T8201" s="773" t="s">
        <v>132</v>
      </c>
      <c r="U8201" s="773">
        <v>308</v>
      </c>
      <c r="V8201" s="773">
        <v>2311</v>
      </c>
      <c r="W8201" s="773" t="s">
        <v>390</v>
      </c>
    </row>
    <row r="8202" spans="19:23">
      <c r="S8202" s="27">
        <v>45230</v>
      </c>
      <c r="T8202" s="773" t="s">
        <v>132</v>
      </c>
      <c r="U8202" s="773">
        <v>27</v>
      </c>
      <c r="V8202" s="773">
        <v>1</v>
      </c>
      <c r="W8202" s="773" t="s">
        <v>410</v>
      </c>
    </row>
    <row r="8203" spans="19:23">
      <c r="S8203" s="27">
        <v>45230</v>
      </c>
      <c r="T8203" s="773" t="s">
        <v>132</v>
      </c>
      <c r="U8203" s="773">
        <v>262</v>
      </c>
      <c r="V8203" s="773">
        <v>30</v>
      </c>
      <c r="W8203" s="773" t="s">
        <v>410</v>
      </c>
    </row>
    <row r="8204" spans="19:23">
      <c r="S8204" s="27">
        <v>45230</v>
      </c>
      <c r="T8204" s="773" t="s">
        <v>132</v>
      </c>
      <c r="U8204" s="773">
        <v>68</v>
      </c>
      <c r="V8204" s="773">
        <v>1130</v>
      </c>
      <c r="W8204" s="773" t="s">
        <v>390</v>
      </c>
    </row>
    <row r="8205" spans="19:23">
      <c r="S8205" s="27">
        <v>45230</v>
      </c>
      <c r="T8205" s="773" t="s">
        <v>132</v>
      </c>
      <c r="U8205" s="773">
        <v>648</v>
      </c>
      <c r="V8205" s="773">
        <v>1</v>
      </c>
      <c r="W8205" s="773" t="s">
        <v>410</v>
      </c>
    </row>
    <row r="8206" spans="19:23">
      <c r="S8206" s="27">
        <v>45230</v>
      </c>
      <c r="T8206" s="773" t="s">
        <v>132</v>
      </c>
      <c r="U8206" s="773">
        <v>193</v>
      </c>
      <c r="V8206" s="773">
        <v>465</v>
      </c>
      <c r="W8206" s="773" t="s">
        <v>390</v>
      </c>
    </row>
    <row r="8207" spans="19:23">
      <c r="S8207" s="27">
        <v>45230</v>
      </c>
      <c r="T8207" s="773" t="s">
        <v>132</v>
      </c>
      <c r="U8207" s="773">
        <v>240</v>
      </c>
      <c r="V8207" s="773">
        <v>4</v>
      </c>
      <c r="W8207" s="773" t="s">
        <v>410</v>
      </c>
    </row>
    <row r="8208" spans="19:23">
      <c r="S8208" s="27">
        <v>45230</v>
      </c>
      <c r="T8208" s="773" t="s">
        <v>132</v>
      </c>
      <c r="U8208" s="773">
        <v>109</v>
      </c>
      <c r="V8208" s="773">
        <v>5</v>
      </c>
      <c r="W8208" s="773" t="s">
        <v>410</v>
      </c>
    </row>
    <row r="8209" spans="19:23">
      <c r="S8209" s="27">
        <v>45230</v>
      </c>
      <c r="T8209" s="773" t="s">
        <v>132</v>
      </c>
      <c r="U8209" s="773">
        <v>303</v>
      </c>
      <c r="V8209" s="773">
        <v>4</v>
      </c>
      <c r="W8209" s="773" t="s">
        <v>410</v>
      </c>
    </row>
    <row r="8210" spans="19:23">
      <c r="S8210" s="27">
        <v>45230</v>
      </c>
      <c r="T8210" s="773" t="s">
        <v>132</v>
      </c>
      <c r="U8210" s="773">
        <v>819</v>
      </c>
      <c r="V8210" s="773">
        <v>2375</v>
      </c>
      <c r="W8210" s="773" t="s">
        <v>390</v>
      </c>
    </row>
    <row r="8211" spans="19:23">
      <c r="S8211" s="27">
        <v>45230</v>
      </c>
      <c r="T8211" s="773" t="s">
        <v>132</v>
      </c>
      <c r="U8211" s="773">
        <v>832</v>
      </c>
      <c r="V8211" s="773">
        <v>11</v>
      </c>
      <c r="W8211" s="773" t="s">
        <v>410</v>
      </c>
    </row>
    <row r="8212" spans="19:23">
      <c r="S8212" s="27">
        <v>45230</v>
      </c>
      <c r="T8212" s="773" t="s">
        <v>132</v>
      </c>
      <c r="U8212" s="773">
        <v>344</v>
      </c>
      <c r="V8212" s="773">
        <v>317</v>
      </c>
      <c r="W8212" s="773" t="s">
        <v>390</v>
      </c>
    </row>
    <row r="8213" spans="19:23">
      <c r="S8213" s="27">
        <v>45230</v>
      </c>
      <c r="T8213" s="773" t="s">
        <v>132</v>
      </c>
      <c r="U8213" s="773">
        <v>150</v>
      </c>
      <c r="V8213" s="773">
        <v>308</v>
      </c>
      <c r="W8213" s="773" t="s">
        <v>390</v>
      </c>
    </row>
    <row r="8214" spans="19:23">
      <c r="S8214" s="27">
        <v>45230</v>
      </c>
      <c r="T8214" s="773" t="s">
        <v>132</v>
      </c>
      <c r="U8214" s="773">
        <v>96</v>
      </c>
      <c r="V8214" s="773">
        <v>3</v>
      </c>
      <c r="W8214" s="773" t="s">
        <v>410</v>
      </c>
    </row>
    <row r="8215" spans="19:23">
      <c r="S8215" s="27">
        <v>45230</v>
      </c>
      <c r="T8215" s="773" t="s">
        <v>132</v>
      </c>
      <c r="U8215" s="773">
        <v>342</v>
      </c>
      <c r="V8215" s="773">
        <v>2696</v>
      </c>
      <c r="W8215" s="773" t="s">
        <v>390</v>
      </c>
    </row>
    <row r="8216" spans="19:23">
      <c r="S8216" s="27">
        <v>45230</v>
      </c>
      <c r="T8216" s="773" t="s">
        <v>132</v>
      </c>
      <c r="U8216" s="773">
        <v>294</v>
      </c>
      <c r="V8216" s="773">
        <v>4</v>
      </c>
      <c r="W8216" s="773" t="s">
        <v>410</v>
      </c>
    </row>
    <row r="8217" spans="19:23">
      <c r="S8217" s="27">
        <v>45230</v>
      </c>
      <c r="T8217" s="773" t="s">
        <v>132</v>
      </c>
      <c r="U8217" s="773">
        <v>311</v>
      </c>
      <c r="V8217" s="773">
        <v>2476</v>
      </c>
      <c r="W8217" s="773" t="s">
        <v>390</v>
      </c>
    </row>
    <row r="8218" spans="19:23">
      <c r="S8218" s="27">
        <v>45230</v>
      </c>
      <c r="T8218" s="773" t="s">
        <v>132</v>
      </c>
      <c r="U8218" s="773">
        <v>732</v>
      </c>
      <c r="V8218" s="773">
        <v>3494</v>
      </c>
      <c r="W8218" s="773" t="s">
        <v>390</v>
      </c>
    </row>
    <row r="8219" spans="19:23">
      <c r="S8219" s="27">
        <v>45230</v>
      </c>
      <c r="T8219" s="773" t="s">
        <v>132</v>
      </c>
      <c r="U8219" s="773">
        <v>103</v>
      </c>
      <c r="V8219" s="773">
        <v>1744</v>
      </c>
      <c r="W8219" s="773" t="s">
        <v>390</v>
      </c>
    </row>
    <row r="8220" spans="19:23">
      <c r="S8220" s="27">
        <v>45230</v>
      </c>
      <c r="T8220" s="773" t="s">
        <v>132</v>
      </c>
      <c r="U8220" s="773">
        <v>245</v>
      </c>
      <c r="V8220" s="773">
        <v>3104</v>
      </c>
      <c r="W8220" s="773" t="s">
        <v>390</v>
      </c>
    </row>
    <row r="8221" spans="19:23">
      <c r="S8221" s="27">
        <v>45230</v>
      </c>
      <c r="T8221" s="773" t="s">
        <v>132</v>
      </c>
      <c r="U8221" s="773">
        <v>220</v>
      </c>
      <c r="V8221" s="773">
        <v>125</v>
      </c>
      <c r="W8221" s="773" t="s">
        <v>390</v>
      </c>
    </row>
    <row r="8222" spans="19:23">
      <c r="S8222" s="27">
        <v>45230</v>
      </c>
      <c r="T8222" s="773" t="s">
        <v>132</v>
      </c>
      <c r="U8222" s="773">
        <v>696</v>
      </c>
      <c r="V8222" s="773">
        <v>113</v>
      </c>
      <c r="W8222" s="773" t="s">
        <v>390</v>
      </c>
    </row>
    <row r="8223" spans="19:23">
      <c r="S8223" s="27">
        <v>45230</v>
      </c>
      <c r="T8223" s="773" t="s">
        <v>132</v>
      </c>
      <c r="U8223" s="773">
        <v>169</v>
      </c>
      <c r="V8223" s="773">
        <v>3080</v>
      </c>
      <c r="W8223" s="773" t="s">
        <v>390</v>
      </c>
    </row>
    <row r="8224" spans="19:23">
      <c r="S8224" s="27">
        <v>45230</v>
      </c>
      <c r="T8224" s="773" t="s">
        <v>132</v>
      </c>
      <c r="U8224" s="773">
        <v>691</v>
      </c>
      <c r="V8224" s="773">
        <v>2986</v>
      </c>
      <c r="W8224" s="773" t="s">
        <v>390</v>
      </c>
    </row>
    <row r="8225" spans="19:23">
      <c r="S8225" s="27">
        <v>45230</v>
      </c>
      <c r="T8225" s="773" t="s">
        <v>132</v>
      </c>
      <c r="U8225" s="773">
        <v>700</v>
      </c>
      <c r="V8225" s="773">
        <v>2796</v>
      </c>
      <c r="W8225" s="773" t="s">
        <v>390</v>
      </c>
    </row>
    <row r="8226" spans="19:23">
      <c r="S8226" s="27">
        <v>45230</v>
      </c>
      <c r="T8226" s="773" t="s">
        <v>132</v>
      </c>
      <c r="U8226" s="773">
        <v>130</v>
      </c>
      <c r="V8226" s="773">
        <v>1</v>
      </c>
      <c r="W8226" s="773" t="s">
        <v>410</v>
      </c>
    </row>
    <row r="8227" spans="19:23">
      <c r="S8227" s="27">
        <v>45230</v>
      </c>
      <c r="T8227" s="773" t="s">
        <v>132</v>
      </c>
      <c r="U8227" s="773">
        <v>829</v>
      </c>
      <c r="V8227" s="773">
        <v>13</v>
      </c>
      <c r="W8227" s="773" t="s">
        <v>410</v>
      </c>
    </row>
    <row r="8228" spans="19:23">
      <c r="S8228" s="27">
        <v>45230</v>
      </c>
      <c r="T8228" s="773" t="s">
        <v>132</v>
      </c>
      <c r="U8228" s="773">
        <v>738</v>
      </c>
      <c r="V8228" s="773">
        <v>102</v>
      </c>
      <c r="W8228" s="773" t="s">
        <v>390</v>
      </c>
    </row>
    <row r="8229" spans="19:23">
      <c r="S8229" s="27">
        <v>45230</v>
      </c>
      <c r="T8229" s="773" t="s">
        <v>132</v>
      </c>
      <c r="U8229" s="773">
        <v>662</v>
      </c>
      <c r="V8229" s="773">
        <v>329</v>
      </c>
      <c r="W8229" s="773" t="s">
        <v>390</v>
      </c>
    </row>
    <row r="8230" spans="19:23">
      <c r="S8230" s="27">
        <v>45230</v>
      </c>
      <c r="T8230" s="773" t="s">
        <v>132</v>
      </c>
      <c r="U8230" s="773">
        <v>680</v>
      </c>
      <c r="V8230" s="773">
        <v>2970</v>
      </c>
      <c r="W8230" s="773" t="s">
        <v>390</v>
      </c>
    </row>
    <row r="8231" spans="19:23">
      <c r="S8231" s="27">
        <v>45230</v>
      </c>
      <c r="T8231" s="773" t="s">
        <v>132</v>
      </c>
      <c r="U8231" s="773">
        <v>790</v>
      </c>
      <c r="V8231" s="773">
        <v>648</v>
      </c>
      <c r="W8231" s="773" t="s">
        <v>390</v>
      </c>
    </row>
    <row r="8232" spans="19:23">
      <c r="S8232" s="27">
        <v>45230</v>
      </c>
      <c r="T8232" s="773" t="s">
        <v>132</v>
      </c>
      <c r="U8232" s="773">
        <v>81</v>
      </c>
      <c r="V8232" s="773">
        <v>8</v>
      </c>
      <c r="W8232" s="773" t="s">
        <v>410</v>
      </c>
    </row>
    <row r="8233" spans="19:23">
      <c r="S8233" s="27">
        <v>45230</v>
      </c>
      <c r="T8233" s="773" t="s">
        <v>132</v>
      </c>
      <c r="U8233" s="773">
        <v>724</v>
      </c>
      <c r="V8233" s="773">
        <v>2515</v>
      </c>
      <c r="W8233" s="773" t="s">
        <v>390</v>
      </c>
    </row>
    <row r="8234" spans="19:23">
      <c r="S8234" s="27">
        <v>45230</v>
      </c>
      <c r="T8234" s="773" t="s">
        <v>132</v>
      </c>
      <c r="U8234" s="773">
        <v>750</v>
      </c>
      <c r="V8234" s="773">
        <v>2106</v>
      </c>
      <c r="W8234" s="773" t="s">
        <v>390</v>
      </c>
    </row>
    <row r="8235" spans="19:23">
      <c r="S8235" s="27">
        <v>45230</v>
      </c>
      <c r="T8235" s="773" t="s">
        <v>132</v>
      </c>
      <c r="U8235" s="773">
        <v>78</v>
      </c>
      <c r="V8235" s="773">
        <v>5</v>
      </c>
      <c r="W8235" s="773" t="s">
        <v>410</v>
      </c>
    </row>
    <row r="8236" spans="19:23">
      <c r="S8236" s="27">
        <v>45230</v>
      </c>
      <c r="T8236" s="773" t="s">
        <v>132</v>
      </c>
      <c r="U8236" s="773">
        <v>306</v>
      </c>
      <c r="V8236" s="773">
        <v>2418</v>
      </c>
      <c r="W8236" s="773" t="s">
        <v>390</v>
      </c>
    </row>
    <row r="8237" spans="19:23">
      <c r="S8237" s="27">
        <v>45230</v>
      </c>
      <c r="T8237" s="773" t="s">
        <v>132</v>
      </c>
      <c r="U8237" s="773">
        <v>297</v>
      </c>
      <c r="V8237" s="773">
        <v>1542</v>
      </c>
      <c r="W8237" s="773" t="s">
        <v>390</v>
      </c>
    </row>
    <row r="8238" spans="19:23">
      <c r="S8238" s="27">
        <v>45230</v>
      </c>
      <c r="T8238" s="773" t="s">
        <v>132</v>
      </c>
      <c r="U8238" s="773">
        <v>665</v>
      </c>
      <c r="V8238" s="773">
        <v>17</v>
      </c>
      <c r="W8238" s="773" t="s">
        <v>410</v>
      </c>
    </row>
    <row r="8239" spans="19:23">
      <c r="S8239" s="27">
        <v>45230</v>
      </c>
      <c r="T8239" s="773" t="s">
        <v>132</v>
      </c>
      <c r="U8239" s="773">
        <v>41</v>
      </c>
      <c r="V8239" s="773">
        <v>1</v>
      </c>
      <c r="W8239" s="773" t="s">
        <v>410</v>
      </c>
    </row>
    <row r="8240" spans="19:23">
      <c r="S8240" s="27">
        <v>45230</v>
      </c>
      <c r="T8240" s="773" t="s">
        <v>132</v>
      </c>
      <c r="U8240" s="773">
        <v>327</v>
      </c>
      <c r="V8240" s="773">
        <v>3</v>
      </c>
      <c r="W8240" s="773" t="s">
        <v>410</v>
      </c>
    </row>
    <row r="8241" spans="19:23">
      <c r="S8241" s="27">
        <v>45230</v>
      </c>
      <c r="T8241" s="773" t="s">
        <v>132</v>
      </c>
      <c r="U8241" s="773">
        <v>651</v>
      </c>
      <c r="V8241" s="773">
        <v>41</v>
      </c>
      <c r="W8241" s="773" t="s">
        <v>410</v>
      </c>
    </row>
    <row r="8242" spans="19:23">
      <c r="S8242" s="27">
        <v>45230</v>
      </c>
      <c r="T8242" s="773" t="s">
        <v>132</v>
      </c>
      <c r="U8242" s="773">
        <v>11</v>
      </c>
      <c r="V8242" s="773">
        <v>26</v>
      </c>
      <c r="W8242" s="773" t="s">
        <v>410</v>
      </c>
    </row>
    <row r="8243" spans="19:23">
      <c r="S8243" s="27">
        <v>45230</v>
      </c>
      <c r="T8243" s="773" t="s">
        <v>132</v>
      </c>
      <c r="U8243" s="773">
        <v>87</v>
      </c>
      <c r="V8243" s="773">
        <v>2</v>
      </c>
      <c r="W8243" s="773" t="s">
        <v>410</v>
      </c>
    </row>
    <row r="8244" spans="19:23">
      <c r="S8244" s="27">
        <v>45230</v>
      </c>
      <c r="T8244" s="773" t="s">
        <v>132</v>
      </c>
      <c r="U8244" s="773">
        <v>98</v>
      </c>
      <c r="V8244" s="773">
        <v>24</v>
      </c>
      <c r="W8244" s="773" t="s">
        <v>410</v>
      </c>
    </row>
    <row r="8245" spans="19:23">
      <c r="S8245" s="27">
        <v>45230</v>
      </c>
      <c r="T8245" s="773" t="s">
        <v>132</v>
      </c>
      <c r="U8245" s="773">
        <v>48</v>
      </c>
      <c r="V8245" s="773">
        <v>173</v>
      </c>
      <c r="W8245" s="773" t="s">
        <v>390</v>
      </c>
    </row>
    <row r="8246" spans="19:23">
      <c r="S8246" s="27">
        <v>45230</v>
      </c>
      <c r="T8246" s="773" t="s">
        <v>132</v>
      </c>
      <c r="U8246" s="773">
        <v>798</v>
      </c>
      <c r="V8246" s="773">
        <v>2864</v>
      </c>
      <c r="W8246" s="773" t="s">
        <v>390</v>
      </c>
    </row>
    <row r="8247" spans="19:23">
      <c r="S8247" s="27">
        <v>45230</v>
      </c>
      <c r="T8247" s="773" t="s">
        <v>132</v>
      </c>
      <c r="U8247" s="773">
        <v>725</v>
      </c>
      <c r="V8247" s="773">
        <v>537</v>
      </c>
      <c r="W8247" s="773" t="s">
        <v>390</v>
      </c>
    </row>
    <row r="8248" spans="19:23">
      <c r="S8248" s="27">
        <v>45230</v>
      </c>
      <c r="T8248" s="773" t="s">
        <v>132</v>
      </c>
      <c r="U8248" s="773">
        <v>52</v>
      </c>
      <c r="V8248" s="773">
        <v>6</v>
      </c>
      <c r="W8248" s="773" t="s">
        <v>410</v>
      </c>
    </row>
    <row r="8249" spans="19:23">
      <c r="S8249" s="27">
        <v>45230</v>
      </c>
      <c r="T8249" s="773" t="s">
        <v>132</v>
      </c>
      <c r="U8249" s="773">
        <v>110</v>
      </c>
      <c r="V8249" s="773">
        <v>4</v>
      </c>
      <c r="W8249" s="773" t="s">
        <v>410</v>
      </c>
    </row>
    <row r="8250" spans="19:23">
      <c r="S8250" s="27">
        <v>45230</v>
      </c>
      <c r="T8250" s="773" t="s">
        <v>132</v>
      </c>
      <c r="U8250" s="773">
        <v>702</v>
      </c>
      <c r="V8250" s="773">
        <v>1</v>
      </c>
      <c r="W8250" s="773" t="s">
        <v>410</v>
      </c>
    </row>
    <row r="8251" spans="19:23">
      <c r="S8251" s="27">
        <v>45230</v>
      </c>
      <c r="T8251" s="773" t="s">
        <v>132</v>
      </c>
      <c r="U8251" s="773">
        <v>218</v>
      </c>
      <c r="V8251" s="773">
        <v>301</v>
      </c>
      <c r="W8251" s="773" t="s">
        <v>390</v>
      </c>
    </row>
    <row r="8252" spans="19:23">
      <c r="S8252" s="27">
        <v>45230</v>
      </c>
      <c r="T8252" s="773" t="s">
        <v>132</v>
      </c>
      <c r="U8252" s="773">
        <v>667</v>
      </c>
      <c r="V8252" s="773">
        <v>2</v>
      </c>
      <c r="W8252" s="773" t="s">
        <v>410</v>
      </c>
    </row>
    <row r="8253" spans="19:23">
      <c r="S8253" s="27">
        <v>45230</v>
      </c>
      <c r="T8253" s="773" t="s">
        <v>132</v>
      </c>
      <c r="U8253" s="773">
        <v>664</v>
      </c>
      <c r="V8253" s="773">
        <v>3454</v>
      </c>
      <c r="W8253" s="773" t="s">
        <v>390</v>
      </c>
    </row>
    <row r="8254" spans="19:23">
      <c r="S8254" s="27">
        <v>45230</v>
      </c>
      <c r="T8254" s="773" t="s">
        <v>132</v>
      </c>
      <c r="U8254" s="773">
        <v>59</v>
      </c>
      <c r="V8254" s="773">
        <v>3</v>
      </c>
      <c r="W8254" s="773" t="s">
        <v>410</v>
      </c>
    </row>
    <row r="8255" spans="19:23">
      <c r="S8255" s="27">
        <v>45230</v>
      </c>
      <c r="T8255" s="773" t="s">
        <v>132</v>
      </c>
      <c r="U8255" s="773">
        <v>191</v>
      </c>
      <c r="V8255" s="773">
        <v>341</v>
      </c>
      <c r="W8255" s="773" t="s">
        <v>390</v>
      </c>
    </row>
    <row r="8256" spans="19:23">
      <c r="S8256" s="27">
        <v>45230</v>
      </c>
      <c r="T8256" s="773" t="s">
        <v>132</v>
      </c>
      <c r="U8256" s="773">
        <v>769</v>
      </c>
      <c r="V8256" s="773">
        <v>1735</v>
      </c>
      <c r="W8256" s="773" t="s">
        <v>390</v>
      </c>
    </row>
    <row r="8257" spans="19:23">
      <c r="S8257" s="27">
        <v>45230</v>
      </c>
      <c r="T8257" s="773" t="s">
        <v>132</v>
      </c>
      <c r="U8257" s="773">
        <v>322</v>
      </c>
      <c r="V8257" s="773">
        <v>2495</v>
      </c>
      <c r="W8257" s="773" t="s">
        <v>390</v>
      </c>
    </row>
    <row r="8258" spans="19:23">
      <c r="S8258" s="27">
        <v>45230</v>
      </c>
      <c r="T8258" s="773" t="s">
        <v>132</v>
      </c>
      <c r="U8258" s="773">
        <v>658</v>
      </c>
      <c r="V8258" s="773">
        <v>5</v>
      </c>
      <c r="W8258" s="773" t="s">
        <v>410</v>
      </c>
    </row>
    <row r="8259" spans="19:23">
      <c r="S8259" s="27">
        <v>45230</v>
      </c>
      <c r="T8259" s="773" t="s">
        <v>132</v>
      </c>
      <c r="U8259" s="773">
        <v>739</v>
      </c>
      <c r="V8259" s="773">
        <v>2181</v>
      </c>
      <c r="W8259" s="773" t="s">
        <v>390</v>
      </c>
    </row>
    <row r="8260" spans="19:23">
      <c r="S8260" s="27">
        <v>45230</v>
      </c>
      <c r="T8260" s="773" t="s">
        <v>132</v>
      </c>
      <c r="U8260" s="773">
        <v>814</v>
      </c>
      <c r="V8260" s="773">
        <v>3352</v>
      </c>
      <c r="W8260" s="773" t="s">
        <v>390</v>
      </c>
    </row>
    <row r="8261" spans="19:23">
      <c r="S8261" s="27">
        <v>45230</v>
      </c>
      <c r="T8261" s="773" t="s">
        <v>132</v>
      </c>
      <c r="U8261" s="773">
        <v>139</v>
      </c>
      <c r="V8261" s="773">
        <v>2260</v>
      </c>
      <c r="W8261" s="773" t="s">
        <v>390</v>
      </c>
    </row>
    <row r="8262" spans="19:23">
      <c r="S8262" s="27">
        <v>45230</v>
      </c>
      <c r="T8262" s="773" t="s">
        <v>132</v>
      </c>
      <c r="U8262" s="773">
        <v>315</v>
      </c>
      <c r="V8262" s="773">
        <v>2011</v>
      </c>
      <c r="W8262" s="773" t="s">
        <v>390</v>
      </c>
    </row>
    <row r="8263" spans="19:23">
      <c r="S8263" s="27">
        <v>45230</v>
      </c>
      <c r="T8263" s="773" t="s">
        <v>132</v>
      </c>
      <c r="U8263" s="773">
        <v>222</v>
      </c>
      <c r="V8263" s="773">
        <v>5</v>
      </c>
      <c r="W8263" s="773" t="s">
        <v>410</v>
      </c>
    </row>
    <row r="8264" spans="19:23">
      <c r="S8264" s="27">
        <v>45230</v>
      </c>
      <c r="T8264" s="773" t="s">
        <v>132</v>
      </c>
      <c r="U8264" s="773">
        <v>296</v>
      </c>
      <c r="V8264" s="773">
        <v>2381</v>
      </c>
      <c r="W8264" s="773" t="s">
        <v>390</v>
      </c>
    </row>
    <row r="8265" spans="19:23">
      <c r="S8265" s="27">
        <v>45230</v>
      </c>
      <c r="T8265" s="773" t="s">
        <v>132</v>
      </c>
      <c r="U8265" s="773">
        <v>283</v>
      </c>
      <c r="V8265" s="773">
        <v>1</v>
      </c>
      <c r="W8265" s="773" t="s">
        <v>410</v>
      </c>
    </row>
    <row r="8266" spans="19:23">
      <c r="S8266" s="27">
        <v>45230</v>
      </c>
      <c r="T8266" s="773" t="s">
        <v>132</v>
      </c>
      <c r="U8266" s="773">
        <v>92</v>
      </c>
      <c r="V8266" s="773">
        <v>7</v>
      </c>
      <c r="W8266" s="773" t="s">
        <v>410</v>
      </c>
    </row>
    <row r="8267" spans="19:23">
      <c r="S8267" s="27">
        <v>45230</v>
      </c>
      <c r="T8267" s="773" t="s">
        <v>132</v>
      </c>
      <c r="U8267" s="773">
        <v>233</v>
      </c>
      <c r="V8267" s="773">
        <v>2025</v>
      </c>
      <c r="W8267" s="773" t="s">
        <v>390</v>
      </c>
    </row>
    <row r="8268" spans="19:23">
      <c r="S8268" s="27">
        <v>45230</v>
      </c>
      <c r="T8268" s="773" t="s">
        <v>132</v>
      </c>
      <c r="U8268" s="773">
        <v>652</v>
      </c>
      <c r="V8268" s="773">
        <v>59</v>
      </c>
      <c r="W8268" s="773" t="s">
        <v>410</v>
      </c>
    </row>
    <row r="8269" spans="19:23">
      <c r="S8269" s="27">
        <v>45230</v>
      </c>
      <c r="T8269" s="773" t="s">
        <v>132</v>
      </c>
      <c r="U8269" s="773">
        <v>227</v>
      </c>
      <c r="V8269" s="773">
        <v>1</v>
      </c>
      <c r="W8269" s="773" t="s">
        <v>410</v>
      </c>
    </row>
    <row r="8270" spans="19:23">
      <c r="S8270" s="27">
        <v>45230</v>
      </c>
      <c r="T8270" s="773" t="s">
        <v>132</v>
      </c>
      <c r="U8270" s="773">
        <v>64</v>
      </c>
      <c r="V8270" s="773">
        <v>1</v>
      </c>
      <c r="W8270" s="773" t="s">
        <v>410</v>
      </c>
    </row>
    <row r="8271" spans="19:23">
      <c r="S8271" s="27">
        <v>45230</v>
      </c>
      <c r="T8271" s="773" t="s">
        <v>132</v>
      </c>
      <c r="U8271" s="773">
        <v>676</v>
      </c>
      <c r="V8271" s="773">
        <v>4</v>
      </c>
      <c r="W8271" s="773" t="s">
        <v>410</v>
      </c>
    </row>
    <row r="8272" spans="19:23">
      <c r="S8272" s="27">
        <v>45230</v>
      </c>
      <c r="T8272" s="773" t="s">
        <v>132</v>
      </c>
      <c r="U8272" s="773">
        <v>748</v>
      </c>
      <c r="V8272" s="773">
        <v>788</v>
      </c>
      <c r="W8272" s="773" t="s">
        <v>390</v>
      </c>
    </row>
    <row r="8273" spans="19:23">
      <c r="S8273" s="27">
        <v>45230</v>
      </c>
      <c r="T8273" s="773" t="s">
        <v>132</v>
      </c>
      <c r="U8273" s="773">
        <v>173</v>
      </c>
      <c r="V8273" s="773">
        <v>5</v>
      </c>
      <c r="W8273" s="773" t="s">
        <v>410</v>
      </c>
    </row>
    <row r="8274" spans="19:23">
      <c r="S8274" s="27">
        <v>45230</v>
      </c>
      <c r="T8274" s="773" t="s">
        <v>132</v>
      </c>
      <c r="U8274" s="773">
        <v>161</v>
      </c>
      <c r="V8274" s="773">
        <v>1</v>
      </c>
      <c r="W8274" s="773" t="s">
        <v>410</v>
      </c>
    </row>
    <row r="8275" spans="19:23">
      <c r="S8275" s="27">
        <v>45230</v>
      </c>
      <c r="T8275" s="773" t="s">
        <v>132</v>
      </c>
      <c r="U8275" s="773">
        <v>324</v>
      </c>
      <c r="V8275" s="773">
        <v>3162</v>
      </c>
      <c r="W8275" s="773" t="s">
        <v>390</v>
      </c>
    </row>
    <row r="8276" spans="19:23">
      <c r="S8276" s="27">
        <v>45230</v>
      </c>
      <c r="T8276" s="773" t="s">
        <v>132</v>
      </c>
      <c r="U8276" s="773">
        <v>678</v>
      </c>
      <c r="V8276" s="773">
        <v>159</v>
      </c>
      <c r="W8276" s="773" t="s">
        <v>390</v>
      </c>
    </row>
    <row r="8277" spans="19:23">
      <c r="S8277" s="27">
        <v>45230</v>
      </c>
      <c r="T8277" s="773" t="s">
        <v>132</v>
      </c>
      <c r="U8277" s="773">
        <v>153</v>
      </c>
      <c r="V8277" s="773">
        <v>2252</v>
      </c>
      <c r="W8277" s="773" t="s">
        <v>390</v>
      </c>
    </row>
    <row r="8278" spans="19:23">
      <c r="S8278" s="27">
        <v>45230</v>
      </c>
      <c r="T8278" s="773" t="s">
        <v>132</v>
      </c>
      <c r="U8278" s="773">
        <v>320</v>
      </c>
      <c r="V8278" s="773">
        <v>1665</v>
      </c>
      <c r="W8278" s="773" t="s">
        <v>390</v>
      </c>
    </row>
    <row r="8279" spans="19:23">
      <c r="S8279" s="27">
        <v>45230</v>
      </c>
      <c r="T8279" s="773" t="s">
        <v>132</v>
      </c>
      <c r="U8279" s="773">
        <v>329</v>
      </c>
      <c r="V8279" s="773">
        <v>3865</v>
      </c>
      <c r="W8279" s="773" t="s">
        <v>390</v>
      </c>
    </row>
    <row r="8280" spans="19:23">
      <c r="S8280" s="27">
        <v>45230</v>
      </c>
      <c r="T8280" s="773" t="s">
        <v>132</v>
      </c>
      <c r="U8280" s="773">
        <v>803</v>
      </c>
      <c r="V8280" s="773">
        <v>109</v>
      </c>
      <c r="W8280" s="773" t="s">
        <v>390</v>
      </c>
    </row>
    <row r="8281" spans="19:23">
      <c r="S8281" s="27">
        <v>45230</v>
      </c>
      <c r="T8281" s="773" t="s">
        <v>132</v>
      </c>
      <c r="U8281" s="773">
        <v>140</v>
      </c>
      <c r="V8281" s="773">
        <v>770</v>
      </c>
      <c r="W8281" s="773" t="s">
        <v>390</v>
      </c>
    </row>
    <row r="8282" spans="19:23">
      <c r="S8282" s="27">
        <v>45230</v>
      </c>
      <c r="T8282" s="773" t="s">
        <v>132</v>
      </c>
      <c r="U8282" s="773">
        <v>654</v>
      </c>
      <c r="V8282" s="773">
        <v>904</v>
      </c>
      <c r="W8282" s="773" t="s">
        <v>390</v>
      </c>
    </row>
    <row r="8283" spans="19:23">
      <c r="S8283" s="27">
        <v>45230</v>
      </c>
      <c r="T8283" s="773" t="s">
        <v>132</v>
      </c>
      <c r="U8283" s="773">
        <v>684</v>
      </c>
      <c r="V8283" s="773">
        <v>2996</v>
      </c>
      <c r="W8283" s="773" t="s">
        <v>390</v>
      </c>
    </row>
    <row r="8284" spans="19:23">
      <c r="S8284" s="27">
        <v>45230</v>
      </c>
      <c r="T8284" s="773" t="s">
        <v>132</v>
      </c>
      <c r="U8284" s="773">
        <v>779</v>
      </c>
      <c r="V8284" s="773">
        <v>2117</v>
      </c>
      <c r="W8284" s="773" t="s">
        <v>390</v>
      </c>
    </row>
    <row r="8285" spans="19:23">
      <c r="S8285" s="27">
        <v>45230</v>
      </c>
      <c r="T8285" s="773" t="s">
        <v>132</v>
      </c>
      <c r="U8285" s="773">
        <v>188</v>
      </c>
      <c r="V8285" s="773">
        <v>850</v>
      </c>
      <c r="W8285" s="773" t="s">
        <v>390</v>
      </c>
    </row>
    <row r="8286" spans="19:23">
      <c r="S8286" s="27">
        <v>45230</v>
      </c>
      <c r="T8286" s="773" t="s">
        <v>132</v>
      </c>
      <c r="U8286" s="773">
        <v>291</v>
      </c>
      <c r="V8286" s="773">
        <v>2</v>
      </c>
      <c r="W8286" s="773" t="s">
        <v>410</v>
      </c>
    </row>
    <row r="8287" spans="19:23">
      <c r="S8287" s="27">
        <v>45230</v>
      </c>
      <c r="T8287" s="773" t="s">
        <v>132</v>
      </c>
      <c r="U8287" s="773">
        <v>698</v>
      </c>
      <c r="V8287" s="773">
        <v>2670</v>
      </c>
      <c r="W8287" s="773" t="s">
        <v>390</v>
      </c>
    </row>
    <row r="8288" spans="19:23">
      <c r="S8288" s="27">
        <v>45230</v>
      </c>
      <c r="T8288" s="773" t="s">
        <v>132</v>
      </c>
      <c r="U8288" s="773">
        <v>818</v>
      </c>
      <c r="V8288" s="773">
        <v>2</v>
      </c>
      <c r="W8288" s="773" t="s">
        <v>410</v>
      </c>
    </row>
    <row r="8289" spans="19:23">
      <c r="S8289" s="27">
        <v>45230</v>
      </c>
      <c r="T8289" s="773" t="s">
        <v>132</v>
      </c>
      <c r="U8289" s="773">
        <v>799</v>
      </c>
      <c r="V8289" s="773">
        <v>91</v>
      </c>
      <c r="W8289" s="773" t="s">
        <v>410</v>
      </c>
    </row>
    <row r="8290" spans="19:23">
      <c r="S8290" s="27">
        <v>45230</v>
      </c>
      <c r="T8290" s="773" t="s">
        <v>132</v>
      </c>
      <c r="U8290" s="773">
        <v>56</v>
      </c>
      <c r="V8290" s="773">
        <v>9</v>
      </c>
      <c r="W8290" s="773" t="s">
        <v>410</v>
      </c>
    </row>
    <row r="8291" spans="19:23">
      <c r="S8291" s="27">
        <v>45230</v>
      </c>
      <c r="T8291" s="773" t="s">
        <v>132</v>
      </c>
      <c r="U8291" s="773">
        <v>202</v>
      </c>
      <c r="V8291" s="773">
        <v>1</v>
      </c>
      <c r="W8291" s="773" t="s">
        <v>410</v>
      </c>
    </row>
    <row r="8292" spans="19:23">
      <c r="S8292" s="27">
        <v>45230</v>
      </c>
      <c r="T8292" s="773" t="s">
        <v>132</v>
      </c>
      <c r="U8292" s="773">
        <v>13</v>
      </c>
      <c r="V8292" s="773">
        <v>2481</v>
      </c>
      <c r="W8292" s="773" t="s">
        <v>390</v>
      </c>
    </row>
    <row r="8293" spans="19:23">
      <c r="S8293" s="27">
        <v>45230</v>
      </c>
      <c r="T8293" s="773" t="s">
        <v>132</v>
      </c>
      <c r="U8293" s="773">
        <v>292</v>
      </c>
      <c r="V8293" s="773">
        <v>4</v>
      </c>
      <c r="W8293" s="773" t="s">
        <v>410</v>
      </c>
    </row>
    <row r="8294" spans="19:23">
      <c r="S8294" s="27">
        <v>45230</v>
      </c>
      <c r="T8294" s="773" t="s">
        <v>132</v>
      </c>
      <c r="U8294" s="773">
        <v>792</v>
      </c>
      <c r="V8294" s="773">
        <v>689</v>
      </c>
      <c r="W8294" s="773" t="s">
        <v>390</v>
      </c>
    </row>
    <row r="8295" spans="19:23">
      <c r="S8295" s="27">
        <v>45230</v>
      </c>
      <c r="T8295" s="773" t="s">
        <v>132</v>
      </c>
      <c r="U8295" s="773">
        <v>266</v>
      </c>
      <c r="V8295" s="773">
        <v>2374</v>
      </c>
      <c r="W8295" s="773" t="s">
        <v>390</v>
      </c>
    </row>
    <row r="8296" spans="19:23">
      <c r="S8296" s="27">
        <v>45230</v>
      </c>
      <c r="T8296" s="773" t="s">
        <v>132</v>
      </c>
      <c r="U8296" s="773">
        <v>204</v>
      </c>
      <c r="V8296" s="773">
        <v>7</v>
      </c>
      <c r="W8296" s="773" t="s">
        <v>410</v>
      </c>
    </row>
    <row r="8297" spans="19:23">
      <c r="S8297" s="27">
        <v>45230</v>
      </c>
      <c r="T8297" s="773" t="s">
        <v>132</v>
      </c>
      <c r="U8297" s="773">
        <v>709</v>
      </c>
      <c r="V8297" s="773">
        <v>2527</v>
      </c>
      <c r="W8297" s="773" t="s">
        <v>390</v>
      </c>
    </row>
    <row r="8298" spans="19:23">
      <c r="S8298" s="27">
        <v>45230</v>
      </c>
      <c r="T8298" s="773" t="s">
        <v>132</v>
      </c>
      <c r="U8298" s="773">
        <v>809</v>
      </c>
      <c r="V8298" s="773">
        <v>121</v>
      </c>
      <c r="W8298" s="773" t="s">
        <v>390</v>
      </c>
    </row>
    <row r="8299" spans="19:23">
      <c r="S8299" s="27">
        <v>45230</v>
      </c>
      <c r="T8299" s="773" t="s">
        <v>132</v>
      </c>
      <c r="U8299" s="773">
        <v>264</v>
      </c>
      <c r="V8299" s="773">
        <v>396</v>
      </c>
      <c r="W8299" s="773" t="s">
        <v>390</v>
      </c>
    </row>
    <row r="8300" spans="19:23">
      <c r="S8300" s="27">
        <v>45230</v>
      </c>
      <c r="T8300" s="773" t="s">
        <v>132</v>
      </c>
      <c r="U8300" s="773">
        <v>148</v>
      </c>
      <c r="V8300" s="773">
        <v>4</v>
      </c>
      <c r="W8300" s="773" t="s">
        <v>410</v>
      </c>
    </row>
    <row r="8301" spans="19:23">
      <c r="S8301" s="27">
        <v>45230</v>
      </c>
      <c r="T8301" s="773" t="s">
        <v>132</v>
      </c>
      <c r="U8301" s="773">
        <v>726</v>
      </c>
      <c r="V8301" s="773">
        <v>1472</v>
      </c>
      <c r="W8301" s="773" t="s">
        <v>390</v>
      </c>
    </row>
    <row r="8302" spans="19:23">
      <c r="S8302" s="27">
        <v>45230</v>
      </c>
      <c r="T8302" s="773" t="s">
        <v>132</v>
      </c>
      <c r="U8302" s="773">
        <v>71</v>
      </c>
      <c r="V8302" s="773">
        <v>1</v>
      </c>
      <c r="W8302" s="773" t="s">
        <v>410</v>
      </c>
    </row>
    <row r="8303" spans="19:23">
      <c r="S8303" s="27">
        <v>45230</v>
      </c>
      <c r="T8303" s="773" t="s">
        <v>132</v>
      </c>
      <c r="U8303" s="773">
        <v>305</v>
      </c>
      <c r="V8303" s="773">
        <v>4868</v>
      </c>
      <c r="W8303" s="773" t="s">
        <v>390</v>
      </c>
    </row>
    <row r="8304" spans="19:23">
      <c r="S8304" s="27">
        <v>45230</v>
      </c>
      <c r="T8304" s="773" t="s">
        <v>132</v>
      </c>
      <c r="U8304" s="773">
        <v>253</v>
      </c>
      <c r="V8304" s="773">
        <v>8</v>
      </c>
      <c r="W8304" s="773" t="s">
        <v>410</v>
      </c>
    </row>
    <row r="8305" spans="19:23">
      <c r="S8305" s="27">
        <v>45230</v>
      </c>
      <c r="T8305" s="773" t="s">
        <v>132</v>
      </c>
      <c r="U8305" s="773">
        <v>157</v>
      </c>
      <c r="V8305" s="773">
        <v>7</v>
      </c>
      <c r="W8305" s="773" t="s">
        <v>410</v>
      </c>
    </row>
    <row r="8306" spans="19:23">
      <c r="S8306" s="27">
        <v>45230</v>
      </c>
      <c r="T8306" s="773" t="s">
        <v>132</v>
      </c>
      <c r="U8306" s="773">
        <v>793</v>
      </c>
      <c r="V8306" s="773">
        <v>223</v>
      </c>
      <c r="W8306" s="773" t="s">
        <v>390</v>
      </c>
    </row>
    <row r="8307" spans="19:23">
      <c r="S8307" s="27">
        <v>45230</v>
      </c>
      <c r="T8307" s="773" t="s">
        <v>132</v>
      </c>
      <c r="U8307" s="773">
        <v>108</v>
      </c>
      <c r="V8307" s="773">
        <v>8</v>
      </c>
      <c r="W8307" s="773" t="s">
        <v>410</v>
      </c>
    </row>
    <row r="8308" spans="19:23">
      <c r="S8308" s="27">
        <v>45230</v>
      </c>
      <c r="T8308" s="773" t="s">
        <v>132</v>
      </c>
      <c r="U8308" s="773">
        <v>674</v>
      </c>
      <c r="V8308" s="773">
        <v>6903</v>
      </c>
      <c r="W8308" s="773" t="s">
        <v>390</v>
      </c>
    </row>
    <row r="8309" spans="19:23">
      <c r="S8309" s="27">
        <v>45230</v>
      </c>
      <c r="T8309" s="773" t="s">
        <v>132</v>
      </c>
      <c r="U8309" s="773">
        <v>231</v>
      </c>
      <c r="V8309" s="773">
        <v>9</v>
      </c>
      <c r="W8309" s="773" t="s">
        <v>410</v>
      </c>
    </row>
    <row r="8310" spans="19:23">
      <c r="S8310" s="27">
        <v>45230</v>
      </c>
      <c r="T8310" s="773" t="s">
        <v>132</v>
      </c>
      <c r="U8310" s="773">
        <v>523</v>
      </c>
      <c r="V8310" s="773">
        <v>1</v>
      </c>
      <c r="W8310" s="773" t="s">
        <v>410</v>
      </c>
    </row>
    <row r="8311" spans="19:23">
      <c r="S8311" s="27">
        <v>45230</v>
      </c>
      <c r="T8311" s="773" t="s">
        <v>132</v>
      </c>
      <c r="U8311" s="773">
        <v>241</v>
      </c>
      <c r="V8311" s="773">
        <v>12</v>
      </c>
      <c r="W8311" s="773" t="s">
        <v>410</v>
      </c>
    </row>
    <row r="8312" spans="19:23">
      <c r="S8312" s="27">
        <v>45230</v>
      </c>
      <c r="T8312" s="773" t="s">
        <v>132</v>
      </c>
      <c r="U8312" s="773">
        <v>290</v>
      </c>
      <c r="V8312" s="773">
        <v>502</v>
      </c>
      <c r="W8312" s="773" t="s">
        <v>390</v>
      </c>
    </row>
    <row r="8313" spans="19:23">
      <c r="S8313" s="27">
        <v>45230</v>
      </c>
      <c r="T8313" s="773" t="s">
        <v>132</v>
      </c>
      <c r="U8313" s="773">
        <v>40</v>
      </c>
      <c r="V8313" s="773">
        <v>2</v>
      </c>
      <c r="W8313" s="773" t="s">
        <v>410</v>
      </c>
    </row>
    <row r="8314" spans="19:23">
      <c r="S8314" s="27">
        <v>45230</v>
      </c>
      <c r="T8314" s="773" t="s">
        <v>132</v>
      </c>
      <c r="U8314" s="773">
        <v>79</v>
      </c>
      <c r="V8314" s="773">
        <v>3</v>
      </c>
      <c r="W8314" s="773" t="s">
        <v>410</v>
      </c>
    </row>
    <row r="8315" spans="19:23">
      <c r="S8315" s="27">
        <v>45230</v>
      </c>
      <c r="T8315" s="773" t="s">
        <v>132</v>
      </c>
      <c r="U8315" s="773">
        <v>93</v>
      </c>
      <c r="V8315" s="773">
        <v>1033</v>
      </c>
      <c r="W8315" s="773" t="s">
        <v>390</v>
      </c>
    </row>
    <row r="8316" spans="19:23">
      <c r="S8316" s="27">
        <v>45230</v>
      </c>
      <c r="T8316" s="773" t="s">
        <v>132</v>
      </c>
      <c r="U8316" s="773">
        <v>194</v>
      </c>
      <c r="V8316" s="773">
        <v>240</v>
      </c>
      <c r="W8316" s="773" t="s">
        <v>390</v>
      </c>
    </row>
    <row r="8317" spans="19:23">
      <c r="S8317" s="27">
        <v>45230</v>
      </c>
      <c r="T8317" s="773" t="s">
        <v>132</v>
      </c>
      <c r="U8317" s="773">
        <v>797</v>
      </c>
      <c r="V8317" s="773">
        <v>3150</v>
      </c>
      <c r="W8317" s="773" t="s">
        <v>390</v>
      </c>
    </row>
    <row r="8318" spans="19:23">
      <c r="S8318" s="27">
        <v>45230</v>
      </c>
      <c r="T8318" s="773" t="s">
        <v>132</v>
      </c>
      <c r="U8318" s="773">
        <v>132</v>
      </c>
      <c r="V8318" s="773">
        <v>2821</v>
      </c>
      <c r="W8318" s="773" t="s">
        <v>390</v>
      </c>
    </row>
    <row r="8319" spans="19:23">
      <c r="S8319" s="27">
        <v>45230</v>
      </c>
      <c r="T8319" s="773" t="s">
        <v>132</v>
      </c>
      <c r="U8319" s="773">
        <v>183</v>
      </c>
      <c r="V8319" s="773">
        <v>566</v>
      </c>
      <c r="W8319" s="773" t="s">
        <v>390</v>
      </c>
    </row>
    <row r="8320" spans="19:23">
      <c r="S8320" s="27">
        <v>45230</v>
      </c>
      <c r="T8320" s="773" t="s">
        <v>132</v>
      </c>
      <c r="U8320" s="773">
        <v>791</v>
      </c>
      <c r="V8320" s="773">
        <v>3126</v>
      </c>
      <c r="W8320" s="773" t="s">
        <v>390</v>
      </c>
    </row>
    <row r="8321" spans="19:23">
      <c r="S8321" s="27">
        <v>45230</v>
      </c>
      <c r="T8321" s="773" t="s">
        <v>132</v>
      </c>
      <c r="U8321" s="773">
        <v>119</v>
      </c>
      <c r="V8321" s="773">
        <v>1</v>
      </c>
      <c r="W8321" s="773" t="s">
        <v>410</v>
      </c>
    </row>
    <row r="8322" spans="19:23">
      <c r="S8322" s="27">
        <v>45230</v>
      </c>
      <c r="T8322" s="773" t="s">
        <v>132</v>
      </c>
      <c r="U8322" s="773">
        <v>670</v>
      </c>
      <c r="V8322" s="773">
        <v>2505</v>
      </c>
      <c r="W8322" s="773" t="s">
        <v>390</v>
      </c>
    </row>
    <row r="8323" spans="19:23">
      <c r="S8323" s="27">
        <v>45230</v>
      </c>
      <c r="T8323" s="773" t="s">
        <v>132</v>
      </c>
      <c r="U8323" s="773">
        <v>251</v>
      </c>
      <c r="V8323" s="773">
        <v>1893</v>
      </c>
      <c r="W8323" s="773" t="s">
        <v>390</v>
      </c>
    </row>
    <row r="8324" spans="19:23">
      <c r="S8324" s="27">
        <v>45230</v>
      </c>
      <c r="T8324" s="773" t="s">
        <v>132</v>
      </c>
      <c r="U8324" s="773">
        <v>826</v>
      </c>
      <c r="V8324" s="773">
        <v>41</v>
      </c>
      <c r="W8324" s="773" t="s">
        <v>410</v>
      </c>
    </row>
    <row r="8325" spans="19:23">
      <c r="S8325" s="27">
        <v>45230</v>
      </c>
      <c r="T8325" s="773" t="s">
        <v>132</v>
      </c>
      <c r="U8325" s="773">
        <v>53</v>
      </c>
      <c r="V8325" s="773">
        <v>4</v>
      </c>
      <c r="W8325" s="773" t="s">
        <v>410</v>
      </c>
    </row>
    <row r="8326" spans="19:23">
      <c r="S8326" s="27">
        <v>45230</v>
      </c>
      <c r="T8326" s="773" t="s">
        <v>132</v>
      </c>
      <c r="U8326" s="773">
        <v>326</v>
      </c>
      <c r="V8326" s="773">
        <v>2770</v>
      </c>
      <c r="W8326" s="773" t="s">
        <v>390</v>
      </c>
    </row>
    <row r="8327" spans="19:23">
      <c r="S8327" s="27">
        <v>45230</v>
      </c>
      <c r="T8327" s="773" t="s">
        <v>132</v>
      </c>
      <c r="U8327" s="773">
        <v>828</v>
      </c>
      <c r="V8327" s="773">
        <v>3263</v>
      </c>
      <c r="W8327" s="773" t="s">
        <v>390</v>
      </c>
    </row>
    <row r="8328" spans="19:23">
      <c r="S8328" s="27">
        <v>45230</v>
      </c>
      <c r="T8328" s="773" t="s">
        <v>132</v>
      </c>
      <c r="U8328" s="773">
        <v>660</v>
      </c>
      <c r="V8328" s="773">
        <v>2</v>
      </c>
      <c r="W8328" s="773" t="s">
        <v>410</v>
      </c>
    </row>
    <row r="8329" spans="19:23">
      <c r="S8329" s="27">
        <v>45230</v>
      </c>
      <c r="T8329" s="773" t="s">
        <v>132</v>
      </c>
      <c r="U8329" s="773">
        <v>801</v>
      </c>
      <c r="V8329" s="773">
        <v>433</v>
      </c>
      <c r="W8329" s="773" t="s">
        <v>390</v>
      </c>
    </row>
    <row r="8330" spans="19:23">
      <c r="S8330" s="27">
        <v>45230</v>
      </c>
      <c r="T8330" s="773" t="s">
        <v>132</v>
      </c>
      <c r="U8330" s="773">
        <v>141</v>
      </c>
      <c r="V8330" s="773">
        <v>1</v>
      </c>
      <c r="W8330" s="773" t="s">
        <v>410</v>
      </c>
    </row>
    <row r="8331" spans="19:23">
      <c r="S8331" s="27">
        <v>45230</v>
      </c>
      <c r="T8331" s="773" t="s">
        <v>132</v>
      </c>
      <c r="U8331" s="773">
        <v>230</v>
      </c>
      <c r="V8331" s="773">
        <v>7</v>
      </c>
      <c r="W8331" s="773" t="s">
        <v>410</v>
      </c>
    </row>
    <row r="8332" spans="19:23">
      <c r="S8332" s="27">
        <v>45230</v>
      </c>
      <c r="T8332" s="773" t="s">
        <v>132</v>
      </c>
      <c r="U8332" s="773">
        <v>741</v>
      </c>
      <c r="V8332" s="773">
        <v>2861</v>
      </c>
      <c r="W8332" s="773" t="s">
        <v>390</v>
      </c>
    </row>
    <row r="8333" spans="19:23">
      <c r="S8333" s="27">
        <v>45230</v>
      </c>
      <c r="T8333" s="773" t="s">
        <v>132</v>
      </c>
      <c r="U8333" s="773">
        <v>252</v>
      </c>
      <c r="V8333" s="773">
        <v>136</v>
      </c>
      <c r="W8333" s="773" t="s">
        <v>390</v>
      </c>
    </row>
    <row r="8334" spans="19:23">
      <c r="S8334" s="27">
        <v>45230</v>
      </c>
      <c r="T8334" s="773" t="s">
        <v>132</v>
      </c>
      <c r="U8334" s="773">
        <v>116</v>
      </c>
      <c r="V8334" s="773">
        <v>2</v>
      </c>
      <c r="W8334" s="773" t="s">
        <v>410</v>
      </c>
    </row>
    <row r="8335" spans="19:23">
      <c r="S8335" s="27">
        <v>45230</v>
      </c>
      <c r="T8335" s="773" t="s">
        <v>132</v>
      </c>
      <c r="U8335" s="773">
        <v>83</v>
      </c>
      <c r="V8335" s="773">
        <v>2470</v>
      </c>
      <c r="W8335" s="773" t="s">
        <v>390</v>
      </c>
    </row>
    <row r="8336" spans="19:23">
      <c r="S8336" s="27">
        <v>45230</v>
      </c>
      <c r="T8336" s="773" t="s">
        <v>132</v>
      </c>
      <c r="U8336" s="773">
        <v>805</v>
      </c>
      <c r="V8336" s="773">
        <v>44</v>
      </c>
      <c r="W8336" s="773" t="s">
        <v>410</v>
      </c>
    </row>
    <row r="8337" spans="19:23">
      <c r="S8337" s="27">
        <v>45230</v>
      </c>
      <c r="T8337" s="773" t="s">
        <v>132</v>
      </c>
      <c r="U8337" s="773">
        <v>318</v>
      </c>
      <c r="V8337" s="773">
        <v>2484</v>
      </c>
      <c r="W8337" s="773" t="s">
        <v>390</v>
      </c>
    </row>
    <row r="8338" spans="19:23">
      <c r="S8338" s="27">
        <v>45230</v>
      </c>
      <c r="T8338" s="773" t="s">
        <v>132</v>
      </c>
      <c r="U8338" s="773">
        <v>275</v>
      </c>
      <c r="V8338" s="773">
        <v>26</v>
      </c>
      <c r="W8338" s="773" t="s">
        <v>410</v>
      </c>
    </row>
    <row r="8339" spans="19:23">
      <c r="S8339" s="27">
        <v>45230</v>
      </c>
      <c r="T8339" s="773" t="s">
        <v>132</v>
      </c>
      <c r="U8339" s="773">
        <v>675</v>
      </c>
      <c r="V8339" s="773">
        <v>48</v>
      </c>
      <c r="W8339" s="773" t="s">
        <v>410</v>
      </c>
    </row>
    <row r="8340" spans="19:23">
      <c r="S8340" s="27">
        <v>45230</v>
      </c>
      <c r="T8340" s="773" t="s">
        <v>132</v>
      </c>
      <c r="U8340" s="773">
        <v>319</v>
      </c>
      <c r="V8340" s="773">
        <v>3367</v>
      </c>
      <c r="W8340" s="773" t="s">
        <v>390</v>
      </c>
    </row>
    <row r="8341" spans="19:23">
      <c r="S8341" s="27">
        <v>45230</v>
      </c>
      <c r="T8341" s="773" t="s">
        <v>132</v>
      </c>
      <c r="U8341" s="773">
        <v>73</v>
      </c>
      <c r="V8341" s="773">
        <v>1</v>
      </c>
      <c r="W8341" s="773" t="s">
        <v>410</v>
      </c>
    </row>
    <row r="8342" spans="19:23">
      <c r="S8342" s="27">
        <v>45230</v>
      </c>
      <c r="T8342" s="773" t="s">
        <v>132</v>
      </c>
      <c r="U8342" s="773">
        <v>669</v>
      </c>
      <c r="V8342" s="773">
        <v>2897</v>
      </c>
      <c r="W8342" s="773" t="s">
        <v>390</v>
      </c>
    </row>
    <row r="8343" spans="19:23">
      <c r="S8343" s="27">
        <v>45230</v>
      </c>
      <c r="T8343" s="773" t="s">
        <v>132</v>
      </c>
      <c r="U8343" s="773">
        <v>528</v>
      </c>
      <c r="V8343" s="773">
        <v>53</v>
      </c>
      <c r="W8343" s="773" t="s">
        <v>410</v>
      </c>
    </row>
    <row r="8344" spans="19:23">
      <c r="S8344" s="27">
        <v>45230</v>
      </c>
      <c r="T8344" s="773" t="s">
        <v>132</v>
      </c>
      <c r="U8344" s="773">
        <v>164</v>
      </c>
      <c r="V8344" s="773">
        <v>11</v>
      </c>
      <c r="W8344" s="773" t="s">
        <v>410</v>
      </c>
    </row>
    <row r="8345" spans="19:23">
      <c r="S8345" s="27">
        <v>45230</v>
      </c>
      <c r="T8345" s="773" t="s">
        <v>132</v>
      </c>
      <c r="U8345" s="773">
        <v>823</v>
      </c>
      <c r="V8345" s="773">
        <v>16</v>
      </c>
      <c r="W8345" s="773" t="s">
        <v>410</v>
      </c>
    </row>
    <row r="8346" spans="19:23">
      <c r="S8346" s="27">
        <v>45230</v>
      </c>
      <c r="T8346" s="773" t="s">
        <v>132</v>
      </c>
      <c r="U8346" s="773">
        <v>120</v>
      </c>
      <c r="V8346" s="773">
        <v>1</v>
      </c>
      <c r="W8346" s="773" t="s">
        <v>410</v>
      </c>
    </row>
    <row r="8347" spans="19:23">
      <c r="S8347" s="27">
        <v>45230</v>
      </c>
      <c r="T8347" s="773" t="s">
        <v>132</v>
      </c>
      <c r="U8347" s="773">
        <v>265</v>
      </c>
      <c r="V8347" s="773">
        <v>16</v>
      </c>
      <c r="W8347" s="773" t="s">
        <v>410</v>
      </c>
    </row>
    <row r="8348" spans="19:23">
      <c r="S8348" s="27">
        <v>45230</v>
      </c>
      <c r="T8348" s="773" t="s">
        <v>132</v>
      </c>
      <c r="U8348" s="773">
        <v>802</v>
      </c>
      <c r="V8348" s="773">
        <v>65</v>
      </c>
      <c r="W8348" s="773" t="s">
        <v>410</v>
      </c>
    </row>
    <row r="8349" spans="19:23">
      <c r="S8349" s="27">
        <v>45230</v>
      </c>
      <c r="T8349" s="773" t="s">
        <v>132</v>
      </c>
      <c r="U8349" s="773">
        <v>727</v>
      </c>
      <c r="V8349" s="773">
        <v>3586</v>
      </c>
      <c r="W8349" s="773" t="s">
        <v>390</v>
      </c>
    </row>
    <row r="8350" spans="19:23">
      <c r="S8350" s="27">
        <v>45230</v>
      </c>
      <c r="T8350" s="773" t="s">
        <v>132</v>
      </c>
      <c r="U8350" s="773">
        <v>249</v>
      </c>
      <c r="V8350" s="773">
        <v>5</v>
      </c>
      <c r="W8350" s="773" t="s">
        <v>410</v>
      </c>
    </row>
    <row r="8351" spans="19:23">
      <c r="S8351" s="27">
        <v>45230</v>
      </c>
      <c r="T8351" s="773" t="s">
        <v>132</v>
      </c>
      <c r="U8351" s="773">
        <v>703</v>
      </c>
      <c r="V8351" s="773">
        <v>181</v>
      </c>
      <c r="W8351" s="773" t="s">
        <v>390</v>
      </c>
    </row>
    <row r="8352" spans="19:23">
      <c r="S8352" s="27">
        <v>45230</v>
      </c>
      <c r="T8352" s="773" t="s">
        <v>132</v>
      </c>
      <c r="U8352" s="773">
        <v>663</v>
      </c>
      <c r="V8352" s="773">
        <v>226</v>
      </c>
      <c r="W8352" s="773" t="s">
        <v>390</v>
      </c>
    </row>
    <row r="8353" spans="19:23">
      <c r="S8353" s="27">
        <v>45230</v>
      </c>
      <c r="T8353" s="773" t="s">
        <v>132</v>
      </c>
      <c r="U8353" s="773">
        <v>812</v>
      </c>
      <c r="V8353" s="773">
        <v>3385</v>
      </c>
      <c r="W8353" s="773" t="s">
        <v>390</v>
      </c>
    </row>
    <row r="8354" spans="19:23">
      <c r="S8354" s="27">
        <v>45230</v>
      </c>
      <c r="T8354" s="773" t="s">
        <v>132</v>
      </c>
      <c r="U8354" s="773">
        <v>728</v>
      </c>
      <c r="V8354" s="773">
        <v>1352</v>
      </c>
      <c r="W8354" s="773" t="s">
        <v>390</v>
      </c>
    </row>
    <row r="8355" spans="19:23">
      <c r="S8355" s="27">
        <v>45230</v>
      </c>
      <c r="T8355" s="773" t="s">
        <v>132</v>
      </c>
      <c r="U8355" s="773">
        <v>697</v>
      </c>
      <c r="V8355" s="773">
        <v>1412</v>
      </c>
      <c r="W8355" s="773" t="s">
        <v>390</v>
      </c>
    </row>
    <row r="8356" spans="19:23">
      <c r="S8356" s="27">
        <v>45230</v>
      </c>
      <c r="T8356" s="773" t="s">
        <v>132</v>
      </c>
      <c r="U8356" s="773">
        <v>94</v>
      </c>
      <c r="V8356" s="773">
        <v>585</v>
      </c>
      <c r="W8356" s="773" t="s">
        <v>390</v>
      </c>
    </row>
    <row r="8357" spans="19:23">
      <c r="S8357" s="27">
        <v>45230</v>
      </c>
      <c r="T8357" s="773" t="s">
        <v>132</v>
      </c>
      <c r="U8357" s="773">
        <v>735</v>
      </c>
      <c r="V8357" s="773">
        <v>2781</v>
      </c>
      <c r="W8357" s="773" t="s">
        <v>390</v>
      </c>
    </row>
    <row r="8358" spans="19:23">
      <c r="S8358" s="27">
        <v>45230</v>
      </c>
      <c r="T8358" s="773" t="s">
        <v>132</v>
      </c>
      <c r="U8358" s="773">
        <v>722</v>
      </c>
      <c r="V8358" s="773">
        <v>1</v>
      </c>
      <c r="W8358" s="773" t="s">
        <v>410</v>
      </c>
    </row>
    <row r="8359" spans="19:23">
      <c r="S8359" s="27">
        <v>45230</v>
      </c>
      <c r="T8359" s="773" t="s">
        <v>132</v>
      </c>
      <c r="U8359" s="773">
        <v>737</v>
      </c>
      <c r="V8359" s="773">
        <v>2154</v>
      </c>
      <c r="W8359" s="773" t="s">
        <v>390</v>
      </c>
    </row>
    <row r="8360" spans="19:23">
      <c r="S8360" s="27">
        <v>45230</v>
      </c>
      <c r="T8360" s="773" t="s">
        <v>132</v>
      </c>
      <c r="U8360" s="773">
        <v>257</v>
      </c>
      <c r="V8360" s="773">
        <v>2875</v>
      </c>
      <c r="W8360" s="773" t="s">
        <v>390</v>
      </c>
    </row>
    <row r="8361" spans="19:23">
      <c r="S8361" s="27">
        <v>45230</v>
      </c>
      <c r="T8361" s="773" t="s">
        <v>132</v>
      </c>
      <c r="U8361" s="773">
        <v>671</v>
      </c>
      <c r="V8361" s="773">
        <v>2058</v>
      </c>
      <c r="W8361" s="773" t="s">
        <v>390</v>
      </c>
    </row>
    <row r="8362" spans="19:23">
      <c r="S8362" s="27">
        <v>45230</v>
      </c>
      <c r="T8362" s="773" t="s">
        <v>132</v>
      </c>
      <c r="U8362" s="773">
        <v>89</v>
      </c>
      <c r="V8362" s="773">
        <v>1067</v>
      </c>
      <c r="W8362" s="773" t="s">
        <v>390</v>
      </c>
    </row>
    <row r="8363" spans="19:23">
      <c r="S8363" s="27">
        <v>45230</v>
      </c>
      <c r="T8363" s="773" t="s">
        <v>132</v>
      </c>
      <c r="U8363" s="773">
        <v>706</v>
      </c>
      <c r="V8363" s="773">
        <v>1227</v>
      </c>
      <c r="W8363" s="773" t="s">
        <v>390</v>
      </c>
    </row>
    <row r="8364" spans="19:23">
      <c r="S8364" s="27">
        <v>45230</v>
      </c>
      <c r="T8364" s="773" t="s">
        <v>132</v>
      </c>
      <c r="U8364" s="773">
        <v>43</v>
      </c>
      <c r="V8364" s="773">
        <v>1020</v>
      </c>
      <c r="W8364" s="773" t="s">
        <v>390</v>
      </c>
    </row>
    <row r="8365" spans="19:23">
      <c r="S8365" s="27">
        <v>45230</v>
      </c>
      <c r="T8365" s="773" t="s">
        <v>132</v>
      </c>
      <c r="U8365" s="773">
        <v>822</v>
      </c>
      <c r="V8365" s="773">
        <v>30</v>
      </c>
      <c r="W8365" s="773" t="s">
        <v>410</v>
      </c>
    </row>
    <row r="8366" spans="19:23">
      <c r="S8366" s="27">
        <v>45230</v>
      </c>
      <c r="T8366" s="773" t="s">
        <v>132</v>
      </c>
      <c r="U8366" s="773">
        <v>271</v>
      </c>
      <c r="V8366" s="773">
        <v>2982</v>
      </c>
      <c r="W8366" s="773" t="s">
        <v>390</v>
      </c>
    </row>
    <row r="8367" spans="19:23">
      <c r="S8367" s="27">
        <v>45230</v>
      </c>
      <c r="T8367" s="773" t="s">
        <v>132</v>
      </c>
      <c r="U8367" s="773">
        <v>160</v>
      </c>
      <c r="V8367" s="773">
        <v>2</v>
      </c>
      <c r="W8367" s="773" t="s">
        <v>410</v>
      </c>
    </row>
    <row r="8368" spans="19:23">
      <c r="S8368" s="27">
        <v>45230</v>
      </c>
      <c r="T8368" s="773" t="s">
        <v>132</v>
      </c>
      <c r="U8368" s="773">
        <v>804</v>
      </c>
      <c r="V8368" s="773">
        <v>2152</v>
      </c>
      <c r="W8368" s="773" t="s">
        <v>390</v>
      </c>
    </row>
    <row r="8369" spans="19:23">
      <c r="S8369" s="27">
        <v>45230</v>
      </c>
      <c r="T8369" s="773" t="s">
        <v>132</v>
      </c>
      <c r="U8369" s="773">
        <v>84</v>
      </c>
      <c r="V8369" s="773">
        <v>2467</v>
      </c>
      <c r="W8369" s="773" t="s">
        <v>390</v>
      </c>
    </row>
    <row r="8370" spans="19:23">
      <c r="S8370" s="27">
        <v>45230</v>
      </c>
      <c r="T8370" s="773" t="s">
        <v>132</v>
      </c>
      <c r="U8370" s="773">
        <v>704</v>
      </c>
      <c r="V8370" s="773">
        <v>3432</v>
      </c>
      <c r="W8370" s="773" t="s">
        <v>390</v>
      </c>
    </row>
    <row r="8371" spans="19:23">
      <c r="S8371" s="27">
        <v>45230</v>
      </c>
      <c r="T8371" s="773" t="s">
        <v>132</v>
      </c>
      <c r="U8371" s="773">
        <v>304</v>
      </c>
      <c r="V8371" s="773">
        <v>306</v>
      </c>
      <c r="W8371" s="773" t="s">
        <v>390</v>
      </c>
    </row>
    <row r="8372" spans="19:23">
      <c r="S8372" s="27">
        <v>45230</v>
      </c>
      <c r="T8372" s="773" t="s">
        <v>132</v>
      </c>
      <c r="U8372" s="773">
        <v>215</v>
      </c>
      <c r="V8372" s="773">
        <v>4</v>
      </c>
      <c r="W8372" s="773" t="s">
        <v>410</v>
      </c>
    </row>
    <row r="8373" spans="19:23">
      <c r="S8373" s="27">
        <v>45230</v>
      </c>
      <c r="T8373" s="773" t="s">
        <v>132</v>
      </c>
      <c r="U8373" s="773">
        <v>58</v>
      </c>
      <c r="V8373" s="773">
        <v>1</v>
      </c>
      <c r="W8373" s="773" t="s">
        <v>410</v>
      </c>
    </row>
    <row r="8374" spans="19:23">
      <c r="S8374" s="27">
        <v>45230</v>
      </c>
      <c r="T8374" s="773" t="s">
        <v>132</v>
      </c>
      <c r="U8374" s="773">
        <v>621</v>
      </c>
      <c r="V8374" s="773">
        <v>2589</v>
      </c>
      <c r="W8374" s="773" t="s">
        <v>390</v>
      </c>
    </row>
    <row r="8375" spans="19:23">
      <c r="S8375" s="27">
        <v>45230</v>
      </c>
      <c r="T8375" s="773" t="s">
        <v>132</v>
      </c>
      <c r="U8375" s="773">
        <v>720</v>
      </c>
      <c r="V8375" s="773">
        <v>2839</v>
      </c>
      <c r="W8375" s="773" t="s">
        <v>390</v>
      </c>
    </row>
    <row r="8376" spans="19:23">
      <c r="S8376" s="27">
        <v>45230</v>
      </c>
      <c r="T8376" s="773" t="s">
        <v>132</v>
      </c>
      <c r="U8376" s="773">
        <v>255</v>
      </c>
      <c r="V8376" s="773">
        <v>634</v>
      </c>
      <c r="W8376" s="773" t="s">
        <v>390</v>
      </c>
    </row>
    <row r="8377" spans="19:23">
      <c r="S8377" s="27">
        <v>45230</v>
      </c>
      <c r="T8377" s="773" t="s">
        <v>132</v>
      </c>
      <c r="U8377" s="773">
        <v>729</v>
      </c>
      <c r="V8377" s="773">
        <v>155</v>
      </c>
      <c r="W8377" s="773" t="s">
        <v>390</v>
      </c>
    </row>
    <row r="8378" spans="19:23">
      <c r="S8378" s="27">
        <v>45230</v>
      </c>
      <c r="T8378" s="773" t="s">
        <v>132</v>
      </c>
      <c r="U8378" s="773">
        <v>155</v>
      </c>
      <c r="V8378" s="773">
        <v>2492</v>
      </c>
      <c r="W8378" s="773" t="s">
        <v>390</v>
      </c>
    </row>
    <row r="8379" spans="19:23">
      <c r="S8379" s="27">
        <v>45230</v>
      </c>
      <c r="T8379" s="773" t="s">
        <v>132</v>
      </c>
      <c r="U8379" s="773">
        <v>235</v>
      </c>
      <c r="V8379" s="773">
        <v>3</v>
      </c>
      <c r="W8379" s="773" t="s">
        <v>410</v>
      </c>
    </row>
    <row r="8380" spans="19:23">
      <c r="S8380" s="27">
        <v>45230</v>
      </c>
      <c r="T8380" s="773" t="s">
        <v>132</v>
      </c>
      <c r="U8380" s="773">
        <v>701</v>
      </c>
      <c r="V8380" s="773">
        <v>2340</v>
      </c>
      <c r="W8380" s="773" t="s">
        <v>390</v>
      </c>
    </row>
    <row r="8381" spans="19:23">
      <c r="S8381" s="27">
        <v>45230</v>
      </c>
      <c r="T8381" s="773" t="s">
        <v>132</v>
      </c>
      <c r="U8381" s="773">
        <v>707</v>
      </c>
      <c r="V8381" s="773">
        <v>106</v>
      </c>
      <c r="W8381" s="773" t="s">
        <v>390</v>
      </c>
    </row>
    <row r="8382" spans="19:23">
      <c r="S8382" s="27">
        <v>45230</v>
      </c>
      <c r="T8382" s="773" t="s">
        <v>132</v>
      </c>
      <c r="U8382" s="773">
        <v>653</v>
      </c>
      <c r="V8382" s="773">
        <v>9</v>
      </c>
      <c r="W8382" s="773" t="s">
        <v>410</v>
      </c>
    </row>
    <row r="8383" spans="19:23">
      <c r="S8383" s="27">
        <v>45230</v>
      </c>
      <c r="T8383" s="773" t="s">
        <v>132</v>
      </c>
      <c r="U8383" s="773">
        <v>641</v>
      </c>
      <c r="V8383" s="773">
        <v>2119</v>
      </c>
      <c r="W8383" s="773" t="s">
        <v>390</v>
      </c>
    </row>
    <row r="8384" spans="19:23">
      <c r="S8384" s="27">
        <v>45230</v>
      </c>
      <c r="T8384" s="773" t="s">
        <v>132</v>
      </c>
      <c r="U8384" s="773">
        <v>46</v>
      </c>
      <c r="V8384" s="773">
        <v>1</v>
      </c>
      <c r="W8384" s="773" t="s">
        <v>410</v>
      </c>
    </row>
    <row r="8385" spans="19:23">
      <c r="S8385" s="27">
        <v>45230</v>
      </c>
      <c r="T8385" s="773" t="s">
        <v>132</v>
      </c>
      <c r="U8385" s="773">
        <v>666</v>
      </c>
      <c r="V8385" s="773">
        <v>1719</v>
      </c>
      <c r="W8385" s="773" t="s">
        <v>390</v>
      </c>
    </row>
    <row r="8386" spans="19:23">
      <c r="S8386" s="27">
        <v>45230</v>
      </c>
      <c r="T8386" s="773" t="s">
        <v>132</v>
      </c>
      <c r="U8386" s="773">
        <v>325</v>
      </c>
      <c r="V8386" s="773">
        <v>2209</v>
      </c>
      <c r="W8386" s="773" t="s">
        <v>390</v>
      </c>
    </row>
    <row r="8387" spans="19:23">
      <c r="S8387" s="27">
        <v>45230</v>
      </c>
      <c r="T8387" s="773" t="s">
        <v>132</v>
      </c>
      <c r="U8387" s="773">
        <v>124</v>
      </c>
      <c r="V8387" s="773">
        <v>1</v>
      </c>
      <c r="W8387" s="773" t="s">
        <v>410</v>
      </c>
    </row>
    <row r="8388" spans="19:23">
      <c r="S8388" s="27">
        <v>45230</v>
      </c>
      <c r="T8388" s="773" t="s">
        <v>132</v>
      </c>
      <c r="U8388" s="773">
        <v>316</v>
      </c>
      <c r="V8388" s="773">
        <v>8</v>
      </c>
      <c r="W8388" s="773" t="s">
        <v>410</v>
      </c>
    </row>
    <row r="8389" spans="19:23">
      <c r="S8389" s="27">
        <v>45230</v>
      </c>
      <c r="T8389" s="773" t="s">
        <v>132</v>
      </c>
      <c r="U8389" s="773">
        <v>69</v>
      </c>
      <c r="V8389" s="773">
        <v>1</v>
      </c>
      <c r="W8389" s="773" t="s">
        <v>410</v>
      </c>
    </row>
    <row r="8390" spans="19:23">
      <c r="S8390" s="27">
        <v>45230</v>
      </c>
      <c r="T8390" s="773" t="s">
        <v>132</v>
      </c>
      <c r="U8390" s="773">
        <v>66</v>
      </c>
      <c r="V8390" s="773">
        <v>1</v>
      </c>
      <c r="W8390" s="773" t="s">
        <v>410</v>
      </c>
    </row>
    <row r="8391" spans="19:23">
      <c r="S8391" s="27">
        <v>45230</v>
      </c>
      <c r="T8391" s="773" t="s">
        <v>132</v>
      </c>
      <c r="U8391" s="773">
        <v>736</v>
      </c>
      <c r="V8391" s="773">
        <v>3679</v>
      </c>
      <c r="W8391" s="773" t="s">
        <v>390</v>
      </c>
    </row>
    <row r="8392" spans="19:23">
      <c r="S8392" s="27">
        <v>45260</v>
      </c>
      <c r="T8392" s="773" t="s">
        <v>132</v>
      </c>
      <c r="U8392" s="773">
        <v>103</v>
      </c>
      <c r="V8392" s="773">
        <v>1743</v>
      </c>
      <c r="W8392" s="773" t="s">
        <v>390</v>
      </c>
    </row>
    <row r="8393" spans="19:23">
      <c r="S8393" s="27">
        <v>45260</v>
      </c>
      <c r="T8393" s="773" t="s">
        <v>132</v>
      </c>
      <c r="U8393" s="773">
        <v>823</v>
      </c>
      <c r="V8393" s="773">
        <v>25</v>
      </c>
      <c r="W8393" s="773" t="s">
        <v>410</v>
      </c>
    </row>
    <row r="8394" spans="19:23">
      <c r="S8394" s="27">
        <v>45260</v>
      </c>
      <c r="T8394" s="773" t="s">
        <v>132</v>
      </c>
      <c r="U8394" s="773">
        <v>652</v>
      </c>
      <c r="V8394" s="773">
        <v>83</v>
      </c>
      <c r="W8394" s="773" t="s">
        <v>410</v>
      </c>
    </row>
    <row r="8395" spans="19:23">
      <c r="S8395" s="27">
        <v>45260</v>
      </c>
      <c r="T8395" s="773" t="s">
        <v>132</v>
      </c>
      <c r="U8395" s="773">
        <v>700</v>
      </c>
      <c r="V8395" s="773">
        <v>2821</v>
      </c>
      <c r="W8395" s="773" t="s">
        <v>390</v>
      </c>
    </row>
    <row r="8396" spans="19:23">
      <c r="S8396" s="27">
        <v>45260</v>
      </c>
      <c r="T8396" s="773" t="s">
        <v>132</v>
      </c>
      <c r="U8396" s="773">
        <v>56</v>
      </c>
      <c r="V8396" s="773">
        <v>9</v>
      </c>
      <c r="W8396" s="773" t="s">
        <v>410</v>
      </c>
    </row>
    <row r="8397" spans="19:23">
      <c r="S8397" s="27">
        <v>45260</v>
      </c>
      <c r="T8397" s="773" t="s">
        <v>132</v>
      </c>
      <c r="U8397" s="773">
        <v>41</v>
      </c>
      <c r="V8397" s="773">
        <v>1</v>
      </c>
      <c r="W8397" s="773" t="s">
        <v>410</v>
      </c>
    </row>
    <row r="8398" spans="19:23">
      <c r="S8398" s="27">
        <v>45260</v>
      </c>
      <c r="T8398" s="773" t="s">
        <v>132</v>
      </c>
      <c r="U8398" s="773">
        <v>124</v>
      </c>
      <c r="V8398" s="773">
        <v>1</v>
      </c>
      <c r="W8398" s="773" t="s">
        <v>410</v>
      </c>
    </row>
    <row r="8399" spans="19:23">
      <c r="S8399" s="27">
        <v>45260</v>
      </c>
      <c r="T8399" s="773" t="s">
        <v>132</v>
      </c>
      <c r="U8399" s="773">
        <v>805</v>
      </c>
      <c r="V8399" s="773">
        <v>49</v>
      </c>
      <c r="W8399" s="773" t="s">
        <v>410</v>
      </c>
    </row>
    <row r="8400" spans="19:23">
      <c r="S8400" s="27">
        <v>45260</v>
      </c>
      <c r="T8400" s="773" t="s">
        <v>132</v>
      </c>
      <c r="U8400" s="773">
        <v>697</v>
      </c>
      <c r="V8400" s="773">
        <v>1417</v>
      </c>
      <c r="W8400" s="773" t="s">
        <v>390</v>
      </c>
    </row>
    <row r="8401" spans="19:23">
      <c r="S8401" s="27">
        <v>45260</v>
      </c>
      <c r="T8401" s="773" t="s">
        <v>132</v>
      </c>
      <c r="U8401" s="773">
        <v>621</v>
      </c>
      <c r="V8401" s="773">
        <v>2611</v>
      </c>
      <c r="W8401" s="773" t="s">
        <v>390</v>
      </c>
    </row>
    <row r="8402" spans="19:23">
      <c r="S8402" s="27">
        <v>45260</v>
      </c>
      <c r="T8402" s="773" t="s">
        <v>132</v>
      </c>
      <c r="U8402" s="773">
        <v>173</v>
      </c>
      <c r="V8402" s="773">
        <v>5</v>
      </c>
      <c r="W8402" s="773" t="s">
        <v>410</v>
      </c>
    </row>
    <row r="8403" spans="19:23">
      <c r="S8403" s="27">
        <v>45260</v>
      </c>
      <c r="T8403" s="773" t="s">
        <v>132</v>
      </c>
      <c r="U8403" s="773">
        <v>648</v>
      </c>
      <c r="V8403" s="773">
        <v>1</v>
      </c>
      <c r="W8403" s="773" t="s">
        <v>410</v>
      </c>
    </row>
    <row r="8404" spans="19:23">
      <c r="S8404" s="27">
        <v>45260</v>
      </c>
      <c r="T8404" s="773" t="s">
        <v>132</v>
      </c>
      <c r="U8404" s="773">
        <v>737</v>
      </c>
      <c r="V8404" s="773">
        <v>2164</v>
      </c>
      <c r="W8404" s="773" t="s">
        <v>390</v>
      </c>
    </row>
    <row r="8405" spans="19:23">
      <c r="S8405" s="27">
        <v>45260</v>
      </c>
      <c r="T8405" s="773" t="s">
        <v>132</v>
      </c>
      <c r="U8405" s="773">
        <v>687</v>
      </c>
      <c r="V8405" s="773">
        <v>3008</v>
      </c>
      <c r="W8405" s="773" t="s">
        <v>390</v>
      </c>
    </row>
    <row r="8406" spans="19:23">
      <c r="S8406" s="27">
        <v>45260</v>
      </c>
      <c r="T8406" s="773" t="s">
        <v>132</v>
      </c>
      <c r="U8406" s="773">
        <v>724</v>
      </c>
      <c r="V8406" s="773">
        <v>2528</v>
      </c>
      <c r="W8406" s="773" t="s">
        <v>390</v>
      </c>
    </row>
    <row r="8407" spans="19:23">
      <c r="S8407" s="27">
        <v>45260</v>
      </c>
      <c r="T8407" s="773" t="s">
        <v>132</v>
      </c>
      <c r="U8407" s="773">
        <v>93</v>
      </c>
      <c r="V8407" s="773">
        <v>1027</v>
      </c>
      <c r="W8407" s="773" t="s">
        <v>390</v>
      </c>
    </row>
    <row r="8408" spans="19:23">
      <c r="S8408" s="27">
        <v>45260</v>
      </c>
      <c r="T8408" s="773" t="s">
        <v>132</v>
      </c>
      <c r="U8408" s="773">
        <v>13</v>
      </c>
      <c r="V8408" s="773">
        <v>2524</v>
      </c>
      <c r="W8408" s="773" t="s">
        <v>390</v>
      </c>
    </row>
    <row r="8409" spans="19:23">
      <c r="S8409" s="27">
        <v>45260</v>
      </c>
      <c r="T8409" s="773" t="s">
        <v>132</v>
      </c>
      <c r="U8409" s="773">
        <v>94</v>
      </c>
      <c r="V8409" s="773">
        <v>598</v>
      </c>
      <c r="W8409" s="773" t="s">
        <v>390</v>
      </c>
    </row>
    <row r="8410" spans="19:23">
      <c r="S8410" s="27">
        <v>45260</v>
      </c>
      <c r="T8410" s="773" t="s">
        <v>132</v>
      </c>
      <c r="U8410" s="773">
        <v>662</v>
      </c>
      <c r="V8410" s="773">
        <v>329</v>
      </c>
      <c r="W8410" s="773" t="s">
        <v>390</v>
      </c>
    </row>
    <row r="8411" spans="19:23">
      <c r="S8411" s="27">
        <v>45260</v>
      </c>
      <c r="T8411" s="773" t="s">
        <v>132</v>
      </c>
      <c r="U8411" s="773">
        <v>188</v>
      </c>
      <c r="V8411" s="773">
        <v>860</v>
      </c>
      <c r="W8411" s="773" t="s">
        <v>390</v>
      </c>
    </row>
    <row r="8412" spans="19:23">
      <c r="S8412" s="27">
        <v>45260</v>
      </c>
      <c r="T8412" s="773" t="s">
        <v>132</v>
      </c>
      <c r="U8412" s="773">
        <v>650</v>
      </c>
      <c r="V8412" s="773">
        <v>19</v>
      </c>
      <c r="W8412" s="773" t="s">
        <v>410</v>
      </c>
    </row>
    <row r="8413" spans="19:23">
      <c r="S8413" s="27">
        <v>45260</v>
      </c>
      <c r="T8413" s="773" t="s">
        <v>132</v>
      </c>
      <c r="U8413" s="773">
        <v>246</v>
      </c>
      <c r="V8413" s="773">
        <v>8</v>
      </c>
      <c r="W8413" s="773" t="s">
        <v>410</v>
      </c>
    </row>
    <row r="8414" spans="19:23">
      <c r="S8414" s="27">
        <v>45260</v>
      </c>
      <c r="T8414" s="773" t="s">
        <v>132</v>
      </c>
      <c r="U8414" s="773">
        <v>664</v>
      </c>
      <c r="V8414" s="773">
        <v>3450</v>
      </c>
      <c r="W8414" s="773" t="s">
        <v>390</v>
      </c>
    </row>
    <row r="8415" spans="19:23">
      <c r="S8415" s="27">
        <v>45260</v>
      </c>
      <c r="T8415" s="773" t="s">
        <v>132</v>
      </c>
      <c r="U8415" s="773">
        <v>252</v>
      </c>
      <c r="V8415" s="773">
        <v>2</v>
      </c>
      <c r="W8415" s="773" t="s">
        <v>410</v>
      </c>
    </row>
    <row r="8416" spans="19:23">
      <c r="S8416" s="27">
        <v>45260</v>
      </c>
      <c r="T8416" s="773" t="s">
        <v>132</v>
      </c>
      <c r="U8416" s="773">
        <v>296</v>
      </c>
      <c r="V8416" s="773">
        <v>2400</v>
      </c>
      <c r="W8416" s="773" t="s">
        <v>390</v>
      </c>
    </row>
    <row r="8417" spans="19:23">
      <c r="S8417" s="27">
        <v>45260</v>
      </c>
      <c r="T8417" s="773" t="s">
        <v>132</v>
      </c>
      <c r="U8417" s="773">
        <v>87</v>
      </c>
      <c r="V8417" s="773">
        <v>2</v>
      </c>
      <c r="W8417" s="773" t="s">
        <v>410</v>
      </c>
    </row>
    <row r="8418" spans="19:23">
      <c r="S8418" s="27">
        <v>45260</v>
      </c>
      <c r="T8418" s="773" t="s">
        <v>132</v>
      </c>
      <c r="U8418" s="773">
        <v>311</v>
      </c>
      <c r="V8418" s="773">
        <v>2495</v>
      </c>
      <c r="W8418" s="773" t="s">
        <v>390</v>
      </c>
    </row>
    <row r="8419" spans="19:23">
      <c r="S8419" s="27">
        <v>45260</v>
      </c>
      <c r="T8419" s="773" t="s">
        <v>132</v>
      </c>
      <c r="U8419" s="773">
        <v>716</v>
      </c>
      <c r="V8419" s="773">
        <v>288</v>
      </c>
      <c r="W8419" s="773" t="s">
        <v>390</v>
      </c>
    </row>
    <row r="8420" spans="19:23">
      <c r="S8420" s="27">
        <v>45260</v>
      </c>
      <c r="T8420" s="773" t="s">
        <v>132</v>
      </c>
      <c r="U8420" s="773">
        <v>315</v>
      </c>
      <c r="V8420" s="773">
        <v>2018</v>
      </c>
      <c r="W8420" s="773" t="s">
        <v>390</v>
      </c>
    </row>
    <row r="8421" spans="19:23">
      <c r="S8421" s="27">
        <v>45260</v>
      </c>
      <c r="T8421" s="773" t="s">
        <v>132</v>
      </c>
      <c r="U8421" s="773">
        <v>732</v>
      </c>
      <c r="V8421" s="773">
        <v>3507</v>
      </c>
      <c r="W8421" s="773" t="s">
        <v>390</v>
      </c>
    </row>
    <row r="8422" spans="19:23">
      <c r="S8422" s="27">
        <v>45260</v>
      </c>
      <c r="T8422" s="773" t="s">
        <v>132</v>
      </c>
      <c r="U8422" s="773">
        <v>132</v>
      </c>
      <c r="V8422" s="773">
        <v>2811</v>
      </c>
      <c r="W8422" s="773" t="s">
        <v>390</v>
      </c>
    </row>
    <row r="8423" spans="19:23">
      <c r="S8423" s="27">
        <v>45260</v>
      </c>
      <c r="T8423" s="773" t="s">
        <v>132</v>
      </c>
      <c r="U8423" s="773">
        <v>667</v>
      </c>
      <c r="V8423" s="773">
        <v>2</v>
      </c>
      <c r="W8423" s="773" t="s">
        <v>410</v>
      </c>
    </row>
    <row r="8424" spans="19:23">
      <c r="S8424" s="27">
        <v>45260</v>
      </c>
      <c r="T8424" s="773" t="s">
        <v>132</v>
      </c>
      <c r="U8424" s="773">
        <v>52</v>
      </c>
      <c r="V8424" s="773">
        <v>6</v>
      </c>
      <c r="W8424" s="773" t="s">
        <v>410</v>
      </c>
    </row>
    <row r="8425" spans="19:23">
      <c r="S8425" s="27">
        <v>45260</v>
      </c>
      <c r="T8425" s="773" t="s">
        <v>132</v>
      </c>
      <c r="U8425" s="773">
        <v>216</v>
      </c>
      <c r="V8425" s="773">
        <v>2602</v>
      </c>
      <c r="W8425" s="773" t="s">
        <v>390</v>
      </c>
    </row>
    <row r="8426" spans="19:23">
      <c r="S8426" s="27">
        <v>45260</v>
      </c>
      <c r="T8426" s="773" t="s">
        <v>132</v>
      </c>
      <c r="U8426" s="773">
        <v>69</v>
      </c>
      <c r="V8426" s="773">
        <v>1</v>
      </c>
      <c r="W8426" s="773" t="s">
        <v>410</v>
      </c>
    </row>
    <row r="8427" spans="19:23">
      <c r="S8427" s="27">
        <v>45260</v>
      </c>
      <c r="T8427" s="773" t="s">
        <v>132</v>
      </c>
      <c r="U8427" s="773">
        <v>846</v>
      </c>
      <c r="V8427" s="773">
        <v>19</v>
      </c>
      <c r="W8427" s="773" t="s">
        <v>410</v>
      </c>
    </row>
    <row r="8428" spans="19:23">
      <c r="S8428" s="27">
        <v>45260</v>
      </c>
      <c r="T8428" s="773" t="s">
        <v>132</v>
      </c>
      <c r="U8428" s="773">
        <v>325</v>
      </c>
      <c r="V8428" s="773">
        <v>2228</v>
      </c>
      <c r="W8428" s="773" t="s">
        <v>390</v>
      </c>
    </row>
    <row r="8429" spans="19:23">
      <c r="S8429" s="27">
        <v>45260</v>
      </c>
      <c r="T8429" s="773" t="s">
        <v>132</v>
      </c>
      <c r="U8429" s="773">
        <v>735</v>
      </c>
      <c r="V8429" s="773">
        <v>2823</v>
      </c>
      <c r="W8429" s="773" t="s">
        <v>390</v>
      </c>
    </row>
    <row r="8430" spans="19:23">
      <c r="S8430" s="27">
        <v>45260</v>
      </c>
      <c r="T8430" s="773" t="s">
        <v>132</v>
      </c>
      <c r="U8430" s="773">
        <v>171</v>
      </c>
      <c r="V8430" s="773">
        <v>60</v>
      </c>
      <c r="W8430" s="773" t="s">
        <v>410</v>
      </c>
    </row>
    <row r="8431" spans="19:23">
      <c r="S8431" s="27">
        <v>45260</v>
      </c>
      <c r="T8431" s="773" t="s">
        <v>132</v>
      </c>
      <c r="U8431" s="773">
        <v>693</v>
      </c>
      <c r="V8431" s="773">
        <v>1</v>
      </c>
      <c r="W8431" s="773" t="s">
        <v>410</v>
      </c>
    </row>
    <row r="8432" spans="19:23">
      <c r="S8432" s="27">
        <v>45260</v>
      </c>
      <c r="T8432" s="773" t="s">
        <v>132</v>
      </c>
      <c r="U8432" s="773">
        <v>799</v>
      </c>
      <c r="V8432" s="773">
        <v>112</v>
      </c>
      <c r="W8432" s="773" t="s">
        <v>390</v>
      </c>
    </row>
    <row r="8433" spans="19:23">
      <c r="S8433" s="27">
        <v>45260</v>
      </c>
      <c r="T8433" s="773" t="s">
        <v>132</v>
      </c>
      <c r="U8433" s="773">
        <v>728</v>
      </c>
      <c r="V8433" s="773">
        <v>1358</v>
      </c>
      <c r="W8433" s="773" t="s">
        <v>390</v>
      </c>
    </row>
    <row r="8434" spans="19:23">
      <c r="S8434" s="27">
        <v>45260</v>
      </c>
      <c r="T8434" s="773" t="s">
        <v>132</v>
      </c>
      <c r="U8434" s="773">
        <v>740</v>
      </c>
      <c r="V8434" s="773">
        <v>754</v>
      </c>
      <c r="W8434" s="773" t="s">
        <v>390</v>
      </c>
    </row>
    <row r="8435" spans="19:23">
      <c r="S8435" s="27">
        <v>45260</v>
      </c>
      <c r="T8435" s="773" t="s">
        <v>132</v>
      </c>
      <c r="U8435" s="773">
        <v>295</v>
      </c>
      <c r="V8435" s="773">
        <v>2</v>
      </c>
      <c r="W8435" s="773" t="s">
        <v>410</v>
      </c>
    </row>
    <row r="8436" spans="19:23">
      <c r="S8436" s="27">
        <v>45260</v>
      </c>
      <c r="T8436" s="773" t="s">
        <v>132</v>
      </c>
      <c r="U8436" s="773">
        <v>803</v>
      </c>
      <c r="V8436" s="773">
        <v>112</v>
      </c>
      <c r="W8436" s="773" t="s">
        <v>390</v>
      </c>
    </row>
    <row r="8437" spans="19:23">
      <c r="S8437" s="27">
        <v>45260</v>
      </c>
      <c r="T8437" s="773" t="s">
        <v>132</v>
      </c>
      <c r="U8437" s="773">
        <v>812</v>
      </c>
      <c r="V8437" s="773">
        <v>3384</v>
      </c>
      <c r="W8437" s="773" t="s">
        <v>390</v>
      </c>
    </row>
    <row r="8438" spans="19:23">
      <c r="S8438" s="27">
        <v>45260</v>
      </c>
      <c r="T8438" s="773" t="s">
        <v>132</v>
      </c>
      <c r="U8438" s="773">
        <v>718</v>
      </c>
      <c r="V8438" s="773">
        <v>1646</v>
      </c>
      <c r="W8438" s="773" t="s">
        <v>390</v>
      </c>
    </row>
    <row r="8439" spans="19:23">
      <c r="S8439" s="27">
        <v>45260</v>
      </c>
      <c r="T8439" s="773" t="s">
        <v>132</v>
      </c>
      <c r="U8439" s="773">
        <v>222</v>
      </c>
      <c r="V8439" s="773">
        <v>5</v>
      </c>
      <c r="W8439" s="773" t="s">
        <v>410</v>
      </c>
    </row>
    <row r="8440" spans="19:23">
      <c r="S8440" s="27">
        <v>45260</v>
      </c>
      <c r="T8440" s="773" t="s">
        <v>132</v>
      </c>
      <c r="U8440" s="773">
        <v>53</v>
      </c>
      <c r="V8440" s="773">
        <v>4</v>
      </c>
      <c r="W8440" s="773" t="s">
        <v>410</v>
      </c>
    </row>
    <row r="8441" spans="19:23">
      <c r="S8441" s="27">
        <v>45260</v>
      </c>
      <c r="T8441" s="773" t="s">
        <v>132</v>
      </c>
      <c r="U8441" s="773">
        <v>133</v>
      </c>
      <c r="V8441" s="773">
        <v>3</v>
      </c>
      <c r="W8441" s="773" t="s">
        <v>410</v>
      </c>
    </row>
    <row r="8442" spans="19:23">
      <c r="S8442" s="27">
        <v>45260</v>
      </c>
      <c r="T8442" s="773" t="s">
        <v>132</v>
      </c>
      <c r="U8442" s="773">
        <v>265</v>
      </c>
      <c r="V8442" s="773">
        <v>17</v>
      </c>
      <c r="W8442" s="773" t="s">
        <v>410</v>
      </c>
    </row>
    <row r="8443" spans="19:23">
      <c r="S8443" s="27">
        <v>45260</v>
      </c>
      <c r="T8443" s="773" t="s">
        <v>132</v>
      </c>
      <c r="U8443" s="773">
        <v>227</v>
      </c>
      <c r="V8443" s="773">
        <v>1</v>
      </c>
      <c r="W8443" s="773" t="s">
        <v>410</v>
      </c>
    </row>
    <row r="8444" spans="19:23">
      <c r="S8444" s="27">
        <v>45260</v>
      </c>
      <c r="T8444" s="773" t="s">
        <v>132</v>
      </c>
      <c r="U8444" s="773">
        <v>318</v>
      </c>
      <c r="V8444" s="773">
        <v>2497</v>
      </c>
      <c r="W8444" s="773" t="s">
        <v>390</v>
      </c>
    </row>
    <row r="8445" spans="19:23">
      <c r="S8445" s="27">
        <v>45260</v>
      </c>
      <c r="T8445" s="773" t="s">
        <v>132</v>
      </c>
      <c r="U8445" s="773">
        <v>240</v>
      </c>
      <c r="V8445" s="773">
        <v>4</v>
      </c>
      <c r="W8445" s="773" t="s">
        <v>410</v>
      </c>
    </row>
    <row r="8446" spans="19:23">
      <c r="S8446" s="27">
        <v>45260</v>
      </c>
      <c r="T8446" s="773" t="s">
        <v>132</v>
      </c>
      <c r="U8446" s="773">
        <v>822</v>
      </c>
      <c r="V8446" s="773">
        <v>56</v>
      </c>
      <c r="W8446" s="773" t="s">
        <v>410</v>
      </c>
    </row>
    <row r="8447" spans="19:23">
      <c r="S8447" s="27">
        <v>45260</v>
      </c>
      <c r="T8447" s="773" t="s">
        <v>132</v>
      </c>
      <c r="U8447" s="773">
        <v>651</v>
      </c>
      <c r="V8447" s="773">
        <v>41</v>
      </c>
      <c r="W8447" s="773" t="s">
        <v>410</v>
      </c>
    </row>
    <row r="8448" spans="19:23">
      <c r="S8448" s="27">
        <v>45260</v>
      </c>
      <c r="T8448" s="773" t="s">
        <v>132</v>
      </c>
      <c r="U8448" s="773">
        <v>824</v>
      </c>
      <c r="V8448" s="773">
        <v>2</v>
      </c>
      <c r="W8448" s="773" t="s">
        <v>410</v>
      </c>
    </row>
    <row r="8449" spans="19:23">
      <c r="S8449" s="27">
        <v>45260</v>
      </c>
      <c r="T8449" s="773" t="s">
        <v>132</v>
      </c>
      <c r="U8449" s="773">
        <v>674</v>
      </c>
      <c r="V8449" s="773">
        <v>4048</v>
      </c>
      <c r="W8449" s="773" t="s">
        <v>390</v>
      </c>
    </row>
    <row r="8450" spans="19:23">
      <c r="S8450" s="27">
        <v>45260</v>
      </c>
      <c r="T8450" s="773" t="s">
        <v>132</v>
      </c>
      <c r="U8450" s="773">
        <v>802</v>
      </c>
      <c r="V8450" s="773">
        <v>66</v>
      </c>
      <c r="W8450" s="773" t="s">
        <v>410</v>
      </c>
    </row>
    <row r="8451" spans="19:23">
      <c r="S8451" s="27">
        <v>45260</v>
      </c>
      <c r="T8451" s="773" t="s">
        <v>132</v>
      </c>
      <c r="U8451" s="773">
        <v>797</v>
      </c>
      <c r="V8451" s="773">
        <v>3168</v>
      </c>
      <c r="W8451" s="773" t="s">
        <v>390</v>
      </c>
    </row>
    <row r="8452" spans="19:23">
      <c r="S8452" s="27">
        <v>45260</v>
      </c>
      <c r="T8452" s="773" t="s">
        <v>132</v>
      </c>
      <c r="U8452" s="773">
        <v>726</v>
      </c>
      <c r="V8452" s="773">
        <v>1442</v>
      </c>
      <c r="W8452" s="773" t="s">
        <v>390</v>
      </c>
    </row>
    <row r="8453" spans="19:23">
      <c r="S8453" s="27">
        <v>45260</v>
      </c>
      <c r="T8453" s="773" t="s">
        <v>132</v>
      </c>
      <c r="U8453" s="773">
        <v>290</v>
      </c>
      <c r="V8453" s="773">
        <v>500</v>
      </c>
      <c r="W8453" s="773" t="s">
        <v>390</v>
      </c>
    </row>
    <row r="8454" spans="19:23">
      <c r="S8454" s="27">
        <v>45260</v>
      </c>
      <c r="T8454" s="773" t="s">
        <v>132</v>
      </c>
      <c r="U8454" s="773">
        <v>326</v>
      </c>
      <c r="V8454" s="773">
        <v>2783</v>
      </c>
      <c r="W8454" s="773" t="s">
        <v>390</v>
      </c>
    </row>
    <row r="8455" spans="19:23">
      <c r="S8455" s="27">
        <v>45260</v>
      </c>
      <c r="T8455" s="773" t="s">
        <v>132</v>
      </c>
      <c r="U8455" s="773">
        <v>109</v>
      </c>
      <c r="V8455" s="773">
        <v>6</v>
      </c>
      <c r="W8455" s="773" t="s">
        <v>410</v>
      </c>
    </row>
    <row r="8456" spans="19:23">
      <c r="S8456" s="27">
        <v>45260</v>
      </c>
      <c r="T8456" s="773" t="s">
        <v>132</v>
      </c>
      <c r="U8456" s="773">
        <v>817</v>
      </c>
      <c r="V8456" s="773">
        <v>2405</v>
      </c>
      <c r="W8456" s="773" t="s">
        <v>390</v>
      </c>
    </row>
    <row r="8457" spans="19:23">
      <c r="S8457" s="27">
        <v>45260</v>
      </c>
      <c r="T8457" s="773" t="s">
        <v>132</v>
      </c>
      <c r="U8457" s="773">
        <v>35</v>
      </c>
      <c r="V8457" s="773">
        <v>870</v>
      </c>
      <c r="W8457" s="773" t="s">
        <v>390</v>
      </c>
    </row>
    <row r="8458" spans="19:23">
      <c r="S8458" s="27">
        <v>45260</v>
      </c>
      <c r="T8458" s="773" t="s">
        <v>132</v>
      </c>
      <c r="U8458" s="773">
        <v>748</v>
      </c>
      <c r="V8458" s="773">
        <v>806</v>
      </c>
      <c r="W8458" s="773" t="s">
        <v>390</v>
      </c>
    </row>
    <row r="8459" spans="19:23">
      <c r="S8459" s="27">
        <v>45260</v>
      </c>
      <c r="T8459" s="773" t="s">
        <v>132</v>
      </c>
      <c r="U8459" s="773">
        <v>793</v>
      </c>
      <c r="V8459" s="773">
        <v>236</v>
      </c>
      <c r="W8459" s="773" t="s">
        <v>390</v>
      </c>
    </row>
    <row r="8460" spans="19:23">
      <c r="S8460" s="27">
        <v>45260</v>
      </c>
      <c r="T8460" s="773" t="s">
        <v>132</v>
      </c>
      <c r="U8460" s="773">
        <v>233</v>
      </c>
      <c r="V8460" s="773">
        <v>2022</v>
      </c>
      <c r="W8460" s="773" t="s">
        <v>390</v>
      </c>
    </row>
    <row r="8461" spans="19:23">
      <c r="S8461" s="27">
        <v>45260</v>
      </c>
      <c r="T8461" s="773" t="s">
        <v>132</v>
      </c>
      <c r="U8461" s="773">
        <v>653</v>
      </c>
      <c r="V8461" s="773">
        <v>10</v>
      </c>
      <c r="W8461" s="773" t="s">
        <v>410</v>
      </c>
    </row>
    <row r="8462" spans="19:23">
      <c r="S8462" s="27">
        <v>45260</v>
      </c>
      <c r="T8462" s="773" t="s">
        <v>132</v>
      </c>
      <c r="U8462" s="773">
        <v>58</v>
      </c>
      <c r="V8462" s="773">
        <v>1</v>
      </c>
      <c r="W8462" s="773" t="s">
        <v>410</v>
      </c>
    </row>
    <row r="8463" spans="19:23">
      <c r="S8463" s="27">
        <v>45260</v>
      </c>
      <c r="T8463" s="773" t="s">
        <v>132</v>
      </c>
      <c r="U8463" s="773">
        <v>249</v>
      </c>
      <c r="V8463" s="773">
        <v>5</v>
      </c>
      <c r="W8463" s="773" t="s">
        <v>410</v>
      </c>
    </row>
    <row r="8464" spans="19:23">
      <c r="S8464" s="27">
        <v>45260</v>
      </c>
      <c r="T8464" s="773" t="s">
        <v>132</v>
      </c>
      <c r="U8464" s="773">
        <v>116</v>
      </c>
      <c r="V8464" s="773">
        <v>2</v>
      </c>
      <c r="W8464" s="773" t="s">
        <v>410</v>
      </c>
    </row>
    <row r="8465" spans="19:23">
      <c r="S8465" s="27">
        <v>45260</v>
      </c>
      <c r="T8465" s="773" t="s">
        <v>132</v>
      </c>
      <c r="U8465" s="773">
        <v>701</v>
      </c>
      <c r="V8465" s="773">
        <v>2353</v>
      </c>
      <c r="W8465" s="773" t="s">
        <v>390</v>
      </c>
    </row>
    <row r="8466" spans="19:23">
      <c r="S8466" s="27">
        <v>45260</v>
      </c>
      <c r="T8466" s="773" t="s">
        <v>132</v>
      </c>
      <c r="U8466" s="773">
        <v>92</v>
      </c>
      <c r="V8466" s="773">
        <v>7</v>
      </c>
      <c r="W8466" s="773" t="s">
        <v>410</v>
      </c>
    </row>
    <row r="8467" spans="19:23">
      <c r="S8467" s="27">
        <v>45260</v>
      </c>
      <c r="T8467" s="773" t="s">
        <v>132</v>
      </c>
      <c r="U8467" s="773">
        <v>528</v>
      </c>
      <c r="V8467" s="773">
        <v>47</v>
      </c>
      <c r="W8467" s="773" t="s">
        <v>410</v>
      </c>
    </row>
    <row r="8468" spans="19:23">
      <c r="S8468" s="27">
        <v>45260</v>
      </c>
      <c r="T8468" s="773" t="s">
        <v>132</v>
      </c>
      <c r="U8468" s="773">
        <v>672</v>
      </c>
      <c r="V8468" s="773">
        <v>2391</v>
      </c>
      <c r="W8468" s="773" t="s">
        <v>390</v>
      </c>
    </row>
    <row r="8469" spans="19:23">
      <c r="S8469" s="27">
        <v>45260</v>
      </c>
      <c r="T8469" s="773" t="s">
        <v>132</v>
      </c>
      <c r="U8469" s="773">
        <v>110</v>
      </c>
      <c r="V8469" s="773">
        <v>4</v>
      </c>
      <c r="W8469" s="773" t="s">
        <v>410</v>
      </c>
    </row>
    <row r="8470" spans="19:23">
      <c r="S8470" s="27">
        <v>45260</v>
      </c>
      <c r="T8470" s="773" t="s">
        <v>132</v>
      </c>
      <c r="U8470" s="773">
        <v>247</v>
      </c>
      <c r="V8470" s="773">
        <v>2336</v>
      </c>
      <c r="W8470" s="773" t="s">
        <v>390</v>
      </c>
    </row>
    <row r="8471" spans="19:23">
      <c r="S8471" s="27">
        <v>45260</v>
      </c>
      <c r="T8471" s="773" t="s">
        <v>132</v>
      </c>
      <c r="U8471" s="773">
        <v>11</v>
      </c>
      <c r="V8471" s="773">
        <v>26</v>
      </c>
      <c r="W8471" s="773" t="s">
        <v>410</v>
      </c>
    </row>
    <row r="8472" spans="19:23">
      <c r="S8472" s="27">
        <v>45260</v>
      </c>
      <c r="T8472" s="773" t="s">
        <v>132</v>
      </c>
      <c r="U8472" s="773">
        <v>322</v>
      </c>
      <c r="V8472" s="773">
        <v>2511</v>
      </c>
      <c r="W8472" s="773" t="s">
        <v>390</v>
      </c>
    </row>
    <row r="8473" spans="19:23">
      <c r="S8473" s="27">
        <v>45260</v>
      </c>
      <c r="T8473" s="773" t="s">
        <v>132</v>
      </c>
      <c r="U8473" s="773">
        <v>316</v>
      </c>
      <c r="V8473" s="773">
        <v>9</v>
      </c>
      <c r="W8473" s="773" t="s">
        <v>410</v>
      </c>
    </row>
    <row r="8474" spans="19:23">
      <c r="S8474" s="27">
        <v>45260</v>
      </c>
      <c r="T8474" s="773" t="s">
        <v>132</v>
      </c>
      <c r="U8474" s="773">
        <v>791</v>
      </c>
      <c r="V8474" s="773">
        <v>3135</v>
      </c>
      <c r="W8474" s="773" t="s">
        <v>390</v>
      </c>
    </row>
    <row r="8475" spans="19:23">
      <c r="S8475" s="27">
        <v>45260</v>
      </c>
      <c r="T8475" s="773" t="s">
        <v>132</v>
      </c>
      <c r="U8475" s="773">
        <v>81</v>
      </c>
      <c r="V8475" s="773">
        <v>6</v>
      </c>
      <c r="W8475" s="773" t="s">
        <v>410</v>
      </c>
    </row>
    <row r="8476" spans="19:23">
      <c r="S8476" s="27">
        <v>45260</v>
      </c>
      <c r="T8476" s="773" t="s">
        <v>132</v>
      </c>
      <c r="U8476" s="773">
        <v>213</v>
      </c>
      <c r="V8476" s="773">
        <v>1</v>
      </c>
      <c r="W8476" s="773" t="s">
        <v>410</v>
      </c>
    </row>
    <row r="8477" spans="19:23">
      <c r="S8477" s="27">
        <v>45260</v>
      </c>
      <c r="T8477" s="773" t="s">
        <v>132</v>
      </c>
      <c r="U8477" s="773">
        <v>141</v>
      </c>
      <c r="V8477" s="773">
        <v>1</v>
      </c>
      <c r="W8477" s="773" t="s">
        <v>410</v>
      </c>
    </row>
    <row r="8478" spans="19:23">
      <c r="S8478" s="27">
        <v>45260</v>
      </c>
      <c r="T8478" s="773" t="s">
        <v>132</v>
      </c>
      <c r="U8478" s="773">
        <v>319</v>
      </c>
      <c r="V8478" s="773">
        <v>3377</v>
      </c>
      <c r="W8478" s="773" t="s">
        <v>390</v>
      </c>
    </row>
    <row r="8479" spans="19:23">
      <c r="S8479" s="27">
        <v>45260</v>
      </c>
      <c r="T8479" s="773" t="s">
        <v>132</v>
      </c>
      <c r="U8479" s="773">
        <v>77</v>
      </c>
      <c r="V8479" s="773">
        <v>3650</v>
      </c>
      <c r="W8479" s="773" t="s">
        <v>390</v>
      </c>
    </row>
    <row r="8480" spans="19:23">
      <c r="S8480" s="27">
        <v>45260</v>
      </c>
      <c r="T8480" s="773" t="s">
        <v>132</v>
      </c>
      <c r="U8480" s="773">
        <v>46</v>
      </c>
      <c r="V8480" s="773">
        <v>1</v>
      </c>
      <c r="W8480" s="773" t="s">
        <v>410</v>
      </c>
    </row>
    <row r="8481" spans="19:23">
      <c r="S8481" s="27">
        <v>45260</v>
      </c>
      <c r="T8481" s="773" t="s">
        <v>132</v>
      </c>
      <c r="U8481" s="773">
        <v>48</v>
      </c>
      <c r="V8481" s="773">
        <v>173</v>
      </c>
      <c r="W8481" s="773" t="s">
        <v>390</v>
      </c>
    </row>
    <row r="8482" spans="19:23">
      <c r="S8482" s="27">
        <v>45260</v>
      </c>
      <c r="T8482" s="773" t="s">
        <v>132</v>
      </c>
      <c r="U8482" s="773">
        <v>89</v>
      </c>
      <c r="V8482" s="773">
        <v>1066</v>
      </c>
      <c r="W8482" s="773" t="s">
        <v>390</v>
      </c>
    </row>
    <row r="8483" spans="19:23">
      <c r="S8483" s="27">
        <v>45260</v>
      </c>
      <c r="T8483" s="773" t="s">
        <v>132</v>
      </c>
      <c r="U8483" s="773">
        <v>779</v>
      </c>
      <c r="V8483" s="773">
        <v>2160</v>
      </c>
      <c r="W8483" s="773" t="s">
        <v>390</v>
      </c>
    </row>
    <row r="8484" spans="19:23">
      <c r="S8484" s="27">
        <v>45260</v>
      </c>
      <c r="T8484" s="773" t="s">
        <v>132</v>
      </c>
      <c r="U8484" s="773">
        <v>342</v>
      </c>
      <c r="V8484" s="773">
        <v>2704</v>
      </c>
      <c r="W8484" s="773" t="s">
        <v>390</v>
      </c>
    </row>
    <row r="8485" spans="19:23">
      <c r="S8485" s="27">
        <v>45260</v>
      </c>
      <c r="T8485" s="773" t="s">
        <v>132</v>
      </c>
      <c r="U8485" s="773">
        <v>809</v>
      </c>
      <c r="V8485" s="773">
        <v>129</v>
      </c>
      <c r="W8485" s="773" t="s">
        <v>390</v>
      </c>
    </row>
    <row r="8486" spans="19:23">
      <c r="S8486" s="27">
        <v>45260</v>
      </c>
      <c r="T8486" s="773" t="s">
        <v>132</v>
      </c>
      <c r="U8486" s="773">
        <v>40</v>
      </c>
      <c r="V8486" s="773">
        <v>2</v>
      </c>
      <c r="W8486" s="773" t="s">
        <v>410</v>
      </c>
    </row>
    <row r="8487" spans="19:23">
      <c r="S8487" s="27">
        <v>45260</v>
      </c>
      <c r="T8487" s="773" t="s">
        <v>132</v>
      </c>
      <c r="U8487" s="773">
        <v>140</v>
      </c>
      <c r="V8487" s="773">
        <v>779</v>
      </c>
      <c r="W8487" s="773" t="s">
        <v>390</v>
      </c>
    </row>
    <row r="8488" spans="19:23">
      <c r="S8488" s="27">
        <v>45260</v>
      </c>
      <c r="T8488" s="773" t="s">
        <v>132</v>
      </c>
      <c r="U8488" s="773">
        <v>696</v>
      </c>
      <c r="V8488" s="773">
        <v>117</v>
      </c>
      <c r="W8488" s="773" t="s">
        <v>390</v>
      </c>
    </row>
    <row r="8489" spans="19:23">
      <c r="S8489" s="27">
        <v>45260</v>
      </c>
      <c r="T8489" s="773" t="s">
        <v>132</v>
      </c>
      <c r="U8489" s="773">
        <v>169</v>
      </c>
      <c r="V8489" s="773">
        <v>3090</v>
      </c>
      <c r="W8489" s="773" t="s">
        <v>390</v>
      </c>
    </row>
    <row r="8490" spans="19:23">
      <c r="S8490" s="27">
        <v>45260</v>
      </c>
      <c r="T8490" s="773" t="s">
        <v>132</v>
      </c>
      <c r="U8490" s="773">
        <v>741</v>
      </c>
      <c r="V8490" s="773">
        <v>2881</v>
      </c>
      <c r="W8490" s="773" t="s">
        <v>390</v>
      </c>
    </row>
    <row r="8491" spans="19:23">
      <c r="S8491" s="27">
        <v>45260</v>
      </c>
      <c r="T8491" s="773" t="s">
        <v>132</v>
      </c>
      <c r="U8491" s="773">
        <v>654</v>
      </c>
      <c r="V8491" s="773">
        <v>902</v>
      </c>
      <c r="W8491" s="773" t="s">
        <v>390</v>
      </c>
    </row>
    <row r="8492" spans="19:23">
      <c r="S8492" s="27">
        <v>45260</v>
      </c>
      <c r="T8492" s="773" t="s">
        <v>132</v>
      </c>
      <c r="U8492" s="773">
        <v>725</v>
      </c>
      <c r="V8492" s="773">
        <v>536</v>
      </c>
      <c r="W8492" s="773" t="s">
        <v>390</v>
      </c>
    </row>
    <row r="8493" spans="19:23">
      <c r="S8493" s="27">
        <v>45260</v>
      </c>
      <c r="T8493" s="773" t="s">
        <v>132</v>
      </c>
      <c r="U8493" s="773">
        <v>790</v>
      </c>
      <c r="V8493" s="773">
        <v>788</v>
      </c>
      <c r="W8493" s="773" t="s">
        <v>390</v>
      </c>
    </row>
    <row r="8494" spans="19:23">
      <c r="S8494" s="27">
        <v>45260</v>
      </c>
      <c r="T8494" s="773" t="s">
        <v>132</v>
      </c>
      <c r="U8494" s="773">
        <v>694</v>
      </c>
      <c r="V8494" s="773">
        <v>1</v>
      </c>
      <c r="W8494" s="773" t="s">
        <v>410</v>
      </c>
    </row>
    <row r="8495" spans="19:23">
      <c r="S8495" s="27">
        <v>45260</v>
      </c>
      <c r="T8495" s="773" t="s">
        <v>132</v>
      </c>
      <c r="U8495" s="773">
        <v>71</v>
      </c>
      <c r="V8495" s="773">
        <v>1</v>
      </c>
      <c r="W8495" s="773" t="s">
        <v>410</v>
      </c>
    </row>
    <row r="8496" spans="19:23">
      <c r="S8496" s="27">
        <v>45260</v>
      </c>
      <c r="T8496" s="773" t="s">
        <v>132</v>
      </c>
      <c r="U8496" s="773">
        <v>828</v>
      </c>
      <c r="V8496" s="773">
        <v>3270</v>
      </c>
      <c r="W8496" s="773" t="s">
        <v>390</v>
      </c>
    </row>
    <row r="8497" spans="19:23">
      <c r="S8497" s="27">
        <v>45260</v>
      </c>
      <c r="T8497" s="773" t="s">
        <v>132</v>
      </c>
      <c r="U8497" s="773">
        <v>666</v>
      </c>
      <c r="V8497" s="773">
        <v>1721</v>
      </c>
      <c r="W8497" s="773" t="s">
        <v>390</v>
      </c>
    </row>
    <row r="8498" spans="19:23">
      <c r="S8498" s="27">
        <v>45260</v>
      </c>
      <c r="T8498" s="773" t="s">
        <v>132</v>
      </c>
      <c r="U8498" s="773">
        <v>706</v>
      </c>
      <c r="V8498" s="773">
        <v>1224</v>
      </c>
      <c r="W8498" s="773" t="s">
        <v>390</v>
      </c>
    </row>
    <row r="8499" spans="19:23">
      <c r="S8499" s="27">
        <v>45260</v>
      </c>
      <c r="T8499" s="773" t="s">
        <v>132</v>
      </c>
      <c r="U8499" s="773">
        <v>291</v>
      </c>
      <c r="V8499" s="773">
        <v>2</v>
      </c>
      <c r="W8499" s="773" t="s">
        <v>410</v>
      </c>
    </row>
    <row r="8500" spans="19:23">
      <c r="S8500" s="27">
        <v>45260</v>
      </c>
      <c r="T8500" s="773" t="s">
        <v>132</v>
      </c>
      <c r="U8500" s="773">
        <v>120</v>
      </c>
      <c r="V8500" s="773">
        <v>1</v>
      </c>
      <c r="W8500" s="773" t="s">
        <v>410</v>
      </c>
    </row>
    <row r="8501" spans="19:23">
      <c r="S8501" s="27">
        <v>45260</v>
      </c>
      <c r="T8501" s="773" t="s">
        <v>132</v>
      </c>
      <c r="U8501" s="773">
        <v>832</v>
      </c>
      <c r="V8501" s="773">
        <v>32</v>
      </c>
      <c r="W8501" s="773" t="s">
        <v>410</v>
      </c>
    </row>
    <row r="8502" spans="19:23">
      <c r="S8502" s="27">
        <v>45260</v>
      </c>
      <c r="T8502" s="773" t="s">
        <v>132</v>
      </c>
      <c r="U8502" s="773">
        <v>239</v>
      </c>
      <c r="V8502" s="773">
        <v>5</v>
      </c>
      <c r="W8502" s="773" t="s">
        <v>410</v>
      </c>
    </row>
    <row r="8503" spans="19:23">
      <c r="S8503" s="27">
        <v>45260</v>
      </c>
      <c r="T8503" s="773" t="s">
        <v>132</v>
      </c>
      <c r="U8503" s="773">
        <v>283</v>
      </c>
      <c r="V8503" s="773">
        <v>1</v>
      </c>
      <c r="W8503" s="773" t="s">
        <v>410</v>
      </c>
    </row>
    <row r="8504" spans="19:23">
      <c r="S8504" s="27">
        <v>45260</v>
      </c>
      <c r="T8504" s="773" t="s">
        <v>132</v>
      </c>
      <c r="U8504" s="773">
        <v>665</v>
      </c>
      <c r="V8504" s="773">
        <v>17</v>
      </c>
      <c r="W8504" s="773" t="s">
        <v>410</v>
      </c>
    </row>
    <row r="8505" spans="19:23">
      <c r="S8505" s="27">
        <v>45260</v>
      </c>
      <c r="T8505" s="773" t="s">
        <v>132</v>
      </c>
      <c r="U8505" s="773">
        <v>720</v>
      </c>
      <c r="V8505" s="773">
        <v>2865</v>
      </c>
      <c r="W8505" s="773" t="s">
        <v>390</v>
      </c>
    </row>
    <row r="8506" spans="19:23">
      <c r="S8506" s="27">
        <v>45260</v>
      </c>
      <c r="T8506" s="773" t="s">
        <v>132</v>
      </c>
      <c r="U8506" s="773">
        <v>801</v>
      </c>
      <c r="V8506" s="773">
        <v>452</v>
      </c>
      <c r="W8506" s="773" t="s">
        <v>390</v>
      </c>
    </row>
    <row r="8507" spans="19:23">
      <c r="S8507" s="27">
        <v>45260</v>
      </c>
      <c r="T8507" s="773" t="s">
        <v>132</v>
      </c>
      <c r="U8507" s="773">
        <v>161</v>
      </c>
      <c r="V8507" s="773">
        <v>1</v>
      </c>
      <c r="W8507" s="773" t="s">
        <v>410</v>
      </c>
    </row>
    <row r="8508" spans="19:23">
      <c r="S8508" s="27">
        <v>45260</v>
      </c>
      <c r="T8508" s="773" t="s">
        <v>132</v>
      </c>
      <c r="U8508" s="773">
        <v>119</v>
      </c>
      <c r="V8508" s="773">
        <v>1</v>
      </c>
      <c r="W8508" s="773" t="s">
        <v>410</v>
      </c>
    </row>
    <row r="8509" spans="19:23">
      <c r="S8509" s="27">
        <v>45260</v>
      </c>
      <c r="T8509" s="773" t="s">
        <v>132</v>
      </c>
      <c r="U8509" s="773">
        <v>826</v>
      </c>
      <c r="V8509" s="773">
        <v>52</v>
      </c>
      <c r="W8509" s="773" t="s">
        <v>410</v>
      </c>
    </row>
    <row r="8510" spans="19:23">
      <c r="S8510" s="27">
        <v>45260</v>
      </c>
      <c r="T8510" s="773" t="s">
        <v>132</v>
      </c>
      <c r="U8510" s="773">
        <v>251</v>
      </c>
      <c r="V8510" s="773">
        <v>1895</v>
      </c>
      <c r="W8510" s="773" t="s">
        <v>390</v>
      </c>
    </row>
    <row r="8511" spans="19:23">
      <c r="S8511" s="27">
        <v>45260</v>
      </c>
      <c r="T8511" s="773" t="s">
        <v>132</v>
      </c>
      <c r="U8511" s="773">
        <v>194</v>
      </c>
      <c r="V8511" s="773">
        <v>241</v>
      </c>
      <c r="W8511" s="773" t="s">
        <v>390</v>
      </c>
    </row>
    <row r="8512" spans="19:23">
      <c r="S8512" s="27">
        <v>45260</v>
      </c>
      <c r="T8512" s="773" t="s">
        <v>132</v>
      </c>
      <c r="U8512" s="773">
        <v>157</v>
      </c>
      <c r="V8512" s="773">
        <v>7</v>
      </c>
      <c r="W8512" s="773" t="s">
        <v>410</v>
      </c>
    </row>
    <row r="8513" spans="19:23">
      <c r="S8513" s="27">
        <v>45260</v>
      </c>
      <c r="T8513" s="773" t="s">
        <v>132</v>
      </c>
      <c r="U8513" s="773">
        <v>678</v>
      </c>
      <c r="V8513" s="773">
        <v>157</v>
      </c>
      <c r="W8513" s="773" t="s">
        <v>390</v>
      </c>
    </row>
    <row r="8514" spans="19:23">
      <c r="S8514" s="27">
        <v>45260</v>
      </c>
      <c r="T8514" s="773" t="s">
        <v>132</v>
      </c>
      <c r="U8514" s="773">
        <v>698</v>
      </c>
      <c r="V8514" s="773">
        <v>2679</v>
      </c>
      <c r="W8514" s="773" t="s">
        <v>390</v>
      </c>
    </row>
    <row r="8515" spans="19:23">
      <c r="S8515" s="27">
        <v>45260</v>
      </c>
      <c r="T8515" s="773" t="s">
        <v>132</v>
      </c>
      <c r="U8515" s="773">
        <v>736</v>
      </c>
      <c r="V8515" s="773">
        <v>3696</v>
      </c>
      <c r="W8515" s="773" t="s">
        <v>390</v>
      </c>
    </row>
    <row r="8516" spans="19:23">
      <c r="S8516" s="27">
        <v>45260</v>
      </c>
      <c r="T8516" s="773" t="s">
        <v>132</v>
      </c>
      <c r="U8516" s="773">
        <v>164</v>
      </c>
      <c r="V8516" s="773">
        <v>11</v>
      </c>
      <c r="W8516" s="773" t="s">
        <v>410</v>
      </c>
    </row>
    <row r="8517" spans="19:23">
      <c r="S8517" s="27">
        <v>45260</v>
      </c>
      <c r="T8517" s="773" t="s">
        <v>132</v>
      </c>
      <c r="U8517" s="773">
        <v>150</v>
      </c>
      <c r="V8517" s="773">
        <v>301</v>
      </c>
      <c r="W8517" s="773" t="s">
        <v>390</v>
      </c>
    </row>
    <row r="8518" spans="19:23">
      <c r="S8518" s="27">
        <v>45260</v>
      </c>
      <c r="T8518" s="773" t="s">
        <v>132</v>
      </c>
      <c r="U8518" s="773">
        <v>327</v>
      </c>
      <c r="V8518" s="773">
        <v>3</v>
      </c>
      <c r="W8518" s="773" t="s">
        <v>410</v>
      </c>
    </row>
    <row r="8519" spans="19:23">
      <c r="S8519" s="27">
        <v>45260</v>
      </c>
      <c r="T8519" s="773" t="s">
        <v>132</v>
      </c>
      <c r="U8519" s="773">
        <v>245</v>
      </c>
      <c r="V8519" s="773">
        <v>3103</v>
      </c>
      <c r="W8519" s="773" t="s">
        <v>390</v>
      </c>
    </row>
    <row r="8520" spans="19:23">
      <c r="S8520" s="27">
        <v>45260</v>
      </c>
      <c r="T8520" s="773" t="s">
        <v>132</v>
      </c>
      <c r="U8520" s="773">
        <v>658</v>
      </c>
      <c r="V8520" s="773">
        <v>5</v>
      </c>
      <c r="W8520" s="773" t="s">
        <v>410</v>
      </c>
    </row>
    <row r="8521" spans="19:23">
      <c r="S8521" s="27">
        <v>45260</v>
      </c>
      <c r="T8521" s="773" t="s">
        <v>132</v>
      </c>
      <c r="U8521" s="773">
        <v>257</v>
      </c>
      <c r="V8521" s="773">
        <v>2887</v>
      </c>
      <c r="W8521" s="773" t="s">
        <v>390</v>
      </c>
    </row>
    <row r="8522" spans="19:23">
      <c r="S8522" s="27">
        <v>45260</v>
      </c>
      <c r="T8522" s="773" t="s">
        <v>132</v>
      </c>
      <c r="U8522" s="773">
        <v>84</v>
      </c>
      <c r="V8522" s="773">
        <v>2484</v>
      </c>
      <c r="W8522" s="773" t="s">
        <v>390</v>
      </c>
    </row>
    <row r="8523" spans="19:23">
      <c r="S8523" s="27">
        <v>45260</v>
      </c>
      <c r="T8523" s="773" t="s">
        <v>132</v>
      </c>
      <c r="U8523" s="773">
        <v>703</v>
      </c>
      <c r="V8523" s="773">
        <v>187</v>
      </c>
      <c r="W8523" s="773" t="s">
        <v>390</v>
      </c>
    </row>
    <row r="8524" spans="19:23">
      <c r="S8524" s="27">
        <v>45260</v>
      </c>
      <c r="T8524" s="773" t="s">
        <v>132</v>
      </c>
      <c r="U8524" s="773">
        <v>702</v>
      </c>
      <c r="V8524" s="773">
        <v>1</v>
      </c>
      <c r="W8524" s="773" t="s">
        <v>410</v>
      </c>
    </row>
    <row r="8525" spans="19:23">
      <c r="S8525" s="27">
        <v>45260</v>
      </c>
      <c r="T8525" s="773" t="s">
        <v>132</v>
      </c>
      <c r="U8525" s="773">
        <v>262</v>
      </c>
      <c r="V8525" s="773">
        <v>29</v>
      </c>
      <c r="W8525" s="773" t="s">
        <v>410</v>
      </c>
    </row>
    <row r="8526" spans="19:23">
      <c r="S8526" s="27">
        <v>45260</v>
      </c>
      <c r="T8526" s="773" t="s">
        <v>132</v>
      </c>
      <c r="U8526" s="773">
        <v>79</v>
      </c>
      <c r="V8526" s="773">
        <v>3</v>
      </c>
      <c r="W8526" s="773" t="s">
        <v>410</v>
      </c>
    </row>
    <row r="8527" spans="19:23">
      <c r="S8527" s="27">
        <v>45260</v>
      </c>
      <c r="T8527" s="773" t="s">
        <v>132</v>
      </c>
      <c r="U8527" s="773">
        <v>235</v>
      </c>
      <c r="V8527" s="773">
        <v>4</v>
      </c>
      <c r="W8527" s="773" t="s">
        <v>410</v>
      </c>
    </row>
    <row r="8528" spans="19:23">
      <c r="S8528" s="27">
        <v>45260</v>
      </c>
      <c r="T8528" s="773" t="s">
        <v>132</v>
      </c>
      <c r="U8528" s="773">
        <v>297</v>
      </c>
      <c r="V8528" s="773">
        <v>1541</v>
      </c>
      <c r="W8528" s="773" t="s">
        <v>390</v>
      </c>
    </row>
    <row r="8529" spans="19:23">
      <c r="S8529" s="27">
        <v>45260</v>
      </c>
      <c r="T8529" s="773" t="s">
        <v>132</v>
      </c>
      <c r="U8529" s="773">
        <v>680</v>
      </c>
      <c r="V8529" s="773">
        <v>2985</v>
      </c>
      <c r="W8529" s="773" t="s">
        <v>390</v>
      </c>
    </row>
    <row r="8530" spans="19:23">
      <c r="S8530" s="27">
        <v>45260</v>
      </c>
      <c r="T8530" s="773" t="s">
        <v>132</v>
      </c>
      <c r="U8530" s="773">
        <v>73</v>
      </c>
      <c r="V8530" s="773">
        <v>1</v>
      </c>
      <c r="W8530" s="773" t="s">
        <v>410</v>
      </c>
    </row>
    <row r="8531" spans="19:23">
      <c r="S8531" s="27">
        <v>45260</v>
      </c>
      <c r="T8531" s="773" t="s">
        <v>132</v>
      </c>
      <c r="U8531" s="773">
        <v>804</v>
      </c>
      <c r="V8531" s="773">
        <v>2157</v>
      </c>
      <c r="W8531" s="773" t="s">
        <v>390</v>
      </c>
    </row>
    <row r="8532" spans="19:23">
      <c r="S8532" s="27">
        <v>45260</v>
      </c>
      <c r="T8532" s="773" t="s">
        <v>132</v>
      </c>
      <c r="U8532" s="773">
        <v>98</v>
      </c>
      <c r="V8532" s="773">
        <v>24</v>
      </c>
      <c r="W8532" s="773" t="s">
        <v>410</v>
      </c>
    </row>
    <row r="8533" spans="19:23">
      <c r="S8533" s="27">
        <v>45260</v>
      </c>
      <c r="T8533" s="773" t="s">
        <v>132</v>
      </c>
      <c r="U8533" s="773">
        <v>294</v>
      </c>
      <c r="V8533" s="773">
        <v>4</v>
      </c>
      <c r="W8533" s="773" t="s">
        <v>410</v>
      </c>
    </row>
    <row r="8534" spans="19:23">
      <c r="S8534" s="27">
        <v>45260</v>
      </c>
      <c r="T8534" s="773" t="s">
        <v>132</v>
      </c>
      <c r="U8534" s="773">
        <v>193</v>
      </c>
      <c r="V8534" s="773">
        <v>458</v>
      </c>
      <c r="W8534" s="773" t="s">
        <v>390</v>
      </c>
    </row>
    <row r="8535" spans="19:23">
      <c r="S8535" s="27">
        <v>45260</v>
      </c>
      <c r="T8535" s="773" t="s">
        <v>132</v>
      </c>
      <c r="U8535" s="773">
        <v>183</v>
      </c>
      <c r="V8535" s="773">
        <v>564</v>
      </c>
      <c r="W8535" s="773" t="s">
        <v>390</v>
      </c>
    </row>
    <row r="8536" spans="19:23">
      <c r="S8536" s="27">
        <v>45260</v>
      </c>
      <c r="T8536" s="773" t="s">
        <v>132</v>
      </c>
      <c r="U8536" s="773">
        <v>255</v>
      </c>
      <c r="V8536" s="773">
        <v>688</v>
      </c>
      <c r="W8536" s="773" t="s">
        <v>390</v>
      </c>
    </row>
    <row r="8537" spans="19:23">
      <c r="S8537" s="27">
        <v>45260</v>
      </c>
      <c r="T8537" s="773" t="s">
        <v>132</v>
      </c>
      <c r="U8537" s="773">
        <v>328</v>
      </c>
      <c r="V8537" s="773">
        <v>516</v>
      </c>
      <c r="W8537" s="773" t="s">
        <v>390</v>
      </c>
    </row>
    <row r="8538" spans="19:23">
      <c r="S8538" s="27">
        <v>45260</v>
      </c>
      <c r="T8538" s="773" t="s">
        <v>132</v>
      </c>
      <c r="U8538" s="773">
        <v>729</v>
      </c>
      <c r="V8538" s="773">
        <v>170</v>
      </c>
      <c r="W8538" s="773" t="s">
        <v>390</v>
      </c>
    </row>
    <row r="8539" spans="19:23">
      <c r="S8539" s="27">
        <v>45260</v>
      </c>
      <c r="T8539" s="773" t="s">
        <v>132</v>
      </c>
      <c r="U8539" s="773">
        <v>148</v>
      </c>
      <c r="V8539" s="773">
        <v>3</v>
      </c>
      <c r="W8539" s="773" t="s">
        <v>410</v>
      </c>
    </row>
    <row r="8540" spans="19:23">
      <c r="S8540" s="27">
        <v>45260</v>
      </c>
      <c r="T8540" s="773" t="s">
        <v>132</v>
      </c>
      <c r="U8540" s="773">
        <v>304</v>
      </c>
      <c r="V8540" s="773">
        <v>312</v>
      </c>
      <c r="W8540" s="773" t="s">
        <v>390</v>
      </c>
    </row>
    <row r="8541" spans="19:23">
      <c r="S8541" s="27">
        <v>45260</v>
      </c>
      <c r="T8541" s="773" t="s">
        <v>132</v>
      </c>
      <c r="U8541" s="773">
        <v>204</v>
      </c>
      <c r="V8541" s="773">
        <v>7</v>
      </c>
      <c r="W8541" s="773" t="s">
        <v>410</v>
      </c>
    </row>
    <row r="8542" spans="19:23">
      <c r="S8542" s="27">
        <v>45260</v>
      </c>
      <c r="T8542" s="773" t="s">
        <v>132</v>
      </c>
      <c r="U8542" s="773">
        <v>669</v>
      </c>
      <c r="V8542" s="773">
        <v>2903</v>
      </c>
      <c r="W8542" s="773" t="s">
        <v>390</v>
      </c>
    </row>
    <row r="8543" spans="19:23">
      <c r="S8543" s="27">
        <v>45260</v>
      </c>
      <c r="T8543" s="773" t="s">
        <v>132</v>
      </c>
      <c r="U8543" s="773">
        <v>727</v>
      </c>
      <c r="V8543" s="773">
        <v>3601</v>
      </c>
      <c r="W8543" s="773" t="s">
        <v>390</v>
      </c>
    </row>
    <row r="8544" spans="19:23">
      <c r="S8544" s="27">
        <v>45260</v>
      </c>
      <c r="T8544" s="773" t="s">
        <v>132</v>
      </c>
      <c r="U8544" s="773">
        <v>215</v>
      </c>
      <c r="V8544" s="773">
        <v>4</v>
      </c>
      <c r="W8544" s="773" t="s">
        <v>410</v>
      </c>
    </row>
    <row r="8545" spans="19:23">
      <c r="S8545" s="27">
        <v>45260</v>
      </c>
      <c r="T8545" s="773" t="s">
        <v>132</v>
      </c>
      <c r="U8545" s="773">
        <v>344</v>
      </c>
      <c r="V8545" s="773">
        <v>333</v>
      </c>
      <c r="W8545" s="773" t="s">
        <v>390</v>
      </c>
    </row>
    <row r="8546" spans="19:23">
      <c r="S8546" s="27">
        <v>45260</v>
      </c>
      <c r="T8546" s="773" t="s">
        <v>132</v>
      </c>
      <c r="U8546" s="773">
        <v>64</v>
      </c>
      <c r="V8546" s="773">
        <v>1</v>
      </c>
      <c r="W8546" s="773" t="s">
        <v>410</v>
      </c>
    </row>
    <row r="8547" spans="19:23">
      <c r="S8547" s="27">
        <v>45260</v>
      </c>
      <c r="T8547" s="773" t="s">
        <v>132</v>
      </c>
      <c r="U8547" s="773">
        <v>739</v>
      </c>
      <c r="V8547" s="773">
        <v>2202</v>
      </c>
      <c r="W8547" s="773" t="s">
        <v>390</v>
      </c>
    </row>
    <row r="8548" spans="19:23">
      <c r="S8548" s="27">
        <v>45260</v>
      </c>
      <c r="T8548" s="773" t="s">
        <v>132</v>
      </c>
      <c r="U8548" s="773">
        <v>271</v>
      </c>
      <c r="V8548" s="773">
        <v>2978</v>
      </c>
      <c r="W8548" s="773" t="s">
        <v>390</v>
      </c>
    </row>
    <row r="8549" spans="19:23">
      <c r="S8549" s="27">
        <v>45260</v>
      </c>
      <c r="T8549" s="773" t="s">
        <v>132</v>
      </c>
      <c r="U8549" s="773">
        <v>829</v>
      </c>
      <c r="V8549" s="773">
        <v>2892</v>
      </c>
      <c r="W8549" s="773" t="s">
        <v>390</v>
      </c>
    </row>
    <row r="8550" spans="19:23">
      <c r="S8550" s="27">
        <v>45260</v>
      </c>
      <c r="T8550" s="773" t="s">
        <v>132</v>
      </c>
      <c r="U8550" s="773">
        <v>312</v>
      </c>
      <c r="V8550" s="773">
        <v>2578</v>
      </c>
      <c r="W8550" s="773" t="s">
        <v>390</v>
      </c>
    </row>
    <row r="8551" spans="19:23">
      <c r="S8551" s="27">
        <v>45260</v>
      </c>
      <c r="T8551" s="773" t="s">
        <v>132</v>
      </c>
      <c r="U8551" s="773">
        <v>308</v>
      </c>
      <c r="V8551" s="773">
        <v>2330</v>
      </c>
      <c r="W8551" s="773" t="s">
        <v>390</v>
      </c>
    </row>
    <row r="8552" spans="19:23">
      <c r="S8552" s="27">
        <v>45260</v>
      </c>
      <c r="T8552" s="773" t="s">
        <v>132</v>
      </c>
      <c r="U8552" s="773">
        <v>738</v>
      </c>
      <c r="V8552" s="773">
        <v>92</v>
      </c>
      <c r="W8552" s="773" t="s">
        <v>410</v>
      </c>
    </row>
    <row r="8553" spans="19:23">
      <c r="S8553" s="27">
        <v>45260</v>
      </c>
      <c r="T8553" s="773" t="s">
        <v>132</v>
      </c>
      <c r="U8553" s="773">
        <v>819</v>
      </c>
      <c r="V8553" s="773">
        <v>2382</v>
      </c>
      <c r="W8553" s="773" t="s">
        <v>390</v>
      </c>
    </row>
    <row r="8554" spans="19:23">
      <c r="S8554" s="27">
        <v>45260</v>
      </c>
      <c r="T8554" s="773" t="s">
        <v>132</v>
      </c>
      <c r="U8554" s="773">
        <v>320</v>
      </c>
      <c r="V8554" s="773">
        <v>1674</v>
      </c>
      <c r="W8554" s="773" t="s">
        <v>390</v>
      </c>
    </row>
    <row r="8555" spans="19:23">
      <c r="S8555" s="27">
        <v>45260</v>
      </c>
      <c r="T8555" s="773" t="s">
        <v>132</v>
      </c>
      <c r="U8555" s="773">
        <v>676</v>
      </c>
      <c r="V8555" s="773">
        <v>4</v>
      </c>
      <c r="W8555" s="773" t="s">
        <v>410</v>
      </c>
    </row>
    <row r="8556" spans="19:23">
      <c r="S8556" s="27">
        <v>45260</v>
      </c>
      <c r="T8556" s="773" t="s">
        <v>132</v>
      </c>
      <c r="U8556" s="773">
        <v>220</v>
      </c>
      <c r="V8556" s="773">
        <v>125</v>
      </c>
      <c r="W8556" s="773" t="s">
        <v>390</v>
      </c>
    </row>
    <row r="8557" spans="19:23">
      <c r="S8557" s="27">
        <v>45260</v>
      </c>
      <c r="T8557" s="773" t="s">
        <v>132</v>
      </c>
      <c r="U8557" s="773">
        <v>66</v>
      </c>
      <c r="V8557" s="773">
        <v>1</v>
      </c>
      <c r="W8557" s="773" t="s">
        <v>410</v>
      </c>
    </row>
    <row r="8558" spans="19:23">
      <c r="S8558" s="27">
        <v>45260</v>
      </c>
      <c r="T8558" s="773" t="s">
        <v>132</v>
      </c>
      <c r="U8558" s="773">
        <v>159</v>
      </c>
      <c r="V8558" s="773">
        <v>9</v>
      </c>
      <c r="W8558" s="773" t="s">
        <v>410</v>
      </c>
    </row>
    <row r="8559" spans="19:23">
      <c r="S8559" s="27">
        <v>45260</v>
      </c>
      <c r="T8559" s="773" t="s">
        <v>132</v>
      </c>
      <c r="U8559" s="773">
        <v>691</v>
      </c>
      <c r="V8559" s="773">
        <v>2993</v>
      </c>
      <c r="W8559" s="773" t="s">
        <v>390</v>
      </c>
    </row>
    <row r="8560" spans="19:23">
      <c r="S8560" s="27">
        <v>45260</v>
      </c>
      <c r="T8560" s="773" t="s">
        <v>132</v>
      </c>
      <c r="U8560" s="773">
        <v>241</v>
      </c>
      <c r="V8560" s="773">
        <v>12</v>
      </c>
      <c r="W8560" s="773" t="s">
        <v>410</v>
      </c>
    </row>
    <row r="8561" spans="19:23">
      <c r="S8561" s="27">
        <v>45260</v>
      </c>
      <c r="T8561" s="773" t="s">
        <v>132</v>
      </c>
      <c r="U8561" s="773">
        <v>818</v>
      </c>
      <c r="V8561" s="773">
        <v>2</v>
      </c>
      <c r="W8561" s="773" t="s">
        <v>410</v>
      </c>
    </row>
    <row r="8562" spans="19:23">
      <c r="S8562" s="27">
        <v>45260</v>
      </c>
      <c r="T8562" s="773" t="s">
        <v>132</v>
      </c>
      <c r="U8562" s="773">
        <v>709</v>
      </c>
      <c r="V8562" s="773">
        <v>2566</v>
      </c>
      <c r="W8562" s="773" t="s">
        <v>390</v>
      </c>
    </row>
    <row r="8563" spans="19:23">
      <c r="S8563" s="27">
        <v>45260</v>
      </c>
      <c r="T8563" s="773" t="s">
        <v>132</v>
      </c>
      <c r="U8563" s="773">
        <v>299</v>
      </c>
      <c r="V8563" s="773">
        <v>1</v>
      </c>
      <c r="W8563" s="773" t="s">
        <v>410</v>
      </c>
    </row>
    <row r="8564" spans="19:23">
      <c r="S8564" s="27">
        <v>45260</v>
      </c>
      <c r="T8564" s="773" t="s">
        <v>132</v>
      </c>
      <c r="U8564" s="773">
        <v>27</v>
      </c>
      <c r="V8564" s="773">
        <v>1</v>
      </c>
      <c r="W8564" s="773" t="s">
        <v>410</v>
      </c>
    </row>
    <row r="8565" spans="19:23">
      <c r="S8565" s="27">
        <v>45260</v>
      </c>
      <c r="T8565" s="773" t="s">
        <v>132</v>
      </c>
      <c r="U8565" s="773">
        <v>704</v>
      </c>
      <c r="V8565" s="773">
        <v>3457</v>
      </c>
      <c r="W8565" s="773" t="s">
        <v>390</v>
      </c>
    </row>
    <row r="8566" spans="19:23">
      <c r="S8566" s="27">
        <v>45260</v>
      </c>
      <c r="T8566" s="773" t="s">
        <v>132</v>
      </c>
      <c r="U8566" s="773">
        <v>155</v>
      </c>
      <c r="V8566" s="773">
        <v>2484</v>
      </c>
      <c r="W8566" s="773" t="s">
        <v>390</v>
      </c>
    </row>
    <row r="8567" spans="19:23">
      <c r="S8567" s="27">
        <v>45260</v>
      </c>
      <c r="T8567" s="773" t="s">
        <v>132</v>
      </c>
      <c r="U8567" s="773">
        <v>218</v>
      </c>
      <c r="V8567" s="773">
        <v>302</v>
      </c>
      <c r="W8567" s="773" t="s">
        <v>390</v>
      </c>
    </row>
    <row r="8568" spans="19:23">
      <c r="S8568" s="27">
        <v>45260</v>
      </c>
      <c r="T8568" s="773" t="s">
        <v>132</v>
      </c>
      <c r="U8568" s="773">
        <v>139</v>
      </c>
      <c r="V8568" s="773">
        <v>2260</v>
      </c>
      <c r="W8568" s="773" t="s">
        <v>390</v>
      </c>
    </row>
    <row r="8569" spans="19:23">
      <c r="S8569" s="27">
        <v>45260</v>
      </c>
      <c r="T8569" s="773" t="s">
        <v>132</v>
      </c>
      <c r="U8569" s="773">
        <v>266</v>
      </c>
      <c r="V8569" s="773">
        <v>2370</v>
      </c>
      <c r="W8569" s="773" t="s">
        <v>390</v>
      </c>
    </row>
    <row r="8570" spans="19:23">
      <c r="S8570" s="27">
        <v>45260</v>
      </c>
      <c r="T8570" s="773" t="s">
        <v>132</v>
      </c>
      <c r="U8570" s="773">
        <v>96</v>
      </c>
      <c r="V8570" s="773">
        <v>2</v>
      </c>
      <c r="W8570" s="773" t="s">
        <v>410</v>
      </c>
    </row>
    <row r="8571" spans="19:23">
      <c r="S8571" s="27">
        <v>45260</v>
      </c>
      <c r="T8571" s="773" t="s">
        <v>132</v>
      </c>
      <c r="U8571" s="773">
        <v>231</v>
      </c>
      <c r="V8571" s="773">
        <v>10</v>
      </c>
      <c r="W8571" s="773" t="s">
        <v>410</v>
      </c>
    </row>
    <row r="8572" spans="19:23">
      <c r="S8572" s="27">
        <v>45260</v>
      </c>
      <c r="T8572" s="773" t="s">
        <v>132</v>
      </c>
      <c r="U8572" s="773">
        <v>670</v>
      </c>
      <c r="V8572" s="773">
        <v>2518</v>
      </c>
      <c r="W8572" s="773" t="s">
        <v>390</v>
      </c>
    </row>
    <row r="8573" spans="19:23">
      <c r="S8573" s="27">
        <v>45260</v>
      </c>
      <c r="T8573" s="773" t="s">
        <v>132</v>
      </c>
      <c r="U8573" s="773">
        <v>230</v>
      </c>
      <c r="V8573" s="773">
        <v>7</v>
      </c>
      <c r="W8573" s="773" t="s">
        <v>410</v>
      </c>
    </row>
    <row r="8574" spans="19:23">
      <c r="S8574" s="27">
        <v>45260</v>
      </c>
      <c r="T8574" s="773" t="s">
        <v>132</v>
      </c>
      <c r="U8574" s="773">
        <v>136</v>
      </c>
      <c r="V8574" s="773">
        <v>24</v>
      </c>
      <c r="W8574" s="773" t="s">
        <v>410</v>
      </c>
    </row>
    <row r="8575" spans="19:23">
      <c r="S8575" s="27">
        <v>45260</v>
      </c>
      <c r="T8575" s="773" t="s">
        <v>132</v>
      </c>
      <c r="U8575" s="773">
        <v>160</v>
      </c>
      <c r="V8575" s="773">
        <v>4</v>
      </c>
      <c r="W8575" s="773" t="s">
        <v>410</v>
      </c>
    </row>
    <row r="8576" spans="19:23">
      <c r="S8576" s="27">
        <v>45260</v>
      </c>
      <c r="T8576" s="773" t="s">
        <v>132</v>
      </c>
      <c r="U8576" s="773">
        <v>59</v>
      </c>
      <c r="V8576" s="773">
        <v>3</v>
      </c>
      <c r="W8576" s="773" t="s">
        <v>410</v>
      </c>
    </row>
    <row r="8577" spans="19:23">
      <c r="S8577" s="27">
        <v>45260</v>
      </c>
      <c r="T8577" s="773" t="s">
        <v>132</v>
      </c>
      <c r="U8577" s="773">
        <v>660</v>
      </c>
      <c r="V8577" s="773">
        <v>2</v>
      </c>
      <c r="W8577" s="773" t="s">
        <v>410</v>
      </c>
    </row>
    <row r="8578" spans="19:23">
      <c r="S8578" s="27">
        <v>45260</v>
      </c>
      <c r="T8578" s="773" t="s">
        <v>132</v>
      </c>
      <c r="U8578" s="773">
        <v>641</v>
      </c>
      <c r="V8578" s="773">
        <v>2161</v>
      </c>
      <c r="W8578" s="773" t="s">
        <v>390</v>
      </c>
    </row>
    <row r="8579" spans="19:23">
      <c r="S8579" s="27">
        <v>45260</v>
      </c>
      <c r="T8579" s="773" t="s">
        <v>132</v>
      </c>
      <c r="U8579" s="773">
        <v>645</v>
      </c>
      <c r="V8579" s="773">
        <v>1</v>
      </c>
      <c r="W8579" s="773" t="s">
        <v>410</v>
      </c>
    </row>
    <row r="8580" spans="19:23">
      <c r="S8580" s="27">
        <v>45260</v>
      </c>
      <c r="T8580" s="773" t="s">
        <v>132</v>
      </c>
      <c r="U8580" s="773">
        <v>2</v>
      </c>
      <c r="V8580" s="773">
        <v>1</v>
      </c>
      <c r="W8580" s="773" t="s">
        <v>410</v>
      </c>
    </row>
    <row r="8581" spans="19:23">
      <c r="S8581" s="27">
        <v>45260</v>
      </c>
      <c r="T8581" s="773" t="s">
        <v>132</v>
      </c>
      <c r="U8581" s="773">
        <v>329</v>
      </c>
      <c r="V8581" s="773">
        <v>3876</v>
      </c>
      <c r="W8581" s="773" t="s">
        <v>390</v>
      </c>
    </row>
    <row r="8582" spans="19:23">
      <c r="S8582" s="27">
        <v>45260</v>
      </c>
      <c r="T8582" s="773" t="s">
        <v>132</v>
      </c>
      <c r="U8582" s="773">
        <v>798</v>
      </c>
      <c r="V8582" s="773">
        <v>2878</v>
      </c>
      <c r="W8582" s="773" t="s">
        <v>390</v>
      </c>
    </row>
    <row r="8583" spans="19:23">
      <c r="S8583" s="27">
        <v>45260</v>
      </c>
      <c r="T8583" s="773" t="s">
        <v>132</v>
      </c>
      <c r="U8583" s="773">
        <v>0</v>
      </c>
      <c r="V8583" s="773">
        <v>38</v>
      </c>
      <c r="W8583" s="773" t="s">
        <v>410</v>
      </c>
    </row>
    <row r="8584" spans="19:23">
      <c r="S8584" s="27">
        <v>45260</v>
      </c>
      <c r="T8584" s="773" t="s">
        <v>132</v>
      </c>
      <c r="U8584" s="773">
        <v>158</v>
      </c>
      <c r="V8584" s="773">
        <v>174</v>
      </c>
      <c r="W8584" s="773" t="s">
        <v>390</v>
      </c>
    </row>
    <row r="8585" spans="19:23">
      <c r="S8585" s="27">
        <v>45260</v>
      </c>
      <c r="T8585" s="773" t="s">
        <v>132</v>
      </c>
      <c r="U8585" s="773">
        <v>317</v>
      </c>
      <c r="V8585" s="773">
        <v>3271</v>
      </c>
      <c r="W8585" s="773" t="s">
        <v>390</v>
      </c>
    </row>
    <row r="8586" spans="19:23">
      <c r="S8586" s="27">
        <v>45260</v>
      </c>
      <c r="T8586" s="773" t="s">
        <v>132</v>
      </c>
      <c r="U8586" s="773">
        <v>97</v>
      </c>
      <c r="V8586" s="773">
        <v>7</v>
      </c>
      <c r="W8586" s="773" t="s">
        <v>410</v>
      </c>
    </row>
    <row r="8587" spans="19:23">
      <c r="S8587" s="27">
        <v>45260</v>
      </c>
      <c r="T8587" s="773" t="s">
        <v>132</v>
      </c>
      <c r="U8587" s="773">
        <v>253</v>
      </c>
      <c r="V8587" s="773">
        <v>10</v>
      </c>
      <c r="W8587" s="773" t="s">
        <v>410</v>
      </c>
    </row>
    <row r="8588" spans="19:23">
      <c r="S8588" s="27">
        <v>45260</v>
      </c>
      <c r="T8588" s="773" t="s">
        <v>132</v>
      </c>
      <c r="U8588" s="773">
        <v>68</v>
      </c>
      <c r="V8588" s="773">
        <v>1125</v>
      </c>
      <c r="W8588" s="773" t="s">
        <v>390</v>
      </c>
    </row>
    <row r="8589" spans="19:23">
      <c r="S8589" s="27">
        <v>45260</v>
      </c>
      <c r="T8589" s="773" t="s">
        <v>132</v>
      </c>
      <c r="U8589" s="773">
        <v>305</v>
      </c>
      <c r="V8589" s="773">
        <v>4866</v>
      </c>
      <c r="W8589" s="773" t="s">
        <v>390</v>
      </c>
    </row>
    <row r="8590" spans="19:23">
      <c r="S8590" s="27">
        <v>45260</v>
      </c>
      <c r="T8590" s="773" t="s">
        <v>132</v>
      </c>
      <c r="U8590" s="773">
        <v>70</v>
      </c>
      <c r="V8590" s="773">
        <v>207</v>
      </c>
      <c r="W8590" s="773" t="s">
        <v>390</v>
      </c>
    </row>
    <row r="8591" spans="19:23">
      <c r="S8591" s="27">
        <v>45260</v>
      </c>
      <c r="T8591" s="773" t="s">
        <v>132</v>
      </c>
      <c r="U8591" s="773">
        <v>78</v>
      </c>
      <c r="V8591" s="773">
        <v>5</v>
      </c>
      <c r="W8591" s="773" t="s">
        <v>410</v>
      </c>
    </row>
    <row r="8592" spans="19:23">
      <c r="S8592" s="27">
        <v>45260</v>
      </c>
      <c r="T8592" s="773" t="s">
        <v>132</v>
      </c>
      <c r="U8592" s="773">
        <v>108</v>
      </c>
      <c r="V8592" s="773">
        <v>8</v>
      </c>
      <c r="W8592" s="773" t="s">
        <v>410</v>
      </c>
    </row>
    <row r="8593" spans="19:23">
      <c r="S8593" s="27">
        <v>45260</v>
      </c>
      <c r="T8593" s="773" t="s">
        <v>132</v>
      </c>
      <c r="U8593" s="773">
        <v>684</v>
      </c>
      <c r="V8593" s="773">
        <v>3003</v>
      </c>
      <c r="W8593" s="773" t="s">
        <v>390</v>
      </c>
    </row>
    <row r="8594" spans="19:23">
      <c r="S8594" s="27">
        <v>45260</v>
      </c>
      <c r="T8594" s="773" t="s">
        <v>132</v>
      </c>
      <c r="U8594" s="773">
        <v>292</v>
      </c>
      <c r="V8594" s="773">
        <v>4</v>
      </c>
      <c r="W8594" s="773" t="s">
        <v>410</v>
      </c>
    </row>
    <row r="8595" spans="19:23">
      <c r="S8595" s="27">
        <v>45260</v>
      </c>
      <c r="T8595" s="773" t="s">
        <v>132</v>
      </c>
      <c r="U8595" s="773">
        <v>200</v>
      </c>
      <c r="V8595" s="773">
        <v>7</v>
      </c>
      <c r="W8595" s="773" t="s">
        <v>410</v>
      </c>
    </row>
    <row r="8596" spans="19:23">
      <c r="S8596" s="27">
        <v>45260</v>
      </c>
      <c r="T8596" s="773" t="s">
        <v>132</v>
      </c>
      <c r="U8596" s="773">
        <v>671</v>
      </c>
      <c r="V8596" s="773">
        <v>2068</v>
      </c>
      <c r="W8596" s="773" t="s">
        <v>390</v>
      </c>
    </row>
    <row r="8597" spans="19:23">
      <c r="S8597" s="27">
        <v>45260</v>
      </c>
      <c r="T8597" s="773" t="s">
        <v>132</v>
      </c>
      <c r="U8597" s="773">
        <v>202</v>
      </c>
      <c r="V8597" s="773">
        <v>1</v>
      </c>
      <c r="W8597" s="773" t="s">
        <v>410</v>
      </c>
    </row>
    <row r="8598" spans="19:23">
      <c r="S8598" s="27">
        <v>45260</v>
      </c>
      <c r="T8598" s="773" t="s">
        <v>132</v>
      </c>
      <c r="U8598" s="773">
        <v>523</v>
      </c>
      <c r="V8598" s="773">
        <v>1</v>
      </c>
      <c r="W8598" s="773" t="s">
        <v>410</v>
      </c>
    </row>
    <row r="8599" spans="19:23">
      <c r="S8599" s="27">
        <v>45260</v>
      </c>
      <c r="T8599" s="773" t="s">
        <v>132</v>
      </c>
      <c r="U8599" s="773">
        <v>722</v>
      </c>
      <c r="V8599" s="773">
        <v>1</v>
      </c>
      <c r="W8599" s="773" t="s">
        <v>410</v>
      </c>
    </row>
    <row r="8600" spans="19:23">
      <c r="S8600" s="27">
        <v>45260</v>
      </c>
      <c r="T8600" s="773" t="s">
        <v>132</v>
      </c>
      <c r="U8600" s="773">
        <v>153</v>
      </c>
      <c r="V8600" s="773">
        <v>2263</v>
      </c>
      <c r="W8600" s="773" t="s">
        <v>390</v>
      </c>
    </row>
    <row r="8601" spans="19:23">
      <c r="S8601" s="27">
        <v>45260</v>
      </c>
      <c r="T8601" s="773" t="s">
        <v>132</v>
      </c>
      <c r="U8601" s="773">
        <v>43</v>
      </c>
      <c r="V8601" s="773">
        <v>1028</v>
      </c>
      <c r="W8601" s="773" t="s">
        <v>390</v>
      </c>
    </row>
    <row r="8602" spans="19:23">
      <c r="S8602" s="27">
        <v>45260</v>
      </c>
      <c r="T8602" s="773" t="s">
        <v>132</v>
      </c>
      <c r="U8602" s="773">
        <v>723</v>
      </c>
      <c r="V8602" s="773">
        <v>2276</v>
      </c>
      <c r="W8602" s="773" t="s">
        <v>390</v>
      </c>
    </row>
    <row r="8603" spans="19:23">
      <c r="S8603" s="27">
        <v>45260</v>
      </c>
      <c r="T8603" s="773" t="s">
        <v>132</v>
      </c>
      <c r="U8603" s="773">
        <v>324</v>
      </c>
      <c r="V8603" s="773">
        <v>3161</v>
      </c>
      <c r="W8603" s="773" t="s">
        <v>390</v>
      </c>
    </row>
    <row r="8604" spans="19:23">
      <c r="S8604" s="27">
        <v>45260</v>
      </c>
      <c r="T8604" s="773" t="s">
        <v>132</v>
      </c>
      <c r="U8604" s="773">
        <v>710</v>
      </c>
      <c r="V8604" s="773">
        <v>1207</v>
      </c>
      <c r="W8604" s="773" t="s">
        <v>390</v>
      </c>
    </row>
    <row r="8605" spans="19:23">
      <c r="S8605" s="27">
        <v>45260</v>
      </c>
      <c r="T8605" s="773" t="s">
        <v>132</v>
      </c>
      <c r="U8605" s="773">
        <v>275</v>
      </c>
      <c r="V8605" s="773">
        <v>34</v>
      </c>
      <c r="W8605" s="773" t="s">
        <v>410</v>
      </c>
    </row>
    <row r="8606" spans="19:23">
      <c r="S8606" s="27">
        <v>45260</v>
      </c>
      <c r="T8606" s="773" t="s">
        <v>132</v>
      </c>
      <c r="U8606" s="773">
        <v>769</v>
      </c>
      <c r="V8606" s="773">
        <v>1754</v>
      </c>
      <c r="W8606" s="773" t="s">
        <v>390</v>
      </c>
    </row>
    <row r="8607" spans="19:23">
      <c r="S8607" s="27">
        <v>45260</v>
      </c>
      <c r="T8607" s="773" t="s">
        <v>132</v>
      </c>
      <c r="U8607" s="773">
        <v>814</v>
      </c>
      <c r="V8607" s="773">
        <v>3367</v>
      </c>
      <c r="W8607" s="773" t="s">
        <v>390</v>
      </c>
    </row>
    <row r="8608" spans="19:23">
      <c r="S8608" s="27">
        <v>45260</v>
      </c>
      <c r="T8608" s="773" t="s">
        <v>132</v>
      </c>
      <c r="U8608" s="773">
        <v>750</v>
      </c>
      <c r="V8608" s="773">
        <v>2108</v>
      </c>
      <c r="W8608" s="773" t="s">
        <v>390</v>
      </c>
    </row>
    <row r="8609" spans="19:23">
      <c r="S8609" s="27">
        <v>45260</v>
      </c>
      <c r="T8609" s="773" t="s">
        <v>132</v>
      </c>
      <c r="U8609" s="773">
        <v>792</v>
      </c>
      <c r="V8609" s="773">
        <v>686</v>
      </c>
      <c r="W8609" s="773" t="s">
        <v>390</v>
      </c>
    </row>
    <row r="8610" spans="19:23">
      <c r="S8610" s="27">
        <v>45260</v>
      </c>
      <c r="T8610" s="773" t="s">
        <v>132</v>
      </c>
      <c r="U8610" s="773">
        <v>130</v>
      </c>
      <c r="V8610" s="773">
        <v>1</v>
      </c>
      <c r="W8610" s="773" t="s">
        <v>410</v>
      </c>
    </row>
    <row r="8611" spans="19:23">
      <c r="S8611" s="27">
        <v>45260</v>
      </c>
      <c r="T8611" s="773" t="s">
        <v>132</v>
      </c>
      <c r="U8611" s="773">
        <v>264</v>
      </c>
      <c r="V8611" s="773">
        <v>390</v>
      </c>
      <c r="W8611" s="773" t="s">
        <v>390</v>
      </c>
    </row>
    <row r="8612" spans="19:23">
      <c r="S8612" s="27">
        <v>45260</v>
      </c>
      <c r="T8612" s="773" t="s">
        <v>132</v>
      </c>
      <c r="U8612" s="773">
        <v>663</v>
      </c>
      <c r="V8612" s="773">
        <v>222</v>
      </c>
      <c r="W8612" s="773" t="s">
        <v>390</v>
      </c>
    </row>
    <row r="8613" spans="19:23">
      <c r="S8613" s="27">
        <v>45260</v>
      </c>
      <c r="T8613" s="773" t="s">
        <v>132</v>
      </c>
      <c r="U8613" s="773">
        <v>707</v>
      </c>
      <c r="V8613" s="773">
        <v>106</v>
      </c>
      <c r="W8613" s="773" t="s">
        <v>390</v>
      </c>
    </row>
    <row r="8614" spans="19:23">
      <c r="S8614" s="27">
        <v>45260</v>
      </c>
      <c r="T8614" s="773" t="s">
        <v>132</v>
      </c>
      <c r="U8614" s="773">
        <v>191</v>
      </c>
      <c r="V8614" s="773">
        <v>345</v>
      </c>
      <c r="W8614" s="773" t="s">
        <v>390</v>
      </c>
    </row>
    <row r="8615" spans="19:23">
      <c r="S8615" s="27">
        <v>45260</v>
      </c>
      <c r="T8615" s="773" t="s">
        <v>132</v>
      </c>
      <c r="U8615" s="773">
        <v>306</v>
      </c>
      <c r="V8615" s="773">
        <v>2465</v>
      </c>
      <c r="W8615" s="773" t="s">
        <v>390</v>
      </c>
    </row>
    <row r="8616" spans="19:23">
      <c r="S8616" s="27">
        <v>45260</v>
      </c>
      <c r="T8616" s="773" t="s">
        <v>132</v>
      </c>
      <c r="U8616" s="773">
        <v>323</v>
      </c>
      <c r="V8616" s="773">
        <v>3148</v>
      </c>
      <c r="W8616" s="773" t="s">
        <v>390</v>
      </c>
    </row>
    <row r="8617" spans="19:23">
      <c r="S8617" s="27">
        <v>45260</v>
      </c>
      <c r="T8617" s="773" t="s">
        <v>132</v>
      </c>
      <c r="U8617" s="773">
        <v>303</v>
      </c>
      <c r="V8617" s="773">
        <v>4</v>
      </c>
      <c r="W8617" s="773" t="s">
        <v>410</v>
      </c>
    </row>
    <row r="8618" spans="19:23">
      <c r="S8618" s="27">
        <v>45260</v>
      </c>
      <c r="T8618" s="773" t="s">
        <v>132</v>
      </c>
      <c r="U8618" s="773">
        <v>83</v>
      </c>
      <c r="V8618" s="773">
        <v>2474</v>
      </c>
      <c r="W8618" s="773" t="s">
        <v>390</v>
      </c>
    </row>
    <row r="8619" spans="19:23">
      <c r="S8619" s="913" t="s">
        <v>557</v>
      </c>
      <c r="T8619" s="912" t="s">
        <v>132</v>
      </c>
      <c r="U8619" s="912">
        <v>727</v>
      </c>
      <c r="V8619" s="912">
        <v>3659</v>
      </c>
      <c r="W8619" s="912" t="s">
        <v>390</v>
      </c>
    </row>
    <row r="8620" spans="19:23">
      <c r="S8620" s="913" t="s">
        <v>557</v>
      </c>
      <c r="T8620" s="912" t="s">
        <v>132</v>
      </c>
      <c r="U8620" s="912">
        <v>696</v>
      </c>
      <c r="V8620" s="912">
        <v>2149</v>
      </c>
      <c r="W8620" s="912" t="s">
        <v>390</v>
      </c>
    </row>
    <row r="8621" spans="19:23">
      <c r="S8621" s="913" t="s">
        <v>557</v>
      </c>
      <c r="T8621" s="912" t="s">
        <v>132</v>
      </c>
      <c r="U8621" s="912">
        <v>323</v>
      </c>
      <c r="V8621" s="912">
        <v>3122</v>
      </c>
      <c r="W8621" s="912" t="s">
        <v>390</v>
      </c>
    </row>
    <row r="8622" spans="19:23">
      <c r="S8622" s="913" t="s">
        <v>558</v>
      </c>
      <c r="T8622" s="912" t="s">
        <v>132</v>
      </c>
      <c r="U8622" s="912">
        <v>653</v>
      </c>
      <c r="V8622" s="912">
        <v>9</v>
      </c>
      <c r="W8622" s="912" t="s">
        <v>410</v>
      </c>
    </row>
    <row r="8623" spans="19:23">
      <c r="S8623" s="913" t="s">
        <v>558</v>
      </c>
      <c r="T8623" s="912" t="s">
        <v>132</v>
      </c>
      <c r="U8623" s="912">
        <v>231</v>
      </c>
      <c r="V8623" s="912">
        <v>10</v>
      </c>
      <c r="W8623" s="912" t="s">
        <v>410</v>
      </c>
    </row>
    <row r="8624" spans="19:23">
      <c r="S8624" s="913" t="s">
        <v>558</v>
      </c>
      <c r="T8624" s="912" t="s">
        <v>132</v>
      </c>
      <c r="U8624" s="912">
        <v>222</v>
      </c>
      <c r="V8624" s="912">
        <v>5</v>
      </c>
      <c r="W8624" s="912" t="s">
        <v>410</v>
      </c>
    </row>
    <row r="8625" spans="19:23">
      <c r="S8625" s="913" t="s">
        <v>558</v>
      </c>
      <c r="T8625" s="912" t="s">
        <v>132</v>
      </c>
      <c r="U8625" s="912">
        <v>528</v>
      </c>
      <c r="V8625" s="912">
        <v>46</v>
      </c>
      <c r="W8625" s="912" t="s">
        <v>410</v>
      </c>
    </row>
    <row r="8626" spans="19:23">
      <c r="S8626" s="913" t="s">
        <v>558</v>
      </c>
      <c r="T8626" s="912" t="s">
        <v>132</v>
      </c>
      <c r="U8626" s="912">
        <v>35</v>
      </c>
      <c r="V8626" s="912">
        <v>870</v>
      </c>
      <c r="W8626" s="912" t="s">
        <v>390</v>
      </c>
    </row>
    <row r="8627" spans="19:23">
      <c r="S8627" s="913" t="s">
        <v>558</v>
      </c>
      <c r="T8627" s="912" t="s">
        <v>132</v>
      </c>
      <c r="U8627" s="912">
        <v>670</v>
      </c>
      <c r="V8627" s="912">
        <v>2458</v>
      </c>
      <c r="W8627" s="912" t="s">
        <v>390</v>
      </c>
    </row>
    <row r="8628" spans="19:23">
      <c r="S8628" s="913" t="s">
        <v>557</v>
      </c>
      <c r="T8628" s="912" t="s">
        <v>132</v>
      </c>
      <c r="U8628" s="912">
        <v>732</v>
      </c>
      <c r="V8628" s="912">
        <v>3419</v>
      </c>
      <c r="W8628" s="912" t="s">
        <v>390</v>
      </c>
    </row>
    <row r="8629" spans="19:23">
      <c r="S8629" s="913" t="s">
        <v>557</v>
      </c>
      <c r="T8629" s="912" t="s">
        <v>132</v>
      </c>
      <c r="U8629" s="912">
        <v>671</v>
      </c>
      <c r="V8629" s="912">
        <v>2015</v>
      </c>
      <c r="W8629" s="912" t="s">
        <v>390</v>
      </c>
    </row>
    <row r="8630" spans="19:23">
      <c r="S8630" s="913" t="s">
        <v>557</v>
      </c>
      <c r="T8630" s="912" t="s">
        <v>132</v>
      </c>
      <c r="U8630" s="912">
        <v>748</v>
      </c>
      <c r="V8630" s="912">
        <v>91</v>
      </c>
      <c r="W8630" s="912" t="s">
        <v>410</v>
      </c>
    </row>
    <row r="8631" spans="19:23">
      <c r="S8631" s="913" t="s">
        <v>558</v>
      </c>
      <c r="T8631" s="912" t="s">
        <v>132</v>
      </c>
      <c r="U8631" s="912">
        <v>696</v>
      </c>
      <c r="V8631" s="912">
        <v>119</v>
      </c>
      <c r="W8631" s="912" t="s">
        <v>390</v>
      </c>
    </row>
    <row r="8632" spans="19:23">
      <c r="S8632" s="913" t="s">
        <v>558</v>
      </c>
      <c r="T8632" s="912" t="s">
        <v>132</v>
      </c>
      <c r="U8632" s="912">
        <v>741</v>
      </c>
      <c r="V8632" s="912">
        <v>2836</v>
      </c>
      <c r="W8632" s="912" t="s">
        <v>390</v>
      </c>
    </row>
    <row r="8633" spans="19:23">
      <c r="S8633" s="913" t="s">
        <v>557</v>
      </c>
      <c r="T8633" s="912" t="s">
        <v>132</v>
      </c>
      <c r="U8633" s="912">
        <v>328</v>
      </c>
      <c r="V8633" s="912">
        <v>1409</v>
      </c>
      <c r="W8633" s="912" t="s">
        <v>390</v>
      </c>
    </row>
    <row r="8634" spans="19:23">
      <c r="S8634" s="913" t="s">
        <v>558</v>
      </c>
      <c r="T8634" s="912" t="s">
        <v>132</v>
      </c>
      <c r="U8634" s="912">
        <v>157</v>
      </c>
      <c r="V8634" s="912">
        <v>7</v>
      </c>
      <c r="W8634" s="912" t="s">
        <v>410</v>
      </c>
    </row>
    <row r="8635" spans="19:23">
      <c r="S8635" s="913" t="s">
        <v>557</v>
      </c>
      <c r="T8635" s="912" t="s">
        <v>132</v>
      </c>
      <c r="U8635" s="912">
        <v>665</v>
      </c>
      <c r="V8635" s="912">
        <v>3195</v>
      </c>
      <c r="W8635" s="912" t="s">
        <v>390</v>
      </c>
    </row>
    <row r="8636" spans="19:23">
      <c r="S8636" s="913" t="s">
        <v>558</v>
      </c>
      <c r="T8636" s="912" t="s">
        <v>132</v>
      </c>
      <c r="U8636" s="912">
        <v>215</v>
      </c>
      <c r="V8636" s="912">
        <v>4</v>
      </c>
      <c r="W8636" s="912" t="s">
        <v>410</v>
      </c>
    </row>
    <row r="8637" spans="19:23">
      <c r="S8637" s="913" t="s">
        <v>557</v>
      </c>
      <c r="T8637" s="912" t="s">
        <v>132</v>
      </c>
      <c r="U8637" s="912">
        <v>769</v>
      </c>
      <c r="V8637" s="912">
        <v>27</v>
      </c>
      <c r="W8637" s="912" t="s">
        <v>410</v>
      </c>
    </row>
    <row r="8638" spans="19:23">
      <c r="S8638" s="913" t="s">
        <v>558</v>
      </c>
      <c r="T8638" s="912" t="s">
        <v>132</v>
      </c>
      <c r="U8638" s="912">
        <v>326</v>
      </c>
      <c r="V8638" s="912">
        <v>2758</v>
      </c>
      <c r="W8638" s="912" t="s">
        <v>390</v>
      </c>
    </row>
    <row r="8639" spans="19:23">
      <c r="S8639" s="913" t="s">
        <v>558</v>
      </c>
      <c r="T8639" s="912" t="s">
        <v>132</v>
      </c>
      <c r="U8639" s="912">
        <v>805</v>
      </c>
      <c r="V8639" s="912">
        <v>49</v>
      </c>
      <c r="W8639" s="912" t="s">
        <v>410</v>
      </c>
    </row>
    <row r="8640" spans="19:23">
      <c r="S8640" s="913" t="s">
        <v>557</v>
      </c>
      <c r="T8640" s="912" t="s">
        <v>132</v>
      </c>
      <c r="U8640" s="912">
        <v>11</v>
      </c>
      <c r="V8640" s="912">
        <v>27</v>
      </c>
      <c r="W8640" s="912" t="s">
        <v>410</v>
      </c>
    </row>
    <row r="8641" spans="19:23">
      <c r="S8641" s="913" t="s">
        <v>558</v>
      </c>
      <c r="T8641" s="912" t="s">
        <v>132</v>
      </c>
      <c r="U8641" s="912">
        <v>93</v>
      </c>
      <c r="V8641" s="912">
        <v>1010</v>
      </c>
      <c r="W8641" s="912" t="s">
        <v>390</v>
      </c>
    </row>
    <row r="8642" spans="19:23">
      <c r="S8642" s="913" t="s">
        <v>558</v>
      </c>
      <c r="T8642" s="912" t="s">
        <v>132</v>
      </c>
      <c r="U8642" s="912">
        <v>716</v>
      </c>
      <c r="V8642" s="912">
        <v>285</v>
      </c>
      <c r="W8642" s="912" t="s">
        <v>390</v>
      </c>
    </row>
    <row r="8643" spans="19:23">
      <c r="S8643" s="913" t="s">
        <v>557</v>
      </c>
      <c r="T8643" s="912" t="s">
        <v>132</v>
      </c>
      <c r="U8643" s="912">
        <v>64</v>
      </c>
      <c r="V8643" s="912">
        <v>1</v>
      </c>
      <c r="W8643" s="912" t="s">
        <v>410</v>
      </c>
    </row>
    <row r="8644" spans="19:23">
      <c r="S8644" s="913" t="s">
        <v>558</v>
      </c>
      <c r="T8644" s="912" t="s">
        <v>132</v>
      </c>
      <c r="U8644" s="912">
        <v>665</v>
      </c>
      <c r="V8644" s="912">
        <v>17</v>
      </c>
      <c r="W8644" s="912" t="s">
        <v>410</v>
      </c>
    </row>
    <row r="8645" spans="19:23">
      <c r="S8645" s="913" t="s">
        <v>557</v>
      </c>
      <c r="T8645" s="912" t="s">
        <v>132</v>
      </c>
      <c r="U8645" s="912">
        <v>750</v>
      </c>
      <c r="V8645" s="912">
        <v>44</v>
      </c>
      <c r="W8645" s="912" t="s">
        <v>410</v>
      </c>
    </row>
    <row r="8646" spans="19:23">
      <c r="S8646" s="913" t="s">
        <v>557</v>
      </c>
      <c r="T8646" s="912" t="s">
        <v>132</v>
      </c>
      <c r="U8646" s="912">
        <v>326</v>
      </c>
      <c r="V8646" s="912">
        <v>2672</v>
      </c>
      <c r="W8646" s="912" t="s">
        <v>390</v>
      </c>
    </row>
    <row r="8647" spans="19:23">
      <c r="S8647" s="913" t="s">
        <v>557</v>
      </c>
      <c r="T8647" s="912" t="s">
        <v>132</v>
      </c>
      <c r="U8647" s="912">
        <v>218</v>
      </c>
      <c r="V8647" s="912">
        <v>141</v>
      </c>
      <c r="W8647" s="912" t="s">
        <v>390</v>
      </c>
    </row>
    <row r="8648" spans="19:23">
      <c r="S8648" s="913" t="s">
        <v>558</v>
      </c>
      <c r="T8648" s="912" t="s">
        <v>132</v>
      </c>
      <c r="U8648" s="912">
        <v>652</v>
      </c>
      <c r="V8648" s="912">
        <v>84</v>
      </c>
      <c r="W8648" s="912" t="s">
        <v>410</v>
      </c>
    </row>
    <row r="8649" spans="19:23">
      <c r="S8649" s="913" t="s">
        <v>557</v>
      </c>
      <c r="T8649" s="912" t="s">
        <v>132</v>
      </c>
      <c r="U8649" s="912">
        <v>157</v>
      </c>
      <c r="V8649" s="912">
        <v>11</v>
      </c>
      <c r="W8649" s="912" t="s">
        <v>410</v>
      </c>
    </row>
    <row r="8650" spans="19:23">
      <c r="S8650" s="913" t="s">
        <v>557</v>
      </c>
      <c r="T8650" s="912" t="s">
        <v>132</v>
      </c>
      <c r="U8650" s="912">
        <v>292</v>
      </c>
      <c r="V8650" s="912">
        <v>4</v>
      </c>
      <c r="W8650" s="912" t="s">
        <v>410</v>
      </c>
    </row>
    <row r="8651" spans="19:23">
      <c r="S8651" s="913" t="s">
        <v>557</v>
      </c>
      <c r="T8651" s="912" t="s">
        <v>132</v>
      </c>
      <c r="U8651" s="912">
        <v>296</v>
      </c>
      <c r="V8651" s="912">
        <v>2469</v>
      </c>
      <c r="W8651" s="912" t="s">
        <v>390</v>
      </c>
    </row>
    <row r="8652" spans="19:23">
      <c r="S8652" s="913" t="s">
        <v>557</v>
      </c>
      <c r="T8652" s="912" t="s">
        <v>132</v>
      </c>
      <c r="U8652" s="912">
        <v>670</v>
      </c>
      <c r="V8652" s="912">
        <v>2489</v>
      </c>
      <c r="W8652" s="912" t="s">
        <v>390</v>
      </c>
    </row>
    <row r="8653" spans="19:23">
      <c r="S8653" s="913" t="s">
        <v>558</v>
      </c>
      <c r="T8653" s="912" t="s">
        <v>132</v>
      </c>
      <c r="U8653" s="912">
        <v>687</v>
      </c>
      <c r="V8653" s="912">
        <v>2967</v>
      </c>
      <c r="W8653" s="912" t="s">
        <v>390</v>
      </c>
    </row>
    <row r="8654" spans="19:23">
      <c r="S8654" s="913" t="s">
        <v>558</v>
      </c>
      <c r="T8654" s="912" t="s">
        <v>132</v>
      </c>
      <c r="U8654" s="912">
        <v>70</v>
      </c>
      <c r="V8654" s="912">
        <v>207</v>
      </c>
      <c r="W8654" s="912" t="s">
        <v>390</v>
      </c>
    </row>
    <row r="8655" spans="19:23">
      <c r="S8655" s="913" t="s">
        <v>558</v>
      </c>
      <c r="T8655" s="912" t="s">
        <v>132</v>
      </c>
      <c r="U8655" s="912">
        <v>52</v>
      </c>
      <c r="V8655" s="912">
        <v>6</v>
      </c>
      <c r="W8655" s="912" t="s">
        <v>410</v>
      </c>
    </row>
    <row r="8656" spans="19:23">
      <c r="S8656" s="913" t="s">
        <v>558</v>
      </c>
      <c r="T8656" s="912" t="s">
        <v>132</v>
      </c>
      <c r="U8656" s="912">
        <v>249</v>
      </c>
      <c r="V8656" s="912">
        <v>5</v>
      </c>
      <c r="W8656" s="912" t="s">
        <v>410</v>
      </c>
    </row>
    <row r="8657" spans="19:23">
      <c r="S8657" s="913" t="s">
        <v>558</v>
      </c>
      <c r="T8657" s="912" t="s">
        <v>132</v>
      </c>
      <c r="U8657" s="912">
        <v>155</v>
      </c>
      <c r="V8657" s="912">
        <v>2428</v>
      </c>
      <c r="W8657" s="912" t="s">
        <v>390</v>
      </c>
    </row>
    <row r="8658" spans="19:23">
      <c r="S8658" s="913" t="s">
        <v>557</v>
      </c>
      <c r="T8658" s="912" t="s">
        <v>132</v>
      </c>
      <c r="U8658" s="912">
        <v>63</v>
      </c>
      <c r="V8658" s="912">
        <v>1</v>
      </c>
      <c r="W8658" s="912" t="s">
        <v>410</v>
      </c>
    </row>
    <row r="8659" spans="19:23">
      <c r="S8659" s="913" t="s">
        <v>557</v>
      </c>
      <c r="T8659" s="912" t="s">
        <v>132</v>
      </c>
      <c r="U8659" s="912">
        <v>654</v>
      </c>
      <c r="V8659" s="912">
        <v>967</v>
      </c>
      <c r="W8659" s="912" t="s">
        <v>390</v>
      </c>
    </row>
    <row r="8660" spans="19:23">
      <c r="S8660" s="913" t="s">
        <v>557</v>
      </c>
      <c r="T8660" s="912" t="s">
        <v>132</v>
      </c>
      <c r="U8660" s="912">
        <v>158</v>
      </c>
      <c r="V8660" s="912">
        <v>128</v>
      </c>
      <c r="W8660" s="912" t="s">
        <v>390</v>
      </c>
    </row>
    <row r="8661" spans="19:23">
      <c r="S8661" s="913" t="s">
        <v>558</v>
      </c>
      <c r="T8661" s="912" t="s">
        <v>132</v>
      </c>
      <c r="U8661" s="912">
        <v>523</v>
      </c>
      <c r="V8661" s="912">
        <v>1</v>
      </c>
      <c r="W8661" s="912" t="s">
        <v>410</v>
      </c>
    </row>
    <row r="8662" spans="19:23">
      <c r="S8662" s="913" t="s">
        <v>558</v>
      </c>
      <c r="T8662" s="912" t="s">
        <v>132</v>
      </c>
      <c r="U8662" s="912">
        <v>140</v>
      </c>
      <c r="V8662" s="912">
        <v>752</v>
      </c>
      <c r="W8662" s="912" t="s">
        <v>390</v>
      </c>
    </row>
    <row r="8663" spans="19:23">
      <c r="S8663" s="913" t="s">
        <v>557</v>
      </c>
      <c r="T8663" s="912" t="s">
        <v>132</v>
      </c>
      <c r="U8663" s="912">
        <v>119</v>
      </c>
      <c r="V8663" s="912">
        <v>1</v>
      </c>
      <c r="W8663" s="912" t="s">
        <v>410</v>
      </c>
    </row>
    <row r="8664" spans="19:23">
      <c r="S8664" s="913" t="s">
        <v>557</v>
      </c>
      <c r="T8664" s="912" t="s">
        <v>132</v>
      </c>
      <c r="U8664" s="912">
        <v>78</v>
      </c>
      <c r="V8664" s="912">
        <v>10</v>
      </c>
      <c r="W8664" s="912" t="s">
        <v>410</v>
      </c>
    </row>
    <row r="8665" spans="19:23">
      <c r="S8665" s="913" t="s">
        <v>557</v>
      </c>
      <c r="T8665" s="912" t="s">
        <v>132</v>
      </c>
      <c r="U8665" s="912">
        <v>653</v>
      </c>
      <c r="V8665" s="912">
        <v>1</v>
      </c>
      <c r="W8665" s="912" t="s">
        <v>410</v>
      </c>
    </row>
    <row r="8666" spans="19:23">
      <c r="S8666" s="913" t="s">
        <v>557</v>
      </c>
      <c r="T8666" s="912" t="s">
        <v>132</v>
      </c>
      <c r="U8666" s="912">
        <v>68</v>
      </c>
      <c r="V8666" s="912">
        <v>871</v>
      </c>
      <c r="W8666" s="912" t="s">
        <v>390</v>
      </c>
    </row>
    <row r="8667" spans="19:23">
      <c r="S8667" s="913" t="s">
        <v>558</v>
      </c>
      <c r="T8667" s="912" t="s">
        <v>132</v>
      </c>
      <c r="U8667" s="912">
        <v>648</v>
      </c>
      <c r="V8667" s="912">
        <v>1</v>
      </c>
      <c r="W8667" s="912" t="s">
        <v>410</v>
      </c>
    </row>
    <row r="8668" spans="19:23">
      <c r="S8668" s="913" t="s">
        <v>557</v>
      </c>
      <c r="T8668" s="912" t="s">
        <v>132</v>
      </c>
      <c r="U8668" s="912">
        <v>736</v>
      </c>
      <c r="V8668" s="912">
        <v>3129</v>
      </c>
      <c r="W8668" s="912" t="s">
        <v>390</v>
      </c>
    </row>
    <row r="8669" spans="19:23">
      <c r="S8669" s="913" t="s">
        <v>557</v>
      </c>
      <c r="T8669" s="912" t="s">
        <v>132</v>
      </c>
      <c r="U8669" s="912">
        <v>94</v>
      </c>
      <c r="V8669" s="912">
        <v>483</v>
      </c>
      <c r="W8669" s="912" t="s">
        <v>390</v>
      </c>
    </row>
    <row r="8670" spans="19:23">
      <c r="S8670" s="913" t="s">
        <v>557</v>
      </c>
      <c r="T8670" s="912" t="s">
        <v>132</v>
      </c>
      <c r="U8670" s="912">
        <v>303</v>
      </c>
      <c r="V8670" s="912">
        <v>2455</v>
      </c>
      <c r="W8670" s="912" t="s">
        <v>390</v>
      </c>
    </row>
    <row r="8671" spans="19:23">
      <c r="S8671" s="913" t="s">
        <v>557</v>
      </c>
      <c r="T8671" s="912" t="s">
        <v>132</v>
      </c>
      <c r="U8671" s="912">
        <v>39</v>
      </c>
      <c r="V8671" s="912">
        <v>1</v>
      </c>
      <c r="W8671" s="912" t="s">
        <v>410</v>
      </c>
    </row>
    <row r="8672" spans="19:23">
      <c r="S8672" s="913" t="s">
        <v>558</v>
      </c>
      <c r="T8672" s="912" t="s">
        <v>132</v>
      </c>
      <c r="U8672" s="912">
        <v>89</v>
      </c>
      <c r="V8672" s="912">
        <v>1061</v>
      </c>
      <c r="W8672" s="912" t="s">
        <v>390</v>
      </c>
    </row>
    <row r="8673" spans="19:23">
      <c r="S8673" s="913" t="s">
        <v>558</v>
      </c>
      <c r="T8673" s="912" t="s">
        <v>132</v>
      </c>
      <c r="U8673" s="912">
        <v>621</v>
      </c>
      <c r="V8673" s="912">
        <v>2716</v>
      </c>
      <c r="W8673" s="912" t="s">
        <v>390</v>
      </c>
    </row>
    <row r="8674" spans="19:23">
      <c r="S8674" s="913" t="s">
        <v>558</v>
      </c>
      <c r="T8674" s="912" t="s">
        <v>132</v>
      </c>
      <c r="U8674" s="912">
        <v>702</v>
      </c>
      <c r="V8674" s="912">
        <v>1</v>
      </c>
      <c r="W8674" s="912" t="s">
        <v>410</v>
      </c>
    </row>
    <row r="8675" spans="19:23">
      <c r="S8675" s="913" t="s">
        <v>558</v>
      </c>
      <c r="T8675" s="912" t="s">
        <v>132</v>
      </c>
      <c r="U8675" s="912">
        <v>48</v>
      </c>
      <c r="V8675" s="912">
        <v>169</v>
      </c>
      <c r="W8675" s="912" t="s">
        <v>390</v>
      </c>
    </row>
    <row r="8676" spans="19:23">
      <c r="S8676" s="913" t="s">
        <v>557</v>
      </c>
      <c r="T8676" s="912" t="s">
        <v>132</v>
      </c>
      <c r="U8676" s="912">
        <v>716</v>
      </c>
      <c r="V8676" s="912">
        <v>360</v>
      </c>
      <c r="W8676" s="912" t="s">
        <v>390</v>
      </c>
    </row>
    <row r="8677" spans="19:23">
      <c r="S8677" s="913" t="s">
        <v>557</v>
      </c>
      <c r="T8677" s="912" t="s">
        <v>132</v>
      </c>
      <c r="U8677" s="912">
        <v>663</v>
      </c>
      <c r="V8677" s="912">
        <v>655</v>
      </c>
      <c r="W8677" s="912" t="s">
        <v>390</v>
      </c>
    </row>
    <row r="8678" spans="19:23">
      <c r="S8678" s="913" t="s">
        <v>558</v>
      </c>
      <c r="T8678" s="912" t="s">
        <v>132</v>
      </c>
      <c r="U8678" s="912">
        <v>150</v>
      </c>
      <c r="V8678" s="912">
        <v>293</v>
      </c>
      <c r="W8678" s="912" t="s">
        <v>390</v>
      </c>
    </row>
    <row r="8679" spans="19:23">
      <c r="S8679" s="913" t="s">
        <v>558</v>
      </c>
      <c r="T8679" s="912" t="s">
        <v>132</v>
      </c>
      <c r="U8679" s="912">
        <v>46</v>
      </c>
      <c r="V8679" s="912">
        <v>1</v>
      </c>
      <c r="W8679" s="912" t="s">
        <v>410</v>
      </c>
    </row>
    <row r="8680" spans="19:23">
      <c r="S8680" s="913" t="s">
        <v>557</v>
      </c>
      <c r="T8680" s="912" t="s">
        <v>132</v>
      </c>
      <c r="U8680" s="912">
        <v>318</v>
      </c>
      <c r="V8680" s="912">
        <v>2495</v>
      </c>
      <c r="W8680" s="912" t="s">
        <v>390</v>
      </c>
    </row>
    <row r="8681" spans="19:23">
      <c r="S8681" s="913" t="s">
        <v>557</v>
      </c>
      <c r="T8681" s="912" t="s">
        <v>132</v>
      </c>
      <c r="U8681" s="912">
        <v>275</v>
      </c>
      <c r="V8681" s="912">
        <v>25</v>
      </c>
      <c r="W8681" s="912" t="s">
        <v>410</v>
      </c>
    </row>
    <row r="8682" spans="19:23">
      <c r="S8682" s="913" t="s">
        <v>557</v>
      </c>
      <c r="T8682" s="912" t="s">
        <v>132</v>
      </c>
      <c r="U8682" s="912">
        <v>701</v>
      </c>
      <c r="V8682" s="912">
        <v>2394</v>
      </c>
      <c r="W8682" s="912" t="s">
        <v>390</v>
      </c>
    </row>
    <row r="8683" spans="19:23">
      <c r="S8683" s="913" t="s">
        <v>558</v>
      </c>
      <c r="T8683" s="912" t="s">
        <v>132</v>
      </c>
      <c r="U8683" s="912">
        <v>171</v>
      </c>
      <c r="V8683" s="912">
        <v>56</v>
      </c>
      <c r="W8683" s="912" t="s">
        <v>410</v>
      </c>
    </row>
    <row r="8684" spans="19:23">
      <c r="S8684" s="913" t="s">
        <v>557</v>
      </c>
      <c r="T8684" s="912" t="s">
        <v>132</v>
      </c>
      <c r="U8684" s="912">
        <v>317</v>
      </c>
      <c r="V8684" s="912">
        <v>3403</v>
      </c>
      <c r="W8684" s="912" t="s">
        <v>390</v>
      </c>
    </row>
    <row r="8685" spans="19:23">
      <c r="S8685" s="913" t="s">
        <v>557</v>
      </c>
      <c r="T8685" s="912" t="s">
        <v>132</v>
      </c>
      <c r="U8685" s="912">
        <v>237</v>
      </c>
      <c r="V8685" s="912">
        <v>1</v>
      </c>
      <c r="W8685" s="912" t="s">
        <v>410</v>
      </c>
    </row>
    <row r="8686" spans="19:23">
      <c r="S8686" s="913" t="s">
        <v>558</v>
      </c>
      <c r="T8686" s="912" t="s">
        <v>132</v>
      </c>
      <c r="U8686" s="912">
        <v>704</v>
      </c>
      <c r="V8686" s="912">
        <v>3416</v>
      </c>
      <c r="W8686" s="912" t="s">
        <v>390</v>
      </c>
    </row>
    <row r="8687" spans="19:23">
      <c r="S8687" s="913" t="s">
        <v>557</v>
      </c>
      <c r="T8687" s="912" t="s">
        <v>132</v>
      </c>
      <c r="U8687" s="912">
        <v>101</v>
      </c>
      <c r="V8687" s="912">
        <v>283</v>
      </c>
      <c r="W8687" s="912" t="s">
        <v>390</v>
      </c>
    </row>
    <row r="8688" spans="19:23">
      <c r="S8688" s="913" t="s">
        <v>558</v>
      </c>
      <c r="T8688" s="912" t="s">
        <v>132</v>
      </c>
      <c r="U8688" s="912">
        <v>139</v>
      </c>
      <c r="V8688" s="912">
        <v>2185</v>
      </c>
      <c r="W8688" s="912" t="s">
        <v>390</v>
      </c>
    </row>
    <row r="8689" spans="19:23">
      <c r="S8689" s="913" t="s">
        <v>558</v>
      </c>
      <c r="T8689" s="912" t="s">
        <v>132</v>
      </c>
      <c r="U8689" s="912">
        <v>253</v>
      </c>
      <c r="V8689" s="912">
        <v>10</v>
      </c>
      <c r="W8689" s="912" t="s">
        <v>410</v>
      </c>
    </row>
    <row r="8690" spans="19:23">
      <c r="S8690" s="913" t="s">
        <v>557</v>
      </c>
      <c r="T8690" s="912" t="s">
        <v>132</v>
      </c>
      <c r="U8690" s="912">
        <v>73</v>
      </c>
      <c r="V8690" s="912">
        <v>3</v>
      </c>
      <c r="W8690" s="912" t="s">
        <v>410</v>
      </c>
    </row>
    <row r="8691" spans="19:23">
      <c r="S8691" s="913" t="s">
        <v>557</v>
      </c>
      <c r="T8691" s="912" t="s">
        <v>132</v>
      </c>
      <c r="U8691" s="912">
        <v>724</v>
      </c>
      <c r="V8691" s="912">
        <v>2453</v>
      </c>
      <c r="W8691" s="912" t="s">
        <v>390</v>
      </c>
    </row>
    <row r="8692" spans="19:23">
      <c r="S8692" s="913" t="s">
        <v>557</v>
      </c>
      <c r="T8692" s="912" t="s">
        <v>132</v>
      </c>
      <c r="U8692" s="912">
        <v>164</v>
      </c>
      <c r="V8692" s="912">
        <v>10</v>
      </c>
      <c r="W8692" s="912" t="s">
        <v>410</v>
      </c>
    </row>
    <row r="8693" spans="19:23">
      <c r="S8693" s="913" t="s">
        <v>558</v>
      </c>
      <c r="T8693" s="912" t="s">
        <v>132</v>
      </c>
      <c r="U8693" s="912">
        <v>316</v>
      </c>
      <c r="V8693" s="912">
        <v>7</v>
      </c>
      <c r="W8693" s="912" t="s">
        <v>410</v>
      </c>
    </row>
    <row r="8694" spans="19:23">
      <c r="S8694" s="913" t="s">
        <v>557</v>
      </c>
      <c r="T8694" s="912" t="s">
        <v>132</v>
      </c>
      <c r="U8694" s="912">
        <v>728</v>
      </c>
      <c r="V8694" s="912">
        <v>92</v>
      </c>
      <c r="W8694" s="912" t="s">
        <v>410</v>
      </c>
    </row>
    <row r="8695" spans="19:23">
      <c r="S8695" s="913" t="s">
        <v>557</v>
      </c>
      <c r="T8695" s="912" t="s">
        <v>132</v>
      </c>
      <c r="U8695" s="912">
        <v>59</v>
      </c>
      <c r="V8695" s="912">
        <v>2</v>
      </c>
      <c r="W8695" s="912" t="s">
        <v>410</v>
      </c>
    </row>
    <row r="8696" spans="19:23">
      <c r="S8696" s="913" t="s">
        <v>557</v>
      </c>
      <c r="T8696" s="912" t="s">
        <v>132</v>
      </c>
      <c r="U8696" s="912">
        <v>120</v>
      </c>
      <c r="V8696" s="912">
        <v>1</v>
      </c>
      <c r="W8696" s="912" t="s">
        <v>410</v>
      </c>
    </row>
    <row r="8697" spans="19:23">
      <c r="S8697" s="913" t="s">
        <v>557</v>
      </c>
      <c r="T8697" s="912" t="s">
        <v>132</v>
      </c>
      <c r="U8697" s="912">
        <v>641</v>
      </c>
      <c r="V8697" s="912">
        <v>2123</v>
      </c>
      <c r="W8697" s="912" t="s">
        <v>390</v>
      </c>
    </row>
    <row r="8698" spans="19:23">
      <c r="S8698" s="913" t="s">
        <v>558</v>
      </c>
      <c r="T8698" s="912" t="s">
        <v>132</v>
      </c>
      <c r="U8698" s="912">
        <v>161</v>
      </c>
      <c r="V8698" s="912">
        <v>1</v>
      </c>
      <c r="W8698" s="912" t="s">
        <v>410</v>
      </c>
    </row>
    <row r="8699" spans="19:23">
      <c r="S8699" s="913" t="s">
        <v>557</v>
      </c>
      <c r="T8699" s="912" t="s">
        <v>132</v>
      </c>
      <c r="U8699" s="912">
        <v>129</v>
      </c>
      <c r="V8699" s="912">
        <v>2</v>
      </c>
      <c r="W8699" s="912" t="s">
        <v>410</v>
      </c>
    </row>
    <row r="8700" spans="19:23">
      <c r="S8700" s="913" t="s">
        <v>558</v>
      </c>
      <c r="T8700" s="912" t="s">
        <v>132</v>
      </c>
      <c r="U8700" s="912">
        <v>645</v>
      </c>
      <c r="V8700" s="912">
        <v>1</v>
      </c>
      <c r="W8700" s="912" t="s">
        <v>410</v>
      </c>
    </row>
    <row r="8701" spans="19:23">
      <c r="S8701" s="913" t="s">
        <v>558</v>
      </c>
      <c r="T8701" s="912" t="s">
        <v>132</v>
      </c>
      <c r="U8701" s="912">
        <v>793</v>
      </c>
      <c r="V8701" s="912">
        <v>247</v>
      </c>
      <c r="W8701" s="912" t="s">
        <v>390</v>
      </c>
    </row>
    <row r="8702" spans="19:23">
      <c r="S8702" s="913" t="s">
        <v>557</v>
      </c>
      <c r="T8702" s="912" t="s">
        <v>132</v>
      </c>
      <c r="U8702" s="912">
        <v>718</v>
      </c>
      <c r="V8702" s="912">
        <v>1484</v>
      </c>
      <c r="W8702" s="912" t="s">
        <v>390</v>
      </c>
    </row>
    <row r="8703" spans="19:23">
      <c r="S8703" s="913" t="s">
        <v>558</v>
      </c>
      <c r="T8703" s="912" t="s">
        <v>132</v>
      </c>
      <c r="U8703" s="912">
        <v>318</v>
      </c>
      <c r="V8703" s="912">
        <v>2438</v>
      </c>
      <c r="W8703" s="912" t="s">
        <v>390</v>
      </c>
    </row>
    <row r="8704" spans="19:23">
      <c r="S8704" s="913" t="s">
        <v>557</v>
      </c>
      <c r="T8704" s="912" t="s">
        <v>132</v>
      </c>
      <c r="U8704" s="912">
        <v>672</v>
      </c>
      <c r="V8704" s="912">
        <v>2367</v>
      </c>
      <c r="W8704" s="912" t="s">
        <v>390</v>
      </c>
    </row>
    <row r="8705" spans="19:23">
      <c r="S8705" s="913" t="s">
        <v>557</v>
      </c>
      <c r="T8705" s="912" t="s">
        <v>132</v>
      </c>
      <c r="U8705" s="912">
        <v>216</v>
      </c>
      <c r="V8705" s="912">
        <v>2358</v>
      </c>
      <c r="W8705" s="912" t="s">
        <v>390</v>
      </c>
    </row>
    <row r="8706" spans="19:23">
      <c r="S8706" s="913" t="s">
        <v>557</v>
      </c>
      <c r="T8706" s="912" t="s">
        <v>132</v>
      </c>
      <c r="U8706" s="912">
        <v>676</v>
      </c>
      <c r="V8706" s="912">
        <v>3</v>
      </c>
      <c r="W8706" s="912" t="s">
        <v>410</v>
      </c>
    </row>
    <row r="8707" spans="19:23">
      <c r="S8707" s="913" t="s">
        <v>558</v>
      </c>
      <c r="T8707" s="912" t="s">
        <v>132</v>
      </c>
      <c r="U8707" s="912">
        <v>826</v>
      </c>
      <c r="V8707" s="912">
        <v>66</v>
      </c>
      <c r="W8707" s="912" t="s">
        <v>410</v>
      </c>
    </row>
    <row r="8708" spans="19:23">
      <c r="S8708" s="913" t="s">
        <v>558</v>
      </c>
      <c r="T8708" s="912" t="s">
        <v>132</v>
      </c>
      <c r="U8708" s="912">
        <v>148</v>
      </c>
      <c r="V8708" s="912">
        <v>3</v>
      </c>
      <c r="W8708" s="912" t="s">
        <v>410</v>
      </c>
    </row>
    <row r="8709" spans="19:23">
      <c r="S8709" s="913" t="s">
        <v>557</v>
      </c>
      <c r="T8709" s="912" t="s">
        <v>132</v>
      </c>
      <c r="U8709" s="912">
        <v>233</v>
      </c>
      <c r="V8709" s="912">
        <v>2562</v>
      </c>
      <c r="W8709" s="912" t="s">
        <v>390</v>
      </c>
    </row>
    <row r="8710" spans="19:23">
      <c r="S8710" s="913" t="s">
        <v>557</v>
      </c>
      <c r="T8710" s="912" t="s">
        <v>132</v>
      </c>
      <c r="U8710" s="912">
        <v>102</v>
      </c>
      <c r="V8710" s="912">
        <v>2</v>
      </c>
      <c r="W8710" s="912" t="s">
        <v>410</v>
      </c>
    </row>
    <row r="8711" spans="19:23">
      <c r="S8711" s="913" t="s">
        <v>557</v>
      </c>
      <c r="T8711" s="912" t="s">
        <v>132</v>
      </c>
      <c r="U8711" s="912">
        <v>312</v>
      </c>
      <c r="V8711" s="912">
        <v>2652</v>
      </c>
      <c r="W8711" s="912" t="s">
        <v>390</v>
      </c>
    </row>
    <row r="8712" spans="19:23">
      <c r="S8712" s="913" t="s">
        <v>558</v>
      </c>
      <c r="T8712" s="912" t="s">
        <v>132</v>
      </c>
      <c r="U8712" s="912">
        <v>218</v>
      </c>
      <c r="V8712" s="912">
        <v>295</v>
      </c>
      <c r="W8712" s="912" t="s">
        <v>390</v>
      </c>
    </row>
    <row r="8713" spans="19:23">
      <c r="S8713" s="913" t="s">
        <v>557</v>
      </c>
      <c r="T8713" s="912" t="s">
        <v>132</v>
      </c>
      <c r="U8713" s="912">
        <v>155</v>
      </c>
      <c r="V8713" s="912">
        <v>2570</v>
      </c>
      <c r="W8713" s="912" t="s">
        <v>390</v>
      </c>
    </row>
    <row r="8714" spans="19:23">
      <c r="S8714" s="913" t="s">
        <v>558</v>
      </c>
      <c r="T8714" s="912" t="s">
        <v>132</v>
      </c>
      <c r="U8714" s="912">
        <v>153</v>
      </c>
      <c r="V8714" s="912">
        <v>2194</v>
      </c>
      <c r="W8714" s="912" t="s">
        <v>390</v>
      </c>
    </row>
    <row r="8715" spans="19:23">
      <c r="S8715" s="913" t="s">
        <v>558</v>
      </c>
      <c r="T8715" s="912" t="s">
        <v>132</v>
      </c>
      <c r="U8715" s="912">
        <v>779</v>
      </c>
      <c r="V8715" s="912">
        <v>2061</v>
      </c>
      <c r="W8715" s="912" t="s">
        <v>390</v>
      </c>
    </row>
    <row r="8716" spans="19:23">
      <c r="S8716" s="913" t="s">
        <v>558</v>
      </c>
      <c r="T8716" s="912" t="s">
        <v>132</v>
      </c>
      <c r="U8716" s="912">
        <v>109</v>
      </c>
      <c r="V8716" s="912">
        <v>5</v>
      </c>
      <c r="W8716" s="912" t="s">
        <v>410</v>
      </c>
    </row>
    <row r="8717" spans="19:23">
      <c r="S8717" s="913" t="s">
        <v>558</v>
      </c>
      <c r="T8717" s="912" t="s">
        <v>132</v>
      </c>
      <c r="U8717" s="912">
        <v>329</v>
      </c>
      <c r="V8717" s="912">
        <v>3803</v>
      </c>
      <c r="W8717" s="912" t="s">
        <v>390</v>
      </c>
    </row>
    <row r="8718" spans="19:23">
      <c r="S8718" s="913" t="s">
        <v>558</v>
      </c>
      <c r="T8718" s="912" t="s">
        <v>132</v>
      </c>
      <c r="U8718" s="912">
        <v>11</v>
      </c>
      <c r="V8718" s="912">
        <v>26</v>
      </c>
      <c r="W8718" s="912" t="s">
        <v>410</v>
      </c>
    </row>
    <row r="8719" spans="19:23">
      <c r="S8719" s="913" t="s">
        <v>557</v>
      </c>
      <c r="T8719" s="912" t="s">
        <v>132</v>
      </c>
      <c r="U8719" s="912">
        <v>658</v>
      </c>
      <c r="V8719" s="912">
        <v>3273</v>
      </c>
      <c r="W8719" s="912" t="s">
        <v>390</v>
      </c>
    </row>
    <row r="8720" spans="19:23">
      <c r="S8720" s="913" t="s">
        <v>557</v>
      </c>
      <c r="T8720" s="912" t="s">
        <v>132</v>
      </c>
      <c r="U8720" s="912">
        <v>706</v>
      </c>
      <c r="V8720" s="912">
        <v>1213</v>
      </c>
      <c r="W8720" s="912" t="s">
        <v>390</v>
      </c>
    </row>
    <row r="8721" spans="19:23">
      <c r="S8721" s="913" t="s">
        <v>558</v>
      </c>
      <c r="T8721" s="912" t="s">
        <v>132</v>
      </c>
      <c r="U8721" s="912">
        <v>750</v>
      </c>
      <c r="V8721" s="912">
        <v>2044</v>
      </c>
      <c r="W8721" s="912" t="s">
        <v>390</v>
      </c>
    </row>
    <row r="8722" spans="19:23">
      <c r="S8722" s="913" t="s">
        <v>557</v>
      </c>
      <c r="T8722" s="912" t="s">
        <v>132</v>
      </c>
      <c r="U8722" s="912">
        <v>699</v>
      </c>
      <c r="V8722" s="912">
        <v>2825</v>
      </c>
      <c r="W8722" s="912" t="s">
        <v>390</v>
      </c>
    </row>
    <row r="8723" spans="19:23">
      <c r="S8723" s="913" t="s">
        <v>557</v>
      </c>
      <c r="T8723" s="912" t="s">
        <v>132</v>
      </c>
      <c r="U8723" s="912">
        <v>700</v>
      </c>
      <c r="V8723" s="912">
        <v>2788</v>
      </c>
      <c r="W8723" s="912" t="s">
        <v>390</v>
      </c>
    </row>
    <row r="8724" spans="19:23">
      <c r="S8724" s="913" t="s">
        <v>558</v>
      </c>
      <c r="T8724" s="912" t="s">
        <v>132</v>
      </c>
      <c r="U8724" s="912">
        <v>83</v>
      </c>
      <c r="V8724" s="912">
        <v>2429</v>
      </c>
      <c r="W8724" s="912" t="s">
        <v>390</v>
      </c>
    </row>
    <row r="8725" spans="19:23">
      <c r="S8725" s="913" t="s">
        <v>557</v>
      </c>
      <c r="T8725" s="912" t="s">
        <v>132</v>
      </c>
      <c r="U8725" s="912">
        <v>684</v>
      </c>
      <c r="V8725" s="912">
        <v>3194</v>
      </c>
      <c r="W8725" s="912" t="s">
        <v>390</v>
      </c>
    </row>
    <row r="8726" spans="19:23">
      <c r="S8726" s="913" t="s">
        <v>557</v>
      </c>
      <c r="T8726" s="912" t="s">
        <v>132</v>
      </c>
      <c r="U8726" s="912">
        <v>722</v>
      </c>
      <c r="V8726" s="912">
        <v>1</v>
      </c>
      <c r="W8726" s="912" t="s">
        <v>410</v>
      </c>
    </row>
    <row r="8727" spans="19:23">
      <c r="S8727" s="913" t="s">
        <v>557</v>
      </c>
      <c r="T8727" s="912" t="s">
        <v>132</v>
      </c>
      <c r="U8727" s="912">
        <v>308</v>
      </c>
      <c r="V8727" s="912">
        <v>2282</v>
      </c>
      <c r="W8727" s="912" t="s">
        <v>390</v>
      </c>
    </row>
    <row r="8728" spans="19:23">
      <c r="S8728" s="913" t="s">
        <v>557</v>
      </c>
      <c r="T8728" s="912" t="s">
        <v>132</v>
      </c>
      <c r="U8728" s="912">
        <v>707</v>
      </c>
      <c r="V8728" s="912">
        <v>303</v>
      </c>
      <c r="W8728" s="912" t="s">
        <v>390</v>
      </c>
    </row>
    <row r="8729" spans="19:23">
      <c r="S8729" s="913" t="s">
        <v>558</v>
      </c>
      <c r="T8729" s="912" t="s">
        <v>132</v>
      </c>
      <c r="U8729" s="912">
        <v>722</v>
      </c>
      <c r="V8729" s="912">
        <v>1</v>
      </c>
      <c r="W8729" s="912" t="s">
        <v>410</v>
      </c>
    </row>
    <row r="8730" spans="19:23">
      <c r="S8730" s="913" t="s">
        <v>557</v>
      </c>
      <c r="T8730" s="912" t="s">
        <v>132</v>
      </c>
      <c r="U8730" s="912">
        <v>56</v>
      </c>
      <c r="V8730" s="912">
        <v>9</v>
      </c>
      <c r="W8730" s="912" t="s">
        <v>410</v>
      </c>
    </row>
    <row r="8731" spans="19:23">
      <c r="S8731" s="913" t="s">
        <v>558</v>
      </c>
      <c r="T8731" s="912" t="s">
        <v>132</v>
      </c>
      <c r="U8731" s="912">
        <v>41</v>
      </c>
      <c r="V8731" s="912">
        <v>1</v>
      </c>
      <c r="W8731" s="912" t="s">
        <v>410</v>
      </c>
    </row>
    <row r="8732" spans="19:23">
      <c r="S8732" s="913" t="s">
        <v>557</v>
      </c>
      <c r="T8732" s="912" t="s">
        <v>132</v>
      </c>
      <c r="U8732" s="912">
        <v>150</v>
      </c>
      <c r="V8732" s="912">
        <v>321</v>
      </c>
      <c r="W8732" s="912" t="s">
        <v>390</v>
      </c>
    </row>
    <row r="8733" spans="19:23">
      <c r="S8733" s="913" t="s">
        <v>557</v>
      </c>
      <c r="T8733" s="912" t="s">
        <v>132</v>
      </c>
      <c r="U8733" s="912">
        <v>46</v>
      </c>
      <c r="V8733" s="912">
        <v>1</v>
      </c>
      <c r="W8733" s="912" t="s">
        <v>410</v>
      </c>
    </row>
    <row r="8734" spans="19:23">
      <c r="S8734" s="913" t="s">
        <v>557</v>
      </c>
      <c r="T8734" s="912" t="s">
        <v>132</v>
      </c>
      <c r="U8734" s="912">
        <v>255</v>
      </c>
      <c r="V8734" s="912">
        <v>411</v>
      </c>
      <c r="W8734" s="912" t="s">
        <v>390</v>
      </c>
    </row>
    <row r="8735" spans="19:23">
      <c r="S8735" s="913" t="s">
        <v>558</v>
      </c>
      <c r="T8735" s="912" t="s">
        <v>132</v>
      </c>
      <c r="U8735" s="912">
        <v>291</v>
      </c>
      <c r="V8735" s="912">
        <v>2</v>
      </c>
      <c r="W8735" s="912" t="s">
        <v>410</v>
      </c>
    </row>
    <row r="8736" spans="19:23">
      <c r="S8736" s="913" t="s">
        <v>557</v>
      </c>
      <c r="T8736" s="912" t="s">
        <v>132</v>
      </c>
      <c r="U8736" s="912">
        <v>680</v>
      </c>
      <c r="V8736" s="912">
        <v>3029</v>
      </c>
      <c r="W8736" s="912" t="s">
        <v>390</v>
      </c>
    </row>
    <row r="8737" spans="19:23">
      <c r="S8737" s="913" t="s">
        <v>557</v>
      </c>
      <c r="T8737" s="912" t="s">
        <v>132</v>
      </c>
      <c r="U8737" s="912">
        <v>13</v>
      </c>
      <c r="V8737" s="912">
        <v>2561</v>
      </c>
      <c r="W8737" s="912" t="s">
        <v>390</v>
      </c>
    </row>
    <row r="8738" spans="19:23">
      <c r="S8738" s="913" t="s">
        <v>558</v>
      </c>
      <c r="T8738" s="912" t="s">
        <v>132</v>
      </c>
      <c r="U8738" s="912">
        <v>732</v>
      </c>
      <c r="V8738" s="912">
        <v>3458</v>
      </c>
      <c r="W8738" s="912" t="s">
        <v>390</v>
      </c>
    </row>
    <row r="8739" spans="19:23">
      <c r="S8739" s="913" t="s">
        <v>558</v>
      </c>
      <c r="T8739" s="912" t="s">
        <v>132</v>
      </c>
      <c r="U8739" s="912">
        <v>290</v>
      </c>
      <c r="V8739" s="912">
        <v>488</v>
      </c>
      <c r="W8739" s="912" t="s">
        <v>390</v>
      </c>
    </row>
    <row r="8740" spans="19:23">
      <c r="S8740" s="913" t="s">
        <v>558</v>
      </c>
      <c r="T8740" s="912" t="s">
        <v>132</v>
      </c>
      <c r="U8740" s="912">
        <v>822</v>
      </c>
      <c r="V8740" s="912">
        <v>73</v>
      </c>
      <c r="W8740" s="912" t="s">
        <v>410</v>
      </c>
    </row>
    <row r="8741" spans="19:23">
      <c r="S8741" s="913" t="s">
        <v>558</v>
      </c>
      <c r="T8741" s="912" t="s">
        <v>132</v>
      </c>
      <c r="U8741" s="912">
        <v>297</v>
      </c>
      <c r="V8741" s="912">
        <v>1521</v>
      </c>
      <c r="W8741" s="912" t="s">
        <v>390</v>
      </c>
    </row>
    <row r="8742" spans="19:23">
      <c r="S8742" s="913" t="s">
        <v>558</v>
      </c>
      <c r="T8742" s="912" t="s">
        <v>132</v>
      </c>
      <c r="U8742" s="912">
        <v>803</v>
      </c>
      <c r="V8742" s="912">
        <v>114</v>
      </c>
      <c r="W8742" s="912" t="s">
        <v>390</v>
      </c>
    </row>
    <row r="8743" spans="19:23">
      <c r="S8743" s="913" t="s">
        <v>558</v>
      </c>
      <c r="T8743" s="912" t="s">
        <v>132</v>
      </c>
      <c r="U8743" s="912">
        <v>252</v>
      </c>
      <c r="V8743" s="912">
        <v>2</v>
      </c>
      <c r="W8743" s="912" t="s">
        <v>410</v>
      </c>
    </row>
    <row r="8744" spans="19:23">
      <c r="S8744" s="913" t="s">
        <v>557</v>
      </c>
      <c r="T8744" s="912" t="s">
        <v>132</v>
      </c>
      <c r="U8744" s="912">
        <v>69</v>
      </c>
      <c r="V8744" s="912">
        <v>1</v>
      </c>
      <c r="W8744" s="912" t="s">
        <v>410</v>
      </c>
    </row>
    <row r="8745" spans="19:23">
      <c r="S8745" s="913" t="s">
        <v>558</v>
      </c>
      <c r="T8745" s="912" t="s">
        <v>132</v>
      </c>
      <c r="U8745" s="912">
        <v>667</v>
      </c>
      <c r="V8745" s="912">
        <v>2</v>
      </c>
      <c r="W8745" s="912" t="s">
        <v>410</v>
      </c>
    </row>
    <row r="8746" spans="19:23">
      <c r="S8746" s="913" t="s">
        <v>558</v>
      </c>
      <c r="T8746" s="912" t="s">
        <v>132</v>
      </c>
      <c r="U8746" s="912">
        <v>133</v>
      </c>
      <c r="V8746" s="912">
        <v>3</v>
      </c>
      <c r="W8746" s="912" t="s">
        <v>410</v>
      </c>
    </row>
    <row r="8747" spans="19:23">
      <c r="S8747" s="913" t="s">
        <v>558</v>
      </c>
      <c r="T8747" s="912" t="s">
        <v>132</v>
      </c>
      <c r="U8747" s="912">
        <v>317</v>
      </c>
      <c r="V8747" s="912">
        <v>3237</v>
      </c>
      <c r="W8747" s="912" t="s">
        <v>390</v>
      </c>
    </row>
    <row r="8748" spans="19:23">
      <c r="S8748" s="913" t="s">
        <v>558</v>
      </c>
      <c r="T8748" s="912" t="s">
        <v>132</v>
      </c>
      <c r="U8748" s="912">
        <v>322</v>
      </c>
      <c r="V8748" s="912">
        <v>2473</v>
      </c>
      <c r="W8748" s="912" t="s">
        <v>390</v>
      </c>
    </row>
    <row r="8749" spans="19:23">
      <c r="S8749" s="913" t="s">
        <v>557</v>
      </c>
      <c r="T8749" s="912" t="s">
        <v>132</v>
      </c>
      <c r="U8749" s="912">
        <v>271</v>
      </c>
      <c r="V8749" s="912">
        <v>2891</v>
      </c>
      <c r="W8749" s="912" t="s">
        <v>390</v>
      </c>
    </row>
    <row r="8750" spans="19:23">
      <c r="S8750" s="913" t="s">
        <v>558</v>
      </c>
      <c r="T8750" s="912" t="s">
        <v>132</v>
      </c>
      <c r="U8750" s="912">
        <v>173</v>
      </c>
      <c r="V8750" s="912">
        <v>5</v>
      </c>
      <c r="W8750" s="912" t="s">
        <v>410</v>
      </c>
    </row>
    <row r="8751" spans="19:23">
      <c r="S8751" s="913" t="s">
        <v>557</v>
      </c>
      <c r="T8751" s="912" t="s">
        <v>132</v>
      </c>
      <c r="U8751" s="912">
        <v>322</v>
      </c>
      <c r="V8751" s="912">
        <v>2567</v>
      </c>
      <c r="W8751" s="912" t="s">
        <v>390</v>
      </c>
    </row>
    <row r="8752" spans="19:23">
      <c r="S8752" s="913" t="s">
        <v>557</v>
      </c>
      <c r="T8752" s="912" t="s">
        <v>132</v>
      </c>
      <c r="U8752" s="912">
        <v>645</v>
      </c>
      <c r="V8752" s="912">
        <v>721</v>
      </c>
      <c r="W8752" s="912" t="s">
        <v>390</v>
      </c>
    </row>
    <row r="8753" spans="19:23">
      <c r="S8753" s="913" t="s">
        <v>558</v>
      </c>
      <c r="T8753" s="912" t="s">
        <v>132</v>
      </c>
      <c r="U8753" s="912">
        <v>728</v>
      </c>
      <c r="V8753" s="912">
        <v>1351</v>
      </c>
      <c r="W8753" s="912" t="s">
        <v>390</v>
      </c>
    </row>
    <row r="8754" spans="19:23">
      <c r="S8754" s="913" t="s">
        <v>557</v>
      </c>
      <c r="T8754" s="912" t="s">
        <v>132</v>
      </c>
      <c r="U8754" s="912">
        <v>159</v>
      </c>
      <c r="V8754" s="912">
        <v>8</v>
      </c>
      <c r="W8754" s="912" t="s">
        <v>410</v>
      </c>
    </row>
    <row r="8755" spans="19:23">
      <c r="S8755" s="913" t="s">
        <v>557</v>
      </c>
      <c r="T8755" s="912" t="s">
        <v>132</v>
      </c>
      <c r="U8755" s="912">
        <v>84</v>
      </c>
      <c r="V8755" s="912">
        <v>2435</v>
      </c>
      <c r="W8755" s="912" t="s">
        <v>390</v>
      </c>
    </row>
    <row r="8756" spans="19:23">
      <c r="S8756" s="913" t="s">
        <v>558</v>
      </c>
      <c r="T8756" s="912" t="s">
        <v>132</v>
      </c>
      <c r="U8756" s="912">
        <v>846</v>
      </c>
      <c r="V8756" s="912">
        <v>25</v>
      </c>
      <c r="W8756" s="912" t="s">
        <v>410</v>
      </c>
    </row>
    <row r="8757" spans="19:23">
      <c r="S8757" s="913" t="s">
        <v>557</v>
      </c>
      <c r="T8757" s="912" t="s">
        <v>132</v>
      </c>
      <c r="U8757" s="912">
        <v>720</v>
      </c>
      <c r="V8757" s="912">
        <v>2924</v>
      </c>
      <c r="W8757" s="912" t="s">
        <v>390</v>
      </c>
    </row>
    <row r="8758" spans="19:23">
      <c r="S8758" s="913" t="s">
        <v>558</v>
      </c>
      <c r="T8758" s="912" t="s">
        <v>132</v>
      </c>
      <c r="U8758" s="912">
        <v>319</v>
      </c>
      <c r="V8758" s="912">
        <v>3322</v>
      </c>
      <c r="W8758" s="912" t="s">
        <v>390</v>
      </c>
    </row>
    <row r="8759" spans="19:23">
      <c r="S8759" s="913" t="s">
        <v>557</v>
      </c>
      <c r="T8759" s="912" t="s">
        <v>132</v>
      </c>
      <c r="U8759" s="912">
        <v>44</v>
      </c>
      <c r="V8759" s="912">
        <v>2198</v>
      </c>
      <c r="W8759" s="912" t="s">
        <v>390</v>
      </c>
    </row>
    <row r="8760" spans="19:23">
      <c r="S8760" s="913" t="s">
        <v>558</v>
      </c>
      <c r="T8760" s="912" t="s">
        <v>132</v>
      </c>
      <c r="U8760" s="912">
        <v>116</v>
      </c>
      <c r="V8760" s="912">
        <v>2</v>
      </c>
      <c r="W8760" s="912" t="s">
        <v>410</v>
      </c>
    </row>
    <row r="8761" spans="19:23">
      <c r="S8761" s="913" t="s">
        <v>557</v>
      </c>
      <c r="T8761" s="912" t="s">
        <v>132</v>
      </c>
      <c r="U8761" s="912">
        <v>523</v>
      </c>
      <c r="V8761" s="912">
        <v>2</v>
      </c>
      <c r="W8761" s="912" t="s">
        <v>410</v>
      </c>
    </row>
    <row r="8762" spans="19:23">
      <c r="S8762" s="913" t="s">
        <v>557</v>
      </c>
      <c r="T8762" s="912" t="s">
        <v>132</v>
      </c>
      <c r="U8762" s="912">
        <v>664</v>
      </c>
      <c r="V8762" s="912">
        <v>2185</v>
      </c>
      <c r="W8762" s="912" t="s">
        <v>390</v>
      </c>
    </row>
    <row r="8763" spans="19:23">
      <c r="S8763" s="913" t="s">
        <v>557</v>
      </c>
      <c r="T8763" s="912" t="s">
        <v>132</v>
      </c>
      <c r="U8763" s="912">
        <v>171</v>
      </c>
      <c r="V8763" s="912">
        <v>46</v>
      </c>
      <c r="W8763" s="912" t="s">
        <v>410</v>
      </c>
    </row>
    <row r="8764" spans="19:23">
      <c r="S8764" s="913" t="s">
        <v>558</v>
      </c>
      <c r="T8764" s="912" t="s">
        <v>132</v>
      </c>
      <c r="U8764" s="912">
        <v>79</v>
      </c>
      <c r="V8764" s="912">
        <v>3</v>
      </c>
      <c r="W8764" s="912" t="s">
        <v>410</v>
      </c>
    </row>
    <row r="8765" spans="19:23">
      <c r="S8765" s="913" t="s">
        <v>558</v>
      </c>
      <c r="T8765" s="912" t="s">
        <v>132</v>
      </c>
      <c r="U8765" s="912">
        <v>718</v>
      </c>
      <c r="V8765" s="912">
        <v>1601</v>
      </c>
      <c r="W8765" s="912" t="s">
        <v>390</v>
      </c>
    </row>
    <row r="8766" spans="19:23">
      <c r="S8766" s="913" t="s">
        <v>557</v>
      </c>
      <c r="T8766" s="912" t="s">
        <v>132</v>
      </c>
      <c r="U8766" s="912">
        <v>528</v>
      </c>
      <c r="V8766" s="912">
        <v>53</v>
      </c>
      <c r="W8766" s="912" t="s">
        <v>410</v>
      </c>
    </row>
    <row r="8767" spans="19:23">
      <c r="S8767" s="913" t="s">
        <v>558</v>
      </c>
      <c r="T8767" s="912" t="s">
        <v>132</v>
      </c>
      <c r="U8767" s="912">
        <v>58</v>
      </c>
      <c r="V8767" s="912">
        <v>1</v>
      </c>
      <c r="W8767" s="912" t="s">
        <v>410</v>
      </c>
    </row>
    <row r="8768" spans="19:23">
      <c r="S8768" s="913" t="s">
        <v>558</v>
      </c>
      <c r="T8768" s="912" t="s">
        <v>132</v>
      </c>
      <c r="U8768" s="912">
        <v>315</v>
      </c>
      <c r="V8768" s="912">
        <v>1976</v>
      </c>
      <c r="W8768" s="912" t="s">
        <v>390</v>
      </c>
    </row>
    <row r="8769" spans="19:23">
      <c r="S8769" s="913" t="s">
        <v>557</v>
      </c>
      <c r="T8769" s="912" t="s">
        <v>132</v>
      </c>
      <c r="U8769" s="912">
        <v>726</v>
      </c>
      <c r="V8769" s="912">
        <v>82</v>
      </c>
      <c r="W8769" s="912" t="s">
        <v>410</v>
      </c>
    </row>
    <row r="8770" spans="19:23">
      <c r="S8770" s="913" t="s">
        <v>557</v>
      </c>
      <c r="T8770" s="912" t="s">
        <v>132</v>
      </c>
      <c r="U8770" s="912">
        <v>133</v>
      </c>
      <c r="V8770" s="912">
        <v>4</v>
      </c>
      <c r="W8770" s="912" t="s">
        <v>410</v>
      </c>
    </row>
    <row r="8771" spans="19:23">
      <c r="S8771" s="913" t="s">
        <v>558</v>
      </c>
      <c r="T8771" s="912" t="s">
        <v>132</v>
      </c>
      <c r="U8771" s="912">
        <v>669</v>
      </c>
      <c r="V8771" s="912">
        <v>2872</v>
      </c>
      <c r="W8771" s="912" t="s">
        <v>390</v>
      </c>
    </row>
    <row r="8772" spans="19:23">
      <c r="S8772" s="913" t="s">
        <v>558</v>
      </c>
      <c r="T8772" s="912" t="s">
        <v>132</v>
      </c>
      <c r="U8772" s="912">
        <v>130</v>
      </c>
      <c r="V8772" s="912">
        <v>1</v>
      </c>
      <c r="W8772" s="912" t="s">
        <v>410</v>
      </c>
    </row>
    <row r="8773" spans="19:23">
      <c r="S8773" s="913" t="s">
        <v>557</v>
      </c>
      <c r="T8773" s="912" t="s">
        <v>132</v>
      </c>
      <c r="U8773" s="912">
        <v>53</v>
      </c>
      <c r="V8773" s="912">
        <v>3</v>
      </c>
      <c r="W8773" s="912" t="s">
        <v>410</v>
      </c>
    </row>
    <row r="8774" spans="19:23">
      <c r="S8774" s="913" t="s">
        <v>558</v>
      </c>
      <c r="T8774" s="912" t="s">
        <v>132</v>
      </c>
      <c r="U8774" s="912">
        <v>246</v>
      </c>
      <c r="V8774" s="912">
        <v>8</v>
      </c>
      <c r="W8774" s="912" t="s">
        <v>410</v>
      </c>
    </row>
    <row r="8775" spans="19:23">
      <c r="S8775" s="913" t="s">
        <v>557</v>
      </c>
      <c r="T8775" s="912" t="s">
        <v>132</v>
      </c>
      <c r="U8775" s="912">
        <v>183</v>
      </c>
      <c r="V8775" s="912">
        <v>589</v>
      </c>
      <c r="W8775" s="912" t="s">
        <v>390</v>
      </c>
    </row>
    <row r="8776" spans="19:23">
      <c r="S8776" s="913" t="s">
        <v>558</v>
      </c>
      <c r="T8776" s="912" t="s">
        <v>132</v>
      </c>
      <c r="U8776" s="912">
        <v>247</v>
      </c>
      <c r="V8776" s="912">
        <v>2305</v>
      </c>
      <c r="W8776" s="912" t="s">
        <v>390</v>
      </c>
    </row>
    <row r="8777" spans="19:23">
      <c r="S8777" s="913" t="s">
        <v>557</v>
      </c>
      <c r="T8777" s="912" t="s">
        <v>132</v>
      </c>
      <c r="U8777" s="912">
        <v>283</v>
      </c>
      <c r="V8777" s="912">
        <v>1</v>
      </c>
      <c r="W8777" s="912" t="s">
        <v>410</v>
      </c>
    </row>
    <row r="8778" spans="19:23">
      <c r="S8778" s="913" t="s">
        <v>557</v>
      </c>
      <c r="T8778" s="912" t="s">
        <v>132</v>
      </c>
      <c r="U8778" s="912">
        <v>257</v>
      </c>
      <c r="V8778" s="912">
        <v>2987</v>
      </c>
      <c r="W8778" s="912" t="s">
        <v>390</v>
      </c>
    </row>
    <row r="8779" spans="19:23">
      <c r="S8779" s="913" t="s">
        <v>558</v>
      </c>
      <c r="T8779" s="912" t="s">
        <v>132</v>
      </c>
      <c r="U8779" s="912">
        <v>59</v>
      </c>
      <c r="V8779" s="912">
        <v>3</v>
      </c>
      <c r="W8779" s="912" t="s">
        <v>410</v>
      </c>
    </row>
    <row r="8780" spans="19:23">
      <c r="S8780" s="913" t="s">
        <v>558</v>
      </c>
      <c r="T8780" s="912" t="s">
        <v>132</v>
      </c>
      <c r="U8780" s="912">
        <v>723</v>
      </c>
      <c r="V8780" s="912">
        <v>2227</v>
      </c>
      <c r="W8780" s="912" t="s">
        <v>390</v>
      </c>
    </row>
    <row r="8781" spans="19:23">
      <c r="S8781" s="913" t="s">
        <v>557</v>
      </c>
      <c r="T8781" s="912" t="s">
        <v>132</v>
      </c>
      <c r="U8781" s="912">
        <v>729</v>
      </c>
      <c r="V8781" s="912">
        <v>80</v>
      </c>
      <c r="W8781" s="912" t="s">
        <v>410</v>
      </c>
    </row>
    <row r="8782" spans="19:23">
      <c r="S8782" s="913" t="s">
        <v>558</v>
      </c>
      <c r="T8782" s="912" t="s">
        <v>132</v>
      </c>
      <c r="U8782" s="912">
        <v>233</v>
      </c>
      <c r="V8782" s="912">
        <v>1995</v>
      </c>
      <c r="W8782" s="912" t="s">
        <v>390</v>
      </c>
    </row>
    <row r="8783" spans="19:23">
      <c r="S8783" s="913" t="s">
        <v>557</v>
      </c>
      <c r="T8783" s="912" t="s">
        <v>132</v>
      </c>
      <c r="U8783" s="912">
        <v>191</v>
      </c>
      <c r="V8783" s="912">
        <v>341</v>
      </c>
      <c r="W8783" s="912" t="s">
        <v>390</v>
      </c>
    </row>
    <row r="8784" spans="19:23">
      <c r="S8784" s="913" t="s">
        <v>557</v>
      </c>
      <c r="T8784" s="912" t="s">
        <v>132</v>
      </c>
      <c r="U8784" s="912">
        <v>241</v>
      </c>
      <c r="V8784" s="912">
        <v>13</v>
      </c>
      <c r="W8784" s="912" t="s">
        <v>410</v>
      </c>
    </row>
    <row r="8785" spans="19:23">
      <c r="S8785" s="913" t="s">
        <v>557</v>
      </c>
      <c r="T8785" s="912" t="s">
        <v>132</v>
      </c>
      <c r="U8785" s="912">
        <v>243</v>
      </c>
      <c r="V8785" s="912">
        <v>348</v>
      </c>
      <c r="W8785" s="912" t="s">
        <v>390</v>
      </c>
    </row>
    <row r="8786" spans="19:23">
      <c r="S8786" s="913" t="s">
        <v>557</v>
      </c>
      <c r="T8786" s="912" t="s">
        <v>132</v>
      </c>
      <c r="U8786" s="912">
        <v>245</v>
      </c>
      <c r="V8786" s="912">
        <v>3165</v>
      </c>
      <c r="W8786" s="912" t="s">
        <v>390</v>
      </c>
    </row>
    <row r="8787" spans="19:23">
      <c r="S8787" s="913" t="s">
        <v>557</v>
      </c>
      <c r="T8787" s="912" t="s">
        <v>132</v>
      </c>
      <c r="U8787" s="912">
        <v>220</v>
      </c>
      <c r="V8787" s="912">
        <v>110</v>
      </c>
      <c r="W8787" s="912" t="s">
        <v>390</v>
      </c>
    </row>
    <row r="8788" spans="19:23">
      <c r="S8788" s="913" t="s">
        <v>558</v>
      </c>
      <c r="T8788" s="912" t="s">
        <v>132</v>
      </c>
      <c r="U8788" s="912">
        <v>119</v>
      </c>
      <c r="V8788" s="912">
        <v>1</v>
      </c>
      <c r="W8788" s="912" t="s">
        <v>410</v>
      </c>
    </row>
    <row r="8789" spans="19:23">
      <c r="S8789" s="913" t="s">
        <v>558</v>
      </c>
      <c r="T8789" s="912" t="s">
        <v>132</v>
      </c>
      <c r="U8789" s="912">
        <v>792</v>
      </c>
      <c r="V8789" s="912">
        <v>690</v>
      </c>
      <c r="W8789" s="912" t="s">
        <v>390</v>
      </c>
    </row>
    <row r="8790" spans="19:23">
      <c r="S8790" s="913" t="s">
        <v>557</v>
      </c>
      <c r="T8790" s="912" t="s">
        <v>132</v>
      </c>
      <c r="U8790" s="912">
        <v>203</v>
      </c>
      <c r="V8790" s="912">
        <v>2521</v>
      </c>
      <c r="W8790" s="912" t="s">
        <v>390</v>
      </c>
    </row>
    <row r="8791" spans="19:23">
      <c r="S8791" s="913" t="s">
        <v>558</v>
      </c>
      <c r="T8791" s="912" t="s">
        <v>132</v>
      </c>
      <c r="U8791" s="912">
        <v>81</v>
      </c>
      <c r="V8791" s="912">
        <v>7</v>
      </c>
      <c r="W8791" s="912" t="s">
        <v>410</v>
      </c>
    </row>
    <row r="8792" spans="19:23">
      <c r="S8792" s="913" t="s">
        <v>558</v>
      </c>
      <c r="T8792" s="912" t="s">
        <v>132</v>
      </c>
      <c r="U8792" s="912">
        <v>707</v>
      </c>
      <c r="V8792" s="912">
        <v>106</v>
      </c>
      <c r="W8792" s="912" t="s">
        <v>390</v>
      </c>
    </row>
    <row r="8793" spans="19:23">
      <c r="S8793" s="913" t="s">
        <v>558</v>
      </c>
      <c r="T8793" s="912" t="s">
        <v>132</v>
      </c>
      <c r="U8793" s="912">
        <v>202</v>
      </c>
      <c r="V8793" s="912">
        <v>1</v>
      </c>
      <c r="W8793" s="912" t="s">
        <v>410</v>
      </c>
    </row>
    <row r="8794" spans="19:23">
      <c r="S8794" s="913" t="s">
        <v>557</v>
      </c>
      <c r="T8794" s="912" t="s">
        <v>132</v>
      </c>
      <c r="U8794" s="912">
        <v>61</v>
      </c>
      <c r="V8794" s="912">
        <v>2</v>
      </c>
      <c r="W8794" s="912" t="s">
        <v>410</v>
      </c>
    </row>
    <row r="8795" spans="19:23">
      <c r="S8795" s="913" t="s">
        <v>558</v>
      </c>
      <c r="T8795" s="912" t="s">
        <v>132</v>
      </c>
      <c r="U8795" s="912">
        <v>66</v>
      </c>
      <c r="V8795" s="912">
        <v>1</v>
      </c>
      <c r="W8795" s="912" t="s">
        <v>410</v>
      </c>
    </row>
    <row r="8796" spans="19:23">
      <c r="S8796" s="913" t="s">
        <v>558</v>
      </c>
      <c r="T8796" s="912" t="s">
        <v>132</v>
      </c>
      <c r="U8796" s="912">
        <v>227</v>
      </c>
      <c r="V8796" s="912">
        <v>1</v>
      </c>
      <c r="W8796" s="912" t="s">
        <v>410</v>
      </c>
    </row>
    <row r="8797" spans="19:23">
      <c r="S8797" s="913" t="s">
        <v>558</v>
      </c>
      <c r="T8797" s="912" t="s">
        <v>132</v>
      </c>
      <c r="U8797" s="912">
        <v>729</v>
      </c>
      <c r="V8797" s="912">
        <v>176</v>
      </c>
      <c r="W8797" s="912" t="s">
        <v>390</v>
      </c>
    </row>
    <row r="8798" spans="19:23">
      <c r="S8798" s="913" t="s">
        <v>557</v>
      </c>
      <c r="T8798" s="912" t="s">
        <v>132</v>
      </c>
      <c r="U8798" s="912">
        <v>83</v>
      </c>
      <c r="V8798" s="912">
        <v>2438</v>
      </c>
      <c r="W8798" s="912" t="s">
        <v>390</v>
      </c>
    </row>
    <row r="8799" spans="19:23">
      <c r="S8799" s="913" t="s">
        <v>558</v>
      </c>
      <c r="T8799" s="912" t="s">
        <v>132</v>
      </c>
      <c r="U8799" s="912">
        <v>53</v>
      </c>
      <c r="V8799" s="912">
        <v>4</v>
      </c>
      <c r="W8799" s="912" t="s">
        <v>410</v>
      </c>
    </row>
    <row r="8800" spans="19:23">
      <c r="S8800" s="913" t="s">
        <v>558</v>
      </c>
      <c r="T8800" s="912" t="s">
        <v>132</v>
      </c>
      <c r="U8800" s="912">
        <v>241</v>
      </c>
      <c r="V8800" s="912">
        <v>11</v>
      </c>
      <c r="W8800" s="912" t="s">
        <v>410</v>
      </c>
    </row>
    <row r="8801" spans="19:23">
      <c r="S8801" s="913" t="s">
        <v>558</v>
      </c>
      <c r="T8801" s="912" t="s">
        <v>132</v>
      </c>
      <c r="U8801" s="912">
        <v>327</v>
      </c>
      <c r="V8801" s="912">
        <v>3</v>
      </c>
      <c r="W8801" s="912" t="s">
        <v>410</v>
      </c>
    </row>
    <row r="8802" spans="19:23">
      <c r="S8802" s="913" t="s">
        <v>558</v>
      </c>
      <c r="T8802" s="912" t="s">
        <v>132</v>
      </c>
      <c r="U8802" s="912">
        <v>662</v>
      </c>
      <c r="V8802" s="912">
        <v>321</v>
      </c>
      <c r="W8802" s="912" t="s">
        <v>390</v>
      </c>
    </row>
    <row r="8803" spans="19:23">
      <c r="S8803" s="913" t="s">
        <v>557</v>
      </c>
      <c r="T8803" s="912" t="s">
        <v>132</v>
      </c>
      <c r="U8803" s="912">
        <v>132</v>
      </c>
      <c r="V8803" s="912">
        <v>2977</v>
      </c>
      <c r="W8803" s="912" t="s">
        <v>390</v>
      </c>
    </row>
    <row r="8804" spans="19:23">
      <c r="S8804" s="913" t="s">
        <v>557</v>
      </c>
      <c r="T8804" s="912" t="s">
        <v>132</v>
      </c>
      <c r="U8804" s="912">
        <v>681</v>
      </c>
      <c r="V8804" s="912">
        <v>643</v>
      </c>
      <c r="W8804" s="912" t="s">
        <v>390</v>
      </c>
    </row>
    <row r="8805" spans="19:23">
      <c r="S8805" s="913" t="s">
        <v>557</v>
      </c>
      <c r="T8805" s="912" t="s">
        <v>132</v>
      </c>
      <c r="U8805" s="912">
        <v>60</v>
      </c>
      <c r="V8805" s="912">
        <v>1</v>
      </c>
      <c r="W8805" s="912" t="s">
        <v>410</v>
      </c>
    </row>
    <row r="8806" spans="19:23">
      <c r="S8806" s="913" t="s">
        <v>557</v>
      </c>
      <c r="T8806" s="912" t="s">
        <v>132</v>
      </c>
      <c r="U8806" s="912">
        <v>710</v>
      </c>
      <c r="V8806" s="912">
        <v>947</v>
      </c>
      <c r="W8806" s="912" t="s">
        <v>390</v>
      </c>
    </row>
    <row r="8807" spans="19:23">
      <c r="S8807" s="913" t="s">
        <v>558</v>
      </c>
      <c r="T8807" s="912" t="s">
        <v>132</v>
      </c>
      <c r="U8807" s="912">
        <v>738</v>
      </c>
      <c r="V8807" s="912">
        <v>95</v>
      </c>
      <c r="W8807" s="912" t="s">
        <v>410</v>
      </c>
    </row>
    <row r="8808" spans="19:23">
      <c r="S8808" s="913" t="s">
        <v>558</v>
      </c>
      <c r="T8808" s="912" t="s">
        <v>132</v>
      </c>
      <c r="U8808" s="912">
        <v>823</v>
      </c>
      <c r="V8808" s="912">
        <v>26</v>
      </c>
      <c r="W8808" s="912" t="s">
        <v>410</v>
      </c>
    </row>
    <row r="8809" spans="19:23">
      <c r="S8809" s="913" t="s">
        <v>557</v>
      </c>
      <c r="T8809" s="912" t="s">
        <v>132</v>
      </c>
      <c r="U8809" s="912">
        <v>215</v>
      </c>
      <c r="V8809" s="912">
        <v>681</v>
      </c>
      <c r="W8809" s="912" t="s">
        <v>390</v>
      </c>
    </row>
    <row r="8810" spans="19:23">
      <c r="S8810" s="913" t="s">
        <v>558</v>
      </c>
      <c r="T8810" s="912" t="s">
        <v>132</v>
      </c>
      <c r="U8810" s="912">
        <v>230</v>
      </c>
      <c r="V8810" s="912">
        <v>6</v>
      </c>
      <c r="W8810" s="912" t="s">
        <v>410</v>
      </c>
    </row>
    <row r="8811" spans="19:23">
      <c r="S8811" s="913" t="s">
        <v>557</v>
      </c>
      <c r="T8811" s="912" t="s">
        <v>132</v>
      </c>
      <c r="U8811" s="912">
        <v>704</v>
      </c>
      <c r="V8811" s="912">
        <v>3337</v>
      </c>
      <c r="W8811" s="912" t="s">
        <v>390</v>
      </c>
    </row>
    <row r="8812" spans="19:23">
      <c r="S8812" s="913" t="s">
        <v>558</v>
      </c>
      <c r="T8812" s="912" t="s">
        <v>132</v>
      </c>
      <c r="U8812" s="912">
        <v>735</v>
      </c>
      <c r="V8812" s="912">
        <v>2804</v>
      </c>
      <c r="W8812" s="912" t="s">
        <v>390</v>
      </c>
    </row>
    <row r="8813" spans="19:23">
      <c r="S8813" s="913" t="s">
        <v>558</v>
      </c>
      <c r="T8813" s="912" t="s">
        <v>132</v>
      </c>
      <c r="U8813" s="912">
        <v>188</v>
      </c>
      <c r="V8813" s="912">
        <v>776</v>
      </c>
      <c r="W8813" s="912" t="s">
        <v>390</v>
      </c>
    </row>
    <row r="8814" spans="19:23">
      <c r="S8814" s="913" t="s">
        <v>558</v>
      </c>
      <c r="T8814" s="912" t="s">
        <v>132</v>
      </c>
      <c r="U8814" s="912">
        <v>709</v>
      </c>
      <c r="V8814" s="912">
        <v>2561</v>
      </c>
      <c r="W8814" s="912" t="s">
        <v>390</v>
      </c>
    </row>
    <row r="8815" spans="19:23">
      <c r="S8815" s="913" t="s">
        <v>557</v>
      </c>
      <c r="T8815" s="912" t="s">
        <v>132</v>
      </c>
      <c r="U8815" s="912">
        <v>666</v>
      </c>
      <c r="V8815" s="912">
        <v>1583</v>
      </c>
      <c r="W8815" s="912" t="s">
        <v>390</v>
      </c>
    </row>
    <row r="8816" spans="19:23">
      <c r="S8816" s="913" t="s">
        <v>557</v>
      </c>
      <c r="T8816" s="912" t="s">
        <v>132</v>
      </c>
      <c r="U8816" s="912">
        <v>108</v>
      </c>
      <c r="V8816" s="912">
        <v>10</v>
      </c>
      <c r="W8816" s="912" t="s">
        <v>410</v>
      </c>
    </row>
    <row r="8817" spans="19:23">
      <c r="S8817" s="913" t="s">
        <v>557</v>
      </c>
      <c r="T8817" s="912" t="s">
        <v>132</v>
      </c>
      <c r="U8817" s="912">
        <v>329</v>
      </c>
      <c r="V8817" s="912">
        <v>4025</v>
      </c>
      <c r="W8817" s="912" t="s">
        <v>390</v>
      </c>
    </row>
    <row r="8818" spans="19:23">
      <c r="S8818" s="913" t="s">
        <v>558</v>
      </c>
      <c r="T8818" s="912" t="s">
        <v>132</v>
      </c>
      <c r="U8818" s="912">
        <v>311</v>
      </c>
      <c r="V8818" s="912">
        <v>2421</v>
      </c>
      <c r="W8818" s="912" t="s">
        <v>390</v>
      </c>
    </row>
    <row r="8819" spans="19:23">
      <c r="S8819" s="913" t="s">
        <v>558</v>
      </c>
      <c r="T8819" s="912" t="s">
        <v>132</v>
      </c>
      <c r="U8819" s="912">
        <v>64</v>
      </c>
      <c r="V8819" s="912">
        <v>1</v>
      </c>
      <c r="W8819" s="912" t="s">
        <v>410</v>
      </c>
    </row>
    <row r="8820" spans="19:23">
      <c r="S8820" s="913" t="s">
        <v>557</v>
      </c>
      <c r="T8820" s="912" t="s">
        <v>132</v>
      </c>
      <c r="U8820" s="912">
        <v>124</v>
      </c>
      <c r="V8820" s="912">
        <v>9</v>
      </c>
      <c r="W8820" s="912" t="s">
        <v>410</v>
      </c>
    </row>
    <row r="8821" spans="19:23">
      <c r="S8821" s="913" t="s">
        <v>557</v>
      </c>
      <c r="T8821" s="912" t="s">
        <v>132</v>
      </c>
      <c r="U8821" s="912">
        <v>140</v>
      </c>
      <c r="V8821" s="912">
        <v>589</v>
      </c>
      <c r="W8821" s="912" t="s">
        <v>390</v>
      </c>
    </row>
    <row r="8822" spans="19:23">
      <c r="S8822" s="913" t="s">
        <v>557</v>
      </c>
      <c r="T8822" s="912" t="s">
        <v>132</v>
      </c>
      <c r="U8822" s="912">
        <v>103</v>
      </c>
      <c r="V8822" s="912">
        <v>3377</v>
      </c>
      <c r="W8822" s="912" t="s">
        <v>390</v>
      </c>
    </row>
    <row r="8823" spans="19:23">
      <c r="S8823" s="913" t="s">
        <v>558</v>
      </c>
      <c r="T8823" s="912" t="s">
        <v>132</v>
      </c>
      <c r="U8823" s="912">
        <v>158</v>
      </c>
      <c r="V8823" s="912">
        <v>182</v>
      </c>
      <c r="W8823" s="912" t="s">
        <v>390</v>
      </c>
    </row>
    <row r="8824" spans="19:23">
      <c r="S8824" s="913" t="s">
        <v>558</v>
      </c>
      <c r="T8824" s="912" t="s">
        <v>132</v>
      </c>
      <c r="U8824" s="912">
        <v>737</v>
      </c>
      <c r="V8824" s="912">
        <v>2125</v>
      </c>
      <c r="W8824" s="912" t="s">
        <v>390</v>
      </c>
    </row>
    <row r="8825" spans="19:23">
      <c r="S8825" s="913" t="s">
        <v>558</v>
      </c>
      <c r="T8825" s="912" t="s">
        <v>132</v>
      </c>
      <c r="U8825" s="912">
        <v>693</v>
      </c>
      <c r="V8825" s="912">
        <v>1</v>
      </c>
      <c r="W8825" s="912" t="s">
        <v>410</v>
      </c>
    </row>
    <row r="8826" spans="19:23">
      <c r="S8826" s="913" t="s">
        <v>557</v>
      </c>
      <c r="T8826" s="912" t="s">
        <v>132</v>
      </c>
      <c r="U8826" s="912">
        <v>41</v>
      </c>
      <c r="V8826" s="912">
        <v>1</v>
      </c>
      <c r="W8826" s="912" t="s">
        <v>410</v>
      </c>
    </row>
    <row r="8827" spans="19:23">
      <c r="S8827" s="913" t="s">
        <v>558</v>
      </c>
      <c r="T8827" s="912" t="s">
        <v>132</v>
      </c>
      <c r="U8827" s="912">
        <v>296</v>
      </c>
      <c r="V8827" s="912">
        <v>2329</v>
      </c>
      <c r="W8827" s="912" t="s">
        <v>390</v>
      </c>
    </row>
    <row r="8828" spans="19:23">
      <c r="S8828" s="913" t="s">
        <v>557</v>
      </c>
      <c r="T8828" s="912" t="s">
        <v>132</v>
      </c>
      <c r="U8828" s="912">
        <v>651</v>
      </c>
      <c r="V8828" s="912">
        <v>67</v>
      </c>
      <c r="W8828" s="912" t="s">
        <v>410</v>
      </c>
    </row>
    <row r="8829" spans="19:23">
      <c r="S8829" s="913" t="s">
        <v>557</v>
      </c>
      <c r="T8829" s="912" t="s">
        <v>132</v>
      </c>
      <c r="U8829" s="912">
        <v>40</v>
      </c>
      <c r="V8829" s="912">
        <v>4</v>
      </c>
      <c r="W8829" s="912" t="s">
        <v>410</v>
      </c>
    </row>
    <row r="8830" spans="19:23">
      <c r="S8830" s="913" t="s">
        <v>558</v>
      </c>
      <c r="T8830" s="912" t="s">
        <v>132</v>
      </c>
      <c r="U8830" s="912">
        <v>799</v>
      </c>
      <c r="V8830" s="912">
        <v>115</v>
      </c>
      <c r="W8830" s="912" t="s">
        <v>390</v>
      </c>
    </row>
    <row r="8831" spans="19:23">
      <c r="S8831" s="913" t="s">
        <v>558</v>
      </c>
      <c r="T8831" s="912" t="s">
        <v>132</v>
      </c>
      <c r="U8831" s="912">
        <v>710</v>
      </c>
      <c r="V8831" s="912">
        <v>1230</v>
      </c>
      <c r="W8831" s="912" t="s">
        <v>390</v>
      </c>
    </row>
    <row r="8832" spans="19:23">
      <c r="S8832" s="913" t="s">
        <v>558</v>
      </c>
      <c r="T8832" s="912" t="s">
        <v>132</v>
      </c>
      <c r="U8832" s="912">
        <v>674</v>
      </c>
      <c r="V8832" s="912">
        <v>3972</v>
      </c>
      <c r="W8832" s="912" t="s">
        <v>390</v>
      </c>
    </row>
    <row r="8833" spans="19:23">
      <c r="S8833" s="913" t="s">
        <v>557</v>
      </c>
      <c r="T8833" s="912" t="s">
        <v>132</v>
      </c>
      <c r="U8833" s="912">
        <v>678</v>
      </c>
      <c r="V8833" s="912">
        <v>183</v>
      </c>
      <c r="W8833" s="912" t="s">
        <v>390</v>
      </c>
    </row>
    <row r="8834" spans="19:23">
      <c r="S8834" s="913" t="s">
        <v>557</v>
      </c>
      <c r="T8834" s="912" t="s">
        <v>132</v>
      </c>
      <c r="U8834" s="912">
        <v>266</v>
      </c>
      <c r="V8834" s="912">
        <v>2449</v>
      </c>
      <c r="W8834" s="912" t="s">
        <v>390</v>
      </c>
    </row>
    <row r="8835" spans="19:23">
      <c r="S8835" s="913" t="s">
        <v>558</v>
      </c>
      <c r="T8835" s="912" t="s">
        <v>132</v>
      </c>
      <c r="U8835" s="912">
        <v>658</v>
      </c>
      <c r="V8835" s="912">
        <v>5</v>
      </c>
      <c r="W8835" s="912" t="s">
        <v>410</v>
      </c>
    </row>
    <row r="8836" spans="19:23">
      <c r="S8836" s="913" t="s">
        <v>557</v>
      </c>
      <c r="T8836" s="912" t="s">
        <v>132</v>
      </c>
      <c r="U8836" s="912">
        <v>344</v>
      </c>
      <c r="V8836" s="912">
        <v>38</v>
      </c>
      <c r="W8836" s="912" t="s">
        <v>410</v>
      </c>
    </row>
    <row r="8837" spans="19:23">
      <c r="S8837" s="913" t="s">
        <v>558</v>
      </c>
      <c r="T8837" s="912" t="s">
        <v>132</v>
      </c>
      <c r="U8837" s="912">
        <v>257</v>
      </c>
      <c r="V8837" s="912">
        <v>2883</v>
      </c>
      <c r="W8837" s="912" t="s">
        <v>390</v>
      </c>
    </row>
    <row r="8838" spans="19:23">
      <c r="S8838" s="913" t="s">
        <v>558</v>
      </c>
      <c r="T8838" s="912" t="s">
        <v>132</v>
      </c>
      <c r="U8838" s="912">
        <v>320</v>
      </c>
      <c r="V8838" s="912">
        <v>1622</v>
      </c>
      <c r="W8838" s="912" t="s">
        <v>390</v>
      </c>
    </row>
    <row r="8839" spans="19:23">
      <c r="S8839" s="913" t="s">
        <v>558</v>
      </c>
      <c r="T8839" s="912" t="s">
        <v>132</v>
      </c>
      <c r="U8839" s="912">
        <v>798</v>
      </c>
      <c r="V8839" s="912">
        <v>2862</v>
      </c>
      <c r="W8839" s="912" t="s">
        <v>390</v>
      </c>
    </row>
    <row r="8840" spans="19:23">
      <c r="S8840" s="913" t="s">
        <v>558</v>
      </c>
      <c r="T8840" s="912" t="s">
        <v>132</v>
      </c>
      <c r="U8840" s="912">
        <v>294</v>
      </c>
      <c r="V8840" s="912">
        <v>4</v>
      </c>
      <c r="W8840" s="912" t="s">
        <v>410</v>
      </c>
    </row>
    <row r="8841" spans="19:23">
      <c r="S8841" s="913" t="s">
        <v>558</v>
      </c>
      <c r="T8841" s="912" t="s">
        <v>132</v>
      </c>
      <c r="U8841" s="912">
        <v>235</v>
      </c>
      <c r="V8841" s="912">
        <v>4</v>
      </c>
      <c r="W8841" s="912" t="s">
        <v>410</v>
      </c>
    </row>
    <row r="8842" spans="19:23">
      <c r="S8842" s="913" t="s">
        <v>557</v>
      </c>
      <c r="T8842" s="912" t="s">
        <v>132</v>
      </c>
      <c r="U8842" s="912">
        <v>76</v>
      </c>
      <c r="V8842" s="912">
        <v>3035</v>
      </c>
      <c r="W8842" s="912" t="s">
        <v>390</v>
      </c>
    </row>
    <row r="8843" spans="19:23">
      <c r="S8843" s="913" t="s">
        <v>557</v>
      </c>
      <c r="T8843" s="912" t="s">
        <v>132</v>
      </c>
      <c r="U8843" s="912">
        <v>161</v>
      </c>
      <c r="V8843" s="912">
        <v>1</v>
      </c>
      <c r="W8843" s="912" t="s">
        <v>410</v>
      </c>
    </row>
    <row r="8844" spans="19:23">
      <c r="S8844" s="913" t="s">
        <v>558</v>
      </c>
      <c r="T8844" s="912" t="s">
        <v>132</v>
      </c>
      <c r="U8844" s="912">
        <v>98</v>
      </c>
      <c r="V8844" s="912">
        <v>23</v>
      </c>
      <c r="W8844" s="912" t="s">
        <v>410</v>
      </c>
    </row>
    <row r="8845" spans="19:23">
      <c r="S8845" s="913" t="s">
        <v>558</v>
      </c>
      <c r="T8845" s="912" t="s">
        <v>132</v>
      </c>
      <c r="U8845" s="912">
        <v>824</v>
      </c>
      <c r="V8845" s="912">
        <v>2</v>
      </c>
      <c r="W8845" s="912" t="s">
        <v>410</v>
      </c>
    </row>
    <row r="8846" spans="19:23">
      <c r="S8846" s="913" t="s">
        <v>558</v>
      </c>
      <c r="T8846" s="912" t="s">
        <v>132</v>
      </c>
      <c r="U8846" s="912">
        <v>641</v>
      </c>
      <c r="V8846" s="912">
        <v>2191</v>
      </c>
      <c r="W8846" s="912" t="s">
        <v>390</v>
      </c>
    </row>
    <row r="8847" spans="19:23">
      <c r="S8847" s="913" t="s">
        <v>558</v>
      </c>
      <c r="T8847" s="912" t="s">
        <v>132</v>
      </c>
      <c r="U8847" s="912">
        <v>853</v>
      </c>
      <c r="V8847" s="912">
        <v>23</v>
      </c>
      <c r="W8847" s="912" t="s">
        <v>410</v>
      </c>
    </row>
    <row r="8848" spans="19:23">
      <c r="S8848" s="913" t="s">
        <v>558</v>
      </c>
      <c r="T8848" s="912" t="s">
        <v>132</v>
      </c>
      <c r="U8848" s="912">
        <v>678</v>
      </c>
      <c r="V8848" s="912">
        <v>156</v>
      </c>
      <c r="W8848" s="912" t="s">
        <v>390</v>
      </c>
    </row>
    <row r="8849" spans="19:23">
      <c r="S8849" s="913" t="s">
        <v>558</v>
      </c>
      <c r="T8849" s="912" t="s">
        <v>132</v>
      </c>
      <c r="U8849" s="912">
        <v>832</v>
      </c>
      <c r="V8849" s="912">
        <v>34</v>
      </c>
      <c r="W8849" s="912" t="s">
        <v>410</v>
      </c>
    </row>
    <row r="8850" spans="19:23">
      <c r="S8850" s="913" t="s">
        <v>558</v>
      </c>
      <c r="T8850" s="912" t="s">
        <v>132</v>
      </c>
      <c r="U8850" s="912">
        <v>663</v>
      </c>
      <c r="V8850" s="912">
        <v>222</v>
      </c>
      <c r="W8850" s="912" t="s">
        <v>390</v>
      </c>
    </row>
    <row r="8851" spans="19:23">
      <c r="S8851" s="913" t="s">
        <v>557</v>
      </c>
      <c r="T8851" s="912" t="s">
        <v>132</v>
      </c>
      <c r="U8851" s="912">
        <v>48</v>
      </c>
      <c r="V8851" s="912">
        <v>666</v>
      </c>
      <c r="W8851" s="912" t="s">
        <v>390</v>
      </c>
    </row>
    <row r="8852" spans="19:23">
      <c r="S8852" s="913" t="s">
        <v>558</v>
      </c>
      <c r="T8852" s="912" t="s">
        <v>132</v>
      </c>
      <c r="U8852" s="912">
        <v>160</v>
      </c>
      <c r="V8852" s="912">
        <v>4</v>
      </c>
      <c r="W8852" s="912" t="s">
        <v>410</v>
      </c>
    </row>
    <row r="8853" spans="19:23">
      <c r="S8853" s="913" t="s">
        <v>558</v>
      </c>
      <c r="T8853" s="912" t="s">
        <v>132</v>
      </c>
      <c r="U8853" s="912">
        <v>299</v>
      </c>
      <c r="V8853" s="912">
        <v>1</v>
      </c>
      <c r="W8853" s="912" t="s">
        <v>410</v>
      </c>
    </row>
    <row r="8854" spans="19:23">
      <c r="S8854" s="913" t="s">
        <v>558</v>
      </c>
      <c r="T8854" s="912" t="s">
        <v>132</v>
      </c>
      <c r="U8854" s="912">
        <v>240</v>
      </c>
      <c r="V8854" s="912">
        <v>4</v>
      </c>
      <c r="W8854" s="912" t="s">
        <v>410</v>
      </c>
    </row>
    <row r="8855" spans="19:23">
      <c r="S8855" s="913" t="s">
        <v>557</v>
      </c>
      <c r="T8855" s="912" t="s">
        <v>132</v>
      </c>
      <c r="U8855" s="912">
        <v>265</v>
      </c>
      <c r="V8855" s="912">
        <v>20</v>
      </c>
      <c r="W8855" s="912" t="s">
        <v>410</v>
      </c>
    </row>
    <row r="8856" spans="19:23">
      <c r="S8856" s="913" t="s">
        <v>557</v>
      </c>
      <c r="T8856" s="912" t="s">
        <v>132</v>
      </c>
      <c r="U8856" s="912">
        <v>71</v>
      </c>
      <c r="V8856" s="912">
        <v>1</v>
      </c>
      <c r="W8856" s="912" t="s">
        <v>410</v>
      </c>
    </row>
    <row r="8857" spans="19:23">
      <c r="S8857" s="913" t="s">
        <v>558</v>
      </c>
      <c r="T8857" s="912" t="s">
        <v>132</v>
      </c>
      <c r="U8857" s="912">
        <v>660</v>
      </c>
      <c r="V8857" s="912">
        <v>3</v>
      </c>
      <c r="W8857" s="912" t="s">
        <v>410</v>
      </c>
    </row>
    <row r="8858" spans="19:23">
      <c r="S8858" s="913" t="s">
        <v>558</v>
      </c>
      <c r="T8858" s="912" t="s">
        <v>132</v>
      </c>
      <c r="U8858" s="912">
        <v>213</v>
      </c>
      <c r="V8858" s="912">
        <v>1</v>
      </c>
      <c r="W8858" s="912" t="s">
        <v>410</v>
      </c>
    </row>
    <row r="8859" spans="19:23">
      <c r="S8859" s="913" t="s">
        <v>558</v>
      </c>
      <c r="T8859" s="912" t="s">
        <v>132</v>
      </c>
      <c r="U8859" s="912">
        <v>720</v>
      </c>
      <c r="V8859" s="912">
        <v>2861</v>
      </c>
      <c r="W8859" s="912" t="s">
        <v>390</v>
      </c>
    </row>
    <row r="8860" spans="19:23">
      <c r="S8860" s="913" t="s">
        <v>557</v>
      </c>
      <c r="T8860" s="912" t="s">
        <v>132</v>
      </c>
      <c r="U8860" s="912">
        <v>694</v>
      </c>
      <c r="V8860" s="912">
        <v>1</v>
      </c>
      <c r="W8860" s="912" t="s">
        <v>410</v>
      </c>
    </row>
    <row r="8861" spans="19:23">
      <c r="S8861" s="913" t="s">
        <v>558</v>
      </c>
      <c r="T8861" s="912" t="s">
        <v>132</v>
      </c>
      <c r="U8861" s="912">
        <v>132</v>
      </c>
      <c r="V8861" s="912">
        <v>2776</v>
      </c>
      <c r="W8861" s="912" t="s">
        <v>390</v>
      </c>
    </row>
    <row r="8862" spans="19:23">
      <c r="S8862" s="913" t="s">
        <v>558</v>
      </c>
      <c r="T8862" s="912" t="s">
        <v>132</v>
      </c>
      <c r="U8862" s="912">
        <v>94</v>
      </c>
      <c r="V8862" s="912">
        <v>555</v>
      </c>
      <c r="W8862" s="912" t="s">
        <v>390</v>
      </c>
    </row>
    <row r="8863" spans="19:23">
      <c r="S8863" s="913" t="s">
        <v>558</v>
      </c>
      <c r="T8863" s="912" t="s">
        <v>132</v>
      </c>
      <c r="U8863" s="912">
        <v>262</v>
      </c>
      <c r="V8863" s="912">
        <v>28</v>
      </c>
      <c r="W8863" s="912" t="s">
        <v>410</v>
      </c>
    </row>
    <row r="8864" spans="19:23">
      <c r="S8864" s="913" t="s">
        <v>557</v>
      </c>
      <c r="T8864" s="912" t="s">
        <v>132</v>
      </c>
      <c r="U8864" s="912">
        <v>193</v>
      </c>
      <c r="V8864" s="912">
        <v>483</v>
      </c>
      <c r="W8864" s="912" t="s">
        <v>390</v>
      </c>
    </row>
    <row r="8865" spans="19:23">
      <c r="S8865" s="913" t="s">
        <v>558</v>
      </c>
      <c r="T8865" s="912" t="s">
        <v>132</v>
      </c>
      <c r="U8865" s="912">
        <v>56</v>
      </c>
      <c r="V8865" s="912">
        <v>9</v>
      </c>
      <c r="W8865" s="912" t="s">
        <v>410</v>
      </c>
    </row>
    <row r="8866" spans="19:23">
      <c r="S8866" s="913" t="s">
        <v>558</v>
      </c>
      <c r="T8866" s="912" t="s">
        <v>132</v>
      </c>
      <c r="U8866" s="912">
        <v>664</v>
      </c>
      <c r="V8866" s="912">
        <v>3425</v>
      </c>
      <c r="W8866" s="912" t="s">
        <v>390</v>
      </c>
    </row>
    <row r="8867" spans="19:23">
      <c r="S8867" s="913" t="s">
        <v>557</v>
      </c>
      <c r="T8867" s="912" t="s">
        <v>132</v>
      </c>
      <c r="U8867" s="912">
        <v>253</v>
      </c>
      <c r="V8867" s="912">
        <v>11</v>
      </c>
      <c r="W8867" s="912" t="s">
        <v>410</v>
      </c>
    </row>
    <row r="8868" spans="19:23">
      <c r="S8868" s="913" t="s">
        <v>557</v>
      </c>
      <c r="T8868" s="912" t="s">
        <v>132</v>
      </c>
      <c r="U8868" s="912">
        <v>204</v>
      </c>
      <c r="V8868" s="912">
        <v>6</v>
      </c>
      <c r="W8868" s="912" t="s">
        <v>410</v>
      </c>
    </row>
    <row r="8869" spans="19:23">
      <c r="S8869" s="913" t="s">
        <v>557</v>
      </c>
      <c r="T8869" s="912" t="s">
        <v>132</v>
      </c>
      <c r="U8869" s="912">
        <v>290</v>
      </c>
      <c r="V8869" s="912">
        <v>521</v>
      </c>
      <c r="W8869" s="912" t="s">
        <v>390</v>
      </c>
    </row>
    <row r="8870" spans="19:23">
      <c r="S8870" s="913" t="s">
        <v>558</v>
      </c>
      <c r="T8870" s="912" t="s">
        <v>132</v>
      </c>
      <c r="U8870" s="912">
        <v>120</v>
      </c>
      <c r="V8870" s="912">
        <v>1</v>
      </c>
      <c r="W8870" s="912" t="s">
        <v>410</v>
      </c>
    </row>
    <row r="8871" spans="19:23">
      <c r="S8871" s="913" t="s">
        <v>557</v>
      </c>
      <c r="T8871" s="912" t="s">
        <v>132</v>
      </c>
      <c r="U8871" s="912">
        <v>741</v>
      </c>
      <c r="V8871" s="912">
        <v>2818</v>
      </c>
      <c r="W8871" s="912" t="s">
        <v>390</v>
      </c>
    </row>
    <row r="8872" spans="19:23">
      <c r="S8872" s="913" t="s">
        <v>557</v>
      </c>
      <c r="T8872" s="912" t="s">
        <v>132</v>
      </c>
      <c r="U8872" s="912">
        <v>740</v>
      </c>
      <c r="V8872" s="912">
        <v>48</v>
      </c>
      <c r="W8872" s="912" t="s">
        <v>410</v>
      </c>
    </row>
    <row r="8873" spans="19:23">
      <c r="S8873" s="913" t="s">
        <v>557</v>
      </c>
      <c r="T8873" s="912" t="s">
        <v>132</v>
      </c>
      <c r="U8873" s="912">
        <v>182</v>
      </c>
      <c r="V8873" s="912">
        <v>167</v>
      </c>
      <c r="W8873" s="912" t="s">
        <v>390</v>
      </c>
    </row>
    <row r="8874" spans="19:23">
      <c r="S8874" s="913" t="s">
        <v>558</v>
      </c>
      <c r="T8874" s="912" t="s">
        <v>132</v>
      </c>
      <c r="U8874" s="912">
        <v>697</v>
      </c>
      <c r="V8874" s="912">
        <v>1382</v>
      </c>
      <c r="W8874" s="912" t="s">
        <v>390</v>
      </c>
    </row>
    <row r="8875" spans="19:23">
      <c r="S8875" s="913" t="s">
        <v>558</v>
      </c>
      <c r="T8875" s="912" t="s">
        <v>132</v>
      </c>
      <c r="U8875" s="912">
        <v>193</v>
      </c>
      <c r="V8875" s="912">
        <v>451</v>
      </c>
      <c r="W8875" s="912" t="s">
        <v>390</v>
      </c>
    </row>
    <row r="8876" spans="19:23">
      <c r="S8876" s="913" t="s">
        <v>558</v>
      </c>
      <c r="T8876" s="912" t="s">
        <v>132</v>
      </c>
      <c r="U8876" s="912">
        <v>812</v>
      </c>
      <c r="V8876" s="912">
        <v>3371</v>
      </c>
      <c r="W8876" s="912" t="s">
        <v>390</v>
      </c>
    </row>
    <row r="8877" spans="19:23">
      <c r="S8877" s="913" t="s">
        <v>557</v>
      </c>
      <c r="T8877" s="912" t="s">
        <v>132</v>
      </c>
      <c r="U8877" s="912">
        <v>324</v>
      </c>
      <c r="V8877" s="912">
        <v>1666</v>
      </c>
      <c r="W8877" s="912" t="s">
        <v>390</v>
      </c>
    </row>
    <row r="8878" spans="19:23">
      <c r="S8878" s="913" t="s">
        <v>558</v>
      </c>
      <c r="T8878" s="912" t="s">
        <v>132</v>
      </c>
      <c r="U8878" s="912">
        <v>814</v>
      </c>
      <c r="V8878" s="912">
        <v>3315</v>
      </c>
      <c r="W8878" s="912" t="s">
        <v>390</v>
      </c>
    </row>
    <row r="8879" spans="19:23">
      <c r="S8879" s="913" t="s">
        <v>558</v>
      </c>
      <c r="T8879" s="912" t="s">
        <v>132</v>
      </c>
      <c r="U8879" s="912">
        <v>108</v>
      </c>
      <c r="V8879" s="912">
        <v>7</v>
      </c>
      <c r="W8879" s="912" t="s">
        <v>410</v>
      </c>
    </row>
    <row r="8880" spans="19:23">
      <c r="S8880" s="913" t="s">
        <v>558</v>
      </c>
      <c r="T8880" s="912" t="s">
        <v>132</v>
      </c>
      <c r="U8880" s="912">
        <v>740</v>
      </c>
      <c r="V8880" s="912">
        <v>737</v>
      </c>
      <c r="W8880" s="912" t="s">
        <v>390</v>
      </c>
    </row>
    <row r="8881" spans="19:23">
      <c r="S8881" s="913" t="s">
        <v>557</v>
      </c>
      <c r="T8881" s="912" t="s">
        <v>132</v>
      </c>
      <c r="U8881" s="912">
        <v>93</v>
      </c>
      <c r="V8881" s="912">
        <v>2260</v>
      </c>
      <c r="W8881" s="912" t="s">
        <v>390</v>
      </c>
    </row>
    <row r="8882" spans="19:23">
      <c r="S8882" s="913" t="s">
        <v>557</v>
      </c>
      <c r="T8882" s="912" t="s">
        <v>132</v>
      </c>
      <c r="U8882" s="912">
        <v>35</v>
      </c>
      <c r="V8882" s="912">
        <v>879</v>
      </c>
      <c r="W8882" s="912" t="s">
        <v>390</v>
      </c>
    </row>
    <row r="8883" spans="19:23">
      <c r="S8883" s="913" t="s">
        <v>558</v>
      </c>
      <c r="T8883" s="912" t="s">
        <v>132</v>
      </c>
      <c r="U8883" s="912">
        <v>312</v>
      </c>
      <c r="V8883" s="912">
        <v>2547</v>
      </c>
      <c r="W8883" s="912" t="s">
        <v>390</v>
      </c>
    </row>
    <row r="8884" spans="19:23">
      <c r="S8884" s="913" t="s">
        <v>558</v>
      </c>
      <c r="T8884" s="912" t="s">
        <v>132</v>
      </c>
      <c r="U8884" s="912">
        <v>802</v>
      </c>
      <c r="V8884" s="912">
        <v>64</v>
      </c>
      <c r="W8884" s="912" t="s">
        <v>410</v>
      </c>
    </row>
    <row r="8885" spans="19:23">
      <c r="S8885" s="913" t="s">
        <v>557</v>
      </c>
      <c r="T8885" s="912" t="s">
        <v>132</v>
      </c>
      <c r="U8885" s="912">
        <v>27</v>
      </c>
      <c r="V8885" s="912">
        <v>1</v>
      </c>
      <c r="W8885" s="912" t="s">
        <v>410</v>
      </c>
    </row>
    <row r="8886" spans="19:23">
      <c r="S8886" s="913" t="s">
        <v>558</v>
      </c>
      <c r="T8886" s="912" t="s">
        <v>132</v>
      </c>
      <c r="U8886" s="912">
        <v>159</v>
      </c>
      <c r="V8886" s="912">
        <v>8</v>
      </c>
      <c r="W8886" s="912" t="s">
        <v>410</v>
      </c>
    </row>
    <row r="8887" spans="19:23">
      <c r="S8887" s="913" t="s">
        <v>558</v>
      </c>
      <c r="T8887" s="912" t="s">
        <v>132</v>
      </c>
      <c r="U8887" s="912">
        <v>323</v>
      </c>
      <c r="V8887" s="912">
        <v>2875</v>
      </c>
      <c r="W8887" s="912" t="s">
        <v>390</v>
      </c>
    </row>
    <row r="8888" spans="19:23">
      <c r="S8888" s="913" t="s">
        <v>558</v>
      </c>
      <c r="T8888" s="912" t="s">
        <v>132</v>
      </c>
      <c r="U8888" s="912">
        <v>164</v>
      </c>
      <c r="V8888" s="912">
        <v>11</v>
      </c>
      <c r="W8888" s="912" t="s">
        <v>410</v>
      </c>
    </row>
    <row r="8889" spans="19:23">
      <c r="S8889" s="913" t="s">
        <v>557</v>
      </c>
      <c r="T8889" s="912" t="s">
        <v>132</v>
      </c>
      <c r="U8889" s="912">
        <v>87</v>
      </c>
      <c r="V8889" s="912">
        <v>2</v>
      </c>
      <c r="W8889" s="912" t="s">
        <v>410</v>
      </c>
    </row>
    <row r="8890" spans="19:23">
      <c r="S8890" s="913" t="s">
        <v>557</v>
      </c>
      <c r="T8890" s="912" t="s">
        <v>132</v>
      </c>
      <c r="U8890" s="912">
        <v>72</v>
      </c>
      <c r="V8890" s="912">
        <v>7</v>
      </c>
      <c r="W8890" s="912" t="s">
        <v>410</v>
      </c>
    </row>
    <row r="8891" spans="19:23">
      <c r="S8891" s="913" t="s">
        <v>558</v>
      </c>
      <c r="T8891" s="912" t="s">
        <v>132</v>
      </c>
      <c r="U8891" s="912">
        <v>724</v>
      </c>
      <c r="V8891" s="912">
        <v>2489</v>
      </c>
      <c r="W8891" s="912" t="s">
        <v>390</v>
      </c>
    </row>
    <row r="8892" spans="19:23">
      <c r="S8892" s="913" t="s">
        <v>557</v>
      </c>
      <c r="T8892" s="912" t="s">
        <v>132</v>
      </c>
      <c r="U8892" s="912">
        <v>136</v>
      </c>
      <c r="V8892" s="912">
        <v>10</v>
      </c>
      <c r="W8892" s="912" t="s">
        <v>410</v>
      </c>
    </row>
    <row r="8893" spans="19:23">
      <c r="S8893" s="913" t="s">
        <v>557</v>
      </c>
      <c r="T8893" s="912" t="s">
        <v>132</v>
      </c>
      <c r="U8893" s="912">
        <v>295</v>
      </c>
      <c r="V8893" s="912">
        <v>4</v>
      </c>
      <c r="W8893" s="912" t="s">
        <v>410</v>
      </c>
    </row>
    <row r="8894" spans="19:23">
      <c r="S8894" s="913" t="s">
        <v>558</v>
      </c>
      <c r="T8894" s="912" t="s">
        <v>132</v>
      </c>
      <c r="U8894" s="912">
        <v>651</v>
      </c>
      <c r="V8894" s="912">
        <v>41</v>
      </c>
      <c r="W8894" s="912" t="s">
        <v>410</v>
      </c>
    </row>
    <row r="8895" spans="19:23">
      <c r="S8895" s="913" t="s">
        <v>558</v>
      </c>
      <c r="T8895" s="912" t="s">
        <v>132</v>
      </c>
      <c r="U8895" s="912">
        <v>308</v>
      </c>
      <c r="V8895" s="912">
        <v>2279</v>
      </c>
      <c r="W8895" s="912" t="s">
        <v>390</v>
      </c>
    </row>
    <row r="8896" spans="19:23">
      <c r="S8896" s="913" t="s">
        <v>557</v>
      </c>
      <c r="T8896" s="912" t="s">
        <v>132</v>
      </c>
      <c r="U8896" s="912">
        <v>739</v>
      </c>
      <c r="V8896" s="912">
        <v>104</v>
      </c>
      <c r="W8896" s="912" t="s">
        <v>390</v>
      </c>
    </row>
    <row r="8897" spans="19:23">
      <c r="S8897" s="913" t="s">
        <v>557</v>
      </c>
      <c r="T8897" s="912" t="s">
        <v>132</v>
      </c>
      <c r="U8897" s="912">
        <v>279</v>
      </c>
      <c r="V8897" s="912">
        <v>2</v>
      </c>
      <c r="W8897" s="912" t="s">
        <v>410</v>
      </c>
    </row>
    <row r="8898" spans="19:23">
      <c r="S8898" s="913" t="s">
        <v>557</v>
      </c>
      <c r="T8898" s="912" t="s">
        <v>132</v>
      </c>
      <c r="U8898" s="912">
        <v>691</v>
      </c>
      <c r="V8898" s="912">
        <v>3037</v>
      </c>
      <c r="W8898" s="912" t="s">
        <v>390</v>
      </c>
    </row>
    <row r="8899" spans="19:23">
      <c r="S8899" s="913" t="s">
        <v>557</v>
      </c>
      <c r="T8899" s="912" t="s">
        <v>132</v>
      </c>
      <c r="U8899" s="912">
        <v>58</v>
      </c>
      <c r="V8899" s="912">
        <v>1</v>
      </c>
      <c r="W8899" s="912" t="s">
        <v>410</v>
      </c>
    </row>
    <row r="8900" spans="19:23">
      <c r="S8900" s="913" t="s">
        <v>558</v>
      </c>
      <c r="T8900" s="912" t="s">
        <v>132</v>
      </c>
      <c r="U8900" s="912">
        <v>818</v>
      </c>
      <c r="V8900" s="912">
        <v>2</v>
      </c>
      <c r="W8900" s="912" t="s">
        <v>410</v>
      </c>
    </row>
    <row r="8901" spans="19:23">
      <c r="S8901" s="913" t="s">
        <v>557</v>
      </c>
      <c r="T8901" s="912" t="s">
        <v>132</v>
      </c>
      <c r="U8901" s="912">
        <v>81</v>
      </c>
      <c r="V8901" s="912">
        <v>9</v>
      </c>
      <c r="W8901" s="912" t="s">
        <v>410</v>
      </c>
    </row>
    <row r="8902" spans="19:23">
      <c r="S8902" s="913" t="s">
        <v>557</v>
      </c>
      <c r="T8902" s="912" t="s">
        <v>132</v>
      </c>
      <c r="U8902" s="912">
        <v>342</v>
      </c>
      <c r="V8902" s="912">
        <v>2650</v>
      </c>
      <c r="W8902" s="912" t="s">
        <v>390</v>
      </c>
    </row>
    <row r="8903" spans="19:23">
      <c r="S8903" s="913" t="s">
        <v>557</v>
      </c>
      <c r="T8903" s="912" t="s">
        <v>132</v>
      </c>
      <c r="U8903" s="912">
        <v>316</v>
      </c>
      <c r="V8903" s="912">
        <v>8</v>
      </c>
      <c r="W8903" s="912" t="s">
        <v>410</v>
      </c>
    </row>
    <row r="8904" spans="19:23">
      <c r="S8904" s="913" t="s">
        <v>558</v>
      </c>
      <c r="T8904" s="912" t="s">
        <v>132</v>
      </c>
      <c r="U8904" s="912">
        <v>305</v>
      </c>
      <c r="V8904" s="912">
        <v>4799</v>
      </c>
      <c r="W8904" s="912" t="s">
        <v>390</v>
      </c>
    </row>
    <row r="8905" spans="19:23">
      <c r="S8905" s="913" t="s">
        <v>557</v>
      </c>
      <c r="T8905" s="912" t="s">
        <v>132</v>
      </c>
      <c r="U8905" s="912">
        <v>735</v>
      </c>
      <c r="V8905" s="912">
        <v>2679</v>
      </c>
      <c r="W8905" s="912" t="s">
        <v>390</v>
      </c>
    </row>
    <row r="8906" spans="19:23">
      <c r="S8906" s="913" t="s">
        <v>557</v>
      </c>
      <c r="T8906" s="912" t="s">
        <v>132</v>
      </c>
      <c r="U8906" s="912">
        <v>687</v>
      </c>
      <c r="V8906" s="912">
        <v>3122</v>
      </c>
      <c r="W8906" s="912" t="s">
        <v>390</v>
      </c>
    </row>
    <row r="8907" spans="19:23">
      <c r="S8907" s="913" t="s">
        <v>557</v>
      </c>
      <c r="T8907" s="912" t="s">
        <v>132</v>
      </c>
      <c r="U8907" s="912">
        <v>92</v>
      </c>
      <c r="V8907" s="912">
        <v>8</v>
      </c>
      <c r="W8907" s="912" t="s">
        <v>410</v>
      </c>
    </row>
    <row r="8908" spans="19:23">
      <c r="S8908" s="913" t="s">
        <v>558</v>
      </c>
      <c r="T8908" s="912" t="s">
        <v>132</v>
      </c>
      <c r="U8908" s="912">
        <v>103</v>
      </c>
      <c r="V8908" s="912">
        <v>1748</v>
      </c>
      <c r="W8908" s="912" t="s">
        <v>390</v>
      </c>
    </row>
    <row r="8909" spans="19:23">
      <c r="S8909" s="913" t="s">
        <v>558</v>
      </c>
      <c r="T8909" s="912" t="s">
        <v>132</v>
      </c>
      <c r="U8909" s="912">
        <v>700</v>
      </c>
      <c r="V8909" s="912">
        <v>2806</v>
      </c>
      <c r="W8909" s="912" t="s">
        <v>390</v>
      </c>
    </row>
    <row r="8910" spans="19:23">
      <c r="S8910" s="913" t="s">
        <v>558</v>
      </c>
      <c r="T8910" s="912" t="s">
        <v>132</v>
      </c>
      <c r="U8910" s="912">
        <v>703</v>
      </c>
      <c r="V8910" s="912">
        <v>198</v>
      </c>
      <c r="W8910" s="912" t="s">
        <v>390</v>
      </c>
    </row>
    <row r="8911" spans="19:23">
      <c r="S8911" s="913" t="s">
        <v>558</v>
      </c>
      <c r="T8911" s="912" t="s">
        <v>132</v>
      </c>
      <c r="U8911" s="912">
        <v>303</v>
      </c>
      <c r="V8911" s="912">
        <v>4</v>
      </c>
      <c r="W8911" s="912" t="s">
        <v>410</v>
      </c>
    </row>
    <row r="8912" spans="19:23">
      <c r="S8912" s="913" t="s">
        <v>558</v>
      </c>
      <c r="T8912" s="912" t="s">
        <v>132</v>
      </c>
      <c r="U8912" s="912">
        <v>694</v>
      </c>
      <c r="V8912" s="912">
        <v>1</v>
      </c>
      <c r="W8912" s="912" t="s">
        <v>410</v>
      </c>
    </row>
    <row r="8913" spans="19:23">
      <c r="S8913" s="913" t="s">
        <v>558</v>
      </c>
      <c r="T8913" s="912" t="s">
        <v>132</v>
      </c>
      <c r="U8913" s="912">
        <v>701</v>
      </c>
      <c r="V8913" s="912">
        <v>2327</v>
      </c>
      <c r="W8913" s="912" t="s">
        <v>390</v>
      </c>
    </row>
    <row r="8914" spans="19:23">
      <c r="S8914" s="913" t="s">
        <v>557</v>
      </c>
      <c r="T8914" s="912" t="s">
        <v>132</v>
      </c>
      <c r="U8914" s="912">
        <v>648</v>
      </c>
      <c r="V8914" s="912">
        <v>1</v>
      </c>
      <c r="W8914" s="912" t="s">
        <v>410</v>
      </c>
    </row>
    <row r="8915" spans="19:23">
      <c r="S8915" s="913" t="s">
        <v>558</v>
      </c>
      <c r="T8915" s="912" t="s">
        <v>132</v>
      </c>
      <c r="U8915" s="912">
        <v>220</v>
      </c>
      <c r="V8915" s="912">
        <v>125</v>
      </c>
      <c r="W8915" s="912" t="s">
        <v>390</v>
      </c>
    </row>
    <row r="8916" spans="19:23">
      <c r="S8916" s="913" t="s">
        <v>557</v>
      </c>
      <c r="T8916" s="912" t="s">
        <v>132</v>
      </c>
      <c r="U8916" s="912">
        <v>246</v>
      </c>
      <c r="V8916" s="912">
        <v>5</v>
      </c>
      <c r="W8916" s="912" t="s">
        <v>410</v>
      </c>
    </row>
    <row r="8917" spans="19:23">
      <c r="S8917" s="913" t="s">
        <v>558</v>
      </c>
      <c r="T8917" s="912" t="s">
        <v>132</v>
      </c>
      <c r="U8917" s="912">
        <v>791</v>
      </c>
      <c r="V8917" s="912">
        <v>3096</v>
      </c>
      <c r="W8917" s="912" t="s">
        <v>390</v>
      </c>
    </row>
    <row r="8918" spans="19:23">
      <c r="S8918" s="913" t="s">
        <v>557</v>
      </c>
      <c r="T8918" s="912" t="s">
        <v>132</v>
      </c>
      <c r="U8918" s="912">
        <v>652</v>
      </c>
      <c r="V8918" s="912">
        <v>3587</v>
      </c>
      <c r="W8918" s="912" t="s">
        <v>390</v>
      </c>
    </row>
    <row r="8919" spans="19:23">
      <c r="S8919" s="913" t="s">
        <v>558</v>
      </c>
      <c r="T8919" s="912" t="s">
        <v>132</v>
      </c>
      <c r="U8919" s="912">
        <v>804</v>
      </c>
      <c r="V8919" s="912">
        <v>2116</v>
      </c>
      <c r="W8919" s="912" t="s">
        <v>390</v>
      </c>
    </row>
    <row r="8920" spans="19:23">
      <c r="S8920" s="913" t="s">
        <v>557</v>
      </c>
      <c r="T8920" s="912" t="s">
        <v>132</v>
      </c>
      <c r="U8920" s="912">
        <v>738</v>
      </c>
      <c r="V8920" s="912">
        <v>33</v>
      </c>
      <c r="W8920" s="912" t="s">
        <v>410</v>
      </c>
    </row>
    <row r="8921" spans="19:23">
      <c r="S8921" s="913" t="s">
        <v>558</v>
      </c>
      <c r="T8921" s="912" t="s">
        <v>132</v>
      </c>
      <c r="U8921" s="912">
        <v>344</v>
      </c>
      <c r="V8921" s="912">
        <v>296</v>
      </c>
      <c r="W8921" s="912" t="s">
        <v>390</v>
      </c>
    </row>
    <row r="8922" spans="19:23">
      <c r="S8922" s="913" t="s">
        <v>558</v>
      </c>
      <c r="T8922" s="912" t="s">
        <v>132</v>
      </c>
      <c r="U8922" s="912">
        <v>684</v>
      </c>
      <c r="V8922" s="912">
        <v>2989</v>
      </c>
      <c r="W8922" s="912" t="s">
        <v>390</v>
      </c>
    </row>
    <row r="8923" spans="19:23">
      <c r="S8923" s="913" t="s">
        <v>558</v>
      </c>
      <c r="T8923" s="912" t="s">
        <v>132</v>
      </c>
      <c r="U8923" s="912">
        <v>136</v>
      </c>
      <c r="V8923" s="912">
        <v>24</v>
      </c>
      <c r="W8923" s="912" t="s">
        <v>410</v>
      </c>
    </row>
    <row r="8924" spans="19:23">
      <c r="S8924" s="913" t="s">
        <v>558</v>
      </c>
      <c r="T8924" s="912" t="s">
        <v>132</v>
      </c>
      <c r="U8924" s="912">
        <v>255</v>
      </c>
      <c r="V8924" s="912">
        <v>687</v>
      </c>
      <c r="W8924" s="912" t="s">
        <v>390</v>
      </c>
    </row>
    <row r="8925" spans="19:23">
      <c r="S8925" s="913" t="s">
        <v>558</v>
      </c>
      <c r="T8925" s="912" t="s">
        <v>132</v>
      </c>
      <c r="U8925" s="912">
        <v>27</v>
      </c>
      <c r="V8925" s="912">
        <v>1</v>
      </c>
      <c r="W8925" s="912" t="s">
        <v>410</v>
      </c>
    </row>
    <row r="8926" spans="19:23">
      <c r="S8926" s="913" t="s">
        <v>557</v>
      </c>
      <c r="T8926" s="912" t="s">
        <v>132</v>
      </c>
      <c r="U8926" s="912">
        <v>231</v>
      </c>
      <c r="V8926" s="912">
        <v>4</v>
      </c>
      <c r="W8926" s="912" t="s">
        <v>410</v>
      </c>
    </row>
    <row r="8927" spans="19:23">
      <c r="S8927" s="913" t="s">
        <v>557</v>
      </c>
      <c r="T8927" s="912" t="s">
        <v>132</v>
      </c>
      <c r="U8927" s="912">
        <v>66</v>
      </c>
      <c r="V8927" s="912">
        <v>1</v>
      </c>
      <c r="W8927" s="912" t="s">
        <v>410</v>
      </c>
    </row>
    <row r="8928" spans="19:23">
      <c r="S8928" s="913" t="s">
        <v>557</v>
      </c>
      <c r="T8928" s="912" t="s">
        <v>132</v>
      </c>
      <c r="U8928" s="912">
        <v>276</v>
      </c>
      <c r="V8928" s="912">
        <v>1</v>
      </c>
      <c r="W8928" s="912" t="s">
        <v>410</v>
      </c>
    </row>
    <row r="8929" spans="19:23">
      <c r="S8929" s="913" t="s">
        <v>558</v>
      </c>
      <c r="T8929" s="912" t="s">
        <v>132</v>
      </c>
      <c r="U8929" s="912">
        <v>680</v>
      </c>
      <c r="V8929" s="912">
        <v>2976</v>
      </c>
      <c r="W8929" s="912" t="s">
        <v>390</v>
      </c>
    </row>
    <row r="8930" spans="19:23">
      <c r="S8930" s="913" t="s">
        <v>557</v>
      </c>
      <c r="T8930" s="912" t="s">
        <v>132</v>
      </c>
      <c r="U8930" s="912">
        <v>247</v>
      </c>
      <c r="V8930" s="912">
        <v>2565</v>
      </c>
      <c r="W8930" s="912" t="s">
        <v>390</v>
      </c>
    </row>
    <row r="8931" spans="19:23">
      <c r="S8931" s="913" t="s">
        <v>557</v>
      </c>
      <c r="T8931" s="912" t="s">
        <v>132</v>
      </c>
      <c r="U8931" s="912">
        <v>264</v>
      </c>
      <c r="V8931" s="912">
        <v>374</v>
      </c>
      <c r="W8931" s="912" t="s">
        <v>390</v>
      </c>
    </row>
    <row r="8932" spans="19:23">
      <c r="S8932" s="913" t="s">
        <v>557</v>
      </c>
      <c r="T8932" s="912" t="s">
        <v>132</v>
      </c>
      <c r="U8932" s="912">
        <v>325</v>
      </c>
      <c r="V8932" s="912">
        <v>2102</v>
      </c>
      <c r="W8932" s="912" t="s">
        <v>390</v>
      </c>
    </row>
    <row r="8933" spans="19:23">
      <c r="S8933" s="913" t="s">
        <v>558</v>
      </c>
      <c r="T8933" s="912" t="s">
        <v>132</v>
      </c>
      <c r="U8933" s="912">
        <v>169</v>
      </c>
      <c r="V8933" s="912">
        <v>3015</v>
      </c>
      <c r="W8933" s="912" t="s">
        <v>390</v>
      </c>
    </row>
    <row r="8934" spans="19:23">
      <c r="S8934" s="913" t="s">
        <v>558</v>
      </c>
      <c r="T8934" s="912" t="s">
        <v>132</v>
      </c>
      <c r="U8934" s="912">
        <v>97</v>
      </c>
      <c r="V8934" s="912">
        <v>7</v>
      </c>
      <c r="W8934" s="912" t="s">
        <v>410</v>
      </c>
    </row>
    <row r="8935" spans="19:23">
      <c r="S8935" s="913" t="s">
        <v>558</v>
      </c>
      <c r="T8935" s="912" t="s">
        <v>132</v>
      </c>
      <c r="U8935" s="912">
        <v>295</v>
      </c>
      <c r="V8935" s="912">
        <v>2</v>
      </c>
      <c r="W8935" s="912" t="s">
        <v>410</v>
      </c>
    </row>
    <row r="8936" spans="19:23">
      <c r="S8936" s="913" t="s">
        <v>558</v>
      </c>
      <c r="T8936" s="912" t="s">
        <v>132</v>
      </c>
      <c r="U8936" s="912">
        <v>204</v>
      </c>
      <c r="V8936" s="912">
        <v>7</v>
      </c>
      <c r="W8936" s="912" t="s">
        <v>410</v>
      </c>
    </row>
    <row r="8937" spans="19:23">
      <c r="S8937" s="913" t="s">
        <v>558</v>
      </c>
      <c r="T8937" s="912" t="s">
        <v>132</v>
      </c>
      <c r="U8937" s="912">
        <v>769</v>
      </c>
      <c r="V8937" s="912">
        <v>1664</v>
      </c>
      <c r="W8937" s="912" t="s">
        <v>390</v>
      </c>
    </row>
    <row r="8938" spans="19:23">
      <c r="S8938" s="913" t="s">
        <v>557</v>
      </c>
      <c r="T8938" s="912" t="s">
        <v>132</v>
      </c>
      <c r="U8938" s="912">
        <v>305</v>
      </c>
      <c r="V8938" s="912">
        <v>5014</v>
      </c>
      <c r="W8938" s="912" t="s">
        <v>390</v>
      </c>
    </row>
    <row r="8939" spans="19:23">
      <c r="S8939" s="913" t="s">
        <v>558</v>
      </c>
      <c r="T8939" s="912" t="s">
        <v>132</v>
      </c>
      <c r="U8939" s="912">
        <v>68</v>
      </c>
      <c r="V8939" s="912">
        <v>1116</v>
      </c>
      <c r="W8939" s="912" t="s">
        <v>390</v>
      </c>
    </row>
    <row r="8940" spans="19:23">
      <c r="S8940" s="913" t="s">
        <v>558</v>
      </c>
      <c r="T8940" s="912" t="s">
        <v>132</v>
      </c>
      <c r="U8940" s="912">
        <v>77</v>
      </c>
      <c r="V8940" s="912">
        <v>3580</v>
      </c>
      <c r="W8940" s="912" t="s">
        <v>390</v>
      </c>
    </row>
    <row r="8941" spans="19:23">
      <c r="S8941" s="913" t="s">
        <v>557</v>
      </c>
      <c r="T8941" s="912" t="s">
        <v>132</v>
      </c>
      <c r="U8941" s="912">
        <v>0</v>
      </c>
      <c r="V8941" s="912">
        <v>45</v>
      </c>
      <c r="W8941" s="912" t="s">
        <v>410</v>
      </c>
    </row>
    <row r="8942" spans="19:23">
      <c r="S8942" s="913" t="s">
        <v>557</v>
      </c>
      <c r="T8942" s="912" t="s">
        <v>132</v>
      </c>
      <c r="U8942" s="912">
        <v>697</v>
      </c>
      <c r="V8942" s="912">
        <v>1483</v>
      </c>
      <c r="W8942" s="912" t="s">
        <v>390</v>
      </c>
    </row>
    <row r="8943" spans="19:23">
      <c r="S8943" s="913" t="s">
        <v>558</v>
      </c>
      <c r="T8943" s="912" t="s">
        <v>132</v>
      </c>
      <c r="U8943" s="912">
        <v>191</v>
      </c>
      <c r="V8943" s="912">
        <v>344</v>
      </c>
      <c r="W8943" s="912" t="s">
        <v>390</v>
      </c>
    </row>
    <row r="8944" spans="19:23">
      <c r="S8944" s="913" t="s">
        <v>558</v>
      </c>
      <c r="T8944" s="912" t="s">
        <v>132</v>
      </c>
      <c r="U8944" s="912">
        <v>666</v>
      </c>
      <c r="V8944" s="912">
        <v>1678</v>
      </c>
      <c r="W8944" s="912" t="s">
        <v>390</v>
      </c>
    </row>
    <row r="8945" spans="19:23">
      <c r="S8945" s="913" t="s">
        <v>558</v>
      </c>
      <c r="T8945" s="912" t="s">
        <v>132</v>
      </c>
      <c r="U8945" s="912">
        <v>40</v>
      </c>
      <c r="V8945" s="912">
        <v>2</v>
      </c>
      <c r="W8945" s="912" t="s">
        <v>410</v>
      </c>
    </row>
    <row r="8946" spans="19:23">
      <c r="S8946" s="913" t="s">
        <v>558</v>
      </c>
      <c r="T8946" s="912" t="s">
        <v>132</v>
      </c>
      <c r="U8946" s="912">
        <v>183</v>
      </c>
      <c r="V8946" s="912">
        <v>550</v>
      </c>
      <c r="W8946" s="912" t="s">
        <v>390</v>
      </c>
    </row>
    <row r="8947" spans="19:23">
      <c r="S8947" s="913" t="s">
        <v>558</v>
      </c>
      <c r="T8947" s="912" t="s">
        <v>132</v>
      </c>
      <c r="U8947" s="912">
        <v>87</v>
      </c>
      <c r="V8947" s="912">
        <v>2</v>
      </c>
      <c r="W8947" s="912" t="s">
        <v>410</v>
      </c>
    </row>
    <row r="8948" spans="19:23">
      <c r="S8948" s="913" t="s">
        <v>558</v>
      </c>
      <c r="T8948" s="912" t="s">
        <v>132</v>
      </c>
      <c r="U8948" s="912">
        <v>790</v>
      </c>
      <c r="V8948" s="912">
        <v>784</v>
      </c>
      <c r="W8948" s="912" t="s">
        <v>390</v>
      </c>
    </row>
    <row r="8949" spans="19:23">
      <c r="S8949" s="913" t="s">
        <v>558</v>
      </c>
      <c r="T8949" s="912" t="s">
        <v>132</v>
      </c>
      <c r="U8949" s="912">
        <v>283</v>
      </c>
      <c r="V8949" s="912">
        <v>1</v>
      </c>
      <c r="W8949" s="912" t="s">
        <v>410</v>
      </c>
    </row>
    <row r="8950" spans="19:23">
      <c r="S8950" s="913" t="s">
        <v>558</v>
      </c>
      <c r="T8950" s="912" t="s">
        <v>132</v>
      </c>
      <c r="U8950" s="912">
        <v>828</v>
      </c>
      <c r="V8950" s="912">
        <v>3206</v>
      </c>
      <c r="W8950" s="912" t="s">
        <v>390</v>
      </c>
    </row>
    <row r="8951" spans="19:23">
      <c r="S8951" s="913" t="s">
        <v>557</v>
      </c>
      <c r="T8951" s="912" t="s">
        <v>132</v>
      </c>
      <c r="U8951" s="912">
        <v>320</v>
      </c>
      <c r="V8951" s="912">
        <v>1695</v>
      </c>
      <c r="W8951" s="912" t="s">
        <v>390</v>
      </c>
    </row>
    <row r="8952" spans="19:23">
      <c r="S8952" s="913" t="s">
        <v>558</v>
      </c>
      <c r="T8952" s="912" t="s">
        <v>132</v>
      </c>
      <c r="U8952" s="912">
        <v>739</v>
      </c>
      <c r="V8952" s="912">
        <v>2139</v>
      </c>
      <c r="W8952" s="912" t="s">
        <v>390</v>
      </c>
    </row>
    <row r="8953" spans="19:23">
      <c r="S8953" s="913" t="s">
        <v>558</v>
      </c>
      <c r="T8953" s="912" t="s">
        <v>132</v>
      </c>
      <c r="U8953" s="912">
        <v>110</v>
      </c>
      <c r="V8953" s="912">
        <v>4</v>
      </c>
      <c r="W8953" s="912" t="s">
        <v>410</v>
      </c>
    </row>
    <row r="8954" spans="19:23">
      <c r="S8954" s="913" t="s">
        <v>557</v>
      </c>
      <c r="T8954" s="912" t="s">
        <v>132</v>
      </c>
      <c r="U8954" s="912">
        <v>256</v>
      </c>
      <c r="V8954" s="912">
        <v>278</v>
      </c>
      <c r="W8954" s="912" t="s">
        <v>390</v>
      </c>
    </row>
    <row r="8955" spans="19:23">
      <c r="S8955" s="913" t="s">
        <v>557</v>
      </c>
      <c r="T8955" s="912" t="s">
        <v>132</v>
      </c>
      <c r="U8955" s="912">
        <v>674</v>
      </c>
      <c r="V8955" s="912">
        <v>3600</v>
      </c>
      <c r="W8955" s="912" t="s">
        <v>390</v>
      </c>
    </row>
    <row r="8956" spans="19:23">
      <c r="S8956" s="913" t="s">
        <v>557</v>
      </c>
      <c r="T8956" s="912" t="s">
        <v>132</v>
      </c>
      <c r="U8956" s="912">
        <v>321</v>
      </c>
      <c r="V8956" s="912">
        <v>1948</v>
      </c>
      <c r="W8956" s="912" t="s">
        <v>390</v>
      </c>
    </row>
    <row r="8957" spans="19:23">
      <c r="S8957" s="913" t="s">
        <v>558</v>
      </c>
      <c r="T8957" s="912" t="s">
        <v>132</v>
      </c>
      <c r="U8957" s="912">
        <v>829</v>
      </c>
      <c r="V8957" s="912">
        <v>2853</v>
      </c>
      <c r="W8957" s="912" t="s">
        <v>390</v>
      </c>
    </row>
    <row r="8958" spans="19:23">
      <c r="S8958" s="913" t="s">
        <v>558</v>
      </c>
      <c r="T8958" s="912" t="s">
        <v>132</v>
      </c>
      <c r="U8958" s="912">
        <v>725</v>
      </c>
      <c r="V8958" s="912">
        <v>449</v>
      </c>
      <c r="W8958" s="912" t="s">
        <v>390</v>
      </c>
    </row>
    <row r="8959" spans="19:23">
      <c r="S8959" s="913" t="s">
        <v>557</v>
      </c>
      <c r="T8959" s="912" t="s">
        <v>132</v>
      </c>
      <c r="U8959" s="912">
        <v>212</v>
      </c>
      <c r="V8959" s="912">
        <v>3429</v>
      </c>
      <c r="W8959" s="912" t="s">
        <v>390</v>
      </c>
    </row>
    <row r="8960" spans="19:23">
      <c r="S8960" s="913" t="s">
        <v>557</v>
      </c>
      <c r="T8960" s="912" t="s">
        <v>132</v>
      </c>
      <c r="U8960" s="912">
        <v>230</v>
      </c>
      <c r="V8960" s="912">
        <v>6</v>
      </c>
      <c r="W8960" s="912" t="s">
        <v>410</v>
      </c>
    </row>
    <row r="8961" spans="19:23">
      <c r="S8961" s="913" t="s">
        <v>558</v>
      </c>
      <c r="T8961" s="912" t="s">
        <v>132</v>
      </c>
      <c r="U8961" s="912">
        <v>13</v>
      </c>
      <c r="V8961" s="912">
        <v>2575</v>
      </c>
      <c r="W8961" s="912" t="s">
        <v>390</v>
      </c>
    </row>
    <row r="8962" spans="19:23">
      <c r="S8962" s="913" t="s">
        <v>557</v>
      </c>
      <c r="T8962" s="912" t="s">
        <v>132</v>
      </c>
      <c r="U8962" s="912">
        <v>725</v>
      </c>
      <c r="V8962" s="912">
        <v>193</v>
      </c>
      <c r="W8962" s="912" t="s">
        <v>390</v>
      </c>
    </row>
    <row r="8963" spans="19:23">
      <c r="S8963" s="913" t="s">
        <v>557</v>
      </c>
      <c r="T8963" s="912" t="s">
        <v>132</v>
      </c>
      <c r="U8963" s="912">
        <v>662</v>
      </c>
      <c r="V8963" s="912">
        <v>6</v>
      </c>
      <c r="W8963" s="912" t="s">
        <v>410</v>
      </c>
    </row>
    <row r="8964" spans="19:23">
      <c r="S8964" s="913" t="s">
        <v>558</v>
      </c>
      <c r="T8964" s="912" t="s">
        <v>132</v>
      </c>
      <c r="U8964" s="912">
        <v>251</v>
      </c>
      <c r="V8964" s="912">
        <v>1861</v>
      </c>
      <c r="W8964" s="912" t="s">
        <v>390</v>
      </c>
    </row>
    <row r="8965" spans="19:23">
      <c r="S8965" s="913" t="s">
        <v>557</v>
      </c>
      <c r="T8965" s="912" t="s">
        <v>132</v>
      </c>
      <c r="U8965" s="912">
        <v>240</v>
      </c>
      <c r="V8965" s="912">
        <v>4</v>
      </c>
      <c r="W8965" s="912" t="s">
        <v>410</v>
      </c>
    </row>
    <row r="8966" spans="19:23">
      <c r="S8966" s="913" t="s">
        <v>557</v>
      </c>
      <c r="T8966" s="912" t="s">
        <v>132</v>
      </c>
      <c r="U8966" s="912">
        <v>96</v>
      </c>
      <c r="V8966" s="912">
        <v>2</v>
      </c>
      <c r="W8966" s="912" t="s">
        <v>410</v>
      </c>
    </row>
    <row r="8967" spans="19:23">
      <c r="S8967" s="913" t="s">
        <v>557</v>
      </c>
      <c r="T8967" s="912" t="s">
        <v>132</v>
      </c>
      <c r="U8967" s="912">
        <v>202</v>
      </c>
      <c r="V8967" s="912">
        <v>1</v>
      </c>
      <c r="W8967" s="912" t="s">
        <v>410</v>
      </c>
    </row>
    <row r="8968" spans="19:23">
      <c r="S8968" s="913" t="s">
        <v>557</v>
      </c>
      <c r="T8968" s="912" t="s">
        <v>132</v>
      </c>
      <c r="U8968" s="912">
        <v>703</v>
      </c>
      <c r="V8968" s="912">
        <v>3257</v>
      </c>
      <c r="W8968" s="912" t="s">
        <v>390</v>
      </c>
    </row>
    <row r="8969" spans="19:23">
      <c r="S8969" s="913" t="s">
        <v>558</v>
      </c>
      <c r="T8969" s="912" t="s">
        <v>132</v>
      </c>
      <c r="U8969" s="912">
        <v>676</v>
      </c>
      <c r="V8969" s="912">
        <v>4</v>
      </c>
      <c r="W8969" s="912" t="s">
        <v>410</v>
      </c>
    </row>
    <row r="8970" spans="19:23">
      <c r="S8970" s="913" t="s">
        <v>558</v>
      </c>
      <c r="T8970" s="912" t="s">
        <v>132</v>
      </c>
      <c r="U8970" s="912">
        <v>809</v>
      </c>
      <c r="V8970" s="912">
        <v>129</v>
      </c>
      <c r="W8970" s="912" t="s">
        <v>390</v>
      </c>
    </row>
    <row r="8971" spans="19:23">
      <c r="S8971" s="913" t="s">
        <v>558</v>
      </c>
      <c r="T8971" s="912" t="s">
        <v>132</v>
      </c>
      <c r="U8971" s="912">
        <v>819</v>
      </c>
      <c r="V8971" s="912">
        <v>2352</v>
      </c>
      <c r="W8971" s="912" t="s">
        <v>390</v>
      </c>
    </row>
    <row r="8972" spans="19:23">
      <c r="S8972" s="913" t="s">
        <v>557</v>
      </c>
      <c r="T8972" s="912" t="s">
        <v>132</v>
      </c>
      <c r="U8972" s="912">
        <v>251</v>
      </c>
      <c r="V8972" s="912">
        <v>1943</v>
      </c>
      <c r="W8972" s="912" t="s">
        <v>390</v>
      </c>
    </row>
    <row r="8973" spans="19:23">
      <c r="S8973" s="913" t="s">
        <v>557</v>
      </c>
      <c r="T8973" s="912" t="s">
        <v>132</v>
      </c>
      <c r="U8973" s="912">
        <v>130</v>
      </c>
      <c r="V8973" s="912">
        <v>2</v>
      </c>
      <c r="W8973" s="912" t="s">
        <v>410</v>
      </c>
    </row>
    <row r="8974" spans="19:23">
      <c r="S8974" s="913" t="s">
        <v>557</v>
      </c>
      <c r="T8974" s="912" t="s">
        <v>132</v>
      </c>
      <c r="U8974" s="912">
        <v>109</v>
      </c>
      <c r="V8974" s="912">
        <v>1</v>
      </c>
      <c r="W8974" s="912" t="s">
        <v>410</v>
      </c>
    </row>
    <row r="8975" spans="19:23">
      <c r="S8975" s="913" t="s">
        <v>557</v>
      </c>
      <c r="T8975" s="912" t="s">
        <v>132</v>
      </c>
      <c r="U8975" s="912">
        <v>222</v>
      </c>
      <c r="V8975" s="912">
        <v>5</v>
      </c>
      <c r="W8975" s="912" t="s">
        <v>410</v>
      </c>
    </row>
    <row r="8976" spans="19:23">
      <c r="S8976" s="913" t="s">
        <v>557</v>
      </c>
      <c r="T8976" s="912" t="s">
        <v>132</v>
      </c>
      <c r="U8976" s="912">
        <v>239</v>
      </c>
      <c r="V8976" s="912">
        <v>7</v>
      </c>
      <c r="W8976" s="912" t="s">
        <v>410</v>
      </c>
    </row>
    <row r="8977" spans="19:23">
      <c r="S8977" s="913" t="s">
        <v>557</v>
      </c>
      <c r="T8977" s="912" t="s">
        <v>132</v>
      </c>
      <c r="U8977" s="912">
        <v>254</v>
      </c>
      <c r="V8977" s="912">
        <v>6</v>
      </c>
      <c r="W8977" s="912" t="s">
        <v>410</v>
      </c>
    </row>
    <row r="8978" spans="19:23">
      <c r="S8978" s="913" t="s">
        <v>557</v>
      </c>
      <c r="T8978" s="912" t="s">
        <v>132</v>
      </c>
      <c r="U8978" s="912">
        <v>723</v>
      </c>
      <c r="V8978" s="912">
        <v>2196</v>
      </c>
      <c r="W8978" s="912" t="s">
        <v>390</v>
      </c>
    </row>
    <row r="8979" spans="19:23">
      <c r="S8979" s="913" t="s">
        <v>557</v>
      </c>
      <c r="T8979" s="912" t="s">
        <v>132</v>
      </c>
      <c r="U8979" s="912">
        <v>294</v>
      </c>
      <c r="V8979" s="912">
        <v>3</v>
      </c>
      <c r="W8979" s="912" t="s">
        <v>410</v>
      </c>
    </row>
    <row r="8980" spans="19:23">
      <c r="S8980" s="913" t="s">
        <v>558</v>
      </c>
      <c r="T8980" s="912" t="s">
        <v>132</v>
      </c>
      <c r="U8980" s="912">
        <v>726</v>
      </c>
      <c r="V8980" s="912">
        <v>1429</v>
      </c>
      <c r="W8980" s="912" t="s">
        <v>390</v>
      </c>
    </row>
    <row r="8981" spans="19:23">
      <c r="S8981" s="913" t="s">
        <v>558</v>
      </c>
      <c r="T8981" s="912" t="s">
        <v>132</v>
      </c>
      <c r="U8981" s="912">
        <v>2</v>
      </c>
      <c r="V8981" s="912">
        <v>1</v>
      </c>
      <c r="W8981" s="912" t="s">
        <v>410</v>
      </c>
    </row>
    <row r="8982" spans="19:23">
      <c r="S8982" s="913" t="s">
        <v>557</v>
      </c>
      <c r="T8982" s="912" t="s">
        <v>132</v>
      </c>
      <c r="U8982" s="912">
        <v>675</v>
      </c>
      <c r="V8982" s="912">
        <v>3</v>
      </c>
      <c r="W8982" s="912" t="s">
        <v>410</v>
      </c>
    </row>
    <row r="8983" spans="19:23">
      <c r="S8983" s="913" t="s">
        <v>558</v>
      </c>
      <c r="T8983" s="912" t="s">
        <v>132</v>
      </c>
      <c r="U8983" s="912">
        <v>304</v>
      </c>
      <c r="V8983" s="912">
        <v>313</v>
      </c>
      <c r="W8983" s="912" t="s">
        <v>390</v>
      </c>
    </row>
    <row r="8984" spans="19:23">
      <c r="S8984" s="913" t="s">
        <v>557</v>
      </c>
      <c r="T8984" s="912" t="s">
        <v>132</v>
      </c>
      <c r="U8984" s="912">
        <v>79</v>
      </c>
      <c r="V8984" s="912">
        <v>4</v>
      </c>
      <c r="W8984" s="912" t="s">
        <v>410</v>
      </c>
    </row>
    <row r="8985" spans="19:23">
      <c r="S8985" s="913" t="s">
        <v>558</v>
      </c>
      <c r="T8985" s="912" t="s">
        <v>132</v>
      </c>
      <c r="U8985" s="912">
        <v>264</v>
      </c>
      <c r="V8985" s="912">
        <v>367</v>
      </c>
      <c r="W8985" s="912" t="s">
        <v>390</v>
      </c>
    </row>
    <row r="8986" spans="19:23">
      <c r="S8986" s="913" t="s">
        <v>558</v>
      </c>
      <c r="T8986" s="912" t="s">
        <v>132</v>
      </c>
      <c r="U8986" s="912">
        <v>245</v>
      </c>
      <c r="V8986" s="912">
        <v>3064</v>
      </c>
      <c r="W8986" s="912" t="s">
        <v>390</v>
      </c>
    </row>
    <row r="8987" spans="19:23">
      <c r="S8987" s="913" t="s">
        <v>558</v>
      </c>
      <c r="T8987" s="912" t="s">
        <v>132</v>
      </c>
      <c r="U8987" s="912">
        <v>797</v>
      </c>
      <c r="V8987" s="912">
        <v>3096</v>
      </c>
      <c r="W8987" s="912" t="s">
        <v>390</v>
      </c>
    </row>
    <row r="8988" spans="19:23">
      <c r="S8988" s="913" t="s">
        <v>558</v>
      </c>
      <c r="T8988" s="912" t="s">
        <v>132</v>
      </c>
      <c r="U8988" s="912">
        <v>200</v>
      </c>
      <c r="V8988" s="912">
        <v>7</v>
      </c>
      <c r="W8988" s="912" t="s">
        <v>410</v>
      </c>
    </row>
    <row r="8989" spans="19:23">
      <c r="S8989" s="913" t="s">
        <v>557</v>
      </c>
      <c r="T8989" s="912" t="s">
        <v>132</v>
      </c>
      <c r="U8989" s="912">
        <v>105</v>
      </c>
      <c r="V8989" s="912">
        <v>2</v>
      </c>
      <c r="W8989" s="912" t="s">
        <v>410</v>
      </c>
    </row>
    <row r="8990" spans="19:23">
      <c r="S8990" s="913" t="s">
        <v>557</v>
      </c>
      <c r="T8990" s="912" t="s">
        <v>132</v>
      </c>
      <c r="U8990" s="912">
        <v>252</v>
      </c>
      <c r="V8990" s="912">
        <v>928</v>
      </c>
      <c r="W8990" s="912" t="s">
        <v>390</v>
      </c>
    </row>
    <row r="8991" spans="19:23">
      <c r="S8991" s="913" t="s">
        <v>558</v>
      </c>
      <c r="T8991" s="912" t="s">
        <v>132</v>
      </c>
      <c r="U8991" s="912">
        <v>736</v>
      </c>
      <c r="V8991" s="912">
        <v>3528</v>
      </c>
      <c r="W8991" s="912" t="s">
        <v>390</v>
      </c>
    </row>
    <row r="8992" spans="19:23">
      <c r="S8992" s="913" t="s">
        <v>558</v>
      </c>
      <c r="T8992" s="912" t="s">
        <v>132</v>
      </c>
      <c r="U8992" s="912">
        <v>698</v>
      </c>
      <c r="V8992" s="912">
        <v>2658</v>
      </c>
      <c r="W8992" s="912" t="s">
        <v>390</v>
      </c>
    </row>
    <row r="8993" spans="19:23">
      <c r="S8993" s="913" t="s">
        <v>557</v>
      </c>
      <c r="T8993" s="912" t="s">
        <v>132</v>
      </c>
      <c r="U8993" s="912">
        <v>327</v>
      </c>
      <c r="V8993" s="912">
        <v>3</v>
      </c>
      <c r="W8993" s="912" t="s">
        <v>410</v>
      </c>
    </row>
    <row r="8994" spans="19:23">
      <c r="S8994" s="913" t="s">
        <v>558</v>
      </c>
      <c r="T8994" s="912" t="s">
        <v>132</v>
      </c>
      <c r="U8994" s="912">
        <v>0</v>
      </c>
      <c r="V8994" s="912">
        <v>38</v>
      </c>
      <c r="W8994" s="912" t="s">
        <v>410</v>
      </c>
    </row>
    <row r="8995" spans="19:23">
      <c r="S8995" s="913" t="s">
        <v>557</v>
      </c>
      <c r="T8995" s="912" t="s">
        <v>132</v>
      </c>
      <c r="U8995" s="912">
        <v>262</v>
      </c>
      <c r="V8995" s="912">
        <v>47</v>
      </c>
      <c r="W8995" s="912" t="s">
        <v>410</v>
      </c>
    </row>
    <row r="8996" spans="19:23">
      <c r="S8996" s="913" t="s">
        <v>557</v>
      </c>
      <c r="T8996" s="912" t="s">
        <v>132</v>
      </c>
      <c r="U8996" s="912">
        <v>306</v>
      </c>
      <c r="V8996" s="912">
        <v>2382</v>
      </c>
      <c r="W8996" s="912" t="s">
        <v>390</v>
      </c>
    </row>
    <row r="8997" spans="19:23">
      <c r="S8997" s="913" t="s">
        <v>557</v>
      </c>
      <c r="T8997" s="912" t="s">
        <v>132</v>
      </c>
      <c r="U8997" s="912">
        <v>43</v>
      </c>
      <c r="V8997" s="912">
        <v>1010</v>
      </c>
      <c r="W8997" s="912" t="s">
        <v>390</v>
      </c>
    </row>
    <row r="8998" spans="19:23">
      <c r="S8998" s="913" t="s">
        <v>558</v>
      </c>
      <c r="T8998" s="912" t="s">
        <v>132</v>
      </c>
      <c r="U8998" s="912">
        <v>342</v>
      </c>
      <c r="V8998" s="912">
        <v>2635</v>
      </c>
      <c r="W8998" s="912" t="s">
        <v>390</v>
      </c>
    </row>
    <row r="8999" spans="19:23">
      <c r="S8999" s="913" t="s">
        <v>557</v>
      </c>
      <c r="T8999" s="912" t="s">
        <v>132</v>
      </c>
      <c r="U8999" s="912">
        <v>195</v>
      </c>
      <c r="V8999" s="912">
        <v>1</v>
      </c>
      <c r="W8999" s="912" t="s">
        <v>410</v>
      </c>
    </row>
    <row r="9000" spans="19:23">
      <c r="S9000" s="913" t="s">
        <v>558</v>
      </c>
      <c r="T9000" s="912" t="s">
        <v>132</v>
      </c>
      <c r="U9000" s="912">
        <v>325</v>
      </c>
      <c r="V9000" s="912">
        <v>2162</v>
      </c>
      <c r="W9000" s="912" t="s">
        <v>390</v>
      </c>
    </row>
    <row r="9001" spans="19:23">
      <c r="S9001" s="913" t="s">
        <v>557</v>
      </c>
      <c r="T9001" s="912" t="s">
        <v>132</v>
      </c>
      <c r="U9001" s="912">
        <v>232</v>
      </c>
      <c r="V9001" s="912">
        <v>3</v>
      </c>
      <c r="W9001" s="912" t="s">
        <v>410</v>
      </c>
    </row>
    <row r="9002" spans="19:23">
      <c r="S9002" s="913" t="s">
        <v>558</v>
      </c>
      <c r="T9002" s="912" t="s">
        <v>132</v>
      </c>
      <c r="U9002" s="912">
        <v>306</v>
      </c>
      <c r="V9002" s="912">
        <v>2420</v>
      </c>
      <c r="W9002" s="912" t="s">
        <v>390</v>
      </c>
    </row>
    <row r="9003" spans="19:23">
      <c r="S9003" s="913" t="s">
        <v>558</v>
      </c>
      <c r="T9003" s="912" t="s">
        <v>132</v>
      </c>
      <c r="U9003" s="912">
        <v>266</v>
      </c>
      <c r="V9003" s="912">
        <v>2335</v>
      </c>
      <c r="W9003" s="912" t="s">
        <v>390</v>
      </c>
    </row>
    <row r="9004" spans="19:23">
      <c r="S9004" s="913" t="s">
        <v>558</v>
      </c>
      <c r="T9004" s="912" t="s">
        <v>132</v>
      </c>
      <c r="U9004" s="912">
        <v>194</v>
      </c>
      <c r="V9004" s="912">
        <v>246</v>
      </c>
      <c r="W9004" s="912" t="s">
        <v>390</v>
      </c>
    </row>
    <row r="9005" spans="19:23">
      <c r="S9005" s="913" t="s">
        <v>557</v>
      </c>
      <c r="T9005" s="912" t="s">
        <v>132</v>
      </c>
      <c r="U9005" s="912">
        <v>297</v>
      </c>
      <c r="V9005" s="912">
        <v>805</v>
      </c>
      <c r="W9005" s="912" t="s">
        <v>390</v>
      </c>
    </row>
    <row r="9006" spans="19:23">
      <c r="S9006" s="913" t="s">
        <v>557</v>
      </c>
      <c r="T9006" s="912" t="s">
        <v>132</v>
      </c>
      <c r="U9006" s="912">
        <v>709</v>
      </c>
      <c r="V9006" s="912">
        <v>2139</v>
      </c>
      <c r="W9006" s="912" t="s">
        <v>390</v>
      </c>
    </row>
    <row r="9007" spans="19:23">
      <c r="S9007" s="913" t="s">
        <v>558</v>
      </c>
      <c r="T9007" s="912" t="s">
        <v>132</v>
      </c>
      <c r="U9007" s="912">
        <v>43</v>
      </c>
      <c r="V9007" s="912">
        <v>988</v>
      </c>
      <c r="W9007" s="912" t="s">
        <v>390</v>
      </c>
    </row>
    <row r="9008" spans="19:23">
      <c r="S9008" s="913" t="s">
        <v>557</v>
      </c>
      <c r="T9008" s="912" t="s">
        <v>132</v>
      </c>
      <c r="U9008" s="912">
        <v>660</v>
      </c>
      <c r="V9008" s="912">
        <v>5</v>
      </c>
      <c r="W9008" s="912" t="s">
        <v>410</v>
      </c>
    </row>
    <row r="9009" spans="19:23">
      <c r="S9009" s="913" t="s">
        <v>558</v>
      </c>
      <c r="T9009" s="912" t="s">
        <v>132</v>
      </c>
      <c r="U9009" s="912">
        <v>96</v>
      </c>
      <c r="V9009" s="912">
        <v>2</v>
      </c>
      <c r="W9009" s="912" t="s">
        <v>410</v>
      </c>
    </row>
    <row r="9010" spans="19:23">
      <c r="S9010" s="913" t="s">
        <v>557</v>
      </c>
      <c r="T9010" s="912" t="s">
        <v>132</v>
      </c>
      <c r="U9010" s="912">
        <v>319</v>
      </c>
      <c r="V9010" s="912">
        <v>3170</v>
      </c>
      <c r="W9010" s="912" t="s">
        <v>390</v>
      </c>
    </row>
    <row r="9011" spans="19:23">
      <c r="S9011" s="913" t="s">
        <v>558</v>
      </c>
      <c r="T9011" s="912" t="s">
        <v>132</v>
      </c>
      <c r="U9011" s="912">
        <v>69</v>
      </c>
      <c r="V9011" s="912">
        <v>1</v>
      </c>
      <c r="W9011" s="912" t="s">
        <v>410</v>
      </c>
    </row>
    <row r="9012" spans="19:23">
      <c r="S9012" s="913" t="s">
        <v>558</v>
      </c>
      <c r="T9012" s="912" t="s">
        <v>132</v>
      </c>
      <c r="U9012" s="912">
        <v>216</v>
      </c>
      <c r="V9012" s="912">
        <v>2582</v>
      </c>
      <c r="W9012" s="912" t="s">
        <v>390</v>
      </c>
    </row>
    <row r="9013" spans="19:23">
      <c r="S9013" s="913" t="s">
        <v>558</v>
      </c>
      <c r="T9013" s="912" t="s">
        <v>132</v>
      </c>
      <c r="U9013" s="912">
        <v>73</v>
      </c>
      <c r="V9013" s="912">
        <v>1</v>
      </c>
      <c r="W9013" s="912" t="s">
        <v>410</v>
      </c>
    </row>
    <row r="9014" spans="19:23">
      <c r="S9014" s="913" t="s">
        <v>558</v>
      </c>
      <c r="T9014" s="912" t="s">
        <v>132</v>
      </c>
      <c r="U9014" s="912">
        <v>671</v>
      </c>
      <c r="V9014" s="912">
        <v>1999</v>
      </c>
      <c r="W9014" s="912" t="s">
        <v>390</v>
      </c>
    </row>
    <row r="9015" spans="19:23">
      <c r="S9015" s="913" t="s">
        <v>557</v>
      </c>
      <c r="T9015" s="912" t="s">
        <v>132</v>
      </c>
      <c r="U9015" s="912">
        <v>188</v>
      </c>
      <c r="V9015" s="912">
        <v>797</v>
      </c>
      <c r="W9015" s="912" t="s">
        <v>390</v>
      </c>
    </row>
    <row r="9016" spans="19:23">
      <c r="S9016" s="913" t="s">
        <v>557</v>
      </c>
      <c r="T9016" s="912" t="s">
        <v>132</v>
      </c>
      <c r="U9016" s="912">
        <v>249</v>
      </c>
      <c r="V9016" s="912">
        <v>3423</v>
      </c>
      <c r="W9016" s="912" t="s">
        <v>390</v>
      </c>
    </row>
    <row r="9017" spans="19:23">
      <c r="S9017" s="913" t="s">
        <v>558</v>
      </c>
      <c r="T9017" s="912" t="s">
        <v>132</v>
      </c>
      <c r="U9017" s="912">
        <v>78</v>
      </c>
      <c r="V9017" s="912">
        <v>5</v>
      </c>
      <c r="W9017" s="912" t="s">
        <v>410</v>
      </c>
    </row>
    <row r="9018" spans="19:23">
      <c r="S9018" s="913" t="s">
        <v>557</v>
      </c>
      <c r="T9018" s="912" t="s">
        <v>132</v>
      </c>
      <c r="U9018" s="912">
        <v>141</v>
      </c>
      <c r="V9018" s="912">
        <v>1</v>
      </c>
      <c r="W9018" s="912" t="s">
        <v>410</v>
      </c>
    </row>
    <row r="9019" spans="19:23">
      <c r="S9019" s="913" t="s">
        <v>557</v>
      </c>
      <c r="T9019" s="912" t="s">
        <v>132</v>
      </c>
      <c r="U9019" s="912">
        <v>737</v>
      </c>
      <c r="V9019" s="912">
        <v>1808</v>
      </c>
      <c r="W9019" s="912" t="s">
        <v>390</v>
      </c>
    </row>
    <row r="9020" spans="19:23">
      <c r="S9020" s="913" t="s">
        <v>557</v>
      </c>
      <c r="T9020" s="912" t="s">
        <v>132</v>
      </c>
      <c r="U9020" s="912">
        <v>194</v>
      </c>
      <c r="V9020" s="912">
        <v>3723</v>
      </c>
      <c r="W9020" s="912" t="s">
        <v>390</v>
      </c>
    </row>
    <row r="9021" spans="19:23">
      <c r="S9021" s="913" t="s">
        <v>557</v>
      </c>
      <c r="T9021" s="912" t="s">
        <v>132</v>
      </c>
      <c r="U9021" s="912">
        <v>311</v>
      </c>
      <c r="V9021" s="912">
        <v>2488</v>
      </c>
      <c r="W9021" s="912" t="s">
        <v>390</v>
      </c>
    </row>
    <row r="9022" spans="19:23">
      <c r="S9022" s="913" t="s">
        <v>557</v>
      </c>
      <c r="T9022" s="912" t="s">
        <v>132</v>
      </c>
      <c r="U9022" s="912">
        <v>153</v>
      </c>
      <c r="V9022" s="912">
        <v>2302</v>
      </c>
      <c r="W9022" s="912" t="s">
        <v>390</v>
      </c>
    </row>
    <row r="9023" spans="19:23">
      <c r="S9023" s="913" t="s">
        <v>558</v>
      </c>
      <c r="T9023" s="912" t="s">
        <v>132</v>
      </c>
      <c r="U9023" s="912">
        <v>141</v>
      </c>
      <c r="V9023" s="912">
        <v>1</v>
      </c>
      <c r="W9023" s="912" t="s">
        <v>410</v>
      </c>
    </row>
    <row r="9024" spans="19:23">
      <c r="S9024" s="913" t="s">
        <v>558</v>
      </c>
      <c r="T9024" s="912" t="s">
        <v>132</v>
      </c>
      <c r="U9024" s="912">
        <v>328</v>
      </c>
      <c r="V9024" s="912">
        <v>516</v>
      </c>
      <c r="W9024" s="912" t="s">
        <v>390</v>
      </c>
    </row>
    <row r="9025" spans="19:23">
      <c r="S9025" s="913" t="s">
        <v>557</v>
      </c>
      <c r="T9025" s="912" t="s">
        <v>132</v>
      </c>
      <c r="U9025" s="912">
        <v>70</v>
      </c>
      <c r="V9025" s="912">
        <v>209</v>
      </c>
      <c r="W9025" s="912" t="s">
        <v>390</v>
      </c>
    </row>
    <row r="9026" spans="19:23">
      <c r="S9026" s="913" t="s">
        <v>557</v>
      </c>
      <c r="T9026" s="912" t="s">
        <v>132</v>
      </c>
      <c r="U9026" s="912">
        <v>98</v>
      </c>
      <c r="V9026" s="912">
        <v>30</v>
      </c>
      <c r="W9026" s="912" t="s">
        <v>410</v>
      </c>
    </row>
    <row r="9027" spans="19:23">
      <c r="S9027" s="913" t="s">
        <v>557</v>
      </c>
      <c r="T9027" s="912" t="s">
        <v>132</v>
      </c>
      <c r="U9027" s="912">
        <v>148</v>
      </c>
      <c r="V9027" s="912">
        <v>4</v>
      </c>
      <c r="W9027" s="912" t="s">
        <v>410</v>
      </c>
    </row>
    <row r="9028" spans="19:23">
      <c r="S9028" s="913" t="s">
        <v>557</v>
      </c>
      <c r="T9028" s="912" t="s">
        <v>132</v>
      </c>
      <c r="U9028" s="912">
        <v>139</v>
      </c>
      <c r="V9028" s="912">
        <v>2386</v>
      </c>
      <c r="W9028" s="912" t="s">
        <v>390</v>
      </c>
    </row>
    <row r="9029" spans="19:23">
      <c r="S9029" s="913" t="s">
        <v>557</v>
      </c>
      <c r="T9029" s="912" t="s">
        <v>132</v>
      </c>
      <c r="U9029" s="912">
        <v>304</v>
      </c>
      <c r="V9029" s="912">
        <v>120</v>
      </c>
      <c r="W9029" s="912" t="s">
        <v>390</v>
      </c>
    </row>
    <row r="9030" spans="19:23">
      <c r="S9030" s="913" t="s">
        <v>557</v>
      </c>
      <c r="T9030" s="912" t="s">
        <v>132</v>
      </c>
      <c r="U9030" s="912">
        <v>77</v>
      </c>
      <c r="V9030" s="912">
        <v>3602</v>
      </c>
      <c r="W9030" s="912" t="s">
        <v>390</v>
      </c>
    </row>
    <row r="9031" spans="19:23">
      <c r="S9031" s="913" t="s">
        <v>558</v>
      </c>
      <c r="T9031" s="912" t="s">
        <v>132</v>
      </c>
      <c r="U9031" s="912">
        <v>275</v>
      </c>
      <c r="V9031" s="912">
        <v>39</v>
      </c>
      <c r="W9031" s="912" t="s">
        <v>410</v>
      </c>
    </row>
    <row r="9032" spans="19:23">
      <c r="S9032" s="913" t="s">
        <v>557</v>
      </c>
      <c r="T9032" s="912" t="s">
        <v>132</v>
      </c>
      <c r="U9032" s="912">
        <v>89</v>
      </c>
      <c r="V9032" s="912">
        <v>1098</v>
      </c>
      <c r="W9032" s="912" t="s">
        <v>390</v>
      </c>
    </row>
    <row r="9033" spans="19:23">
      <c r="S9033" s="913" t="s">
        <v>557</v>
      </c>
      <c r="T9033" s="912" t="s">
        <v>132</v>
      </c>
      <c r="U9033" s="912">
        <v>698</v>
      </c>
      <c r="V9033" s="912">
        <v>2799</v>
      </c>
      <c r="W9033" s="912" t="s">
        <v>390</v>
      </c>
    </row>
    <row r="9034" spans="19:23">
      <c r="S9034" s="913" t="s">
        <v>558</v>
      </c>
      <c r="T9034" s="912" t="s">
        <v>132</v>
      </c>
      <c r="U9034" s="912">
        <v>691</v>
      </c>
      <c r="V9034" s="912">
        <v>2900</v>
      </c>
      <c r="W9034" s="912" t="s">
        <v>390</v>
      </c>
    </row>
    <row r="9035" spans="19:23">
      <c r="S9035" s="913" t="s">
        <v>557</v>
      </c>
      <c r="T9035" s="912" t="s">
        <v>132</v>
      </c>
      <c r="U9035" s="912">
        <v>650</v>
      </c>
      <c r="V9035" s="912">
        <v>30</v>
      </c>
      <c r="W9035" s="912" t="s">
        <v>410</v>
      </c>
    </row>
    <row r="9036" spans="19:23">
      <c r="S9036" s="913" t="s">
        <v>558</v>
      </c>
      <c r="T9036" s="912" t="s">
        <v>132</v>
      </c>
      <c r="U9036" s="912">
        <v>84</v>
      </c>
      <c r="V9036" s="912">
        <v>2447</v>
      </c>
      <c r="W9036" s="912" t="s">
        <v>390</v>
      </c>
    </row>
    <row r="9037" spans="19:23">
      <c r="S9037" s="913" t="s">
        <v>557</v>
      </c>
      <c r="T9037" s="912" t="s">
        <v>132</v>
      </c>
      <c r="U9037" s="912">
        <v>621</v>
      </c>
      <c r="V9037" s="912">
        <v>2470</v>
      </c>
      <c r="W9037" s="912" t="s">
        <v>390</v>
      </c>
    </row>
    <row r="9038" spans="19:23">
      <c r="S9038" s="913" t="s">
        <v>558</v>
      </c>
      <c r="T9038" s="912" t="s">
        <v>132</v>
      </c>
      <c r="U9038" s="912">
        <v>239</v>
      </c>
      <c r="V9038" s="912">
        <v>5</v>
      </c>
      <c r="W9038" s="912" t="s">
        <v>410</v>
      </c>
    </row>
    <row r="9039" spans="19:23">
      <c r="S9039" s="913" t="s">
        <v>557</v>
      </c>
      <c r="T9039" s="912" t="s">
        <v>132</v>
      </c>
      <c r="U9039" s="912">
        <v>667</v>
      </c>
      <c r="V9039" s="912">
        <v>2</v>
      </c>
      <c r="W9039" s="912" t="s">
        <v>410</v>
      </c>
    </row>
    <row r="9040" spans="19:23">
      <c r="S9040" s="913" t="s">
        <v>558</v>
      </c>
      <c r="T9040" s="912" t="s">
        <v>132</v>
      </c>
      <c r="U9040" s="912">
        <v>324</v>
      </c>
      <c r="V9040" s="912">
        <v>3107</v>
      </c>
      <c r="W9040" s="912" t="s">
        <v>390</v>
      </c>
    </row>
    <row r="9041" spans="19:23">
      <c r="S9041" s="913" t="s">
        <v>557</v>
      </c>
      <c r="T9041" s="912" t="s">
        <v>132</v>
      </c>
      <c r="U9041" s="912">
        <v>134</v>
      </c>
      <c r="V9041" s="912">
        <v>1</v>
      </c>
      <c r="W9041" s="912" t="s">
        <v>410</v>
      </c>
    </row>
    <row r="9042" spans="19:23">
      <c r="S9042" s="913" t="s">
        <v>558</v>
      </c>
      <c r="T9042" s="912" t="s">
        <v>132</v>
      </c>
      <c r="U9042" s="912">
        <v>727</v>
      </c>
      <c r="V9042" s="912">
        <v>3492</v>
      </c>
      <c r="W9042" s="912" t="s">
        <v>390</v>
      </c>
    </row>
    <row r="9043" spans="19:23">
      <c r="S9043" s="913" t="s">
        <v>558</v>
      </c>
      <c r="T9043" s="912" t="s">
        <v>132</v>
      </c>
      <c r="U9043" s="912">
        <v>265</v>
      </c>
      <c r="V9043" s="912">
        <v>17</v>
      </c>
      <c r="W9043" s="912" t="s">
        <v>410</v>
      </c>
    </row>
    <row r="9044" spans="19:23">
      <c r="S9044" s="913" t="s">
        <v>558</v>
      </c>
      <c r="T9044" s="912" t="s">
        <v>132</v>
      </c>
      <c r="U9044" s="912">
        <v>271</v>
      </c>
      <c r="V9044" s="912">
        <v>2964</v>
      </c>
      <c r="W9044" s="912" t="s">
        <v>390</v>
      </c>
    </row>
    <row r="9045" spans="19:23">
      <c r="S9045" s="913" t="s">
        <v>557</v>
      </c>
      <c r="T9045" s="912" t="s">
        <v>132</v>
      </c>
      <c r="U9045" s="912">
        <v>173</v>
      </c>
      <c r="V9045" s="912">
        <v>7</v>
      </c>
      <c r="W9045" s="912" t="s">
        <v>410</v>
      </c>
    </row>
    <row r="9046" spans="19:23">
      <c r="S9046" s="913" t="s">
        <v>557</v>
      </c>
      <c r="T9046" s="912" t="s">
        <v>132</v>
      </c>
      <c r="U9046" s="912">
        <v>315</v>
      </c>
      <c r="V9046" s="912">
        <v>1905</v>
      </c>
      <c r="W9046" s="912" t="s">
        <v>390</v>
      </c>
    </row>
    <row r="9047" spans="19:23">
      <c r="S9047" s="913" t="s">
        <v>558</v>
      </c>
      <c r="T9047" s="912" t="s">
        <v>132</v>
      </c>
      <c r="U9047" s="912">
        <v>748</v>
      </c>
      <c r="V9047" s="912">
        <v>686</v>
      </c>
      <c r="W9047" s="912" t="s">
        <v>390</v>
      </c>
    </row>
    <row r="9048" spans="19:23">
      <c r="S9048" s="913" t="s">
        <v>558</v>
      </c>
      <c r="T9048" s="912" t="s">
        <v>132</v>
      </c>
      <c r="U9048" s="912">
        <v>801</v>
      </c>
      <c r="V9048" s="912">
        <v>383</v>
      </c>
      <c r="W9048" s="912" t="s">
        <v>390</v>
      </c>
    </row>
    <row r="9049" spans="19:23">
      <c r="S9049" s="913" t="s">
        <v>557</v>
      </c>
      <c r="T9049" s="912" t="s">
        <v>132</v>
      </c>
      <c r="U9049" s="912">
        <v>169</v>
      </c>
      <c r="V9049" s="912">
        <v>3230</v>
      </c>
      <c r="W9049" s="912" t="s">
        <v>390</v>
      </c>
    </row>
    <row r="9050" spans="19:23">
      <c r="S9050" s="913" t="s">
        <v>558</v>
      </c>
      <c r="T9050" s="912" t="s">
        <v>132</v>
      </c>
      <c r="U9050" s="912">
        <v>650</v>
      </c>
      <c r="V9050" s="912">
        <v>18</v>
      </c>
      <c r="W9050" s="912" t="s">
        <v>410</v>
      </c>
    </row>
    <row r="9051" spans="19:23">
      <c r="S9051" s="913" t="s">
        <v>557</v>
      </c>
      <c r="T9051" s="912" t="s">
        <v>132</v>
      </c>
      <c r="U9051" s="912">
        <v>200</v>
      </c>
      <c r="V9051" s="912">
        <v>1</v>
      </c>
      <c r="W9051" s="912" t="s">
        <v>410</v>
      </c>
    </row>
    <row r="9052" spans="19:23">
      <c r="S9052" s="913" t="s">
        <v>557</v>
      </c>
      <c r="T9052" s="912" t="s">
        <v>132</v>
      </c>
      <c r="U9052" s="912">
        <v>669</v>
      </c>
      <c r="V9052" s="912">
        <v>2910</v>
      </c>
      <c r="W9052" s="912" t="s">
        <v>390</v>
      </c>
    </row>
    <row r="9053" spans="19:23">
      <c r="S9053" s="913" t="s">
        <v>558</v>
      </c>
      <c r="T9053" s="912" t="s">
        <v>132</v>
      </c>
      <c r="U9053" s="912">
        <v>292</v>
      </c>
      <c r="V9053" s="912">
        <v>4</v>
      </c>
      <c r="W9053" s="912" t="s">
        <v>410</v>
      </c>
    </row>
    <row r="9054" spans="19:23">
      <c r="S9054" s="913" t="s">
        <v>558</v>
      </c>
      <c r="T9054" s="912" t="s">
        <v>132</v>
      </c>
      <c r="U9054" s="912">
        <v>654</v>
      </c>
      <c r="V9054" s="912">
        <v>871</v>
      </c>
      <c r="W9054" s="912" t="s">
        <v>390</v>
      </c>
    </row>
    <row r="9055" spans="19:23">
      <c r="S9055" s="913" t="s">
        <v>557</v>
      </c>
      <c r="T9055" s="912" t="s">
        <v>132</v>
      </c>
      <c r="U9055" s="912">
        <v>52</v>
      </c>
      <c r="V9055" s="912">
        <v>8</v>
      </c>
      <c r="W9055" s="912" t="s">
        <v>410</v>
      </c>
    </row>
    <row r="9056" spans="19:23">
      <c r="S9056" s="913" t="s">
        <v>558</v>
      </c>
      <c r="T9056" s="912" t="s">
        <v>132</v>
      </c>
      <c r="U9056" s="912">
        <v>817</v>
      </c>
      <c r="V9056" s="912">
        <v>2397</v>
      </c>
      <c r="W9056" s="912" t="s">
        <v>390</v>
      </c>
    </row>
    <row r="9057" spans="19:23">
      <c r="S9057" s="913" t="s">
        <v>558</v>
      </c>
      <c r="T9057" s="912" t="s">
        <v>132</v>
      </c>
      <c r="U9057" s="912">
        <v>706</v>
      </c>
      <c r="V9057" s="912">
        <v>1180</v>
      </c>
      <c r="W9057" s="912" t="s">
        <v>390</v>
      </c>
    </row>
    <row r="9058" spans="19:23">
      <c r="S9058" s="913" t="s">
        <v>558</v>
      </c>
      <c r="T9058" s="912" t="s">
        <v>132</v>
      </c>
      <c r="U9058" s="912">
        <v>672</v>
      </c>
      <c r="V9058" s="912">
        <v>2345</v>
      </c>
      <c r="W9058" s="912" t="s">
        <v>390</v>
      </c>
    </row>
    <row r="9059" spans="19:23">
      <c r="S9059" s="913" t="s">
        <v>558</v>
      </c>
      <c r="T9059" s="912" t="s">
        <v>132</v>
      </c>
      <c r="U9059" s="912">
        <v>92</v>
      </c>
      <c r="V9059" s="912">
        <v>7</v>
      </c>
      <c r="W9059" s="912" t="s">
        <v>410</v>
      </c>
    </row>
    <row r="9060" spans="19:23">
      <c r="S9060" s="913" t="s">
        <v>558</v>
      </c>
      <c r="T9060" s="912" t="s">
        <v>132</v>
      </c>
      <c r="U9060" s="912">
        <v>71</v>
      </c>
      <c r="V9060" s="912">
        <v>1</v>
      </c>
      <c r="W9060" s="912" t="s">
        <v>410</v>
      </c>
    </row>
  </sheetData>
  <autoFilter ref="A1:E2307" xr:uid="{00000000-0001-0000-0A00-000000000000}"/>
  <pageMargins left="0.7" right="0.7" top="0.75" bottom="0.75" header="0.3" footer="0.3"/>
  <pageSetup paperSize="9" orientation="portrait" verticalDpi="0" r:id="rId3"/>
  <headerFooter>
    <oddFooter>&amp;R&amp;1#&amp;"Calibri"&amp;10&amp;K000000C2 - Confidential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269D-B9C6-4151-948D-FA3C8D8635AC}">
  <dimension ref="C4:G445"/>
  <sheetViews>
    <sheetView topLeftCell="A419" workbookViewId="0">
      <selection activeCell="M432" sqref="M432"/>
    </sheetView>
  </sheetViews>
  <sheetFormatPr baseColWidth="10" defaultRowHeight="14.4"/>
  <sheetData>
    <row r="4" spans="3:7">
      <c r="C4" s="911" t="s">
        <v>557</v>
      </c>
      <c r="D4" s="912" t="s">
        <v>132</v>
      </c>
      <c r="E4" s="912">
        <v>727</v>
      </c>
      <c r="F4" s="912">
        <v>3659</v>
      </c>
      <c r="G4" s="912" t="s">
        <v>390</v>
      </c>
    </row>
    <row r="5" spans="3:7">
      <c r="C5" s="911" t="s">
        <v>557</v>
      </c>
      <c r="D5" s="912" t="s">
        <v>132</v>
      </c>
      <c r="E5" s="912">
        <v>696</v>
      </c>
      <c r="F5" s="912">
        <v>2149</v>
      </c>
      <c r="G5" s="912" t="s">
        <v>390</v>
      </c>
    </row>
    <row r="6" spans="3:7">
      <c r="C6" s="911" t="s">
        <v>557</v>
      </c>
      <c r="D6" s="912" t="s">
        <v>132</v>
      </c>
      <c r="E6" s="912">
        <v>323</v>
      </c>
      <c r="F6" s="912">
        <v>3122</v>
      </c>
      <c r="G6" s="912" t="s">
        <v>390</v>
      </c>
    </row>
    <row r="7" spans="3:7">
      <c r="C7" s="911" t="s">
        <v>558</v>
      </c>
      <c r="D7" s="912" t="s">
        <v>132</v>
      </c>
      <c r="E7" s="912">
        <v>653</v>
      </c>
      <c r="F7" s="912">
        <v>9</v>
      </c>
      <c r="G7" s="912" t="s">
        <v>410</v>
      </c>
    </row>
    <row r="8" spans="3:7">
      <c r="C8" s="911" t="s">
        <v>558</v>
      </c>
      <c r="D8" s="912" t="s">
        <v>132</v>
      </c>
      <c r="E8" s="912">
        <v>231</v>
      </c>
      <c r="F8" s="912">
        <v>10</v>
      </c>
      <c r="G8" s="912" t="s">
        <v>410</v>
      </c>
    </row>
    <row r="9" spans="3:7">
      <c r="C9" s="911" t="s">
        <v>558</v>
      </c>
      <c r="D9" s="912" t="s">
        <v>132</v>
      </c>
      <c r="E9" s="912">
        <v>222</v>
      </c>
      <c r="F9" s="912">
        <v>5</v>
      </c>
      <c r="G9" s="912" t="s">
        <v>410</v>
      </c>
    </row>
    <row r="10" spans="3:7">
      <c r="C10" s="911" t="s">
        <v>558</v>
      </c>
      <c r="D10" s="912" t="s">
        <v>132</v>
      </c>
      <c r="E10" s="912">
        <v>528</v>
      </c>
      <c r="F10" s="912">
        <v>46</v>
      </c>
      <c r="G10" s="912" t="s">
        <v>410</v>
      </c>
    </row>
    <row r="11" spans="3:7">
      <c r="C11" s="911" t="s">
        <v>558</v>
      </c>
      <c r="D11" s="912" t="s">
        <v>132</v>
      </c>
      <c r="E11" s="912">
        <v>35</v>
      </c>
      <c r="F11" s="912">
        <v>870</v>
      </c>
      <c r="G11" s="912" t="s">
        <v>390</v>
      </c>
    </row>
    <row r="12" spans="3:7">
      <c r="C12" s="911" t="s">
        <v>558</v>
      </c>
      <c r="D12" s="912" t="s">
        <v>132</v>
      </c>
      <c r="E12" s="912">
        <v>670</v>
      </c>
      <c r="F12" s="912">
        <v>2458</v>
      </c>
      <c r="G12" s="912" t="s">
        <v>390</v>
      </c>
    </row>
    <row r="13" spans="3:7">
      <c r="C13" s="911" t="s">
        <v>557</v>
      </c>
      <c r="D13" s="912" t="s">
        <v>132</v>
      </c>
      <c r="E13" s="912">
        <v>732</v>
      </c>
      <c r="F13" s="912">
        <v>3419</v>
      </c>
      <c r="G13" s="912" t="s">
        <v>390</v>
      </c>
    </row>
    <row r="14" spans="3:7">
      <c r="C14" s="911" t="s">
        <v>557</v>
      </c>
      <c r="D14" s="912" t="s">
        <v>132</v>
      </c>
      <c r="E14" s="912">
        <v>671</v>
      </c>
      <c r="F14" s="912">
        <v>2015</v>
      </c>
      <c r="G14" s="912" t="s">
        <v>390</v>
      </c>
    </row>
    <row r="15" spans="3:7">
      <c r="C15" s="911" t="s">
        <v>557</v>
      </c>
      <c r="D15" s="912" t="s">
        <v>132</v>
      </c>
      <c r="E15" s="912">
        <v>748</v>
      </c>
      <c r="F15" s="912">
        <v>91</v>
      </c>
      <c r="G15" s="912" t="s">
        <v>410</v>
      </c>
    </row>
    <row r="16" spans="3:7">
      <c r="C16" s="911" t="s">
        <v>558</v>
      </c>
      <c r="D16" s="912" t="s">
        <v>132</v>
      </c>
      <c r="E16" s="912">
        <v>696</v>
      </c>
      <c r="F16" s="912">
        <v>119</v>
      </c>
      <c r="G16" s="912" t="s">
        <v>390</v>
      </c>
    </row>
    <row r="17" spans="3:7">
      <c r="C17" s="911" t="s">
        <v>558</v>
      </c>
      <c r="D17" s="912" t="s">
        <v>132</v>
      </c>
      <c r="E17" s="912">
        <v>741</v>
      </c>
      <c r="F17" s="912">
        <v>2836</v>
      </c>
      <c r="G17" s="912" t="s">
        <v>390</v>
      </c>
    </row>
    <row r="18" spans="3:7">
      <c r="C18" s="911" t="s">
        <v>557</v>
      </c>
      <c r="D18" s="912" t="s">
        <v>132</v>
      </c>
      <c r="E18" s="912">
        <v>328</v>
      </c>
      <c r="F18" s="912">
        <v>1409</v>
      </c>
      <c r="G18" s="912" t="s">
        <v>390</v>
      </c>
    </row>
    <row r="19" spans="3:7">
      <c r="C19" s="911" t="s">
        <v>558</v>
      </c>
      <c r="D19" s="912" t="s">
        <v>132</v>
      </c>
      <c r="E19" s="912">
        <v>157</v>
      </c>
      <c r="F19" s="912">
        <v>7</v>
      </c>
      <c r="G19" s="912" t="s">
        <v>410</v>
      </c>
    </row>
    <row r="20" spans="3:7">
      <c r="C20" s="911" t="s">
        <v>557</v>
      </c>
      <c r="D20" s="912" t="s">
        <v>132</v>
      </c>
      <c r="E20" s="912">
        <v>665</v>
      </c>
      <c r="F20" s="912">
        <v>3195</v>
      </c>
      <c r="G20" s="912" t="s">
        <v>390</v>
      </c>
    </row>
    <row r="21" spans="3:7">
      <c r="C21" s="911" t="s">
        <v>558</v>
      </c>
      <c r="D21" s="912" t="s">
        <v>132</v>
      </c>
      <c r="E21" s="912">
        <v>215</v>
      </c>
      <c r="F21" s="912">
        <v>4</v>
      </c>
      <c r="G21" s="912" t="s">
        <v>410</v>
      </c>
    </row>
    <row r="22" spans="3:7">
      <c r="C22" s="911" t="s">
        <v>557</v>
      </c>
      <c r="D22" s="912" t="s">
        <v>132</v>
      </c>
      <c r="E22" s="912">
        <v>769</v>
      </c>
      <c r="F22" s="912">
        <v>27</v>
      </c>
      <c r="G22" s="912" t="s">
        <v>410</v>
      </c>
    </row>
    <row r="23" spans="3:7">
      <c r="C23" s="911" t="s">
        <v>558</v>
      </c>
      <c r="D23" s="912" t="s">
        <v>132</v>
      </c>
      <c r="E23" s="912">
        <v>326</v>
      </c>
      <c r="F23" s="912">
        <v>2758</v>
      </c>
      <c r="G23" s="912" t="s">
        <v>390</v>
      </c>
    </row>
    <row r="24" spans="3:7">
      <c r="C24" s="911" t="s">
        <v>558</v>
      </c>
      <c r="D24" s="912" t="s">
        <v>132</v>
      </c>
      <c r="E24" s="912">
        <v>805</v>
      </c>
      <c r="F24" s="912">
        <v>49</v>
      </c>
      <c r="G24" s="912" t="s">
        <v>410</v>
      </c>
    </row>
    <row r="25" spans="3:7">
      <c r="C25" s="911" t="s">
        <v>557</v>
      </c>
      <c r="D25" s="912" t="s">
        <v>132</v>
      </c>
      <c r="E25" s="912">
        <v>11</v>
      </c>
      <c r="F25" s="912">
        <v>27</v>
      </c>
      <c r="G25" s="912" t="s">
        <v>410</v>
      </c>
    </row>
    <row r="26" spans="3:7">
      <c r="C26" s="911" t="s">
        <v>558</v>
      </c>
      <c r="D26" s="912" t="s">
        <v>132</v>
      </c>
      <c r="E26" s="912">
        <v>93</v>
      </c>
      <c r="F26" s="912">
        <v>1010</v>
      </c>
      <c r="G26" s="912" t="s">
        <v>390</v>
      </c>
    </row>
    <row r="27" spans="3:7">
      <c r="C27" s="911" t="s">
        <v>558</v>
      </c>
      <c r="D27" s="912" t="s">
        <v>132</v>
      </c>
      <c r="E27" s="912">
        <v>716</v>
      </c>
      <c r="F27" s="912">
        <v>285</v>
      </c>
      <c r="G27" s="912" t="s">
        <v>390</v>
      </c>
    </row>
    <row r="28" spans="3:7">
      <c r="C28" s="911" t="s">
        <v>557</v>
      </c>
      <c r="D28" s="912" t="s">
        <v>132</v>
      </c>
      <c r="E28" s="912">
        <v>64</v>
      </c>
      <c r="F28" s="912">
        <v>1</v>
      </c>
      <c r="G28" s="912" t="s">
        <v>410</v>
      </c>
    </row>
    <row r="29" spans="3:7">
      <c r="C29" s="911" t="s">
        <v>558</v>
      </c>
      <c r="D29" s="912" t="s">
        <v>132</v>
      </c>
      <c r="E29" s="912">
        <v>665</v>
      </c>
      <c r="F29" s="912">
        <v>17</v>
      </c>
      <c r="G29" s="912" t="s">
        <v>410</v>
      </c>
    </row>
    <row r="30" spans="3:7">
      <c r="C30" s="911" t="s">
        <v>557</v>
      </c>
      <c r="D30" s="912" t="s">
        <v>132</v>
      </c>
      <c r="E30" s="912">
        <v>750</v>
      </c>
      <c r="F30" s="912">
        <v>44</v>
      </c>
      <c r="G30" s="912" t="s">
        <v>410</v>
      </c>
    </row>
    <row r="31" spans="3:7">
      <c r="C31" s="911" t="s">
        <v>557</v>
      </c>
      <c r="D31" s="912" t="s">
        <v>132</v>
      </c>
      <c r="E31" s="912">
        <v>326</v>
      </c>
      <c r="F31" s="912">
        <v>2672</v>
      </c>
      <c r="G31" s="912" t="s">
        <v>390</v>
      </c>
    </row>
    <row r="32" spans="3:7">
      <c r="C32" s="911" t="s">
        <v>557</v>
      </c>
      <c r="D32" s="912" t="s">
        <v>132</v>
      </c>
      <c r="E32" s="912">
        <v>218</v>
      </c>
      <c r="F32" s="912">
        <v>141</v>
      </c>
      <c r="G32" s="912" t="s">
        <v>390</v>
      </c>
    </row>
    <row r="33" spans="3:7">
      <c r="C33" s="911" t="s">
        <v>558</v>
      </c>
      <c r="D33" s="912" t="s">
        <v>132</v>
      </c>
      <c r="E33" s="912">
        <v>652</v>
      </c>
      <c r="F33" s="912">
        <v>84</v>
      </c>
      <c r="G33" s="912" t="s">
        <v>410</v>
      </c>
    </row>
    <row r="34" spans="3:7">
      <c r="C34" s="911" t="s">
        <v>557</v>
      </c>
      <c r="D34" s="912" t="s">
        <v>132</v>
      </c>
      <c r="E34" s="912">
        <v>157</v>
      </c>
      <c r="F34" s="912">
        <v>11</v>
      </c>
      <c r="G34" s="912" t="s">
        <v>410</v>
      </c>
    </row>
    <row r="35" spans="3:7">
      <c r="C35" s="911" t="s">
        <v>557</v>
      </c>
      <c r="D35" s="912" t="s">
        <v>132</v>
      </c>
      <c r="E35" s="912">
        <v>292</v>
      </c>
      <c r="F35" s="912">
        <v>4</v>
      </c>
      <c r="G35" s="912" t="s">
        <v>410</v>
      </c>
    </row>
    <row r="36" spans="3:7">
      <c r="C36" s="911" t="s">
        <v>557</v>
      </c>
      <c r="D36" s="912" t="s">
        <v>132</v>
      </c>
      <c r="E36" s="912">
        <v>296</v>
      </c>
      <c r="F36" s="912">
        <v>2469</v>
      </c>
      <c r="G36" s="912" t="s">
        <v>390</v>
      </c>
    </row>
    <row r="37" spans="3:7">
      <c r="C37" s="911" t="s">
        <v>557</v>
      </c>
      <c r="D37" s="912" t="s">
        <v>132</v>
      </c>
      <c r="E37" s="912">
        <v>670</v>
      </c>
      <c r="F37" s="912">
        <v>2489</v>
      </c>
      <c r="G37" s="912" t="s">
        <v>390</v>
      </c>
    </row>
    <row r="38" spans="3:7">
      <c r="C38" s="911" t="s">
        <v>558</v>
      </c>
      <c r="D38" s="912" t="s">
        <v>132</v>
      </c>
      <c r="E38" s="912">
        <v>687</v>
      </c>
      <c r="F38" s="912">
        <v>2967</v>
      </c>
      <c r="G38" s="912" t="s">
        <v>390</v>
      </c>
    </row>
    <row r="39" spans="3:7">
      <c r="C39" s="911" t="s">
        <v>558</v>
      </c>
      <c r="D39" s="912" t="s">
        <v>132</v>
      </c>
      <c r="E39" s="912">
        <v>70</v>
      </c>
      <c r="F39" s="912">
        <v>207</v>
      </c>
      <c r="G39" s="912" t="s">
        <v>390</v>
      </c>
    </row>
    <row r="40" spans="3:7">
      <c r="C40" s="911" t="s">
        <v>558</v>
      </c>
      <c r="D40" s="912" t="s">
        <v>132</v>
      </c>
      <c r="E40" s="912">
        <v>52</v>
      </c>
      <c r="F40" s="912">
        <v>6</v>
      </c>
      <c r="G40" s="912" t="s">
        <v>410</v>
      </c>
    </row>
    <row r="41" spans="3:7">
      <c r="C41" s="911" t="s">
        <v>558</v>
      </c>
      <c r="D41" s="912" t="s">
        <v>132</v>
      </c>
      <c r="E41" s="912">
        <v>249</v>
      </c>
      <c r="F41" s="912">
        <v>5</v>
      </c>
      <c r="G41" s="912" t="s">
        <v>410</v>
      </c>
    </row>
    <row r="42" spans="3:7">
      <c r="C42" s="911" t="s">
        <v>558</v>
      </c>
      <c r="D42" s="912" t="s">
        <v>132</v>
      </c>
      <c r="E42" s="912">
        <v>155</v>
      </c>
      <c r="F42" s="912">
        <v>2428</v>
      </c>
      <c r="G42" s="912" t="s">
        <v>390</v>
      </c>
    </row>
    <row r="43" spans="3:7">
      <c r="C43" s="911" t="s">
        <v>557</v>
      </c>
      <c r="D43" s="912" t="s">
        <v>132</v>
      </c>
      <c r="E43" s="912">
        <v>63</v>
      </c>
      <c r="F43" s="912">
        <v>1</v>
      </c>
      <c r="G43" s="912" t="s">
        <v>410</v>
      </c>
    </row>
    <row r="44" spans="3:7">
      <c r="C44" s="911" t="s">
        <v>557</v>
      </c>
      <c r="D44" s="912" t="s">
        <v>132</v>
      </c>
      <c r="E44" s="912">
        <v>654</v>
      </c>
      <c r="F44" s="912">
        <v>967</v>
      </c>
      <c r="G44" s="912" t="s">
        <v>390</v>
      </c>
    </row>
    <row r="45" spans="3:7">
      <c r="C45" s="911" t="s">
        <v>557</v>
      </c>
      <c r="D45" s="912" t="s">
        <v>132</v>
      </c>
      <c r="E45" s="912">
        <v>158</v>
      </c>
      <c r="F45" s="912">
        <v>128</v>
      </c>
      <c r="G45" s="912" t="s">
        <v>390</v>
      </c>
    </row>
    <row r="46" spans="3:7">
      <c r="C46" s="911" t="s">
        <v>558</v>
      </c>
      <c r="D46" s="912" t="s">
        <v>132</v>
      </c>
      <c r="E46" s="912">
        <v>523</v>
      </c>
      <c r="F46" s="912">
        <v>1</v>
      </c>
      <c r="G46" s="912" t="s">
        <v>410</v>
      </c>
    </row>
    <row r="47" spans="3:7">
      <c r="C47" s="911" t="s">
        <v>558</v>
      </c>
      <c r="D47" s="912" t="s">
        <v>132</v>
      </c>
      <c r="E47" s="912">
        <v>140</v>
      </c>
      <c r="F47" s="912">
        <v>752</v>
      </c>
      <c r="G47" s="912" t="s">
        <v>390</v>
      </c>
    </row>
    <row r="48" spans="3:7">
      <c r="C48" s="911" t="s">
        <v>557</v>
      </c>
      <c r="D48" s="912" t="s">
        <v>132</v>
      </c>
      <c r="E48" s="912">
        <v>119</v>
      </c>
      <c r="F48" s="912">
        <v>1</v>
      </c>
      <c r="G48" s="912" t="s">
        <v>410</v>
      </c>
    </row>
    <row r="49" spans="3:7">
      <c r="C49" s="911" t="s">
        <v>557</v>
      </c>
      <c r="D49" s="912" t="s">
        <v>132</v>
      </c>
      <c r="E49" s="912">
        <v>78</v>
      </c>
      <c r="F49" s="912">
        <v>10</v>
      </c>
      <c r="G49" s="912" t="s">
        <v>410</v>
      </c>
    </row>
    <row r="50" spans="3:7">
      <c r="C50" s="911" t="s">
        <v>557</v>
      </c>
      <c r="D50" s="912" t="s">
        <v>132</v>
      </c>
      <c r="E50" s="912">
        <v>653</v>
      </c>
      <c r="F50" s="912">
        <v>1</v>
      </c>
      <c r="G50" s="912" t="s">
        <v>410</v>
      </c>
    </row>
    <row r="51" spans="3:7">
      <c r="C51" s="911" t="s">
        <v>557</v>
      </c>
      <c r="D51" s="912" t="s">
        <v>132</v>
      </c>
      <c r="E51" s="912">
        <v>68</v>
      </c>
      <c r="F51" s="912">
        <v>871</v>
      </c>
      <c r="G51" s="912" t="s">
        <v>390</v>
      </c>
    </row>
    <row r="52" spans="3:7">
      <c r="C52" s="911" t="s">
        <v>558</v>
      </c>
      <c r="D52" s="912" t="s">
        <v>132</v>
      </c>
      <c r="E52" s="912">
        <v>648</v>
      </c>
      <c r="F52" s="912">
        <v>1</v>
      </c>
      <c r="G52" s="912" t="s">
        <v>410</v>
      </c>
    </row>
    <row r="53" spans="3:7">
      <c r="C53" s="911" t="s">
        <v>557</v>
      </c>
      <c r="D53" s="912" t="s">
        <v>132</v>
      </c>
      <c r="E53" s="912">
        <v>736</v>
      </c>
      <c r="F53" s="912">
        <v>3129</v>
      </c>
      <c r="G53" s="912" t="s">
        <v>390</v>
      </c>
    </row>
    <row r="54" spans="3:7">
      <c r="C54" s="911" t="s">
        <v>557</v>
      </c>
      <c r="D54" s="912" t="s">
        <v>132</v>
      </c>
      <c r="E54" s="912">
        <v>94</v>
      </c>
      <c r="F54" s="912">
        <v>483</v>
      </c>
      <c r="G54" s="912" t="s">
        <v>390</v>
      </c>
    </row>
    <row r="55" spans="3:7">
      <c r="C55" s="911" t="s">
        <v>557</v>
      </c>
      <c r="D55" s="912" t="s">
        <v>132</v>
      </c>
      <c r="E55" s="912">
        <v>303</v>
      </c>
      <c r="F55" s="912">
        <v>2455</v>
      </c>
      <c r="G55" s="912" t="s">
        <v>390</v>
      </c>
    </row>
    <row r="56" spans="3:7">
      <c r="C56" s="911" t="s">
        <v>557</v>
      </c>
      <c r="D56" s="912" t="s">
        <v>132</v>
      </c>
      <c r="E56" s="912">
        <v>39</v>
      </c>
      <c r="F56" s="912">
        <v>1</v>
      </c>
      <c r="G56" s="912" t="s">
        <v>410</v>
      </c>
    </row>
    <row r="57" spans="3:7">
      <c r="C57" s="911" t="s">
        <v>558</v>
      </c>
      <c r="D57" s="912" t="s">
        <v>132</v>
      </c>
      <c r="E57" s="912">
        <v>89</v>
      </c>
      <c r="F57" s="912">
        <v>1061</v>
      </c>
      <c r="G57" s="912" t="s">
        <v>390</v>
      </c>
    </row>
    <row r="58" spans="3:7">
      <c r="C58" s="911" t="s">
        <v>558</v>
      </c>
      <c r="D58" s="912" t="s">
        <v>132</v>
      </c>
      <c r="E58" s="912">
        <v>621</v>
      </c>
      <c r="F58" s="912">
        <v>2716</v>
      </c>
      <c r="G58" s="912" t="s">
        <v>390</v>
      </c>
    </row>
    <row r="59" spans="3:7">
      <c r="C59" s="911" t="s">
        <v>558</v>
      </c>
      <c r="D59" s="912" t="s">
        <v>132</v>
      </c>
      <c r="E59" s="912">
        <v>702</v>
      </c>
      <c r="F59" s="912">
        <v>1</v>
      </c>
      <c r="G59" s="912" t="s">
        <v>410</v>
      </c>
    </row>
    <row r="60" spans="3:7">
      <c r="C60" s="911" t="s">
        <v>558</v>
      </c>
      <c r="D60" s="912" t="s">
        <v>132</v>
      </c>
      <c r="E60" s="912">
        <v>48</v>
      </c>
      <c r="F60" s="912">
        <v>169</v>
      </c>
      <c r="G60" s="912" t="s">
        <v>390</v>
      </c>
    </row>
    <row r="61" spans="3:7">
      <c r="C61" s="911" t="s">
        <v>557</v>
      </c>
      <c r="D61" s="912" t="s">
        <v>132</v>
      </c>
      <c r="E61" s="912">
        <v>716</v>
      </c>
      <c r="F61" s="912">
        <v>360</v>
      </c>
      <c r="G61" s="912" t="s">
        <v>390</v>
      </c>
    </row>
    <row r="62" spans="3:7">
      <c r="C62" s="911" t="s">
        <v>557</v>
      </c>
      <c r="D62" s="912" t="s">
        <v>132</v>
      </c>
      <c r="E62" s="912">
        <v>663</v>
      </c>
      <c r="F62" s="912">
        <v>655</v>
      </c>
      <c r="G62" s="912" t="s">
        <v>390</v>
      </c>
    </row>
    <row r="63" spans="3:7">
      <c r="C63" s="911" t="s">
        <v>558</v>
      </c>
      <c r="D63" s="912" t="s">
        <v>132</v>
      </c>
      <c r="E63" s="912">
        <v>150</v>
      </c>
      <c r="F63" s="912">
        <v>293</v>
      </c>
      <c r="G63" s="912" t="s">
        <v>390</v>
      </c>
    </row>
    <row r="64" spans="3:7">
      <c r="C64" s="911" t="s">
        <v>558</v>
      </c>
      <c r="D64" s="912" t="s">
        <v>132</v>
      </c>
      <c r="E64" s="912">
        <v>46</v>
      </c>
      <c r="F64" s="912">
        <v>1</v>
      </c>
      <c r="G64" s="912" t="s">
        <v>410</v>
      </c>
    </row>
    <row r="65" spans="3:7">
      <c r="C65" s="911" t="s">
        <v>557</v>
      </c>
      <c r="D65" s="912" t="s">
        <v>132</v>
      </c>
      <c r="E65" s="912">
        <v>318</v>
      </c>
      <c r="F65" s="912">
        <v>2495</v>
      </c>
      <c r="G65" s="912" t="s">
        <v>390</v>
      </c>
    </row>
    <row r="66" spans="3:7">
      <c r="C66" s="911" t="s">
        <v>557</v>
      </c>
      <c r="D66" s="912" t="s">
        <v>132</v>
      </c>
      <c r="E66" s="912">
        <v>275</v>
      </c>
      <c r="F66" s="912">
        <v>25</v>
      </c>
      <c r="G66" s="912" t="s">
        <v>410</v>
      </c>
    </row>
    <row r="67" spans="3:7">
      <c r="C67" s="911" t="s">
        <v>557</v>
      </c>
      <c r="D67" s="912" t="s">
        <v>132</v>
      </c>
      <c r="E67" s="912">
        <v>701</v>
      </c>
      <c r="F67" s="912">
        <v>2394</v>
      </c>
      <c r="G67" s="912" t="s">
        <v>390</v>
      </c>
    </row>
    <row r="68" spans="3:7">
      <c r="C68" s="911" t="s">
        <v>558</v>
      </c>
      <c r="D68" s="912" t="s">
        <v>132</v>
      </c>
      <c r="E68" s="912">
        <v>171</v>
      </c>
      <c r="F68" s="912">
        <v>56</v>
      </c>
      <c r="G68" s="912" t="s">
        <v>410</v>
      </c>
    </row>
    <row r="69" spans="3:7">
      <c r="C69" s="911" t="s">
        <v>557</v>
      </c>
      <c r="D69" s="912" t="s">
        <v>132</v>
      </c>
      <c r="E69" s="912">
        <v>317</v>
      </c>
      <c r="F69" s="912">
        <v>3403</v>
      </c>
      <c r="G69" s="912" t="s">
        <v>390</v>
      </c>
    </row>
    <row r="70" spans="3:7">
      <c r="C70" s="911" t="s">
        <v>557</v>
      </c>
      <c r="D70" s="912" t="s">
        <v>132</v>
      </c>
      <c r="E70" s="912">
        <v>237</v>
      </c>
      <c r="F70" s="912">
        <v>1</v>
      </c>
      <c r="G70" s="912" t="s">
        <v>410</v>
      </c>
    </row>
    <row r="71" spans="3:7">
      <c r="C71" s="911" t="s">
        <v>558</v>
      </c>
      <c r="D71" s="912" t="s">
        <v>132</v>
      </c>
      <c r="E71" s="912">
        <v>704</v>
      </c>
      <c r="F71" s="912">
        <v>3416</v>
      </c>
      <c r="G71" s="912" t="s">
        <v>390</v>
      </c>
    </row>
    <row r="72" spans="3:7">
      <c r="C72" s="911" t="s">
        <v>557</v>
      </c>
      <c r="D72" s="912" t="s">
        <v>132</v>
      </c>
      <c r="E72" s="912">
        <v>101</v>
      </c>
      <c r="F72" s="912">
        <v>283</v>
      </c>
      <c r="G72" s="912" t="s">
        <v>390</v>
      </c>
    </row>
    <row r="73" spans="3:7">
      <c r="C73" s="911" t="s">
        <v>558</v>
      </c>
      <c r="D73" s="912" t="s">
        <v>132</v>
      </c>
      <c r="E73" s="912">
        <v>139</v>
      </c>
      <c r="F73" s="912">
        <v>2185</v>
      </c>
      <c r="G73" s="912" t="s">
        <v>390</v>
      </c>
    </row>
    <row r="74" spans="3:7">
      <c r="C74" s="911" t="s">
        <v>558</v>
      </c>
      <c r="D74" s="912" t="s">
        <v>132</v>
      </c>
      <c r="E74" s="912">
        <v>253</v>
      </c>
      <c r="F74" s="912">
        <v>10</v>
      </c>
      <c r="G74" s="912" t="s">
        <v>410</v>
      </c>
    </row>
    <row r="75" spans="3:7">
      <c r="C75" s="911" t="s">
        <v>557</v>
      </c>
      <c r="D75" s="912" t="s">
        <v>132</v>
      </c>
      <c r="E75" s="912">
        <v>73</v>
      </c>
      <c r="F75" s="912">
        <v>3</v>
      </c>
      <c r="G75" s="912" t="s">
        <v>410</v>
      </c>
    </row>
    <row r="76" spans="3:7">
      <c r="C76" s="911" t="s">
        <v>557</v>
      </c>
      <c r="D76" s="912" t="s">
        <v>132</v>
      </c>
      <c r="E76" s="912">
        <v>724</v>
      </c>
      <c r="F76" s="912">
        <v>2453</v>
      </c>
      <c r="G76" s="912" t="s">
        <v>390</v>
      </c>
    </row>
    <row r="77" spans="3:7">
      <c r="C77" s="911" t="s">
        <v>557</v>
      </c>
      <c r="D77" s="912" t="s">
        <v>132</v>
      </c>
      <c r="E77" s="912">
        <v>164</v>
      </c>
      <c r="F77" s="912">
        <v>10</v>
      </c>
      <c r="G77" s="912" t="s">
        <v>410</v>
      </c>
    </row>
    <row r="78" spans="3:7">
      <c r="C78" s="911" t="s">
        <v>558</v>
      </c>
      <c r="D78" s="912" t="s">
        <v>132</v>
      </c>
      <c r="E78" s="912">
        <v>316</v>
      </c>
      <c r="F78" s="912">
        <v>7</v>
      </c>
      <c r="G78" s="912" t="s">
        <v>410</v>
      </c>
    </row>
    <row r="79" spans="3:7">
      <c r="C79" s="911" t="s">
        <v>557</v>
      </c>
      <c r="D79" s="912" t="s">
        <v>132</v>
      </c>
      <c r="E79" s="912">
        <v>728</v>
      </c>
      <c r="F79" s="912">
        <v>92</v>
      </c>
      <c r="G79" s="912" t="s">
        <v>410</v>
      </c>
    </row>
    <row r="80" spans="3:7">
      <c r="C80" s="911" t="s">
        <v>557</v>
      </c>
      <c r="D80" s="912" t="s">
        <v>132</v>
      </c>
      <c r="E80" s="912">
        <v>59</v>
      </c>
      <c r="F80" s="912">
        <v>2</v>
      </c>
      <c r="G80" s="912" t="s">
        <v>410</v>
      </c>
    </row>
    <row r="81" spans="3:7">
      <c r="C81" s="911" t="s">
        <v>557</v>
      </c>
      <c r="D81" s="912" t="s">
        <v>132</v>
      </c>
      <c r="E81" s="912">
        <v>120</v>
      </c>
      <c r="F81" s="912">
        <v>1</v>
      </c>
      <c r="G81" s="912" t="s">
        <v>410</v>
      </c>
    </row>
    <row r="82" spans="3:7">
      <c r="C82" s="911" t="s">
        <v>557</v>
      </c>
      <c r="D82" s="912" t="s">
        <v>132</v>
      </c>
      <c r="E82" s="912">
        <v>641</v>
      </c>
      <c r="F82" s="912">
        <v>2123</v>
      </c>
      <c r="G82" s="912" t="s">
        <v>390</v>
      </c>
    </row>
    <row r="83" spans="3:7">
      <c r="C83" s="911" t="s">
        <v>558</v>
      </c>
      <c r="D83" s="912" t="s">
        <v>132</v>
      </c>
      <c r="E83" s="912">
        <v>161</v>
      </c>
      <c r="F83" s="912">
        <v>1</v>
      </c>
      <c r="G83" s="912" t="s">
        <v>410</v>
      </c>
    </row>
    <row r="84" spans="3:7">
      <c r="C84" s="911" t="s">
        <v>557</v>
      </c>
      <c r="D84" s="912" t="s">
        <v>132</v>
      </c>
      <c r="E84" s="912">
        <v>129</v>
      </c>
      <c r="F84" s="912">
        <v>2</v>
      </c>
      <c r="G84" s="912" t="s">
        <v>410</v>
      </c>
    </row>
    <row r="85" spans="3:7">
      <c r="C85" s="911" t="s">
        <v>558</v>
      </c>
      <c r="D85" s="912" t="s">
        <v>132</v>
      </c>
      <c r="E85" s="912">
        <v>645</v>
      </c>
      <c r="F85" s="912">
        <v>1</v>
      </c>
      <c r="G85" s="912" t="s">
        <v>410</v>
      </c>
    </row>
    <row r="86" spans="3:7">
      <c r="C86" s="911" t="s">
        <v>558</v>
      </c>
      <c r="D86" s="912" t="s">
        <v>132</v>
      </c>
      <c r="E86" s="912">
        <v>793</v>
      </c>
      <c r="F86" s="912">
        <v>247</v>
      </c>
      <c r="G86" s="912" t="s">
        <v>390</v>
      </c>
    </row>
    <row r="87" spans="3:7">
      <c r="C87" s="911" t="s">
        <v>557</v>
      </c>
      <c r="D87" s="912" t="s">
        <v>132</v>
      </c>
      <c r="E87" s="912">
        <v>718</v>
      </c>
      <c r="F87" s="912">
        <v>1484</v>
      </c>
      <c r="G87" s="912" t="s">
        <v>390</v>
      </c>
    </row>
    <row r="88" spans="3:7">
      <c r="C88" s="911" t="s">
        <v>558</v>
      </c>
      <c r="D88" s="912" t="s">
        <v>132</v>
      </c>
      <c r="E88" s="912">
        <v>318</v>
      </c>
      <c r="F88" s="912">
        <v>2438</v>
      </c>
      <c r="G88" s="912" t="s">
        <v>390</v>
      </c>
    </row>
    <row r="89" spans="3:7">
      <c r="C89" s="911" t="s">
        <v>557</v>
      </c>
      <c r="D89" s="912" t="s">
        <v>132</v>
      </c>
      <c r="E89" s="912">
        <v>672</v>
      </c>
      <c r="F89" s="912">
        <v>2367</v>
      </c>
      <c r="G89" s="912" t="s">
        <v>390</v>
      </c>
    </row>
    <row r="90" spans="3:7">
      <c r="C90" s="911" t="s">
        <v>557</v>
      </c>
      <c r="D90" s="912" t="s">
        <v>132</v>
      </c>
      <c r="E90" s="912">
        <v>216</v>
      </c>
      <c r="F90" s="912">
        <v>2358</v>
      </c>
      <c r="G90" s="912" t="s">
        <v>390</v>
      </c>
    </row>
    <row r="91" spans="3:7">
      <c r="C91" s="911" t="s">
        <v>557</v>
      </c>
      <c r="D91" s="912" t="s">
        <v>132</v>
      </c>
      <c r="E91" s="912">
        <v>676</v>
      </c>
      <c r="F91" s="912">
        <v>3</v>
      </c>
      <c r="G91" s="912" t="s">
        <v>410</v>
      </c>
    </row>
    <row r="92" spans="3:7">
      <c r="C92" s="911" t="s">
        <v>558</v>
      </c>
      <c r="D92" s="912" t="s">
        <v>132</v>
      </c>
      <c r="E92" s="912">
        <v>826</v>
      </c>
      <c r="F92" s="912">
        <v>66</v>
      </c>
      <c r="G92" s="912" t="s">
        <v>410</v>
      </c>
    </row>
    <row r="93" spans="3:7">
      <c r="C93" s="911" t="s">
        <v>558</v>
      </c>
      <c r="D93" s="912" t="s">
        <v>132</v>
      </c>
      <c r="E93" s="912">
        <v>148</v>
      </c>
      <c r="F93" s="912">
        <v>3</v>
      </c>
      <c r="G93" s="912" t="s">
        <v>410</v>
      </c>
    </row>
    <row r="94" spans="3:7">
      <c r="C94" s="911" t="s">
        <v>557</v>
      </c>
      <c r="D94" s="912" t="s">
        <v>132</v>
      </c>
      <c r="E94" s="912">
        <v>233</v>
      </c>
      <c r="F94" s="912">
        <v>2562</v>
      </c>
      <c r="G94" s="912" t="s">
        <v>390</v>
      </c>
    </row>
    <row r="95" spans="3:7">
      <c r="C95" s="911" t="s">
        <v>557</v>
      </c>
      <c r="D95" s="912" t="s">
        <v>132</v>
      </c>
      <c r="E95" s="912">
        <v>102</v>
      </c>
      <c r="F95" s="912">
        <v>2</v>
      </c>
      <c r="G95" s="912" t="s">
        <v>410</v>
      </c>
    </row>
    <row r="96" spans="3:7">
      <c r="C96" s="911" t="s">
        <v>557</v>
      </c>
      <c r="D96" s="912" t="s">
        <v>132</v>
      </c>
      <c r="E96" s="912">
        <v>312</v>
      </c>
      <c r="F96" s="912">
        <v>2652</v>
      </c>
      <c r="G96" s="912" t="s">
        <v>390</v>
      </c>
    </row>
    <row r="97" spans="3:7">
      <c r="C97" s="911" t="s">
        <v>558</v>
      </c>
      <c r="D97" s="912" t="s">
        <v>132</v>
      </c>
      <c r="E97" s="912">
        <v>218</v>
      </c>
      <c r="F97" s="912">
        <v>295</v>
      </c>
      <c r="G97" s="912" t="s">
        <v>390</v>
      </c>
    </row>
    <row r="98" spans="3:7">
      <c r="C98" s="911" t="s">
        <v>557</v>
      </c>
      <c r="D98" s="912" t="s">
        <v>132</v>
      </c>
      <c r="E98" s="912">
        <v>155</v>
      </c>
      <c r="F98" s="912">
        <v>2570</v>
      </c>
      <c r="G98" s="912" t="s">
        <v>390</v>
      </c>
    </row>
    <row r="99" spans="3:7">
      <c r="C99" s="911" t="s">
        <v>558</v>
      </c>
      <c r="D99" s="912" t="s">
        <v>132</v>
      </c>
      <c r="E99" s="912">
        <v>153</v>
      </c>
      <c r="F99" s="912">
        <v>2194</v>
      </c>
      <c r="G99" s="912" t="s">
        <v>390</v>
      </c>
    </row>
    <row r="100" spans="3:7">
      <c r="C100" s="911" t="s">
        <v>558</v>
      </c>
      <c r="D100" s="912" t="s">
        <v>132</v>
      </c>
      <c r="E100" s="912">
        <v>779</v>
      </c>
      <c r="F100" s="912">
        <v>2061</v>
      </c>
      <c r="G100" s="912" t="s">
        <v>390</v>
      </c>
    </row>
    <row r="101" spans="3:7">
      <c r="C101" s="911" t="s">
        <v>558</v>
      </c>
      <c r="D101" s="912" t="s">
        <v>132</v>
      </c>
      <c r="E101" s="912">
        <v>109</v>
      </c>
      <c r="F101" s="912">
        <v>5</v>
      </c>
      <c r="G101" s="912" t="s">
        <v>410</v>
      </c>
    </row>
    <row r="102" spans="3:7">
      <c r="C102" s="911" t="s">
        <v>558</v>
      </c>
      <c r="D102" s="912" t="s">
        <v>132</v>
      </c>
      <c r="E102" s="912">
        <v>329</v>
      </c>
      <c r="F102" s="912">
        <v>3803</v>
      </c>
      <c r="G102" s="912" t="s">
        <v>390</v>
      </c>
    </row>
    <row r="103" spans="3:7">
      <c r="C103" s="911" t="s">
        <v>558</v>
      </c>
      <c r="D103" s="912" t="s">
        <v>132</v>
      </c>
      <c r="E103" s="912">
        <v>11</v>
      </c>
      <c r="F103" s="912">
        <v>26</v>
      </c>
      <c r="G103" s="912" t="s">
        <v>410</v>
      </c>
    </row>
    <row r="104" spans="3:7">
      <c r="C104" s="911" t="s">
        <v>557</v>
      </c>
      <c r="D104" s="912" t="s">
        <v>132</v>
      </c>
      <c r="E104" s="912">
        <v>658</v>
      </c>
      <c r="F104" s="912">
        <v>3273</v>
      </c>
      <c r="G104" s="912" t="s">
        <v>390</v>
      </c>
    </row>
    <row r="105" spans="3:7">
      <c r="C105" s="911" t="s">
        <v>557</v>
      </c>
      <c r="D105" s="912" t="s">
        <v>132</v>
      </c>
      <c r="E105" s="912">
        <v>706</v>
      </c>
      <c r="F105" s="912">
        <v>1213</v>
      </c>
      <c r="G105" s="912" t="s">
        <v>390</v>
      </c>
    </row>
    <row r="106" spans="3:7">
      <c r="C106" s="911" t="s">
        <v>558</v>
      </c>
      <c r="D106" s="912" t="s">
        <v>132</v>
      </c>
      <c r="E106" s="912">
        <v>750</v>
      </c>
      <c r="F106" s="912">
        <v>2044</v>
      </c>
      <c r="G106" s="912" t="s">
        <v>390</v>
      </c>
    </row>
    <row r="107" spans="3:7">
      <c r="C107" s="911" t="s">
        <v>557</v>
      </c>
      <c r="D107" s="912" t="s">
        <v>132</v>
      </c>
      <c r="E107" s="912">
        <v>699</v>
      </c>
      <c r="F107" s="912">
        <v>2825</v>
      </c>
      <c r="G107" s="912" t="s">
        <v>390</v>
      </c>
    </row>
    <row r="108" spans="3:7">
      <c r="C108" s="911" t="s">
        <v>557</v>
      </c>
      <c r="D108" s="912" t="s">
        <v>132</v>
      </c>
      <c r="E108" s="912">
        <v>700</v>
      </c>
      <c r="F108" s="912">
        <v>2788</v>
      </c>
      <c r="G108" s="912" t="s">
        <v>390</v>
      </c>
    </row>
    <row r="109" spans="3:7">
      <c r="C109" s="911" t="s">
        <v>558</v>
      </c>
      <c r="D109" s="912" t="s">
        <v>132</v>
      </c>
      <c r="E109" s="912">
        <v>83</v>
      </c>
      <c r="F109" s="912">
        <v>2429</v>
      </c>
      <c r="G109" s="912" t="s">
        <v>390</v>
      </c>
    </row>
    <row r="110" spans="3:7">
      <c r="C110" s="911" t="s">
        <v>557</v>
      </c>
      <c r="D110" s="912" t="s">
        <v>132</v>
      </c>
      <c r="E110" s="912">
        <v>684</v>
      </c>
      <c r="F110" s="912">
        <v>3194</v>
      </c>
      <c r="G110" s="912" t="s">
        <v>390</v>
      </c>
    </row>
    <row r="111" spans="3:7">
      <c r="C111" s="911" t="s">
        <v>557</v>
      </c>
      <c r="D111" s="912" t="s">
        <v>132</v>
      </c>
      <c r="E111" s="912">
        <v>722</v>
      </c>
      <c r="F111" s="912">
        <v>1</v>
      </c>
      <c r="G111" s="912" t="s">
        <v>410</v>
      </c>
    </row>
    <row r="112" spans="3:7">
      <c r="C112" s="911" t="s">
        <v>557</v>
      </c>
      <c r="D112" s="912" t="s">
        <v>132</v>
      </c>
      <c r="E112" s="912">
        <v>308</v>
      </c>
      <c r="F112" s="912">
        <v>2282</v>
      </c>
      <c r="G112" s="912" t="s">
        <v>390</v>
      </c>
    </row>
    <row r="113" spans="3:7">
      <c r="C113" s="911" t="s">
        <v>557</v>
      </c>
      <c r="D113" s="912" t="s">
        <v>132</v>
      </c>
      <c r="E113" s="912">
        <v>707</v>
      </c>
      <c r="F113" s="912">
        <v>303</v>
      </c>
      <c r="G113" s="912" t="s">
        <v>390</v>
      </c>
    </row>
    <row r="114" spans="3:7">
      <c r="C114" s="911" t="s">
        <v>558</v>
      </c>
      <c r="D114" s="912" t="s">
        <v>132</v>
      </c>
      <c r="E114" s="912">
        <v>722</v>
      </c>
      <c r="F114" s="912">
        <v>1</v>
      </c>
      <c r="G114" s="912" t="s">
        <v>410</v>
      </c>
    </row>
    <row r="115" spans="3:7">
      <c r="C115" s="911" t="s">
        <v>557</v>
      </c>
      <c r="D115" s="912" t="s">
        <v>132</v>
      </c>
      <c r="E115" s="912">
        <v>56</v>
      </c>
      <c r="F115" s="912">
        <v>9</v>
      </c>
      <c r="G115" s="912" t="s">
        <v>410</v>
      </c>
    </row>
    <row r="116" spans="3:7">
      <c r="C116" s="911" t="s">
        <v>558</v>
      </c>
      <c r="D116" s="912" t="s">
        <v>132</v>
      </c>
      <c r="E116" s="912">
        <v>41</v>
      </c>
      <c r="F116" s="912">
        <v>1</v>
      </c>
      <c r="G116" s="912" t="s">
        <v>410</v>
      </c>
    </row>
    <row r="117" spans="3:7">
      <c r="C117" s="911" t="s">
        <v>557</v>
      </c>
      <c r="D117" s="912" t="s">
        <v>132</v>
      </c>
      <c r="E117" s="912">
        <v>150</v>
      </c>
      <c r="F117" s="912">
        <v>321</v>
      </c>
      <c r="G117" s="912" t="s">
        <v>390</v>
      </c>
    </row>
    <row r="118" spans="3:7">
      <c r="C118" s="911" t="s">
        <v>557</v>
      </c>
      <c r="D118" s="912" t="s">
        <v>132</v>
      </c>
      <c r="E118" s="912">
        <v>46</v>
      </c>
      <c r="F118" s="912">
        <v>1</v>
      </c>
      <c r="G118" s="912" t="s">
        <v>410</v>
      </c>
    </row>
    <row r="119" spans="3:7">
      <c r="C119" s="911" t="s">
        <v>557</v>
      </c>
      <c r="D119" s="912" t="s">
        <v>132</v>
      </c>
      <c r="E119" s="912">
        <v>255</v>
      </c>
      <c r="F119" s="912">
        <v>411</v>
      </c>
      <c r="G119" s="912" t="s">
        <v>390</v>
      </c>
    </row>
    <row r="120" spans="3:7">
      <c r="C120" s="911" t="s">
        <v>558</v>
      </c>
      <c r="D120" s="912" t="s">
        <v>132</v>
      </c>
      <c r="E120" s="912">
        <v>291</v>
      </c>
      <c r="F120" s="912">
        <v>2</v>
      </c>
      <c r="G120" s="912" t="s">
        <v>410</v>
      </c>
    </row>
    <row r="121" spans="3:7">
      <c r="C121" s="911" t="s">
        <v>557</v>
      </c>
      <c r="D121" s="912" t="s">
        <v>132</v>
      </c>
      <c r="E121" s="912">
        <v>680</v>
      </c>
      <c r="F121" s="912">
        <v>3029</v>
      </c>
      <c r="G121" s="912" t="s">
        <v>390</v>
      </c>
    </row>
    <row r="122" spans="3:7">
      <c r="C122" s="911" t="s">
        <v>557</v>
      </c>
      <c r="D122" s="912" t="s">
        <v>132</v>
      </c>
      <c r="E122" s="912">
        <v>13</v>
      </c>
      <c r="F122" s="912">
        <v>2561</v>
      </c>
      <c r="G122" s="912" t="s">
        <v>390</v>
      </c>
    </row>
    <row r="123" spans="3:7">
      <c r="C123" s="911" t="s">
        <v>558</v>
      </c>
      <c r="D123" s="912" t="s">
        <v>132</v>
      </c>
      <c r="E123" s="912">
        <v>732</v>
      </c>
      <c r="F123" s="912">
        <v>3458</v>
      </c>
      <c r="G123" s="912" t="s">
        <v>390</v>
      </c>
    </row>
    <row r="124" spans="3:7">
      <c r="C124" s="911" t="s">
        <v>558</v>
      </c>
      <c r="D124" s="912" t="s">
        <v>132</v>
      </c>
      <c r="E124" s="912">
        <v>290</v>
      </c>
      <c r="F124" s="912">
        <v>488</v>
      </c>
      <c r="G124" s="912" t="s">
        <v>390</v>
      </c>
    </row>
    <row r="125" spans="3:7">
      <c r="C125" s="911" t="s">
        <v>558</v>
      </c>
      <c r="D125" s="912" t="s">
        <v>132</v>
      </c>
      <c r="E125" s="912">
        <v>822</v>
      </c>
      <c r="F125" s="912">
        <v>73</v>
      </c>
      <c r="G125" s="912" t="s">
        <v>410</v>
      </c>
    </row>
    <row r="126" spans="3:7">
      <c r="C126" s="911" t="s">
        <v>558</v>
      </c>
      <c r="D126" s="912" t="s">
        <v>132</v>
      </c>
      <c r="E126" s="912">
        <v>297</v>
      </c>
      <c r="F126" s="912">
        <v>1521</v>
      </c>
      <c r="G126" s="912" t="s">
        <v>390</v>
      </c>
    </row>
    <row r="127" spans="3:7">
      <c r="C127" s="911" t="s">
        <v>558</v>
      </c>
      <c r="D127" s="912" t="s">
        <v>132</v>
      </c>
      <c r="E127" s="912">
        <v>803</v>
      </c>
      <c r="F127" s="912">
        <v>114</v>
      </c>
      <c r="G127" s="912" t="s">
        <v>390</v>
      </c>
    </row>
    <row r="128" spans="3:7">
      <c r="C128" s="911" t="s">
        <v>558</v>
      </c>
      <c r="D128" s="912" t="s">
        <v>132</v>
      </c>
      <c r="E128" s="912">
        <v>252</v>
      </c>
      <c r="F128" s="912">
        <v>2</v>
      </c>
      <c r="G128" s="912" t="s">
        <v>410</v>
      </c>
    </row>
    <row r="129" spans="3:7">
      <c r="C129" s="911" t="s">
        <v>557</v>
      </c>
      <c r="D129" s="912" t="s">
        <v>132</v>
      </c>
      <c r="E129" s="912">
        <v>69</v>
      </c>
      <c r="F129" s="912">
        <v>1</v>
      </c>
      <c r="G129" s="912" t="s">
        <v>410</v>
      </c>
    </row>
    <row r="130" spans="3:7">
      <c r="C130" s="911" t="s">
        <v>558</v>
      </c>
      <c r="D130" s="912" t="s">
        <v>132</v>
      </c>
      <c r="E130" s="912">
        <v>667</v>
      </c>
      <c r="F130" s="912">
        <v>2</v>
      </c>
      <c r="G130" s="912" t="s">
        <v>410</v>
      </c>
    </row>
    <row r="131" spans="3:7">
      <c r="C131" s="911" t="s">
        <v>558</v>
      </c>
      <c r="D131" s="912" t="s">
        <v>132</v>
      </c>
      <c r="E131" s="912">
        <v>133</v>
      </c>
      <c r="F131" s="912">
        <v>3</v>
      </c>
      <c r="G131" s="912" t="s">
        <v>410</v>
      </c>
    </row>
    <row r="132" spans="3:7">
      <c r="C132" s="911" t="s">
        <v>558</v>
      </c>
      <c r="D132" s="912" t="s">
        <v>132</v>
      </c>
      <c r="E132" s="912">
        <v>317</v>
      </c>
      <c r="F132" s="912">
        <v>3237</v>
      </c>
      <c r="G132" s="912" t="s">
        <v>390</v>
      </c>
    </row>
    <row r="133" spans="3:7">
      <c r="C133" s="911" t="s">
        <v>558</v>
      </c>
      <c r="D133" s="912" t="s">
        <v>132</v>
      </c>
      <c r="E133" s="912">
        <v>322</v>
      </c>
      <c r="F133" s="912">
        <v>2473</v>
      </c>
      <c r="G133" s="912" t="s">
        <v>390</v>
      </c>
    </row>
    <row r="134" spans="3:7">
      <c r="C134" s="911" t="s">
        <v>557</v>
      </c>
      <c r="D134" s="912" t="s">
        <v>132</v>
      </c>
      <c r="E134" s="912">
        <v>271</v>
      </c>
      <c r="F134" s="912">
        <v>2891</v>
      </c>
      <c r="G134" s="912" t="s">
        <v>390</v>
      </c>
    </row>
    <row r="135" spans="3:7">
      <c r="C135" s="911" t="s">
        <v>558</v>
      </c>
      <c r="D135" s="912" t="s">
        <v>132</v>
      </c>
      <c r="E135" s="912">
        <v>173</v>
      </c>
      <c r="F135" s="912">
        <v>5</v>
      </c>
      <c r="G135" s="912" t="s">
        <v>410</v>
      </c>
    </row>
    <row r="136" spans="3:7">
      <c r="C136" s="911" t="s">
        <v>557</v>
      </c>
      <c r="D136" s="912" t="s">
        <v>132</v>
      </c>
      <c r="E136" s="912">
        <v>322</v>
      </c>
      <c r="F136" s="912">
        <v>2567</v>
      </c>
      <c r="G136" s="912" t="s">
        <v>390</v>
      </c>
    </row>
    <row r="137" spans="3:7">
      <c r="C137" s="911" t="s">
        <v>557</v>
      </c>
      <c r="D137" s="912" t="s">
        <v>132</v>
      </c>
      <c r="E137" s="912">
        <v>645</v>
      </c>
      <c r="F137" s="912">
        <v>721</v>
      </c>
      <c r="G137" s="912" t="s">
        <v>390</v>
      </c>
    </row>
    <row r="138" spans="3:7">
      <c r="C138" s="911" t="s">
        <v>558</v>
      </c>
      <c r="D138" s="912" t="s">
        <v>132</v>
      </c>
      <c r="E138" s="912">
        <v>728</v>
      </c>
      <c r="F138" s="912">
        <v>1351</v>
      </c>
      <c r="G138" s="912" t="s">
        <v>390</v>
      </c>
    </row>
    <row r="139" spans="3:7">
      <c r="C139" s="911" t="s">
        <v>557</v>
      </c>
      <c r="D139" s="912" t="s">
        <v>132</v>
      </c>
      <c r="E139" s="912">
        <v>159</v>
      </c>
      <c r="F139" s="912">
        <v>8</v>
      </c>
      <c r="G139" s="912" t="s">
        <v>410</v>
      </c>
    </row>
    <row r="140" spans="3:7">
      <c r="C140" s="911" t="s">
        <v>557</v>
      </c>
      <c r="D140" s="912" t="s">
        <v>132</v>
      </c>
      <c r="E140" s="912">
        <v>84</v>
      </c>
      <c r="F140" s="912">
        <v>2435</v>
      </c>
      <c r="G140" s="912" t="s">
        <v>390</v>
      </c>
    </row>
    <row r="141" spans="3:7">
      <c r="C141" s="911" t="s">
        <v>558</v>
      </c>
      <c r="D141" s="912" t="s">
        <v>132</v>
      </c>
      <c r="E141" s="912">
        <v>846</v>
      </c>
      <c r="F141" s="912">
        <v>25</v>
      </c>
      <c r="G141" s="912" t="s">
        <v>410</v>
      </c>
    </row>
    <row r="142" spans="3:7">
      <c r="C142" s="911" t="s">
        <v>557</v>
      </c>
      <c r="D142" s="912" t="s">
        <v>132</v>
      </c>
      <c r="E142" s="912">
        <v>720</v>
      </c>
      <c r="F142" s="912">
        <v>2924</v>
      </c>
      <c r="G142" s="912" t="s">
        <v>390</v>
      </c>
    </row>
    <row r="143" spans="3:7">
      <c r="C143" s="911" t="s">
        <v>558</v>
      </c>
      <c r="D143" s="912" t="s">
        <v>132</v>
      </c>
      <c r="E143" s="912">
        <v>319</v>
      </c>
      <c r="F143" s="912">
        <v>3322</v>
      </c>
      <c r="G143" s="912" t="s">
        <v>390</v>
      </c>
    </row>
    <row r="144" spans="3:7">
      <c r="C144" s="911" t="s">
        <v>557</v>
      </c>
      <c r="D144" s="912" t="s">
        <v>132</v>
      </c>
      <c r="E144" s="912">
        <v>44</v>
      </c>
      <c r="F144" s="912">
        <v>2198</v>
      </c>
      <c r="G144" s="912" t="s">
        <v>390</v>
      </c>
    </row>
    <row r="145" spans="3:7">
      <c r="C145" s="911" t="s">
        <v>558</v>
      </c>
      <c r="D145" s="912" t="s">
        <v>132</v>
      </c>
      <c r="E145" s="912">
        <v>116</v>
      </c>
      <c r="F145" s="912">
        <v>2</v>
      </c>
      <c r="G145" s="912" t="s">
        <v>410</v>
      </c>
    </row>
    <row r="146" spans="3:7">
      <c r="C146" s="911" t="s">
        <v>557</v>
      </c>
      <c r="D146" s="912" t="s">
        <v>132</v>
      </c>
      <c r="E146" s="912">
        <v>523</v>
      </c>
      <c r="F146" s="912">
        <v>2</v>
      </c>
      <c r="G146" s="912" t="s">
        <v>410</v>
      </c>
    </row>
    <row r="147" spans="3:7">
      <c r="C147" s="911" t="s">
        <v>557</v>
      </c>
      <c r="D147" s="912" t="s">
        <v>132</v>
      </c>
      <c r="E147" s="912">
        <v>664</v>
      </c>
      <c r="F147" s="912">
        <v>2185</v>
      </c>
      <c r="G147" s="912" t="s">
        <v>390</v>
      </c>
    </row>
    <row r="148" spans="3:7">
      <c r="C148" s="911" t="s">
        <v>557</v>
      </c>
      <c r="D148" s="912" t="s">
        <v>132</v>
      </c>
      <c r="E148" s="912">
        <v>171</v>
      </c>
      <c r="F148" s="912">
        <v>46</v>
      </c>
      <c r="G148" s="912" t="s">
        <v>410</v>
      </c>
    </row>
    <row r="149" spans="3:7">
      <c r="C149" s="911" t="s">
        <v>558</v>
      </c>
      <c r="D149" s="912" t="s">
        <v>132</v>
      </c>
      <c r="E149" s="912">
        <v>79</v>
      </c>
      <c r="F149" s="912">
        <v>3</v>
      </c>
      <c r="G149" s="912" t="s">
        <v>410</v>
      </c>
    </row>
    <row r="150" spans="3:7">
      <c r="C150" s="911" t="s">
        <v>558</v>
      </c>
      <c r="D150" s="912" t="s">
        <v>132</v>
      </c>
      <c r="E150" s="912">
        <v>718</v>
      </c>
      <c r="F150" s="912">
        <v>1601</v>
      </c>
      <c r="G150" s="912" t="s">
        <v>390</v>
      </c>
    </row>
    <row r="151" spans="3:7">
      <c r="C151" s="911" t="s">
        <v>557</v>
      </c>
      <c r="D151" s="912" t="s">
        <v>132</v>
      </c>
      <c r="E151" s="912">
        <v>528</v>
      </c>
      <c r="F151" s="912">
        <v>53</v>
      </c>
      <c r="G151" s="912" t="s">
        <v>410</v>
      </c>
    </row>
    <row r="152" spans="3:7">
      <c r="C152" s="911" t="s">
        <v>558</v>
      </c>
      <c r="D152" s="912" t="s">
        <v>132</v>
      </c>
      <c r="E152" s="912">
        <v>58</v>
      </c>
      <c r="F152" s="912">
        <v>1</v>
      </c>
      <c r="G152" s="912" t="s">
        <v>410</v>
      </c>
    </row>
    <row r="153" spans="3:7">
      <c r="C153" s="911" t="s">
        <v>558</v>
      </c>
      <c r="D153" s="912" t="s">
        <v>132</v>
      </c>
      <c r="E153" s="912">
        <v>315</v>
      </c>
      <c r="F153" s="912">
        <v>1976</v>
      </c>
      <c r="G153" s="912" t="s">
        <v>390</v>
      </c>
    </row>
    <row r="154" spans="3:7">
      <c r="C154" s="911" t="s">
        <v>557</v>
      </c>
      <c r="D154" s="912" t="s">
        <v>132</v>
      </c>
      <c r="E154" s="912">
        <v>726</v>
      </c>
      <c r="F154" s="912">
        <v>82</v>
      </c>
      <c r="G154" s="912" t="s">
        <v>410</v>
      </c>
    </row>
    <row r="155" spans="3:7">
      <c r="C155" s="911" t="s">
        <v>557</v>
      </c>
      <c r="D155" s="912" t="s">
        <v>132</v>
      </c>
      <c r="E155" s="912">
        <v>133</v>
      </c>
      <c r="F155" s="912">
        <v>4</v>
      </c>
      <c r="G155" s="912" t="s">
        <v>410</v>
      </c>
    </row>
    <row r="156" spans="3:7">
      <c r="C156" s="911" t="s">
        <v>558</v>
      </c>
      <c r="D156" s="912" t="s">
        <v>132</v>
      </c>
      <c r="E156" s="912">
        <v>669</v>
      </c>
      <c r="F156" s="912">
        <v>2872</v>
      </c>
      <c r="G156" s="912" t="s">
        <v>390</v>
      </c>
    </row>
    <row r="157" spans="3:7">
      <c r="C157" s="911" t="s">
        <v>558</v>
      </c>
      <c r="D157" s="912" t="s">
        <v>132</v>
      </c>
      <c r="E157" s="912">
        <v>130</v>
      </c>
      <c r="F157" s="912">
        <v>1</v>
      </c>
      <c r="G157" s="912" t="s">
        <v>410</v>
      </c>
    </row>
    <row r="158" spans="3:7">
      <c r="C158" s="911" t="s">
        <v>557</v>
      </c>
      <c r="D158" s="912" t="s">
        <v>132</v>
      </c>
      <c r="E158" s="912">
        <v>53</v>
      </c>
      <c r="F158" s="912">
        <v>3</v>
      </c>
      <c r="G158" s="912" t="s">
        <v>410</v>
      </c>
    </row>
    <row r="159" spans="3:7">
      <c r="C159" s="911" t="s">
        <v>558</v>
      </c>
      <c r="D159" s="912" t="s">
        <v>132</v>
      </c>
      <c r="E159" s="912">
        <v>246</v>
      </c>
      <c r="F159" s="912">
        <v>8</v>
      </c>
      <c r="G159" s="912" t="s">
        <v>410</v>
      </c>
    </row>
    <row r="160" spans="3:7">
      <c r="C160" s="911" t="s">
        <v>557</v>
      </c>
      <c r="D160" s="912" t="s">
        <v>132</v>
      </c>
      <c r="E160" s="912">
        <v>183</v>
      </c>
      <c r="F160" s="912">
        <v>589</v>
      </c>
      <c r="G160" s="912" t="s">
        <v>390</v>
      </c>
    </row>
    <row r="161" spans="3:7">
      <c r="C161" s="911" t="s">
        <v>558</v>
      </c>
      <c r="D161" s="912" t="s">
        <v>132</v>
      </c>
      <c r="E161" s="912">
        <v>247</v>
      </c>
      <c r="F161" s="912">
        <v>2305</v>
      </c>
      <c r="G161" s="912" t="s">
        <v>390</v>
      </c>
    </row>
    <row r="162" spans="3:7">
      <c r="C162" s="911" t="s">
        <v>557</v>
      </c>
      <c r="D162" s="912" t="s">
        <v>132</v>
      </c>
      <c r="E162" s="912">
        <v>283</v>
      </c>
      <c r="F162" s="912">
        <v>1</v>
      </c>
      <c r="G162" s="912" t="s">
        <v>410</v>
      </c>
    </row>
    <row r="163" spans="3:7">
      <c r="C163" s="911" t="s">
        <v>557</v>
      </c>
      <c r="D163" s="912" t="s">
        <v>132</v>
      </c>
      <c r="E163" s="912">
        <v>257</v>
      </c>
      <c r="F163" s="912">
        <v>2987</v>
      </c>
      <c r="G163" s="912" t="s">
        <v>390</v>
      </c>
    </row>
    <row r="164" spans="3:7">
      <c r="C164" s="911" t="s">
        <v>558</v>
      </c>
      <c r="D164" s="912" t="s">
        <v>132</v>
      </c>
      <c r="E164" s="912">
        <v>59</v>
      </c>
      <c r="F164" s="912">
        <v>3</v>
      </c>
      <c r="G164" s="912" t="s">
        <v>410</v>
      </c>
    </row>
    <row r="165" spans="3:7">
      <c r="C165" s="911" t="s">
        <v>558</v>
      </c>
      <c r="D165" s="912" t="s">
        <v>132</v>
      </c>
      <c r="E165" s="912">
        <v>723</v>
      </c>
      <c r="F165" s="912">
        <v>2227</v>
      </c>
      <c r="G165" s="912" t="s">
        <v>390</v>
      </c>
    </row>
    <row r="166" spans="3:7">
      <c r="C166" s="911" t="s">
        <v>557</v>
      </c>
      <c r="D166" s="912" t="s">
        <v>132</v>
      </c>
      <c r="E166" s="912">
        <v>729</v>
      </c>
      <c r="F166" s="912">
        <v>80</v>
      </c>
      <c r="G166" s="912" t="s">
        <v>410</v>
      </c>
    </row>
    <row r="167" spans="3:7">
      <c r="C167" s="911" t="s">
        <v>558</v>
      </c>
      <c r="D167" s="912" t="s">
        <v>132</v>
      </c>
      <c r="E167" s="912">
        <v>233</v>
      </c>
      <c r="F167" s="912">
        <v>1995</v>
      </c>
      <c r="G167" s="912" t="s">
        <v>390</v>
      </c>
    </row>
    <row r="168" spans="3:7">
      <c r="C168" s="911" t="s">
        <v>557</v>
      </c>
      <c r="D168" s="912" t="s">
        <v>132</v>
      </c>
      <c r="E168" s="912">
        <v>191</v>
      </c>
      <c r="F168" s="912">
        <v>341</v>
      </c>
      <c r="G168" s="912" t="s">
        <v>390</v>
      </c>
    </row>
    <row r="169" spans="3:7">
      <c r="C169" s="911" t="s">
        <v>557</v>
      </c>
      <c r="D169" s="912" t="s">
        <v>132</v>
      </c>
      <c r="E169" s="912">
        <v>241</v>
      </c>
      <c r="F169" s="912">
        <v>13</v>
      </c>
      <c r="G169" s="912" t="s">
        <v>410</v>
      </c>
    </row>
    <row r="170" spans="3:7">
      <c r="C170" s="911" t="s">
        <v>557</v>
      </c>
      <c r="D170" s="912" t="s">
        <v>132</v>
      </c>
      <c r="E170" s="912">
        <v>243</v>
      </c>
      <c r="F170" s="912">
        <v>348</v>
      </c>
      <c r="G170" s="912" t="s">
        <v>390</v>
      </c>
    </row>
    <row r="171" spans="3:7">
      <c r="C171" s="911" t="s">
        <v>557</v>
      </c>
      <c r="D171" s="912" t="s">
        <v>132</v>
      </c>
      <c r="E171" s="912">
        <v>245</v>
      </c>
      <c r="F171" s="912">
        <v>3165</v>
      </c>
      <c r="G171" s="912" t="s">
        <v>390</v>
      </c>
    </row>
    <row r="172" spans="3:7">
      <c r="C172" s="911" t="s">
        <v>557</v>
      </c>
      <c r="D172" s="912" t="s">
        <v>132</v>
      </c>
      <c r="E172" s="912">
        <v>220</v>
      </c>
      <c r="F172" s="912">
        <v>110</v>
      </c>
      <c r="G172" s="912" t="s">
        <v>390</v>
      </c>
    </row>
    <row r="173" spans="3:7">
      <c r="C173" s="911" t="s">
        <v>558</v>
      </c>
      <c r="D173" s="912" t="s">
        <v>132</v>
      </c>
      <c r="E173" s="912">
        <v>119</v>
      </c>
      <c r="F173" s="912">
        <v>1</v>
      </c>
      <c r="G173" s="912" t="s">
        <v>410</v>
      </c>
    </row>
    <row r="174" spans="3:7">
      <c r="C174" s="911" t="s">
        <v>558</v>
      </c>
      <c r="D174" s="912" t="s">
        <v>132</v>
      </c>
      <c r="E174" s="912">
        <v>792</v>
      </c>
      <c r="F174" s="912">
        <v>690</v>
      </c>
      <c r="G174" s="912" t="s">
        <v>390</v>
      </c>
    </row>
    <row r="175" spans="3:7">
      <c r="C175" s="911" t="s">
        <v>557</v>
      </c>
      <c r="D175" s="912" t="s">
        <v>132</v>
      </c>
      <c r="E175" s="912">
        <v>203</v>
      </c>
      <c r="F175" s="912">
        <v>2521</v>
      </c>
      <c r="G175" s="912" t="s">
        <v>390</v>
      </c>
    </row>
    <row r="176" spans="3:7">
      <c r="C176" s="911" t="s">
        <v>558</v>
      </c>
      <c r="D176" s="912" t="s">
        <v>132</v>
      </c>
      <c r="E176" s="912">
        <v>81</v>
      </c>
      <c r="F176" s="912">
        <v>7</v>
      </c>
      <c r="G176" s="912" t="s">
        <v>410</v>
      </c>
    </row>
    <row r="177" spans="3:7">
      <c r="C177" s="911" t="s">
        <v>558</v>
      </c>
      <c r="D177" s="912" t="s">
        <v>132</v>
      </c>
      <c r="E177" s="912">
        <v>707</v>
      </c>
      <c r="F177" s="912">
        <v>106</v>
      </c>
      <c r="G177" s="912" t="s">
        <v>390</v>
      </c>
    </row>
    <row r="178" spans="3:7">
      <c r="C178" s="911" t="s">
        <v>558</v>
      </c>
      <c r="D178" s="912" t="s">
        <v>132</v>
      </c>
      <c r="E178" s="912">
        <v>202</v>
      </c>
      <c r="F178" s="912">
        <v>1</v>
      </c>
      <c r="G178" s="912" t="s">
        <v>410</v>
      </c>
    </row>
    <row r="179" spans="3:7">
      <c r="C179" s="911" t="s">
        <v>557</v>
      </c>
      <c r="D179" s="912" t="s">
        <v>132</v>
      </c>
      <c r="E179" s="912">
        <v>61</v>
      </c>
      <c r="F179" s="912">
        <v>2</v>
      </c>
      <c r="G179" s="912" t="s">
        <v>410</v>
      </c>
    </row>
    <row r="180" spans="3:7">
      <c r="C180" s="911" t="s">
        <v>558</v>
      </c>
      <c r="D180" s="912" t="s">
        <v>132</v>
      </c>
      <c r="E180" s="912">
        <v>66</v>
      </c>
      <c r="F180" s="912">
        <v>1</v>
      </c>
      <c r="G180" s="912" t="s">
        <v>410</v>
      </c>
    </row>
    <row r="181" spans="3:7">
      <c r="C181" s="911" t="s">
        <v>558</v>
      </c>
      <c r="D181" s="912" t="s">
        <v>132</v>
      </c>
      <c r="E181" s="912">
        <v>227</v>
      </c>
      <c r="F181" s="912">
        <v>1</v>
      </c>
      <c r="G181" s="912" t="s">
        <v>410</v>
      </c>
    </row>
    <row r="182" spans="3:7">
      <c r="C182" s="911" t="s">
        <v>558</v>
      </c>
      <c r="D182" s="912" t="s">
        <v>132</v>
      </c>
      <c r="E182" s="912">
        <v>729</v>
      </c>
      <c r="F182" s="912">
        <v>176</v>
      </c>
      <c r="G182" s="912" t="s">
        <v>390</v>
      </c>
    </row>
    <row r="183" spans="3:7">
      <c r="C183" s="911" t="s">
        <v>557</v>
      </c>
      <c r="D183" s="912" t="s">
        <v>132</v>
      </c>
      <c r="E183" s="912">
        <v>83</v>
      </c>
      <c r="F183" s="912">
        <v>2438</v>
      </c>
      <c r="G183" s="912" t="s">
        <v>390</v>
      </c>
    </row>
    <row r="184" spans="3:7">
      <c r="C184" s="911" t="s">
        <v>558</v>
      </c>
      <c r="D184" s="912" t="s">
        <v>132</v>
      </c>
      <c r="E184" s="912">
        <v>53</v>
      </c>
      <c r="F184" s="912">
        <v>4</v>
      </c>
      <c r="G184" s="912" t="s">
        <v>410</v>
      </c>
    </row>
    <row r="185" spans="3:7">
      <c r="C185" s="911" t="s">
        <v>558</v>
      </c>
      <c r="D185" s="912" t="s">
        <v>132</v>
      </c>
      <c r="E185" s="912">
        <v>241</v>
      </c>
      <c r="F185" s="912">
        <v>11</v>
      </c>
      <c r="G185" s="912" t="s">
        <v>410</v>
      </c>
    </row>
    <row r="186" spans="3:7">
      <c r="C186" s="911" t="s">
        <v>558</v>
      </c>
      <c r="D186" s="912" t="s">
        <v>132</v>
      </c>
      <c r="E186" s="912">
        <v>327</v>
      </c>
      <c r="F186" s="912">
        <v>3</v>
      </c>
      <c r="G186" s="912" t="s">
        <v>410</v>
      </c>
    </row>
    <row r="187" spans="3:7">
      <c r="C187" s="911" t="s">
        <v>558</v>
      </c>
      <c r="D187" s="912" t="s">
        <v>132</v>
      </c>
      <c r="E187" s="912">
        <v>662</v>
      </c>
      <c r="F187" s="912">
        <v>321</v>
      </c>
      <c r="G187" s="912" t="s">
        <v>390</v>
      </c>
    </row>
    <row r="188" spans="3:7">
      <c r="C188" s="911" t="s">
        <v>557</v>
      </c>
      <c r="D188" s="912" t="s">
        <v>132</v>
      </c>
      <c r="E188" s="912">
        <v>132</v>
      </c>
      <c r="F188" s="912">
        <v>2977</v>
      </c>
      <c r="G188" s="912" t="s">
        <v>390</v>
      </c>
    </row>
    <row r="189" spans="3:7">
      <c r="C189" s="911" t="s">
        <v>557</v>
      </c>
      <c r="D189" s="912" t="s">
        <v>132</v>
      </c>
      <c r="E189" s="912">
        <v>681</v>
      </c>
      <c r="F189" s="912">
        <v>643</v>
      </c>
      <c r="G189" s="912" t="s">
        <v>390</v>
      </c>
    </row>
    <row r="190" spans="3:7">
      <c r="C190" s="911" t="s">
        <v>557</v>
      </c>
      <c r="D190" s="912" t="s">
        <v>132</v>
      </c>
      <c r="E190" s="912">
        <v>60</v>
      </c>
      <c r="F190" s="912">
        <v>1</v>
      </c>
      <c r="G190" s="912" t="s">
        <v>410</v>
      </c>
    </row>
    <row r="191" spans="3:7">
      <c r="C191" s="911" t="s">
        <v>557</v>
      </c>
      <c r="D191" s="912" t="s">
        <v>132</v>
      </c>
      <c r="E191" s="912">
        <v>710</v>
      </c>
      <c r="F191" s="912">
        <v>947</v>
      </c>
      <c r="G191" s="912" t="s">
        <v>390</v>
      </c>
    </row>
    <row r="192" spans="3:7">
      <c r="C192" s="911" t="s">
        <v>558</v>
      </c>
      <c r="D192" s="912" t="s">
        <v>132</v>
      </c>
      <c r="E192" s="912">
        <v>738</v>
      </c>
      <c r="F192" s="912">
        <v>95</v>
      </c>
      <c r="G192" s="912" t="s">
        <v>410</v>
      </c>
    </row>
    <row r="193" spans="3:7">
      <c r="C193" s="911" t="s">
        <v>558</v>
      </c>
      <c r="D193" s="912" t="s">
        <v>132</v>
      </c>
      <c r="E193" s="912">
        <v>823</v>
      </c>
      <c r="F193" s="912">
        <v>26</v>
      </c>
      <c r="G193" s="912" t="s">
        <v>410</v>
      </c>
    </row>
    <row r="194" spans="3:7">
      <c r="C194" s="911" t="s">
        <v>557</v>
      </c>
      <c r="D194" s="912" t="s">
        <v>132</v>
      </c>
      <c r="E194" s="912">
        <v>215</v>
      </c>
      <c r="F194" s="912">
        <v>681</v>
      </c>
      <c r="G194" s="912" t="s">
        <v>390</v>
      </c>
    </row>
    <row r="195" spans="3:7">
      <c r="C195" s="911" t="s">
        <v>558</v>
      </c>
      <c r="D195" s="912" t="s">
        <v>132</v>
      </c>
      <c r="E195" s="912">
        <v>230</v>
      </c>
      <c r="F195" s="912">
        <v>6</v>
      </c>
      <c r="G195" s="912" t="s">
        <v>410</v>
      </c>
    </row>
    <row r="196" spans="3:7">
      <c r="C196" s="911" t="s">
        <v>557</v>
      </c>
      <c r="D196" s="912" t="s">
        <v>132</v>
      </c>
      <c r="E196" s="912">
        <v>704</v>
      </c>
      <c r="F196" s="912">
        <v>3337</v>
      </c>
      <c r="G196" s="912" t="s">
        <v>390</v>
      </c>
    </row>
    <row r="197" spans="3:7">
      <c r="C197" s="911" t="s">
        <v>558</v>
      </c>
      <c r="D197" s="912" t="s">
        <v>132</v>
      </c>
      <c r="E197" s="912">
        <v>735</v>
      </c>
      <c r="F197" s="912">
        <v>2804</v>
      </c>
      <c r="G197" s="912" t="s">
        <v>390</v>
      </c>
    </row>
    <row r="198" spans="3:7">
      <c r="C198" s="911" t="s">
        <v>558</v>
      </c>
      <c r="D198" s="912" t="s">
        <v>132</v>
      </c>
      <c r="E198" s="912">
        <v>188</v>
      </c>
      <c r="F198" s="912">
        <v>776</v>
      </c>
      <c r="G198" s="912" t="s">
        <v>390</v>
      </c>
    </row>
    <row r="199" spans="3:7">
      <c r="C199" s="911" t="s">
        <v>558</v>
      </c>
      <c r="D199" s="912" t="s">
        <v>132</v>
      </c>
      <c r="E199" s="912">
        <v>709</v>
      </c>
      <c r="F199" s="912">
        <v>2561</v>
      </c>
      <c r="G199" s="912" t="s">
        <v>390</v>
      </c>
    </row>
    <row r="200" spans="3:7">
      <c r="C200" s="911" t="s">
        <v>557</v>
      </c>
      <c r="D200" s="912" t="s">
        <v>132</v>
      </c>
      <c r="E200" s="912">
        <v>666</v>
      </c>
      <c r="F200" s="912">
        <v>1583</v>
      </c>
      <c r="G200" s="912" t="s">
        <v>390</v>
      </c>
    </row>
    <row r="201" spans="3:7">
      <c r="C201" s="911" t="s">
        <v>557</v>
      </c>
      <c r="D201" s="912" t="s">
        <v>132</v>
      </c>
      <c r="E201" s="912">
        <v>108</v>
      </c>
      <c r="F201" s="912">
        <v>10</v>
      </c>
      <c r="G201" s="912" t="s">
        <v>410</v>
      </c>
    </row>
    <row r="202" spans="3:7">
      <c r="C202" s="911" t="s">
        <v>557</v>
      </c>
      <c r="D202" s="912" t="s">
        <v>132</v>
      </c>
      <c r="E202" s="912">
        <v>329</v>
      </c>
      <c r="F202" s="912">
        <v>4025</v>
      </c>
      <c r="G202" s="912" t="s">
        <v>390</v>
      </c>
    </row>
    <row r="203" spans="3:7">
      <c r="C203" s="911" t="s">
        <v>558</v>
      </c>
      <c r="D203" s="912" t="s">
        <v>132</v>
      </c>
      <c r="E203" s="912">
        <v>311</v>
      </c>
      <c r="F203" s="912">
        <v>2421</v>
      </c>
      <c r="G203" s="912" t="s">
        <v>390</v>
      </c>
    </row>
    <row r="204" spans="3:7">
      <c r="C204" s="911" t="s">
        <v>558</v>
      </c>
      <c r="D204" s="912" t="s">
        <v>132</v>
      </c>
      <c r="E204" s="912">
        <v>64</v>
      </c>
      <c r="F204" s="912">
        <v>1</v>
      </c>
      <c r="G204" s="912" t="s">
        <v>410</v>
      </c>
    </row>
    <row r="205" spans="3:7">
      <c r="C205" s="911" t="s">
        <v>557</v>
      </c>
      <c r="D205" s="912" t="s">
        <v>132</v>
      </c>
      <c r="E205" s="912">
        <v>124</v>
      </c>
      <c r="F205" s="912">
        <v>9</v>
      </c>
      <c r="G205" s="912" t="s">
        <v>410</v>
      </c>
    </row>
    <row r="206" spans="3:7">
      <c r="C206" s="911" t="s">
        <v>557</v>
      </c>
      <c r="D206" s="912" t="s">
        <v>132</v>
      </c>
      <c r="E206" s="912">
        <v>140</v>
      </c>
      <c r="F206" s="912">
        <v>589</v>
      </c>
      <c r="G206" s="912" t="s">
        <v>390</v>
      </c>
    </row>
    <row r="207" spans="3:7">
      <c r="C207" s="911" t="s">
        <v>557</v>
      </c>
      <c r="D207" s="912" t="s">
        <v>132</v>
      </c>
      <c r="E207" s="912">
        <v>103</v>
      </c>
      <c r="F207" s="912">
        <v>3377</v>
      </c>
      <c r="G207" s="912" t="s">
        <v>390</v>
      </c>
    </row>
    <row r="208" spans="3:7">
      <c r="C208" s="911" t="s">
        <v>558</v>
      </c>
      <c r="D208" s="912" t="s">
        <v>132</v>
      </c>
      <c r="E208" s="912">
        <v>158</v>
      </c>
      <c r="F208" s="912">
        <v>182</v>
      </c>
      <c r="G208" s="912" t="s">
        <v>390</v>
      </c>
    </row>
    <row r="209" spans="3:7">
      <c r="C209" s="911" t="s">
        <v>558</v>
      </c>
      <c r="D209" s="912" t="s">
        <v>132</v>
      </c>
      <c r="E209" s="912">
        <v>737</v>
      </c>
      <c r="F209" s="912">
        <v>2125</v>
      </c>
      <c r="G209" s="912" t="s">
        <v>390</v>
      </c>
    </row>
    <row r="210" spans="3:7">
      <c r="C210" s="911" t="s">
        <v>558</v>
      </c>
      <c r="D210" s="912" t="s">
        <v>132</v>
      </c>
      <c r="E210" s="912">
        <v>693</v>
      </c>
      <c r="F210" s="912">
        <v>1</v>
      </c>
      <c r="G210" s="912" t="s">
        <v>410</v>
      </c>
    </row>
    <row r="211" spans="3:7">
      <c r="C211" s="911" t="s">
        <v>557</v>
      </c>
      <c r="D211" s="912" t="s">
        <v>132</v>
      </c>
      <c r="E211" s="912">
        <v>41</v>
      </c>
      <c r="F211" s="912">
        <v>1</v>
      </c>
      <c r="G211" s="912" t="s">
        <v>410</v>
      </c>
    </row>
    <row r="212" spans="3:7">
      <c r="C212" s="911" t="s">
        <v>558</v>
      </c>
      <c r="D212" s="912" t="s">
        <v>132</v>
      </c>
      <c r="E212" s="912">
        <v>296</v>
      </c>
      <c r="F212" s="912">
        <v>2329</v>
      </c>
      <c r="G212" s="912" t="s">
        <v>390</v>
      </c>
    </row>
    <row r="213" spans="3:7">
      <c r="C213" s="911" t="s">
        <v>557</v>
      </c>
      <c r="D213" s="912" t="s">
        <v>132</v>
      </c>
      <c r="E213" s="912">
        <v>651</v>
      </c>
      <c r="F213" s="912">
        <v>67</v>
      </c>
      <c r="G213" s="912" t="s">
        <v>410</v>
      </c>
    </row>
    <row r="214" spans="3:7">
      <c r="C214" s="911" t="s">
        <v>557</v>
      </c>
      <c r="D214" s="912" t="s">
        <v>132</v>
      </c>
      <c r="E214" s="912">
        <v>40</v>
      </c>
      <c r="F214" s="912">
        <v>4</v>
      </c>
      <c r="G214" s="912" t="s">
        <v>410</v>
      </c>
    </row>
    <row r="215" spans="3:7">
      <c r="C215" s="911" t="s">
        <v>558</v>
      </c>
      <c r="D215" s="912" t="s">
        <v>132</v>
      </c>
      <c r="E215" s="912">
        <v>799</v>
      </c>
      <c r="F215" s="912">
        <v>115</v>
      </c>
      <c r="G215" s="912" t="s">
        <v>390</v>
      </c>
    </row>
    <row r="216" spans="3:7">
      <c r="C216" s="911" t="s">
        <v>558</v>
      </c>
      <c r="D216" s="912" t="s">
        <v>132</v>
      </c>
      <c r="E216" s="912">
        <v>710</v>
      </c>
      <c r="F216" s="912">
        <v>1230</v>
      </c>
      <c r="G216" s="912" t="s">
        <v>390</v>
      </c>
    </row>
    <row r="217" spans="3:7">
      <c r="C217" s="911" t="s">
        <v>558</v>
      </c>
      <c r="D217" s="912" t="s">
        <v>132</v>
      </c>
      <c r="E217" s="912">
        <v>674</v>
      </c>
      <c r="F217" s="912">
        <v>3972</v>
      </c>
      <c r="G217" s="912" t="s">
        <v>390</v>
      </c>
    </row>
    <row r="218" spans="3:7">
      <c r="C218" s="911" t="s">
        <v>557</v>
      </c>
      <c r="D218" s="912" t="s">
        <v>132</v>
      </c>
      <c r="E218" s="912">
        <v>678</v>
      </c>
      <c r="F218" s="912">
        <v>183</v>
      </c>
      <c r="G218" s="912" t="s">
        <v>390</v>
      </c>
    </row>
    <row r="219" spans="3:7">
      <c r="C219" s="911" t="s">
        <v>557</v>
      </c>
      <c r="D219" s="912" t="s">
        <v>132</v>
      </c>
      <c r="E219" s="912">
        <v>266</v>
      </c>
      <c r="F219" s="912">
        <v>2449</v>
      </c>
      <c r="G219" s="912" t="s">
        <v>390</v>
      </c>
    </row>
    <row r="220" spans="3:7">
      <c r="C220" s="911" t="s">
        <v>558</v>
      </c>
      <c r="D220" s="912" t="s">
        <v>132</v>
      </c>
      <c r="E220" s="912">
        <v>658</v>
      </c>
      <c r="F220" s="912">
        <v>5</v>
      </c>
      <c r="G220" s="912" t="s">
        <v>410</v>
      </c>
    </row>
    <row r="221" spans="3:7">
      <c r="C221" s="911" t="s">
        <v>557</v>
      </c>
      <c r="D221" s="912" t="s">
        <v>132</v>
      </c>
      <c r="E221" s="912">
        <v>344</v>
      </c>
      <c r="F221" s="912">
        <v>38</v>
      </c>
      <c r="G221" s="912" t="s">
        <v>410</v>
      </c>
    </row>
    <row r="222" spans="3:7">
      <c r="C222" s="911" t="s">
        <v>558</v>
      </c>
      <c r="D222" s="912" t="s">
        <v>132</v>
      </c>
      <c r="E222" s="912">
        <v>257</v>
      </c>
      <c r="F222" s="912">
        <v>2883</v>
      </c>
      <c r="G222" s="912" t="s">
        <v>390</v>
      </c>
    </row>
    <row r="223" spans="3:7">
      <c r="C223" s="911" t="s">
        <v>558</v>
      </c>
      <c r="D223" s="912" t="s">
        <v>132</v>
      </c>
      <c r="E223" s="912">
        <v>320</v>
      </c>
      <c r="F223" s="912">
        <v>1622</v>
      </c>
      <c r="G223" s="912" t="s">
        <v>390</v>
      </c>
    </row>
    <row r="224" spans="3:7">
      <c r="C224" s="911" t="s">
        <v>558</v>
      </c>
      <c r="D224" s="912" t="s">
        <v>132</v>
      </c>
      <c r="E224" s="912">
        <v>798</v>
      </c>
      <c r="F224" s="912">
        <v>2862</v>
      </c>
      <c r="G224" s="912" t="s">
        <v>390</v>
      </c>
    </row>
    <row r="225" spans="3:7">
      <c r="C225" s="911" t="s">
        <v>558</v>
      </c>
      <c r="D225" s="912" t="s">
        <v>132</v>
      </c>
      <c r="E225" s="912">
        <v>294</v>
      </c>
      <c r="F225" s="912">
        <v>4</v>
      </c>
      <c r="G225" s="912" t="s">
        <v>410</v>
      </c>
    </row>
    <row r="226" spans="3:7">
      <c r="C226" s="911" t="s">
        <v>558</v>
      </c>
      <c r="D226" s="912" t="s">
        <v>132</v>
      </c>
      <c r="E226" s="912">
        <v>235</v>
      </c>
      <c r="F226" s="912">
        <v>4</v>
      </c>
      <c r="G226" s="912" t="s">
        <v>410</v>
      </c>
    </row>
    <row r="227" spans="3:7">
      <c r="C227" s="911" t="s">
        <v>557</v>
      </c>
      <c r="D227" s="912" t="s">
        <v>132</v>
      </c>
      <c r="E227" s="912">
        <v>76</v>
      </c>
      <c r="F227" s="912">
        <v>3035</v>
      </c>
      <c r="G227" s="912" t="s">
        <v>390</v>
      </c>
    </row>
    <row r="228" spans="3:7">
      <c r="C228" s="911" t="s">
        <v>557</v>
      </c>
      <c r="D228" s="912" t="s">
        <v>132</v>
      </c>
      <c r="E228" s="912">
        <v>161</v>
      </c>
      <c r="F228" s="912">
        <v>1</v>
      </c>
      <c r="G228" s="912" t="s">
        <v>410</v>
      </c>
    </row>
    <row r="229" spans="3:7">
      <c r="C229" s="911" t="s">
        <v>558</v>
      </c>
      <c r="D229" s="912" t="s">
        <v>132</v>
      </c>
      <c r="E229" s="912">
        <v>98</v>
      </c>
      <c r="F229" s="912">
        <v>23</v>
      </c>
      <c r="G229" s="912" t="s">
        <v>410</v>
      </c>
    </row>
    <row r="230" spans="3:7">
      <c r="C230" s="911" t="s">
        <v>558</v>
      </c>
      <c r="D230" s="912" t="s">
        <v>132</v>
      </c>
      <c r="E230" s="912">
        <v>824</v>
      </c>
      <c r="F230" s="912">
        <v>2</v>
      </c>
      <c r="G230" s="912" t="s">
        <v>410</v>
      </c>
    </row>
    <row r="231" spans="3:7">
      <c r="C231" s="911" t="s">
        <v>558</v>
      </c>
      <c r="D231" s="912" t="s">
        <v>132</v>
      </c>
      <c r="E231" s="912">
        <v>641</v>
      </c>
      <c r="F231" s="912">
        <v>2191</v>
      </c>
      <c r="G231" s="912" t="s">
        <v>390</v>
      </c>
    </row>
    <row r="232" spans="3:7">
      <c r="C232" s="911" t="s">
        <v>558</v>
      </c>
      <c r="D232" s="912" t="s">
        <v>132</v>
      </c>
      <c r="E232" s="912">
        <v>853</v>
      </c>
      <c r="F232" s="912">
        <v>23</v>
      </c>
      <c r="G232" s="912" t="s">
        <v>410</v>
      </c>
    </row>
    <row r="233" spans="3:7">
      <c r="C233" s="911" t="s">
        <v>558</v>
      </c>
      <c r="D233" s="912" t="s">
        <v>132</v>
      </c>
      <c r="E233" s="912">
        <v>678</v>
      </c>
      <c r="F233" s="912">
        <v>156</v>
      </c>
      <c r="G233" s="912" t="s">
        <v>390</v>
      </c>
    </row>
    <row r="234" spans="3:7">
      <c r="C234" s="911" t="s">
        <v>558</v>
      </c>
      <c r="D234" s="912" t="s">
        <v>132</v>
      </c>
      <c r="E234" s="912">
        <v>832</v>
      </c>
      <c r="F234" s="912">
        <v>34</v>
      </c>
      <c r="G234" s="912" t="s">
        <v>410</v>
      </c>
    </row>
    <row r="235" spans="3:7">
      <c r="C235" s="911" t="s">
        <v>558</v>
      </c>
      <c r="D235" s="912" t="s">
        <v>132</v>
      </c>
      <c r="E235" s="912">
        <v>663</v>
      </c>
      <c r="F235" s="912">
        <v>222</v>
      </c>
      <c r="G235" s="912" t="s">
        <v>390</v>
      </c>
    </row>
    <row r="236" spans="3:7">
      <c r="C236" s="911" t="s">
        <v>557</v>
      </c>
      <c r="D236" s="912" t="s">
        <v>132</v>
      </c>
      <c r="E236" s="912">
        <v>48</v>
      </c>
      <c r="F236" s="912">
        <v>666</v>
      </c>
      <c r="G236" s="912" t="s">
        <v>390</v>
      </c>
    </row>
    <row r="237" spans="3:7">
      <c r="C237" s="911" t="s">
        <v>558</v>
      </c>
      <c r="D237" s="912" t="s">
        <v>132</v>
      </c>
      <c r="E237" s="912">
        <v>160</v>
      </c>
      <c r="F237" s="912">
        <v>4</v>
      </c>
      <c r="G237" s="912" t="s">
        <v>410</v>
      </c>
    </row>
    <row r="238" spans="3:7">
      <c r="C238" s="911" t="s">
        <v>558</v>
      </c>
      <c r="D238" s="912" t="s">
        <v>132</v>
      </c>
      <c r="E238" s="912">
        <v>299</v>
      </c>
      <c r="F238" s="912">
        <v>1</v>
      </c>
      <c r="G238" s="912" t="s">
        <v>410</v>
      </c>
    </row>
    <row r="239" spans="3:7">
      <c r="C239" s="911" t="s">
        <v>558</v>
      </c>
      <c r="D239" s="912" t="s">
        <v>132</v>
      </c>
      <c r="E239" s="912">
        <v>240</v>
      </c>
      <c r="F239" s="912">
        <v>4</v>
      </c>
      <c r="G239" s="912" t="s">
        <v>410</v>
      </c>
    </row>
    <row r="240" spans="3:7">
      <c r="C240" s="911" t="s">
        <v>557</v>
      </c>
      <c r="D240" s="912" t="s">
        <v>132</v>
      </c>
      <c r="E240" s="912">
        <v>265</v>
      </c>
      <c r="F240" s="912">
        <v>20</v>
      </c>
      <c r="G240" s="912" t="s">
        <v>410</v>
      </c>
    </row>
    <row r="241" spans="3:7">
      <c r="C241" s="911" t="s">
        <v>557</v>
      </c>
      <c r="D241" s="912" t="s">
        <v>132</v>
      </c>
      <c r="E241" s="912">
        <v>71</v>
      </c>
      <c r="F241" s="912">
        <v>1</v>
      </c>
      <c r="G241" s="912" t="s">
        <v>410</v>
      </c>
    </row>
    <row r="242" spans="3:7">
      <c r="C242" s="911" t="s">
        <v>558</v>
      </c>
      <c r="D242" s="912" t="s">
        <v>132</v>
      </c>
      <c r="E242" s="912">
        <v>660</v>
      </c>
      <c r="F242" s="912">
        <v>3</v>
      </c>
      <c r="G242" s="912" t="s">
        <v>410</v>
      </c>
    </row>
    <row r="243" spans="3:7">
      <c r="C243" s="911" t="s">
        <v>558</v>
      </c>
      <c r="D243" s="912" t="s">
        <v>132</v>
      </c>
      <c r="E243" s="912">
        <v>213</v>
      </c>
      <c r="F243" s="912">
        <v>1</v>
      </c>
      <c r="G243" s="912" t="s">
        <v>410</v>
      </c>
    </row>
    <row r="244" spans="3:7">
      <c r="C244" s="911" t="s">
        <v>558</v>
      </c>
      <c r="D244" s="912" t="s">
        <v>132</v>
      </c>
      <c r="E244" s="912">
        <v>720</v>
      </c>
      <c r="F244" s="912">
        <v>2861</v>
      </c>
      <c r="G244" s="912" t="s">
        <v>390</v>
      </c>
    </row>
    <row r="245" spans="3:7">
      <c r="C245" s="911" t="s">
        <v>557</v>
      </c>
      <c r="D245" s="912" t="s">
        <v>132</v>
      </c>
      <c r="E245" s="912">
        <v>694</v>
      </c>
      <c r="F245" s="912">
        <v>1</v>
      </c>
      <c r="G245" s="912" t="s">
        <v>410</v>
      </c>
    </row>
    <row r="246" spans="3:7">
      <c r="C246" s="911" t="s">
        <v>558</v>
      </c>
      <c r="D246" s="912" t="s">
        <v>132</v>
      </c>
      <c r="E246" s="912">
        <v>132</v>
      </c>
      <c r="F246" s="912">
        <v>2776</v>
      </c>
      <c r="G246" s="912" t="s">
        <v>390</v>
      </c>
    </row>
    <row r="247" spans="3:7">
      <c r="C247" s="911" t="s">
        <v>558</v>
      </c>
      <c r="D247" s="912" t="s">
        <v>132</v>
      </c>
      <c r="E247" s="912">
        <v>94</v>
      </c>
      <c r="F247" s="912">
        <v>555</v>
      </c>
      <c r="G247" s="912" t="s">
        <v>390</v>
      </c>
    </row>
    <row r="248" spans="3:7">
      <c r="C248" s="911" t="s">
        <v>558</v>
      </c>
      <c r="D248" s="912" t="s">
        <v>132</v>
      </c>
      <c r="E248" s="912">
        <v>262</v>
      </c>
      <c r="F248" s="912">
        <v>28</v>
      </c>
      <c r="G248" s="912" t="s">
        <v>410</v>
      </c>
    </row>
    <row r="249" spans="3:7">
      <c r="C249" s="911" t="s">
        <v>557</v>
      </c>
      <c r="D249" s="912" t="s">
        <v>132</v>
      </c>
      <c r="E249" s="912">
        <v>193</v>
      </c>
      <c r="F249" s="912">
        <v>483</v>
      </c>
      <c r="G249" s="912" t="s">
        <v>390</v>
      </c>
    </row>
    <row r="250" spans="3:7">
      <c r="C250" s="911" t="s">
        <v>558</v>
      </c>
      <c r="D250" s="912" t="s">
        <v>132</v>
      </c>
      <c r="E250" s="912">
        <v>56</v>
      </c>
      <c r="F250" s="912">
        <v>9</v>
      </c>
      <c r="G250" s="912" t="s">
        <v>410</v>
      </c>
    </row>
    <row r="251" spans="3:7">
      <c r="C251" s="911" t="s">
        <v>558</v>
      </c>
      <c r="D251" s="912" t="s">
        <v>132</v>
      </c>
      <c r="E251" s="912">
        <v>664</v>
      </c>
      <c r="F251" s="912">
        <v>3425</v>
      </c>
      <c r="G251" s="912" t="s">
        <v>390</v>
      </c>
    </row>
    <row r="252" spans="3:7">
      <c r="C252" s="911" t="s">
        <v>557</v>
      </c>
      <c r="D252" s="912" t="s">
        <v>132</v>
      </c>
      <c r="E252" s="912">
        <v>253</v>
      </c>
      <c r="F252" s="912">
        <v>11</v>
      </c>
      <c r="G252" s="912" t="s">
        <v>410</v>
      </c>
    </row>
    <row r="253" spans="3:7">
      <c r="C253" s="911" t="s">
        <v>557</v>
      </c>
      <c r="D253" s="912" t="s">
        <v>132</v>
      </c>
      <c r="E253" s="912">
        <v>204</v>
      </c>
      <c r="F253" s="912">
        <v>6</v>
      </c>
      <c r="G253" s="912" t="s">
        <v>410</v>
      </c>
    </row>
    <row r="254" spans="3:7">
      <c r="C254" s="911" t="s">
        <v>557</v>
      </c>
      <c r="D254" s="912" t="s">
        <v>132</v>
      </c>
      <c r="E254" s="912">
        <v>290</v>
      </c>
      <c r="F254" s="912">
        <v>521</v>
      </c>
      <c r="G254" s="912" t="s">
        <v>390</v>
      </c>
    </row>
    <row r="255" spans="3:7">
      <c r="C255" s="911" t="s">
        <v>558</v>
      </c>
      <c r="D255" s="912" t="s">
        <v>132</v>
      </c>
      <c r="E255" s="912">
        <v>120</v>
      </c>
      <c r="F255" s="912">
        <v>1</v>
      </c>
      <c r="G255" s="912" t="s">
        <v>410</v>
      </c>
    </row>
    <row r="256" spans="3:7">
      <c r="C256" s="911" t="s">
        <v>557</v>
      </c>
      <c r="D256" s="912" t="s">
        <v>132</v>
      </c>
      <c r="E256" s="912">
        <v>741</v>
      </c>
      <c r="F256" s="912">
        <v>2818</v>
      </c>
      <c r="G256" s="912" t="s">
        <v>390</v>
      </c>
    </row>
    <row r="257" spans="3:7">
      <c r="C257" s="911" t="s">
        <v>557</v>
      </c>
      <c r="D257" s="912" t="s">
        <v>132</v>
      </c>
      <c r="E257" s="912">
        <v>740</v>
      </c>
      <c r="F257" s="912">
        <v>48</v>
      </c>
      <c r="G257" s="912" t="s">
        <v>410</v>
      </c>
    </row>
    <row r="258" spans="3:7">
      <c r="C258" s="911" t="s">
        <v>557</v>
      </c>
      <c r="D258" s="912" t="s">
        <v>132</v>
      </c>
      <c r="E258" s="912">
        <v>182</v>
      </c>
      <c r="F258" s="912">
        <v>167</v>
      </c>
      <c r="G258" s="912" t="s">
        <v>390</v>
      </c>
    </row>
    <row r="259" spans="3:7">
      <c r="C259" s="911" t="s">
        <v>558</v>
      </c>
      <c r="D259" s="912" t="s">
        <v>132</v>
      </c>
      <c r="E259" s="912">
        <v>697</v>
      </c>
      <c r="F259" s="912">
        <v>1382</v>
      </c>
      <c r="G259" s="912" t="s">
        <v>390</v>
      </c>
    </row>
    <row r="260" spans="3:7">
      <c r="C260" s="911" t="s">
        <v>558</v>
      </c>
      <c r="D260" s="912" t="s">
        <v>132</v>
      </c>
      <c r="E260" s="912">
        <v>193</v>
      </c>
      <c r="F260" s="912">
        <v>451</v>
      </c>
      <c r="G260" s="912" t="s">
        <v>390</v>
      </c>
    </row>
    <row r="261" spans="3:7">
      <c r="C261" s="911" t="s">
        <v>558</v>
      </c>
      <c r="D261" s="912" t="s">
        <v>132</v>
      </c>
      <c r="E261" s="912">
        <v>812</v>
      </c>
      <c r="F261" s="912">
        <v>3371</v>
      </c>
      <c r="G261" s="912" t="s">
        <v>390</v>
      </c>
    </row>
    <row r="262" spans="3:7">
      <c r="C262" s="911" t="s">
        <v>557</v>
      </c>
      <c r="D262" s="912" t="s">
        <v>132</v>
      </c>
      <c r="E262" s="912">
        <v>324</v>
      </c>
      <c r="F262" s="912">
        <v>1666</v>
      </c>
      <c r="G262" s="912" t="s">
        <v>390</v>
      </c>
    </row>
    <row r="263" spans="3:7">
      <c r="C263" s="911" t="s">
        <v>558</v>
      </c>
      <c r="D263" s="912" t="s">
        <v>132</v>
      </c>
      <c r="E263" s="912">
        <v>814</v>
      </c>
      <c r="F263" s="912">
        <v>3315</v>
      </c>
      <c r="G263" s="912" t="s">
        <v>390</v>
      </c>
    </row>
    <row r="264" spans="3:7">
      <c r="C264" s="911" t="s">
        <v>558</v>
      </c>
      <c r="D264" s="912" t="s">
        <v>132</v>
      </c>
      <c r="E264" s="912">
        <v>108</v>
      </c>
      <c r="F264" s="912">
        <v>7</v>
      </c>
      <c r="G264" s="912" t="s">
        <v>410</v>
      </c>
    </row>
    <row r="265" spans="3:7">
      <c r="C265" s="911" t="s">
        <v>558</v>
      </c>
      <c r="D265" s="912" t="s">
        <v>132</v>
      </c>
      <c r="E265" s="912">
        <v>740</v>
      </c>
      <c r="F265" s="912">
        <v>737</v>
      </c>
      <c r="G265" s="912" t="s">
        <v>390</v>
      </c>
    </row>
    <row r="266" spans="3:7">
      <c r="C266" s="911" t="s">
        <v>557</v>
      </c>
      <c r="D266" s="912" t="s">
        <v>132</v>
      </c>
      <c r="E266" s="912">
        <v>93</v>
      </c>
      <c r="F266" s="912">
        <v>2260</v>
      </c>
      <c r="G266" s="912" t="s">
        <v>390</v>
      </c>
    </row>
    <row r="267" spans="3:7">
      <c r="C267" s="911" t="s">
        <v>557</v>
      </c>
      <c r="D267" s="912" t="s">
        <v>132</v>
      </c>
      <c r="E267" s="912">
        <v>35</v>
      </c>
      <c r="F267" s="912">
        <v>879</v>
      </c>
      <c r="G267" s="912" t="s">
        <v>390</v>
      </c>
    </row>
    <row r="268" spans="3:7">
      <c r="C268" s="911" t="s">
        <v>558</v>
      </c>
      <c r="D268" s="912" t="s">
        <v>132</v>
      </c>
      <c r="E268" s="912">
        <v>312</v>
      </c>
      <c r="F268" s="912">
        <v>2547</v>
      </c>
      <c r="G268" s="912" t="s">
        <v>390</v>
      </c>
    </row>
    <row r="269" spans="3:7">
      <c r="C269" s="911" t="s">
        <v>558</v>
      </c>
      <c r="D269" s="912" t="s">
        <v>132</v>
      </c>
      <c r="E269" s="912">
        <v>802</v>
      </c>
      <c r="F269" s="912">
        <v>64</v>
      </c>
      <c r="G269" s="912" t="s">
        <v>410</v>
      </c>
    </row>
    <row r="270" spans="3:7">
      <c r="C270" s="911" t="s">
        <v>557</v>
      </c>
      <c r="D270" s="912" t="s">
        <v>132</v>
      </c>
      <c r="E270" s="912">
        <v>27</v>
      </c>
      <c r="F270" s="912">
        <v>1</v>
      </c>
      <c r="G270" s="912" t="s">
        <v>410</v>
      </c>
    </row>
    <row r="271" spans="3:7">
      <c r="C271" s="911" t="s">
        <v>558</v>
      </c>
      <c r="D271" s="912" t="s">
        <v>132</v>
      </c>
      <c r="E271" s="912">
        <v>159</v>
      </c>
      <c r="F271" s="912">
        <v>8</v>
      </c>
      <c r="G271" s="912" t="s">
        <v>410</v>
      </c>
    </row>
    <row r="272" spans="3:7">
      <c r="C272" s="911" t="s">
        <v>558</v>
      </c>
      <c r="D272" s="912" t="s">
        <v>132</v>
      </c>
      <c r="E272" s="912">
        <v>323</v>
      </c>
      <c r="F272" s="912">
        <v>2875</v>
      </c>
      <c r="G272" s="912" t="s">
        <v>390</v>
      </c>
    </row>
    <row r="273" spans="3:7">
      <c r="C273" s="911" t="s">
        <v>558</v>
      </c>
      <c r="D273" s="912" t="s">
        <v>132</v>
      </c>
      <c r="E273" s="912">
        <v>164</v>
      </c>
      <c r="F273" s="912">
        <v>11</v>
      </c>
      <c r="G273" s="912" t="s">
        <v>410</v>
      </c>
    </row>
    <row r="274" spans="3:7">
      <c r="C274" s="911" t="s">
        <v>557</v>
      </c>
      <c r="D274" s="912" t="s">
        <v>132</v>
      </c>
      <c r="E274" s="912">
        <v>87</v>
      </c>
      <c r="F274" s="912">
        <v>2</v>
      </c>
      <c r="G274" s="912" t="s">
        <v>410</v>
      </c>
    </row>
    <row r="275" spans="3:7">
      <c r="C275" s="911" t="s">
        <v>557</v>
      </c>
      <c r="D275" s="912" t="s">
        <v>132</v>
      </c>
      <c r="E275" s="912">
        <v>72</v>
      </c>
      <c r="F275" s="912">
        <v>7</v>
      </c>
      <c r="G275" s="912" t="s">
        <v>410</v>
      </c>
    </row>
    <row r="276" spans="3:7">
      <c r="C276" s="911" t="s">
        <v>558</v>
      </c>
      <c r="D276" s="912" t="s">
        <v>132</v>
      </c>
      <c r="E276" s="912">
        <v>724</v>
      </c>
      <c r="F276" s="912">
        <v>2489</v>
      </c>
      <c r="G276" s="912" t="s">
        <v>390</v>
      </c>
    </row>
    <row r="277" spans="3:7">
      <c r="C277" s="911" t="s">
        <v>557</v>
      </c>
      <c r="D277" s="912" t="s">
        <v>132</v>
      </c>
      <c r="E277" s="912">
        <v>136</v>
      </c>
      <c r="F277" s="912">
        <v>10</v>
      </c>
      <c r="G277" s="912" t="s">
        <v>410</v>
      </c>
    </row>
    <row r="278" spans="3:7">
      <c r="C278" s="911" t="s">
        <v>557</v>
      </c>
      <c r="D278" s="912" t="s">
        <v>132</v>
      </c>
      <c r="E278" s="912">
        <v>295</v>
      </c>
      <c r="F278" s="912">
        <v>4</v>
      </c>
      <c r="G278" s="912" t="s">
        <v>410</v>
      </c>
    </row>
    <row r="279" spans="3:7">
      <c r="C279" s="911" t="s">
        <v>558</v>
      </c>
      <c r="D279" s="912" t="s">
        <v>132</v>
      </c>
      <c r="E279" s="912">
        <v>651</v>
      </c>
      <c r="F279" s="912">
        <v>41</v>
      </c>
      <c r="G279" s="912" t="s">
        <v>410</v>
      </c>
    </row>
    <row r="280" spans="3:7">
      <c r="C280" s="911" t="s">
        <v>558</v>
      </c>
      <c r="D280" s="912" t="s">
        <v>132</v>
      </c>
      <c r="E280" s="912">
        <v>308</v>
      </c>
      <c r="F280" s="912">
        <v>2279</v>
      </c>
      <c r="G280" s="912" t="s">
        <v>390</v>
      </c>
    </row>
    <row r="281" spans="3:7">
      <c r="C281" s="911" t="s">
        <v>557</v>
      </c>
      <c r="D281" s="912" t="s">
        <v>132</v>
      </c>
      <c r="E281" s="912">
        <v>739</v>
      </c>
      <c r="F281" s="912">
        <v>104</v>
      </c>
      <c r="G281" s="912" t="s">
        <v>390</v>
      </c>
    </row>
    <row r="282" spans="3:7">
      <c r="C282" s="911" t="s">
        <v>557</v>
      </c>
      <c r="D282" s="912" t="s">
        <v>132</v>
      </c>
      <c r="E282" s="912">
        <v>279</v>
      </c>
      <c r="F282" s="912">
        <v>2</v>
      </c>
      <c r="G282" s="912" t="s">
        <v>410</v>
      </c>
    </row>
    <row r="283" spans="3:7">
      <c r="C283" s="911" t="s">
        <v>557</v>
      </c>
      <c r="D283" s="912" t="s">
        <v>132</v>
      </c>
      <c r="E283" s="912">
        <v>691</v>
      </c>
      <c r="F283" s="912">
        <v>3037</v>
      </c>
      <c r="G283" s="912" t="s">
        <v>390</v>
      </c>
    </row>
    <row r="284" spans="3:7">
      <c r="C284" s="911" t="s">
        <v>557</v>
      </c>
      <c r="D284" s="912" t="s">
        <v>132</v>
      </c>
      <c r="E284" s="912">
        <v>58</v>
      </c>
      <c r="F284" s="912">
        <v>1</v>
      </c>
      <c r="G284" s="912" t="s">
        <v>410</v>
      </c>
    </row>
    <row r="285" spans="3:7">
      <c r="C285" s="911" t="s">
        <v>558</v>
      </c>
      <c r="D285" s="912" t="s">
        <v>132</v>
      </c>
      <c r="E285" s="912">
        <v>818</v>
      </c>
      <c r="F285" s="912">
        <v>2</v>
      </c>
      <c r="G285" s="912" t="s">
        <v>410</v>
      </c>
    </row>
    <row r="286" spans="3:7">
      <c r="C286" s="911" t="s">
        <v>557</v>
      </c>
      <c r="D286" s="912" t="s">
        <v>132</v>
      </c>
      <c r="E286" s="912">
        <v>81</v>
      </c>
      <c r="F286" s="912">
        <v>9</v>
      </c>
      <c r="G286" s="912" t="s">
        <v>410</v>
      </c>
    </row>
    <row r="287" spans="3:7">
      <c r="C287" s="911" t="s">
        <v>557</v>
      </c>
      <c r="D287" s="912" t="s">
        <v>132</v>
      </c>
      <c r="E287" s="912">
        <v>342</v>
      </c>
      <c r="F287" s="912">
        <v>2650</v>
      </c>
      <c r="G287" s="912" t="s">
        <v>390</v>
      </c>
    </row>
    <row r="288" spans="3:7">
      <c r="C288" s="911" t="s">
        <v>557</v>
      </c>
      <c r="D288" s="912" t="s">
        <v>132</v>
      </c>
      <c r="E288" s="912">
        <v>316</v>
      </c>
      <c r="F288" s="912">
        <v>8</v>
      </c>
      <c r="G288" s="912" t="s">
        <v>410</v>
      </c>
    </row>
    <row r="289" spans="3:7">
      <c r="C289" s="911" t="s">
        <v>558</v>
      </c>
      <c r="D289" s="912" t="s">
        <v>132</v>
      </c>
      <c r="E289" s="912">
        <v>305</v>
      </c>
      <c r="F289" s="912">
        <v>4799</v>
      </c>
      <c r="G289" s="912" t="s">
        <v>390</v>
      </c>
    </row>
    <row r="290" spans="3:7">
      <c r="C290" s="911" t="s">
        <v>557</v>
      </c>
      <c r="D290" s="912" t="s">
        <v>132</v>
      </c>
      <c r="E290" s="912">
        <v>735</v>
      </c>
      <c r="F290" s="912">
        <v>2679</v>
      </c>
      <c r="G290" s="912" t="s">
        <v>390</v>
      </c>
    </row>
    <row r="291" spans="3:7">
      <c r="C291" s="911" t="s">
        <v>557</v>
      </c>
      <c r="D291" s="912" t="s">
        <v>132</v>
      </c>
      <c r="E291" s="912">
        <v>687</v>
      </c>
      <c r="F291" s="912">
        <v>3122</v>
      </c>
      <c r="G291" s="912" t="s">
        <v>390</v>
      </c>
    </row>
    <row r="292" spans="3:7">
      <c r="C292" s="911" t="s">
        <v>557</v>
      </c>
      <c r="D292" s="912" t="s">
        <v>132</v>
      </c>
      <c r="E292" s="912">
        <v>92</v>
      </c>
      <c r="F292" s="912">
        <v>8</v>
      </c>
      <c r="G292" s="912" t="s">
        <v>410</v>
      </c>
    </row>
    <row r="293" spans="3:7">
      <c r="C293" s="911" t="s">
        <v>558</v>
      </c>
      <c r="D293" s="912" t="s">
        <v>132</v>
      </c>
      <c r="E293" s="912">
        <v>103</v>
      </c>
      <c r="F293" s="912">
        <v>1748</v>
      </c>
      <c r="G293" s="912" t="s">
        <v>390</v>
      </c>
    </row>
    <row r="294" spans="3:7">
      <c r="C294" s="911" t="s">
        <v>558</v>
      </c>
      <c r="D294" s="912" t="s">
        <v>132</v>
      </c>
      <c r="E294" s="912">
        <v>700</v>
      </c>
      <c r="F294" s="912">
        <v>2806</v>
      </c>
      <c r="G294" s="912" t="s">
        <v>390</v>
      </c>
    </row>
    <row r="295" spans="3:7">
      <c r="C295" s="911" t="s">
        <v>558</v>
      </c>
      <c r="D295" s="912" t="s">
        <v>132</v>
      </c>
      <c r="E295" s="912">
        <v>703</v>
      </c>
      <c r="F295" s="912">
        <v>198</v>
      </c>
      <c r="G295" s="912" t="s">
        <v>390</v>
      </c>
    </row>
    <row r="296" spans="3:7">
      <c r="C296" s="911" t="s">
        <v>558</v>
      </c>
      <c r="D296" s="912" t="s">
        <v>132</v>
      </c>
      <c r="E296" s="912">
        <v>303</v>
      </c>
      <c r="F296" s="912">
        <v>4</v>
      </c>
      <c r="G296" s="912" t="s">
        <v>410</v>
      </c>
    </row>
    <row r="297" spans="3:7">
      <c r="C297" s="911" t="s">
        <v>558</v>
      </c>
      <c r="D297" s="912" t="s">
        <v>132</v>
      </c>
      <c r="E297" s="912">
        <v>694</v>
      </c>
      <c r="F297" s="912">
        <v>1</v>
      </c>
      <c r="G297" s="912" t="s">
        <v>410</v>
      </c>
    </row>
    <row r="298" spans="3:7">
      <c r="C298" s="911" t="s">
        <v>558</v>
      </c>
      <c r="D298" s="912" t="s">
        <v>132</v>
      </c>
      <c r="E298" s="912">
        <v>701</v>
      </c>
      <c r="F298" s="912">
        <v>2327</v>
      </c>
      <c r="G298" s="912" t="s">
        <v>390</v>
      </c>
    </row>
    <row r="299" spans="3:7">
      <c r="C299" s="911" t="s">
        <v>557</v>
      </c>
      <c r="D299" s="912" t="s">
        <v>132</v>
      </c>
      <c r="E299" s="912">
        <v>648</v>
      </c>
      <c r="F299" s="912">
        <v>1</v>
      </c>
      <c r="G299" s="912" t="s">
        <v>410</v>
      </c>
    </row>
    <row r="300" spans="3:7">
      <c r="C300" s="911" t="s">
        <v>558</v>
      </c>
      <c r="D300" s="912" t="s">
        <v>132</v>
      </c>
      <c r="E300" s="912">
        <v>220</v>
      </c>
      <c r="F300" s="912">
        <v>125</v>
      </c>
      <c r="G300" s="912" t="s">
        <v>390</v>
      </c>
    </row>
    <row r="301" spans="3:7">
      <c r="C301" s="911" t="s">
        <v>557</v>
      </c>
      <c r="D301" s="912" t="s">
        <v>132</v>
      </c>
      <c r="E301" s="912">
        <v>246</v>
      </c>
      <c r="F301" s="912">
        <v>5</v>
      </c>
      <c r="G301" s="912" t="s">
        <v>410</v>
      </c>
    </row>
    <row r="302" spans="3:7">
      <c r="C302" s="911" t="s">
        <v>558</v>
      </c>
      <c r="D302" s="912" t="s">
        <v>132</v>
      </c>
      <c r="E302" s="912">
        <v>791</v>
      </c>
      <c r="F302" s="912">
        <v>3096</v>
      </c>
      <c r="G302" s="912" t="s">
        <v>390</v>
      </c>
    </row>
    <row r="303" spans="3:7">
      <c r="C303" s="911" t="s">
        <v>557</v>
      </c>
      <c r="D303" s="912" t="s">
        <v>132</v>
      </c>
      <c r="E303" s="912">
        <v>652</v>
      </c>
      <c r="F303" s="912">
        <v>3587</v>
      </c>
      <c r="G303" s="912" t="s">
        <v>390</v>
      </c>
    </row>
    <row r="304" spans="3:7">
      <c r="C304" s="911" t="s">
        <v>558</v>
      </c>
      <c r="D304" s="912" t="s">
        <v>132</v>
      </c>
      <c r="E304" s="912">
        <v>804</v>
      </c>
      <c r="F304" s="912">
        <v>2116</v>
      </c>
      <c r="G304" s="912" t="s">
        <v>390</v>
      </c>
    </row>
    <row r="305" spans="3:7">
      <c r="C305" s="911" t="s">
        <v>557</v>
      </c>
      <c r="D305" s="912" t="s">
        <v>132</v>
      </c>
      <c r="E305" s="912">
        <v>738</v>
      </c>
      <c r="F305" s="912">
        <v>33</v>
      </c>
      <c r="G305" s="912" t="s">
        <v>410</v>
      </c>
    </row>
    <row r="306" spans="3:7">
      <c r="C306" s="911" t="s">
        <v>558</v>
      </c>
      <c r="D306" s="912" t="s">
        <v>132</v>
      </c>
      <c r="E306" s="912">
        <v>344</v>
      </c>
      <c r="F306" s="912">
        <v>296</v>
      </c>
      <c r="G306" s="912" t="s">
        <v>390</v>
      </c>
    </row>
    <row r="307" spans="3:7">
      <c r="C307" s="911" t="s">
        <v>558</v>
      </c>
      <c r="D307" s="912" t="s">
        <v>132</v>
      </c>
      <c r="E307" s="912">
        <v>684</v>
      </c>
      <c r="F307" s="912">
        <v>2989</v>
      </c>
      <c r="G307" s="912" t="s">
        <v>390</v>
      </c>
    </row>
    <row r="308" spans="3:7">
      <c r="C308" s="911" t="s">
        <v>558</v>
      </c>
      <c r="D308" s="912" t="s">
        <v>132</v>
      </c>
      <c r="E308" s="912">
        <v>136</v>
      </c>
      <c r="F308" s="912">
        <v>24</v>
      </c>
      <c r="G308" s="912" t="s">
        <v>410</v>
      </c>
    </row>
    <row r="309" spans="3:7">
      <c r="C309" s="911" t="s">
        <v>558</v>
      </c>
      <c r="D309" s="912" t="s">
        <v>132</v>
      </c>
      <c r="E309" s="912">
        <v>255</v>
      </c>
      <c r="F309" s="912">
        <v>687</v>
      </c>
      <c r="G309" s="912" t="s">
        <v>390</v>
      </c>
    </row>
    <row r="310" spans="3:7">
      <c r="C310" s="911" t="s">
        <v>558</v>
      </c>
      <c r="D310" s="912" t="s">
        <v>132</v>
      </c>
      <c r="E310" s="912">
        <v>27</v>
      </c>
      <c r="F310" s="912">
        <v>1</v>
      </c>
      <c r="G310" s="912" t="s">
        <v>410</v>
      </c>
    </row>
    <row r="311" spans="3:7">
      <c r="C311" s="911" t="s">
        <v>557</v>
      </c>
      <c r="D311" s="912" t="s">
        <v>132</v>
      </c>
      <c r="E311" s="912">
        <v>231</v>
      </c>
      <c r="F311" s="912">
        <v>4</v>
      </c>
      <c r="G311" s="912" t="s">
        <v>410</v>
      </c>
    </row>
    <row r="312" spans="3:7">
      <c r="C312" s="911" t="s">
        <v>557</v>
      </c>
      <c r="D312" s="912" t="s">
        <v>132</v>
      </c>
      <c r="E312" s="912">
        <v>66</v>
      </c>
      <c r="F312" s="912">
        <v>1</v>
      </c>
      <c r="G312" s="912" t="s">
        <v>410</v>
      </c>
    </row>
    <row r="313" spans="3:7">
      <c r="C313" s="911" t="s">
        <v>557</v>
      </c>
      <c r="D313" s="912" t="s">
        <v>132</v>
      </c>
      <c r="E313" s="912">
        <v>276</v>
      </c>
      <c r="F313" s="912">
        <v>1</v>
      </c>
      <c r="G313" s="912" t="s">
        <v>410</v>
      </c>
    </row>
    <row r="314" spans="3:7">
      <c r="C314" s="911" t="s">
        <v>558</v>
      </c>
      <c r="D314" s="912" t="s">
        <v>132</v>
      </c>
      <c r="E314" s="912">
        <v>680</v>
      </c>
      <c r="F314" s="912">
        <v>2976</v>
      </c>
      <c r="G314" s="912" t="s">
        <v>390</v>
      </c>
    </row>
    <row r="315" spans="3:7">
      <c r="C315" s="911" t="s">
        <v>557</v>
      </c>
      <c r="D315" s="912" t="s">
        <v>132</v>
      </c>
      <c r="E315" s="912">
        <v>247</v>
      </c>
      <c r="F315" s="912">
        <v>2565</v>
      </c>
      <c r="G315" s="912" t="s">
        <v>390</v>
      </c>
    </row>
    <row r="316" spans="3:7">
      <c r="C316" s="911" t="s">
        <v>557</v>
      </c>
      <c r="D316" s="912" t="s">
        <v>132</v>
      </c>
      <c r="E316" s="912">
        <v>264</v>
      </c>
      <c r="F316" s="912">
        <v>374</v>
      </c>
      <c r="G316" s="912" t="s">
        <v>390</v>
      </c>
    </row>
    <row r="317" spans="3:7">
      <c r="C317" s="911" t="s">
        <v>557</v>
      </c>
      <c r="D317" s="912" t="s">
        <v>132</v>
      </c>
      <c r="E317" s="912">
        <v>325</v>
      </c>
      <c r="F317" s="912">
        <v>2102</v>
      </c>
      <c r="G317" s="912" t="s">
        <v>390</v>
      </c>
    </row>
    <row r="318" spans="3:7">
      <c r="C318" s="911" t="s">
        <v>558</v>
      </c>
      <c r="D318" s="912" t="s">
        <v>132</v>
      </c>
      <c r="E318" s="912">
        <v>169</v>
      </c>
      <c r="F318" s="912">
        <v>3015</v>
      </c>
      <c r="G318" s="912" t="s">
        <v>390</v>
      </c>
    </row>
    <row r="319" spans="3:7">
      <c r="C319" s="911" t="s">
        <v>558</v>
      </c>
      <c r="D319" s="912" t="s">
        <v>132</v>
      </c>
      <c r="E319" s="912">
        <v>97</v>
      </c>
      <c r="F319" s="912">
        <v>7</v>
      </c>
      <c r="G319" s="912" t="s">
        <v>410</v>
      </c>
    </row>
    <row r="320" spans="3:7">
      <c r="C320" s="911" t="s">
        <v>558</v>
      </c>
      <c r="D320" s="912" t="s">
        <v>132</v>
      </c>
      <c r="E320" s="912">
        <v>295</v>
      </c>
      <c r="F320" s="912">
        <v>2</v>
      </c>
      <c r="G320" s="912" t="s">
        <v>410</v>
      </c>
    </row>
    <row r="321" spans="3:7">
      <c r="C321" s="911" t="s">
        <v>558</v>
      </c>
      <c r="D321" s="912" t="s">
        <v>132</v>
      </c>
      <c r="E321" s="912">
        <v>204</v>
      </c>
      <c r="F321" s="912">
        <v>7</v>
      </c>
      <c r="G321" s="912" t="s">
        <v>410</v>
      </c>
    </row>
    <row r="322" spans="3:7">
      <c r="C322" s="911" t="s">
        <v>558</v>
      </c>
      <c r="D322" s="912" t="s">
        <v>132</v>
      </c>
      <c r="E322" s="912">
        <v>769</v>
      </c>
      <c r="F322" s="912">
        <v>1664</v>
      </c>
      <c r="G322" s="912" t="s">
        <v>390</v>
      </c>
    </row>
    <row r="323" spans="3:7">
      <c r="C323" s="911" t="s">
        <v>557</v>
      </c>
      <c r="D323" s="912" t="s">
        <v>132</v>
      </c>
      <c r="E323" s="912">
        <v>305</v>
      </c>
      <c r="F323" s="912">
        <v>5014</v>
      </c>
      <c r="G323" s="912" t="s">
        <v>390</v>
      </c>
    </row>
    <row r="324" spans="3:7">
      <c r="C324" s="911" t="s">
        <v>558</v>
      </c>
      <c r="D324" s="912" t="s">
        <v>132</v>
      </c>
      <c r="E324" s="912">
        <v>68</v>
      </c>
      <c r="F324" s="912">
        <v>1116</v>
      </c>
      <c r="G324" s="912" t="s">
        <v>390</v>
      </c>
    </row>
    <row r="325" spans="3:7">
      <c r="C325" s="911" t="s">
        <v>558</v>
      </c>
      <c r="D325" s="912" t="s">
        <v>132</v>
      </c>
      <c r="E325" s="912">
        <v>77</v>
      </c>
      <c r="F325" s="912">
        <v>3580</v>
      </c>
      <c r="G325" s="912" t="s">
        <v>390</v>
      </c>
    </row>
    <row r="326" spans="3:7">
      <c r="C326" s="911" t="s">
        <v>557</v>
      </c>
      <c r="D326" s="912" t="s">
        <v>132</v>
      </c>
      <c r="E326" s="912">
        <v>0</v>
      </c>
      <c r="F326" s="912">
        <v>45</v>
      </c>
      <c r="G326" s="912" t="s">
        <v>410</v>
      </c>
    </row>
    <row r="327" spans="3:7">
      <c r="C327" s="911" t="s">
        <v>557</v>
      </c>
      <c r="D327" s="912" t="s">
        <v>132</v>
      </c>
      <c r="E327" s="912">
        <v>697</v>
      </c>
      <c r="F327" s="912">
        <v>1483</v>
      </c>
      <c r="G327" s="912" t="s">
        <v>390</v>
      </c>
    </row>
    <row r="328" spans="3:7">
      <c r="C328" s="911" t="s">
        <v>558</v>
      </c>
      <c r="D328" s="912" t="s">
        <v>132</v>
      </c>
      <c r="E328" s="912">
        <v>191</v>
      </c>
      <c r="F328" s="912">
        <v>344</v>
      </c>
      <c r="G328" s="912" t="s">
        <v>390</v>
      </c>
    </row>
    <row r="329" spans="3:7">
      <c r="C329" s="911" t="s">
        <v>558</v>
      </c>
      <c r="D329" s="912" t="s">
        <v>132</v>
      </c>
      <c r="E329" s="912">
        <v>666</v>
      </c>
      <c r="F329" s="912">
        <v>1678</v>
      </c>
      <c r="G329" s="912" t="s">
        <v>390</v>
      </c>
    </row>
    <row r="330" spans="3:7">
      <c r="C330" s="911" t="s">
        <v>558</v>
      </c>
      <c r="D330" s="912" t="s">
        <v>132</v>
      </c>
      <c r="E330" s="912">
        <v>40</v>
      </c>
      <c r="F330" s="912">
        <v>2</v>
      </c>
      <c r="G330" s="912" t="s">
        <v>410</v>
      </c>
    </row>
    <row r="331" spans="3:7">
      <c r="C331" s="911" t="s">
        <v>558</v>
      </c>
      <c r="D331" s="912" t="s">
        <v>132</v>
      </c>
      <c r="E331" s="912">
        <v>183</v>
      </c>
      <c r="F331" s="912">
        <v>550</v>
      </c>
      <c r="G331" s="912" t="s">
        <v>390</v>
      </c>
    </row>
    <row r="332" spans="3:7">
      <c r="C332" s="911" t="s">
        <v>558</v>
      </c>
      <c r="D332" s="912" t="s">
        <v>132</v>
      </c>
      <c r="E332" s="912">
        <v>87</v>
      </c>
      <c r="F332" s="912">
        <v>2</v>
      </c>
      <c r="G332" s="912" t="s">
        <v>410</v>
      </c>
    </row>
    <row r="333" spans="3:7">
      <c r="C333" s="911" t="s">
        <v>558</v>
      </c>
      <c r="D333" s="912" t="s">
        <v>132</v>
      </c>
      <c r="E333" s="912">
        <v>790</v>
      </c>
      <c r="F333" s="912">
        <v>784</v>
      </c>
      <c r="G333" s="912" t="s">
        <v>390</v>
      </c>
    </row>
    <row r="334" spans="3:7">
      <c r="C334" s="911" t="s">
        <v>558</v>
      </c>
      <c r="D334" s="912" t="s">
        <v>132</v>
      </c>
      <c r="E334" s="912">
        <v>283</v>
      </c>
      <c r="F334" s="912">
        <v>1</v>
      </c>
      <c r="G334" s="912" t="s">
        <v>410</v>
      </c>
    </row>
    <row r="335" spans="3:7">
      <c r="C335" s="911" t="s">
        <v>558</v>
      </c>
      <c r="D335" s="912" t="s">
        <v>132</v>
      </c>
      <c r="E335" s="912">
        <v>828</v>
      </c>
      <c r="F335" s="912">
        <v>3206</v>
      </c>
      <c r="G335" s="912" t="s">
        <v>390</v>
      </c>
    </row>
    <row r="336" spans="3:7">
      <c r="C336" s="911" t="s">
        <v>557</v>
      </c>
      <c r="D336" s="912" t="s">
        <v>132</v>
      </c>
      <c r="E336" s="912">
        <v>320</v>
      </c>
      <c r="F336" s="912">
        <v>1695</v>
      </c>
      <c r="G336" s="912" t="s">
        <v>390</v>
      </c>
    </row>
    <row r="337" spans="3:7">
      <c r="C337" s="911" t="s">
        <v>558</v>
      </c>
      <c r="D337" s="912" t="s">
        <v>132</v>
      </c>
      <c r="E337" s="912">
        <v>739</v>
      </c>
      <c r="F337" s="912">
        <v>2139</v>
      </c>
      <c r="G337" s="912" t="s">
        <v>390</v>
      </c>
    </row>
    <row r="338" spans="3:7">
      <c r="C338" s="911" t="s">
        <v>558</v>
      </c>
      <c r="D338" s="912" t="s">
        <v>132</v>
      </c>
      <c r="E338" s="912">
        <v>110</v>
      </c>
      <c r="F338" s="912">
        <v>4</v>
      </c>
      <c r="G338" s="912" t="s">
        <v>410</v>
      </c>
    </row>
    <row r="339" spans="3:7">
      <c r="C339" s="911" t="s">
        <v>557</v>
      </c>
      <c r="D339" s="912" t="s">
        <v>132</v>
      </c>
      <c r="E339" s="912">
        <v>256</v>
      </c>
      <c r="F339" s="912">
        <v>278</v>
      </c>
      <c r="G339" s="912" t="s">
        <v>390</v>
      </c>
    </row>
    <row r="340" spans="3:7">
      <c r="C340" s="911" t="s">
        <v>557</v>
      </c>
      <c r="D340" s="912" t="s">
        <v>132</v>
      </c>
      <c r="E340" s="912">
        <v>674</v>
      </c>
      <c r="F340" s="912">
        <v>3600</v>
      </c>
      <c r="G340" s="912" t="s">
        <v>390</v>
      </c>
    </row>
    <row r="341" spans="3:7">
      <c r="C341" s="911" t="s">
        <v>557</v>
      </c>
      <c r="D341" s="912" t="s">
        <v>132</v>
      </c>
      <c r="E341" s="912">
        <v>321</v>
      </c>
      <c r="F341" s="912">
        <v>1948</v>
      </c>
      <c r="G341" s="912" t="s">
        <v>390</v>
      </c>
    </row>
    <row r="342" spans="3:7">
      <c r="C342" s="911" t="s">
        <v>558</v>
      </c>
      <c r="D342" s="912" t="s">
        <v>132</v>
      </c>
      <c r="E342" s="912">
        <v>829</v>
      </c>
      <c r="F342" s="912">
        <v>2853</v>
      </c>
      <c r="G342" s="912" t="s">
        <v>390</v>
      </c>
    </row>
    <row r="343" spans="3:7">
      <c r="C343" s="911" t="s">
        <v>558</v>
      </c>
      <c r="D343" s="912" t="s">
        <v>132</v>
      </c>
      <c r="E343" s="912">
        <v>725</v>
      </c>
      <c r="F343" s="912">
        <v>449</v>
      </c>
      <c r="G343" s="912" t="s">
        <v>390</v>
      </c>
    </row>
    <row r="344" spans="3:7">
      <c r="C344" s="911" t="s">
        <v>557</v>
      </c>
      <c r="D344" s="912" t="s">
        <v>132</v>
      </c>
      <c r="E344" s="912">
        <v>212</v>
      </c>
      <c r="F344" s="912">
        <v>3429</v>
      </c>
      <c r="G344" s="912" t="s">
        <v>390</v>
      </c>
    </row>
    <row r="345" spans="3:7">
      <c r="C345" s="911" t="s">
        <v>557</v>
      </c>
      <c r="D345" s="912" t="s">
        <v>132</v>
      </c>
      <c r="E345" s="912">
        <v>230</v>
      </c>
      <c r="F345" s="912">
        <v>6</v>
      </c>
      <c r="G345" s="912" t="s">
        <v>410</v>
      </c>
    </row>
    <row r="346" spans="3:7">
      <c r="C346" s="911" t="s">
        <v>558</v>
      </c>
      <c r="D346" s="912" t="s">
        <v>132</v>
      </c>
      <c r="E346" s="912">
        <v>13</v>
      </c>
      <c r="F346" s="912">
        <v>2575</v>
      </c>
      <c r="G346" s="912" t="s">
        <v>390</v>
      </c>
    </row>
    <row r="347" spans="3:7">
      <c r="C347" s="911" t="s">
        <v>557</v>
      </c>
      <c r="D347" s="912" t="s">
        <v>132</v>
      </c>
      <c r="E347" s="912">
        <v>725</v>
      </c>
      <c r="F347" s="912">
        <v>193</v>
      </c>
      <c r="G347" s="912" t="s">
        <v>390</v>
      </c>
    </row>
    <row r="348" spans="3:7">
      <c r="C348" s="911" t="s">
        <v>557</v>
      </c>
      <c r="D348" s="912" t="s">
        <v>132</v>
      </c>
      <c r="E348" s="912">
        <v>662</v>
      </c>
      <c r="F348" s="912">
        <v>6</v>
      </c>
      <c r="G348" s="912" t="s">
        <v>410</v>
      </c>
    </row>
    <row r="349" spans="3:7">
      <c r="C349" s="911" t="s">
        <v>558</v>
      </c>
      <c r="D349" s="912" t="s">
        <v>132</v>
      </c>
      <c r="E349" s="912">
        <v>251</v>
      </c>
      <c r="F349" s="912">
        <v>1861</v>
      </c>
      <c r="G349" s="912" t="s">
        <v>390</v>
      </c>
    </row>
    <row r="350" spans="3:7">
      <c r="C350" s="911" t="s">
        <v>557</v>
      </c>
      <c r="D350" s="912" t="s">
        <v>132</v>
      </c>
      <c r="E350" s="912">
        <v>240</v>
      </c>
      <c r="F350" s="912">
        <v>4</v>
      </c>
      <c r="G350" s="912" t="s">
        <v>410</v>
      </c>
    </row>
    <row r="351" spans="3:7">
      <c r="C351" s="911" t="s">
        <v>557</v>
      </c>
      <c r="D351" s="912" t="s">
        <v>132</v>
      </c>
      <c r="E351" s="912">
        <v>96</v>
      </c>
      <c r="F351" s="912">
        <v>2</v>
      </c>
      <c r="G351" s="912" t="s">
        <v>410</v>
      </c>
    </row>
    <row r="352" spans="3:7">
      <c r="C352" s="911" t="s">
        <v>557</v>
      </c>
      <c r="D352" s="912" t="s">
        <v>132</v>
      </c>
      <c r="E352" s="912">
        <v>202</v>
      </c>
      <c r="F352" s="912">
        <v>1</v>
      </c>
      <c r="G352" s="912" t="s">
        <v>410</v>
      </c>
    </row>
    <row r="353" spans="3:7">
      <c r="C353" s="911" t="s">
        <v>557</v>
      </c>
      <c r="D353" s="912" t="s">
        <v>132</v>
      </c>
      <c r="E353" s="912">
        <v>703</v>
      </c>
      <c r="F353" s="912">
        <v>3257</v>
      </c>
      <c r="G353" s="912" t="s">
        <v>390</v>
      </c>
    </row>
    <row r="354" spans="3:7">
      <c r="C354" s="911" t="s">
        <v>558</v>
      </c>
      <c r="D354" s="912" t="s">
        <v>132</v>
      </c>
      <c r="E354" s="912">
        <v>676</v>
      </c>
      <c r="F354" s="912">
        <v>4</v>
      </c>
      <c r="G354" s="912" t="s">
        <v>410</v>
      </c>
    </row>
    <row r="355" spans="3:7">
      <c r="C355" s="911" t="s">
        <v>558</v>
      </c>
      <c r="D355" s="912" t="s">
        <v>132</v>
      </c>
      <c r="E355" s="912">
        <v>809</v>
      </c>
      <c r="F355" s="912">
        <v>129</v>
      </c>
      <c r="G355" s="912" t="s">
        <v>390</v>
      </c>
    </row>
    <row r="356" spans="3:7">
      <c r="C356" s="911" t="s">
        <v>558</v>
      </c>
      <c r="D356" s="912" t="s">
        <v>132</v>
      </c>
      <c r="E356" s="912">
        <v>819</v>
      </c>
      <c r="F356" s="912">
        <v>2352</v>
      </c>
      <c r="G356" s="912" t="s">
        <v>390</v>
      </c>
    </row>
    <row r="357" spans="3:7">
      <c r="C357" s="911" t="s">
        <v>557</v>
      </c>
      <c r="D357" s="912" t="s">
        <v>132</v>
      </c>
      <c r="E357" s="912">
        <v>251</v>
      </c>
      <c r="F357" s="912">
        <v>1943</v>
      </c>
      <c r="G357" s="912" t="s">
        <v>390</v>
      </c>
    </row>
    <row r="358" spans="3:7">
      <c r="C358" s="911" t="s">
        <v>557</v>
      </c>
      <c r="D358" s="912" t="s">
        <v>132</v>
      </c>
      <c r="E358" s="912">
        <v>130</v>
      </c>
      <c r="F358" s="912">
        <v>2</v>
      </c>
      <c r="G358" s="912" t="s">
        <v>410</v>
      </c>
    </row>
    <row r="359" spans="3:7">
      <c r="C359" s="911" t="s">
        <v>557</v>
      </c>
      <c r="D359" s="912" t="s">
        <v>132</v>
      </c>
      <c r="E359" s="912">
        <v>109</v>
      </c>
      <c r="F359" s="912">
        <v>1</v>
      </c>
      <c r="G359" s="912" t="s">
        <v>410</v>
      </c>
    </row>
    <row r="360" spans="3:7">
      <c r="C360" s="911" t="s">
        <v>557</v>
      </c>
      <c r="D360" s="912" t="s">
        <v>132</v>
      </c>
      <c r="E360" s="912">
        <v>222</v>
      </c>
      <c r="F360" s="912">
        <v>5</v>
      </c>
      <c r="G360" s="912" t="s">
        <v>410</v>
      </c>
    </row>
    <row r="361" spans="3:7">
      <c r="C361" s="911" t="s">
        <v>557</v>
      </c>
      <c r="D361" s="912" t="s">
        <v>132</v>
      </c>
      <c r="E361" s="912">
        <v>239</v>
      </c>
      <c r="F361" s="912">
        <v>7</v>
      </c>
      <c r="G361" s="912" t="s">
        <v>410</v>
      </c>
    </row>
    <row r="362" spans="3:7">
      <c r="C362" s="911" t="s">
        <v>557</v>
      </c>
      <c r="D362" s="912" t="s">
        <v>132</v>
      </c>
      <c r="E362" s="912">
        <v>254</v>
      </c>
      <c r="F362" s="912">
        <v>6</v>
      </c>
      <c r="G362" s="912" t="s">
        <v>410</v>
      </c>
    </row>
    <row r="363" spans="3:7">
      <c r="C363" s="911" t="s">
        <v>557</v>
      </c>
      <c r="D363" s="912" t="s">
        <v>132</v>
      </c>
      <c r="E363" s="912">
        <v>723</v>
      </c>
      <c r="F363" s="912">
        <v>2196</v>
      </c>
      <c r="G363" s="912" t="s">
        <v>390</v>
      </c>
    </row>
    <row r="364" spans="3:7">
      <c r="C364" s="911" t="s">
        <v>557</v>
      </c>
      <c r="D364" s="912" t="s">
        <v>132</v>
      </c>
      <c r="E364" s="912">
        <v>294</v>
      </c>
      <c r="F364" s="912">
        <v>3</v>
      </c>
      <c r="G364" s="912" t="s">
        <v>410</v>
      </c>
    </row>
    <row r="365" spans="3:7">
      <c r="C365" s="911" t="s">
        <v>558</v>
      </c>
      <c r="D365" s="912" t="s">
        <v>132</v>
      </c>
      <c r="E365" s="912">
        <v>726</v>
      </c>
      <c r="F365" s="912">
        <v>1429</v>
      </c>
      <c r="G365" s="912" t="s">
        <v>390</v>
      </c>
    </row>
    <row r="366" spans="3:7">
      <c r="C366" s="911" t="s">
        <v>558</v>
      </c>
      <c r="D366" s="912" t="s">
        <v>132</v>
      </c>
      <c r="E366" s="912">
        <v>2</v>
      </c>
      <c r="F366" s="912">
        <v>1</v>
      </c>
      <c r="G366" s="912" t="s">
        <v>410</v>
      </c>
    </row>
    <row r="367" spans="3:7">
      <c r="C367" s="911" t="s">
        <v>557</v>
      </c>
      <c r="D367" s="912" t="s">
        <v>132</v>
      </c>
      <c r="E367" s="912">
        <v>675</v>
      </c>
      <c r="F367" s="912">
        <v>3</v>
      </c>
      <c r="G367" s="912" t="s">
        <v>410</v>
      </c>
    </row>
    <row r="368" spans="3:7">
      <c r="C368" s="911" t="s">
        <v>558</v>
      </c>
      <c r="D368" s="912" t="s">
        <v>132</v>
      </c>
      <c r="E368" s="912">
        <v>304</v>
      </c>
      <c r="F368" s="912">
        <v>313</v>
      </c>
      <c r="G368" s="912" t="s">
        <v>390</v>
      </c>
    </row>
    <row r="369" spans="3:7">
      <c r="C369" s="911" t="s">
        <v>557</v>
      </c>
      <c r="D369" s="912" t="s">
        <v>132</v>
      </c>
      <c r="E369" s="912">
        <v>79</v>
      </c>
      <c r="F369" s="912">
        <v>4</v>
      </c>
      <c r="G369" s="912" t="s">
        <v>410</v>
      </c>
    </row>
    <row r="370" spans="3:7">
      <c r="C370" s="911" t="s">
        <v>558</v>
      </c>
      <c r="D370" s="912" t="s">
        <v>132</v>
      </c>
      <c r="E370" s="912">
        <v>264</v>
      </c>
      <c r="F370" s="912">
        <v>367</v>
      </c>
      <c r="G370" s="912" t="s">
        <v>390</v>
      </c>
    </row>
    <row r="371" spans="3:7">
      <c r="C371" s="911" t="s">
        <v>558</v>
      </c>
      <c r="D371" s="912" t="s">
        <v>132</v>
      </c>
      <c r="E371" s="912">
        <v>245</v>
      </c>
      <c r="F371" s="912">
        <v>3064</v>
      </c>
      <c r="G371" s="912" t="s">
        <v>390</v>
      </c>
    </row>
    <row r="372" spans="3:7">
      <c r="C372" s="911" t="s">
        <v>558</v>
      </c>
      <c r="D372" s="912" t="s">
        <v>132</v>
      </c>
      <c r="E372" s="912">
        <v>797</v>
      </c>
      <c r="F372" s="912">
        <v>3096</v>
      </c>
      <c r="G372" s="912" t="s">
        <v>390</v>
      </c>
    </row>
    <row r="373" spans="3:7">
      <c r="C373" s="911" t="s">
        <v>558</v>
      </c>
      <c r="D373" s="912" t="s">
        <v>132</v>
      </c>
      <c r="E373" s="912">
        <v>200</v>
      </c>
      <c r="F373" s="912">
        <v>7</v>
      </c>
      <c r="G373" s="912" t="s">
        <v>410</v>
      </c>
    </row>
    <row r="374" spans="3:7">
      <c r="C374" s="911" t="s">
        <v>557</v>
      </c>
      <c r="D374" s="912" t="s">
        <v>132</v>
      </c>
      <c r="E374" s="912">
        <v>105</v>
      </c>
      <c r="F374" s="912">
        <v>2</v>
      </c>
      <c r="G374" s="912" t="s">
        <v>410</v>
      </c>
    </row>
    <row r="375" spans="3:7">
      <c r="C375" s="911" t="s">
        <v>557</v>
      </c>
      <c r="D375" s="912" t="s">
        <v>132</v>
      </c>
      <c r="E375" s="912">
        <v>252</v>
      </c>
      <c r="F375" s="912">
        <v>928</v>
      </c>
      <c r="G375" s="912" t="s">
        <v>390</v>
      </c>
    </row>
    <row r="376" spans="3:7">
      <c r="C376" s="911" t="s">
        <v>558</v>
      </c>
      <c r="D376" s="912" t="s">
        <v>132</v>
      </c>
      <c r="E376" s="912">
        <v>736</v>
      </c>
      <c r="F376" s="912">
        <v>3528</v>
      </c>
      <c r="G376" s="912" t="s">
        <v>390</v>
      </c>
    </row>
    <row r="377" spans="3:7">
      <c r="C377" s="911" t="s">
        <v>558</v>
      </c>
      <c r="D377" s="912" t="s">
        <v>132</v>
      </c>
      <c r="E377" s="912">
        <v>698</v>
      </c>
      <c r="F377" s="912">
        <v>2658</v>
      </c>
      <c r="G377" s="912" t="s">
        <v>390</v>
      </c>
    </row>
    <row r="378" spans="3:7">
      <c r="C378" s="911" t="s">
        <v>557</v>
      </c>
      <c r="D378" s="912" t="s">
        <v>132</v>
      </c>
      <c r="E378" s="912">
        <v>327</v>
      </c>
      <c r="F378" s="912">
        <v>3</v>
      </c>
      <c r="G378" s="912" t="s">
        <v>410</v>
      </c>
    </row>
    <row r="379" spans="3:7">
      <c r="C379" s="911" t="s">
        <v>558</v>
      </c>
      <c r="D379" s="912" t="s">
        <v>132</v>
      </c>
      <c r="E379" s="912">
        <v>0</v>
      </c>
      <c r="F379" s="912">
        <v>38</v>
      </c>
      <c r="G379" s="912" t="s">
        <v>410</v>
      </c>
    </row>
    <row r="380" spans="3:7">
      <c r="C380" s="911" t="s">
        <v>557</v>
      </c>
      <c r="D380" s="912" t="s">
        <v>132</v>
      </c>
      <c r="E380" s="912">
        <v>262</v>
      </c>
      <c r="F380" s="912">
        <v>47</v>
      </c>
      <c r="G380" s="912" t="s">
        <v>410</v>
      </c>
    </row>
    <row r="381" spans="3:7">
      <c r="C381" s="911" t="s">
        <v>557</v>
      </c>
      <c r="D381" s="912" t="s">
        <v>132</v>
      </c>
      <c r="E381" s="912">
        <v>306</v>
      </c>
      <c r="F381" s="912">
        <v>2382</v>
      </c>
      <c r="G381" s="912" t="s">
        <v>390</v>
      </c>
    </row>
    <row r="382" spans="3:7">
      <c r="C382" s="911" t="s">
        <v>557</v>
      </c>
      <c r="D382" s="912" t="s">
        <v>132</v>
      </c>
      <c r="E382" s="912">
        <v>43</v>
      </c>
      <c r="F382" s="912">
        <v>1010</v>
      </c>
      <c r="G382" s="912" t="s">
        <v>390</v>
      </c>
    </row>
    <row r="383" spans="3:7">
      <c r="C383" s="911" t="s">
        <v>558</v>
      </c>
      <c r="D383" s="912" t="s">
        <v>132</v>
      </c>
      <c r="E383" s="912">
        <v>342</v>
      </c>
      <c r="F383" s="912">
        <v>2635</v>
      </c>
      <c r="G383" s="912" t="s">
        <v>390</v>
      </c>
    </row>
    <row r="384" spans="3:7">
      <c r="C384" s="911" t="s">
        <v>557</v>
      </c>
      <c r="D384" s="912" t="s">
        <v>132</v>
      </c>
      <c r="E384" s="912">
        <v>195</v>
      </c>
      <c r="F384" s="912">
        <v>1</v>
      </c>
      <c r="G384" s="912" t="s">
        <v>410</v>
      </c>
    </row>
    <row r="385" spans="3:7">
      <c r="C385" s="911" t="s">
        <v>558</v>
      </c>
      <c r="D385" s="912" t="s">
        <v>132</v>
      </c>
      <c r="E385" s="912">
        <v>325</v>
      </c>
      <c r="F385" s="912">
        <v>2162</v>
      </c>
      <c r="G385" s="912" t="s">
        <v>390</v>
      </c>
    </row>
    <row r="386" spans="3:7">
      <c r="C386" s="911" t="s">
        <v>557</v>
      </c>
      <c r="D386" s="912" t="s">
        <v>132</v>
      </c>
      <c r="E386" s="912">
        <v>232</v>
      </c>
      <c r="F386" s="912">
        <v>3</v>
      </c>
      <c r="G386" s="912" t="s">
        <v>410</v>
      </c>
    </row>
    <row r="387" spans="3:7">
      <c r="C387" s="911" t="s">
        <v>558</v>
      </c>
      <c r="D387" s="912" t="s">
        <v>132</v>
      </c>
      <c r="E387" s="912">
        <v>306</v>
      </c>
      <c r="F387" s="912">
        <v>2420</v>
      </c>
      <c r="G387" s="912" t="s">
        <v>390</v>
      </c>
    </row>
    <row r="388" spans="3:7">
      <c r="C388" s="911" t="s">
        <v>558</v>
      </c>
      <c r="D388" s="912" t="s">
        <v>132</v>
      </c>
      <c r="E388" s="912">
        <v>266</v>
      </c>
      <c r="F388" s="912">
        <v>2335</v>
      </c>
      <c r="G388" s="912" t="s">
        <v>390</v>
      </c>
    </row>
    <row r="389" spans="3:7">
      <c r="C389" s="911" t="s">
        <v>558</v>
      </c>
      <c r="D389" s="912" t="s">
        <v>132</v>
      </c>
      <c r="E389" s="912">
        <v>194</v>
      </c>
      <c r="F389" s="912">
        <v>246</v>
      </c>
      <c r="G389" s="912" t="s">
        <v>390</v>
      </c>
    </row>
    <row r="390" spans="3:7">
      <c r="C390" s="911" t="s">
        <v>557</v>
      </c>
      <c r="D390" s="912" t="s">
        <v>132</v>
      </c>
      <c r="E390" s="912">
        <v>297</v>
      </c>
      <c r="F390" s="912">
        <v>805</v>
      </c>
      <c r="G390" s="912" t="s">
        <v>390</v>
      </c>
    </row>
    <row r="391" spans="3:7">
      <c r="C391" s="911" t="s">
        <v>557</v>
      </c>
      <c r="D391" s="912" t="s">
        <v>132</v>
      </c>
      <c r="E391" s="912">
        <v>709</v>
      </c>
      <c r="F391" s="912">
        <v>2139</v>
      </c>
      <c r="G391" s="912" t="s">
        <v>390</v>
      </c>
    </row>
    <row r="392" spans="3:7">
      <c r="C392" s="911" t="s">
        <v>558</v>
      </c>
      <c r="D392" s="912" t="s">
        <v>132</v>
      </c>
      <c r="E392" s="912">
        <v>43</v>
      </c>
      <c r="F392" s="912">
        <v>988</v>
      </c>
      <c r="G392" s="912" t="s">
        <v>390</v>
      </c>
    </row>
    <row r="393" spans="3:7">
      <c r="C393" s="911" t="s">
        <v>557</v>
      </c>
      <c r="D393" s="912" t="s">
        <v>132</v>
      </c>
      <c r="E393" s="912">
        <v>660</v>
      </c>
      <c r="F393" s="912">
        <v>5</v>
      </c>
      <c r="G393" s="912" t="s">
        <v>410</v>
      </c>
    </row>
    <row r="394" spans="3:7">
      <c r="C394" s="911" t="s">
        <v>558</v>
      </c>
      <c r="D394" s="912" t="s">
        <v>132</v>
      </c>
      <c r="E394" s="912">
        <v>96</v>
      </c>
      <c r="F394" s="912">
        <v>2</v>
      </c>
      <c r="G394" s="912" t="s">
        <v>410</v>
      </c>
    </row>
    <row r="395" spans="3:7">
      <c r="C395" s="911" t="s">
        <v>557</v>
      </c>
      <c r="D395" s="912" t="s">
        <v>132</v>
      </c>
      <c r="E395" s="912">
        <v>319</v>
      </c>
      <c r="F395" s="912">
        <v>3170</v>
      </c>
      <c r="G395" s="912" t="s">
        <v>390</v>
      </c>
    </row>
    <row r="396" spans="3:7">
      <c r="C396" s="911" t="s">
        <v>558</v>
      </c>
      <c r="D396" s="912" t="s">
        <v>132</v>
      </c>
      <c r="E396" s="912">
        <v>69</v>
      </c>
      <c r="F396" s="912">
        <v>1</v>
      </c>
      <c r="G396" s="912" t="s">
        <v>410</v>
      </c>
    </row>
    <row r="397" spans="3:7">
      <c r="C397" s="911" t="s">
        <v>558</v>
      </c>
      <c r="D397" s="912" t="s">
        <v>132</v>
      </c>
      <c r="E397" s="912">
        <v>216</v>
      </c>
      <c r="F397" s="912">
        <v>2582</v>
      </c>
      <c r="G397" s="912" t="s">
        <v>390</v>
      </c>
    </row>
    <row r="398" spans="3:7">
      <c r="C398" s="911" t="s">
        <v>558</v>
      </c>
      <c r="D398" s="912" t="s">
        <v>132</v>
      </c>
      <c r="E398" s="912">
        <v>73</v>
      </c>
      <c r="F398" s="912">
        <v>1</v>
      </c>
      <c r="G398" s="912" t="s">
        <v>410</v>
      </c>
    </row>
    <row r="399" spans="3:7">
      <c r="C399" s="911" t="s">
        <v>558</v>
      </c>
      <c r="D399" s="912" t="s">
        <v>132</v>
      </c>
      <c r="E399" s="912">
        <v>671</v>
      </c>
      <c r="F399" s="912">
        <v>1999</v>
      </c>
      <c r="G399" s="912" t="s">
        <v>390</v>
      </c>
    </row>
    <row r="400" spans="3:7">
      <c r="C400" s="911" t="s">
        <v>557</v>
      </c>
      <c r="D400" s="912" t="s">
        <v>132</v>
      </c>
      <c r="E400" s="912">
        <v>188</v>
      </c>
      <c r="F400" s="912">
        <v>797</v>
      </c>
      <c r="G400" s="912" t="s">
        <v>390</v>
      </c>
    </row>
    <row r="401" spans="3:7">
      <c r="C401" s="911" t="s">
        <v>557</v>
      </c>
      <c r="D401" s="912" t="s">
        <v>132</v>
      </c>
      <c r="E401" s="912">
        <v>249</v>
      </c>
      <c r="F401" s="912">
        <v>3423</v>
      </c>
      <c r="G401" s="912" t="s">
        <v>390</v>
      </c>
    </row>
    <row r="402" spans="3:7">
      <c r="C402" s="911" t="s">
        <v>558</v>
      </c>
      <c r="D402" s="912" t="s">
        <v>132</v>
      </c>
      <c r="E402" s="912">
        <v>78</v>
      </c>
      <c r="F402" s="912">
        <v>5</v>
      </c>
      <c r="G402" s="912" t="s">
        <v>410</v>
      </c>
    </row>
    <row r="403" spans="3:7">
      <c r="C403" s="911" t="s">
        <v>557</v>
      </c>
      <c r="D403" s="912" t="s">
        <v>132</v>
      </c>
      <c r="E403" s="912">
        <v>141</v>
      </c>
      <c r="F403" s="912">
        <v>1</v>
      </c>
      <c r="G403" s="912" t="s">
        <v>410</v>
      </c>
    </row>
    <row r="404" spans="3:7">
      <c r="C404" s="911" t="s">
        <v>557</v>
      </c>
      <c r="D404" s="912" t="s">
        <v>132</v>
      </c>
      <c r="E404" s="912">
        <v>737</v>
      </c>
      <c r="F404" s="912">
        <v>1808</v>
      </c>
      <c r="G404" s="912" t="s">
        <v>390</v>
      </c>
    </row>
    <row r="405" spans="3:7">
      <c r="C405" s="911" t="s">
        <v>557</v>
      </c>
      <c r="D405" s="912" t="s">
        <v>132</v>
      </c>
      <c r="E405" s="912">
        <v>194</v>
      </c>
      <c r="F405" s="912">
        <v>3723</v>
      </c>
      <c r="G405" s="912" t="s">
        <v>390</v>
      </c>
    </row>
    <row r="406" spans="3:7">
      <c r="C406" s="911" t="s">
        <v>557</v>
      </c>
      <c r="D406" s="912" t="s">
        <v>132</v>
      </c>
      <c r="E406" s="912">
        <v>311</v>
      </c>
      <c r="F406" s="912">
        <v>2488</v>
      </c>
      <c r="G406" s="912" t="s">
        <v>390</v>
      </c>
    </row>
    <row r="407" spans="3:7">
      <c r="C407" s="911" t="s">
        <v>557</v>
      </c>
      <c r="D407" s="912" t="s">
        <v>132</v>
      </c>
      <c r="E407" s="912">
        <v>153</v>
      </c>
      <c r="F407" s="912">
        <v>2302</v>
      </c>
      <c r="G407" s="912" t="s">
        <v>390</v>
      </c>
    </row>
    <row r="408" spans="3:7">
      <c r="C408" s="911" t="s">
        <v>558</v>
      </c>
      <c r="D408" s="912" t="s">
        <v>132</v>
      </c>
      <c r="E408" s="912">
        <v>141</v>
      </c>
      <c r="F408" s="912">
        <v>1</v>
      </c>
      <c r="G408" s="912" t="s">
        <v>410</v>
      </c>
    </row>
    <row r="409" spans="3:7">
      <c r="C409" s="911" t="s">
        <v>558</v>
      </c>
      <c r="D409" s="912" t="s">
        <v>132</v>
      </c>
      <c r="E409" s="912">
        <v>328</v>
      </c>
      <c r="F409" s="912">
        <v>516</v>
      </c>
      <c r="G409" s="912" t="s">
        <v>390</v>
      </c>
    </row>
    <row r="410" spans="3:7">
      <c r="C410" s="911" t="s">
        <v>557</v>
      </c>
      <c r="D410" s="912" t="s">
        <v>132</v>
      </c>
      <c r="E410" s="912">
        <v>70</v>
      </c>
      <c r="F410" s="912">
        <v>209</v>
      </c>
      <c r="G410" s="912" t="s">
        <v>390</v>
      </c>
    </row>
    <row r="411" spans="3:7">
      <c r="C411" s="911" t="s">
        <v>557</v>
      </c>
      <c r="D411" s="912" t="s">
        <v>132</v>
      </c>
      <c r="E411" s="912">
        <v>98</v>
      </c>
      <c r="F411" s="912">
        <v>30</v>
      </c>
      <c r="G411" s="912" t="s">
        <v>410</v>
      </c>
    </row>
    <row r="412" spans="3:7">
      <c r="C412" s="911" t="s">
        <v>557</v>
      </c>
      <c r="D412" s="912" t="s">
        <v>132</v>
      </c>
      <c r="E412" s="912">
        <v>148</v>
      </c>
      <c r="F412" s="912">
        <v>4</v>
      </c>
      <c r="G412" s="912" t="s">
        <v>410</v>
      </c>
    </row>
    <row r="413" spans="3:7">
      <c r="C413" s="911" t="s">
        <v>557</v>
      </c>
      <c r="D413" s="912" t="s">
        <v>132</v>
      </c>
      <c r="E413" s="912">
        <v>139</v>
      </c>
      <c r="F413" s="912">
        <v>2386</v>
      </c>
      <c r="G413" s="912" t="s">
        <v>390</v>
      </c>
    </row>
    <row r="414" spans="3:7">
      <c r="C414" s="911" t="s">
        <v>557</v>
      </c>
      <c r="D414" s="912" t="s">
        <v>132</v>
      </c>
      <c r="E414" s="912">
        <v>304</v>
      </c>
      <c r="F414" s="912">
        <v>120</v>
      </c>
      <c r="G414" s="912" t="s">
        <v>390</v>
      </c>
    </row>
    <row r="415" spans="3:7">
      <c r="C415" s="911" t="s">
        <v>557</v>
      </c>
      <c r="D415" s="912" t="s">
        <v>132</v>
      </c>
      <c r="E415" s="912">
        <v>77</v>
      </c>
      <c r="F415" s="912">
        <v>3602</v>
      </c>
      <c r="G415" s="912" t="s">
        <v>390</v>
      </c>
    </row>
    <row r="416" spans="3:7">
      <c r="C416" s="911" t="s">
        <v>558</v>
      </c>
      <c r="D416" s="912" t="s">
        <v>132</v>
      </c>
      <c r="E416" s="912">
        <v>275</v>
      </c>
      <c r="F416" s="912">
        <v>39</v>
      </c>
      <c r="G416" s="912" t="s">
        <v>410</v>
      </c>
    </row>
    <row r="417" spans="3:7">
      <c r="C417" s="911" t="s">
        <v>557</v>
      </c>
      <c r="D417" s="912" t="s">
        <v>132</v>
      </c>
      <c r="E417" s="912">
        <v>89</v>
      </c>
      <c r="F417" s="912">
        <v>1098</v>
      </c>
      <c r="G417" s="912" t="s">
        <v>390</v>
      </c>
    </row>
    <row r="418" spans="3:7">
      <c r="C418" s="911" t="s">
        <v>557</v>
      </c>
      <c r="D418" s="912" t="s">
        <v>132</v>
      </c>
      <c r="E418" s="912">
        <v>698</v>
      </c>
      <c r="F418" s="912">
        <v>2799</v>
      </c>
      <c r="G418" s="912" t="s">
        <v>390</v>
      </c>
    </row>
    <row r="419" spans="3:7">
      <c r="C419" s="911" t="s">
        <v>558</v>
      </c>
      <c r="D419" s="912" t="s">
        <v>132</v>
      </c>
      <c r="E419" s="912">
        <v>691</v>
      </c>
      <c r="F419" s="912">
        <v>2900</v>
      </c>
      <c r="G419" s="912" t="s">
        <v>390</v>
      </c>
    </row>
    <row r="420" spans="3:7">
      <c r="C420" s="911" t="s">
        <v>557</v>
      </c>
      <c r="D420" s="912" t="s">
        <v>132</v>
      </c>
      <c r="E420" s="912">
        <v>650</v>
      </c>
      <c r="F420" s="912">
        <v>30</v>
      </c>
      <c r="G420" s="912" t="s">
        <v>410</v>
      </c>
    </row>
    <row r="421" spans="3:7">
      <c r="C421" s="911" t="s">
        <v>558</v>
      </c>
      <c r="D421" s="912" t="s">
        <v>132</v>
      </c>
      <c r="E421" s="912">
        <v>84</v>
      </c>
      <c r="F421" s="912">
        <v>2447</v>
      </c>
      <c r="G421" s="912" t="s">
        <v>390</v>
      </c>
    </row>
    <row r="422" spans="3:7">
      <c r="C422" s="911" t="s">
        <v>557</v>
      </c>
      <c r="D422" s="912" t="s">
        <v>132</v>
      </c>
      <c r="E422" s="912">
        <v>621</v>
      </c>
      <c r="F422" s="912">
        <v>2470</v>
      </c>
      <c r="G422" s="912" t="s">
        <v>390</v>
      </c>
    </row>
    <row r="423" spans="3:7">
      <c r="C423" s="911" t="s">
        <v>558</v>
      </c>
      <c r="D423" s="912" t="s">
        <v>132</v>
      </c>
      <c r="E423" s="912">
        <v>239</v>
      </c>
      <c r="F423" s="912">
        <v>5</v>
      </c>
      <c r="G423" s="912" t="s">
        <v>410</v>
      </c>
    </row>
    <row r="424" spans="3:7">
      <c r="C424" s="911" t="s">
        <v>557</v>
      </c>
      <c r="D424" s="912" t="s">
        <v>132</v>
      </c>
      <c r="E424" s="912">
        <v>667</v>
      </c>
      <c r="F424" s="912">
        <v>2</v>
      </c>
      <c r="G424" s="912" t="s">
        <v>410</v>
      </c>
    </row>
    <row r="425" spans="3:7">
      <c r="C425" s="911" t="s">
        <v>558</v>
      </c>
      <c r="D425" s="912" t="s">
        <v>132</v>
      </c>
      <c r="E425" s="912">
        <v>324</v>
      </c>
      <c r="F425" s="912">
        <v>3107</v>
      </c>
      <c r="G425" s="912" t="s">
        <v>390</v>
      </c>
    </row>
    <row r="426" spans="3:7">
      <c r="C426" s="911" t="s">
        <v>557</v>
      </c>
      <c r="D426" s="912" t="s">
        <v>132</v>
      </c>
      <c r="E426" s="912">
        <v>134</v>
      </c>
      <c r="F426" s="912">
        <v>1</v>
      </c>
      <c r="G426" s="912" t="s">
        <v>410</v>
      </c>
    </row>
    <row r="427" spans="3:7">
      <c r="C427" s="911" t="s">
        <v>558</v>
      </c>
      <c r="D427" s="912" t="s">
        <v>132</v>
      </c>
      <c r="E427" s="912">
        <v>727</v>
      </c>
      <c r="F427" s="912">
        <v>3492</v>
      </c>
      <c r="G427" s="912" t="s">
        <v>390</v>
      </c>
    </row>
    <row r="428" spans="3:7">
      <c r="C428" s="911" t="s">
        <v>558</v>
      </c>
      <c r="D428" s="912" t="s">
        <v>132</v>
      </c>
      <c r="E428" s="912">
        <v>265</v>
      </c>
      <c r="F428" s="912">
        <v>17</v>
      </c>
      <c r="G428" s="912" t="s">
        <v>410</v>
      </c>
    </row>
    <row r="429" spans="3:7">
      <c r="C429" s="911" t="s">
        <v>558</v>
      </c>
      <c r="D429" s="912" t="s">
        <v>132</v>
      </c>
      <c r="E429" s="912">
        <v>271</v>
      </c>
      <c r="F429" s="912">
        <v>2964</v>
      </c>
      <c r="G429" s="912" t="s">
        <v>390</v>
      </c>
    </row>
    <row r="430" spans="3:7">
      <c r="C430" s="911" t="s">
        <v>557</v>
      </c>
      <c r="D430" s="912" t="s">
        <v>132</v>
      </c>
      <c r="E430" s="912">
        <v>173</v>
      </c>
      <c r="F430" s="912">
        <v>7</v>
      </c>
      <c r="G430" s="912" t="s">
        <v>410</v>
      </c>
    </row>
    <row r="431" spans="3:7">
      <c r="C431" s="911" t="s">
        <v>557</v>
      </c>
      <c r="D431" s="912" t="s">
        <v>132</v>
      </c>
      <c r="E431" s="912">
        <v>315</v>
      </c>
      <c r="F431" s="912">
        <v>1905</v>
      </c>
      <c r="G431" s="912" t="s">
        <v>390</v>
      </c>
    </row>
    <row r="432" spans="3:7">
      <c r="C432" s="911" t="s">
        <v>558</v>
      </c>
      <c r="D432" s="912" t="s">
        <v>132</v>
      </c>
      <c r="E432" s="912">
        <v>748</v>
      </c>
      <c r="F432" s="912">
        <v>686</v>
      </c>
      <c r="G432" s="912" t="s">
        <v>390</v>
      </c>
    </row>
    <row r="433" spans="3:7">
      <c r="C433" s="911" t="s">
        <v>558</v>
      </c>
      <c r="D433" s="912" t="s">
        <v>132</v>
      </c>
      <c r="E433" s="912">
        <v>801</v>
      </c>
      <c r="F433" s="912">
        <v>383</v>
      </c>
      <c r="G433" s="912" t="s">
        <v>390</v>
      </c>
    </row>
    <row r="434" spans="3:7">
      <c r="C434" s="911" t="s">
        <v>557</v>
      </c>
      <c r="D434" s="912" t="s">
        <v>132</v>
      </c>
      <c r="E434" s="912">
        <v>169</v>
      </c>
      <c r="F434" s="912">
        <v>3230</v>
      </c>
      <c r="G434" s="912" t="s">
        <v>390</v>
      </c>
    </row>
    <row r="435" spans="3:7">
      <c r="C435" s="911" t="s">
        <v>558</v>
      </c>
      <c r="D435" s="912" t="s">
        <v>132</v>
      </c>
      <c r="E435" s="912">
        <v>650</v>
      </c>
      <c r="F435" s="912">
        <v>18</v>
      </c>
      <c r="G435" s="912" t="s">
        <v>410</v>
      </c>
    </row>
    <row r="436" spans="3:7">
      <c r="C436" s="911" t="s">
        <v>557</v>
      </c>
      <c r="D436" s="912" t="s">
        <v>132</v>
      </c>
      <c r="E436" s="912">
        <v>200</v>
      </c>
      <c r="F436" s="912">
        <v>1</v>
      </c>
      <c r="G436" s="912" t="s">
        <v>410</v>
      </c>
    </row>
    <row r="437" spans="3:7">
      <c r="C437" s="911" t="s">
        <v>557</v>
      </c>
      <c r="D437" s="912" t="s">
        <v>132</v>
      </c>
      <c r="E437" s="912">
        <v>669</v>
      </c>
      <c r="F437" s="912">
        <v>2910</v>
      </c>
      <c r="G437" s="912" t="s">
        <v>390</v>
      </c>
    </row>
    <row r="438" spans="3:7">
      <c r="C438" s="911" t="s">
        <v>558</v>
      </c>
      <c r="D438" s="912" t="s">
        <v>132</v>
      </c>
      <c r="E438" s="912">
        <v>292</v>
      </c>
      <c r="F438" s="912">
        <v>4</v>
      </c>
      <c r="G438" s="912" t="s">
        <v>410</v>
      </c>
    </row>
    <row r="439" spans="3:7">
      <c r="C439" s="911" t="s">
        <v>558</v>
      </c>
      <c r="D439" s="912" t="s">
        <v>132</v>
      </c>
      <c r="E439" s="912">
        <v>654</v>
      </c>
      <c r="F439" s="912">
        <v>871</v>
      </c>
      <c r="G439" s="912" t="s">
        <v>390</v>
      </c>
    </row>
    <row r="440" spans="3:7">
      <c r="C440" s="911" t="s">
        <v>557</v>
      </c>
      <c r="D440" s="912" t="s">
        <v>132</v>
      </c>
      <c r="E440" s="912">
        <v>52</v>
      </c>
      <c r="F440" s="912">
        <v>8</v>
      </c>
      <c r="G440" s="912" t="s">
        <v>410</v>
      </c>
    </row>
    <row r="441" spans="3:7">
      <c r="C441" s="911" t="s">
        <v>558</v>
      </c>
      <c r="D441" s="912" t="s">
        <v>132</v>
      </c>
      <c r="E441" s="912">
        <v>817</v>
      </c>
      <c r="F441" s="912">
        <v>2397</v>
      </c>
      <c r="G441" s="912" t="s">
        <v>390</v>
      </c>
    </row>
    <row r="442" spans="3:7">
      <c r="C442" s="911" t="s">
        <v>558</v>
      </c>
      <c r="D442" s="912" t="s">
        <v>132</v>
      </c>
      <c r="E442" s="912">
        <v>706</v>
      </c>
      <c r="F442" s="912">
        <v>1180</v>
      </c>
      <c r="G442" s="912" t="s">
        <v>390</v>
      </c>
    </row>
    <row r="443" spans="3:7">
      <c r="C443" s="911" t="s">
        <v>558</v>
      </c>
      <c r="D443" s="912" t="s">
        <v>132</v>
      </c>
      <c r="E443" s="912">
        <v>672</v>
      </c>
      <c r="F443" s="912">
        <v>2345</v>
      </c>
      <c r="G443" s="912" t="s">
        <v>390</v>
      </c>
    </row>
    <row r="444" spans="3:7">
      <c r="C444" s="911" t="s">
        <v>558</v>
      </c>
      <c r="D444" s="912" t="s">
        <v>132</v>
      </c>
      <c r="E444" s="912">
        <v>92</v>
      </c>
      <c r="F444" s="912">
        <v>7</v>
      </c>
      <c r="G444" s="912" t="s">
        <v>410</v>
      </c>
    </row>
    <row r="445" spans="3:7">
      <c r="C445" s="911" t="s">
        <v>558</v>
      </c>
      <c r="D445" s="912" t="s">
        <v>132</v>
      </c>
      <c r="E445" s="912">
        <v>71</v>
      </c>
      <c r="F445" s="912">
        <v>1</v>
      </c>
      <c r="G445" s="912" t="s">
        <v>410</v>
      </c>
    </row>
  </sheetData>
  <pageMargins left="0.7" right="0.7" top="0.75" bottom="0.75" header="0.3" footer="0.3"/>
  <pageSetup paperSize="9" orientation="portrait" verticalDpi="0" r:id="rId1"/>
  <headerFooter>
    <oddFooter>&amp;R&amp;1#&amp;"Calibri"&amp;10&amp;K000000C2 - Confidential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I33"/>
  <sheetViews>
    <sheetView workbookViewId="0">
      <selection activeCell="K2" sqref="K2"/>
    </sheetView>
  </sheetViews>
  <sheetFormatPr baseColWidth="10" defaultColWidth="11.44140625" defaultRowHeight="14.4"/>
  <sheetData>
    <row r="1" spans="1:9" ht="21" thickTop="1">
      <c r="A1" s="275" t="s">
        <v>270</v>
      </c>
      <c r="B1" s="275" t="s">
        <v>399</v>
      </c>
      <c r="C1" s="275" t="s">
        <v>400</v>
      </c>
      <c r="D1" s="275" t="s">
        <v>401</v>
      </c>
      <c r="G1" s="279" t="s">
        <v>498</v>
      </c>
      <c r="H1" s="279" t="s">
        <v>494</v>
      </c>
      <c r="I1" s="279" t="s">
        <v>499</v>
      </c>
    </row>
    <row r="2" spans="1:9">
      <c r="A2" s="275" t="s">
        <v>408</v>
      </c>
      <c r="B2" s="275" t="s">
        <v>402</v>
      </c>
      <c r="C2" s="275" t="s">
        <v>403</v>
      </c>
      <c r="D2" s="275">
        <v>6.8244999999999996</v>
      </c>
      <c r="G2" s="282"/>
      <c r="H2" s="282"/>
      <c r="I2" s="282"/>
    </row>
    <row r="3" spans="1:9">
      <c r="A3" s="275" t="s">
        <v>409</v>
      </c>
      <c r="B3" s="275" t="s">
        <v>402</v>
      </c>
      <c r="C3" s="275" t="s">
        <v>403</v>
      </c>
      <c r="D3" s="275">
        <v>6.7346000000000004</v>
      </c>
      <c r="G3" s="277">
        <v>655.95699999999999</v>
      </c>
      <c r="H3" s="277">
        <v>655.95699999999999</v>
      </c>
      <c r="I3" s="277">
        <v>655.95699999999999</v>
      </c>
    </row>
    <row r="4" spans="1:9">
      <c r="A4" s="275" t="s">
        <v>408</v>
      </c>
      <c r="B4" s="275" t="s">
        <v>404</v>
      </c>
      <c r="C4" s="275" t="s">
        <v>403</v>
      </c>
      <c r="D4" s="275">
        <v>11696.6078</v>
      </c>
      <c r="G4" s="278">
        <v>7.8986000000000001</v>
      </c>
      <c r="H4" s="278">
        <v>9.1456999999999997</v>
      </c>
      <c r="I4" s="278">
        <v>11.9657</v>
      </c>
    </row>
    <row r="5" spans="1:9">
      <c r="A5" s="275" t="s">
        <v>409</v>
      </c>
      <c r="B5" s="275" t="s">
        <v>404</v>
      </c>
      <c r="C5" s="275" t="s">
        <v>403</v>
      </c>
      <c r="D5" s="275">
        <v>10518.2029</v>
      </c>
      <c r="G5" s="277">
        <v>655.95699999999999</v>
      </c>
      <c r="H5" s="277">
        <v>655.95699999999999</v>
      </c>
      <c r="I5" s="277">
        <v>655.95699999999999</v>
      </c>
    </row>
    <row r="6" spans="1:9">
      <c r="A6" s="275" t="s">
        <v>408</v>
      </c>
      <c r="B6" s="275" t="s">
        <v>405</v>
      </c>
      <c r="C6" s="275" t="s">
        <v>403</v>
      </c>
      <c r="D6" s="275">
        <v>4502.59</v>
      </c>
      <c r="G6" s="277">
        <v>655.95699999999999</v>
      </c>
      <c r="H6" s="277">
        <v>655.95699999999999</v>
      </c>
      <c r="I6" s="277">
        <v>655.95699999999999</v>
      </c>
    </row>
    <row r="7" spans="1:9">
      <c r="A7" s="275" t="s">
        <v>409</v>
      </c>
      <c r="B7" s="275" t="s">
        <v>405</v>
      </c>
      <c r="C7" s="275" t="s">
        <v>403</v>
      </c>
      <c r="D7" s="275">
        <v>4492.8599999999997</v>
      </c>
      <c r="G7" s="277">
        <v>9792.3196000000007</v>
      </c>
      <c r="H7" s="277">
        <v>9085.2922999999992</v>
      </c>
      <c r="I7" s="277">
        <v>9257.0475999999999</v>
      </c>
    </row>
    <row r="8" spans="1:9">
      <c r="A8" s="275" t="s">
        <v>408</v>
      </c>
      <c r="B8" s="275" t="s">
        <v>406</v>
      </c>
      <c r="C8" s="275" t="s">
        <v>403</v>
      </c>
      <c r="D8" s="275">
        <v>43.98</v>
      </c>
      <c r="G8" s="277">
        <v>655.95699999999999</v>
      </c>
      <c r="H8" s="277">
        <v>655.95699999999999</v>
      </c>
      <c r="I8" s="277">
        <v>655.95699999999999</v>
      </c>
    </row>
    <row r="9" spans="1:9">
      <c r="A9" s="275" t="s">
        <v>409</v>
      </c>
      <c r="B9" s="275" t="s">
        <v>406</v>
      </c>
      <c r="C9" s="275" t="s">
        <v>403</v>
      </c>
      <c r="D9" s="275">
        <v>40.82</v>
      </c>
      <c r="G9" s="277">
        <v>40.39</v>
      </c>
      <c r="H9" s="277">
        <v>38.979999999999997</v>
      </c>
      <c r="I9" s="277">
        <v>37.17</v>
      </c>
    </row>
    <row r="10" spans="1:9">
      <c r="G10" s="277"/>
      <c r="H10" s="277"/>
      <c r="I10" s="277"/>
    </row>
    <row r="11" spans="1:9">
      <c r="G11" s="277">
        <v>4428.91</v>
      </c>
      <c r="H11" s="277">
        <v>4728.55</v>
      </c>
      <c r="I11" s="277">
        <v>4697.45</v>
      </c>
    </row>
    <row r="12" spans="1:9">
      <c r="A12" t="s">
        <v>270</v>
      </c>
      <c r="B12" t="s">
        <v>399</v>
      </c>
      <c r="C12" t="s">
        <v>400</v>
      </c>
      <c r="D12" t="s">
        <v>401</v>
      </c>
      <c r="G12" s="277">
        <v>655.95699999999999</v>
      </c>
      <c r="H12" s="277">
        <v>655.95699999999999</v>
      </c>
      <c r="I12" s="277">
        <v>655.95699999999999</v>
      </c>
    </row>
    <row r="13" spans="1:9">
      <c r="A13" t="s">
        <v>387</v>
      </c>
      <c r="B13" t="s">
        <v>402</v>
      </c>
      <c r="C13" t="s">
        <v>403</v>
      </c>
      <c r="D13">
        <v>7.0643000000000002</v>
      </c>
      <c r="G13" s="277">
        <v>655.95699999999999</v>
      </c>
      <c r="H13" s="277">
        <v>655.95699999999999</v>
      </c>
      <c r="I13" s="277">
        <v>655.95699999999999</v>
      </c>
    </row>
    <row r="14" spans="1:9">
      <c r="A14" t="s">
        <v>413</v>
      </c>
      <c r="B14" t="s">
        <v>402</v>
      </c>
      <c r="C14" t="s">
        <v>403</v>
      </c>
      <c r="D14">
        <v>6.8281000000000001</v>
      </c>
      <c r="G14" s="277">
        <v>655.95699999999999</v>
      </c>
      <c r="H14" s="277">
        <v>655.95699999999999</v>
      </c>
      <c r="I14" s="277">
        <v>655.95699999999999</v>
      </c>
    </row>
    <row r="15" spans="1:9">
      <c r="A15" t="s">
        <v>387</v>
      </c>
      <c r="B15" t="s">
        <v>404</v>
      </c>
      <c r="C15" t="s">
        <v>403</v>
      </c>
      <c r="D15">
        <v>12153.841399999999</v>
      </c>
    </row>
    <row r="16" spans="1:9">
      <c r="A16" t="s">
        <v>413</v>
      </c>
      <c r="B16" t="s">
        <v>404</v>
      </c>
      <c r="C16" t="s">
        <v>403</v>
      </c>
      <c r="D16">
        <v>10308.0867</v>
      </c>
    </row>
    <row r="17" spans="1:4">
      <c r="A17" t="s">
        <v>387</v>
      </c>
      <c r="B17" t="s">
        <v>405</v>
      </c>
      <c r="C17" t="s">
        <v>403</v>
      </c>
      <c r="D17">
        <v>4686.9799999999996</v>
      </c>
    </row>
    <row r="18" spans="1:4">
      <c r="A18" t="s">
        <v>413</v>
      </c>
      <c r="B18" t="s">
        <v>405</v>
      </c>
      <c r="C18" t="s">
        <v>403</v>
      </c>
      <c r="D18">
        <v>4470.1000000000004</v>
      </c>
    </row>
    <row r="19" spans="1:4">
      <c r="A19" t="s">
        <v>387</v>
      </c>
      <c r="B19" t="s">
        <v>406</v>
      </c>
      <c r="C19" t="s">
        <v>403</v>
      </c>
      <c r="D19">
        <v>44.59</v>
      </c>
    </row>
    <row r="20" spans="1:4">
      <c r="A20" t="s">
        <v>413</v>
      </c>
      <c r="B20" t="s">
        <v>406</v>
      </c>
      <c r="C20" t="s">
        <v>403</v>
      </c>
      <c r="D20">
        <v>40.99</v>
      </c>
    </row>
    <row r="25" spans="1:4">
      <c r="A25" t="s">
        <v>270</v>
      </c>
      <c r="B25" t="s">
        <v>399</v>
      </c>
      <c r="C25" t="s">
        <v>400</v>
      </c>
      <c r="D25" t="s">
        <v>401</v>
      </c>
    </row>
    <row r="26" spans="1:4">
      <c r="A26" t="s">
        <v>430</v>
      </c>
      <c r="B26" t="s">
        <v>402</v>
      </c>
      <c r="C26" t="s">
        <v>403</v>
      </c>
      <c r="D26">
        <v>6.9545000000000003</v>
      </c>
    </row>
    <row r="27" spans="1:4">
      <c r="A27" t="s">
        <v>431</v>
      </c>
      <c r="B27" t="s">
        <v>402</v>
      </c>
      <c r="C27" t="s">
        <v>403</v>
      </c>
      <c r="D27">
        <v>7.41</v>
      </c>
    </row>
    <row r="28" spans="1:4">
      <c r="A28" t="s">
        <v>430</v>
      </c>
      <c r="B28" t="s">
        <v>404</v>
      </c>
      <c r="C28" t="s">
        <v>403</v>
      </c>
      <c r="D28">
        <v>12352.1055</v>
      </c>
    </row>
    <row r="29" spans="1:4">
      <c r="A29" t="s">
        <v>431</v>
      </c>
      <c r="B29" t="s">
        <v>404</v>
      </c>
      <c r="C29" t="s">
        <v>403</v>
      </c>
      <c r="D29">
        <v>9968.6959999999999</v>
      </c>
    </row>
    <row r="30" spans="1:4">
      <c r="A30" t="s">
        <v>430</v>
      </c>
      <c r="B30" t="s">
        <v>405</v>
      </c>
      <c r="C30" t="s">
        <v>403</v>
      </c>
      <c r="D30">
        <v>4539.29</v>
      </c>
    </row>
    <row r="31" spans="1:4">
      <c r="A31" t="s">
        <v>431</v>
      </c>
      <c r="B31" t="s">
        <v>405</v>
      </c>
      <c r="C31" t="s">
        <v>403</v>
      </c>
      <c r="D31">
        <v>4446.2299999999996</v>
      </c>
    </row>
    <row r="32" spans="1:4">
      <c r="A32" t="s">
        <v>430</v>
      </c>
      <c r="B32" t="s">
        <v>406</v>
      </c>
      <c r="C32" t="s">
        <v>403</v>
      </c>
      <c r="D32">
        <v>43.71</v>
      </c>
    </row>
    <row r="33" spans="1:4">
      <c r="A33" t="s">
        <v>431</v>
      </c>
      <c r="B33" t="s">
        <v>406</v>
      </c>
      <c r="C33" t="s">
        <v>403</v>
      </c>
      <c r="D33">
        <v>40.58</v>
      </c>
    </row>
  </sheetData>
  <pageMargins left="0.7" right="0.7" top="0.75" bottom="0.75" header="0.3" footer="0.3"/>
  <pageSetup paperSize="9" orientation="portrait" verticalDpi="0" r:id="rId1"/>
  <headerFooter>
    <oddFooter>&amp;R&amp;1#&amp;"Calibri"&amp;10&amp;K000000C2 - Confidential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euil1">
    <tabColor rgb="FFFF0000"/>
  </sheetPr>
  <dimension ref="B2:Z337"/>
  <sheetViews>
    <sheetView showGridLines="0" topLeftCell="A61" zoomScaleNormal="100" workbookViewId="0">
      <selection activeCell="B80" sqref="B80:M80"/>
    </sheetView>
  </sheetViews>
  <sheetFormatPr baseColWidth="10" defaultColWidth="11.44140625" defaultRowHeight="14.4"/>
  <cols>
    <col min="1" max="1" width="1.6640625" customWidth="1"/>
    <col min="14" max="14" width="6.33203125" customWidth="1"/>
  </cols>
  <sheetData>
    <row r="2" spans="2:26" s="1" customFormat="1" ht="43.95" customHeight="1">
      <c r="E2" s="999" t="s">
        <v>245</v>
      </c>
      <c r="F2" s="999"/>
      <c r="G2" s="999"/>
      <c r="H2" s="999"/>
      <c r="I2" s="999"/>
      <c r="J2" s="999"/>
      <c r="K2" s="999"/>
      <c r="L2" s="999"/>
      <c r="M2" s="999"/>
      <c r="N2" s="999"/>
      <c r="O2" s="999"/>
      <c r="P2" s="999"/>
      <c r="Q2" s="999"/>
      <c r="R2" s="999"/>
      <c r="S2" s="999"/>
      <c r="T2" s="999"/>
      <c r="U2" s="999"/>
      <c r="V2" s="999"/>
      <c r="W2" s="999"/>
    </row>
    <row r="3" spans="2:26" s="1" customFormat="1">
      <c r="N3"/>
    </row>
    <row r="4" spans="2:26" s="1" customFormat="1" ht="18">
      <c r="B4" s="1000" t="s">
        <v>147</v>
      </c>
      <c r="C4" s="1000"/>
      <c r="D4" s="1000"/>
      <c r="E4" s="1000"/>
      <c r="F4" s="1000"/>
      <c r="G4" s="1000"/>
      <c r="H4" s="1000"/>
      <c r="I4" s="1000"/>
      <c r="J4" s="1000"/>
      <c r="K4" s="1000"/>
      <c r="L4" s="1000"/>
      <c r="M4" s="1000"/>
      <c r="O4" s="1000" t="s">
        <v>156</v>
      </c>
      <c r="P4" s="1000"/>
      <c r="Q4" s="1000"/>
      <c r="R4" s="1000"/>
      <c r="S4" s="1000"/>
      <c r="T4" s="1000"/>
      <c r="U4" s="1000"/>
      <c r="V4" s="1000"/>
      <c r="W4" s="1000"/>
      <c r="X4" s="1000"/>
      <c r="Y4" s="1000"/>
      <c r="Z4" s="1000"/>
    </row>
    <row r="5" spans="2:26" s="1" customFormat="1" ht="4.95" customHeight="1"/>
    <row r="6" spans="2:26" s="1" customFormat="1" ht="18">
      <c r="B6" s="1001" t="s">
        <v>246</v>
      </c>
      <c r="C6" s="1001"/>
      <c r="D6" s="1001"/>
      <c r="E6" s="1001"/>
      <c r="F6" s="1001"/>
      <c r="G6" s="1001"/>
      <c r="H6" s="1001"/>
      <c r="I6" s="1001"/>
      <c r="J6" s="1001"/>
      <c r="K6" s="1001"/>
      <c r="L6" s="1001"/>
      <c r="M6" s="1001"/>
      <c r="N6"/>
      <c r="O6" s="1001" t="s">
        <v>247</v>
      </c>
      <c r="P6" s="1001"/>
      <c r="Q6" s="1001"/>
      <c r="R6" s="1001"/>
      <c r="S6" s="1001"/>
      <c r="T6" s="1001"/>
      <c r="U6" s="1001"/>
      <c r="V6" s="1001"/>
      <c r="W6" s="1001"/>
      <c r="X6" s="1001"/>
      <c r="Y6" s="1001"/>
      <c r="Z6" s="1001"/>
    </row>
    <row r="7" spans="2:26" ht="3" customHeight="1" thickBot="1"/>
    <row r="8" spans="2:26" ht="15" thickTop="1">
      <c r="B8" s="52"/>
      <c r="C8" s="53"/>
      <c r="D8" s="53"/>
      <c r="E8" s="53"/>
      <c r="F8" s="53"/>
      <c r="G8" s="53"/>
      <c r="H8" s="53"/>
      <c r="I8" s="53"/>
      <c r="J8" s="53"/>
      <c r="K8" s="53"/>
      <c r="L8" s="53"/>
      <c r="M8" s="54"/>
      <c r="O8" s="52"/>
      <c r="P8" s="53"/>
      <c r="Q8" s="53"/>
      <c r="R8" s="53"/>
      <c r="S8" s="53"/>
      <c r="T8" s="53"/>
      <c r="U8" s="53"/>
      <c r="V8" s="53"/>
      <c r="W8" s="53"/>
      <c r="X8" s="53"/>
      <c r="Y8" s="53"/>
      <c r="Z8" s="54"/>
    </row>
    <row r="9" spans="2:26">
      <c r="B9" s="55"/>
      <c r="C9" s="56"/>
      <c r="D9" s="56"/>
      <c r="E9" s="56"/>
      <c r="F9" s="56"/>
      <c r="G9" s="56"/>
      <c r="H9" s="56"/>
      <c r="I9" s="56"/>
      <c r="J9" s="56"/>
      <c r="K9" s="56"/>
      <c r="L9" s="56"/>
      <c r="M9" s="57"/>
      <c r="O9" s="55"/>
      <c r="P9" s="56"/>
      <c r="Q9" s="56"/>
      <c r="R9" s="56"/>
      <c r="S9" s="56"/>
      <c r="T9" s="56"/>
      <c r="U9" s="56"/>
      <c r="V9" s="56"/>
      <c r="W9" s="56"/>
      <c r="X9" s="56"/>
      <c r="Y9" s="56"/>
      <c r="Z9" s="57"/>
    </row>
    <row r="10" spans="2:26">
      <c r="B10" s="55"/>
      <c r="C10" s="56"/>
      <c r="D10" s="56"/>
      <c r="E10" s="56"/>
      <c r="F10" s="56"/>
      <c r="G10" s="56"/>
      <c r="H10" s="56"/>
      <c r="I10" s="56"/>
      <c r="J10" s="56"/>
      <c r="K10" s="56"/>
      <c r="L10" s="56"/>
      <c r="M10" s="57"/>
      <c r="O10" s="55"/>
      <c r="P10" s="56"/>
      <c r="Q10" s="56"/>
      <c r="R10" s="56"/>
      <c r="S10" s="56"/>
      <c r="T10" s="56"/>
      <c r="U10" s="56"/>
      <c r="V10" s="56"/>
      <c r="W10" s="56"/>
      <c r="X10" s="56"/>
      <c r="Y10" s="56"/>
      <c r="Z10" s="57"/>
    </row>
    <row r="11" spans="2:26">
      <c r="B11" s="55"/>
      <c r="C11" s="56"/>
      <c r="D11" s="56"/>
      <c r="E11" s="56"/>
      <c r="F11" s="56"/>
      <c r="G11" s="56"/>
      <c r="H11" s="56"/>
      <c r="I11" s="56"/>
      <c r="J11" s="56"/>
      <c r="K11" s="56"/>
      <c r="L11" s="56"/>
      <c r="M11" s="57"/>
      <c r="O11" s="55"/>
      <c r="P11" s="56"/>
      <c r="Q11" s="56"/>
      <c r="R11" s="56"/>
      <c r="S11" s="56"/>
      <c r="T11" s="56"/>
      <c r="U11" s="56"/>
      <c r="V11" s="56"/>
      <c r="W11" s="56"/>
      <c r="X11" s="56"/>
      <c r="Y11" s="56"/>
      <c r="Z11" s="57"/>
    </row>
    <row r="12" spans="2:26">
      <c r="B12" s="55"/>
      <c r="C12" s="56"/>
      <c r="D12" s="56"/>
      <c r="E12" s="56"/>
      <c r="F12" s="56"/>
      <c r="G12" s="56"/>
      <c r="H12" s="56"/>
      <c r="I12" s="56"/>
      <c r="J12" s="56"/>
      <c r="K12" s="56"/>
      <c r="L12" s="56"/>
      <c r="M12" s="57"/>
      <c r="O12" s="55"/>
      <c r="P12" s="56"/>
      <c r="Q12" s="56"/>
      <c r="R12" s="56"/>
      <c r="S12" s="56"/>
      <c r="T12" s="56"/>
      <c r="U12" s="56"/>
      <c r="V12" s="56"/>
      <c r="W12" s="56"/>
      <c r="X12" s="56"/>
      <c r="Y12" s="56"/>
      <c r="Z12" s="57"/>
    </row>
    <row r="13" spans="2:26">
      <c r="B13" s="55"/>
      <c r="C13" s="56"/>
      <c r="D13" s="56"/>
      <c r="E13" s="56"/>
      <c r="F13" s="56"/>
      <c r="G13" s="56"/>
      <c r="H13" s="56"/>
      <c r="I13" s="56"/>
      <c r="J13" s="56"/>
      <c r="K13" s="56"/>
      <c r="L13" s="56"/>
      <c r="M13" s="57"/>
      <c r="O13" s="55"/>
      <c r="P13" s="56"/>
      <c r="Q13" s="56"/>
      <c r="R13" s="56"/>
      <c r="S13" s="56"/>
      <c r="T13" s="56"/>
      <c r="U13" s="56"/>
      <c r="V13" s="56"/>
      <c r="W13" s="56"/>
      <c r="X13" s="56"/>
      <c r="Y13" s="56"/>
      <c r="Z13" s="57"/>
    </row>
    <row r="14" spans="2:26">
      <c r="B14" s="55"/>
      <c r="C14" s="56"/>
      <c r="D14" s="56"/>
      <c r="E14" s="56"/>
      <c r="F14" s="56"/>
      <c r="G14" s="56"/>
      <c r="H14" s="56"/>
      <c r="I14" s="56"/>
      <c r="J14" s="56"/>
      <c r="K14" s="56"/>
      <c r="L14" s="56"/>
      <c r="M14" s="57"/>
      <c r="O14" s="55"/>
      <c r="P14" s="56"/>
      <c r="Q14" s="56"/>
      <c r="R14" s="56"/>
      <c r="S14" s="56"/>
      <c r="T14" s="56"/>
      <c r="U14" s="56"/>
      <c r="V14" s="56"/>
      <c r="W14" s="56"/>
      <c r="X14" s="56"/>
      <c r="Y14" s="56"/>
      <c r="Z14" s="57"/>
    </row>
    <row r="15" spans="2:26">
      <c r="B15" s="55"/>
      <c r="C15" s="56"/>
      <c r="D15" s="56"/>
      <c r="E15" s="56"/>
      <c r="F15" s="56"/>
      <c r="G15" s="56"/>
      <c r="H15" s="56"/>
      <c r="I15" s="56"/>
      <c r="J15" s="56"/>
      <c r="K15" s="56"/>
      <c r="L15" s="56"/>
      <c r="M15" s="57"/>
      <c r="O15" s="55"/>
      <c r="P15" s="56"/>
      <c r="Q15" s="56"/>
      <c r="R15" s="56"/>
      <c r="S15" s="56"/>
      <c r="T15" s="56"/>
      <c r="U15" s="56"/>
      <c r="V15" s="56"/>
      <c r="W15" s="56"/>
      <c r="X15" s="56"/>
      <c r="Y15" s="56"/>
      <c r="Z15" s="57"/>
    </row>
    <row r="16" spans="2:26">
      <c r="B16" s="55"/>
      <c r="C16" s="56"/>
      <c r="D16" s="56"/>
      <c r="E16" s="56"/>
      <c r="F16" s="56"/>
      <c r="G16" s="56"/>
      <c r="H16" s="56"/>
      <c r="I16" s="56"/>
      <c r="J16" s="56"/>
      <c r="K16" s="56"/>
      <c r="L16" s="56"/>
      <c r="M16" s="57"/>
      <c r="O16" s="55"/>
      <c r="P16" s="56"/>
      <c r="Q16" s="56"/>
      <c r="R16" s="56"/>
      <c r="S16" s="56"/>
      <c r="T16" s="56"/>
      <c r="U16" s="56"/>
      <c r="V16" s="56"/>
      <c r="W16" s="56"/>
      <c r="X16" s="56"/>
      <c r="Y16" s="56"/>
      <c r="Z16" s="57"/>
    </row>
    <row r="17" spans="2:26">
      <c r="B17" s="55"/>
      <c r="C17" s="56"/>
      <c r="D17" s="56"/>
      <c r="E17" s="56"/>
      <c r="F17" s="56"/>
      <c r="G17" s="56"/>
      <c r="H17" s="56"/>
      <c r="I17" s="56"/>
      <c r="J17" s="56"/>
      <c r="K17" s="56"/>
      <c r="L17" s="56"/>
      <c r="M17" s="57"/>
      <c r="O17" s="55"/>
      <c r="P17" s="56"/>
      <c r="Q17" s="56"/>
      <c r="R17" s="56"/>
      <c r="S17" s="56"/>
      <c r="T17" s="56"/>
      <c r="U17" s="56"/>
      <c r="V17" s="56"/>
      <c r="W17" s="56"/>
      <c r="X17" s="56"/>
      <c r="Y17" s="56"/>
      <c r="Z17" s="57"/>
    </row>
    <row r="18" spans="2:26">
      <c r="B18" s="55"/>
      <c r="C18" s="56"/>
      <c r="D18" s="56"/>
      <c r="E18" s="56"/>
      <c r="F18" s="56"/>
      <c r="G18" s="56"/>
      <c r="H18" s="56"/>
      <c r="I18" s="56"/>
      <c r="J18" s="56"/>
      <c r="K18" s="56"/>
      <c r="L18" s="56"/>
      <c r="M18" s="57"/>
      <c r="O18" s="55"/>
      <c r="P18" s="56"/>
      <c r="Q18" s="56"/>
      <c r="R18" s="56"/>
      <c r="S18" s="56"/>
      <c r="T18" s="56"/>
      <c r="U18" s="56"/>
      <c r="V18" s="56"/>
      <c r="W18" s="56"/>
      <c r="X18" s="56"/>
      <c r="Y18" s="56"/>
      <c r="Z18" s="57"/>
    </row>
    <row r="19" spans="2:26">
      <c r="B19" s="55"/>
      <c r="C19" s="56"/>
      <c r="D19" s="56"/>
      <c r="E19" s="56"/>
      <c r="F19" s="56"/>
      <c r="G19" s="56"/>
      <c r="H19" s="56"/>
      <c r="I19" s="56"/>
      <c r="J19" s="56"/>
      <c r="K19" s="56"/>
      <c r="L19" s="56"/>
      <c r="M19" s="57"/>
      <c r="O19" s="55"/>
      <c r="P19" s="56"/>
      <c r="Q19" s="56"/>
      <c r="R19" s="56"/>
      <c r="S19" s="56"/>
      <c r="T19" s="56"/>
      <c r="U19" s="56"/>
      <c r="V19" s="56"/>
      <c r="W19" s="56"/>
      <c r="X19" s="56"/>
      <c r="Y19" s="56"/>
      <c r="Z19" s="57"/>
    </row>
    <row r="20" spans="2:26">
      <c r="B20" s="55"/>
      <c r="C20" s="56"/>
      <c r="D20" s="56"/>
      <c r="E20" s="56"/>
      <c r="F20" s="56"/>
      <c r="G20" s="56"/>
      <c r="H20" s="56"/>
      <c r="I20" s="56"/>
      <c r="J20" s="56"/>
      <c r="K20" s="56"/>
      <c r="L20" s="56"/>
      <c r="M20" s="57"/>
      <c r="O20" s="55"/>
      <c r="P20" s="56"/>
      <c r="Q20" s="56"/>
      <c r="R20" s="56"/>
      <c r="S20" s="56"/>
      <c r="T20" s="56"/>
      <c r="U20" s="56"/>
      <c r="V20" s="56"/>
      <c r="W20" s="56"/>
      <c r="X20" s="56"/>
      <c r="Y20" s="56"/>
      <c r="Z20" s="57"/>
    </row>
    <row r="21" spans="2:26">
      <c r="B21" s="55"/>
      <c r="C21" s="56"/>
      <c r="D21" s="56"/>
      <c r="E21" s="56"/>
      <c r="F21" s="56"/>
      <c r="G21" s="56"/>
      <c r="H21" s="56"/>
      <c r="I21" s="56"/>
      <c r="J21" s="56"/>
      <c r="K21" s="56"/>
      <c r="L21" s="56"/>
      <c r="M21" s="57"/>
      <c r="O21" s="55"/>
      <c r="P21" s="56"/>
      <c r="Q21" s="56"/>
      <c r="R21" s="56"/>
      <c r="S21" s="56"/>
      <c r="T21" s="56"/>
      <c r="U21" s="56"/>
      <c r="V21" s="56"/>
      <c r="W21" s="56"/>
      <c r="X21" s="56"/>
      <c r="Y21" s="56"/>
      <c r="Z21" s="57"/>
    </row>
    <row r="22" spans="2:26">
      <c r="B22" s="55"/>
      <c r="C22" s="56"/>
      <c r="D22" s="56"/>
      <c r="E22" s="56"/>
      <c r="F22" s="56"/>
      <c r="G22" s="56"/>
      <c r="H22" s="56"/>
      <c r="I22" s="56"/>
      <c r="J22" s="56"/>
      <c r="K22" s="56"/>
      <c r="L22" s="56"/>
      <c r="M22" s="57"/>
      <c r="O22" s="55"/>
      <c r="P22" s="56"/>
      <c r="Q22" s="56"/>
      <c r="R22" s="56"/>
      <c r="S22" s="56"/>
      <c r="T22" s="56"/>
      <c r="U22" s="56"/>
      <c r="V22" s="56"/>
      <c r="W22" s="56"/>
      <c r="X22" s="56"/>
      <c r="Y22" s="56"/>
      <c r="Z22" s="57"/>
    </row>
    <row r="23" spans="2:26" s="146" customFormat="1">
      <c r="B23" s="55"/>
      <c r="C23" s="56"/>
      <c r="D23" s="56"/>
      <c r="E23" s="56"/>
      <c r="F23" s="56"/>
      <c r="G23" s="56"/>
      <c r="H23" s="56"/>
      <c r="I23" s="56"/>
      <c r="J23" s="56"/>
      <c r="K23" s="56"/>
      <c r="L23" s="56"/>
      <c r="M23" s="57"/>
      <c r="O23" s="55"/>
      <c r="P23" s="56"/>
      <c r="Q23" s="56"/>
      <c r="R23" s="56"/>
      <c r="S23" s="56"/>
      <c r="T23" s="56"/>
      <c r="U23" s="56"/>
      <c r="V23" s="56"/>
      <c r="W23" s="56"/>
      <c r="X23" s="56"/>
      <c r="Y23" s="56"/>
      <c r="Z23" s="57"/>
    </row>
    <row r="24" spans="2:26" s="146" customFormat="1">
      <c r="B24" s="55"/>
      <c r="C24" s="56"/>
      <c r="D24" s="56"/>
      <c r="E24" s="56"/>
      <c r="F24" s="56"/>
      <c r="G24" s="56"/>
      <c r="H24" s="56"/>
      <c r="I24" s="56"/>
      <c r="J24" s="56"/>
      <c r="K24" s="56"/>
      <c r="L24" s="56"/>
      <c r="M24" s="57"/>
      <c r="O24" s="55"/>
      <c r="P24" s="56"/>
      <c r="Q24" s="56"/>
      <c r="R24" s="56"/>
      <c r="S24" s="56"/>
      <c r="T24" s="56"/>
      <c r="U24" s="56"/>
      <c r="V24" s="56"/>
      <c r="W24" s="56"/>
      <c r="X24" s="56"/>
      <c r="Y24" s="56"/>
      <c r="Z24" s="57"/>
    </row>
    <row r="25" spans="2:26" s="146" customFormat="1">
      <c r="B25" s="55"/>
      <c r="C25" s="56"/>
      <c r="D25" s="56"/>
      <c r="E25" s="56"/>
      <c r="F25" s="56"/>
      <c r="G25" s="56"/>
      <c r="H25" s="56"/>
      <c r="I25" s="56"/>
      <c r="J25" s="56"/>
      <c r="K25" s="56"/>
      <c r="L25" s="56"/>
      <c r="M25" s="57"/>
      <c r="O25" s="55"/>
      <c r="P25" s="56"/>
      <c r="Q25" s="56"/>
      <c r="R25" s="56"/>
      <c r="S25" s="56"/>
      <c r="T25" s="56"/>
      <c r="U25" s="56"/>
      <c r="V25" s="56"/>
      <c r="W25" s="56"/>
      <c r="X25" s="56"/>
      <c r="Y25" s="56"/>
      <c r="Z25" s="57"/>
    </row>
    <row r="26" spans="2:26" s="146" customFormat="1">
      <c r="B26" s="55"/>
      <c r="C26" s="56"/>
      <c r="D26" s="56"/>
      <c r="E26" s="56"/>
      <c r="F26" s="56"/>
      <c r="G26" s="56"/>
      <c r="H26" s="56"/>
      <c r="I26" s="56"/>
      <c r="J26" s="56"/>
      <c r="K26" s="56"/>
      <c r="L26" s="56"/>
      <c r="M26" s="57"/>
      <c r="O26" s="55"/>
      <c r="P26" s="56"/>
      <c r="Q26" s="56"/>
      <c r="R26" s="56"/>
      <c r="S26" s="56"/>
      <c r="T26" s="56"/>
      <c r="U26" s="56"/>
      <c r="V26" s="56"/>
      <c r="W26" s="56"/>
      <c r="X26" s="56"/>
      <c r="Y26" s="56"/>
      <c r="Z26" s="57"/>
    </row>
    <row r="27" spans="2:26" s="146" customFormat="1">
      <c r="B27" s="55"/>
      <c r="C27" s="56"/>
      <c r="D27" s="56"/>
      <c r="E27" s="56"/>
      <c r="F27" s="56"/>
      <c r="G27" s="56"/>
      <c r="H27" s="56"/>
      <c r="I27" s="56"/>
      <c r="J27" s="56"/>
      <c r="K27" s="56"/>
      <c r="L27" s="56"/>
      <c r="M27" s="57"/>
      <c r="O27" s="55"/>
      <c r="P27" s="56"/>
      <c r="Q27" s="56"/>
      <c r="R27" s="56"/>
      <c r="S27" s="56"/>
      <c r="T27" s="56"/>
      <c r="U27" s="56"/>
      <c r="V27" s="56"/>
      <c r="W27" s="56"/>
      <c r="X27" s="56"/>
      <c r="Y27" s="56"/>
      <c r="Z27" s="57"/>
    </row>
    <row r="28" spans="2:26" s="146" customFormat="1">
      <c r="B28" s="55"/>
      <c r="C28" s="56"/>
      <c r="D28" s="56"/>
      <c r="E28" s="56"/>
      <c r="F28" s="56"/>
      <c r="G28" s="56"/>
      <c r="H28" s="56"/>
      <c r="I28" s="56"/>
      <c r="J28" s="56"/>
      <c r="K28" s="56"/>
      <c r="L28" s="56"/>
      <c r="M28" s="57"/>
      <c r="O28" s="55"/>
      <c r="P28" s="56"/>
      <c r="Q28" s="56"/>
      <c r="R28" s="56"/>
      <c r="S28" s="56"/>
      <c r="T28" s="56"/>
      <c r="U28" s="56"/>
      <c r="V28" s="56"/>
      <c r="W28" s="56"/>
      <c r="X28" s="56"/>
      <c r="Y28" s="56"/>
      <c r="Z28" s="57"/>
    </row>
    <row r="29" spans="2:26" s="146" customFormat="1">
      <c r="B29" s="55"/>
      <c r="C29" s="56"/>
      <c r="D29" s="56"/>
      <c r="E29" s="56"/>
      <c r="F29" s="56"/>
      <c r="G29" s="56"/>
      <c r="H29" s="56"/>
      <c r="I29" s="56"/>
      <c r="J29" s="56"/>
      <c r="K29" s="56"/>
      <c r="L29" s="56"/>
      <c r="M29" s="57"/>
      <c r="O29" s="55"/>
      <c r="P29" s="56"/>
      <c r="Q29" s="56"/>
      <c r="R29" s="56"/>
      <c r="S29" s="56"/>
      <c r="T29" s="56"/>
      <c r="U29" s="56"/>
      <c r="V29" s="56"/>
      <c r="W29" s="56"/>
      <c r="X29" s="56"/>
      <c r="Y29" s="56"/>
      <c r="Z29" s="57"/>
    </row>
    <row r="30" spans="2:26" s="146" customFormat="1">
      <c r="B30" s="55"/>
      <c r="C30" s="56"/>
      <c r="D30" s="56"/>
      <c r="E30" s="56"/>
      <c r="F30" s="56"/>
      <c r="G30" s="56"/>
      <c r="H30" s="56"/>
      <c r="I30" s="56"/>
      <c r="J30" s="56"/>
      <c r="K30" s="56"/>
      <c r="L30" s="56"/>
      <c r="M30" s="57"/>
      <c r="O30" s="55"/>
      <c r="P30" s="56"/>
      <c r="Q30" s="56"/>
      <c r="R30" s="56"/>
      <c r="S30" s="56"/>
      <c r="T30" s="56"/>
      <c r="U30" s="56"/>
      <c r="V30" s="56"/>
      <c r="W30" s="56"/>
      <c r="X30" s="56"/>
      <c r="Y30" s="56"/>
      <c r="Z30" s="57"/>
    </row>
    <row r="31" spans="2:26" s="146" customFormat="1">
      <c r="B31" s="55"/>
      <c r="C31" s="56"/>
      <c r="D31" s="56"/>
      <c r="E31" s="56"/>
      <c r="F31" s="56"/>
      <c r="G31" s="56"/>
      <c r="H31" s="56"/>
      <c r="I31" s="56"/>
      <c r="J31" s="56"/>
      <c r="K31" s="56"/>
      <c r="L31" s="56"/>
      <c r="M31" s="57"/>
      <c r="O31" s="55"/>
      <c r="P31" s="56"/>
      <c r="Q31" s="56"/>
      <c r="R31" s="56"/>
      <c r="S31" s="56"/>
      <c r="T31" s="56"/>
      <c r="U31" s="56"/>
      <c r="V31" s="56"/>
      <c r="W31" s="56"/>
      <c r="X31" s="56"/>
      <c r="Y31" s="56"/>
      <c r="Z31" s="57"/>
    </row>
    <row r="32" spans="2:26" s="146" customFormat="1">
      <c r="B32" s="55"/>
      <c r="C32" s="56"/>
      <c r="D32" s="56"/>
      <c r="E32" s="56"/>
      <c r="F32" s="56"/>
      <c r="G32" s="56"/>
      <c r="H32" s="56"/>
      <c r="I32" s="56"/>
      <c r="J32" s="56"/>
      <c r="K32" s="56"/>
      <c r="L32" s="56"/>
      <c r="M32" s="57"/>
      <c r="O32" s="55"/>
      <c r="P32" s="56"/>
      <c r="Q32" s="56"/>
      <c r="R32" s="56"/>
      <c r="S32" s="56"/>
      <c r="T32" s="56"/>
      <c r="U32" s="56"/>
      <c r="V32" s="56"/>
      <c r="W32" s="56"/>
      <c r="X32" s="56"/>
      <c r="Y32" s="56"/>
      <c r="Z32" s="57"/>
    </row>
    <row r="33" spans="2:26" s="146" customFormat="1">
      <c r="B33" s="55"/>
      <c r="C33" s="56"/>
      <c r="D33" s="56"/>
      <c r="E33" s="56"/>
      <c r="F33" s="56"/>
      <c r="G33" s="56"/>
      <c r="H33" s="56"/>
      <c r="I33" s="56"/>
      <c r="J33" s="56"/>
      <c r="K33" s="56"/>
      <c r="L33" s="56"/>
      <c r="M33" s="57"/>
      <c r="O33" s="55"/>
      <c r="P33" s="56"/>
      <c r="Q33" s="56"/>
      <c r="R33" s="56"/>
      <c r="S33" s="56"/>
      <c r="T33" s="56"/>
      <c r="U33" s="56"/>
      <c r="V33" s="56"/>
      <c r="W33" s="56"/>
      <c r="X33" s="56"/>
      <c r="Y33" s="56"/>
      <c r="Z33" s="57"/>
    </row>
    <row r="34" spans="2:26" s="146" customFormat="1">
      <c r="B34" s="55"/>
      <c r="C34" s="56"/>
      <c r="D34" s="56"/>
      <c r="E34" s="56"/>
      <c r="F34" s="56"/>
      <c r="G34" s="56"/>
      <c r="H34" s="56"/>
      <c r="I34" s="56"/>
      <c r="J34" s="56"/>
      <c r="K34" s="56"/>
      <c r="L34" s="56"/>
      <c r="M34" s="57"/>
      <c r="O34" s="55"/>
      <c r="P34" s="56"/>
      <c r="Q34" s="56"/>
      <c r="R34" s="56"/>
      <c r="S34" s="56"/>
      <c r="T34" s="56"/>
      <c r="U34" s="56"/>
      <c r="V34" s="56"/>
      <c r="W34" s="56"/>
      <c r="X34" s="56"/>
      <c r="Y34" s="56"/>
      <c r="Z34" s="57"/>
    </row>
    <row r="35" spans="2:26" s="146" customFormat="1">
      <c r="B35" s="55"/>
      <c r="C35" s="56"/>
      <c r="D35" s="56"/>
      <c r="E35" s="56"/>
      <c r="F35" s="56"/>
      <c r="G35" s="56"/>
      <c r="H35" s="56"/>
      <c r="I35" s="56"/>
      <c r="J35" s="56"/>
      <c r="K35" s="56"/>
      <c r="L35" s="56"/>
      <c r="M35" s="57"/>
      <c r="O35" s="55"/>
      <c r="P35" s="56"/>
      <c r="Q35" s="56"/>
      <c r="R35" s="56"/>
      <c r="S35" s="56"/>
      <c r="T35" s="56"/>
      <c r="U35" s="56"/>
      <c r="V35" s="56"/>
      <c r="W35" s="56"/>
      <c r="X35" s="56"/>
      <c r="Y35" s="56"/>
      <c r="Z35" s="57"/>
    </row>
    <row r="36" spans="2:26" s="146" customFormat="1">
      <c r="B36" s="55"/>
      <c r="C36" s="56"/>
      <c r="D36" s="56"/>
      <c r="E36" s="56"/>
      <c r="F36" s="56"/>
      <c r="G36" s="56"/>
      <c r="H36" s="56"/>
      <c r="I36" s="56"/>
      <c r="J36" s="56"/>
      <c r="K36" s="56"/>
      <c r="L36" s="56"/>
      <c r="M36" s="57"/>
      <c r="O36" s="55"/>
      <c r="P36" s="56"/>
      <c r="Q36" s="56"/>
      <c r="R36" s="56"/>
      <c r="S36" s="56"/>
      <c r="T36" s="56"/>
      <c r="U36" s="56"/>
      <c r="V36" s="56"/>
      <c r="W36" s="56"/>
      <c r="X36" s="56"/>
      <c r="Y36" s="56"/>
      <c r="Z36" s="57"/>
    </row>
    <row r="37" spans="2:26" s="146" customFormat="1">
      <c r="B37" s="55"/>
      <c r="C37" s="56"/>
      <c r="D37" s="56"/>
      <c r="E37" s="56"/>
      <c r="F37" s="56"/>
      <c r="G37" s="56"/>
      <c r="H37" s="56"/>
      <c r="I37" s="56"/>
      <c r="J37" s="56"/>
      <c r="K37" s="56"/>
      <c r="L37" s="56"/>
      <c r="M37" s="57"/>
      <c r="O37" s="55"/>
      <c r="P37" s="56"/>
      <c r="Q37" s="56"/>
      <c r="R37" s="56"/>
      <c r="S37" s="56"/>
      <c r="T37" s="56"/>
      <c r="U37" s="56"/>
      <c r="V37" s="56"/>
      <c r="W37" s="56"/>
      <c r="X37" s="56"/>
      <c r="Y37" s="56"/>
      <c r="Z37" s="57"/>
    </row>
    <row r="38" spans="2:26" s="146" customFormat="1" ht="15" thickBot="1">
      <c r="B38" s="58"/>
      <c r="C38" s="59"/>
      <c r="D38" s="59"/>
      <c r="E38" s="59"/>
      <c r="F38" s="59"/>
      <c r="G38" s="59"/>
      <c r="H38" s="59"/>
      <c r="I38" s="59"/>
      <c r="J38" s="59"/>
      <c r="K38" s="59"/>
      <c r="L38" s="59"/>
      <c r="M38" s="60"/>
      <c r="O38" s="58"/>
      <c r="P38" s="59"/>
      <c r="Q38" s="59"/>
      <c r="R38" s="59"/>
      <c r="S38" s="59"/>
      <c r="T38" s="59"/>
      <c r="U38" s="59"/>
      <c r="V38" s="59"/>
      <c r="W38" s="59"/>
      <c r="X38" s="59"/>
      <c r="Y38" s="59"/>
      <c r="Z38" s="60"/>
    </row>
    <row r="39" spans="2:26" s="146" customFormat="1" ht="15" thickTop="1"/>
    <row r="40" spans="2:26" s="146" customFormat="1" ht="18">
      <c r="B40" s="1001" t="s">
        <v>252</v>
      </c>
      <c r="C40" s="1001"/>
      <c r="D40" s="1001"/>
      <c r="E40" s="1001"/>
      <c r="F40" s="1001"/>
      <c r="G40" s="1001"/>
      <c r="H40" s="1001"/>
      <c r="I40" s="1001"/>
      <c r="J40" s="1001"/>
      <c r="K40" s="1001"/>
      <c r="L40" s="1001"/>
      <c r="M40" s="1001"/>
      <c r="O40" s="1001" t="s">
        <v>253</v>
      </c>
      <c r="P40" s="1001"/>
      <c r="Q40" s="1001"/>
      <c r="R40" s="1001"/>
      <c r="S40" s="1001"/>
      <c r="T40" s="1001"/>
      <c r="U40" s="1001"/>
      <c r="V40" s="1001"/>
      <c r="W40" s="1001"/>
      <c r="X40" s="1001"/>
      <c r="Y40" s="1001"/>
      <c r="Z40" s="1001"/>
    </row>
    <row r="41" spans="2:26" s="146" customFormat="1" ht="15" thickBot="1"/>
    <row r="42" spans="2:26" ht="15" thickTop="1">
      <c r="B42" s="52"/>
      <c r="C42" s="53"/>
      <c r="D42" s="53"/>
      <c r="E42" s="53"/>
      <c r="F42" s="53"/>
      <c r="G42" s="53"/>
      <c r="H42" s="53"/>
      <c r="I42" s="53"/>
      <c r="J42" s="53"/>
      <c r="K42" s="53"/>
      <c r="L42" s="53"/>
      <c r="M42" s="54"/>
      <c r="O42" s="52"/>
      <c r="P42" s="53"/>
      <c r="Q42" s="53"/>
      <c r="R42" s="53"/>
      <c r="S42" s="53"/>
      <c r="T42" s="53"/>
      <c r="U42" s="53"/>
      <c r="V42" s="53"/>
      <c r="W42" s="53"/>
      <c r="X42" s="53"/>
      <c r="Y42" s="53"/>
      <c r="Z42" s="54"/>
    </row>
    <row r="43" spans="2:26">
      <c r="B43" s="55"/>
      <c r="C43" s="56"/>
      <c r="D43" s="56"/>
      <c r="E43" s="56"/>
      <c r="F43" s="56"/>
      <c r="G43" s="56"/>
      <c r="H43" s="56"/>
      <c r="I43" s="56"/>
      <c r="J43" s="56"/>
      <c r="K43" s="56"/>
      <c r="L43" s="56"/>
      <c r="M43" s="57"/>
      <c r="O43" s="55"/>
      <c r="P43" s="56"/>
      <c r="Q43" s="56"/>
      <c r="R43" s="56"/>
      <c r="S43" s="56"/>
      <c r="T43" s="56"/>
      <c r="U43" s="56"/>
      <c r="V43" s="56"/>
      <c r="W43" s="56"/>
      <c r="X43" s="56"/>
      <c r="Y43" s="56"/>
      <c r="Z43" s="57"/>
    </row>
    <row r="44" spans="2:26">
      <c r="B44" s="55"/>
      <c r="C44" s="56"/>
      <c r="D44" s="56"/>
      <c r="E44" s="56"/>
      <c r="F44" s="56"/>
      <c r="G44" s="56"/>
      <c r="H44" s="56"/>
      <c r="I44" s="56"/>
      <c r="J44" s="56"/>
      <c r="K44" s="56"/>
      <c r="L44" s="56"/>
      <c r="M44" s="57"/>
      <c r="O44" s="55"/>
      <c r="P44" s="56"/>
      <c r="Q44" s="56"/>
      <c r="R44" s="56"/>
      <c r="S44" s="56"/>
      <c r="T44" s="56"/>
      <c r="U44" s="56"/>
      <c r="V44" s="56"/>
      <c r="W44" s="56"/>
      <c r="X44" s="56"/>
      <c r="Y44" s="56"/>
      <c r="Z44" s="57"/>
    </row>
    <row r="45" spans="2:26">
      <c r="B45" s="55"/>
      <c r="C45" s="56"/>
      <c r="D45" s="56"/>
      <c r="E45" s="56"/>
      <c r="F45" s="56"/>
      <c r="G45" s="56"/>
      <c r="H45" s="56"/>
      <c r="I45" s="56"/>
      <c r="J45" s="56"/>
      <c r="K45" s="56"/>
      <c r="L45" s="56"/>
      <c r="M45" s="57"/>
      <c r="O45" s="55"/>
      <c r="P45" s="56"/>
      <c r="Q45" s="56"/>
      <c r="R45" s="56"/>
      <c r="S45" s="56"/>
      <c r="T45" s="56"/>
      <c r="U45" s="56"/>
      <c r="V45" s="56"/>
      <c r="W45" s="56"/>
      <c r="X45" s="56"/>
      <c r="Y45" s="56"/>
      <c r="Z45" s="57"/>
    </row>
    <row r="46" spans="2:26">
      <c r="B46" s="55"/>
      <c r="C46" s="56"/>
      <c r="D46" s="56"/>
      <c r="E46" s="56"/>
      <c r="F46" s="56"/>
      <c r="G46" s="56"/>
      <c r="H46" s="56"/>
      <c r="I46" s="56"/>
      <c r="J46" s="56"/>
      <c r="K46" s="56"/>
      <c r="L46" s="56"/>
      <c r="M46" s="57"/>
      <c r="O46" s="55"/>
      <c r="P46" s="56"/>
      <c r="Q46" s="56"/>
      <c r="R46" s="56"/>
      <c r="S46" s="56"/>
      <c r="T46" s="56"/>
      <c r="U46" s="56"/>
      <c r="V46" s="56"/>
      <c r="W46" s="56"/>
      <c r="X46" s="56"/>
      <c r="Y46" s="56"/>
      <c r="Z46" s="57"/>
    </row>
    <row r="47" spans="2:26">
      <c r="B47" s="55"/>
      <c r="C47" s="56"/>
      <c r="D47" s="56"/>
      <c r="E47" s="56"/>
      <c r="F47" s="56"/>
      <c r="G47" s="56"/>
      <c r="H47" s="56"/>
      <c r="I47" s="56"/>
      <c r="J47" s="56"/>
      <c r="K47" s="56"/>
      <c r="L47" s="56"/>
      <c r="M47" s="57"/>
      <c r="O47" s="55"/>
      <c r="P47" s="56"/>
      <c r="Q47" s="56"/>
      <c r="R47" s="56"/>
      <c r="S47" s="56"/>
      <c r="T47" s="56"/>
      <c r="U47" s="56"/>
      <c r="V47" s="56"/>
      <c r="W47" s="56"/>
      <c r="X47" s="56"/>
      <c r="Y47" s="56"/>
      <c r="Z47" s="57"/>
    </row>
    <row r="48" spans="2:26">
      <c r="B48" s="55"/>
      <c r="C48" s="56"/>
      <c r="D48" s="56"/>
      <c r="E48" s="56"/>
      <c r="F48" s="56"/>
      <c r="G48" s="56"/>
      <c r="H48" s="56"/>
      <c r="I48" s="56"/>
      <c r="J48" s="56"/>
      <c r="K48" s="56"/>
      <c r="L48" s="56"/>
      <c r="M48" s="57"/>
      <c r="O48" s="55"/>
      <c r="P48" s="56"/>
      <c r="Q48" s="56"/>
      <c r="R48" s="56"/>
      <c r="S48" s="56"/>
      <c r="T48" s="56"/>
      <c r="U48" s="56"/>
      <c r="V48" s="56"/>
      <c r="W48" s="56"/>
      <c r="X48" s="56"/>
      <c r="Y48" s="56"/>
      <c r="Z48" s="57"/>
    </row>
    <row r="49" spans="2:26">
      <c r="B49" s="55"/>
      <c r="C49" s="56"/>
      <c r="D49" s="56"/>
      <c r="E49" s="56"/>
      <c r="F49" s="56"/>
      <c r="G49" s="56"/>
      <c r="H49" s="56"/>
      <c r="I49" s="56"/>
      <c r="J49" s="56"/>
      <c r="K49" s="56"/>
      <c r="L49" s="56"/>
      <c r="M49" s="57"/>
      <c r="O49" s="55"/>
      <c r="P49" s="56"/>
      <c r="Q49" s="56"/>
      <c r="R49" s="56"/>
      <c r="S49" s="56"/>
      <c r="T49" s="56"/>
      <c r="U49" s="56"/>
      <c r="V49" s="56"/>
      <c r="W49" s="56"/>
      <c r="X49" s="56"/>
      <c r="Y49" s="56"/>
      <c r="Z49" s="57"/>
    </row>
    <row r="50" spans="2:26">
      <c r="B50" s="55"/>
      <c r="C50" s="56"/>
      <c r="D50" s="56"/>
      <c r="E50" s="56"/>
      <c r="F50" s="56"/>
      <c r="G50" s="56"/>
      <c r="H50" s="56"/>
      <c r="I50" s="56"/>
      <c r="J50" s="56"/>
      <c r="K50" s="56"/>
      <c r="L50" s="56"/>
      <c r="M50" s="57"/>
      <c r="O50" s="55"/>
      <c r="P50" s="56"/>
      <c r="Q50" s="56"/>
      <c r="R50" s="56"/>
      <c r="S50" s="56"/>
      <c r="T50" s="56"/>
      <c r="U50" s="56"/>
      <c r="V50" s="56"/>
      <c r="W50" s="56"/>
      <c r="X50" s="56"/>
      <c r="Y50" s="56"/>
      <c r="Z50" s="57"/>
    </row>
    <row r="51" spans="2:26">
      <c r="B51" s="55"/>
      <c r="C51" s="56"/>
      <c r="D51" s="56"/>
      <c r="E51" s="56"/>
      <c r="F51" s="56"/>
      <c r="G51" s="56"/>
      <c r="H51" s="56"/>
      <c r="I51" s="56"/>
      <c r="J51" s="56"/>
      <c r="K51" s="56"/>
      <c r="L51" s="56"/>
      <c r="M51" s="57"/>
      <c r="O51" s="55"/>
      <c r="P51" s="56"/>
      <c r="Q51" s="56"/>
      <c r="R51" s="56"/>
      <c r="S51" s="56"/>
      <c r="T51" s="56"/>
      <c r="U51" s="56"/>
      <c r="V51" s="56"/>
      <c r="W51" s="56"/>
      <c r="X51" s="56"/>
      <c r="Y51" s="56"/>
      <c r="Z51" s="57"/>
    </row>
    <row r="52" spans="2:26">
      <c r="B52" s="55"/>
      <c r="C52" s="56"/>
      <c r="D52" s="56"/>
      <c r="E52" s="56"/>
      <c r="F52" s="56"/>
      <c r="G52" s="56"/>
      <c r="H52" s="56"/>
      <c r="I52" s="56"/>
      <c r="J52" s="56"/>
      <c r="K52" s="56"/>
      <c r="L52" s="56"/>
      <c r="M52" s="57"/>
      <c r="O52" s="55"/>
      <c r="P52" s="56"/>
      <c r="Q52" s="56"/>
      <c r="R52" s="56"/>
      <c r="S52" s="56"/>
      <c r="T52" s="56"/>
      <c r="U52" s="56"/>
      <c r="V52" s="56"/>
      <c r="W52" s="56"/>
      <c r="X52" s="56"/>
      <c r="Y52" s="56"/>
      <c r="Z52" s="57"/>
    </row>
    <row r="53" spans="2:26">
      <c r="B53" s="55"/>
      <c r="C53" s="56"/>
      <c r="D53" s="56"/>
      <c r="E53" s="56"/>
      <c r="F53" s="56"/>
      <c r="G53" s="56"/>
      <c r="H53" s="56"/>
      <c r="I53" s="56"/>
      <c r="J53" s="56"/>
      <c r="K53" s="56"/>
      <c r="L53" s="56"/>
      <c r="M53" s="57"/>
      <c r="O53" s="55"/>
      <c r="Z53" s="57"/>
    </row>
    <row r="54" spans="2:26">
      <c r="B54" s="55"/>
      <c r="C54" s="56"/>
      <c r="D54" s="56"/>
      <c r="E54" s="56"/>
      <c r="F54" s="56"/>
      <c r="G54" s="56"/>
      <c r="H54" s="56"/>
      <c r="I54" s="56"/>
      <c r="J54" s="56"/>
      <c r="K54" s="56"/>
      <c r="L54" s="56"/>
      <c r="M54" s="57"/>
      <c r="O54" s="55"/>
      <c r="P54" s="56"/>
      <c r="Q54" s="56"/>
      <c r="R54" s="56"/>
      <c r="S54" s="56"/>
      <c r="T54" s="56"/>
      <c r="U54" s="56"/>
      <c r="V54" s="56"/>
      <c r="W54" s="56"/>
      <c r="X54" s="56"/>
      <c r="Y54" s="56"/>
      <c r="Z54" s="57"/>
    </row>
    <row r="55" spans="2:26" s="146" customFormat="1">
      <c r="B55" s="55"/>
      <c r="C55" s="56"/>
      <c r="D55" s="56"/>
      <c r="E55" s="56"/>
      <c r="F55" s="56"/>
      <c r="G55" s="56"/>
      <c r="H55" s="56"/>
      <c r="I55" s="56"/>
      <c r="J55" s="56"/>
      <c r="K55" s="56"/>
      <c r="L55" s="56"/>
      <c r="M55" s="57"/>
      <c r="O55" s="55"/>
      <c r="P55" s="56"/>
      <c r="Q55" s="56"/>
      <c r="R55" s="56"/>
      <c r="S55" s="56"/>
      <c r="T55" s="56"/>
      <c r="U55" s="56"/>
      <c r="V55" s="56"/>
      <c r="W55" s="56"/>
      <c r="X55" s="56"/>
      <c r="Y55" s="56"/>
      <c r="Z55" s="57"/>
    </row>
    <row r="56" spans="2:26" s="146" customFormat="1">
      <c r="B56" s="55"/>
      <c r="C56" s="56"/>
      <c r="D56" s="56"/>
      <c r="E56" s="56"/>
      <c r="F56" s="56"/>
      <c r="G56" s="56"/>
      <c r="H56" s="56"/>
      <c r="I56" s="56"/>
      <c r="J56" s="56"/>
      <c r="K56" s="56"/>
      <c r="L56" s="56"/>
      <c r="M56" s="57"/>
      <c r="O56" s="55"/>
      <c r="P56" s="56"/>
      <c r="Q56" s="56"/>
      <c r="R56" s="56"/>
      <c r="S56" s="56"/>
      <c r="T56" s="56"/>
      <c r="U56" s="56"/>
      <c r="V56" s="56"/>
      <c r="W56" s="56"/>
      <c r="X56" s="56"/>
      <c r="Y56" s="56"/>
      <c r="Z56" s="57"/>
    </row>
    <row r="57" spans="2:26" s="146" customFormat="1" ht="15" thickBot="1">
      <c r="B57" s="55"/>
      <c r="C57" s="56"/>
      <c r="D57" s="56"/>
      <c r="E57" s="56"/>
      <c r="F57" s="56"/>
      <c r="G57" s="56"/>
      <c r="H57" s="56"/>
      <c r="I57" s="56"/>
      <c r="J57" s="56"/>
      <c r="K57" s="56"/>
      <c r="L57" s="56"/>
      <c r="M57" s="57"/>
      <c r="O57" s="58"/>
      <c r="P57" s="59"/>
      <c r="Q57" s="59"/>
      <c r="R57" s="59"/>
      <c r="S57" s="59"/>
      <c r="T57" s="59"/>
      <c r="U57" s="59"/>
      <c r="V57" s="59"/>
      <c r="W57" s="59"/>
      <c r="X57" s="59"/>
      <c r="Y57" s="59"/>
      <c r="Z57" s="60"/>
    </row>
    <row r="58" spans="2:26" ht="15" thickTop="1">
      <c r="B58" s="55"/>
      <c r="C58" s="56"/>
      <c r="D58" s="56"/>
      <c r="E58" s="56"/>
      <c r="F58" s="56"/>
      <c r="G58" s="56"/>
      <c r="H58" s="56"/>
      <c r="I58" s="56"/>
      <c r="J58" s="56"/>
      <c r="K58" s="56"/>
      <c r="L58" s="56"/>
      <c r="M58" s="57"/>
      <c r="O58" s="146"/>
      <c r="P58" s="146"/>
      <c r="Q58" s="146"/>
      <c r="R58" s="146"/>
      <c r="S58" s="146"/>
      <c r="T58" s="146"/>
      <c r="U58" s="146"/>
      <c r="V58" s="146"/>
      <c r="W58" s="146"/>
      <c r="X58" s="146"/>
      <c r="Y58" s="146"/>
      <c r="Z58" s="146"/>
    </row>
    <row r="59" spans="2:26" ht="18">
      <c r="B59" s="160"/>
      <c r="C59" s="56"/>
      <c r="D59" s="56"/>
      <c r="E59" s="56"/>
      <c r="F59" s="56"/>
      <c r="G59" s="56"/>
      <c r="H59" s="56"/>
      <c r="I59" s="56"/>
      <c r="J59" s="56"/>
      <c r="K59" s="56"/>
      <c r="L59" s="56"/>
      <c r="M59" s="161"/>
      <c r="O59" s="1001" t="s">
        <v>248</v>
      </c>
      <c r="P59" s="1001"/>
      <c r="Q59" s="1001"/>
      <c r="R59" s="1001"/>
      <c r="S59" s="1001"/>
      <c r="T59" s="1001"/>
      <c r="U59" s="1001"/>
      <c r="V59" s="1001"/>
      <c r="W59" s="1001"/>
      <c r="X59" s="1001"/>
      <c r="Y59" s="1001"/>
      <c r="Z59" s="1001"/>
    </row>
    <row r="60" spans="2:26" s="1" customFormat="1" ht="6.6" customHeight="1" thickBot="1">
      <c r="B60" s="160"/>
      <c r="C60" s="56"/>
      <c r="D60" s="56"/>
      <c r="E60" s="56"/>
      <c r="F60" s="56"/>
      <c r="G60" s="56"/>
      <c r="H60" s="56"/>
      <c r="I60" s="56"/>
      <c r="J60" s="56"/>
      <c r="K60" s="56"/>
      <c r="L60" s="56"/>
      <c r="M60" s="161"/>
    </row>
    <row r="61" spans="2:26" s="1" customFormat="1" ht="15" thickTop="1">
      <c r="B61" s="160"/>
      <c r="C61" s="56"/>
      <c r="D61" s="56"/>
      <c r="E61" s="56"/>
      <c r="F61" s="56"/>
      <c r="G61" s="56"/>
      <c r="H61" s="56"/>
      <c r="I61" s="56"/>
      <c r="J61" s="56"/>
      <c r="K61" s="56"/>
      <c r="L61" s="56"/>
      <c r="M61" s="161"/>
      <c r="O61" s="52"/>
      <c r="P61" s="53"/>
      <c r="Q61" s="53"/>
      <c r="R61" s="53"/>
      <c r="S61" s="53"/>
      <c r="T61" s="53"/>
      <c r="U61" s="53"/>
      <c r="V61" s="53"/>
      <c r="W61" s="53"/>
      <c r="X61" s="53"/>
      <c r="Y61" s="53"/>
      <c r="Z61" s="54"/>
    </row>
    <row r="62" spans="2:26" s="1" customFormat="1">
      <c r="B62" s="160"/>
      <c r="C62" s="56"/>
      <c r="D62" s="56"/>
      <c r="E62" s="56"/>
      <c r="F62" s="56"/>
      <c r="G62" s="56"/>
      <c r="H62" s="56"/>
      <c r="I62" s="56"/>
      <c r="J62" s="56"/>
      <c r="K62" s="56"/>
      <c r="L62" s="56"/>
      <c r="M62" s="161"/>
      <c r="O62" s="55"/>
      <c r="P62" s="56"/>
      <c r="Q62" s="56"/>
      <c r="R62" s="56"/>
      <c r="S62" s="56"/>
      <c r="T62" s="56"/>
      <c r="U62" s="56"/>
      <c r="V62" s="56"/>
      <c r="W62" s="56"/>
      <c r="X62" s="56"/>
      <c r="Y62" s="56"/>
      <c r="Z62" s="57"/>
    </row>
    <row r="63" spans="2:26" s="1" customFormat="1">
      <c r="B63" s="55"/>
      <c r="C63" s="56"/>
      <c r="D63" s="56"/>
      <c r="E63" s="56"/>
      <c r="F63" s="56"/>
      <c r="G63" s="56"/>
      <c r="H63" s="56"/>
      <c r="I63" s="56"/>
      <c r="J63" s="56"/>
      <c r="K63" s="56"/>
      <c r="L63" s="56"/>
      <c r="M63" s="57"/>
      <c r="O63" s="55"/>
      <c r="P63" s="56"/>
      <c r="Q63" s="56"/>
      <c r="R63" s="56"/>
      <c r="S63" s="56"/>
      <c r="T63" s="56"/>
      <c r="U63" s="56"/>
      <c r="V63" s="56"/>
      <c r="W63" s="56"/>
      <c r="X63" s="56"/>
      <c r="Y63" s="56"/>
      <c r="Z63" s="57"/>
    </row>
    <row r="64" spans="2:26" s="1" customFormat="1">
      <c r="B64" s="55"/>
      <c r="C64" s="56"/>
      <c r="D64" s="56"/>
      <c r="E64" s="56"/>
      <c r="F64" s="56"/>
      <c r="G64" s="56"/>
      <c r="H64" s="56"/>
      <c r="I64" s="56"/>
      <c r="J64" s="56"/>
      <c r="K64" s="56"/>
      <c r="L64" s="56"/>
      <c r="M64" s="57"/>
      <c r="O64" s="55"/>
      <c r="P64" s="56"/>
      <c r="Q64" s="56"/>
      <c r="R64" s="56"/>
      <c r="S64" s="56"/>
      <c r="T64" s="56"/>
      <c r="U64" s="56"/>
      <c r="V64" s="56"/>
      <c r="W64" s="56"/>
      <c r="X64" s="56"/>
      <c r="Y64" s="56"/>
      <c r="Z64" s="57"/>
    </row>
    <row r="65" spans="2:26" s="1" customFormat="1">
      <c r="B65" s="55"/>
      <c r="C65" s="56"/>
      <c r="D65" s="56"/>
      <c r="E65" s="56"/>
      <c r="F65" s="56"/>
      <c r="G65" s="56"/>
      <c r="H65" s="56"/>
      <c r="I65" s="56"/>
      <c r="J65" s="56"/>
      <c r="K65" s="56"/>
      <c r="L65" s="56"/>
      <c r="M65" s="57"/>
      <c r="O65" s="55"/>
      <c r="P65" s="56"/>
      <c r="Q65" s="56"/>
      <c r="R65" s="56"/>
      <c r="S65" s="56"/>
      <c r="T65" s="56"/>
      <c r="U65" s="56"/>
      <c r="V65" s="56"/>
      <c r="W65" s="56"/>
      <c r="X65" s="56"/>
      <c r="Y65" s="56"/>
      <c r="Z65" s="57"/>
    </row>
    <row r="66" spans="2:26" s="1" customFormat="1">
      <c r="B66" s="55"/>
      <c r="C66" s="56"/>
      <c r="D66" s="56"/>
      <c r="E66" s="56"/>
      <c r="F66" s="56"/>
      <c r="G66" s="56"/>
      <c r="H66" s="56"/>
      <c r="I66" s="56"/>
      <c r="J66" s="56"/>
      <c r="K66" s="56"/>
      <c r="L66" s="56"/>
      <c r="M66" s="57"/>
      <c r="O66" s="55"/>
      <c r="P66" s="56"/>
      <c r="Q66" s="56"/>
      <c r="R66" s="56"/>
      <c r="S66" s="56"/>
      <c r="T66" s="56"/>
      <c r="U66" s="56"/>
      <c r="V66" s="56"/>
      <c r="W66" s="56"/>
      <c r="X66" s="56"/>
      <c r="Y66" s="56"/>
      <c r="Z66" s="57"/>
    </row>
    <row r="67" spans="2:26" s="1" customFormat="1">
      <c r="B67" s="55"/>
      <c r="C67" s="56"/>
      <c r="D67" s="56"/>
      <c r="E67" s="56"/>
      <c r="F67" s="56"/>
      <c r="G67" s="56"/>
      <c r="H67" s="56"/>
      <c r="I67" s="56"/>
      <c r="J67" s="56"/>
      <c r="K67" s="56"/>
      <c r="L67" s="56"/>
      <c r="M67" s="57"/>
      <c r="O67" s="55"/>
      <c r="P67" s="56"/>
      <c r="Q67" s="56"/>
      <c r="R67" s="56"/>
      <c r="S67" s="56"/>
      <c r="T67" s="56"/>
      <c r="U67" s="56"/>
      <c r="V67" s="56"/>
      <c r="W67" s="56"/>
      <c r="X67" s="56"/>
      <c r="Y67" s="56"/>
      <c r="Z67" s="57"/>
    </row>
    <row r="68" spans="2:26" s="1" customFormat="1">
      <c r="B68" s="55"/>
      <c r="C68" s="56"/>
      <c r="D68" s="56"/>
      <c r="E68" s="56"/>
      <c r="F68" s="56"/>
      <c r="G68" s="56"/>
      <c r="H68" s="56"/>
      <c r="I68" s="56"/>
      <c r="J68" s="56"/>
      <c r="K68" s="56"/>
      <c r="L68" s="56"/>
      <c r="M68" s="57"/>
      <c r="O68" s="55"/>
      <c r="P68" s="56"/>
      <c r="Q68" s="56"/>
      <c r="R68" s="56"/>
      <c r="S68" s="56"/>
      <c r="T68" s="56"/>
      <c r="U68" s="56"/>
      <c r="V68" s="56"/>
      <c r="W68" s="56"/>
      <c r="X68" s="56"/>
      <c r="Y68" s="56"/>
      <c r="Z68" s="57"/>
    </row>
    <row r="69" spans="2:26" s="1" customFormat="1">
      <c r="B69" s="55"/>
      <c r="C69" s="56"/>
      <c r="D69" s="56"/>
      <c r="E69" s="56"/>
      <c r="F69" s="56"/>
      <c r="G69" s="56"/>
      <c r="H69" s="56"/>
      <c r="I69" s="56"/>
      <c r="J69" s="56"/>
      <c r="K69" s="56"/>
      <c r="L69" s="56"/>
      <c r="M69" s="57"/>
      <c r="O69" s="55"/>
      <c r="P69" s="56"/>
      <c r="Q69" s="56"/>
      <c r="R69" s="56"/>
      <c r="S69" s="56"/>
      <c r="T69" s="56"/>
      <c r="U69" s="56"/>
      <c r="V69" s="56"/>
      <c r="W69" s="56"/>
      <c r="X69" s="56"/>
      <c r="Y69" s="56"/>
      <c r="Z69" s="57"/>
    </row>
    <row r="70" spans="2:26" s="1" customFormat="1">
      <c r="B70" s="55"/>
      <c r="C70" s="56"/>
      <c r="D70" s="56"/>
      <c r="E70" s="56"/>
      <c r="F70" s="56"/>
      <c r="G70" s="56"/>
      <c r="H70" s="56"/>
      <c r="I70" s="56"/>
      <c r="J70" s="56"/>
      <c r="K70" s="56"/>
      <c r="L70" s="56"/>
      <c r="M70" s="57"/>
      <c r="O70" s="55"/>
      <c r="P70" s="56"/>
      <c r="Q70" s="56"/>
      <c r="R70" s="56"/>
      <c r="S70" s="56"/>
      <c r="T70" s="56"/>
      <c r="U70" s="56"/>
      <c r="V70" s="56"/>
      <c r="W70" s="56"/>
      <c r="X70" s="56"/>
      <c r="Y70" s="56"/>
      <c r="Z70" s="57"/>
    </row>
    <row r="71" spans="2:26" s="1" customFormat="1">
      <c r="B71" s="55"/>
      <c r="C71" s="56"/>
      <c r="D71" s="56"/>
      <c r="E71" s="56"/>
      <c r="F71" s="56"/>
      <c r="G71" s="56"/>
      <c r="H71" s="56"/>
      <c r="I71" s="56"/>
      <c r="J71" s="56"/>
      <c r="K71" s="56"/>
      <c r="L71" s="56"/>
      <c r="M71" s="57"/>
      <c r="O71" s="55"/>
      <c r="P71" s="56"/>
      <c r="Q71" s="56"/>
      <c r="R71" s="56"/>
      <c r="S71" s="56"/>
      <c r="T71" s="56"/>
      <c r="U71" s="56"/>
      <c r="V71" s="56"/>
      <c r="W71" s="56"/>
      <c r="X71" s="56"/>
      <c r="Y71" s="56"/>
      <c r="Z71" s="57"/>
    </row>
    <row r="72" spans="2:26" s="1" customFormat="1">
      <c r="B72" s="55"/>
      <c r="C72" s="56"/>
      <c r="D72" s="56"/>
      <c r="E72" s="56"/>
      <c r="F72" s="56"/>
      <c r="G72" s="56"/>
      <c r="H72" s="56"/>
      <c r="I72" s="56"/>
      <c r="J72" s="56"/>
      <c r="K72" s="56"/>
      <c r="L72" s="56"/>
      <c r="M72" s="57"/>
      <c r="O72" s="55"/>
      <c r="P72" s="56"/>
      <c r="Q72" s="56"/>
      <c r="R72" s="56"/>
      <c r="S72" s="56"/>
      <c r="T72" s="56"/>
      <c r="U72" s="56"/>
      <c r="V72" s="56"/>
      <c r="W72" s="56"/>
      <c r="X72" s="56"/>
      <c r="Y72" s="56"/>
      <c r="Z72" s="57"/>
    </row>
    <row r="73" spans="2:26" s="1" customFormat="1">
      <c r="B73" s="55"/>
      <c r="C73" s="56"/>
      <c r="D73" s="56"/>
      <c r="E73" s="56"/>
      <c r="F73" s="56"/>
      <c r="G73" s="56"/>
      <c r="H73" s="56"/>
      <c r="I73" s="56"/>
      <c r="J73" s="56"/>
      <c r="K73" s="56"/>
      <c r="L73" s="56"/>
      <c r="M73" s="57"/>
      <c r="O73" s="55"/>
      <c r="P73" s="56"/>
      <c r="Q73" s="56"/>
      <c r="R73" s="56"/>
      <c r="S73" s="56"/>
      <c r="T73" s="56"/>
      <c r="U73" s="56"/>
      <c r="V73" s="56"/>
      <c r="W73" s="56"/>
      <c r="X73" s="56"/>
      <c r="Y73" s="56"/>
      <c r="Z73" s="57"/>
    </row>
    <row r="74" spans="2:26" s="1" customFormat="1">
      <c r="B74" s="55"/>
      <c r="C74" s="56"/>
      <c r="D74" s="56"/>
      <c r="E74" s="56"/>
      <c r="F74" s="56"/>
      <c r="G74" s="56"/>
      <c r="H74" s="56"/>
      <c r="I74" s="56"/>
      <c r="J74" s="56"/>
      <c r="K74" s="56"/>
      <c r="L74" s="56"/>
      <c r="M74" s="57"/>
      <c r="O74" s="55"/>
      <c r="P74" s="56"/>
      <c r="Q74" s="56"/>
      <c r="R74" s="56"/>
      <c r="S74" s="56"/>
      <c r="T74" s="56"/>
      <c r="U74" s="56"/>
      <c r="V74" s="56"/>
      <c r="W74" s="56"/>
      <c r="X74" s="56"/>
      <c r="Y74" s="56"/>
      <c r="Z74" s="57"/>
    </row>
    <row r="75" spans="2:26" s="1" customFormat="1">
      <c r="B75" s="55"/>
      <c r="C75" s="56"/>
      <c r="D75" s="56"/>
      <c r="E75" s="56"/>
      <c r="F75" s="56"/>
      <c r="G75" s="56"/>
      <c r="H75" s="56"/>
      <c r="I75" s="56"/>
      <c r="J75" s="56"/>
      <c r="K75" s="56"/>
      <c r="L75" s="56"/>
      <c r="M75" s="57"/>
      <c r="O75" s="55"/>
      <c r="P75" s="56"/>
      <c r="Q75" s="56"/>
      <c r="R75" s="56"/>
      <c r="S75" s="56"/>
      <c r="T75" s="56"/>
      <c r="U75" s="56"/>
      <c r="V75" s="56"/>
      <c r="W75" s="56"/>
      <c r="X75" s="56"/>
      <c r="Y75" s="56"/>
      <c r="Z75" s="57"/>
    </row>
    <row r="76" spans="2:26" s="1" customFormat="1" ht="15" thickBot="1">
      <c r="B76" s="58"/>
      <c r="C76" s="59"/>
      <c r="D76" s="59"/>
      <c r="E76" s="59"/>
      <c r="F76" s="59"/>
      <c r="G76" s="59"/>
      <c r="H76" s="59"/>
      <c r="I76" s="59"/>
      <c r="J76" s="59"/>
      <c r="K76" s="59"/>
      <c r="L76" s="59"/>
      <c r="M76" s="60"/>
      <c r="O76" s="58"/>
      <c r="P76" s="59"/>
      <c r="Q76" s="59"/>
      <c r="R76" s="59"/>
      <c r="S76" s="59"/>
      <c r="T76" s="59"/>
      <c r="U76" s="59"/>
      <c r="V76" s="59"/>
      <c r="W76" s="59"/>
      <c r="X76" s="59"/>
      <c r="Y76" s="59"/>
      <c r="Z76" s="60"/>
    </row>
    <row r="77" spans="2:26" ht="15" thickTop="1"/>
    <row r="78" spans="2:26" s="1" customFormat="1" ht="18">
      <c r="B78" s="1000" t="s">
        <v>148</v>
      </c>
      <c r="C78" s="1000"/>
      <c r="D78" s="1000"/>
      <c r="E78" s="1000"/>
      <c r="F78" s="1000"/>
      <c r="G78" s="1000"/>
      <c r="H78" s="1000"/>
      <c r="I78" s="1000"/>
      <c r="J78" s="1000"/>
      <c r="K78" s="1000"/>
      <c r="L78" s="1000"/>
      <c r="M78" s="1000"/>
      <c r="O78" s="1000" t="s">
        <v>254</v>
      </c>
      <c r="P78" s="1000"/>
      <c r="Q78" s="1000"/>
      <c r="R78" s="1000"/>
      <c r="S78" s="1000"/>
      <c r="T78" s="1000"/>
      <c r="U78" s="1000"/>
      <c r="V78" s="1000"/>
      <c r="W78" s="1000"/>
      <c r="X78" s="1000"/>
      <c r="Y78" s="1000"/>
      <c r="Z78" s="1000"/>
    </row>
    <row r="79" spans="2:26" s="1" customFormat="1" ht="4.2" customHeight="1"/>
    <row r="80" spans="2:26" ht="18">
      <c r="B80" s="1001" t="s">
        <v>246</v>
      </c>
      <c r="C80" s="1001"/>
      <c r="D80" s="1001"/>
      <c r="E80" s="1001"/>
      <c r="F80" s="1001"/>
      <c r="G80" s="1001"/>
      <c r="H80" s="1001"/>
      <c r="I80" s="1001"/>
      <c r="J80" s="1001"/>
      <c r="K80" s="1001"/>
      <c r="L80" s="1001"/>
      <c r="M80" s="1001"/>
      <c r="O80" s="1001" t="s">
        <v>255</v>
      </c>
      <c r="P80" s="1001"/>
      <c r="Q80" s="1001"/>
      <c r="R80" s="1001"/>
      <c r="S80" s="1001"/>
      <c r="T80" s="1001"/>
      <c r="U80" s="1001"/>
      <c r="V80" s="1001"/>
      <c r="W80" s="1001"/>
      <c r="X80" s="1001"/>
      <c r="Y80" s="1001"/>
      <c r="Z80" s="1001"/>
    </row>
    <row r="81" spans="2:26" ht="4.2" customHeight="1" thickBot="1">
      <c r="O81" s="1"/>
      <c r="P81" s="1"/>
      <c r="Q81" s="1"/>
      <c r="R81" s="1"/>
      <c r="S81" s="1"/>
      <c r="T81" s="1"/>
      <c r="U81" s="1"/>
      <c r="V81" s="1"/>
      <c r="W81" s="1"/>
      <c r="X81" s="1"/>
      <c r="Y81" s="1"/>
      <c r="Z81" s="1"/>
    </row>
    <row r="82" spans="2:26" ht="15" thickTop="1">
      <c r="B82" s="52"/>
      <c r="C82" s="53"/>
      <c r="D82" s="53"/>
      <c r="E82" s="53"/>
      <c r="F82" s="53"/>
      <c r="G82" s="53"/>
      <c r="H82" s="53"/>
      <c r="I82" s="53"/>
      <c r="J82" s="53"/>
      <c r="K82" s="53"/>
      <c r="L82" s="53"/>
      <c r="M82" s="54"/>
      <c r="O82" s="52"/>
      <c r="P82" s="53"/>
      <c r="Q82" s="53"/>
      <c r="R82" s="53"/>
      <c r="S82" s="53"/>
      <c r="T82" s="53"/>
      <c r="U82" s="53"/>
      <c r="V82" s="53"/>
      <c r="W82" s="53"/>
      <c r="X82" s="53"/>
      <c r="Y82" s="53"/>
      <c r="Z82" s="54"/>
    </row>
    <row r="83" spans="2:26">
      <c r="B83" s="55"/>
      <c r="C83" s="56"/>
      <c r="D83" s="56"/>
      <c r="E83" s="56"/>
      <c r="F83" s="56"/>
      <c r="G83" s="56"/>
      <c r="H83" s="56"/>
      <c r="I83" s="56"/>
      <c r="J83" s="56"/>
      <c r="K83" s="56"/>
      <c r="L83" s="56"/>
      <c r="M83" s="57"/>
      <c r="O83" s="55"/>
      <c r="P83" s="56"/>
      <c r="Q83" s="56"/>
      <c r="R83" s="56"/>
      <c r="S83" s="56"/>
      <c r="T83" s="56"/>
      <c r="U83" s="56"/>
      <c r="V83" s="56"/>
      <c r="W83" s="56"/>
      <c r="X83" s="56"/>
      <c r="Y83" s="56"/>
      <c r="Z83" s="57"/>
    </row>
    <row r="84" spans="2:26">
      <c r="B84" s="55"/>
      <c r="C84" s="56"/>
      <c r="D84" s="56"/>
      <c r="E84" s="56"/>
      <c r="F84" s="56"/>
      <c r="G84" s="56"/>
      <c r="H84" s="56"/>
      <c r="I84" s="56"/>
      <c r="J84" s="56"/>
      <c r="K84" s="56"/>
      <c r="L84" s="56"/>
      <c r="M84" s="57"/>
      <c r="O84" s="55"/>
      <c r="P84" s="56"/>
      <c r="Q84" s="56"/>
      <c r="R84" s="56"/>
      <c r="S84" s="56"/>
      <c r="T84" s="56"/>
      <c r="U84" s="56"/>
      <c r="V84" s="56"/>
      <c r="W84" s="56"/>
      <c r="X84" s="56"/>
      <c r="Y84" s="56"/>
      <c r="Z84" s="57"/>
    </row>
    <row r="85" spans="2:26">
      <c r="B85" s="55"/>
      <c r="C85" s="56"/>
      <c r="D85" s="56"/>
      <c r="E85" s="56"/>
      <c r="F85" s="56"/>
      <c r="G85" s="56"/>
      <c r="H85" s="56"/>
      <c r="I85" s="56"/>
      <c r="J85" s="56"/>
      <c r="K85" s="56"/>
      <c r="L85" s="56"/>
      <c r="M85" s="57"/>
      <c r="O85" s="55"/>
      <c r="P85" s="56"/>
      <c r="Q85" s="56"/>
      <c r="R85" s="56"/>
      <c r="S85" s="56"/>
      <c r="T85" s="56"/>
      <c r="U85" s="56"/>
      <c r="V85" s="56"/>
      <c r="W85" s="56"/>
      <c r="X85" s="56"/>
      <c r="Y85" s="56"/>
      <c r="Z85" s="57"/>
    </row>
    <row r="86" spans="2:26">
      <c r="B86" s="55"/>
      <c r="C86" s="56"/>
      <c r="D86" s="56"/>
      <c r="E86" s="56"/>
      <c r="F86" s="56"/>
      <c r="G86" s="56"/>
      <c r="H86" s="56"/>
      <c r="I86" s="56"/>
      <c r="J86" s="56"/>
      <c r="K86" s="56"/>
      <c r="L86" s="56"/>
      <c r="M86" s="57"/>
      <c r="O86" s="55"/>
      <c r="P86" s="56"/>
      <c r="Q86" s="56"/>
      <c r="R86" s="56"/>
      <c r="S86" s="56"/>
      <c r="T86" s="56"/>
      <c r="U86" s="56"/>
      <c r="V86" s="56"/>
      <c r="W86" s="56"/>
      <c r="X86" s="56"/>
      <c r="Y86" s="56"/>
      <c r="Z86" s="57"/>
    </row>
    <row r="87" spans="2:26">
      <c r="B87" s="55"/>
      <c r="C87" s="56"/>
      <c r="D87" s="56"/>
      <c r="E87" s="56"/>
      <c r="F87" s="56"/>
      <c r="G87" s="56"/>
      <c r="H87" s="56"/>
      <c r="I87" s="56"/>
      <c r="J87" s="56"/>
      <c r="K87" s="56"/>
      <c r="L87" s="56"/>
      <c r="M87" s="57"/>
      <c r="O87" s="55"/>
      <c r="P87" s="56"/>
      <c r="Q87" s="56"/>
      <c r="R87" s="56"/>
      <c r="S87" s="56"/>
      <c r="T87" s="56"/>
      <c r="U87" s="56"/>
      <c r="V87" s="56"/>
      <c r="W87" s="56"/>
      <c r="X87" s="56"/>
      <c r="Y87" s="56"/>
      <c r="Z87" s="57"/>
    </row>
    <row r="88" spans="2:26">
      <c r="B88" s="55"/>
      <c r="C88" s="56"/>
      <c r="D88" s="56"/>
      <c r="E88" s="56"/>
      <c r="F88" s="56"/>
      <c r="G88" s="56"/>
      <c r="H88" s="56"/>
      <c r="I88" s="56"/>
      <c r="J88" s="56"/>
      <c r="K88" s="56"/>
      <c r="L88" s="56"/>
      <c r="M88" s="57"/>
      <c r="O88" s="55"/>
      <c r="P88" s="56"/>
      <c r="Q88" s="56"/>
      <c r="R88" s="56"/>
      <c r="S88" s="56"/>
      <c r="T88" s="56"/>
      <c r="U88" s="56"/>
      <c r="V88" s="56"/>
      <c r="W88" s="56"/>
      <c r="X88" s="56"/>
      <c r="Y88" s="56"/>
      <c r="Z88" s="57"/>
    </row>
    <row r="89" spans="2:26">
      <c r="B89" s="55"/>
      <c r="C89" s="56"/>
      <c r="D89" s="56"/>
      <c r="E89" s="56"/>
      <c r="F89" s="56"/>
      <c r="G89" s="56"/>
      <c r="H89" s="56"/>
      <c r="I89" s="56"/>
      <c r="J89" s="56"/>
      <c r="K89" s="56"/>
      <c r="L89" s="56"/>
      <c r="M89" s="57"/>
      <c r="O89" s="55"/>
      <c r="P89" s="56"/>
      <c r="Q89" s="56"/>
      <c r="R89" s="56"/>
      <c r="S89" s="56"/>
      <c r="T89" s="56"/>
      <c r="U89" s="56"/>
      <c r="V89" s="56"/>
      <c r="W89" s="56"/>
      <c r="X89" s="56"/>
      <c r="Y89" s="56"/>
      <c r="Z89" s="57"/>
    </row>
    <row r="90" spans="2:26">
      <c r="B90" s="55"/>
      <c r="C90" s="56"/>
      <c r="D90" s="56"/>
      <c r="E90" s="56"/>
      <c r="F90" s="56"/>
      <c r="G90" s="56"/>
      <c r="H90" s="56"/>
      <c r="I90" s="56"/>
      <c r="J90" s="56"/>
      <c r="K90" s="56"/>
      <c r="L90" s="56"/>
      <c r="M90" s="57"/>
      <c r="O90" s="55"/>
      <c r="P90" s="56"/>
      <c r="Q90" s="56"/>
      <c r="R90" s="56"/>
      <c r="S90" s="56"/>
      <c r="T90" s="56"/>
      <c r="U90" s="56"/>
      <c r="V90" s="56"/>
      <c r="W90" s="56"/>
      <c r="X90" s="56"/>
      <c r="Y90" s="56"/>
      <c r="Z90" s="57"/>
    </row>
    <row r="91" spans="2:26">
      <c r="B91" s="55"/>
      <c r="C91" s="56"/>
      <c r="D91" s="56"/>
      <c r="E91" s="56"/>
      <c r="F91" s="56"/>
      <c r="G91" s="56"/>
      <c r="H91" s="56"/>
      <c r="I91" s="56"/>
      <c r="J91" s="56"/>
      <c r="K91" s="56"/>
      <c r="L91" s="56"/>
      <c r="M91" s="57"/>
      <c r="O91" s="55"/>
      <c r="P91" s="56"/>
      <c r="Q91" s="56"/>
      <c r="R91" s="56"/>
      <c r="S91" s="56"/>
      <c r="T91" s="56"/>
      <c r="U91" s="56"/>
      <c r="V91" s="56"/>
      <c r="W91" s="56"/>
      <c r="X91" s="56"/>
      <c r="Y91" s="56"/>
      <c r="Z91" s="57"/>
    </row>
    <row r="92" spans="2:26">
      <c r="B92" s="55"/>
      <c r="C92" s="56"/>
      <c r="D92" s="56"/>
      <c r="E92" s="56"/>
      <c r="F92" s="56"/>
      <c r="G92" s="56"/>
      <c r="H92" s="56"/>
      <c r="I92" s="56"/>
      <c r="J92" s="56"/>
      <c r="K92" s="56"/>
      <c r="L92" s="56"/>
      <c r="M92" s="57"/>
      <c r="O92" s="55"/>
      <c r="P92" s="56"/>
      <c r="Q92" s="56"/>
      <c r="R92" s="56"/>
      <c r="S92" s="56"/>
      <c r="T92" s="56"/>
      <c r="U92" s="56"/>
      <c r="V92" s="56"/>
      <c r="W92" s="56"/>
      <c r="X92" s="56"/>
      <c r="Y92" s="56"/>
      <c r="Z92" s="57"/>
    </row>
    <row r="93" spans="2:26">
      <c r="B93" s="55"/>
      <c r="C93" s="56"/>
      <c r="D93" s="56"/>
      <c r="E93" s="56"/>
      <c r="F93" s="56"/>
      <c r="G93" s="56"/>
      <c r="H93" s="56"/>
      <c r="I93" s="56"/>
      <c r="J93" s="56"/>
      <c r="K93" s="56"/>
      <c r="L93" s="56"/>
      <c r="M93" s="57"/>
      <c r="O93" s="55"/>
      <c r="P93" s="56"/>
      <c r="Q93" s="56"/>
      <c r="R93" s="56"/>
      <c r="S93" s="56"/>
      <c r="T93" s="56"/>
      <c r="U93" s="56"/>
      <c r="V93" s="56"/>
      <c r="W93" s="56"/>
      <c r="X93" s="56"/>
      <c r="Y93" s="56"/>
      <c r="Z93" s="57"/>
    </row>
    <row r="94" spans="2:26">
      <c r="B94" s="55"/>
      <c r="C94" s="56"/>
      <c r="D94" s="56"/>
      <c r="E94" s="56"/>
      <c r="F94" s="56"/>
      <c r="G94" s="56"/>
      <c r="H94" s="56"/>
      <c r="I94" s="56"/>
      <c r="J94" s="56"/>
      <c r="K94" s="56"/>
      <c r="L94" s="56"/>
      <c r="M94" s="57"/>
      <c r="O94" s="55"/>
      <c r="P94" s="56"/>
      <c r="Q94" s="56"/>
      <c r="R94" s="56"/>
      <c r="S94" s="56"/>
      <c r="T94" s="56"/>
      <c r="U94" s="56"/>
      <c r="V94" s="56"/>
      <c r="W94" s="56"/>
      <c r="X94" s="56"/>
      <c r="Y94" s="56"/>
      <c r="Z94" s="57"/>
    </row>
    <row r="95" spans="2:26">
      <c r="B95" s="55"/>
      <c r="C95" s="56"/>
      <c r="D95" s="56"/>
      <c r="E95" s="56"/>
      <c r="F95" s="56"/>
      <c r="G95" s="56"/>
      <c r="H95" s="56"/>
      <c r="I95" s="56"/>
      <c r="J95" s="56"/>
      <c r="K95" s="56"/>
      <c r="L95" s="56"/>
      <c r="M95" s="57"/>
      <c r="O95" s="55"/>
      <c r="P95" s="56"/>
      <c r="Q95" s="56"/>
      <c r="R95" s="56"/>
      <c r="S95" s="56"/>
      <c r="T95" s="56"/>
      <c r="U95" s="56"/>
      <c r="V95" s="56"/>
      <c r="W95" s="56"/>
      <c r="X95" s="56"/>
      <c r="Y95" s="56"/>
      <c r="Z95" s="57"/>
    </row>
    <row r="96" spans="2:26">
      <c r="B96" s="55"/>
      <c r="C96" s="56"/>
      <c r="D96" s="56"/>
      <c r="E96" s="56"/>
      <c r="F96" s="56"/>
      <c r="G96" s="56"/>
      <c r="H96" s="56"/>
      <c r="I96" s="56"/>
      <c r="J96" s="56"/>
      <c r="K96" s="56"/>
      <c r="L96" s="56"/>
      <c r="M96" s="57"/>
      <c r="O96" s="55"/>
      <c r="P96" s="56"/>
      <c r="Q96" s="56"/>
      <c r="R96" s="56"/>
      <c r="S96" s="56"/>
      <c r="T96" s="56"/>
      <c r="U96" s="56"/>
      <c r="V96" s="56"/>
      <c r="W96" s="56"/>
      <c r="X96" s="56"/>
      <c r="Y96" s="56"/>
      <c r="Z96" s="57"/>
    </row>
    <row r="97" spans="2:26" ht="15" thickBot="1">
      <c r="B97" s="58"/>
      <c r="C97" s="59"/>
      <c r="D97" s="59"/>
      <c r="E97" s="59"/>
      <c r="F97" s="59"/>
      <c r="G97" s="59"/>
      <c r="H97" s="59"/>
      <c r="I97" s="59"/>
      <c r="J97" s="59"/>
      <c r="K97" s="59"/>
      <c r="L97" s="59"/>
      <c r="M97" s="60"/>
      <c r="O97" s="55"/>
      <c r="P97" s="56"/>
      <c r="Q97" s="56"/>
      <c r="R97" s="56"/>
      <c r="S97" s="56"/>
      <c r="T97" s="56"/>
      <c r="U97" s="56"/>
      <c r="V97" s="56"/>
      <c r="W97" s="56"/>
      <c r="X97" s="56"/>
      <c r="Y97" s="56"/>
      <c r="Z97" s="57"/>
    </row>
    <row r="98" spans="2:26" s="1" customFormat="1" ht="15" thickTop="1">
      <c r="O98" s="55"/>
      <c r="P98" s="56"/>
      <c r="Q98" s="56"/>
      <c r="R98" s="56"/>
      <c r="S98" s="56"/>
      <c r="T98" s="56"/>
      <c r="U98" s="56"/>
      <c r="V98" s="56"/>
      <c r="W98" s="56"/>
      <c r="X98" s="56"/>
      <c r="Y98" s="56"/>
      <c r="Z98" s="57"/>
    </row>
    <row r="99" spans="2:26" s="1" customFormat="1" ht="18">
      <c r="B99" s="1001" t="s">
        <v>252</v>
      </c>
      <c r="C99" s="1001"/>
      <c r="D99" s="1001"/>
      <c r="E99" s="1001"/>
      <c r="F99" s="1001"/>
      <c r="G99" s="1001"/>
      <c r="H99" s="1001"/>
      <c r="I99" s="1001"/>
      <c r="J99" s="1001"/>
      <c r="K99" s="1001"/>
      <c r="L99" s="1001"/>
      <c r="M99" s="1001"/>
      <c r="O99" s="55"/>
      <c r="P99" s="56"/>
      <c r="Q99" s="56"/>
      <c r="R99" s="56"/>
      <c r="S99" s="56"/>
      <c r="T99" s="56"/>
      <c r="U99" s="56"/>
      <c r="V99" s="56"/>
      <c r="W99" s="56"/>
      <c r="X99" s="56"/>
      <c r="Y99" s="56"/>
      <c r="Z99" s="57"/>
    </row>
    <row r="100" spans="2:26" s="1" customFormat="1" ht="4.2" customHeight="1" thickBot="1">
      <c r="O100" s="55"/>
      <c r="P100" s="56"/>
      <c r="Q100" s="56"/>
      <c r="R100" s="56"/>
      <c r="S100" s="56"/>
      <c r="T100" s="56"/>
      <c r="U100" s="56"/>
      <c r="V100" s="56"/>
      <c r="W100" s="56"/>
      <c r="X100" s="56"/>
      <c r="Y100" s="56"/>
      <c r="Z100" s="57"/>
    </row>
    <row r="101" spans="2:26" s="1" customFormat="1" ht="15" customHeight="1" thickTop="1">
      <c r="B101" s="52"/>
      <c r="C101" s="53"/>
      <c r="D101" s="53"/>
      <c r="E101" s="53"/>
      <c r="F101" s="53"/>
      <c r="G101" s="53"/>
      <c r="H101" s="53"/>
      <c r="I101" s="53"/>
      <c r="J101" s="53"/>
      <c r="K101" s="53"/>
      <c r="L101" s="53"/>
      <c r="M101" s="54"/>
      <c r="O101" s="55"/>
      <c r="P101" s="56"/>
      <c r="Q101" s="56"/>
      <c r="R101" s="56"/>
      <c r="S101" s="56"/>
      <c r="T101" s="56"/>
      <c r="U101" s="56"/>
      <c r="V101" s="56"/>
      <c r="W101" s="56"/>
      <c r="X101" s="56"/>
      <c r="Y101" s="56"/>
      <c r="Z101" s="57"/>
    </row>
    <row r="102" spans="2:26" s="1" customFormat="1" ht="14.4" customHeight="1">
      <c r="B102" s="55"/>
      <c r="C102" s="56"/>
      <c r="D102" s="56"/>
      <c r="E102" s="56"/>
      <c r="F102" s="56"/>
      <c r="G102" s="56"/>
      <c r="H102" s="56"/>
      <c r="I102" s="56"/>
      <c r="J102" s="56"/>
      <c r="K102" s="56"/>
      <c r="L102" s="56"/>
      <c r="M102" s="57"/>
      <c r="O102" s="55"/>
      <c r="P102" s="56"/>
      <c r="Q102" s="56"/>
      <c r="R102" s="56"/>
      <c r="S102" s="56"/>
      <c r="T102" s="56"/>
      <c r="U102" s="56"/>
      <c r="V102" s="56"/>
      <c r="W102" s="56"/>
      <c r="X102" s="56"/>
      <c r="Y102" s="56"/>
      <c r="Z102" s="57"/>
    </row>
    <row r="103" spans="2:26" s="1" customFormat="1" ht="14.4" customHeight="1">
      <c r="B103" s="55"/>
      <c r="C103" s="56"/>
      <c r="D103" s="56"/>
      <c r="E103" s="56"/>
      <c r="F103" s="56"/>
      <c r="G103" s="56"/>
      <c r="H103" s="56"/>
      <c r="I103" s="56"/>
      <c r="J103" s="56"/>
      <c r="K103" s="56"/>
      <c r="L103" s="56"/>
      <c r="M103" s="57"/>
      <c r="O103" s="55"/>
      <c r="P103" s="56"/>
      <c r="Q103" s="56"/>
      <c r="R103" s="56"/>
      <c r="S103" s="56"/>
      <c r="T103" s="56"/>
      <c r="U103" s="56"/>
      <c r="V103" s="56"/>
      <c r="W103" s="56"/>
      <c r="X103" s="56"/>
      <c r="Y103" s="56"/>
      <c r="Z103" s="57"/>
    </row>
    <row r="104" spans="2:26" s="1" customFormat="1" ht="14.4" customHeight="1">
      <c r="B104" s="55"/>
      <c r="C104" s="56"/>
      <c r="D104" s="56"/>
      <c r="E104" s="56"/>
      <c r="F104" s="56"/>
      <c r="G104" s="56"/>
      <c r="H104" s="56"/>
      <c r="I104" s="56"/>
      <c r="J104" s="56"/>
      <c r="K104" s="56"/>
      <c r="L104" s="56"/>
      <c r="M104" s="57"/>
      <c r="O104" s="55"/>
      <c r="P104" s="56"/>
      <c r="Q104" s="56"/>
      <c r="R104" s="56"/>
      <c r="S104" s="56"/>
      <c r="T104" s="56"/>
      <c r="U104" s="56"/>
      <c r="V104" s="56"/>
      <c r="W104" s="56"/>
      <c r="X104" s="56"/>
      <c r="Y104" s="56"/>
      <c r="Z104" s="57"/>
    </row>
    <row r="105" spans="2:26" s="1" customFormat="1" ht="14.4" customHeight="1">
      <c r="B105" s="55"/>
      <c r="C105" s="56"/>
      <c r="D105" s="56"/>
      <c r="E105" s="56"/>
      <c r="F105" s="56"/>
      <c r="G105" s="56"/>
      <c r="H105" s="56"/>
      <c r="I105" s="56"/>
      <c r="J105" s="56"/>
      <c r="K105" s="56"/>
      <c r="L105" s="56"/>
      <c r="M105" s="57"/>
      <c r="O105" s="55"/>
      <c r="P105" s="56"/>
      <c r="Q105" s="56"/>
      <c r="R105" s="56"/>
      <c r="S105" s="56"/>
      <c r="T105" s="56"/>
      <c r="U105" s="56"/>
      <c r="V105" s="56"/>
      <c r="W105" s="56"/>
      <c r="X105" s="56"/>
      <c r="Y105" s="56"/>
      <c r="Z105" s="57"/>
    </row>
    <row r="106" spans="2:26" s="1" customFormat="1" ht="14.4" customHeight="1">
      <c r="B106" s="55"/>
      <c r="C106" s="56"/>
      <c r="D106" s="56"/>
      <c r="E106" s="56"/>
      <c r="F106" s="56"/>
      <c r="G106" s="56"/>
      <c r="H106" s="56"/>
      <c r="I106" s="56"/>
      <c r="J106" s="56"/>
      <c r="K106" s="56"/>
      <c r="L106" s="56"/>
      <c r="M106" s="57"/>
      <c r="O106" s="55"/>
      <c r="P106" s="56"/>
      <c r="Q106" s="56"/>
      <c r="R106" s="56"/>
      <c r="S106" s="56"/>
      <c r="T106" s="56"/>
      <c r="U106" s="56"/>
      <c r="V106" s="56"/>
      <c r="W106" s="56"/>
      <c r="X106" s="56"/>
      <c r="Y106" s="56"/>
      <c r="Z106" s="57"/>
    </row>
    <row r="107" spans="2:26" s="1" customFormat="1" ht="14.4" customHeight="1">
      <c r="B107" s="55"/>
      <c r="C107" s="56"/>
      <c r="D107" s="56"/>
      <c r="E107" s="56"/>
      <c r="F107" s="56"/>
      <c r="G107" s="56"/>
      <c r="H107" s="56"/>
      <c r="I107" s="56"/>
      <c r="J107" s="56"/>
      <c r="K107" s="56"/>
      <c r="L107" s="56"/>
      <c r="M107" s="57"/>
      <c r="O107" s="55"/>
      <c r="P107" s="56"/>
      <c r="Q107" s="56"/>
      <c r="R107" s="56"/>
      <c r="S107" s="56"/>
      <c r="T107" s="56"/>
      <c r="U107" s="56"/>
      <c r="V107" s="56"/>
      <c r="W107" s="56"/>
      <c r="X107" s="56"/>
      <c r="Y107" s="56"/>
      <c r="Z107" s="57"/>
    </row>
    <row r="108" spans="2:26" s="1" customFormat="1" ht="14.4" customHeight="1">
      <c r="B108" s="55"/>
      <c r="C108" s="56"/>
      <c r="D108" s="56"/>
      <c r="E108" s="56"/>
      <c r="F108" s="56"/>
      <c r="G108" s="56"/>
      <c r="H108" s="56"/>
      <c r="I108" s="56"/>
      <c r="J108" s="56"/>
      <c r="K108" s="56"/>
      <c r="L108" s="56"/>
      <c r="M108" s="57"/>
      <c r="O108" s="55"/>
      <c r="P108" s="56"/>
      <c r="Q108" s="56"/>
      <c r="R108" s="56"/>
      <c r="S108" s="56"/>
      <c r="T108" s="56"/>
      <c r="U108" s="56"/>
      <c r="V108" s="56"/>
      <c r="W108" s="56"/>
      <c r="X108" s="56"/>
      <c r="Y108" s="56"/>
      <c r="Z108" s="57"/>
    </row>
    <row r="109" spans="2:26" s="1" customFormat="1" ht="14.4" customHeight="1">
      <c r="B109" s="55"/>
      <c r="C109" s="56"/>
      <c r="D109" s="56"/>
      <c r="E109" s="56"/>
      <c r="F109" s="56"/>
      <c r="G109" s="56"/>
      <c r="H109" s="56"/>
      <c r="I109" s="56"/>
      <c r="J109" s="56"/>
      <c r="K109" s="56"/>
      <c r="L109" s="56"/>
      <c r="M109" s="57"/>
      <c r="O109" s="55"/>
      <c r="P109" s="56"/>
      <c r="Q109" s="56"/>
      <c r="R109" s="56"/>
      <c r="S109" s="56"/>
      <c r="T109" s="56"/>
      <c r="U109" s="56"/>
      <c r="V109" s="56"/>
      <c r="W109" s="56"/>
      <c r="X109" s="56"/>
      <c r="Y109" s="56"/>
      <c r="Z109" s="57"/>
    </row>
    <row r="110" spans="2:26" s="1" customFormat="1" ht="14.4" customHeight="1">
      <c r="B110" s="55"/>
      <c r="C110" s="56"/>
      <c r="D110" s="56"/>
      <c r="E110" s="56"/>
      <c r="F110" s="56"/>
      <c r="G110" s="56"/>
      <c r="H110" s="56"/>
      <c r="I110" s="56"/>
      <c r="J110" s="56"/>
      <c r="K110" s="56"/>
      <c r="L110" s="56"/>
      <c r="M110" s="57"/>
      <c r="O110" s="55"/>
      <c r="P110" s="56"/>
      <c r="Q110" s="56"/>
      <c r="R110" s="56"/>
      <c r="S110" s="56"/>
      <c r="T110" s="56"/>
      <c r="U110" s="56"/>
      <c r="V110" s="56"/>
      <c r="W110" s="56"/>
      <c r="X110" s="56"/>
      <c r="Y110" s="56"/>
      <c r="Z110" s="57"/>
    </row>
    <row r="111" spans="2:26" s="1" customFormat="1" ht="14.4" customHeight="1">
      <c r="B111" s="55"/>
      <c r="C111" s="56"/>
      <c r="D111" s="56"/>
      <c r="E111" s="56"/>
      <c r="F111" s="56"/>
      <c r="G111" s="56"/>
      <c r="H111" s="56"/>
      <c r="I111" s="56"/>
      <c r="J111" s="56"/>
      <c r="K111" s="56"/>
      <c r="L111" s="56"/>
      <c r="M111" s="57"/>
      <c r="O111" s="55"/>
      <c r="P111" s="56"/>
      <c r="Q111" s="56"/>
      <c r="R111" s="56"/>
      <c r="S111" s="56"/>
      <c r="T111" s="56"/>
      <c r="U111" s="56"/>
      <c r="V111" s="56"/>
      <c r="W111" s="56"/>
      <c r="X111" s="56"/>
      <c r="Y111" s="56"/>
      <c r="Z111" s="57"/>
    </row>
    <row r="112" spans="2:26" s="1" customFormat="1" ht="14.4" customHeight="1">
      <c r="B112" s="55"/>
      <c r="C112" s="56"/>
      <c r="D112" s="56"/>
      <c r="E112" s="56"/>
      <c r="F112" s="56"/>
      <c r="G112" s="56"/>
      <c r="H112" s="56"/>
      <c r="I112" s="56"/>
      <c r="J112" s="56"/>
      <c r="K112" s="56"/>
      <c r="L112" s="56"/>
      <c r="M112" s="57"/>
      <c r="O112" s="55"/>
      <c r="P112" s="56"/>
      <c r="Q112" s="56"/>
      <c r="R112" s="56"/>
      <c r="S112" s="56"/>
      <c r="T112" s="56"/>
      <c r="U112" s="56"/>
      <c r="V112" s="56"/>
      <c r="W112" s="56"/>
      <c r="X112" s="56"/>
      <c r="Y112" s="56"/>
      <c r="Z112" s="57"/>
    </row>
    <row r="113" spans="2:26" s="1" customFormat="1" ht="14.4" customHeight="1">
      <c r="B113" s="55"/>
      <c r="C113" s="56"/>
      <c r="D113" s="56"/>
      <c r="E113" s="56"/>
      <c r="F113" s="56"/>
      <c r="G113" s="56"/>
      <c r="H113" s="56"/>
      <c r="I113" s="56"/>
      <c r="J113" s="56"/>
      <c r="K113" s="56"/>
      <c r="L113" s="56"/>
      <c r="M113" s="57"/>
      <c r="O113" s="81"/>
      <c r="P113" s="80"/>
      <c r="Q113" s="80"/>
      <c r="R113" s="80"/>
      <c r="S113" s="80"/>
      <c r="T113" s="80"/>
      <c r="U113" s="80"/>
      <c r="V113" s="80"/>
      <c r="W113" s="80"/>
      <c r="X113" s="80"/>
      <c r="Y113" s="80"/>
      <c r="Z113" s="82"/>
    </row>
    <row r="114" spans="2:26" s="1" customFormat="1" ht="14.4" customHeight="1">
      <c r="B114" s="55"/>
      <c r="C114" s="56"/>
      <c r="D114" s="56"/>
      <c r="E114" s="56"/>
      <c r="F114" s="56"/>
      <c r="G114" s="56"/>
      <c r="H114" s="56"/>
      <c r="I114" s="56"/>
      <c r="J114" s="56"/>
      <c r="K114" s="56"/>
      <c r="L114" s="56"/>
      <c r="M114" s="57"/>
      <c r="O114" s="81"/>
      <c r="P114" s="80"/>
      <c r="Q114" s="80"/>
      <c r="R114" s="80"/>
      <c r="S114" s="80"/>
      <c r="T114" s="80"/>
      <c r="U114" s="80"/>
      <c r="V114" s="80"/>
      <c r="W114" s="80"/>
      <c r="X114" s="80"/>
      <c r="Y114" s="80"/>
      <c r="Z114" s="82"/>
    </row>
    <row r="115" spans="2:26" s="1" customFormat="1" ht="14.4" customHeight="1">
      <c r="B115" s="55"/>
      <c r="C115" s="56"/>
      <c r="D115" s="56"/>
      <c r="E115" s="56"/>
      <c r="F115" s="56"/>
      <c r="G115" s="56"/>
      <c r="H115" s="56"/>
      <c r="I115" s="56"/>
      <c r="J115" s="56"/>
      <c r="K115" s="56"/>
      <c r="L115" s="56"/>
      <c r="M115" s="57"/>
      <c r="O115" s="81"/>
      <c r="P115" s="80"/>
      <c r="Q115" s="80"/>
      <c r="R115" s="80"/>
      <c r="S115" s="80"/>
      <c r="T115" s="80"/>
      <c r="U115" s="80"/>
      <c r="V115" s="80"/>
      <c r="W115" s="80"/>
      <c r="X115" s="80"/>
      <c r="Y115" s="80"/>
      <c r="Z115" s="82"/>
    </row>
    <row r="116" spans="2:26" s="1" customFormat="1" ht="15" customHeight="1" thickBot="1">
      <c r="B116" s="58"/>
      <c r="C116" s="59"/>
      <c r="D116" s="59"/>
      <c r="E116" s="59"/>
      <c r="F116" s="59"/>
      <c r="G116" s="59"/>
      <c r="H116" s="59"/>
      <c r="I116" s="59"/>
      <c r="J116" s="59"/>
      <c r="K116" s="59"/>
      <c r="L116" s="59"/>
      <c r="M116" s="60"/>
      <c r="O116" s="83"/>
      <c r="P116" s="70"/>
      <c r="Q116" s="70"/>
      <c r="R116" s="70"/>
      <c r="S116" s="70"/>
      <c r="T116" s="70"/>
      <c r="U116" s="70"/>
      <c r="V116" s="70"/>
      <c r="W116" s="70"/>
      <c r="X116" s="70"/>
      <c r="Y116" s="70"/>
      <c r="Z116" s="84"/>
    </row>
    <row r="117" spans="2:26" ht="15" thickTop="1">
      <c r="O117" s="1"/>
      <c r="P117" s="1"/>
      <c r="Q117" s="1"/>
      <c r="R117" s="1"/>
      <c r="S117" s="1"/>
      <c r="T117" s="1"/>
      <c r="U117" s="1"/>
      <c r="V117" s="1"/>
      <c r="W117" s="1"/>
      <c r="X117" s="1"/>
      <c r="Y117" s="1"/>
      <c r="Z117" s="1"/>
    </row>
    <row r="118" spans="2:26" ht="18">
      <c r="B118" s="1000" t="s">
        <v>249</v>
      </c>
      <c r="C118" s="1000"/>
      <c r="D118" s="1000"/>
      <c r="E118" s="1000"/>
      <c r="F118" s="1000"/>
      <c r="G118" s="1000"/>
      <c r="H118" s="1000"/>
      <c r="I118" s="1000"/>
      <c r="J118" s="1000"/>
      <c r="K118" s="1000"/>
      <c r="L118" s="1000"/>
      <c r="M118" s="1000"/>
      <c r="O118" s="1001" t="s">
        <v>256</v>
      </c>
      <c r="P118" s="1001"/>
      <c r="Q118" s="1001"/>
      <c r="R118" s="1001"/>
      <c r="S118" s="1001"/>
      <c r="T118" s="1001"/>
      <c r="U118" s="1001"/>
      <c r="V118" s="1001"/>
      <c r="W118" s="1001"/>
      <c r="X118" s="1001"/>
      <c r="Y118" s="1001"/>
      <c r="Z118" s="1001"/>
    </row>
    <row r="119" spans="2:26" ht="3" customHeight="1" thickBot="1">
      <c r="B119" s="1"/>
      <c r="C119" s="1"/>
      <c r="D119" s="1"/>
      <c r="E119" s="1"/>
      <c r="F119" s="1"/>
      <c r="G119" s="1"/>
      <c r="H119" s="1"/>
      <c r="I119" s="1"/>
      <c r="J119" s="1"/>
      <c r="K119" s="1"/>
      <c r="L119" s="1"/>
      <c r="M119" s="1"/>
      <c r="O119" s="75"/>
      <c r="P119" s="75"/>
      <c r="Q119" s="75"/>
      <c r="R119" s="75"/>
      <c r="S119" s="75"/>
      <c r="T119" s="75"/>
      <c r="U119" s="75"/>
      <c r="V119" s="75"/>
      <c r="W119" s="75"/>
      <c r="X119" s="75"/>
      <c r="Y119" s="75"/>
      <c r="Z119" s="75"/>
    </row>
    <row r="120" spans="2:26" ht="15" thickTop="1">
      <c r="B120" s="52"/>
      <c r="C120" s="53"/>
      <c r="D120" s="53"/>
      <c r="E120" s="53"/>
      <c r="F120" s="53"/>
      <c r="G120" s="53"/>
      <c r="H120" s="53"/>
      <c r="I120" s="53"/>
      <c r="J120" s="53"/>
      <c r="K120" s="53"/>
      <c r="L120" s="53"/>
      <c r="M120" s="54"/>
      <c r="O120" s="71"/>
      <c r="P120" s="72"/>
      <c r="Q120" s="72"/>
      <c r="R120" s="72"/>
      <c r="S120" s="72"/>
      <c r="T120" s="72"/>
      <c r="U120" s="72"/>
      <c r="V120" s="72"/>
      <c r="W120" s="72"/>
      <c r="X120" s="72"/>
      <c r="Y120" s="72"/>
      <c r="Z120" s="73"/>
    </row>
    <row r="121" spans="2:26">
      <c r="B121" s="55"/>
      <c r="C121" s="56"/>
      <c r="D121" s="56"/>
      <c r="E121" s="56"/>
      <c r="F121" s="56"/>
      <c r="G121" s="56"/>
      <c r="H121" s="56"/>
      <c r="I121" s="56"/>
      <c r="J121" s="56"/>
      <c r="K121" s="56"/>
      <c r="L121" s="56"/>
      <c r="M121" s="57"/>
      <c r="O121" s="74"/>
      <c r="P121" s="75"/>
      <c r="Q121" s="75"/>
      <c r="R121" s="75"/>
      <c r="S121" s="75"/>
      <c r="T121" s="75"/>
      <c r="U121" s="75"/>
      <c r="V121" s="75"/>
      <c r="W121" s="75"/>
      <c r="X121" s="75"/>
      <c r="Y121" s="75"/>
      <c r="Z121" s="76"/>
    </row>
    <row r="122" spans="2:26">
      <c r="B122" s="55"/>
      <c r="C122" s="56"/>
      <c r="D122" s="56"/>
      <c r="E122" s="56"/>
      <c r="F122" s="56"/>
      <c r="G122" s="56"/>
      <c r="H122" s="56"/>
      <c r="I122" s="56"/>
      <c r="J122" s="56"/>
      <c r="K122" s="56"/>
      <c r="L122" s="56"/>
      <c r="M122" s="57"/>
      <c r="O122" s="74"/>
      <c r="P122" s="75"/>
      <c r="Q122" s="75"/>
      <c r="R122" s="75"/>
      <c r="S122" s="75"/>
      <c r="T122" s="75"/>
      <c r="U122" s="75"/>
      <c r="V122" s="75"/>
      <c r="W122" s="75"/>
      <c r="X122" s="75"/>
      <c r="Y122" s="75"/>
      <c r="Z122" s="76"/>
    </row>
    <row r="123" spans="2:26">
      <c r="B123" s="55"/>
      <c r="C123" s="56"/>
      <c r="D123" s="56"/>
      <c r="E123" s="56"/>
      <c r="F123" s="56"/>
      <c r="G123" s="56"/>
      <c r="H123" s="56"/>
      <c r="I123" s="56"/>
      <c r="J123" s="56"/>
      <c r="K123" s="56"/>
      <c r="L123" s="56"/>
      <c r="M123" s="57"/>
      <c r="O123" s="74"/>
      <c r="P123" s="75"/>
      <c r="Q123" s="75"/>
      <c r="R123" s="75"/>
      <c r="S123" s="75"/>
      <c r="T123" s="75"/>
      <c r="U123" s="75"/>
      <c r="V123" s="75"/>
      <c r="W123" s="75"/>
      <c r="X123" s="75"/>
      <c r="Y123" s="75"/>
      <c r="Z123" s="76"/>
    </row>
    <row r="124" spans="2:26">
      <c r="B124" s="55"/>
      <c r="C124" s="56"/>
      <c r="D124" s="56"/>
      <c r="E124" s="56"/>
      <c r="F124" s="56"/>
      <c r="G124" s="56"/>
      <c r="H124" s="56"/>
      <c r="I124" s="56"/>
      <c r="J124" s="56"/>
      <c r="K124" s="56"/>
      <c r="L124" s="56"/>
      <c r="M124" s="57"/>
      <c r="O124" s="74"/>
      <c r="P124" s="75"/>
      <c r="Q124" s="75"/>
      <c r="R124" s="75"/>
      <c r="S124" s="75"/>
      <c r="T124" s="75"/>
      <c r="U124" s="75"/>
      <c r="V124" s="75"/>
      <c r="W124" s="75"/>
      <c r="X124" s="75"/>
      <c r="Y124" s="75"/>
      <c r="Z124" s="76"/>
    </row>
    <row r="125" spans="2:26">
      <c r="B125" s="55"/>
      <c r="C125" s="56"/>
      <c r="D125" s="56"/>
      <c r="E125" s="56"/>
      <c r="F125" s="56"/>
      <c r="G125" s="56"/>
      <c r="H125" s="56"/>
      <c r="I125" s="56"/>
      <c r="J125" s="56"/>
      <c r="K125" s="56"/>
      <c r="L125" s="56"/>
      <c r="M125" s="57"/>
      <c r="O125" s="74"/>
      <c r="P125" s="75"/>
      <c r="Q125" s="75"/>
      <c r="R125" s="75"/>
      <c r="S125" s="75"/>
      <c r="T125" s="75"/>
      <c r="U125" s="75"/>
      <c r="V125" s="75"/>
      <c r="W125" s="75"/>
      <c r="X125" s="75"/>
      <c r="Y125" s="75"/>
      <c r="Z125" s="76"/>
    </row>
    <row r="126" spans="2:26">
      <c r="B126" s="55"/>
      <c r="C126" s="56"/>
      <c r="D126" s="56"/>
      <c r="E126" s="56"/>
      <c r="F126" s="56"/>
      <c r="G126" s="56"/>
      <c r="H126" s="56"/>
      <c r="I126" s="56"/>
      <c r="J126" s="56"/>
      <c r="K126" s="56"/>
      <c r="L126" s="56"/>
      <c r="M126" s="57"/>
      <c r="O126" s="74"/>
      <c r="P126" s="75"/>
      <c r="Q126" s="75"/>
      <c r="R126" s="75"/>
      <c r="S126" s="75"/>
      <c r="T126" s="75"/>
      <c r="U126" s="75"/>
      <c r="V126" s="75"/>
      <c r="W126" s="75"/>
      <c r="X126" s="75"/>
      <c r="Y126" s="75"/>
      <c r="Z126" s="76"/>
    </row>
    <row r="127" spans="2:26">
      <c r="B127" s="55"/>
      <c r="C127" s="56"/>
      <c r="D127" s="56"/>
      <c r="E127" s="56"/>
      <c r="F127" s="56"/>
      <c r="G127" s="56"/>
      <c r="H127" s="56"/>
      <c r="I127" s="56"/>
      <c r="J127" s="56"/>
      <c r="K127" s="56"/>
      <c r="L127" s="56"/>
      <c r="M127" s="57"/>
      <c r="O127" s="74"/>
      <c r="P127" s="75"/>
      <c r="Q127" s="75"/>
      <c r="R127" s="75"/>
      <c r="S127" s="75"/>
      <c r="T127" s="75"/>
      <c r="U127" s="75"/>
      <c r="V127" s="75"/>
      <c r="W127" s="75"/>
      <c r="X127" s="75"/>
      <c r="Y127" s="75"/>
      <c r="Z127" s="76"/>
    </row>
    <row r="128" spans="2:26">
      <c r="B128" s="55"/>
      <c r="C128" s="56"/>
      <c r="D128" s="56"/>
      <c r="E128" s="56"/>
      <c r="F128" s="56"/>
      <c r="G128" s="56"/>
      <c r="H128" s="56"/>
      <c r="I128" s="56"/>
      <c r="J128" s="56"/>
      <c r="K128" s="56"/>
      <c r="L128" s="56"/>
      <c r="M128" s="57"/>
      <c r="O128" s="74"/>
      <c r="P128" s="75"/>
      <c r="Q128" s="75"/>
      <c r="R128" s="75"/>
      <c r="S128" s="75"/>
      <c r="T128" s="75"/>
      <c r="U128" s="75"/>
      <c r="V128" s="75"/>
      <c r="W128" s="75"/>
      <c r="X128" s="75"/>
      <c r="Y128" s="75"/>
      <c r="Z128" s="76"/>
    </row>
    <row r="129" spans="2:26">
      <c r="B129" s="55"/>
      <c r="C129" s="56"/>
      <c r="D129" s="56"/>
      <c r="E129" s="56"/>
      <c r="F129" s="56"/>
      <c r="G129" s="56"/>
      <c r="H129" s="56"/>
      <c r="I129" s="56"/>
      <c r="J129" s="56"/>
      <c r="K129" s="56"/>
      <c r="L129" s="56"/>
      <c r="M129" s="57"/>
      <c r="O129" s="74"/>
      <c r="P129" s="75"/>
      <c r="Q129" s="75"/>
      <c r="R129" s="75"/>
      <c r="S129" s="75"/>
      <c r="T129" s="75"/>
      <c r="U129" s="75"/>
      <c r="V129" s="75"/>
      <c r="W129" s="75"/>
      <c r="X129" s="75"/>
      <c r="Y129" s="75"/>
      <c r="Z129" s="76"/>
    </row>
    <row r="130" spans="2:26">
      <c r="B130" s="55"/>
      <c r="C130" s="56"/>
      <c r="D130" s="56"/>
      <c r="E130" s="56"/>
      <c r="F130" s="56"/>
      <c r="G130" s="56"/>
      <c r="H130" s="56"/>
      <c r="I130" s="56"/>
      <c r="J130" s="56"/>
      <c r="K130" s="56"/>
      <c r="L130" s="56"/>
      <c r="M130" s="57"/>
      <c r="O130" s="74"/>
      <c r="P130" s="75"/>
      <c r="Q130" s="75"/>
      <c r="R130" s="75"/>
      <c r="S130" s="75"/>
      <c r="T130" s="75"/>
      <c r="U130" s="75"/>
      <c r="V130" s="75"/>
      <c r="W130" s="75"/>
      <c r="X130" s="75"/>
      <c r="Y130" s="75"/>
      <c r="Z130" s="76"/>
    </row>
    <row r="131" spans="2:26">
      <c r="B131" s="55"/>
      <c r="C131" s="56"/>
      <c r="D131" s="56"/>
      <c r="E131" s="56"/>
      <c r="F131" s="56"/>
      <c r="G131" s="56"/>
      <c r="H131" s="56"/>
      <c r="I131" s="56"/>
      <c r="J131" s="56"/>
      <c r="K131" s="56"/>
      <c r="L131" s="56"/>
      <c r="M131" s="57"/>
      <c r="O131" s="74"/>
      <c r="P131" s="75"/>
      <c r="Q131" s="75"/>
      <c r="R131" s="75"/>
      <c r="S131" s="75"/>
      <c r="T131" s="75"/>
      <c r="U131" s="75"/>
      <c r="V131" s="75"/>
      <c r="W131" s="75"/>
      <c r="X131" s="75"/>
      <c r="Y131" s="75"/>
      <c r="Z131" s="76"/>
    </row>
    <row r="132" spans="2:26">
      <c r="B132" s="55"/>
      <c r="C132" s="56"/>
      <c r="D132" s="56"/>
      <c r="E132" s="56"/>
      <c r="F132" s="56"/>
      <c r="G132" s="56"/>
      <c r="H132" s="56"/>
      <c r="I132" s="56"/>
      <c r="J132" s="56"/>
      <c r="K132" s="56"/>
      <c r="L132" s="56"/>
      <c r="M132" s="57"/>
      <c r="O132" s="74"/>
      <c r="P132" s="75"/>
      <c r="Q132" s="75"/>
      <c r="R132" s="75"/>
      <c r="S132" s="75"/>
      <c r="T132" s="75"/>
      <c r="U132" s="75"/>
      <c r="V132" s="75"/>
      <c r="W132" s="75"/>
      <c r="X132" s="75"/>
      <c r="Y132" s="75"/>
      <c r="Z132" s="76"/>
    </row>
    <row r="133" spans="2:26">
      <c r="B133" s="55"/>
      <c r="C133" s="56"/>
      <c r="D133" s="56"/>
      <c r="E133" s="56"/>
      <c r="F133" s="56"/>
      <c r="G133" s="56"/>
      <c r="H133" s="56"/>
      <c r="I133" s="56"/>
      <c r="J133" s="56"/>
      <c r="K133" s="56"/>
      <c r="L133" s="56"/>
      <c r="M133" s="57"/>
      <c r="O133" s="74"/>
      <c r="P133" s="75"/>
      <c r="Q133" s="75"/>
      <c r="R133" s="75"/>
      <c r="S133" s="75"/>
      <c r="T133" s="75"/>
      <c r="U133" s="75"/>
      <c r="V133" s="75"/>
      <c r="W133" s="75"/>
      <c r="X133" s="75"/>
      <c r="Y133" s="75"/>
      <c r="Z133" s="76"/>
    </row>
    <row r="134" spans="2:26">
      <c r="B134" s="55"/>
      <c r="C134" s="56"/>
      <c r="D134" s="56"/>
      <c r="E134" s="56"/>
      <c r="F134" s="56"/>
      <c r="G134" s="56"/>
      <c r="H134" s="56"/>
      <c r="I134" s="56"/>
      <c r="J134" s="56"/>
      <c r="K134" s="56"/>
      <c r="L134" s="56"/>
      <c r="M134" s="57"/>
      <c r="O134" s="74"/>
      <c r="P134" s="75"/>
      <c r="Q134" s="75"/>
      <c r="R134" s="75"/>
      <c r="S134" s="75"/>
      <c r="T134" s="75"/>
      <c r="U134" s="75"/>
      <c r="V134" s="75"/>
      <c r="W134" s="75"/>
      <c r="X134" s="75"/>
      <c r="Y134" s="75"/>
      <c r="Z134" s="76"/>
    </row>
    <row r="135" spans="2:26">
      <c r="B135" s="55"/>
      <c r="C135" s="56"/>
      <c r="D135" s="56"/>
      <c r="E135" s="56"/>
      <c r="F135" s="56"/>
      <c r="G135" s="56"/>
      <c r="H135" s="56"/>
      <c r="I135" s="56"/>
      <c r="J135" s="56"/>
      <c r="K135" s="56"/>
      <c r="L135" s="56"/>
      <c r="M135" s="57"/>
      <c r="O135" s="74"/>
      <c r="P135" s="75"/>
      <c r="Q135" s="75"/>
      <c r="R135" s="75"/>
      <c r="S135" s="75"/>
      <c r="T135" s="75"/>
      <c r="U135" s="75"/>
      <c r="V135" s="75"/>
      <c r="W135" s="75"/>
      <c r="X135" s="75"/>
      <c r="Y135" s="75"/>
      <c r="Z135" s="76"/>
    </row>
    <row r="136" spans="2:26">
      <c r="B136" s="55"/>
      <c r="C136" s="56"/>
      <c r="D136" s="56"/>
      <c r="E136" s="56"/>
      <c r="F136" s="56"/>
      <c r="G136" s="56"/>
      <c r="H136" s="56"/>
      <c r="I136" s="56"/>
      <c r="J136" s="56"/>
      <c r="K136" s="56"/>
      <c r="L136" s="56"/>
      <c r="M136" s="57"/>
      <c r="O136" s="74"/>
      <c r="P136" s="75"/>
      <c r="Q136" s="75"/>
      <c r="R136" s="75"/>
      <c r="S136" s="75"/>
      <c r="T136" s="75"/>
      <c r="U136" s="75"/>
      <c r="V136" s="75"/>
      <c r="W136" s="75"/>
      <c r="X136" s="75"/>
      <c r="Y136" s="75"/>
      <c r="Z136" s="76"/>
    </row>
    <row r="137" spans="2:26">
      <c r="B137" s="55"/>
      <c r="C137" s="56"/>
      <c r="D137" s="56"/>
      <c r="E137" s="56"/>
      <c r="F137" s="56"/>
      <c r="G137" s="56"/>
      <c r="H137" s="56"/>
      <c r="I137" s="56"/>
      <c r="J137" s="56"/>
      <c r="K137" s="56"/>
      <c r="L137" s="56"/>
      <c r="M137" s="57"/>
      <c r="O137" s="74"/>
      <c r="P137" s="75"/>
      <c r="Q137" s="75"/>
      <c r="R137" s="75"/>
      <c r="S137" s="75"/>
      <c r="T137" s="75"/>
      <c r="U137" s="75"/>
      <c r="V137" s="75"/>
      <c r="W137" s="75"/>
      <c r="X137" s="75"/>
      <c r="Y137" s="75"/>
      <c r="Z137" s="76"/>
    </row>
    <row r="138" spans="2:26">
      <c r="B138" s="55"/>
      <c r="C138" s="56"/>
      <c r="D138" s="56"/>
      <c r="E138" s="56"/>
      <c r="F138" s="56"/>
      <c r="G138" s="56"/>
      <c r="H138" s="56"/>
      <c r="I138" s="56"/>
      <c r="J138" s="56"/>
      <c r="K138" s="56"/>
      <c r="L138" s="56"/>
      <c r="M138" s="57"/>
      <c r="O138" s="74"/>
      <c r="P138" s="75"/>
      <c r="Q138" s="75"/>
      <c r="R138" s="75"/>
      <c r="S138" s="75"/>
      <c r="T138" s="75"/>
      <c r="U138" s="75"/>
      <c r="V138" s="75"/>
      <c r="W138" s="75"/>
      <c r="X138" s="75"/>
      <c r="Y138" s="75"/>
      <c r="Z138" s="76"/>
    </row>
    <row r="139" spans="2:26">
      <c r="B139" s="55"/>
      <c r="C139" s="56"/>
      <c r="D139" s="56"/>
      <c r="E139" s="56"/>
      <c r="F139" s="56"/>
      <c r="G139" s="56"/>
      <c r="H139" s="56"/>
      <c r="I139" s="56"/>
      <c r="J139" s="56"/>
      <c r="K139" s="56"/>
      <c r="L139" s="56"/>
      <c r="M139" s="57"/>
      <c r="O139" s="74"/>
      <c r="P139" s="75"/>
      <c r="Q139" s="75"/>
      <c r="R139" s="75"/>
      <c r="S139" s="75"/>
      <c r="T139" s="75"/>
      <c r="U139" s="75"/>
      <c r="V139" s="75"/>
      <c r="W139" s="75"/>
      <c r="X139" s="75"/>
      <c r="Y139" s="75"/>
      <c r="Z139" s="76"/>
    </row>
    <row r="140" spans="2:26">
      <c r="B140" s="55"/>
      <c r="C140" s="56"/>
      <c r="D140" s="56"/>
      <c r="E140" s="56"/>
      <c r="F140" s="56"/>
      <c r="G140" s="56"/>
      <c r="H140" s="56"/>
      <c r="I140" s="56"/>
      <c r="J140" s="56"/>
      <c r="K140" s="56"/>
      <c r="L140" s="56"/>
      <c r="M140" s="57"/>
      <c r="O140" s="74"/>
      <c r="P140" s="75"/>
      <c r="Q140" s="75"/>
      <c r="R140" s="75"/>
      <c r="S140" s="75"/>
      <c r="T140" s="75"/>
      <c r="U140" s="75"/>
      <c r="V140" s="75"/>
      <c r="W140" s="75"/>
      <c r="X140" s="75"/>
      <c r="Y140" s="75"/>
      <c r="Z140" s="76"/>
    </row>
    <row r="141" spans="2:26">
      <c r="B141" s="55"/>
      <c r="C141" s="56"/>
      <c r="D141" s="56"/>
      <c r="E141" s="56"/>
      <c r="F141" s="56"/>
      <c r="G141" s="56"/>
      <c r="H141" s="56"/>
      <c r="I141" s="56"/>
      <c r="J141" s="56"/>
      <c r="K141" s="56"/>
      <c r="L141" s="56"/>
      <c r="M141" s="57"/>
      <c r="O141" s="74"/>
      <c r="P141" s="75"/>
      <c r="Q141" s="75"/>
      <c r="R141" s="75"/>
      <c r="S141" s="75"/>
      <c r="T141" s="75"/>
      <c r="U141" s="75"/>
      <c r="V141" s="75"/>
      <c r="W141" s="75"/>
      <c r="X141" s="75"/>
      <c r="Y141" s="75"/>
      <c r="Z141" s="76"/>
    </row>
    <row r="142" spans="2:26">
      <c r="B142" s="55"/>
      <c r="C142" s="56"/>
      <c r="D142" s="56"/>
      <c r="E142" s="56"/>
      <c r="F142" s="56"/>
      <c r="G142" s="56"/>
      <c r="H142" s="56"/>
      <c r="I142" s="56"/>
      <c r="J142" s="56"/>
      <c r="K142" s="56"/>
      <c r="L142" s="56"/>
      <c r="M142" s="57"/>
      <c r="O142" s="74"/>
      <c r="P142" s="75"/>
      <c r="Q142" s="75"/>
      <c r="R142" s="75"/>
      <c r="S142" s="75"/>
      <c r="T142" s="75"/>
      <c r="U142" s="75"/>
      <c r="V142" s="75"/>
      <c r="W142" s="75"/>
      <c r="X142" s="75"/>
      <c r="Y142" s="75"/>
      <c r="Z142" s="76"/>
    </row>
    <row r="143" spans="2:26">
      <c r="B143" s="55"/>
      <c r="C143" s="56"/>
      <c r="D143" s="56"/>
      <c r="E143" s="56"/>
      <c r="F143" s="56"/>
      <c r="G143" s="56"/>
      <c r="H143" s="56"/>
      <c r="I143" s="56"/>
      <c r="J143" s="56"/>
      <c r="K143" s="56"/>
      <c r="L143" s="56"/>
      <c r="M143" s="57"/>
      <c r="O143" s="74"/>
      <c r="P143" s="75"/>
      <c r="Q143" s="75"/>
      <c r="R143" s="75"/>
      <c r="S143" s="75"/>
      <c r="T143" s="75"/>
      <c r="U143" s="75"/>
      <c r="V143" s="75"/>
      <c r="W143" s="75"/>
      <c r="X143" s="75"/>
      <c r="Y143" s="75"/>
      <c r="Z143" s="76"/>
    </row>
    <row r="144" spans="2:26">
      <c r="B144" s="55"/>
      <c r="C144" s="56"/>
      <c r="D144" s="56"/>
      <c r="E144" s="56"/>
      <c r="F144" s="56"/>
      <c r="G144" s="56"/>
      <c r="H144" s="56"/>
      <c r="I144" s="56"/>
      <c r="J144" s="56"/>
      <c r="K144" s="56"/>
      <c r="L144" s="56"/>
      <c r="M144" s="57"/>
      <c r="O144" s="74"/>
      <c r="P144" s="75"/>
      <c r="Q144" s="75"/>
      <c r="R144" s="75"/>
      <c r="S144" s="75"/>
      <c r="T144" s="75"/>
      <c r="U144" s="75"/>
      <c r="V144" s="75"/>
      <c r="W144" s="75"/>
      <c r="X144" s="75"/>
      <c r="Y144" s="75"/>
      <c r="Z144" s="76"/>
    </row>
    <row r="145" spans="2:26">
      <c r="B145" s="55"/>
      <c r="C145" s="56"/>
      <c r="D145" s="56"/>
      <c r="E145" s="56"/>
      <c r="F145" s="56"/>
      <c r="G145" s="56"/>
      <c r="H145" s="56"/>
      <c r="I145" s="56"/>
      <c r="J145" s="56"/>
      <c r="K145" s="56"/>
      <c r="L145" s="56"/>
      <c r="M145" s="57"/>
      <c r="O145" s="74"/>
      <c r="P145" s="75"/>
      <c r="Q145" s="75"/>
      <c r="R145" s="75"/>
      <c r="S145" s="75"/>
      <c r="T145" s="75"/>
      <c r="U145" s="75"/>
      <c r="V145" s="75"/>
      <c r="W145" s="75"/>
      <c r="X145" s="75"/>
      <c r="Y145" s="75"/>
      <c r="Z145" s="76"/>
    </row>
    <row r="146" spans="2:26">
      <c r="B146" s="55"/>
      <c r="C146" s="56"/>
      <c r="D146" s="56"/>
      <c r="E146" s="56"/>
      <c r="F146" s="56"/>
      <c r="G146" s="56"/>
      <c r="H146" s="56"/>
      <c r="I146" s="56"/>
      <c r="J146" s="56"/>
      <c r="K146" s="56"/>
      <c r="L146" s="56"/>
      <c r="M146" s="57"/>
      <c r="O146" s="74"/>
      <c r="P146" s="75"/>
      <c r="Q146" s="75"/>
      <c r="R146" s="75"/>
      <c r="S146" s="75"/>
      <c r="T146" s="75"/>
      <c r="U146" s="75"/>
      <c r="V146" s="75"/>
      <c r="W146" s="75"/>
      <c r="X146" s="75"/>
      <c r="Y146" s="75"/>
      <c r="Z146" s="76"/>
    </row>
    <row r="147" spans="2:26">
      <c r="B147" s="55"/>
      <c r="C147" s="56"/>
      <c r="D147" s="56"/>
      <c r="E147" s="56"/>
      <c r="F147" s="56"/>
      <c r="G147" s="56"/>
      <c r="H147" s="56"/>
      <c r="I147" s="56"/>
      <c r="J147" s="56"/>
      <c r="K147" s="56"/>
      <c r="L147" s="56"/>
      <c r="M147" s="57"/>
      <c r="O147" s="74"/>
      <c r="P147" s="75"/>
      <c r="Q147" s="75"/>
      <c r="R147" s="75"/>
      <c r="S147" s="75"/>
      <c r="T147" s="75"/>
      <c r="U147" s="75"/>
      <c r="V147" s="75"/>
      <c r="W147" s="75"/>
      <c r="X147" s="75"/>
      <c r="Y147" s="75"/>
      <c r="Z147" s="76"/>
    </row>
    <row r="148" spans="2:26">
      <c r="B148" s="55"/>
      <c r="C148" s="56"/>
      <c r="D148" s="56"/>
      <c r="E148" s="56"/>
      <c r="F148" s="56"/>
      <c r="G148" s="56"/>
      <c r="H148" s="56"/>
      <c r="I148" s="56"/>
      <c r="J148" s="56"/>
      <c r="K148" s="56"/>
      <c r="L148" s="56"/>
      <c r="M148" s="57"/>
      <c r="O148" s="74"/>
      <c r="P148" s="75"/>
      <c r="Q148" s="75"/>
      <c r="R148" s="75"/>
      <c r="S148" s="75"/>
      <c r="T148" s="75"/>
      <c r="U148" s="75"/>
      <c r="V148" s="75"/>
      <c r="W148" s="75"/>
      <c r="X148" s="75"/>
      <c r="Y148" s="75"/>
      <c r="Z148" s="76"/>
    </row>
    <row r="149" spans="2:26">
      <c r="B149" s="55"/>
      <c r="C149" s="56"/>
      <c r="D149" s="56"/>
      <c r="E149" s="56"/>
      <c r="F149" s="56"/>
      <c r="G149" s="56"/>
      <c r="H149" s="56"/>
      <c r="I149" s="56"/>
      <c r="J149" s="56"/>
      <c r="K149" s="56"/>
      <c r="L149" s="56"/>
      <c r="M149" s="57"/>
      <c r="O149" s="74"/>
      <c r="P149" s="75"/>
      <c r="Q149" s="75"/>
      <c r="R149" s="75"/>
      <c r="S149" s="75"/>
      <c r="T149" s="75"/>
      <c r="U149" s="75"/>
      <c r="V149" s="75"/>
      <c r="W149" s="75"/>
      <c r="X149" s="75"/>
      <c r="Y149" s="75"/>
      <c r="Z149" s="76"/>
    </row>
    <row r="150" spans="2:26" ht="15" thickBot="1">
      <c r="B150" s="58"/>
      <c r="C150" s="59"/>
      <c r="D150" s="59"/>
      <c r="E150" s="59"/>
      <c r="F150" s="59"/>
      <c r="G150" s="59"/>
      <c r="H150" s="59"/>
      <c r="I150" s="59"/>
      <c r="J150" s="59"/>
      <c r="K150" s="59"/>
      <c r="L150" s="59"/>
      <c r="M150" s="60"/>
      <c r="O150" s="77"/>
      <c r="P150" s="78"/>
      <c r="Q150" s="78"/>
      <c r="R150" s="78"/>
      <c r="S150" s="78"/>
      <c r="T150" s="78"/>
      <c r="U150" s="78"/>
      <c r="V150" s="78"/>
      <c r="W150" s="78"/>
      <c r="X150" s="78"/>
      <c r="Y150" s="78"/>
      <c r="Z150" s="79"/>
    </row>
    <row r="151" spans="2:26" ht="15" thickTop="1"/>
    <row r="152" spans="2:26" ht="18">
      <c r="B152" s="1000" t="s">
        <v>250</v>
      </c>
      <c r="C152" s="1000"/>
      <c r="D152" s="1000"/>
      <c r="E152" s="1000"/>
      <c r="F152" s="1000"/>
      <c r="G152" s="1000"/>
      <c r="H152" s="1000"/>
      <c r="I152" s="1000"/>
      <c r="J152" s="1000"/>
      <c r="K152" s="1000"/>
      <c r="L152" s="1000"/>
      <c r="M152" s="1000"/>
      <c r="O152" s="1001" t="s">
        <v>257</v>
      </c>
      <c r="P152" s="1001"/>
      <c r="Q152" s="1001"/>
      <c r="R152" s="1001"/>
      <c r="S152" s="1001"/>
      <c r="T152" s="1001"/>
      <c r="U152" s="1001"/>
      <c r="V152" s="1001"/>
      <c r="W152" s="1001"/>
      <c r="X152" s="1001"/>
      <c r="Y152" s="1001"/>
      <c r="Z152" s="1001"/>
    </row>
    <row r="153" spans="2:26" ht="4.2" customHeight="1" thickBot="1"/>
    <row r="154" spans="2:26" ht="15" thickTop="1">
      <c r="B154" s="52"/>
      <c r="C154" s="53"/>
      <c r="D154" s="53"/>
      <c r="E154" s="53"/>
      <c r="F154" s="53"/>
      <c r="G154" s="53"/>
      <c r="H154" s="53"/>
      <c r="I154" s="53"/>
      <c r="J154" s="53"/>
      <c r="K154" s="53"/>
      <c r="L154" s="53"/>
      <c r="M154" s="54"/>
      <c r="O154" s="52"/>
      <c r="P154" s="53"/>
      <c r="Q154" s="53"/>
      <c r="R154" s="53"/>
      <c r="S154" s="53"/>
      <c r="T154" s="53"/>
      <c r="U154" s="53"/>
      <c r="V154" s="53"/>
      <c r="W154" s="53"/>
      <c r="X154" s="53"/>
      <c r="Y154" s="53"/>
      <c r="Z154" s="54"/>
    </row>
    <row r="155" spans="2:26">
      <c r="B155" s="55"/>
      <c r="C155" s="56"/>
      <c r="D155" s="56"/>
      <c r="E155" s="56"/>
      <c r="F155" s="56"/>
      <c r="G155" s="56"/>
      <c r="H155" s="56"/>
      <c r="I155" s="56"/>
      <c r="J155" s="56"/>
      <c r="K155" s="56"/>
      <c r="L155" s="56"/>
      <c r="M155" s="57"/>
      <c r="O155" s="55"/>
      <c r="P155" s="56"/>
      <c r="Q155" s="56"/>
      <c r="R155" s="56"/>
      <c r="S155" s="56"/>
      <c r="T155" s="56"/>
      <c r="U155" s="56"/>
      <c r="V155" s="56"/>
      <c r="W155" s="56"/>
      <c r="X155" s="56"/>
      <c r="Y155" s="56"/>
      <c r="Z155" s="57"/>
    </row>
    <row r="156" spans="2:26">
      <c r="B156" s="55"/>
      <c r="C156" s="56"/>
      <c r="D156" s="56"/>
      <c r="E156" s="56"/>
      <c r="F156" s="56"/>
      <c r="G156" s="56"/>
      <c r="H156" s="56"/>
      <c r="I156" s="56"/>
      <c r="J156" s="56"/>
      <c r="K156" s="56"/>
      <c r="L156" s="56"/>
      <c r="M156" s="57"/>
      <c r="O156" s="55"/>
      <c r="P156" s="56"/>
      <c r="Q156" s="56"/>
      <c r="R156" s="56"/>
      <c r="S156" s="56"/>
      <c r="T156" s="56"/>
      <c r="U156" s="56"/>
      <c r="V156" s="56"/>
      <c r="W156" s="56"/>
      <c r="X156" s="56"/>
      <c r="Y156" s="56"/>
      <c r="Z156" s="57"/>
    </row>
    <row r="157" spans="2:26">
      <c r="B157" s="55"/>
      <c r="C157" s="56"/>
      <c r="D157" s="56"/>
      <c r="E157" s="56"/>
      <c r="F157" s="56"/>
      <c r="G157" s="56"/>
      <c r="H157" s="56"/>
      <c r="I157" s="56"/>
      <c r="J157" s="56"/>
      <c r="K157" s="56"/>
      <c r="L157" s="56"/>
      <c r="M157" s="57"/>
      <c r="O157" s="55"/>
      <c r="P157" s="56"/>
      <c r="Q157" s="56"/>
      <c r="R157" s="56"/>
      <c r="S157" s="56"/>
      <c r="T157" s="56"/>
      <c r="U157" s="56"/>
      <c r="V157" s="56"/>
      <c r="W157" s="56"/>
      <c r="X157" s="56"/>
      <c r="Y157" s="56"/>
      <c r="Z157" s="57"/>
    </row>
    <row r="158" spans="2:26">
      <c r="B158" s="55"/>
      <c r="C158" s="56"/>
      <c r="D158" s="56"/>
      <c r="E158" s="56"/>
      <c r="F158" s="56"/>
      <c r="G158" s="56"/>
      <c r="H158" s="56"/>
      <c r="I158" s="56"/>
      <c r="J158" s="56"/>
      <c r="K158" s="56"/>
      <c r="L158" s="56"/>
      <c r="M158" s="57"/>
      <c r="O158" s="55"/>
      <c r="P158" s="56"/>
      <c r="Q158" s="56"/>
      <c r="R158" s="56"/>
      <c r="S158" s="56"/>
      <c r="T158" s="56"/>
      <c r="U158" s="56"/>
      <c r="V158" s="56"/>
      <c r="W158" s="56"/>
      <c r="X158" s="56"/>
      <c r="Y158" s="56"/>
      <c r="Z158" s="57"/>
    </row>
    <row r="159" spans="2:26">
      <c r="B159" s="55"/>
      <c r="C159" s="56"/>
      <c r="D159" s="56"/>
      <c r="E159" s="56"/>
      <c r="F159" s="56"/>
      <c r="G159" s="56"/>
      <c r="H159" s="56"/>
      <c r="I159" s="56"/>
      <c r="J159" s="56"/>
      <c r="K159" s="56"/>
      <c r="L159" s="56"/>
      <c r="M159" s="57"/>
      <c r="O159" s="55"/>
      <c r="P159" s="56"/>
      <c r="Q159" s="56"/>
      <c r="R159" s="56"/>
      <c r="S159" s="56"/>
      <c r="T159" s="56"/>
      <c r="U159" s="56"/>
      <c r="V159" s="56"/>
      <c r="W159" s="56"/>
      <c r="X159" s="56"/>
      <c r="Y159" s="56"/>
      <c r="Z159" s="57"/>
    </row>
    <row r="160" spans="2:26">
      <c r="B160" s="55"/>
      <c r="C160" s="56"/>
      <c r="D160" s="56"/>
      <c r="E160" s="56"/>
      <c r="F160" s="56"/>
      <c r="G160" s="56"/>
      <c r="H160" s="56"/>
      <c r="I160" s="56"/>
      <c r="J160" s="56"/>
      <c r="K160" s="56"/>
      <c r="L160" s="56"/>
      <c r="M160" s="57"/>
      <c r="O160" s="55"/>
      <c r="P160" s="56"/>
      <c r="Q160" s="56"/>
      <c r="R160" s="56"/>
      <c r="S160" s="56"/>
      <c r="T160" s="56"/>
      <c r="U160" s="56"/>
      <c r="V160" s="56"/>
      <c r="W160" s="56"/>
      <c r="X160" s="56"/>
      <c r="Y160" s="56"/>
      <c r="Z160" s="57"/>
    </row>
    <row r="161" spans="2:26">
      <c r="B161" s="55"/>
      <c r="C161" s="56"/>
      <c r="D161" s="56"/>
      <c r="E161" s="56"/>
      <c r="F161" s="56"/>
      <c r="G161" s="56"/>
      <c r="H161" s="56"/>
      <c r="I161" s="56"/>
      <c r="J161" s="56"/>
      <c r="K161" s="56"/>
      <c r="L161" s="56"/>
      <c r="M161" s="57"/>
      <c r="O161" s="55"/>
      <c r="P161" s="56"/>
      <c r="Q161" s="56"/>
      <c r="R161" s="56"/>
      <c r="S161" s="56"/>
      <c r="T161" s="56"/>
      <c r="U161" s="56"/>
      <c r="V161" s="56"/>
      <c r="W161" s="56"/>
      <c r="X161" s="56"/>
      <c r="Y161" s="56"/>
      <c r="Z161" s="57"/>
    </row>
    <row r="162" spans="2:26">
      <c r="B162" s="55"/>
      <c r="C162" s="56"/>
      <c r="D162" s="56"/>
      <c r="E162" s="56"/>
      <c r="F162" s="56"/>
      <c r="G162" s="56"/>
      <c r="H162" s="56"/>
      <c r="I162" s="56"/>
      <c r="J162" s="56"/>
      <c r="K162" s="56"/>
      <c r="L162" s="56"/>
      <c r="M162" s="57"/>
      <c r="O162" s="55"/>
      <c r="P162" s="56"/>
      <c r="Q162" s="56"/>
      <c r="R162" s="56"/>
      <c r="S162" s="56"/>
      <c r="T162" s="56"/>
      <c r="U162" s="56"/>
      <c r="V162" s="56"/>
      <c r="W162" s="56"/>
      <c r="X162" s="56"/>
      <c r="Y162" s="56"/>
      <c r="Z162" s="57"/>
    </row>
    <row r="163" spans="2:26">
      <c r="B163" s="55"/>
      <c r="C163" s="56"/>
      <c r="D163" s="56"/>
      <c r="E163" s="56"/>
      <c r="F163" s="56"/>
      <c r="G163" s="56"/>
      <c r="H163" s="56"/>
      <c r="I163" s="56"/>
      <c r="J163" s="56"/>
      <c r="K163" s="56"/>
      <c r="L163" s="56"/>
      <c r="M163" s="57"/>
      <c r="O163" s="55"/>
      <c r="P163" s="56"/>
      <c r="Q163" s="56"/>
      <c r="R163" s="56"/>
      <c r="S163" s="56"/>
      <c r="T163" s="56"/>
      <c r="U163" s="56"/>
      <c r="V163" s="56"/>
      <c r="W163" s="56"/>
      <c r="X163" s="56"/>
      <c r="Y163" s="56"/>
      <c r="Z163" s="57"/>
    </row>
    <row r="164" spans="2:26">
      <c r="B164" s="55"/>
      <c r="C164" s="56"/>
      <c r="D164" s="56"/>
      <c r="E164" s="56"/>
      <c r="F164" s="56"/>
      <c r="G164" s="56"/>
      <c r="H164" s="56"/>
      <c r="I164" s="56"/>
      <c r="J164" s="56"/>
      <c r="K164" s="56"/>
      <c r="L164" s="56"/>
      <c r="M164" s="57"/>
      <c r="O164" s="55"/>
      <c r="P164" s="56"/>
      <c r="Q164" s="56"/>
      <c r="R164" s="56"/>
      <c r="S164" s="56"/>
      <c r="T164" s="56"/>
      <c r="U164" s="56"/>
      <c r="V164" s="56"/>
      <c r="W164" s="56"/>
      <c r="X164" s="56"/>
      <c r="Y164" s="56"/>
      <c r="Z164" s="57"/>
    </row>
    <row r="165" spans="2:26">
      <c r="B165" s="55"/>
      <c r="C165" s="56"/>
      <c r="D165" s="56"/>
      <c r="E165" s="56"/>
      <c r="F165" s="56"/>
      <c r="G165" s="56"/>
      <c r="H165" s="56"/>
      <c r="I165" s="56"/>
      <c r="J165" s="56"/>
      <c r="K165" s="56"/>
      <c r="L165" s="56"/>
      <c r="M165" s="57"/>
      <c r="O165" s="55"/>
      <c r="P165" s="56"/>
      <c r="Q165" s="56"/>
      <c r="R165" s="56"/>
      <c r="S165" s="56"/>
      <c r="T165" s="56"/>
      <c r="U165" s="56"/>
      <c r="V165" s="56"/>
      <c r="W165" s="56"/>
      <c r="X165" s="56"/>
      <c r="Y165" s="56"/>
      <c r="Z165" s="57"/>
    </row>
    <row r="166" spans="2:26">
      <c r="B166" s="55"/>
      <c r="C166" s="56"/>
      <c r="D166" s="56"/>
      <c r="E166" s="56"/>
      <c r="F166" s="56"/>
      <c r="G166" s="56"/>
      <c r="H166" s="56"/>
      <c r="I166" s="56"/>
      <c r="J166" s="56"/>
      <c r="K166" s="56"/>
      <c r="L166" s="56"/>
      <c r="M166" s="57"/>
      <c r="O166" s="55"/>
      <c r="P166" s="56"/>
      <c r="Q166" s="56"/>
      <c r="R166" s="56"/>
      <c r="S166" s="56"/>
      <c r="T166" s="56"/>
      <c r="U166" s="56"/>
      <c r="V166" s="56"/>
      <c r="W166" s="56"/>
      <c r="X166" s="56"/>
      <c r="Y166" s="56"/>
      <c r="Z166" s="57"/>
    </row>
    <row r="167" spans="2:26">
      <c r="B167" s="55"/>
      <c r="C167" s="56"/>
      <c r="D167" s="56"/>
      <c r="E167" s="56"/>
      <c r="F167" s="56"/>
      <c r="G167" s="56"/>
      <c r="H167" s="56"/>
      <c r="I167" s="56"/>
      <c r="J167" s="56"/>
      <c r="K167" s="56"/>
      <c r="L167" s="56"/>
      <c r="M167" s="57"/>
      <c r="O167" s="55"/>
      <c r="P167" s="56"/>
      <c r="Q167" s="56"/>
      <c r="R167" s="56"/>
      <c r="S167" s="56"/>
      <c r="T167" s="56"/>
      <c r="U167" s="56"/>
      <c r="V167" s="56"/>
      <c r="W167" s="56"/>
      <c r="X167" s="56"/>
      <c r="Y167" s="56"/>
      <c r="Z167" s="57"/>
    </row>
    <row r="168" spans="2:26">
      <c r="B168" s="55"/>
      <c r="C168" s="56"/>
      <c r="D168" s="56"/>
      <c r="E168" s="56"/>
      <c r="F168" s="56"/>
      <c r="G168" s="56"/>
      <c r="H168" s="56"/>
      <c r="I168" s="56"/>
      <c r="J168" s="56"/>
      <c r="K168" s="56"/>
      <c r="L168" s="56"/>
      <c r="M168" s="57"/>
      <c r="O168" s="55"/>
      <c r="P168" s="56"/>
      <c r="Q168" s="56"/>
      <c r="R168" s="56"/>
      <c r="S168" s="56"/>
      <c r="T168" s="56"/>
      <c r="U168" s="56"/>
      <c r="V168" s="56"/>
      <c r="W168" s="56"/>
      <c r="X168" s="56"/>
      <c r="Y168" s="56"/>
      <c r="Z168" s="57"/>
    </row>
    <row r="169" spans="2:26" ht="15" thickBot="1">
      <c r="B169" s="58"/>
      <c r="C169" s="59"/>
      <c r="D169" s="59"/>
      <c r="E169" s="59"/>
      <c r="F169" s="59"/>
      <c r="G169" s="59"/>
      <c r="H169" s="59"/>
      <c r="I169" s="59"/>
      <c r="J169" s="59"/>
      <c r="K169" s="59"/>
      <c r="L169" s="59"/>
      <c r="M169" s="60"/>
      <c r="O169" s="55"/>
      <c r="P169" s="56"/>
      <c r="Q169" s="56"/>
      <c r="R169" s="56"/>
      <c r="S169" s="56"/>
      <c r="T169" s="56"/>
      <c r="U169" s="56"/>
      <c r="V169" s="56"/>
      <c r="W169" s="56"/>
      <c r="X169" s="56"/>
      <c r="Y169" s="56"/>
      <c r="Z169" s="57"/>
    </row>
    <row r="170" spans="2:26" ht="15" thickTop="1">
      <c r="O170" s="55"/>
      <c r="P170" s="56"/>
      <c r="Q170" s="56"/>
      <c r="R170" s="56"/>
      <c r="S170" s="56"/>
      <c r="T170" s="56"/>
      <c r="U170" s="56"/>
      <c r="V170" s="56"/>
      <c r="W170" s="56"/>
      <c r="X170" s="56"/>
      <c r="Y170" s="56"/>
      <c r="Z170" s="57"/>
    </row>
    <row r="171" spans="2:26" ht="18">
      <c r="B171" s="1000" t="s">
        <v>251</v>
      </c>
      <c r="C171" s="1000"/>
      <c r="D171" s="1000"/>
      <c r="E171" s="1000"/>
      <c r="F171" s="1000"/>
      <c r="G171" s="1000"/>
      <c r="H171" s="1000"/>
      <c r="I171" s="1000"/>
      <c r="J171" s="1000"/>
      <c r="K171" s="1000"/>
      <c r="L171" s="1000"/>
      <c r="M171" s="1000"/>
      <c r="O171" s="55"/>
      <c r="P171" s="56"/>
      <c r="Q171" s="56"/>
      <c r="R171" s="56"/>
      <c r="S171" s="56"/>
      <c r="T171" s="56"/>
      <c r="U171" s="56"/>
      <c r="V171" s="56"/>
      <c r="W171" s="56"/>
      <c r="X171" s="56"/>
      <c r="Y171" s="56"/>
      <c r="Z171" s="57"/>
    </row>
    <row r="172" spans="2:26" ht="3" customHeight="1" thickBot="1">
      <c r="O172" s="55"/>
      <c r="P172" s="56"/>
      <c r="Q172" s="56"/>
      <c r="R172" s="56"/>
      <c r="S172" s="56"/>
      <c r="T172" s="56"/>
      <c r="U172" s="56"/>
      <c r="V172" s="56"/>
      <c r="W172" s="56"/>
      <c r="X172" s="56"/>
      <c r="Y172" s="56"/>
      <c r="Z172" s="57"/>
    </row>
    <row r="173" spans="2:26" ht="15" thickTop="1">
      <c r="B173" s="52"/>
      <c r="C173" s="53"/>
      <c r="D173" s="53"/>
      <c r="E173" s="53"/>
      <c r="F173" s="53"/>
      <c r="G173" s="53"/>
      <c r="H173" s="53"/>
      <c r="I173" s="53"/>
      <c r="J173" s="53"/>
      <c r="K173" s="53"/>
      <c r="L173" s="53"/>
      <c r="M173" s="54"/>
      <c r="O173" s="55"/>
      <c r="P173" s="56"/>
      <c r="Q173" s="56"/>
      <c r="R173" s="56"/>
      <c r="S173" s="56"/>
      <c r="T173" s="56"/>
      <c r="U173" s="56"/>
      <c r="V173" s="56"/>
      <c r="W173" s="56"/>
      <c r="X173" s="56"/>
      <c r="Y173" s="56"/>
      <c r="Z173" s="57"/>
    </row>
    <row r="174" spans="2:26">
      <c r="B174" s="55"/>
      <c r="C174" s="56"/>
      <c r="D174" s="56"/>
      <c r="E174" s="56"/>
      <c r="F174" s="56"/>
      <c r="G174" s="56"/>
      <c r="H174" s="56"/>
      <c r="I174" s="56"/>
      <c r="J174" s="56"/>
      <c r="K174" s="56"/>
      <c r="L174" s="56"/>
      <c r="M174" s="57"/>
      <c r="O174" s="55"/>
      <c r="P174" s="56"/>
      <c r="Q174" s="56"/>
      <c r="R174" s="56"/>
      <c r="S174" s="56"/>
      <c r="T174" s="56"/>
      <c r="U174" s="56"/>
      <c r="V174" s="56"/>
      <c r="W174" s="56"/>
      <c r="X174" s="56"/>
      <c r="Y174" s="56"/>
      <c r="Z174" s="57"/>
    </row>
    <row r="175" spans="2:26">
      <c r="B175" s="55"/>
      <c r="C175" s="56"/>
      <c r="D175" s="56"/>
      <c r="E175" s="56"/>
      <c r="F175" s="56"/>
      <c r="G175" s="56"/>
      <c r="H175" s="56"/>
      <c r="I175" s="56"/>
      <c r="J175" s="56"/>
      <c r="K175" s="56"/>
      <c r="L175" s="56"/>
      <c r="M175" s="57"/>
      <c r="O175" s="55"/>
      <c r="P175" s="56"/>
      <c r="Q175" s="56"/>
      <c r="R175" s="56"/>
      <c r="S175" s="56"/>
      <c r="T175" s="56"/>
      <c r="U175" s="56"/>
      <c r="V175" s="56"/>
      <c r="W175" s="56"/>
      <c r="X175" s="56"/>
      <c r="Y175" s="56"/>
      <c r="Z175" s="57"/>
    </row>
    <row r="176" spans="2:26">
      <c r="B176" s="55"/>
      <c r="C176" s="56"/>
      <c r="D176" s="56"/>
      <c r="E176" s="56"/>
      <c r="F176" s="56"/>
      <c r="G176" s="56"/>
      <c r="H176" s="56"/>
      <c r="I176" s="56"/>
      <c r="J176" s="56"/>
      <c r="K176" s="56"/>
      <c r="L176" s="56"/>
      <c r="M176" s="57"/>
      <c r="O176" s="55"/>
      <c r="P176" s="56"/>
      <c r="Q176" s="56"/>
      <c r="R176" s="56"/>
      <c r="S176" s="56"/>
      <c r="T176" s="56"/>
      <c r="U176" s="56"/>
      <c r="V176" s="56"/>
      <c r="W176" s="56"/>
      <c r="X176" s="56"/>
      <c r="Y176" s="56"/>
      <c r="Z176" s="57"/>
    </row>
    <row r="177" spans="2:26">
      <c r="B177" s="55"/>
      <c r="C177" s="56"/>
      <c r="D177" s="56"/>
      <c r="E177" s="56"/>
      <c r="F177" s="56"/>
      <c r="G177" s="56"/>
      <c r="H177" s="56"/>
      <c r="I177" s="56"/>
      <c r="J177" s="56"/>
      <c r="K177" s="56"/>
      <c r="L177" s="56"/>
      <c r="M177" s="57"/>
      <c r="O177" s="55"/>
      <c r="P177" s="56"/>
      <c r="Q177" s="56"/>
      <c r="R177" s="56"/>
      <c r="S177" s="56"/>
      <c r="T177" s="56"/>
      <c r="U177" s="56"/>
      <c r="V177" s="56"/>
      <c r="W177" s="56"/>
      <c r="X177" s="56"/>
      <c r="Y177" s="56"/>
      <c r="Z177" s="57"/>
    </row>
    <row r="178" spans="2:26">
      <c r="B178" s="55"/>
      <c r="C178" s="56"/>
      <c r="D178" s="56"/>
      <c r="E178" s="56"/>
      <c r="F178" s="56"/>
      <c r="G178" s="56"/>
      <c r="H178" s="56"/>
      <c r="I178" s="56"/>
      <c r="J178" s="56"/>
      <c r="K178" s="56"/>
      <c r="L178" s="56"/>
      <c r="M178" s="57"/>
      <c r="O178" s="55"/>
      <c r="P178" s="56"/>
      <c r="Q178" s="56"/>
      <c r="R178" s="56"/>
      <c r="S178" s="56"/>
      <c r="T178" s="56"/>
      <c r="U178" s="56"/>
      <c r="V178" s="56"/>
      <c r="W178" s="56"/>
      <c r="X178" s="56"/>
      <c r="Y178" s="56"/>
      <c r="Z178" s="57"/>
    </row>
    <row r="179" spans="2:26">
      <c r="B179" s="55"/>
      <c r="C179" s="56"/>
      <c r="D179" s="56"/>
      <c r="E179" s="56"/>
      <c r="F179" s="56"/>
      <c r="G179" s="56"/>
      <c r="H179" s="56"/>
      <c r="I179" s="56"/>
      <c r="J179" s="56"/>
      <c r="K179" s="56"/>
      <c r="L179" s="56"/>
      <c r="M179" s="57"/>
      <c r="O179" s="55"/>
      <c r="P179" s="56"/>
      <c r="Q179" s="56"/>
      <c r="R179" s="56"/>
      <c r="S179" s="56"/>
      <c r="T179" s="56"/>
      <c r="U179" s="56"/>
      <c r="V179" s="56"/>
      <c r="W179" s="56"/>
      <c r="X179" s="56"/>
      <c r="Y179" s="56"/>
      <c r="Z179" s="57"/>
    </row>
    <row r="180" spans="2:26">
      <c r="B180" s="55"/>
      <c r="C180" s="56"/>
      <c r="D180" s="56"/>
      <c r="E180" s="56"/>
      <c r="F180" s="56"/>
      <c r="G180" s="56"/>
      <c r="H180" s="56"/>
      <c r="I180" s="56"/>
      <c r="J180" s="56"/>
      <c r="K180" s="56"/>
      <c r="L180" s="56"/>
      <c r="M180" s="57"/>
      <c r="O180" s="55"/>
      <c r="P180" s="56"/>
      <c r="Q180" s="56"/>
      <c r="R180" s="56"/>
      <c r="S180" s="56"/>
      <c r="T180" s="56"/>
      <c r="U180" s="56"/>
      <c r="V180" s="56"/>
      <c r="W180" s="56"/>
      <c r="X180" s="56"/>
      <c r="Y180" s="56"/>
      <c r="Z180" s="57"/>
    </row>
    <row r="181" spans="2:26">
      <c r="B181" s="55"/>
      <c r="C181" s="56"/>
      <c r="D181" s="56"/>
      <c r="E181" s="56"/>
      <c r="F181" s="56"/>
      <c r="G181" s="56"/>
      <c r="H181" s="56"/>
      <c r="I181" s="56"/>
      <c r="J181" s="56"/>
      <c r="K181" s="56"/>
      <c r="L181" s="56"/>
      <c r="M181" s="57"/>
      <c r="O181" s="55"/>
      <c r="P181" s="56"/>
      <c r="Q181" s="56"/>
      <c r="R181" s="56"/>
      <c r="S181" s="56"/>
      <c r="T181" s="56"/>
      <c r="U181" s="56"/>
      <c r="V181" s="56"/>
      <c r="W181" s="56"/>
      <c r="X181" s="56"/>
      <c r="Y181" s="56"/>
      <c r="Z181" s="57"/>
    </row>
    <row r="182" spans="2:26">
      <c r="B182" s="55"/>
      <c r="C182" s="56"/>
      <c r="D182" s="56"/>
      <c r="E182" s="56"/>
      <c r="F182" s="56"/>
      <c r="G182" s="56"/>
      <c r="H182" s="56"/>
      <c r="I182" s="56"/>
      <c r="J182" s="56"/>
      <c r="K182" s="56"/>
      <c r="L182" s="56"/>
      <c r="M182" s="57"/>
      <c r="O182" s="55"/>
      <c r="P182" s="56"/>
      <c r="Q182" s="56"/>
      <c r="R182" s="56"/>
      <c r="S182" s="56"/>
      <c r="T182" s="56"/>
      <c r="U182" s="56"/>
      <c r="V182" s="56"/>
      <c r="W182" s="56"/>
      <c r="X182" s="56"/>
      <c r="Y182" s="56"/>
      <c r="Z182" s="57"/>
    </row>
    <row r="183" spans="2:26">
      <c r="B183" s="55"/>
      <c r="C183" s="56"/>
      <c r="D183" s="56"/>
      <c r="E183" s="56"/>
      <c r="F183" s="56"/>
      <c r="G183" s="56"/>
      <c r="H183" s="56"/>
      <c r="I183" s="56"/>
      <c r="J183" s="56"/>
      <c r="K183" s="56"/>
      <c r="L183" s="56"/>
      <c r="M183" s="57"/>
      <c r="O183" s="55"/>
      <c r="P183" s="56"/>
      <c r="Q183" s="56"/>
      <c r="R183" s="56"/>
      <c r="S183" s="56"/>
      <c r="T183" s="56"/>
      <c r="U183" s="56"/>
      <c r="V183" s="56"/>
      <c r="W183" s="56"/>
      <c r="X183" s="56"/>
      <c r="Y183" s="56"/>
      <c r="Z183" s="57"/>
    </row>
    <row r="184" spans="2:26">
      <c r="B184" s="55"/>
      <c r="C184" s="56"/>
      <c r="D184" s="56"/>
      <c r="E184" s="56"/>
      <c r="F184" s="56"/>
      <c r="G184" s="56"/>
      <c r="H184" s="56"/>
      <c r="I184" s="56"/>
      <c r="J184" s="56"/>
      <c r="K184" s="56"/>
      <c r="L184" s="56"/>
      <c r="M184" s="57"/>
      <c r="O184" s="55"/>
      <c r="P184" s="56"/>
      <c r="Q184" s="56"/>
      <c r="R184" s="56"/>
      <c r="S184" s="56"/>
      <c r="T184" s="56"/>
      <c r="U184" s="56"/>
      <c r="V184" s="56"/>
      <c r="W184" s="56"/>
      <c r="X184" s="56"/>
      <c r="Y184" s="56"/>
      <c r="Z184" s="57"/>
    </row>
    <row r="185" spans="2:26">
      <c r="B185" s="55"/>
      <c r="C185" s="56"/>
      <c r="D185" s="56"/>
      <c r="E185" s="56"/>
      <c r="F185" s="56"/>
      <c r="G185" s="56"/>
      <c r="H185" s="56"/>
      <c r="I185" s="56"/>
      <c r="J185" s="56"/>
      <c r="K185" s="56"/>
      <c r="L185" s="56"/>
      <c r="M185" s="57"/>
      <c r="O185" s="55"/>
      <c r="P185" s="56"/>
      <c r="Q185" s="56"/>
      <c r="R185" s="56"/>
      <c r="S185" s="56"/>
      <c r="T185" s="56"/>
      <c r="U185" s="56"/>
      <c r="V185" s="56"/>
      <c r="W185" s="56"/>
      <c r="X185" s="56"/>
      <c r="Y185" s="56"/>
      <c r="Z185" s="57"/>
    </row>
    <row r="186" spans="2:26">
      <c r="B186" s="55"/>
      <c r="C186" s="56"/>
      <c r="D186" s="56"/>
      <c r="E186" s="56"/>
      <c r="F186" s="56"/>
      <c r="G186" s="56"/>
      <c r="H186" s="56"/>
      <c r="I186" s="56"/>
      <c r="J186" s="56"/>
      <c r="K186" s="56"/>
      <c r="L186" s="56"/>
      <c r="M186" s="57"/>
      <c r="O186" s="55"/>
      <c r="P186" s="56"/>
      <c r="Q186" s="56"/>
      <c r="R186" s="56"/>
      <c r="S186" s="56"/>
      <c r="T186" s="56"/>
      <c r="U186" s="56"/>
      <c r="V186" s="56"/>
      <c r="W186" s="56"/>
      <c r="X186" s="56"/>
      <c r="Y186" s="56"/>
      <c r="Z186" s="57"/>
    </row>
    <row r="187" spans="2:26">
      <c r="B187" s="55"/>
      <c r="C187" s="56"/>
      <c r="D187" s="56"/>
      <c r="E187" s="56"/>
      <c r="F187" s="56"/>
      <c r="G187" s="56"/>
      <c r="H187" s="56"/>
      <c r="I187" s="56"/>
      <c r="J187" s="56"/>
      <c r="K187" s="56"/>
      <c r="L187" s="56"/>
      <c r="M187" s="57"/>
      <c r="O187" s="55"/>
      <c r="P187" s="56"/>
      <c r="Q187" s="56"/>
      <c r="R187" s="56"/>
      <c r="S187" s="56"/>
      <c r="T187" s="56"/>
      <c r="U187" s="56"/>
      <c r="V187" s="56"/>
      <c r="W187" s="56"/>
      <c r="X187" s="56"/>
      <c r="Y187" s="56"/>
      <c r="Z187" s="57"/>
    </row>
    <row r="188" spans="2:26" ht="15" thickBot="1">
      <c r="B188" s="58"/>
      <c r="C188" s="59"/>
      <c r="D188" s="59"/>
      <c r="E188" s="59"/>
      <c r="F188" s="59"/>
      <c r="G188" s="59"/>
      <c r="H188" s="59"/>
      <c r="I188" s="59"/>
      <c r="J188" s="59"/>
      <c r="K188" s="59"/>
      <c r="L188" s="59"/>
      <c r="M188" s="60"/>
      <c r="O188" s="58"/>
      <c r="P188" s="59"/>
      <c r="Q188" s="59"/>
      <c r="R188" s="59"/>
      <c r="S188" s="59"/>
      <c r="T188" s="59"/>
      <c r="U188" s="59"/>
      <c r="V188" s="59"/>
      <c r="W188" s="59"/>
      <c r="X188" s="59"/>
      <c r="Y188" s="59"/>
      <c r="Z188" s="60"/>
    </row>
    <row r="189" spans="2:26" s="96" customFormat="1" ht="15" thickTop="1">
      <c r="B189" s="56"/>
      <c r="C189" s="56"/>
      <c r="D189" s="56"/>
      <c r="E189" s="56"/>
      <c r="F189" s="56"/>
      <c r="G189" s="56"/>
      <c r="H189" s="56"/>
      <c r="I189" s="56"/>
      <c r="J189" s="56"/>
      <c r="K189" s="56"/>
      <c r="L189" s="56"/>
      <c r="M189" s="56"/>
      <c r="O189" s="56"/>
      <c r="P189" s="56"/>
      <c r="Q189" s="56"/>
      <c r="R189" s="56"/>
      <c r="S189" s="56"/>
      <c r="T189" s="56"/>
      <c r="U189" s="56"/>
      <c r="V189" s="56"/>
      <c r="W189" s="56"/>
      <c r="X189" s="56"/>
      <c r="Y189" s="56"/>
      <c r="Z189" s="56"/>
    </row>
    <row r="190" spans="2:26" s="114" customFormat="1" ht="33.6" customHeight="1">
      <c r="B190" s="113"/>
      <c r="C190" s="113"/>
      <c r="D190" s="113"/>
      <c r="E190" s="113"/>
      <c r="F190" s="1003" t="s">
        <v>258</v>
      </c>
      <c r="G190" s="1003"/>
      <c r="H190" s="1003"/>
      <c r="I190" s="1003"/>
      <c r="J190" s="1003"/>
      <c r="K190" s="1003"/>
      <c r="L190" s="1003"/>
      <c r="M190" s="1003"/>
      <c r="N190" s="1003"/>
      <c r="O190" s="1003"/>
      <c r="P190" s="1003"/>
      <c r="Q190" s="1003"/>
      <c r="R190" s="1003"/>
      <c r="S190" s="1003"/>
      <c r="T190" s="1003"/>
      <c r="U190" s="1003"/>
      <c r="V190" s="1003"/>
      <c r="W190" s="1003"/>
      <c r="X190" s="113"/>
      <c r="Y190" s="113"/>
      <c r="Z190" s="113"/>
    </row>
    <row r="191" spans="2:26" s="96" customFormat="1" ht="4.95" customHeight="1">
      <c r="B191" s="56"/>
      <c r="C191" s="56"/>
      <c r="D191" s="56"/>
      <c r="E191" s="56"/>
      <c r="R191" s="56"/>
      <c r="S191" s="56"/>
      <c r="T191" s="56"/>
      <c r="U191" s="56"/>
      <c r="V191" s="56"/>
      <c r="W191" s="56"/>
      <c r="X191" s="56"/>
      <c r="Y191" s="56"/>
      <c r="Z191" s="56"/>
    </row>
    <row r="192" spans="2:26" ht="27.6" customHeight="1">
      <c r="F192" s="1002" t="s">
        <v>259</v>
      </c>
      <c r="G192" s="1002"/>
      <c r="H192" s="1002"/>
      <c r="I192" s="1002"/>
      <c r="J192" s="1002"/>
      <c r="K192" s="1002"/>
      <c r="L192" s="1002"/>
      <c r="M192" s="1002"/>
      <c r="N192" s="1002"/>
      <c r="O192" s="1002"/>
      <c r="P192" s="1002"/>
      <c r="Q192" s="1002"/>
      <c r="R192" s="1002"/>
      <c r="S192" s="1002"/>
      <c r="T192" s="1002"/>
      <c r="U192" s="1002"/>
      <c r="V192" s="1002"/>
      <c r="W192" s="1002"/>
    </row>
    <row r="193" spans="6:23" ht="15" thickBot="1"/>
    <row r="194" spans="6:23" ht="15" thickTop="1">
      <c r="F194" s="52"/>
      <c r="G194" s="53"/>
      <c r="H194" s="53"/>
      <c r="I194" s="53"/>
      <c r="J194" s="53"/>
      <c r="K194" s="53"/>
      <c r="L194" s="53"/>
      <c r="M194" s="53"/>
      <c r="N194" s="53"/>
      <c r="O194" s="53"/>
      <c r="P194" s="53"/>
      <c r="Q194" s="53"/>
      <c r="R194" s="53"/>
      <c r="S194" s="53"/>
      <c r="T194" s="53"/>
      <c r="U194" s="53"/>
      <c r="V194" s="53"/>
      <c r="W194" s="54"/>
    </row>
    <row r="195" spans="6:23">
      <c r="F195" s="55"/>
      <c r="G195" s="56"/>
      <c r="H195" s="56"/>
      <c r="I195" s="56"/>
      <c r="J195" s="56"/>
      <c r="K195" s="56"/>
      <c r="L195" s="56"/>
      <c r="M195" s="56"/>
      <c r="N195" s="56"/>
      <c r="O195" s="56"/>
      <c r="P195" s="56"/>
      <c r="Q195" s="56"/>
      <c r="R195" s="56"/>
      <c r="S195" s="56"/>
      <c r="T195" s="56"/>
      <c r="U195" s="56"/>
      <c r="V195" s="56"/>
      <c r="W195" s="57"/>
    </row>
    <row r="196" spans="6:23">
      <c r="F196" s="55"/>
      <c r="G196" s="56"/>
      <c r="H196" s="56"/>
      <c r="I196" s="56"/>
      <c r="J196" s="56"/>
      <c r="K196" s="56"/>
      <c r="L196" s="56"/>
      <c r="M196" s="56"/>
      <c r="N196" s="56"/>
      <c r="O196" s="56"/>
      <c r="P196" s="56"/>
      <c r="Q196" s="56"/>
      <c r="R196" s="56"/>
      <c r="S196" s="56"/>
      <c r="T196" s="56"/>
      <c r="U196" s="56"/>
      <c r="V196" s="56"/>
      <c r="W196" s="57"/>
    </row>
    <row r="197" spans="6:23">
      <c r="F197" s="55"/>
      <c r="G197" s="56"/>
      <c r="H197" s="56"/>
      <c r="I197" s="56"/>
      <c r="J197" s="56"/>
      <c r="K197" s="56"/>
      <c r="L197" s="56"/>
      <c r="M197" s="56"/>
      <c r="N197" s="56"/>
      <c r="O197" s="56"/>
      <c r="P197" s="56"/>
      <c r="Q197" s="56"/>
      <c r="R197" s="56"/>
      <c r="S197" s="56"/>
      <c r="T197" s="56"/>
      <c r="U197" s="56"/>
      <c r="V197" s="56"/>
      <c r="W197" s="57"/>
    </row>
    <row r="198" spans="6:23">
      <c r="F198" s="55"/>
      <c r="G198" s="56"/>
      <c r="H198" s="56"/>
      <c r="I198" s="56"/>
      <c r="J198" s="56"/>
      <c r="K198" s="56"/>
      <c r="L198" s="56"/>
      <c r="M198" s="56"/>
      <c r="N198" s="56"/>
      <c r="O198" s="56"/>
      <c r="P198" s="56"/>
      <c r="Q198" s="56"/>
      <c r="R198" s="56"/>
      <c r="S198" s="56"/>
      <c r="T198" s="56"/>
      <c r="U198" s="56"/>
      <c r="V198" s="56"/>
      <c r="W198" s="57"/>
    </row>
    <row r="199" spans="6:23">
      <c r="F199" s="55"/>
      <c r="G199" s="56"/>
      <c r="H199" s="56"/>
      <c r="I199" s="56"/>
      <c r="J199" s="56"/>
      <c r="K199" s="56"/>
      <c r="L199" s="56"/>
      <c r="M199" s="56"/>
      <c r="N199" s="56"/>
      <c r="O199" s="56"/>
      <c r="P199" s="56"/>
      <c r="Q199" s="56"/>
      <c r="R199" s="56"/>
      <c r="S199" s="56"/>
      <c r="T199" s="56"/>
      <c r="U199" s="56"/>
      <c r="V199" s="56"/>
      <c r="W199" s="57"/>
    </row>
    <row r="200" spans="6:23">
      <c r="F200" s="55"/>
      <c r="G200" s="56"/>
      <c r="H200" s="56"/>
      <c r="I200" s="56"/>
      <c r="J200" s="56"/>
      <c r="K200" s="56"/>
      <c r="L200" s="56"/>
      <c r="M200" s="56"/>
      <c r="N200" s="56"/>
      <c r="O200" s="56"/>
      <c r="P200" s="56"/>
      <c r="Q200" s="56"/>
      <c r="R200" s="56"/>
      <c r="S200" s="56"/>
      <c r="T200" s="56"/>
      <c r="U200" s="56"/>
      <c r="V200" s="56"/>
      <c r="W200" s="57"/>
    </row>
    <row r="201" spans="6:23">
      <c r="F201" s="55"/>
      <c r="G201" s="56"/>
      <c r="H201" s="56"/>
      <c r="I201" s="56"/>
      <c r="J201" s="56"/>
      <c r="K201" s="56"/>
      <c r="L201" s="56"/>
      <c r="M201" s="56"/>
      <c r="N201" s="56"/>
      <c r="O201" s="56"/>
      <c r="P201" s="56"/>
      <c r="Q201" s="56"/>
      <c r="R201" s="56"/>
      <c r="S201" s="56"/>
      <c r="T201" s="56"/>
      <c r="U201" s="56"/>
      <c r="V201" s="56"/>
      <c r="W201" s="57"/>
    </row>
    <row r="202" spans="6:23">
      <c r="F202" s="55"/>
      <c r="G202" s="56"/>
      <c r="H202" s="56"/>
      <c r="I202" s="56"/>
      <c r="J202" s="56"/>
      <c r="K202" s="56"/>
      <c r="L202" s="56"/>
      <c r="M202" s="56"/>
      <c r="N202" s="56"/>
      <c r="O202" s="56"/>
      <c r="P202" s="56"/>
      <c r="Q202" s="56"/>
      <c r="R202" s="56"/>
      <c r="S202" s="56"/>
      <c r="T202" s="56"/>
      <c r="U202" s="56"/>
      <c r="V202" s="56"/>
      <c r="W202" s="57"/>
    </row>
    <row r="203" spans="6:23">
      <c r="F203" s="55"/>
      <c r="G203" s="56"/>
      <c r="H203" s="56"/>
      <c r="I203" s="56"/>
      <c r="J203" s="56"/>
      <c r="K203" s="56"/>
      <c r="L203" s="56"/>
      <c r="M203" s="56"/>
      <c r="N203" s="56"/>
      <c r="O203" s="56"/>
      <c r="P203" s="56"/>
      <c r="Q203" s="56"/>
      <c r="R203" s="56"/>
      <c r="S203" s="56"/>
      <c r="T203" s="56"/>
      <c r="U203" s="56"/>
      <c r="V203" s="56"/>
      <c r="W203" s="57"/>
    </row>
    <row r="204" spans="6:23">
      <c r="F204" s="55"/>
      <c r="G204" s="56"/>
      <c r="H204" s="56"/>
      <c r="I204" s="56"/>
      <c r="J204" s="56"/>
      <c r="K204" s="56"/>
      <c r="L204" s="56"/>
      <c r="M204" s="56"/>
      <c r="N204" s="56"/>
      <c r="O204" s="56"/>
      <c r="P204" s="56"/>
      <c r="Q204" s="56"/>
      <c r="R204" s="56"/>
      <c r="S204" s="56"/>
      <c r="T204" s="56"/>
      <c r="U204" s="56"/>
      <c r="V204" s="56"/>
      <c r="W204" s="57"/>
    </row>
    <row r="205" spans="6:23">
      <c r="F205" s="55"/>
      <c r="G205" s="56"/>
      <c r="H205" s="56"/>
      <c r="I205" s="56"/>
      <c r="J205" s="56"/>
      <c r="K205" s="56"/>
      <c r="L205" s="56"/>
      <c r="M205" s="56"/>
      <c r="N205" s="56"/>
      <c r="O205" s="56"/>
      <c r="P205" s="56"/>
      <c r="Q205" s="56"/>
      <c r="R205" s="56"/>
      <c r="S205" s="56"/>
      <c r="T205" s="56"/>
      <c r="U205" s="56"/>
      <c r="V205" s="56"/>
      <c r="W205" s="57"/>
    </row>
    <row r="206" spans="6:23">
      <c r="F206" s="55"/>
      <c r="G206" s="56"/>
      <c r="H206" s="56"/>
      <c r="I206" s="56"/>
      <c r="J206" s="56"/>
      <c r="K206" s="56"/>
      <c r="L206" s="56"/>
      <c r="M206" s="56"/>
      <c r="N206" s="56"/>
      <c r="O206" s="56"/>
      <c r="P206" s="56"/>
      <c r="Q206" s="56"/>
      <c r="R206" s="56"/>
      <c r="S206" s="56"/>
      <c r="T206" s="56"/>
      <c r="U206" s="56"/>
      <c r="V206" s="56"/>
      <c r="W206" s="57"/>
    </row>
    <row r="207" spans="6:23">
      <c r="F207" s="55"/>
      <c r="G207" s="56"/>
      <c r="H207" s="56"/>
      <c r="I207" s="56"/>
      <c r="J207" s="56"/>
      <c r="K207" s="56"/>
      <c r="L207" s="56"/>
      <c r="M207" s="56"/>
      <c r="N207" s="56"/>
      <c r="O207" s="56"/>
      <c r="P207" s="56"/>
      <c r="Q207" s="56"/>
      <c r="R207" s="56"/>
      <c r="S207" s="56"/>
      <c r="T207" s="56"/>
      <c r="U207" s="56"/>
      <c r="V207" s="56"/>
      <c r="W207" s="57"/>
    </row>
    <row r="208" spans="6:23">
      <c r="F208" s="55"/>
      <c r="G208" s="56"/>
      <c r="H208" s="56"/>
      <c r="I208" s="56"/>
      <c r="J208" s="56"/>
      <c r="K208" s="56"/>
      <c r="L208" s="56"/>
      <c r="M208" s="56"/>
      <c r="N208" s="56"/>
      <c r="O208" s="56"/>
      <c r="P208" s="56"/>
      <c r="Q208" s="56"/>
      <c r="R208" s="56"/>
      <c r="S208" s="56"/>
      <c r="T208" s="56"/>
      <c r="U208" s="56"/>
      <c r="V208" s="56"/>
      <c r="W208" s="57"/>
    </row>
    <row r="209" spans="6:23">
      <c r="F209" s="55"/>
      <c r="G209" s="56"/>
      <c r="H209" s="56"/>
      <c r="I209" s="56"/>
      <c r="J209" s="56"/>
      <c r="K209" s="56"/>
      <c r="L209" s="56"/>
      <c r="M209" s="56"/>
      <c r="N209" s="56"/>
      <c r="O209" s="56"/>
      <c r="P209" s="56"/>
      <c r="Q209" s="56"/>
      <c r="R209" s="56"/>
      <c r="S209" s="56"/>
      <c r="T209" s="56"/>
      <c r="U209" s="56"/>
      <c r="V209" s="56"/>
      <c r="W209" s="57"/>
    </row>
    <row r="210" spans="6:23">
      <c r="F210" s="55"/>
      <c r="G210" s="56"/>
      <c r="H210" s="56"/>
      <c r="I210" s="56"/>
      <c r="J210" s="56"/>
      <c r="K210" s="56"/>
      <c r="L210" s="56"/>
      <c r="M210" s="56"/>
      <c r="N210" s="56"/>
      <c r="O210" s="56"/>
      <c r="P210" s="56"/>
      <c r="Q210" s="56"/>
      <c r="R210" s="56"/>
      <c r="S210" s="56"/>
      <c r="T210" s="56"/>
      <c r="U210" s="56"/>
      <c r="V210" s="56"/>
      <c r="W210" s="57"/>
    </row>
    <row r="211" spans="6:23">
      <c r="F211" s="55"/>
      <c r="G211" s="56"/>
      <c r="H211" s="56"/>
      <c r="I211" s="56"/>
      <c r="J211" s="56"/>
      <c r="K211" s="56"/>
      <c r="L211" s="56"/>
      <c r="M211" s="56"/>
      <c r="N211" s="56"/>
      <c r="O211" s="56"/>
      <c r="P211" s="56"/>
      <c r="Q211" s="56"/>
      <c r="R211" s="56"/>
      <c r="S211" s="56"/>
      <c r="T211" s="56"/>
      <c r="U211" s="56"/>
      <c r="V211" s="56"/>
      <c r="W211" s="57"/>
    </row>
    <row r="212" spans="6:23">
      <c r="F212" s="55"/>
      <c r="G212" s="56"/>
      <c r="H212" s="56"/>
      <c r="I212" s="56"/>
      <c r="J212" s="56"/>
      <c r="K212" s="56"/>
      <c r="L212" s="56"/>
      <c r="M212" s="56"/>
      <c r="N212" s="56"/>
      <c r="O212" s="56"/>
      <c r="P212" s="56"/>
      <c r="Q212" s="56"/>
      <c r="R212" s="56"/>
      <c r="S212" s="56"/>
      <c r="T212" s="56"/>
      <c r="U212" s="56"/>
      <c r="V212" s="56"/>
      <c r="W212" s="57"/>
    </row>
    <row r="213" spans="6:23">
      <c r="F213" s="55"/>
      <c r="G213" s="56"/>
      <c r="H213" s="56"/>
      <c r="I213" s="56"/>
      <c r="J213" s="56"/>
      <c r="K213" s="56"/>
      <c r="L213" s="56"/>
      <c r="M213" s="56"/>
      <c r="N213" s="56"/>
      <c r="O213" s="56"/>
      <c r="P213" s="56"/>
      <c r="Q213" s="56"/>
      <c r="R213" s="56"/>
      <c r="S213" s="56"/>
      <c r="T213" s="56"/>
      <c r="U213" s="56"/>
      <c r="V213" s="56"/>
      <c r="W213" s="57"/>
    </row>
    <row r="214" spans="6:23">
      <c r="F214" s="55"/>
      <c r="G214" s="56"/>
      <c r="H214" s="56"/>
      <c r="I214" s="56"/>
      <c r="J214" s="56"/>
      <c r="K214" s="56"/>
      <c r="L214" s="56"/>
      <c r="M214" s="56"/>
      <c r="N214" s="56"/>
      <c r="O214" s="56"/>
      <c r="P214" s="56"/>
      <c r="Q214" s="56"/>
      <c r="R214" s="56"/>
      <c r="S214" s="56"/>
      <c r="T214" s="56"/>
      <c r="U214" s="56"/>
      <c r="V214" s="56"/>
      <c r="W214" s="57"/>
    </row>
    <row r="215" spans="6:23">
      <c r="F215" s="55"/>
      <c r="G215" s="56"/>
      <c r="H215" s="56"/>
      <c r="I215" s="56"/>
      <c r="J215" s="56"/>
      <c r="K215" s="56"/>
      <c r="L215" s="56"/>
      <c r="M215" s="56"/>
      <c r="N215" s="56"/>
      <c r="O215" s="56"/>
      <c r="P215" s="56"/>
      <c r="Q215" s="56"/>
      <c r="R215" s="56"/>
      <c r="S215" s="56"/>
      <c r="T215" s="56"/>
      <c r="U215" s="56"/>
      <c r="V215" s="56"/>
      <c r="W215" s="57"/>
    </row>
    <row r="216" spans="6:23">
      <c r="F216" s="55"/>
      <c r="G216" s="56"/>
      <c r="H216" s="56"/>
      <c r="I216" s="56"/>
      <c r="J216" s="56"/>
      <c r="K216" s="56"/>
      <c r="L216" s="56"/>
      <c r="M216" s="56"/>
      <c r="N216" s="56"/>
      <c r="O216" s="56"/>
      <c r="P216" s="56"/>
      <c r="Q216" s="56"/>
      <c r="R216" s="56"/>
      <c r="S216" s="56"/>
      <c r="T216" s="56"/>
      <c r="U216" s="56"/>
      <c r="V216" s="56"/>
      <c r="W216" s="57"/>
    </row>
    <row r="217" spans="6:23">
      <c r="F217" s="55"/>
      <c r="G217" s="56"/>
      <c r="H217" s="56"/>
      <c r="I217" s="56"/>
      <c r="J217" s="56"/>
      <c r="K217" s="56"/>
      <c r="L217" s="56"/>
      <c r="M217" s="56"/>
      <c r="N217" s="56"/>
      <c r="O217" s="56"/>
      <c r="P217" s="56"/>
      <c r="Q217" s="56"/>
      <c r="R217" s="56"/>
      <c r="S217" s="56"/>
      <c r="T217" s="56"/>
      <c r="U217" s="56"/>
      <c r="V217" s="56"/>
      <c r="W217" s="57"/>
    </row>
    <row r="218" spans="6:23">
      <c r="F218" s="55"/>
      <c r="G218" s="56"/>
      <c r="H218" s="56"/>
      <c r="I218" s="56"/>
      <c r="J218" s="56"/>
      <c r="K218" s="56"/>
      <c r="L218" s="56"/>
      <c r="M218" s="56"/>
      <c r="N218" s="56"/>
      <c r="O218" s="56"/>
      <c r="P218" s="56"/>
      <c r="Q218" s="56"/>
      <c r="R218" s="56"/>
      <c r="S218" s="56"/>
      <c r="T218" s="56"/>
      <c r="U218" s="56"/>
      <c r="V218" s="56"/>
      <c r="W218" s="57"/>
    </row>
    <row r="219" spans="6:23">
      <c r="F219" s="55"/>
      <c r="G219" s="56"/>
      <c r="H219" s="56"/>
      <c r="I219" s="56"/>
      <c r="J219" s="56"/>
      <c r="K219" s="56"/>
      <c r="L219" s="56"/>
      <c r="M219" s="56"/>
      <c r="N219" s="56"/>
      <c r="O219" s="56"/>
      <c r="P219" s="56"/>
      <c r="Q219" s="56"/>
      <c r="R219" s="56"/>
      <c r="S219" s="56"/>
      <c r="T219" s="56"/>
      <c r="U219" s="56"/>
      <c r="V219" s="56"/>
      <c r="W219" s="57"/>
    </row>
    <row r="220" spans="6:23">
      <c r="F220" s="55"/>
      <c r="G220" s="56"/>
      <c r="H220" s="56"/>
      <c r="I220" s="56"/>
      <c r="J220" s="56"/>
      <c r="K220" s="56"/>
      <c r="L220" s="56"/>
      <c r="M220" s="56"/>
      <c r="N220" s="56"/>
      <c r="O220" s="56"/>
      <c r="P220" s="56"/>
      <c r="Q220" s="56"/>
      <c r="R220" s="56"/>
      <c r="S220" s="56"/>
      <c r="T220" s="56"/>
      <c r="U220" s="56"/>
      <c r="V220" s="56"/>
      <c r="W220" s="57"/>
    </row>
    <row r="221" spans="6:23">
      <c r="F221" s="55"/>
      <c r="G221" s="56"/>
      <c r="H221" s="56"/>
      <c r="I221" s="56"/>
      <c r="J221" s="56"/>
      <c r="K221" s="56"/>
      <c r="L221" s="56"/>
      <c r="M221" s="56"/>
      <c r="N221" s="56"/>
      <c r="O221" s="56"/>
      <c r="P221" s="56"/>
      <c r="Q221" s="56"/>
      <c r="R221" s="56"/>
      <c r="S221" s="56"/>
      <c r="T221" s="56"/>
      <c r="U221" s="56"/>
      <c r="V221" s="56"/>
      <c r="W221" s="57"/>
    </row>
    <row r="222" spans="6:23">
      <c r="F222" s="55"/>
      <c r="G222" s="56"/>
      <c r="H222" s="56"/>
      <c r="I222" s="56"/>
      <c r="J222" s="56"/>
      <c r="K222" s="56"/>
      <c r="L222" s="56"/>
      <c r="M222" s="56"/>
      <c r="N222" s="56"/>
      <c r="O222" s="56"/>
      <c r="P222" s="56"/>
      <c r="Q222" s="56"/>
      <c r="R222" s="56"/>
      <c r="S222" s="56"/>
      <c r="T222" s="56"/>
      <c r="U222" s="56"/>
      <c r="V222" s="56"/>
      <c r="W222" s="57"/>
    </row>
    <row r="223" spans="6:23">
      <c r="F223" s="55"/>
      <c r="G223" s="56"/>
      <c r="H223" s="56"/>
      <c r="I223" s="56"/>
      <c r="J223" s="56"/>
      <c r="K223" s="56"/>
      <c r="L223" s="56"/>
      <c r="M223" s="56"/>
      <c r="N223" s="56"/>
      <c r="O223" s="56"/>
      <c r="P223" s="56"/>
      <c r="Q223" s="56"/>
      <c r="R223" s="56"/>
      <c r="S223" s="56"/>
      <c r="T223" s="56"/>
      <c r="U223" s="56"/>
      <c r="V223" s="56"/>
      <c r="W223" s="57"/>
    </row>
    <row r="224" spans="6:23">
      <c r="F224" s="55"/>
      <c r="G224" s="56"/>
      <c r="H224" s="56"/>
      <c r="I224" s="56"/>
      <c r="J224" s="56"/>
      <c r="K224" s="56"/>
      <c r="L224" s="56"/>
      <c r="M224" s="56"/>
      <c r="N224" s="56"/>
      <c r="O224" s="56"/>
      <c r="P224" s="56"/>
      <c r="Q224" s="56"/>
      <c r="R224" s="56"/>
      <c r="S224" s="56"/>
      <c r="T224" s="56"/>
      <c r="U224" s="56"/>
      <c r="V224" s="56"/>
      <c r="W224" s="57"/>
    </row>
    <row r="225" spans="6:23">
      <c r="F225" s="55"/>
      <c r="G225" s="56"/>
      <c r="H225" s="56"/>
      <c r="I225" s="56"/>
      <c r="J225" s="56"/>
      <c r="K225" s="56"/>
      <c r="L225" s="56"/>
      <c r="M225" s="56"/>
      <c r="N225" s="56"/>
      <c r="O225" s="56"/>
      <c r="P225" s="56"/>
      <c r="Q225" s="56"/>
      <c r="R225" s="56"/>
      <c r="S225" s="56"/>
      <c r="T225" s="56"/>
      <c r="U225" s="56"/>
      <c r="V225" s="56"/>
      <c r="W225" s="57"/>
    </row>
    <row r="226" spans="6:23">
      <c r="F226" s="55"/>
      <c r="G226" s="56"/>
      <c r="H226" s="56"/>
      <c r="I226" s="56"/>
      <c r="J226" s="56"/>
      <c r="K226" s="56"/>
      <c r="L226" s="56"/>
      <c r="M226" s="56"/>
      <c r="N226" s="56"/>
      <c r="O226" s="56"/>
      <c r="P226" s="56"/>
      <c r="Q226" s="56"/>
      <c r="R226" s="56"/>
      <c r="S226" s="56"/>
      <c r="T226" s="56"/>
      <c r="U226" s="56"/>
      <c r="V226" s="56"/>
      <c r="W226" s="57"/>
    </row>
    <row r="227" spans="6:23">
      <c r="F227" s="55"/>
      <c r="G227" s="56"/>
      <c r="H227" s="56"/>
      <c r="I227" s="56"/>
      <c r="J227" s="56"/>
      <c r="K227" s="56"/>
      <c r="L227" s="56"/>
      <c r="M227" s="56"/>
      <c r="N227" s="56"/>
      <c r="O227" s="56"/>
      <c r="P227" s="56"/>
      <c r="Q227" s="56"/>
      <c r="R227" s="56"/>
      <c r="S227" s="56"/>
      <c r="T227" s="56"/>
      <c r="U227" s="56"/>
      <c r="V227" s="56"/>
      <c r="W227" s="57"/>
    </row>
    <row r="228" spans="6:23">
      <c r="F228" s="55"/>
      <c r="G228" s="56"/>
      <c r="H228" s="56"/>
      <c r="I228" s="56"/>
      <c r="J228" s="56"/>
      <c r="K228" s="56"/>
      <c r="L228" s="56"/>
      <c r="M228" s="56"/>
      <c r="N228" s="56"/>
      <c r="O228" s="56"/>
      <c r="P228" s="56"/>
      <c r="Q228" s="56"/>
      <c r="R228" s="56"/>
      <c r="S228" s="56"/>
      <c r="T228" s="56"/>
      <c r="U228" s="56"/>
      <c r="V228" s="56"/>
      <c r="W228" s="57"/>
    </row>
    <row r="229" spans="6:23">
      <c r="F229" s="55"/>
      <c r="G229" s="56"/>
      <c r="H229" s="56"/>
      <c r="I229" s="56"/>
      <c r="J229" s="56"/>
      <c r="K229" s="56"/>
      <c r="L229" s="56"/>
      <c r="M229" s="56"/>
      <c r="N229" s="56"/>
      <c r="O229" s="56"/>
      <c r="P229" s="56"/>
      <c r="Q229" s="56"/>
      <c r="R229" s="56"/>
      <c r="S229" s="56"/>
      <c r="T229" s="56"/>
      <c r="U229" s="56"/>
      <c r="V229" s="56"/>
      <c r="W229" s="57"/>
    </row>
    <row r="230" spans="6:23">
      <c r="F230" s="55"/>
      <c r="G230" s="56"/>
      <c r="H230" s="56"/>
      <c r="I230" s="56"/>
      <c r="J230" s="56"/>
      <c r="K230" s="56"/>
      <c r="L230" s="56"/>
      <c r="M230" s="56"/>
      <c r="N230" s="56"/>
      <c r="O230" s="56"/>
      <c r="P230" s="56"/>
      <c r="Q230" s="56"/>
      <c r="R230" s="56"/>
      <c r="S230" s="56"/>
      <c r="T230" s="56"/>
      <c r="U230" s="56"/>
      <c r="V230" s="56"/>
      <c r="W230" s="57"/>
    </row>
    <row r="231" spans="6:23">
      <c r="F231" s="55"/>
      <c r="G231" s="56"/>
      <c r="H231" s="56"/>
      <c r="I231" s="56"/>
      <c r="J231" s="56"/>
      <c r="K231" s="56"/>
      <c r="L231" s="56"/>
      <c r="M231" s="56"/>
      <c r="N231" s="56"/>
      <c r="O231" s="56"/>
      <c r="P231" s="56"/>
      <c r="Q231" s="56"/>
      <c r="R231" s="56"/>
      <c r="S231" s="56"/>
      <c r="T231" s="56"/>
      <c r="U231" s="56"/>
      <c r="V231" s="56"/>
      <c r="W231" s="57"/>
    </row>
    <row r="232" spans="6:23">
      <c r="F232" s="55"/>
      <c r="G232" s="56"/>
      <c r="H232" s="56"/>
      <c r="I232" s="56"/>
      <c r="J232" s="56"/>
      <c r="K232" s="56"/>
      <c r="L232" s="56"/>
      <c r="M232" s="56"/>
      <c r="N232" s="56"/>
      <c r="O232" s="56"/>
      <c r="P232" s="56"/>
      <c r="Q232" s="56"/>
      <c r="R232" s="56"/>
      <c r="S232" s="56"/>
      <c r="T232" s="56"/>
      <c r="U232" s="56"/>
      <c r="V232" s="56"/>
      <c r="W232" s="57"/>
    </row>
    <row r="233" spans="6:23">
      <c r="F233" s="55"/>
      <c r="G233" s="56"/>
      <c r="H233" s="56"/>
      <c r="I233" s="56"/>
      <c r="J233" s="56"/>
      <c r="K233" s="56"/>
      <c r="L233" s="56"/>
      <c r="M233" s="56"/>
      <c r="N233" s="56"/>
      <c r="O233" s="56"/>
      <c r="P233" s="56"/>
      <c r="Q233" s="56"/>
      <c r="R233" s="56"/>
      <c r="S233" s="56"/>
      <c r="T233" s="56"/>
      <c r="U233" s="56"/>
      <c r="V233" s="56"/>
      <c r="W233" s="57"/>
    </row>
    <row r="234" spans="6:23">
      <c r="F234" s="55"/>
      <c r="G234" s="56"/>
      <c r="H234" s="56"/>
      <c r="I234" s="56"/>
      <c r="J234" s="56"/>
      <c r="K234" s="56"/>
      <c r="L234" s="56"/>
      <c r="M234" s="56"/>
      <c r="N234" s="56"/>
      <c r="O234" s="56"/>
      <c r="P234" s="56"/>
      <c r="Q234" s="56"/>
      <c r="R234" s="56"/>
      <c r="S234" s="56"/>
      <c r="T234" s="56"/>
      <c r="U234" s="56"/>
      <c r="V234" s="56"/>
      <c r="W234" s="57"/>
    </row>
    <row r="235" spans="6:23">
      <c r="F235" s="55"/>
      <c r="G235" s="56"/>
      <c r="H235" s="56"/>
      <c r="I235" s="56"/>
      <c r="J235" s="56"/>
      <c r="K235" s="56"/>
      <c r="L235" s="56"/>
      <c r="M235" s="56"/>
      <c r="N235" s="56"/>
      <c r="O235" s="56"/>
      <c r="P235" s="56"/>
      <c r="Q235" s="56"/>
      <c r="R235" s="56"/>
      <c r="S235" s="56"/>
      <c r="T235" s="56"/>
      <c r="U235" s="56"/>
      <c r="V235" s="56"/>
      <c r="W235" s="57"/>
    </row>
    <row r="236" spans="6:23">
      <c r="F236" s="55"/>
      <c r="G236" s="56"/>
      <c r="H236" s="56"/>
      <c r="I236" s="56"/>
      <c r="J236" s="56"/>
      <c r="K236" s="56"/>
      <c r="L236" s="56"/>
      <c r="M236" s="56"/>
      <c r="N236" s="56"/>
      <c r="O236" s="56"/>
      <c r="P236" s="56"/>
      <c r="Q236" s="56"/>
      <c r="R236" s="56"/>
      <c r="S236" s="56"/>
      <c r="T236" s="56"/>
      <c r="U236" s="56"/>
      <c r="V236" s="56"/>
      <c r="W236" s="57"/>
    </row>
    <row r="237" spans="6:23">
      <c r="F237" s="55"/>
      <c r="G237" s="56"/>
      <c r="H237" s="56"/>
      <c r="I237" s="56"/>
      <c r="J237" s="56"/>
      <c r="K237" s="56"/>
      <c r="L237" s="56"/>
      <c r="M237" s="56"/>
      <c r="N237" s="56"/>
      <c r="O237" s="56"/>
      <c r="P237" s="56"/>
      <c r="Q237" s="56"/>
      <c r="R237" s="56"/>
      <c r="S237" s="56"/>
      <c r="T237" s="56"/>
      <c r="U237" s="56"/>
      <c r="V237" s="56"/>
      <c r="W237" s="57"/>
    </row>
    <row r="238" spans="6:23">
      <c r="F238" s="55"/>
      <c r="G238" s="56"/>
      <c r="H238" s="56"/>
      <c r="I238" s="56"/>
      <c r="J238" s="56"/>
      <c r="K238" s="56"/>
      <c r="L238" s="56"/>
      <c r="M238" s="56"/>
      <c r="N238" s="56"/>
      <c r="O238" s="56"/>
      <c r="P238" s="56"/>
      <c r="Q238" s="56"/>
      <c r="R238" s="56"/>
      <c r="S238" s="56"/>
      <c r="T238" s="56"/>
      <c r="U238" s="56"/>
      <c r="V238" s="56"/>
      <c r="W238" s="57"/>
    </row>
    <row r="239" spans="6:23" s="96" customFormat="1" ht="15" thickBot="1">
      <c r="F239" s="58"/>
      <c r="G239" s="59"/>
      <c r="H239" s="59"/>
      <c r="I239" s="59"/>
      <c r="J239" s="59"/>
      <c r="K239" s="59"/>
      <c r="L239" s="59"/>
      <c r="M239" s="59"/>
      <c r="N239" s="59"/>
      <c r="O239" s="59"/>
      <c r="P239" s="59"/>
      <c r="Q239" s="59"/>
      <c r="R239" s="59"/>
      <c r="S239" s="59"/>
      <c r="T239" s="59"/>
      <c r="U239" s="59"/>
      <c r="V239" s="59"/>
      <c r="W239" s="60"/>
    </row>
    <row r="240" spans="6:23" s="96" customFormat="1" ht="15" thickTop="1">
      <c r="F240" s="56"/>
      <c r="G240" s="56"/>
      <c r="H240" s="56"/>
      <c r="I240" s="56"/>
      <c r="J240" s="56"/>
      <c r="K240" s="56"/>
      <c r="L240" s="56"/>
      <c r="M240" s="56"/>
      <c r="N240" s="56"/>
      <c r="O240" s="56"/>
      <c r="P240" s="56"/>
      <c r="Q240" s="56"/>
      <c r="R240" s="56"/>
      <c r="S240" s="56"/>
      <c r="T240" s="56"/>
      <c r="U240" s="56"/>
      <c r="V240" s="56"/>
      <c r="W240" s="56"/>
    </row>
    <row r="241" spans="6:23" s="96" customFormat="1" ht="27.6" customHeight="1">
      <c r="F241" s="1002" t="s">
        <v>260</v>
      </c>
      <c r="G241" s="1002"/>
      <c r="H241" s="1002"/>
      <c r="I241" s="1002"/>
      <c r="J241" s="1002"/>
      <c r="K241" s="1002"/>
      <c r="L241" s="1002"/>
      <c r="M241" s="1002"/>
      <c r="N241" s="1002"/>
      <c r="O241" s="1002"/>
      <c r="P241" s="1002"/>
      <c r="Q241" s="1002"/>
      <c r="R241" s="1002"/>
      <c r="S241" s="1002"/>
      <c r="T241" s="1002"/>
      <c r="U241" s="1002"/>
      <c r="V241" s="1002"/>
      <c r="W241" s="1002"/>
    </row>
    <row r="242" spans="6:23" s="96" customFormat="1" ht="15" thickBot="1"/>
    <row r="243" spans="6:23" ht="15" thickTop="1">
      <c r="F243" s="52"/>
      <c r="G243" s="53"/>
      <c r="H243" s="53"/>
      <c r="I243" s="53"/>
      <c r="J243" s="53"/>
      <c r="K243" s="53"/>
      <c r="L243" s="53"/>
      <c r="M243" s="53"/>
      <c r="N243" s="53"/>
      <c r="O243" s="53"/>
      <c r="P243" s="53"/>
      <c r="Q243" s="53"/>
      <c r="R243" s="53"/>
      <c r="S243" s="53"/>
      <c r="T243" s="53"/>
      <c r="U243" s="53"/>
      <c r="V243" s="53"/>
      <c r="W243" s="54"/>
    </row>
    <row r="244" spans="6:23">
      <c r="F244" s="55"/>
      <c r="G244" s="56"/>
      <c r="H244" s="56"/>
      <c r="I244" s="56"/>
      <c r="J244" s="56"/>
      <c r="K244" s="56"/>
      <c r="L244" s="56"/>
      <c r="M244" s="56"/>
      <c r="N244" s="56"/>
      <c r="O244" s="56"/>
      <c r="P244" s="56"/>
      <c r="Q244" s="56"/>
      <c r="R244" s="56"/>
      <c r="S244" s="56"/>
      <c r="T244" s="56"/>
      <c r="U244" s="56"/>
      <c r="V244" s="56"/>
      <c r="W244" s="57"/>
    </row>
    <row r="245" spans="6:23">
      <c r="F245" s="55"/>
      <c r="G245" s="56"/>
      <c r="H245" s="56"/>
      <c r="I245" s="56"/>
      <c r="J245" s="56"/>
      <c r="K245" s="56"/>
      <c r="L245" s="56"/>
      <c r="M245" s="56"/>
      <c r="N245" s="56"/>
      <c r="O245" s="56"/>
      <c r="P245" s="56"/>
      <c r="Q245" s="56"/>
      <c r="R245" s="56"/>
      <c r="S245" s="56"/>
      <c r="T245" s="56"/>
      <c r="U245" s="56"/>
      <c r="V245" s="56"/>
      <c r="W245" s="57"/>
    </row>
    <row r="246" spans="6:23">
      <c r="F246" s="55"/>
      <c r="G246" s="56"/>
      <c r="H246" s="56"/>
      <c r="I246" s="56"/>
      <c r="J246" s="56"/>
      <c r="K246" s="56"/>
      <c r="L246" s="56"/>
      <c r="M246" s="56"/>
      <c r="N246" s="56"/>
      <c r="O246" s="56"/>
      <c r="P246" s="56"/>
      <c r="Q246" s="56"/>
      <c r="R246" s="56"/>
      <c r="S246" s="56"/>
      <c r="T246" s="56"/>
      <c r="U246" s="56"/>
      <c r="V246" s="56"/>
      <c r="W246" s="57"/>
    </row>
    <row r="247" spans="6:23">
      <c r="F247" s="55"/>
      <c r="G247" s="56"/>
      <c r="H247" s="56"/>
      <c r="I247" s="56"/>
      <c r="J247" s="56"/>
      <c r="K247" s="56"/>
      <c r="L247" s="56"/>
      <c r="M247" s="56"/>
      <c r="N247" s="56"/>
      <c r="O247" s="56"/>
      <c r="P247" s="56"/>
      <c r="Q247" s="56"/>
      <c r="R247" s="56"/>
      <c r="S247" s="56"/>
      <c r="T247" s="56"/>
      <c r="U247" s="56"/>
      <c r="V247" s="56"/>
      <c r="W247" s="57"/>
    </row>
    <row r="248" spans="6:23">
      <c r="F248" s="55"/>
      <c r="G248" s="56"/>
      <c r="H248" s="56"/>
      <c r="I248" s="56"/>
      <c r="J248" s="56"/>
      <c r="K248" s="56"/>
      <c r="L248" s="56"/>
      <c r="M248" s="56"/>
      <c r="N248" s="56"/>
      <c r="O248" s="56"/>
      <c r="P248" s="56"/>
      <c r="Q248" s="56"/>
      <c r="R248" s="56"/>
      <c r="S248" s="56"/>
      <c r="T248" s="56"/>
      <c r="U248" s="56"/>
      <c r="V248" s="56"/>
      <c r="W248" s="57"/>
    </row>
    <row r="249" spans="6:23">
      <c r="F249" s="55"/>
      <c r="G249" s="56"/>
      <c r="H249" s="56"/>
      <c r="I249" s="56"/>
      <c r="J249" s="56"/>
      <c r="K249" s="56"/>
      <c r="L249" s="56"/>
      <c r="M249" s="56"/>
      <c r="N249" s="56"/>
      <c r="O249" s="56"/>
      <c r="P249" s="56"/>
      <c r="Q249" s="56"/>
      <c r="R249" s="56"/>
      <c r="S249" s="56"/>
      <c r="T249" s="56"/>
      <c r="U249" s="56"/>
      <c r="V249" s="56"/>
      <c r="W249" s="57"/>
    </row>
    <row r="250" spans="6:23">
      <c r="F250" s="55"/>
      <c r="G250" s="56"/>
      <c r="H250" s="56"/>
      <c r="I250" s="56"/>
      <c r="J250" s="56"/>
      <c r="K250" s="56"/>
      <c r="L250" s="56"/>
      <c r="M250" s="56"/>
      <c r="N250" s="56"/>
      <c r="O250" s="56"/>
      <c r="P250" s="56"/>
      <c r="Q250" s="56"/>
      <c r="R250" s="56"/>
      <c r="S250" s="56"/>
      <c r="T250" s="56"/>
      <c r="U250" s="56"/>
      <c r="V250" s="56"/>
      <c r="W250" s="57"/>
    </row>
    <row r="251" spans="6:23">
      <c r="F251" s="55"/>
      <c r="G251" s="56"/>
      <c r="H251" s="56"/>
      <c r="I251" s="56"/>
      <c r="J251" s="56"/>
      <c r="K251" s="56"/>
      <c r="L251" s="56"/>
      <c r="M251" s="56"/>
      <c r="N251" s="56"/>
      <c r="O251" s="56"/>
      <c r="P251" s="56"/>
      <c r="Q251" s="56"/>
      <c r="R251" s="56"/>
      <c r="S251" s="56"/>
      <c r="T251" s="56"/>
      <c r="U251" s="56"/>
      <c r="V251" s="56"/>
      <c r="W251" s="57"/>
    </row>
    <row r="252" spans="6:23">
      <c r="F252" s="55"/>
      <c r="G252" s="56"/>
      <c r="H252" s="56"/>
      <c r="I252" s="56"/>
      <c r="J252" s="56"/>
      <c r="K252" s="56"/>
      <c r="L252" s="56"/>
      <c r="M252" s="56"/>
      <c r="N252" s="56"/>
      <c r="O252" s="56"/>
      <c r="P252" s="56"/>
      <c r="Q252" s="56"/>
      <c r="R252" s="56"/>
      <c r="S252" s="56"/>
      <c r="T252" s="56"/>
      <c r="U252" s="56"/>
      <c r="V252" s="56"/>
      <c r="W252" s="57"/>
    </row>
    <row r="253" spans="6:23">
      <c r="F253" s="55"/>
      <c r="G253" s="56"/>
      <c r="H253" s="56"/>
      <c r="I253" s="56"/>
      <c r="J253" s="56"/>
      <c r="K253" s="56"/>
      <c r="L253" s="56"/>
      <c r="M253" s="56"/>
      <c r="N253" s="56"/>
      <c r="O253" s="56"/>
      <c r="P253" s="56"/>
      <c r="Q253" s="56"/>
      <c r="R253" s="56"/>
      <c r="S253" s="56"/>
      <c r="T253" s="56"/>
      <c r="U253" s="56"/>
      <c r="V253" s="56"/>
      <c r="W253" s="57"/>
    </row>
    <row r="254" spans="6:23">
      <c r="F254" s="55"/>
      <c r="G254" s="56"/>
      <c r="H254" s="56"/>
      <c r="I254" s="56"/>
      <c r="J254" s="56"/>
      <c r="K254" s="56"/>
      <c r="L254" s="56"/>
      <c r="M254" s="56"/>
      <c r="N254" s="56"/>
      <c r="O254" s="56"/>
      <c r="P254" s="56"/>
      <c r="Q254" s="56"/>
      <c r="R254" s="56"/>
      <c r="S254" s="56"/>
      <c r="T254" s="56"/>
      <c r="U254" s="56"/>
      <c r="V254" s="56"/>
      <c r="W254" s="57"/>
    </row>
    <row r="255" spans="6:23">
      <c r="F255" s="55"/>
      <c r="G255" s="56"/>
      <c r="H255" s="56"/>
      <c r="I255" s="56"/>
      <c r="J255" s="56"/>
      <c r="K255" s="56"/>
      <c r="L255" s="56"/>
      <c r="M255" s="56"/>
      <c r="N255" s="56"/>
      <c r="O255" s="56"/>
      <c r="P255" s="56"/>
      <c r="Q255" s="56"/>
      <c r="R255" s="56"/>
      <c r="S255" s="56"/>
      <c r="T255" s="56"/>
      <c r="U255" s="56"/>
      <c r="V255" s="56"/>
      <c r="W255" s="57"/>
    </row>
    <row r="256" spans="6:23">
      <c r="F256" s="55"/>
      <c r="G256" s="56"/>
      <c r="H256" s="56"/>
      <c r="I256" s="56"/>
      <c r="J256" s="56"/>
      <c r="K256" s="56"/>
      <c r="L256" s="56"/>
      <c r="M256" s="56"/>
      <c r="N256" s="56"/>
      <c r="O256" s="56"/>
      <c r="P256" s="56"/>
      <c r="Q256" s="56"/>
      <c r="R256" s="56"/>
      <c r="S256" s="56"/>
      <c r="T256" s="56"/>
      <c r="U256" s="56"/>
      <c r="V256" s="56"/>
      <c r="W256" s="57"/>
    </row>
    <row r="257" spans="6:23">
      <c r="F257" s="55"/>
      <c r="G257" s="56"/>
      <c r="H257" s="56"/>
      <c r="I257" s="56"/>
      <c r="J257" s="56"/>
      <c r="K257" s="56"/>
      <c r="L257" s="56"/>
      <c r="M257" s="56"/>
      <c r="N257" s="56"/>
      <c r="O257" s="56"/>
      <c r="P257" s="56"/>
      <c r="Q257" s="56"/>
      <c r="R257" s="56"/>
      <c r="S257" s="56"/>
      <c r="T257" s="56"/>
      <c r="U257" s="56"/>
      <c r="V257" s="56"/>
      <c r="W257" s="57"/>
    </row>
    <row r="258" spans="6:23">
      <c r="F258" s="55"/>
      <c r="G258" s="56"/>
      <c r="H258" s="56"/>
      <c r="I258" s="56"/>
      <c r="J258" s="56"/>
      <c r="K258" s="56"/>
      <c r="L258" s="56"/>
      <c r="M258" s="56"/>
      <c r="N258" s="56"/>
      <c r="O258" s="56"/>
      <c r="P258" s="56"/>
      <c r="Q258" s="56"/>
      <c r="R258" s="56"/>
      <c r="S258" s="56"/>
      <c r="T258" s="56"/>
      <c r="U258" s="56"/>
      <c r="V258" s="56"/>
      <c r="W258" s="57"/>
    </row>
    <row r="259" spans="6:23">
      <c r="F259" s="55"/>
      <c r="G259" s="56"/>
      <c r="H259" s="56"/>
      <c r="I259" s="56"/>
      <c r="J259" s="56"/>
      <c r="K259" s="56"/>
      <c r="L259" s="56"/>
      <c r="M259" s="56"/>
      <c r="N259" s="56"/>
      <c r="O259" s="56"/>
      <c r="P259" s="56"/>
      <c r="Q259" s="56"/>
      <c r="R259" s="56"/>
      <c r="S259" s="56"/>
      <c r="T259" s="56"/>
      <c r="U259" s="56"/>
      <c r="V259" s="56"/>
      <c r="W259" s="57"/>
    </row>
    <row r="260" spans="6:23">
      <c r="F260" s="55"/>
      <c r="G260" s="56"/>
      <c r="H260" s="56"/>
      <c r="I260" s="56"/>
      <c r="J260" s="56"/>
      <c r="K260" s="56"/>
      <c r="L260" s="56"/>
      <c r="M260" s="56"/>
      <c r="N260" s="56"/>
      <c r="O260" s="56"/>
      <c r="P260" s="56"/>
      <c r="Q260" s="56"/>
      <c r="R260" s="56"/>
      <c r="S260" s="56"/>
      <c r="T260" s="56"/>
      <c r="U260" s="56"/>
      <c r="V260" s="56"/>
      <c r="W260" s="57"/>
    </row>
    <row r="261" spans="6:23">
      <c r="F261" s="55"/>
      <c r="G261" s="56"/>
      <c r="H261" s="56"/>
      <c r="I261" s="56"/>
      <c r="J261" s="56"/>
      <c r="K261" s="56"/>
      <c r="L261" s="56"/>
      <c r="M261" s="56"/>
      <c r="N261" s="56"/>
      <c r="O261" s="56"/>
      <c r="P261" s="56"/>
      <c r="Q261" s="56"/>
      <c r="R261" s="56"/>
      <c r="S261" s="56"/>
      <c r="T261" s="56"/>
      <c r="U261" s="56"/>
      <c r="V261" s="56"/>
      <c r="W261" s="57"/>
    </row>
    <row r="262" spans="6:23">
      <c r="F262" s="55"/>
      <c r="G262" s="56"/>
      <c r="H262" s="56"/>
      <c r="I262" s="56"/>
      <c r="J262" s="56"/>
      <c r="K262" s="56"/>
      <c r="L262" s="56"/>
      <c r="M262" s="56"/>
      <c r="N262" s="56"/>
      <c r="O262" s="56"/>
      <c r="P262" s="56"/>
      <c r="Q262" s="56"/>
      <c r="R262" s="56"/>
      <c r="S262" s="56"/>
      <c r="T262" s="56"/>
      <c r="U262" s="56"/>
      <c r="V262" s="56"/>
      <c r="W262" s="57"/>
    </row>
    <row r="263" spans="6:23">
      <c r="F263" s="55"/>
      <c r="G263" s="56"/>
      <c r="H263" s="56"/>
      <c r="I263" s="56"/>
      <c r="J263" s="56"/>
      <c r="K263" s="56"/>
      <c r="L263" s="56"/>
      <c r="M263" s="56"/>
      <c r="N263" s="56"/>
      <c r="O263" s="56"/>
      <c r="P263" s="56"/>
      <c r="Q263" s="56"/>
      <c r="R263" s="56"/>
      <c r="S263" s="56"/>
      <c r="T263" s="56"/>
      <c r="U263" s="56"/>
      <c r="V263" s="56"/>
      <c r="W263" s="57"/>
    </row>
    <row r="264" spans="6:23">
      <c r="F264" s="55"/>
      <c r="G264" s="56"/>
      <c r="H264" s="56"/>
      <c r="I264" s="56"/>
      <c r="J264" s="56"/>
      <c r="K264" s="56"/>
      <c r="L264" s="56"/>
      <c r="M264" s="56"/>
      <c r="N264" s="56"/>
      <c r="O264" s="56"/>
      <c r="P264" s="56"/>
      <c r="Q264" s="56"/>
      <c r="R264" s="56"/>
      <c r="S264" s="56"/>
      <c r="T264" s="56"/>
      <c r="U264" s="56"/>
      <c r="V264" s="56"/>
      <c r="W264" s="57"/>
    </row>
    <row r="265" spans="6:23">
      <c r="F265" s="55"/>
      <c r="G265" s="56"/>
      <c r="H265" s="56"/>
      <c r="I265" s="56"/>
      <c r="J265" s="56"/>
      <c r="K265" s="56"/>
      <c r="L265" s="56"/>
      <c r="M265" s="56"/>
      <c r="N265" s="56"/>
      <c r="O265" s="56"/>
      <c r="P265" s="56"/>
      <c r="Q265" s="56"/>
      <c r="R265" s="56"/>
      <c r="S265" s="56"/>
      <c r="T265" s="56"/>
      <c r="U265" s="56"/>
      <c r="V265" s="56"/>
      <c r="W265" s="57"/>
    </row>
    <row r="266" spans="6:23">
      <c r="F266" s="55"/>
      <c r="G266" s="56"/>
      <c r="H266" s="56"/>
      <c r="I266" s="56"/>
      <c r="J266" s="56"/>
      <c r="K266" s="56"/>
      <c r="L266" s="56"/>
      <c r="M266" s="56"/>
      <c r="N266" s="56"/>
      <c r="O266" s="56"/>
      <c r="P266" s="56"/>
      <c r="Q266" s="56"/>
      <c r="R266" s="56"/>
      <c r="S266" s="56"/>
      <c r="T266" s="56"/>
      <c r="U266" s="56"/>
      <c r="V266" s="56"/>
      <c r="W266" s="57"/>
    </row>
    <row r="267" spans="6:23">
      <c r="F267" s="55"/>
      <c r="G267" s="56"/>
      <c r="H267" s="56"/>
      <c r="I267" s="56"/>
      <c r="J267" s="56"/>
      <c r="K267" s="56"/>
      <c r="L267" s="56"/>
      <c r="M267" s="56"/>
      <c r="N267" s="56"/>
      <c r="O267" s="56"/>
      <c r="P267" s="56"/>
      <c r="Q267" s="56"/>
      <c r="R267" s="56"/>
      <c r="S267" s="56"/>
      <c r="T267" s="56"/>
      <c r="U267" s="56"/>
      <c r="V267" s="56"/>
      <c r="W267" s="57"/>
    </row>
    <row r="268" spans="6:23">
      <c r="F268" s="55"/>
      <c r="G268" s="56"/>
      <c r="H268" s="56"/>
      <c r="I268" s="56"/>
      <c r="J268" s="56"/>
      <c r="K268" s="56"/>
      <c r="L268" s="56"/>
      <c r="M268" s="56"/>
      <c r="N268" s="56"/>
      <c r="O268" s="56"/>
      <c r="P268" s="56"/>
      <c r="Q268" s="56"/>
      <c r="R268" s="56"/>
      <c r="S268" s="56"/>
      <c r="T268" s="56"/>
      <c r="U268" s="56"/>
      <c r="V268" s="56"/>
      <c r="W268" s="57"/>
    </row>
    <row r="269" spans="6:23">
      <c r="F269" s="55"/>
      <c r="G269" s="56"/>
      <c r="H269" s="56"/>
      <c r="I269" s="56"/>
      <c r="J269" s="56"/>
      <c r="K269" s="56"/>
      <c r="L269" s="56"/>
      <c r="M269" s="56"/>
      <c r="N269" s="56"/>
      <c r="O269" s="56"/>
      <c r="P269" s="56"/>
      <c r="Q269" s="56"/>
      <c r="R269" s="56"/>
      <c r="S269" s="56"/>
      <c r="T269" s="56"/>
      <c r="U269" s="56"/>
      <c r="V269" s="56"/>
      <c r="W269" s="57"/>
    </row>
    <row r="270" spans="6:23">
      <c r="F270" s="55"/>
      <c r="G270" s="56"/>
      <c r="H270" s="56"/>
      <c r="I270" s="56"/>
      <c r="J270" s="56"/>
      <c r="K270" s="56"/>
      <c r="L270" s="56"/>
      <c r="M270" s="56"/>
      <c r="N270" s="56"/>
      <c r="O270" s="56"/>
      <c r="P270" s="56"/>
      <c r="Q270" s="56"/>
      <c r="R270" s="56"/>
      <c r="S270" s="56"/>
      <c r="T270" s="56"/>
      <c r="U270" s="56"/>
      <c r="V270" s="56"/>
      <c r="W270" s="57"/>
    </row>
    <row r="271" spans="6:23">
      <c r="F271" s="55"/>
      <c r="G271" s="56"/>
      <c r="H271" s="56"/>
      <c r="I271" s="56"/>
      <c r="J271" s="56"/>
      <c r="K271" s="56"/>
      <c r="L271" s="56"/>
      <c r="M271" s="56"/>
      <c r="N271" s="56"/>
      <c r="O271" s="56"/>
      <c r="P271" s="56"/>
      <c r="Q271" s="56"/>
      <c r="R271" s="56"/>
      <c r="S271" s="56"/>
      <c r="T271" s="56"/>
      <c r="U271" s="56"/>
      <c r="V271" s="56"/>
      <c r="W271" s="57"/>
    </row>
    <row r="272" spans="6:23">
      <c r="F272" s="55"/>
      <c r="G272" s="56"/>
      <c r="H272" s="56"/>
      <c r="I272" s="56"/>
      <c r="J272" s="56"/>
      <c r="K272" s="56"/>
      <c r="L272" s="56"/>
      <c r="M272" s="56"/>
      <c r="N272" s="56"/>
      <c r="O272" s="56"/>
      <c r="P272" s="56"/>
      <c r="Q272" s="56"/>
      <c r="R272" s="56"/>
      <c r="S272" s="56"/>
      <c r="T272" s="56"/>
      <c r="U272" s="56"/>
      <c r="V272" s="56"/>
      <c r="W272" s="57"/>
    </row>
    <row r="273" spans="6:23">
      <c r="F273" s="55"/>
      <c r="G273" s="56"/>
      <c r="H273" s="56"/>
      <c r="I273" s="56"/>
      <c r="J273" s="56"/>
      <c r="K273" s="56"/>
      <c r="L273" s="56"/>
      <c r="M273" s="56"/>
      <c r="N273" s="56"/>
      <c r="O273" s="56"/>
      <c r="P273" s="56"/>
      <c r="Q273" s="56"/>
      <c r="R273" s="56"/>
      <c r="S273" s="56"/>
      <c r="T273" s="56"/>
      <c r="U273" s="56"/>
      <c r="V273" s="56"/>
      <c r="W273" s="57"/>
    </row>
    <row r="274" spans="6:23">
      <c r="F274" s="55"/>
      <c r="G274" s="56"/>
      <c r="H274" s="56"/>
      <c r="I274" s="56"/>
      <c r="J274" s="56"/>
      <c r="K274" s="56"/>
      <c r="L274" s="56"/>
      <c r="M274" s="56"/>
      <c r="N274" s="56"/>
      <c r="O274" s="56"/>
      <c r="P274" s="56"/>
      <c r="Q274" s="56"/>
      <c r="R274" s="56"/>
      <c r="S274" s="56"/>
      <c r="T274" s="56"/>
      <c r="U274" s="56"/>
      <c r="V274" s="56"/>
      <c r="W274" s="57"/>
    </row>
    <row r="275" spans="6:23">
      <c r="F275" s="55"/>
      <c r="G275" s="56"/>
      <c r="H275" s="56"/>
      <c r="I275" s="56"/>
      <c r="J275" s="56"/>
      <c r="K275" s="56"/>
      <c r="L275" s="56"/>
      <c r="M275" s="56"/>
      <c r="N275" s="56"/>
      <c r="O275" s="56"/>
      <c r="P275" s="56"/>
      <c r="Q275" s="56"/>
      <c r="R275" s="56"/>
      <c r="S275" s="56"/>
      <c r="T275" s="56"/>
      <c r="U275" s="56"/>
      <c r="V275" s="56"/>
      <c r="W275" s="57"/>
    </row>
    <row r="276" spans="6:23">
      <c r="F276" s="55"/>
      <c r="G276" s="56"/>
      <c r="H276" s="56"/>
      <c r="I276" s="56"/>
      <c r="J276" s="56"/>
      <c r="K276" s="56"/>
      <c r="L276" s="56"/>
      <c r="M276" s="56"/>
      <c r="N276" s="56"/>
      <c r="O276" s="56"/>
      <c r="P276" s="56"/>
      <c r="Q276" s="56"/>
      <c r="R276" s="56"/>
      <c r="S276" s="56"/>
      <c r="T276" s="56"/>
      <c r="U276" s="56"/>
      <c r="V276" s="56"/>
      <c r="W276" s="57"/>
    </row>
    <row r="277" spans="6:23">
      <c r="F277" s="55"/>
      <c r="G277" s="56"/>
      <c r="H277" s="56"/>
      <c r="I277" s="56"/>
      <c r="J277" s="56"/>
      <c r="K277" s="56"/>
      <c r="L277" s="56"/>
      <c r="M277" s="56"/>
      <c r="N277" s="56"/>
      <c r="O277" s="56"/>
      <c r="P277" s="56"/>
      <c r="Q277" s="56"/>
      <c r="R277" s="56"/>
      <c r="S277" s="56"/>
      <c r="T277" s="56"/>
      <c r="U277" s="56"/>
      <c r="V277" s="56"/>
      <c r="W277" s="57"/>
    </row>
    <row r="278" spans="6:23">
      <c r="F278" s="55"/>
      <c r="G278" s="56"/>
      <c r="H278" s="56"/>
      <c r="I278" s="56"/>
      <c r="J278" s="56"/>
      <c r="K278" s="56"/>
      <c r="L278" s="56"/>
      <c r="M278" s="56"/>
      <c r="N278" s="56"/>
      <c r="O278" s="56"/>
      <c r="P278" s="56"/>
      <c r="Q278" s="56"/>
      <c r="R278" s="56"/>
      <c r="S278" s="56"/>
      <c r="T278" s="56"/>
      <c r="U278" s="56"/>
      <c r="V278" s="56"/>
      <c r="W278" s="57"/>
    </row>
    <row r="279" spans="6:23">
      <c r="F279" s="55"/>
      <c r="G279" s="56"/>
      <c r="H279" s="56"/>
      <c r="I279" s="56"/>
      <c r="J279" s="56"/>
      <c r="K279" s="56"/>
      <c r="L279" s="56"/>
      <c r="M279" s="56"/>
      <c r="N279" s="56"/>
      <c r="O279" s="56"/>
      <c r="P279" s="56"/>
      <c r="Q279" s="56"/>
      <c r="R279" s="56"/>
      <c r="S279" s="56"/>
      <c r="T279" s="56"/>
      <c r="U279" s="56"/>
      <c r="V279" s="56"/>
      <c r="W279" s="57"/>
    </row>
    <row r="280" spans="6:23">
      <c r="F280" s="55"/>
      <c r="G280" s="56"/>
      <c r="H280" s="56"/>
      <c r="I280" s="56"/>
      <c r="J280" s="56"/>
      <c r="K280" s="56"/>
      <c r="L280" s="56"/>
      <c r="M280" s="56"/>
      <c r="N280" s="56"/>
      <c r="O280" s="56"/>
      <c r="P280" s="56"/>
      <c r="Q280" s="56"/>
      <c r="R280" s="56"/>
      <c r="S280" s="56"/>
      <c r="T280" s="56"/>
      <c r="U280" s="56"/>
      <c r="V280" s="56"/>
      <c r="W280" s="57"/>
    </row>
    <row r="281" spans="6:23">
      <c r="F281" s="55"/>
      <c r="G281" s="56"/>
      <c r="H281" s="56"/>
      <c r="I281" s="56"/>
      <c r="J281" s="56"/>
      <c r="K281" s="56"/>
      <c r="L281" s="56"/>
      <c r="M281" s="56"/>
      <c r="N281" s="56"/>
      <c r="O281" s="56"/>
      <c r="P281" s="56"/>
      <c r="Q281" s="56"/>
      <c r="R281" s="56"/>
      <c r="S281" s="56"/>
      <c r="T281" s="56"/>
      <c r="U281" s="56"/>
      <c r="V281" s="56"/>
      <c r="W281" s="57"/>
    </row>
    <row r="282" spans="6:23">
      <c r="F282" s="55"/>
      <c r="G282" s="56"/>
      <c r="H282" s="56"/>
      <c r="I282" s="56"/>
      <c r="J282" s="56"/>
      <c r="K282" s="56"/>
      <c r="L282" s="56"/>
      <c r="M282" s="56"/>
      <c r="N282" s="56"/>
      <c r="O282" s="56"/>
      <c r="P282" s="56"/>
      <c r="Q282" s="56"/>
      <c r="R282" s="56"/>
      <c r="S282" s="56"/>
      <c r="T282" s="56"/>
      <c r="U282" s="56"/>
      <c r="V282" s="56"/>
      <c r="W282" s="57"/>
    </row>
    <row r="283" spans="6:23">
      <c r="F283" s="55"/>
      <c r="G283" s="56"/>
      <c r="H283" s="56"/>
      <c r="I283" s="56"/>
      <c r="J283" s="56"/>
      <c r="K283" s="56"/>
      <c r="L283" s="56"/>
      <c r="M283" s="56"/>
      <c r="N283" s="56"/>
      <c r="O283" s="56"/>
      <c r="P283" s="56"/>
      <c r="Q283" s="56"/>
      <c r="R283" s="56"/>
      <c r="S283" s="56"/>
      <c r="T283" s="56"/>
      <c r="U283" s="56"/>
      <c r="V283" s="56"/>
      <c r="W283" s="57"/>
    </row>
    <row r="284" spans="6:23">
      <c r="F284" s="55"/>
      <c r="G284" s="56"/>
      <c r="H284" s="56"/>
      <c r="I284" s="56"/>
      <c r="J284" s="56"/>
      <c r="K284" s="56"/>
      <c r="L284" s="56"/>
      <c r="M284" s="56"/>
      <c r="N284" s="56"/>
      <c r="O284" s="56"/>
      <c r="P284" s="56"/>
      <c r="Q284" s="56"/>
      <c r="R284" s="56"/>
      <c r="S284" s="56"/>
      <c r="T284" s="56"/>
      <c r="U284" s="56"/>
      <c r="V284" s="56"/>
      <c r="W284" s="57"/>
    </row>
    <row r="285" spans="6:23">
      <c r="F285" s="55"/>
      <c r="G285" s="56"/>
      <c r="H285" s="56"/>
      <c r="I285" s="56"/>
      <c r="J285" s="56"/>
      <c r="K285" s="56"/>
      <c r="L285" s="56"/>
      <c r="M285" s="56"/>
      <c r="N285" s="56"/>
      <c r="O285" s="56"/>
      <c r="P285" s="56"/>
      <c r="Q285" s="56"/>
      <c r="R285" s="56"/>
      <c r="S285" s="56"/>
      <c r="T285" s="56"/>
      <c r="U285" s="56"/>
      <c r="V285" s="56"/>
      <c r="W285" s="57"/>
    </row>
    <row r="286" spans="6:23">
      <c r="F286" s="55"/>
      <c r="G286" s="56"/>
      <c r="H286" s="56"/>
      <c r="I286" s="56"/>
      <c r="J286" s="56"/>
      <c r="K286" s="56"/>
      <c r="L286" s="56"/>
      <c r="M286" s="56"/>
      <c r="N286" s="56"/>
      <c r="O286" s="56"/>
      <c r="P286" s="56"/>
      <c r="Q286" s="56"/>
      <c r="R286" s="56"/>
      <c r="S286" s="56"/>
      <c r="T286" s="56"/>
      <c r="U286" s="56"/>
      <c r="V286" s="56"/>
      <c r="W286" s="57"/>
    </row>
    <row r="287" spans="6:23" ht="15" thickBot="1">
      <c r="F287" s="58"/>
      <c r="G287" s="59"/>
      <c r="H287" s="59"/>
      <c r="I287" s="59"/>
      <c r="J287" s="59"/>
      <c r="K287" s="59"/>
      <c r="L287" s="59"/>
      <c r="M287" s="59"/>
      <c r="N287" s="59"/>
      <c r="O287" s="59"/>
      <c r="P287" s="59"/>
      <c r="Q287" s="59"/>
      <c r="R287" s="59"/>
      <c r="S287" s="59"/>
      <c r="T287" s="59"/>
      <c r="U287" s="59"/>
      <c r="V287" s="59"/>
      <c r="W287" s="60"/>
    </row>
    <row r="288" spans="6:23" s="96" customFormat="1" ht="15" thickTop="1"/>
    <row r="289" spans="6:24" s="96" customFormat="1" ht="27.6" customHeight="1">
      <c r="F289" s="1002" t="s">
        <v>261</v>
      </c>
      <c r="G289" s="1002"/>
      <c r="H289" s="1002"/>
      <c r="I289" s="1002"/>
      <c r="J289" s="1002"/>
      <c r="K289" s="1002"/>
      <c r="L289" s="1002"/>
      <c r="M289" s="1002"/>
      <c r="N289" s="1002"/>
      <c r="O289" s="1002"/>
      <c r="P289" s="1002"/>
      <c r="Q289" s="1002"/>
      <c r="R289" s="1002"/>
      <c r="S289" s="1002"/>
      <c r="T289" s="1002"/>
      <c r="U289" s="1002"/>
      <c r="V289" s="1002"/>
      <c r="W289" s="1002"/>
    </row>
    <row r="290" spans="6:24" ht="15.6" customHeight="1" thickBot="1"/>
    <row r="291" spans="6:24" s="96" customFormat="1" ht="15" thickTop="1">
      <c r="F291" s="105"/>
      <c r="G291" s="106"/>
      <c r="H291" s="106"/>
      <c r="I291" s="106"/>
      <c r="J291" s="106"/>
      <c r="K291" s="106"/>
      <c r="L291" s="106"/>
      <c r="M291" s="106"/>
      <c r="N291" s="106"/>
      <c r="O291" s="106"/>
      <c r="P291" s="106"/>
      <c r="Q291" s="106"/>
      <c r="R291" s="106"/>
      <c r="S291" s="106"/>
      <c r="T291" s="106"/>
      <c r="U291" s="106"/>
      <c r="V291" s="106"/>
      <c r="W291" s="107"/>
    </row>
    <row r="292" spans="6:24">
      <c r="F292" s="108"/>
      <c r="G292" s="56"/>
      <c r="H292" s="56"/>
      <c r="I292" s="56"/>
      <c r="J292" s="56"/>
      <c r="K292" s="56"/>
      <c r="L292" s="56"/>
      <c r="M292" s="56"/>
      <c r="N292" s="56"/>
      <c r="O292" s="56"/>
      <c r="P292" s="56"/>
      <c r="Q292" s="56"/>
      <c r="R292" s="56"/>
      <c r="S292" s="56"/>
      <c r="T292" s="56"/>
      <c r="U292" s="56"/>
      <c r="V292" s="56"/>
      <c r="W292" s="109"/>
      <c r="X292" s="96"/>
    </row>
    <row r="293" spans="6:24">
      <c r="F293" s="108"/>
      <c r="G293" s="56"/>
      <c r="H293" s="56"/>
      <c r="I293" s="56"/>
      <c r="J293" s="56"/>
      <c r="K293" s="56"/>
      <c r="L293" s="56"/>
      <c r="M293" s="56"/>
      <c r="N293" s="56"/>
      <c r="O293" s="56"/>
      <c r="P293" s="56"/>
      <c r="Q293" s="56"/>
      <c r="R293" s="56"/>
      <c r="S293" s="56"/>
      <c r="T293" s="56"/>
      <c r="U293" s="56"/>
      <c r="V293" s="56"/>
      <c r="W293" s="109"/>
      <c r="X293" s="96"/>
    </row>
    <row r="294" spans="6:24">
      <c r="F294" s="108"/>
      <c r="G294" s="56"/>
      <c r="H294" s="56"/>
      <c r="I294" s="56"/>
      <c r="J294" s="56"/>
      <c r="K294" s="56"/>
      <c r="L294" s="56"/>
      <c r="M294" s="56"/>
      <c r="N294" s="56"/>
      <c r="O294" s="56"/>
      <c r="P294" s="56"/>
      <c r="Q294" s="56"/>
      <c r="R294" s="56"/>
      <c r="S294" s="56"/>
      <c r="T294" s="56"/>
      <c r="U294" s="56"/>
      <c r="V294" s="56"/>
      <c r="W294" s="109"/>
      <c r="X294" s="96"/>
    </row>
    <row r="295" spans="6:24">
      <c r="F295" s="108"/>
      <c r="G295" s="56"/>
      <c r="H295" s="56"/>
      <c r="I295" s="56"/>
      <c r="J295" s="56"/>
      <c r="K295" s="56"/>
      <c r="L295" s="56"/>
      <c r="M295" s="56"/>
      <c r="N295" s="56"/>
      <c r="O295" s="56"/>
      <c r="P295" s="56"/>
      <c r="Q295" s="56"/>
      <c r="R295" s="56"/>
      <c r="S295" s="56"/>
      <c r="T295" s="56"/>
      <c r="U295" s="56"/>
      <c r="V295" s="56"/>
      <c r="W295" s="109"/>
      <c r="X295" s="96"/>
    </row>
    <row r="296" spans="6:24">
      <c r="F296" s="108"/>
      <c r="G296" s="56"/>
      <c r="H296" s="56"/>
      <c r="I296" s="56"/>
      <c r="J296" s="56"/>
      <c r="K296" s="56"/>
      <c r="L296" s="56"/>
      <c r="M296" s="56"/>
      <c r="N296" s="56"/>
      <c r="O296" s="56"/>
      <c r="P296" s="56"/>
      <c r="Q296" s="56"/>
      <c r="R296" s="56"/>
      <c r="S296" s="56"/>
      <c r="T296" s="56"/>
      <c r="U296" s="56"/>
      <c r="V296" s="56"/>
      <c r="W296" s="109"/>
      <c r="X296" s="96"/>
    </row>
    <row r="297" spans="6:24">
      <c r="F297" s="108"/>
      <c r="G297" s="56"/>
      <c r="H297" s="56"/>
      <c r="I297" s="56"/>
      <c r="J297" s="56"/>
      <c r="K297" s="56"/>
      <c r="L297" s="56"/>
      <c r="M297" s="56"/>
      <c r="N297" s="56"/>
      <c r="O297" s="56"/>
      <c r="P297" s="56"/>
      <c r="Q297" s="56"/>
      <c r="R297" s="56"/>
      <c r="S297" s="56"/>
      <c r="T297" s="56"/>
      <c r="U297" s="56"/>
      <c r="V297" s="56"/>
      <c r="W297" s="109"/>
      <c r="X297" s="96"/>
    </row>
    <row r="298" spans="6:24">
      <c r="F298" s="108"/>
      <c r="G298" s="56"/>
      <c r="H298" s="56"/>
      <c r="I298" s="56"/>
      <c r="J298" s="56"/>
      <c r="K298" s="56"/>
      <c r="L298" s="56"/>
      <c r="M298" s="56"/>
      <c r="N298" s="56"/>
      <c r="O298" s="56"/>
      <c r="P298" s="56"/>
      <c r="Q298" s="56"/>
      <c r="R298" s="56"/>
      <c r="S298" s="56"/>
      <c r="T298" s="56"/>
      <c r="U298" s="56"/>
      <c r="V298" s="56"/>
      <c r="W298" s="109"/>
      <c r="X298" s="96"/>
    </row>
    <row r="299" spans="6:24">
      <c r="F299" s="108"/>
      <c r="G299" s="56"/>
      <c r="H299" s="56"/>
      <c r="I299" s="56"/>
      <c r="J299" s="56"/>
      <c r="K299" s="56"/>
      <c r="L299" s="56"/>
      <c r="M299" s="56"/>
      <c r="N299" s="56"/>
      <c r="O299" s="56"/>
      <c r="P299" s="56"/>
      <c r="Q299" s="56"/>
      <c r="R299" s="56"/>
      <c r="S299" s="56"/>
      <c r="T299" s="56"/>
      <c r="U299" s="56"/>
      <c r="V299" s="56"/>
      <c r="W299" s="109"/>
      <c r="X299" s="96"/>
    </row>
    <row r="300" spans="6:24">
      <c r="F300" s="108"/>
      <c r="G300" s="56"/>
      <c r="H300" s="56"/>
      <c r="I300" s="56"/>
      <c r="J300" s="56"/>
      <c r="K300" s="56"/>
      <c r="L300" s="56"/>
      <c r="M300" s="56"/>
      <c r="N300" s="56"/>
      <c r="O300" s="56"/>
      <c r="P300" s="56"/>
      <c r="Q300" s="56"/>
      <c r="R300" s="56"/>
      <c r="S300" s="56"/>
      <c r="T300" s="56"/>
      <c r="U300" s="56"/>
      <c r="V300" s="56"/>
      <c r="W300" s="109"/>
      <c r="X300" s="96"/>
    </row>
    <row r="301" spans="6:24">
      <c r="F301" s="108"/>
      <c r="G301" s="56"/>
      <c r="H301" s="56"/>
      <c r="I301" s="56"/>
      <c r="J301" s="56"/>
      <c r="K301" s="56"/>
      <c r="L301" s="56"/>
      <c r="M301" s="56"/>
      <c r="N301" s="56"/>
      <c r="O301" s="56"/>
      <c r="P301" s="56"/>
      <c r="Q301" s="56"/>
      <c r="R301" s="56"/>
      <c r="S301" s="56"/>
      <c r="T301" s="56"/>
      <c r="U301" s="56"/>
      <c r="V301" s="56"/>
      <c r="W301" s="109"/>
      <c r="X301" s="96"/>
    </row>
    <row r="302" spans="6:24">
      <c r="F302" s="108"/>
      <c r="G302" s="56"/>
      <c r="H302" s="56"/>
      <c r="I302" s="56"/>
      <c r="J302" s="56"/>
      <c r="K302" s="56"/>
      <c r="L302" s="56"/>
      <c r="M302" s="56"/>
      <c r="N302" s="56"/>
      <c r="O302" s="56"/>
      <c r="P302" s="56"/>
      <c r="Q302" s="56"/>
      <c r="R302" s="56"/>
      <c r="S302" s="56"/>
      <c r="T302" s="56"/>
      <c r="U302" s="56"/>
      <c r="V302" s="56"/>
      <c r="W302" s="109"/>
      <c r="X302" s="96"/>
    </row>
    <row r="303" spans="6:24">
      <c r="F303" s="108"/>
      <c r="G303" s="56"/>
      <c r="H303" s="56"/>
      <c r="I303" s="56"/>
      <c r="J303" s="56"/>
      <c r="K303" s="56"/>
      <c r="L303" s="56"/>
      <c r="M303" s="56"/>
      <c r="N303" s="56"/>
      <c r="O303" s="56"/>
      <c r="P303" s="56"/>
      <c r="Q303" s="56"/>
      <c r="R303" s="56"/>
      <c r="S303" s="56"/>
      <c r="T303" s="56"/>
      <c r="U303" s="56"/>
      <c r="V303" s="56"/>
      <c r="W303" s="109"/>
      <c r="X303" s="96"/>
    </row>
    <row r="304" spans="6:24">
      <c r="F304" s="108"/>
      <c r="G304" s="56"/>
      <c r="H304" s="56"/>
      <c r="I304" s="56"/>
      <c r="J304" s="56"/>
      <c r="K304" s="56"/>
      <c r="L304" s="56"/>
      <c r="M304" s="56"/>
      <c r="N304" s="56"/>
      <c r="O304" s="56"/>
      <c r="P304" s="56"/>
      <c r="Q304" s="56"/>
      <c r="R304" s="56"/>
      <c r="S304" s="56"/>
      <c r="T304" s="56"/>
      <c r="U304" s="56"/>
      <c r="V304" s="56"/>
      <c r="W304" s="109"/>
      <c r="X304" s="96"/>
    </row>
    <row r="305" spans="6:24">
      <c r="F305" s="108"/>
      <c r="G305" s="56"/>
      <c r="H305" s="56"/>
      <c r="I305" s="56"/>
      <c r="J305" s="56"/>
      <c r="K305" s="56"/>
      <c r="L305" s="56"/>
      <c r="M305" s="56"/>
      <c r="N305" s="56"/>
      <c r="O305" s="56"/>
      <c r="P305" s="56"/>
      <c r="Q305" s="56"/>
      <c r="R305" s="56"/>
      <c r="S305" s="56"/>
      <c r="T305" s="56"/>
      <c r="U305" s="56"/>
      <c r="V305" s="56"/>
      <c r="W305" s="109"/>
      <c r="X305" s="96"/>
    </row>
    <row r="306" spans="6:24">
      <c r="F306" s="108"/>
      <c r="G306" s="56"/>
      <c r="H306" s="56"/>
      <c r="I306" s="56"/>
      <c r="J306" s="56"/>
      <c r="K306" s="56"/>
      <c r="L306" s="56"/>
      <c r="M306" s="56"/>
      <c r="N306" s="56"/>
      <c r="O306" s="56"/>
      <c r="P306" s="56"/>
      <c r="Q306" s="56"/>
      <c r="R306" s="56"/>
      <c r="S306" s="56"/>
      <c r="T306" s="56"/>
      <c r="U306" s="56"/>
      <c r="V306" s="56"/>
      <c r="W306" s="109"/>
      <c r="X306" s="96"/>
    </row>
    <row r="307" spans="6:24">
      <c r="F307" s="108"/>
      <c r="G307" s="56"/>
      <c r="H307" s="56"/>
      <c r="I307" s="56"/>
      <c r="J307" s="56"/>
      <c r="K307" s="56"/>
      <c r="L307" s="56"/>
      <c r="M307" s="56"/>
      <c r="N307" s="56"/>
      <c r="O307" s="56"/>
      <c r="P307" s="56"/>
      <c r="Q307" s="56"/>
      <c r="R307" s="56"/>
      <c r="S307" s="56"/>
      <c r="T307" s="56"/>
      <c r="U307" s="56"/>
      <c r="V307" s="56"/>
      <c r="W307" s="109"/>
      <c r="X307" s="96"/>
    </row>
    <row r="308" spans="6:24">
      <c r="F308" s="108"/>
      <c r="G308" s="56"/>
      <c r="H308" s="56"/>
      <c r="I308" s="56"/>
      <c r="J308" s="56"/>
      <c r="K308" s="56"/>
      <c r="L308" s="56"/>
      <c r="M308" s="56"/>
      <c r="N308" s="56"/>
      <c r="O308" s="56"/>
      <c r="P308" s="56"/>
      <c r="Q308" s="56"/>
      <c r="R308" s="56"/>
      <c r="S308" s="56"/>
      <c r="T308" s="56"/>
      <c r="U308" s="56"/>
      <c r="V308" s="56"/>
      <c r="W308" s="109"/>
      <c r="X308" s="96"/>
    </row>
    <row r="309" spans="6:24">
      <c r="F309" s="108"/>
      <c r="G309" s="56"/>
      <c r="H309" s="56"/>
      <c r="I309" s="56"/>
      <c r="J309" s="56"/>
      <c r="K309" s="56"/>
      <c r="L309" s="56"/>
      <c r="M309" s="56"/>
      <c r="N309" s="56"/>
      <c r="O309" s="56"/>
      <c r="P309" s="56"/>
      <c r="Q309" s="56"/>
      <c r="R309" s="56"/>
      <c r="S309" s="56"/>
      <c r="T309" s="56"/>
      <c r="U309" s="56"/>
      <c r="V309" s="56"/>
      <c r="W309" s="109"/>
      <c r="X309" s="96"/>
    </row>
    <row r="310" spans="6:24">
      <c r="F310" s="108"/>
      <c r="G310" s="56"/>
      <c r="H310" s="56"/>
      <c r="I310" s="56"/>
      <c r="J310" s="56"/>
      <c r="K310" s="56"/>
      <c r="L310" s="56"/>
      <c r="M310" s="56"/>
      <c r="N310" s="56"/>
      <c r="O310" s="56"/>
      <c r="P310" s="56"/>
      <c r="Q310" s="56"/>
      <c r="R310" s="56"/>
      <c r="S310" s="56"/>
      <c r="T310" s="56"/>
      <c r="U310" s="56"/>
      <c r="V310" s="56"/>
      <c r="W310" s="109"/>
      <c r="X310" s="96"/>
    </row>
    <row r="311" spans="6:24">
      <c r="F311" s="108"/>
      <c r="G311" s="56"/>
      <c r="H311" s="56"/>
      <c r="I311" s="56"/>
      <c r="J311" s="56"/>
      <c r="K311" s="56"/>
      <c r="L311" s="56"/>
      <c r="M311" s="56"/>
      <c r="N311" s="56"/>
      <c r="O311" s="56"/>
      <c r="P311" s="56"/>
      <c r="Q311" s="56"/>
      <c r="R311" s="56"/>
      <c r="S311" s="56"/>
      <c r="T311" s="56"/>
      <c r="U311" s="56"/>
      <c r="V311" s="56"/>
      <c r="W311" s="109"/>
      <c r="X311" s="96"/>
    </row>
    <row r="312" spans="6:24">
      <c r="F312" s="108"/>
      <c r="G312" s="56"/>
      <c r="H312" s="56"/>
      <c r="I312" s="56"/>
      <c r="J312" s="56"/>
      <c r="K312" s="56"/>
      <c r="L312" s="56"/>
      <c r="M312" s="56"/>
      <c r="N312" s="56"/>
      <c r="O312" s="56"/>
      <c r="P312" s="56"/>
      <c r="Q312" s="56"/>
      <c r="R312" s="56"/>
      <c r="S312" s="56"/>
      <c r="T312" s="56"/>
      <c r="U312" s="56"/>
      <c r="V312" s="56"/>
      <c r="W312" s="109"/>
      <c r="X312" s="96"/>
    </row>
    <row r="313" spans="6:24">
      <c r="F313" s="108"/>
      <c r="G313" s="56"/>
      <c r="H313" s="56"/>
      <c r="I313" s="56"/>
      <c r="J313" s="56"/>
      <c r="K313" s="56"/>
      <c r="L313" s="56"/>
      <c r="M313" s="56"/>
      <c r="N313" s="56"/>
      <c r="O313" s="56"/>
      <c r="P313" s="56"/>
      <c r="Q313" s="56"/>
      <c r="R313" s="56"/>
      <c r="S313" s="56"/>
      <c r="T313" s="56"/>
      <c r="U313" s="56"/>
      <c r="V313" s="56"/>
      <c r="W313" s="109"/>
      <c r="X313" s="96"/>
    </row>
    <row r="314" spans="6:24">
      <c r="F314" s="108"/>
      <c r="G314" s="56"/>
      <c r="H314" s="56"/>
      <c r="I314" s="56"/>
      <c r="J314" s="56"/>
      <c r="K314" s="56"/>
      <c r="L314" s="56"/>
      <c r="M314" s="56"/>
      <c r="N314" s="56"/>
      <c r="O314" s="56"/>
      <c r="P314" s="56"/>
      <c r="Q314" s="56"/>
      <c r="R314" s="56"/>
      <c r="S314" s="56"/>
      <c r="T314" s="56"/>
      <c r="U314" s="56"/>
      <c r="V314" s="56"/>
      <c r="W314" s="109"/>
      <c r="X314" s="96"/>
    </row>
    <row r="315" spans="6:24">
      <c r="F315" s="108"/>
      <c r="G315" s="56"/>
      <c r="H315" s="56"/>
      <c r="I315" s="56"/>
      <c r="J315" s="56"/>
      <c r="K315" s="56"/>
      <c r="L315" s="56"/>
      <c r="M315" s="56"/>
      <c r="N315" s="56"/>
      <c r="O315" s="56"/>
      <c r="P315" s="56"/>
      <c r="Q315" s="56"/>
      <c r="R315" s="56"/>
      <c r="S315" s="56"/>
      <c r="T315" s="56"/>
      <c r="U315" s="56"/>
      <c r="V315" s="56"/>
      <c r="W315" s="109"/>
      <c r="X315" s="96"/>
    </row>
    <row r="316" spans="6:24">
      <c r="F316" s="108"/>
      <c r="G316" s="56"/>
      <c r="H316" s="56"/>
      <c r="I316" s="56"/>
      <c r="J316" s="56"/>
      <c r="K316" s="56"/>
      <c r="L316" s="56"/>
      <c r="M316" s="56"/>
      <c r="N316" s="56"/>
      <c r="O316" s="56"/>
      <c r="P316" s="56"/>
      <c r="Q316" s="56"/>
      <c r="R316" s="56"/>
      <c r="S316" s="56"/>
      <c r="T316" s="56"/>
      <c r="U316" s="56"/>
      <c r="V316" s="56"/>
      <c r="W316" s="109"/>
      <c r="X316" s="96"/>
    </row>
    <row r="317" spans="6:24">
      <c r="F317" s="108"/>
      <c r="G317" s="56"/>
      <c r="H317" s="56"/>
      <c r="I317" s="56"/>
      <c r="J317" s="56"/>
      <c r="K317" s="56"/>
      <c r="L317" s="56"/>
      <c r="M317" s="56"/>
      <c r="N317" s="56"/>
      <c r="O317" s="56"/>
      <c r="P317" s="56"/>
      <c r="Q317" s="56"/>
      <c r="R317" s="56"/>
      <c r="S317" s="56"/>
      <c r="T317" s="56"/>
      <c r="U317" s="56"/>
      <c r="V317" s="56"/>
      <c r="W317" s="109"/>
      <c r="X317" s="96"/>
    </row>
    <row r="318" spans="6:24">
      <c r="F318" s="108"/>
      <c r="G318" s="56"/>
      <c r="H318" s="56"/>
      <c r="I318" s="56"/>
      <c r="J318" s="56"/>
      <c r="K318" s="56"/>
      <c r="L318" s="56"/>
      <c r="M318" s="56"/>
      <c r="N318" s="56"/>
      <c r="O318" s="56"/>
      <c r="P318" s="56"/>
      <c r="Q318" s="56"/>
      <c r="R318" s="56"/>
      <c r="S318" s="56"/>
      <c r="T318" s="56"/>
      <c r="U318" s="56"/>
      <c r="V318" s="56"/>
      <c r="W318" s="109"/>
      <c r="X318" s="96"/>
    </row>
    <row r="319" spans="6:24">
      <c r="F319" s="108"/>
      <c r="G319" s="56"/>
      <c r="H319" s="56"/>
      <c r="I319" s="56"/>
      <c r="J319" s="56"/>
      <c r="K319" s="56"/>
      <c r="L319" s="56"/>
      <c r="M319" s="56"/>
      <c r="N319" s="56"/>
      <c r="O319" s="56"/>
      <c r="P319" s="56"/>
      <c r="Q319" s="56"/>
      <c r="R319" s="56"/>
      <c r="S319" s="56"/>
      <c r="T319" s="56"/>
      <c r="U319" s="56"/>
      <c r="V319" s="56"/>
      <c r="W319" s="109"/>
      <c r="X319" s="96"/>
    </row>
    <row r="320" spans="6:24">
      <c r="F320" s="108"/>
      <c r="G320" s="56"/>
      <c r="H320" s="56"/>
      <c r="I320" s="56"/>
      <c r="J320" s="56"/>
      <c r="K320" s="56"/>
      <c r="L320" s="56"/>
      <c r="M320" s="56"/>
      <c r="N320" s="56"/>
      <c r="O320" s="56"/>
      <c r="P320" s="56"/>
      <c r="Q320" s="56"/>
      <c r="R320" s="56"/>
      <c r="S320" s="56"/>
      <c r="T320" s="56"/>
      <c r="U320" s="56"/>
      <c r="V320" s="56"/>
      <c r="W320" s="109"/>
      <c r="X320" s="96"/>
    </row>
    <row r="321" spans="6:24">
      <c r="F321" s="108"/>
      <c r="G321" s="56"/>
      <c r="H321" s="56"/>
      <c r="I321" s="56"/>
      <c r="J321" s="56"/>
      <c r="K321" s="56"/>
      <c r="L321" s="56"/>
      <c r="M321" s="56"/>
      <c r="N321" s="56"/>
      <c r="O321" s="56"/>
      <c r="P321" s="56"/>
      <c r="Q321" s="56"/>
      <c r="R321" s="56"/>
      <c r="S321" s="56"/>
      <c r="T321" s="56"/>
      <c r="U321" s="56"/>
      <c r="V321" s="56"/>
      <c r="W321" s="109"/>
      <c r="X321" s="96"/>
    </row>
    <row r="322" spans="6:24">
      <c r="F322" s="108"/>
      <c r="G322" s="56"/>
      <c r="H322" s="56"/>
      <c r="I322" s="56"/>
      <c r="J322" s="56"/>
      <c r="K322" s="56"/>
      <c r="L322" s="56"/>
      <c r="M322" s="56"/>
      <c r="N322" s="56"/>
      <c r="O322" s="56"/>
      <c r="P322" s="56"/>
      <c r="Q322" s="56"/>
      <c r="R322" s="56"/>
      <c r="S322" s="56"/>
      <c r="T322" s="56"/>
      <c r="U322" s="56"/>
      <c r="V322" s="56"/>
      <c r="W322" s="109"/>
      <c r="X322" s="96"/>
    </row>
    <row r="323" spans="6:24">
      <c r="F323" s="108"/>
      <c r="G323" s="56"/>
      <c r="H323" s="56"/>
      <c r="I323" s="56"/>
      <c r="J323" s="56"/>
      <c r="K323" s="56"/>
      <c r="L323" s="56"/>
      <c r="M323" s="56"/>
      <c r="N323" s="56"/>
      <c r="O323" s="56"/>
      <c r="P323" s="56"/>
      <c r="Q323" s="56"/>
      <c r="R323" s="56"/>
      <c r="S323" s="56"/>
      <c r="T323" s="56"/>
      <c r="U323" s="56"/>
      <c r="V323" s="56"/>
      <c r="W323" s="109"/>
      <c r="X323" s="96"/>
    </row>
    <row r="324" spans="6:24">
      <c r="F324" s="108"/>
      <c r="G324" s="56"/>
      <c r="H324" s="56"/>
      <c r="I324" s="56"/>
      <c r="J324" s="56"/>
      <c r="K324" s="56"/>
      <c r="L324" s="56"/>
      <c r="M324" s="56"/>
      <c r="N324" s="56"/>
      <c r="O324" s="56"/>
      <c r="P324" s="56"/>
      <c r="Q324" s="56"/>
      <c r="R324" s="56"/>
      <c r="S324" s="56"/>
      <c r="T324" s="56"/>
      <c r="U324" s="56"/>
      <c r="V324" s="56"/>
      <c r="W324" s="109"/>
      <c r="X324" s="96"/>
    </row>
    <row r="325" spans="6:24">
      <c r="F325" s="108"/>
      <c r="G325" s="56"/>
      <c r="H325" s="56"/>
      <c r="I325" s="56"/>
      <c r="J325" s="56"/>
      <c r="K325" s="56"/>
      <c r="L325" s="56"/>
      <c r="M325" s="56"/>
      <c r="N325" s="56"/>
      <c r="O325" s="56"/>
      <c r="P325" s="56"/>
      <c r="Q325" s="56"/>
      <c r="R325" s="56"/>
      <c r="S325" s="56"/>
      <c r="T325" s="56"/>
      <c r="U325" s="56"/>
      <c r="V325" s="56"/>
      <c r="W325" s="109"/>
      <c r="X325" s="96"/>
    </row>
    <row r="326" spans="6:24">
      <c r="F326" s="108"/>
      <c r="G326" s="56"/>
      <c r="H326" s="56"/>
      <c r="I326" s="56"/>
      <c r="J326" s="56"/>
      <c r="K326" s="56"/>
      <c r="L326" s="56"/>
      <c r="M326" s="56"/>
      <c r="N326" s="56"/>
      <c r="O326" s="56"/>
      <c r="P326" s="56"/>
      <c r="Q326" s="56"/>
      <c r="R326" s="56"/>
      <c r="S326" s="56"/>
      <c r="T326" s="56"/>
      <c r="U326" s="56"/>
      <c r="V326" s="56"/>
      <c r="W326" s="109"/>
      <c r="X326" s="96"/>
    </row>
    <row r="327" spans="6:24">
      <c r="F327" s="108"/>
      <c r="G327" s="56"/>
      <c r="H327" s="56"/>
      <c r="I327" s="56"/>
      <c r="J327" s="56"/>
      <c r="K327" s="56"/>
      <c r="L327" s="56"/>
      <c r="M327" s="56"/>
      <c r="N327" s="56"/>
      <c r="O327" s="56"/>
      <c r="P327" s="56"/>
      <c r="Q327" s="56"/>
      <c r="R327" s="56"/>
      <c r="S327" s="56"/>
      <c r="T327" s="56"/>
      <c r="U327" s="56"/>
      <c r="V327" s="56"/>
      <c r="W327" s="109"/>
      <c r="X327" s="96"/>
    </row>
    <row r="328" spans="6:24">
      <c r="F328" s="108"/>
      <c r="G328" s="56"/>
      <c r="H328" s="56"/>
      <c r="I328" s="56"/>
      <c r="J328" s="56"/>
      <c r="K328" s="56"/>
      <c r="L328" s="56"/>
      <c r="M328" s="56"/>
      <c r="N328" s="56"/>
      <c r="O328" s="56"/>
      <c r="P328" s="56"/>
      <c r="Q328" s="56"/>
      <c r="R328" s="56"/>
      <c r="S328" s="56"/>
      <c r="T328" s="56"/>
      <c r="U328" s="56"/>
      <c r="V328" s="56"/>
      <c r="W328" s="109"/>
      <c r="X328" s="96"/>
    </row>
    <row r="329" spans="6:24">
      <c r="F329" s="108"/>
      <c r="G329" s="56"/>
      <c r="H329" s="56"/>
      <c r="I329" s="56"/>
      <c r="J329" s="56"/>
      <c r="K329" s="56"/>
      <c r="L329" s="56"/>
      <c r="M329" s="56"/>
      <c r="N329" s="56"/>
      <c r="O329" s="56"/>
      <c r="P329" s="56"/>
      <c r="Q329" s="56"/>
      <c r="R329" s="56"/>
      <c r="S329" s="56"/>
      <c r="T329" s="56"/>
      <c r="U329" s="56"/>
      <c r="V329" s="56"/>
      <c r="W329" s="109"/>
      <c r="X329" s="96"/>
    </row>
    <row r="330" spans="6:24">
      <c r="F330" s="108"/>
      <c r="G330" s="56"/>
      <c r="H330" s="56"/>
      <c r="I330" s="56"/>
      <c r="J330" s="56"/>
      <c r="K330" s="56"/>
      <c r="L330" s="56"/>
      <c r="M330" s="56"/>
      <c r="N330" s="56"/>
      <c r="O330" s="56"/>
      <c r="P330" s="56"/>
      <c r="Q330" s="56"/>
      <c r="R330" s="56"/>
      <c r="S330" s="56"/>
      <c r="T330" s="56"/>
      <c r="U330" s="56"/>
      <c r="V330" s="56"/>
      <c r="W330" s="109"/>
      <c r="X330" s="96"/>
    </row>
    <row r="331" spans="6:24">
      <c r="F331" s="108"/>
      <c r="G331" s="56"/>
      <c r="H331" s="56"/>
      <c r="I331" s="56"/>
      <c r="J331" s="56"/>
      <c r="K331" s="56"/>
      <c r="L331" s="56"/>
      <c r="M331" s="56"/>
      <c r="N331" s="56"/>
      <c r="O331" s="56"/>
      <c r="P331" s="56"/>
      <c r="Q331" s="56"/>
      <c r="R331" s="56"/>
      <c r="S331" s="56"/>
      <c r="T331" s="56"/>
      <c r="U331" s="56"/>
      <c r="V331" s="56"/>
      <c r="W331" s="109"/>
      <c r="X331" s="96"/>
    </row>
    <row r="332" spans="6:24">
      <c r="F332" s="108"/>
      <c r="G332" s="56"/>
      <c r="H332" s="56"/>
      <c r="I332" s="56"/>
      <c r="J332" s="56"/>
      <c r="K332" s="56"/>
      <c r="L332" s="56"/>
      <c r="M332" s="56"/>
      <c r="N332" s="56"/>
      <c r="O332" s="56"/>
      <c r="P332" s="56"/>
      <c r="Q332" s="56"/>
      <c r="R332" s="56"/>
      <c r="S332" s="56"/>
      <c r="T332" s="56"/>
      <c r="U332" s="56"/>
      <c r="V332" s="56"/>
      <c r="W332" s="109"/>
      <c r="X332" s="96"/>
    </row>
    <row r="333" spans="6:24">
      <c r="F333" s="108"/>
      <c r="G333" s="56"/>
      <c r="H333" s="56"/>
      <c r="I333" s="56"/>
      <c r="J333" s="56"/>
      <c r="K333" s="56"/>
      <c r="L333" s="56"/>
      <c r="M333" s="56"/>
      <c r="N333" s="56"/>
      <c r="O333" s="56"/>
      <c r="P333" s="56"/>
      <c r="Q333" s="56"/>
      <c r="R333" s="56"/>
      <c r="S333" s="56"/>
      <c r="T333" s="56"/>
      <c r="U333" s="56"/>
      <c r="V333" s="56"/>
      <c r="W333" s="109"/>
      <c r="X333" s="96"/>
    </row>
    <row r="334" spans="6:24">
      <c r="F334" s="108"/>
      <c r="G334" s="56"/>
      <c r="H334" s="56"/>
      <c r="I334" s="56"/>
      <c r="J334" s="56"/>
      <c r="K334" s="56"/>
      <c r="L334" s="56"/>
      <c r="M334" s="56"/>
      <c r="N334" s="56"/>
      <c r="O334" s="56"/>
      <c r="P334" s="56"/>
      <c r="Q334" s="56"/>
      <c r="R334" s="56"/>
      <c r="S334" s="56"/>
      <c r="T334" s="56"/>
      <c r="U334" s="56"/>
      <c r="V334" s="56"/>
      <c r="W334" s="109"/>
      <c r="X334" s="96"/>
    </row>
    <row r="335" spans="6:24">
      <c r="F335" s="108"/>
      <c r="G335" s="56"/>
      <c r="H335" s="56"/>
      <c r="I335" s="56"/>
      <c r="J335" s="56"/>
      <c r="K335" s="56"/>
      <c r="L335" s="56"/>
      <c r="M335" s="56"/>
      <c r="N335" s="56"/>
      <c r="O335" s="56"/>
      <c r="P335" s="56"/>
      <c r="Q335" s="56"/>
      <c r="R335" s="56"/>
      <c r="S335" s="56"/>
      <c r="T335" s="56"/>
      <c r="U335" s="56"/>
      <c r="V335" s="56"/>
      <c r="W335" s="109"/>
      <c r="X335" s="96"/>
    </row>
    <row r="336" spans="6:24" ht="15" thickBot="1">
      <c r="F336" s="110"/>
      <c r="G336" s="111"/>
      <c r="H336" s="111"/>
      <c r="I336" s="111"/>
      <c r="J336" s="111"/>
      <c r="K336" s="111"/>
      <c r="L336" s="111"/>
      <c r="M336" s="111"/>
      <c r="N336" s="111"/>
      <c r="O336" s="111"/>
      <c r="P336" s="111"/>
      <c r="Q336" s="111"/>
      <c r="R336" s="111"/>
      <c r="S336" s="111"/>
      <c r="T336" s="111"/>
      <c r="U336" s="111"/>
      <c r="V336" s="111"/>
      <c r="W336" s="112"/>
      <c r="X336" s="96"/>
    </row>
    <row r="337" ht="15" thickTop="1"/>
  </sheetData>
  <mergeCells count="22">
    <mergeCell ref="F289:W289"/>
    <mergeCell ref="F190:W190"/>
    <mergeCell ref="F192:W192"/>
    <mergeCell ref="F241:W241"/>
    <mergeCell ref="B4:M4"/>
    <mergeCell ref="B78:M78"/>
    <mergeCell ref="O78:Z78"/>
    <mergeCell ref="O152:Z152"/>
    <mergeCell ref="B40:M40"/>
    <mergeCell ref="O40:Z40"/>
    <mergeCell ref="E2:W2"/>
    <mergeCell ref="O4:Z4"/>
    <mergeCell ref="B6:M6"/>
    <mergeCell ref="O6:Z6"/>
    <mergeCell ref="B171:M171"/>
    <mergeCell ref="O118:Z118"/>
    <mergeCell ref="B99:M99"/>
    <mergeCell ref="O59:Z59"/>
    <mergeCell ref="B80:M80"/>
    <mergeCell ref="B118:M118"/>
    <mergeCell ref="B152:M152"/>
    <mergeCell ref="O80:Z80"/>
  </mergeCells>
  <pageMargins left="0.70866141732283472" right="0.70866141732283472" top="0.74803149606299213" bottom="0.74803149606299213" header="0.31496062992125984" footer="0.31496062992125984"/>
  <pageSetup paperSize="9" orientation="landscape" r:id="rId1"/>
  <headerFooter>
    <oddFooter>&amp;R&amp;1#&amp;"Calibri"&amp;10&amp;K000000C2 - Confidential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euil7">
    <tabColor rgb="FF92D050"/>
  </sheetPr>
  <dimension ref="A1:P115"/>
  <sheetViews>
    <sheetView workbookViewId="0">
      <selection activeCell="B11" sqref="B11"/>
    </sheetView>
  </sheetViews>
  <sheetFormatPr baseColWidth="10" defaultColWidth="8.88671875" defaultRowHeight="14.4"/>
  <cols>
    <col min="1" max="1" width="23.33203125" style="118" customWidth="1"/>
    <col min="2" max="2" width="26.6640625" style="118" bestFit="1" customWidth="1"/>
    <col min="3" max="3" width="39.44140625" style="118" bestFit="1" customWidth="1"/>
    <col min="4" max="4" width="59" style="118" bestFit="1" customWidth="1"/>
    <col min="5" max="6" width="26.109375" style="118" customWidth="1"/>
    <col min="7" max="11" width="17" style="118" customWidth="1"/>
    <col min="12" max="12" width="28.5546875" style="118" customWidth="1"/>
    <col min="13" max="13" width="17" style="118" customWidth="1"/>
    <col min="14" max="14" width="8.88671875" style="118"/>
    <col min="15" max="15" width="49.109375" style="118" bestFit="1" customWidth="1"/>
    <col min="16" max="16" width="46.5546875" style="118" bestFit="1" customWidth="1"/>
    <col min="17" max="16384" width="8.88671875" style="118"/>
  </cols>
  <sheetData>
    <row r="1" spans="1:13" ht="12.75" customHeight="1">
      <c r="A1" s="1010"/>
      <c r="B1" s="1010"/>
      <c r="C1" s="1010"/>
      <c r="D1" s="1010"/>
      <c r="E1" s="1010"/>
      <c r="F1" s="1010"/>
      <c r="G1" s="1010"/>
      <c r="H1" s="1010"/>
      <c r="I1" s="1010"/>
      <c r="J1" s="1010"/>
      <c r="K1" s="1010"/>
      <c r="L1" s="1010"/>
      <c r="M1" s="1010"/>
    </row>
    <row r="2" spans="1:13" ht="12.75" customHeight="1">
      <c r="H2" s="1010"/>
      <c r="I2" s="1010"/>
      <c r="J2" s="1010"/>
      <c r="K2" s="1010"/>
      <c r="L2" s="1010"/>
      <c r="M2" s="1010"/>
    </row>
    <row r="3" spans="1:13" ht="15">
      <c r="A3" s="1013" t="s">
        <v>0</v>
      </c>
      <c r="B3" s="1010"/>
      <c r="C3" s="1010"/>
      <c r="D3" s="1010"/>
      <c r="E3" s="1010"/>
      <c r="F3" s="1010"/>
      <c r="G3" s="1010"/>
      <c r="H3" s="1010"/>
      <c r="I3" s="1010"/>
      <c r="J3" s="1010"/>
      <c r="K3" s="1010"/>
      <c r="L3" s="1010"/>
      <c r="M3" s="1010"/>
    </row>
    <row r="4" spans="1:13" ht="15.6" thickBot="1">
      <c r="A4" s="1013" t="s">
        <v>210</v>
      </c>
      <c r="B4" s="1010"/>
      <c r="C4" s="1010"/>
      <c r="D4" s="1010"/>
      <c r="E4" s="1010"/>
      <c r="F4" s="1010"/>
      <c r="G4" s="1010"/>
      <c r="H4" s="1010"/>
      <c r="I4" s="1010"/>
      <c r="J4" s="1010"/>
      <c r="K4" s="1010"/>
      <c r="L4" s="1010"/>
      <c r="M4" s="1010"/>
    </row>
    <row r="5" spans="1:13" ht="22.5" customHeight="1" thickBot="1">
      <c r="A5" s="1004" t="s">
        <v>1</v>
      </c>
      <c r="B5" s="1005"/>
      <c r="C5" s="1005"/>
      <c r="D5" s="1005"/>
      <c r="E5" s="1005"/>
      <c r="F5" s="1005"/>
      <c r="G5" s="1005"/>
      <c r="H5" s="1005"/>
      <c r="I5" s="1005"/>
      <c r="J5" s="1006"/>
    </row>
    <row r="6" spans="1:13" ht="15.6" thickBot="1">
      <c r="A6" s="1012"/>
      <c r="B6" s="1011"/>
      <c r="C6" s="1011"/>
      <c r="D6" s="1011"/>
      <c r="E6" s="1011"/>
      <c r="F6" s="1011"/>
      <c r="G6" s="1011"/>
      <c r="H6" s="1011"/>
      <c r="I6" s="1008"/>
      <c r="J6" s="2" t="s">
        <v>2</v>
      </c>
    </row>
    <row r="7" spans="1:13" ht="15.6" thickBot="1">
      <c r="A7" s="3" t="s">
        <v>3</v>
      </c>
      <c r="B7" s="4" t="s">
        <v>4</v>
      </c>
      <c r="C7" s="4" t="s">
        <v>5</v>
      </c>
      <c r="D7" s="4" t="s">
        <v>6</v>
      </c>
      <c r="E7" s="4" t="s">
        <v>7</v>
      </c>
      <c r="F7" s="4" t="s">
        <v>8</v>
      </c>
      <c r="G7" s="4" t="s">
        <v>9</v>
      </c>
      <c r="H7" s="4" t="s">
        <v>10</v>
      </c>
      <c r="I7" s="4" t="s">
        <v>11</v>
      </c>
      <c r="J7" s="5" t="s">
        <v>12</v>
      </c>
    </row>
    <row r="8" spans="1:13" ht="15" thickBot="1">
      <c r="A8" s="6" t="s">
        <v>16</v>
      </c>
      <c r="B8" s="401">
        <v>239018</v>
      </c>
      <c r="C8" s="7">
        <v>171850</v>
      </c>
      <c r="D8" s="399">
        <v>0.718983507518</v>
      </c>
      <c r="E8" s="8">
        <v>8.1571300915000006E-2</v>
      </c>
      <c r="F8" s="8">
        <v>1.1048579426E-2</v>
      </c>
      <c r="G8" s="7">
        <v>3656</v>
      </c>
      <c r="H8" s="8">
        <v>2.1867074978999999E-2</v>
      </c>
      <c r="I8" s="8">
        <v>0.13350458411499999</v>
      </c>
      <c r="J8" s="9">
        <v>429.97674418604697</v>
      </c>
      <c r="K8" s="118">
        <v>18564</v>
      </c>
      <c r="L8" s="118">
        <v>0.99595992242999998</v>
      </c>
    </row>
    <row r="9" spans="1:13" ht="15" thickBot="1">
      <c r="A9" s="10" t="s">
        <v>23</v>
      </c>
      <c r="B9" s="401">
        <v>26991</v>
      </c>
      <c r="C9" s="7">
        <v>21241</v>
      </c>
      <c r="D9" s="399">
        <v>0.78696602571200003</v>
      </c>
      <c r="E9" s="8">
        <v>0.22781465926</v>
      </c>
      <c r="F9" s="8">
        <v>7.2822110824999994E-2</v>
      </c>
      <c r="G9" s="7">
        <v>-30</v>
      </c>
      <c r="H9" s="8">
        <v>-1.890716581E-3</v>
      </c>
      <c r="I9" s="8">
        <v>0.20533351428300001</v>
      </c>
      <c r="J9" s="9">
        <v>309.92857142857099</v>
      </c>
      <c r="K9" s="118">
        <v>6128</v>
      </c>
      <c r="L9" s="118">
        <v>0.70806135770199996</v>
      </c>
    </row>
    <row r="10" spans="1:13" ht="15" thickBot="1">
      <c r="A10" s="10" t="s">
        <v>15</v>
      </c>
      <c r="B10" s="401">
        <v>292739</v>
      </c>
      <c r="C10" s="7">
        <v>244594</v>
      </c>
      <c r="D10" s="399">
        <v>0.83553609187699995</v>
      </c>
      <c r="E10" s="8">
        <v>0.122895089557</v>
      </c>
      <c r="F10" s="8">
        <v>4.2383331301999998E-2</v>
      </c>
      <c r="G10" s="7">
        <v>398</v>
      </c>
      <c r="H10" s="8">
        <v>1.864404397E-3</v>
      </c>
      <c r="I10" s="8">
        <v>0.1168633793</v>
      </c>
      <c r="J10" s="9">
        <v>105.51578947368399</v>
      </c>
      <c r="K10" s="118">
        <v>41460</v>
      </c>
      <c r="L10" s="118">
        <v>0.72532561505000004</v>
      </c>
    </row>
    <row r="11" spans="1:13" ht="15" thickBot="1">
      <c r="A11" s="10" t="s">
        <v>20</v>
      </c>
      <c r="B11" s="401">
        <v>54157</v>
      </c>
      <c r="C11" s="7">
        <v>37212</v>
      </c>
      <c r="D11" s="399">
        <v>0.68711339254299997</v>
      </c>
      <c r="E11" s="8">
        <v>6.5054002895000004E-2</v>
      </c>
      <c r="F11" s="8">
        <v>8.935530564E-3</v>
      </c>
      <c r="G11" s="7">
        <v>-109</v>
      </c>
      <c r="H11" s="8">
        <v>-2.9982945479999999E-3</v>
      </c>
      <c r="I11" s="8">
        <v>8.6293285824999996E-2</v>
      </c>
      <c r="J11" s="9">
        <v>1355.5</v>
      </c>
      <c r="K11" s="118">
        <v>7000</v>
      </c>
      <c r="L11" s="118">
        <v>0.77457142857100003</v>
      </c>
    </row>
    <row r="12" spans="1:13" ht="15" thickBot="1">
      <c r="A12" s="10" t="s">
        <v>21</v>
      </c>
      <c r="B12" s="401">
        <v>33534</v>
      </c>
      <c r="C12" s="7">
        <v>21122</v>
      </c>
      <c r="D12" s="399">
        <v>0.629868193475</v>
      </c>
      <c r="E12" s="8">
        <v>3.8120362737000001E-2</v>
      </c>
      <c r="F12" s="8">
        <v>-0.149414674361</v>
      </c>
      <c r="G12" s="7">
        <v>-498</v>
      </c>
      <c r="H12" s="8">
        <v>-1.8941122774000001E-2</v>
      </c>
      <c r="I12" s="8">
        <v>0.234345100626</v>
      </c>
      <c r="J12" s="9">
        <v>95.095238095238003</v>
      </c>
      <c r="K12" s="118">
        <v>3150</v>
      </c>
      <c r="L12" s="118">
        <v>0.63396825396800005</v>
      </c>
    </row>
    <row r="13" spans="1:13" ht="15" thickBot="1">
      <c r="A13" s="10" t="s">
        <v>18</v>
      </c>
      <c r="B13" s="401">
        <v>112567</v>
      </c>
      <c r="C13" s="7">
        <v>68468</v>
      </c>
      <c r="D13" s="399">
        <v>0.60824220242100002</v>
      </c>
      <c r="E13" s="8">
        <v>3.8685468578000003E-2</v>
      </c>
      <c r="F13" s="8">
        <v>-4.2691557833999999E-2</v>
      </c>
      <c r="G13" s="7">
        <v>-362</v>
      </c>
      <c r="H13" s="8">
        <v>-5.0242189560000001E-3</v>
      </c>
      <c r="I13" s="8">
        <v>0.13153817385200001</v>
      </c>
      <c r="J13" s="9">
        <v>45.903614457830997</v>
      </c>
      <c r="K13" s="118">
        <v>6337</v>
      </c>
      <c r="L13" s="118">
        <v>0.60123086634</v>
      </c>
    </row>
    <row r="14" spans="1:13" ht="15" thickBot="1">
      <c r="A14" s="10" t="s">
        <v>13</v>
      </c>
      <c r="B14" s="401">
        <v>583742</v>
      </c>
      <c r="C14" s="7">
        <v>359441</v>
      </c>
      <c r="D14" s="399">
        <v>0.61575319233400005</v>
      </c>
      <c r="E14" s="8">
        <v>0.149474143098</v>
      </c>
      <c r="F14" s="8">
        <v>8.1357964143000006E-2</v>
      </c>
      <c r="G14" s="7">
        <v>336</v>
      </c>
      <c r="H14" s="8">
        <v>1.1300803159999999E-3</v>
      </c>
      <c r="I14" s="8">
        <v>0.14850161481900001</v>
      </c>
      <c r="J14" s="9">
        <v>170.17105263157899</v>
      </c>
      <c r="K14" s="118">
        <v>0</v>
      </c>
    </row>
    <row r="15" spans="1:13" ht="15" thickBot="1">
      <c r="A15" s="10" t="s">
        <v>14</v>
      </c>
      <c r="B15" s="401">
        <v>245791</v>
      </c>
      <c r="C15" s="7">
        <v>138401</v>
      </c>
      <c r="D15" s="399">
        <v>0.56308408363200002</v>
      </c>
      <c r="E15" s="8">
        <v>8.7223341297999996E-2</v>
      </c>
      <c r="F15" s="8">
        <v>-6.0592790920999999E-2</v>
      </c>
      <c r="G15" s="7">
        <v>-565</v>
      </c>
      <c r="H15" s="8">
        <v>-3.7483497299999999E-3</v>
      </c>
      <c r="I15" s="8">
        <v>0.197038417987</v>
      </c>
      <c r="J15" s="9">
        <v>90.766304347825994</v>
      </c>
      <c r="K15" s="118">
        <v>25344</v>
      </c>
      <c r="L15" s="118">
        <v>0.65897253787800003</v>
      </c>
    </row>
    <row r="16" spans="1:13" ht="15" thickBot="1">
      <c r="A16" s="10" t="s">
        <v>19</v>
      </c>
      <c r="B16" s="401">
        <v>102416</v>
      </c>
      <c r="C16" s="7">
        <v>69844</v>
      </c>
      <c r="D16" s="399">
        <v>0.68196375566300005</v>
      </c>
      <c r="E16" s="8">
        <v>4.3459412592999999E-2</v>
      </c>
      <c r="F16" s="8">
        <v>-3.2513276254000002E-2</v>
      </c>
      <c r="G16" s="7">
        <v>-161</v>
      </c>
      <c r="H16" s="8">
        <v>-2.2493258999999998E-3</v>
      </c>
      <c r="I16" s="8">
        <v>0.12036359695399999</v>
      </c>
      <c r="J16" s="9">
        <v>66.657894736841996</v>
      </c>
      <c r="K16" s="118">
        <v>9500</v>
      </c>
      <c r="L16" s="118">
        <v>0.53326315789400003</v>
      </c>
    </row>
    <row r="17" spans="1:15" ht="15" thickBot="1">
      <c r="A17" s="10" t="s">
        <v>22</v>
      </c>
      <c r="B17" s="401">
        <v>32837</v>
      </c>
      <c r="C17" s="7">
        <v>25678</v>
      </c>
      <c r="D17" s="399">
        <v>0.78198373785599995</v>
      </c>
      <c r="E17" s="8">
        <v>8.8202247191000005E-2</v>
      </c>
      <c r="F17" s="8">
        <v>6.3699222126000002E-2</v>
      </c>
      <c r="G17" s="7">
        <v>30</v>
      </c>
      <c r="H17" s="8">
        <v>1.22030589E-3</v>
      </c>
      <c r="I17" s="8">
        <v>9.5604110889999996E-2</v>
      </c>
      <c r="J17" s="9">
        <v>83.818181818181003</v>
      </c>
      <c r="K17" s="118">
        <v>3245</v>
      </c>
      <c r="L17" s="118">
        <v>0.852388289676</v>
      </c>
    </row>
    <row r="18" spans="1:15" ht="15" thickBot="1">
      <c r="A18" s="11" t="s">
        <v>17</v>
      </c>
      <c r="B18" s="402">
        <v>248436</v>
      </c>
      <c r="C18" s="12">
        <v>129865</v>
      </c>
      <c r="D18" s="400">
        <v>0.522730200132</v>
      </c>
      <c r="E18" s="13">
        <v>6.7254024632000003E-2</v>
      </c>
      <c r="F18" s="13">
        <v>-2.360963759E-2</v>
      </c>
      <c r="G18" s="12">
        <v>-104</v>
      </c>
      <c r="H18" s="13">
        <v>-8.1820828100000003E-4</v>
      </c>
      <c r="I18" s="13">
        <v>0.170934325192</v>
      </c>
      <c r="J18" s="14">
        <v>84.120253164556999</v>
      </c>
      <c r="K18" s="118">
        <v>13502</v>
      </c>
      <c r="L18" s="118">
        <v>0.98437268552799995</v>
      </c>
    </row>
    <row r="19" spans="1:15" ht="12.75" customHeight="1">
      <c r="A19" s="1010"/>
      <c r="B19" s="1010"/>
      <c r="C19" s="1010"/>
      <c r="D19" s="1010"/>
      <c r="E19" s="1010"/>
      <c r="F19" s="1010"/>
      <c r="G19" s="1010"/>
      <c r="H19" s="1010"/>
      <c r="I19" s="1010"/>
      <c r="J19" s="1010"/>
      <c r="K19" s="1010"/>
      <c r="L19" s="1010"/>
      <c r="M19" s="1010"/>
    </row>
    <row r="20" spans="1:15" ht="12.75" customHeight="1">
      <c r="A20" s="1010"/>
      <c r="B20" s="1010"/>
      <c r="C20" s="1010"/>
      <c r="D20" s="1010"/>
      <c r="E20" s="1010"/>
      <c r="F20" s="1010"/>
      <c r="G20" s="1010"/>
      <c r="H20" s="1010"/>
      <c r="I20" s="1010"/>
      <c r="J20" s="1010"/>
      <c r="K20" s="1010"/>
      <c r="L20" s="1010"/>
      <c r="M20" s="1010"/>
    </row>
    <row r="21" spans="1:15" ht="12.75" customHeight="1" thickBot="1">
      <c r="A21" s="1010"/>
      <c r="B21" s="1010"/>
      <c r="C21" s="1010"/>
      <c r="D21" s="1010"/>
      <c r="E21" s="1010"/>
      <c r="F21" s="1010"/>
      <c r="G21" s="1010"/>
      <c r="H21" s="1010"/>
      <c r="I21" s="1010"/>
      <c r="J21" s="1010"/>
      <c r="K21" s="1010"/>
      <c r="L21" s="1010"/>
      <c r="M21" s="1010"/>
    </row>
    <row r="22" spans="1:15" ht="22.5" customHeight="1" thickBot="1">
      <c r="A22" s="1004" t="s">
        <v>164</v>
      </c>
      <c r="B22" s="1005"/>
      <c r="C22" s="1005"/>
      <c r="D22" s="1005"/>
      <c r="E22" s="1005"/>
      <c r="F22" s="1005"/>
      <c r="G22" s="1005"/>
      <c r="H22" s="1005"/>
      <c r="I22" s="1005"/>
      <c r="J22" s="1005"/>
      <c r="K22" s="1005"/>
      <c r="L22" s="1005"/>
      <c r="M22" s="1006"/>
    </row>
    <row r="23" spans="1:15" ht="15.6" thickBot="1">
      <c r="A23" s="15"/>
      <c r="B23" s="1007" t="s">
        <v>24</v>
      </c>
      <c r="C23" s="1011"/>
      <c r="D23" s="1008"/>
      <c r="E23" s="1007" t="s">
        <v>25</v>
      </c>
      <c r="F23" s="1011"/>
      <c r="G23" s="1011"/>
      <c r="H23" s="1011"/>
      <c r="I23" s="1011"/>
      <c r="J23" s="1008"/>
      <c r="K23" s="119" t="s">
        <v>26</v>
      </c>
      <c r="L23" s="1007" t="s">
        <v>2</v>
      </c>
      <c r="M23" s="1009"/>
    </row>
    <row r="24" spans="1:15" s="26" customFormat="1" ht="60.6" thickBot="1">
      <c r="A24" s="3" t="s">
        <v>3</v>
      </c>
      <c r="B24" s="4" t="s">
        <v>27</v>
      </c>
      <c r="C24" s="4" t="s">
        <v>28</v>
      </c>
      <c r="D24" s="4" t="s">
        <v>29</v>
      </c>
      <c r="E24" s="4" t="s">
        <v>30</v>
      </c>
      <c r="F24" s="4" t="s">
        <v>31</v>
      </c>
      <c r="G24" s="4" t="s">
        <v>32</v>
      </c>
      <c r="H24" s="4" t="s">
        <v>33</v>
      </c>
      <c r="I24" s="4" t="s">
        <v>34</v>
      </c>
      <c r="J24" s="4" t="s">
        <v>35</v>
      </c>
      <c r="K24" s="221" t="s">
        <v>36</v>
      </c>
      <c r="L24" s="4" t="s">
        <v>38</v>
      </c>
      <c r="M24" s="5" t="s">
        <v>37</v>
      </c>
    </row>
    <row r="25" spans="1:15" customFormat="1" ht="15" thickBot="1">
      <c r="A25" s="49" t="s">
        <v>63</v>
      </c>
      <c r="B25" s="366">
        <v>538982.73803999997</v>
      </c>
      <c r="E25" s="366">
        <v>352737.29439</v>
      </c>
      <c r="K25" s="379">
        <v>0.448780929474</v>
      </c>
    </row>
    <row r="26" spans="1:15" ht="15.6" thickTop="1" thickBot="1">
      <c r="A26" s="140" t="s">
        <v>16</v>
      </c>
      <c r="B26" s="377">
        <v>238710.12125</v>
      </c>
      <c r="C26" s="147">
        <v>5.7859981350999998E-2</v>
      </c>
      <c r="D26" s="147">
        <v>5.7859981350999998E-2</v>
      </c>
      <c r="E26" s="377">
        <v>138741.64366999999</v>
      </c>
      <c r="F26" s="141">
        <v>47641.010710000002</v>
      </c>
      <c r="G26" s="142">
        <v>1919</v>
      </c>
      <c r="H26" s="147">
        <v>-0.39862112190499999</v>
      </c>
      <c r="I26" s="141">
        <v>10033.645270000001</v>
      </c>
      <c r="J26" s="147">
        <v>-0.126149887056</v>
      </c>
      <c r="K26" s="379">
        <v>0.354651439771</v>
      </c>
      <c r="L26" s="142">
        <v>608.90697674418595</v>
      </c>
      <c r="M26" s="142">
        <v>337.81395348837202</v>
      </c>
      <c r="N26" s="148">
        <v>106053.65138</v>
      </c>
      <c r="O26" s="149">
        <v>1.1187120938899999</v>
      </c>
    </row>
    <row r="27" spans="1:15" ht="15" thickBot="1">
      <c r="A27" s="143" t="s">
        <v>23</v>
      </c>
      <c r="B27" s="377">
        <v>30145.628219999999</v>
      </c>
      <c r="C27" s="147">
        <v>9.3736654349999993E-3</v>
      </c>
      <c r="D27" s="147">
        <v>9.3736654349999993E-3</v>
      </c>
      <c r="E27" s="377">
        <v>15329.029570000001</v>
      </c>
      <c r="F27" s="141">
        <v>6706.9309499999999</v>
      </c>
      <c r="G27" s="142">
        <v>66</v>
      </c>
      <c r="H27" s="147">
        <v>-0.44537815126000002</v>
      </c>
      <c r="I27" s="141">
        <v>699.38341000000003</v>
      </c>
      <c r="J27" s="147">
        <v>-0.19069112798400001</v>
      </c>
      <c r="K27" s="379">
        <v>0.158070297719</v>
      </c>
      <c r="L27" s="142">
        <v>88.357142857141994</v>
      </c>
      <c r="M27" s="142">
        <v>56.214285714284998</v>
      </c>
      <c r="N27" s="148">
        <v>13715.150540000001</v>
      </c>
      <c r="O27" s="151">
        <v>0.75026386039199999</v>
      </c>
    </row>
    <row r="28" spans="1:15" ht="15" thickBot="1">
      <c r="A28" s="143" t="s">
        <v>15</v>
      </c>
      <c r="B28" s="377">
        <v>214843.10312000001</v>
      </c>
      <c r="C28" s="147">
        <v>0.114369131395</v>
      </c>
      <c r="D28" s="147">
        <v>0.292220448568</v>
      </c>
      <c r="E28" s="377">
        <v>165776.32621</v>
      </c>
      <c r="F28" s="141">
        <v>27806.154450000002</v>
      </c>
      <c r="G28" s="142">
        <v>5734</v>
      </c>
      <c r="H28" s="147">
        <v>3.8515406159999998E-3</v>
      </c>
      <c r="I28" s="141">
        <v>9658.2080900000001</v>
      </c>
      <c r="J28" s="147">
        <v>-2.2917732595E-2</v>
      </c>
      <c r="K28" s="379">
        <v>0.539242459442</v>
      </c>
      <c r="L28" s="142">
        <v>206.719298245614</v>
      </c>
      <c r="M28" s="142">
        <v>62.659649122806997</v>
      </c>
      <c r="N28" s="148">
        <v>107242.93035</v>
      </c>
      <c r="O28" s="149">
        <v>1.0236857665270001</v>
      </c>
    </row>
    <row r="29" spans="1:15" ht="15" thickBot="1">
      <c r="A29" s="143" t="s">
        <v>20</v>
      </c>
      <c r="B29" s="377">
        <v>55283.885450000002</v>
      </c>
      <c r="C29" s="147">
        <v>0.53950825690899995</v>
      </c>
      <c r="D29" s="147">
        <v>0.53950825690899995</v>
      </c>
      <c r="E29" s="377">
        <v>32890.29494</v>
      </c>
      <c r="F29" s="141">
        <v>18236.66315</v>
      </c>
      <c r="G29" s="142">
        <v>575</v>
      </c>
      <c r="H29" s="147">
        <v>-6.8071312802999995E-2</v>
      </c>
      <c r="I29" s="141">
        <v>2701.6085800000001</v>
      </c>
      <c r="J29" s="147">
        <v>0.237462393178</v>
      </c>
      <c r="K29" s="379">
        <v>0.421598381385</v>
      </c>
      <c r="L29" s="142">
        <v>2486.25</v>
      </c>
      <c r="M29" s="142">
        <v>1490.5</v>
      </c>
      <c r="N29" s="148">
        <v>21964.174790000001</v>
      </c>
      <c r="O29" s="149">
        <v>1.3384542879970001</v>
      </c>
    </row>
    <row r="30" spans="1:15" s="197" customFormat="1" ht="15" thickBot="1">
      <c r="A30" s="48" t="s">
        <v>62</v>
      </c>
      <c r="B30" s="377">
        <v>1567727.94674</v>
      </c>
      <c r="C30" s="147"/>
      <c r="D30" s="147"/>
      <c r="E30" s="377">
        <v>746037.47219999996</v>
      </c>
      <c r="F30" s="141"/>
      <c r="G30" s="142"/>
      <c r="H30" s="147"/>
      <c r="I30" s="141"/>
      <c r="J30" s="147"/>
      <c r="K30" s="379">
        <v>0.43909006219500002</v>
      </c>
      <c r="L30" s="142"/>
      <c r="M30" s="142"/>
      <c r="N30" s="148"/>
      <c r="O30" s="149"/>
    </row>
    <row r="31" spans="1:15" ht="15" thickBot="1">
      <c r="A31" s="140" t="s">
        <v>21</v>
      </c>
      <c r="B31" s="377">
        <v>64180.434309999997</v>
      </c>
      <c r="C31" s="147">
        <v>6.3714459309999999E-2</v>
      </c>
      <c r="D31" s="147">
        <v>6.3714459309999999E-2</v>
      </c>
      <c r="E31" s="377">
        <v>23507.309389999999</v>
      </c>
      <c r="F31" s="141">
        <v>12211.01079</v>
      </c>
      <c r="G31" s="142">
        <v>157</v>
      </c>
      <c r="H31" s="147">
        <v>-0.19487179487100001</v>
      </c>
      <c r="I31" s="141">
        <v>2446.3265099999999</v>
      </c>
      <c r="J31" s="147">
        <v>9.6538222908999993E-2</v>
      </c>
      <c r="K31" s="379">
        <v>0.46899841017400001</v>
      </c>
      <c r="L31" s="142">
        <v>110.571428571429</v>
      </c>
      <c r="M31" s="142">
        <v>42.095238095238003</v>
      </c>
      <c r="N31" s="148">
        <v>38112.254309999997</v>
      </c>
      <c r="O31" s="149">
        <v>0.77463501502300003</v>
      </c>
    </row>
    <row r="32" spans="1:15" ht="15" thickBot="1">
      <c r="A32" s="143" t="s">
        <v>18</v>
      </c>
      <c r="B32" s="377">
        <v>253427.41610999999</v>
      </c>
      <c r="C32" s="147">
        <v>1.6298916880999999E-2</v>
      </c>
      <c r="D32" s="147">
        <v>1.6298916880999999E-2</v>
      </c>
      <c r="E32" s="377">
        <v>115392.1338</v>
      </c>
      <c r="F32" s="141">
        <v>26000.09146</v>
      </c>
      <c r="G32" s="142">
        <v>1429</v>
      </c>
      <c r="H32" s="147">
        <v>-0.369929453262</v>
      </c>
      <c r="I32" s="141">
        <v>8647.4742399999996</v>
      </c>
      <c r="J32" s="147">
        <v>-0.111458933661</v>
      </c>
      <c r="K32" s="379">
        <v>0.69268098359399999</v>
      </c>
      <c r="L32" s="142">
        <v>299.21686746988001</v>
      </c>
      <c r="M32" s="142">
        <v>55.530120481927</v>
      </c>
      <c r="N32" s="148">
        <v>102069.13048000001</v>
      </c>
      <c r="O32" s="149">
        <v>0.95192875566799995</v>
      </c>
    </row>
    <row r="33" spans="1:16" ht="15" thickBot="1">
      <c r="A33" s="143" t="s">
        <v>13</v>
      </c>
      <c r="B33" s="377">
        <v>610718.96285999997</v>
      </c>
      <c r="C33" s="147">
        <v>0.152485452105</v>
      </c>
      <c r="D33" s="147">
        <v>0.152485452105</v>
      </c>
      <c r="E33" s="377">
        <v>301556.29554000002</v>
      </c>
      <c r="F33" s="141">
        <v>125685.69549</v>
      </c>
      <c r="G33" s="142">
        <v>2039</v>
      </c>
      <c r="H33" s="147">
        <v>0.25476923076899999</v>
      </c>
      <c r="I33" s="141">
        <v>16036.76288</v>
      </c>
      <c r="J33" s="147">
        <v>0.18648414370700001</v>
      </c>
      <c r="K33" s="379">
        <v>0.33495289422800001</v>
      </c>
      <c r="L33" s="142">
        <v>95.963815789473003</v>
      </c>
      <c r="M33" s="142">
        <v>58.378289473683999</v>
      </c>
      <c r="N33" s="148">
        <v>243918.42757999999</v>
      </c>
      <c r="O33" s="149">
        <v>0.93844263703599995</v>
      </c>
    </row>
    <row r="34" spans="1:16" ht="15" thickBot="1">
      <c r="A34" s="143" t="s">
        <v>14</v>
      </c>
      <c r="B34" s="377">
        <v>106543.57364</v>
      </c>
      <c r="C34" s="147">
        <v>-8.8807347778999998E-2</v>
      </c>
      <c r="D34" s="147">
        <v>3.6310373282999998E-2</v>
      </c>
      <c r="E34" s="377">
        <v>54373.626340000003</v>
      </c>
      <c r="F34" s="141">
        <v>29201.38149</v>
      </c>
      <c r="G34" s="142">
        <v>1039</v>
      </c>
      <c r="H34" s="147">
        <v>-0.200153964588</v>
      </c>
      <c r="I34" s="141">
        <v>3888.44785</v>
      </c>
      <c r="J34" s="147">
        <v>-0.136335417342</v>
      </c>
      <c r="K34" s="379">
        <v>0.47940082477500001</v>
      </c>
      <c r="L34" s="142">
        <v>104.059782608696</v>
      </c>
      <c r="M34" s="142">
        <v>61.125</v>
      </c>
      <c r="N34" s="148">
        <v>77808.229420000003</v>
      </c>
      <c r="O34" s="149">
        <v>0.77650891429299995</v>
      </c>
    </row>
    <row r="35" spans="1:16" ht="15" thickBot="1">
      <c r="A35" s="143" t="s">
        <v>19</v>
      </c>
      <c r="B35" s="377">
        <v>150198.14329000001</v>
      </c>
      <c r="C35" s="147">
        <v>1.3923455708E-2</v>
      </c>
      <c r="D35" s="147">
        <v>0.17155233702100001</v>
      </c>
      <c r="E35" s="377">
        <v>75981.496079999997</v>
      </c>
      <c r="F35" s="141">
        <v>26166.304919999999</v>
      </c>
      <c r="G35" s="142">
        <v>1403</v>
      </c>
      <c r="H35" s="147">
        <v>-0.28817858954800002</v>
      </c>
      <c r="I35" s="141">
        <v>4781.6042799999996</v>
      </c>
      <c r="J35" s="147">
        <v>-7.0492499989999999E-2</v>
      </c>
      <c r="K35" s="379">
        <v>0.52248499152500005</v>
      </c>
      <c r="L35" s="142">
        <v>289.42105263157902</v>
      </c>
      <c r="M35" s="142">
        <v>95.131578947367998</v>
      </c>
      <c r="N35" s="148">
        <v>70158.735889999996</v>
      </c>
      <c r="O35" s="150">
        <v>0.864180691981</v>
      </c>
    </row>
    <row r="36" spans="1:16" ht="15" thickBot="1">
      <c r="A36" s="143" t="s">
        <v>22</v>
      </c>
      <c r="B36" s="377">
        <v>103484.96687</v>
      </c>
      <c r="C36" s="147">
        <v>0.12401459468000001</v>
      </c>
      <c r="D36" s="147">
        <v>0.20018703983200001</v>
      </c>
      <c r="E36" s="377">
        <v>57751.706389999999</v>
      </c>
      <c r="F36" s="141">
        <v>13575.090690000001</v>
      </c>
      <c r="G36" s="142">
        <v>530</v>
      </c>
      <c r="H36" s="147">
        <v>-0.22740524781300001</v>
      </c>
      <c r="I36" s="141">
        <v>3257.7599</v>
      </c>
      <c r="J36" s="147">
        <v>-0.24846951810099999</v>
      </c>
      <c r="K36" s="379">
        <v>0.65955088468300005</v>
      </c>
      <c r="L36" s="142">
        <v>203.030303030303</v>
      </c>
      <c r="M36" s="142">
        <v>74.272727272726996</v>
      </c>
      <c r="N36" s="148">
        <v>35805.702799999999</v>
      </c>
      <c r="O36" s="151">
        <v>1.2544855011189999</v>
      </c>
    </row>
    <row r="37" spans="1:16" ht="15" thickBot="1">
      <c r="A37" s="143" t="s">
        <v>17</v>
      </c>
      <c r="B37" s="377">
        <v>279174.44965999998</v>
      </c>
      <c r="C37" s="147">
        <v>4.6087785101999998E-2</v>
      </c>
      <c r="D37" s="147">
        <v>4.6087785101999998E-2</v>
      </c>
      <c r="E37" s="377">
        <v>117474.90466</v>
      </c>
      <c r="F37" s="141">
        <v>37435.171000000002</v>
      </c>
      <c r="G37" s="142">
        <v>1250</v>
      </c>
      <c r="H37" s="147">
        <v>-5.8734939759000002E-2</v>
      </c>
      <c r="I37" s="141">
        <v>8530.3327800000006</v>
      </c>
      <c r="J37" s="147">
        <v>-3.2035332899999999E-3</v>
      </c>
      <c r="K37" s="379">
        <v>0.39935878691600002</v>
      </c>
      <c r="L37" s="142">
        <v>78.993670886074995</v>
      </c>
      <c r="M37" s="142">
        <v>34.240506329113003</v>
      </c>
      <c r="N37" s="148">
        <v>60369.810830000002</v>
      </c>
      <c r="O37" s="149">
        <v>1.333511940043</v>
      </c>
    </row>
    <row r="38" spans="1:16" ht="12.75" customHeight="1" thickTop="1">
      <c r="A38" s="29" t="s">
        <v>64</v>
      </c>
      <c r="B38" s="378">
        <v>2106710.6847799998</v>
      </c>
      <c r="C38" s="135"/>
      <c r="D38" s="135"/>
      <c r="E38" s="378">
        <v>1098774.7665899999</v>
      </c>
      <c r="F38" s="135"/>
      <c r="G38" s="135"/>
      <c r="H38" s="135"/>
      <c r="I38" s="135"/>
      <c r="J38" s="135"/>
      <c r="K38" s="380">
        <v>0.44315229132799999</v>
      </c>
      <c r="L38" s="135"/>
      <c r="M38" s="135"/>
    </row>
    <row r="39" spans="1:16" ht="12.75" customHeight="1">
      <c r="A39" s="135"/>
      <c r="B39" s="135"/>
      <c r="C39" s="135"/>
      <c r="D39" s="135"/>
      <c r="E39" s="135"/>
      <c r="F39" s="135"/>
      <c r="G39" s="135"/>
      <c r="H39" s="135"/>
      <c r="I39" s="135"/>
      <c r="J39" s="135"/>
      <c r="K39" s="135"/>
      <c r="L39" s="135"/>
      <c r="M39" s="135"/>
    </row>
    <row r="40" spans="1:16" ht="12.75" customHeight="1" thickBot="1">
      <c r="A40" s="135"/>
      <c r="B40" s="135"/>
      <c r="C40" s="135"/>
      <c r="D40" s="135"/>
      <c r="E40" s="135"/>
      <c r="F40" s="135"/>
      <c r="G40" s="135"/>
      <c r="H40" s="135"/>
      <c r="I40" s="135"/>
      <c r="J40" s="135"/>
      <c r="K40" s="135"/>
      <c r="L40" s="135"/>
      <c r="M40" s="135"/>
    </row>
    <row r="41" spans="1:16" ht="22.5" customHeight="1" thickBot="1">
      <c r="A41" s="1004" t="s">
        <v>165</v>
      </c>
      <c r="B41" s="1005"/>
      <c r="C41" s="1005"/>
      <c r="D41" s="1005"/>
      <c r="E41" s="1005"/>
      <c r="F41" s="1005"/>
      <c r="G41" s="1005"/>
      <c r="H41" s="1005"/>
      <c r="I41" s="1005"/>
      <c r="J41" s="1005"/>
      <c r="K41" s="1005"/>
      <c r="L41" s="1005"/>
      <c r="M41" s="1006"/>
    </row>
    <row r="42" spans="1:16" ht="15.6" thickBot="1">
      <c r="A42" s="15"/>
      <c r="B42" s="1007" t="s">
        <v>24</v>
      </c>
      <c r="C42" s="1011"/>
      <c r="D42" s="1008"/>
      <c r="E42" s="1007" t="s">
        <v>25</v>
      </c>
      <c r="F42" s="1011"/>
      <c r="G42" s="1011"/>
      <c r="H42" s="1011"/>
      <c r="I42" s="1011"/>
      <c r="J42" s="1008"/>
      <c r="K42" s="119" t="s">
        <v>26</v>
      </c>
      <c r="L42" s="1007" t="s">
        <v>2</v>
      </c>
      <c r="M42" s="1009"/>
    </row>
    <row r="43" spans="1:16" ht="60.6" thickBot="1">
      <c r="A43" s="3" t="s">
        <v>3</v>
      </c>
      <c r="B43" s="4" t="s">
        <v>27</v>
      </c>
      <c r="C43" s="4" t="s">
        <v>28</v>
      </c>
      <c r="D43" s="4" t="s">
        <v>29</v>
      </c>
      <c r="E43" s="4" t="s">
        <v>30</v>
      </c>
      <c r="F43" s="4" t="s">
        <v>31</v>
      </c>
      <c r="G43" s="4" t="s">
        <v>32</v>
      </c>
      <c r="H43" s="4" t="s">
        <v>33</v>
      </c>
      <c r="I43" s="4" t="s">
        <v>34</v>
      </c>
      <c r="J43" s="4" t="s">
        <v>35</v>
      </c>
      <c r="K43" s="221" t="s">
        <v>36</v>
      </c>
      <c r="L43" s="4" t="s">
        <v>38</v>
      </c>
      <c r="M43" s="5" t="s">
        <v>37</v>
      </c>
      <c r="P43" s="139" t="s">
        <v>53</v>
      </c>
    </row>
    <row r="44" spans="1:16" customFormat="1" ht="15.6" thickBot="1">
      <c r="A44" s="49" t="s">
        <v>63</v>
      </c>
      <c r="B44" s="366">
        <v>26509.22869</v>
      </c>
      <c r="E44" s="366">
        <v>9687.3377</v>
      </c>
      <c r="K44" s="381">
        <v>2.0638996320000002E-3</v>
      </c>
      <c r="P44" s="194"/>
    </row>
    <row r="45" spans="1:16" ht="15.6" thickTop="1" thickBot="1">
      <c r="A45" s="140" t="s">
        <v>16</v>
      </c>
      <c r="B45" s="377">
        <v>10025.019689999999</v>
      </c>
      <c r="C45" s="147">
        <v>0.242839982678</v>
      </c>
      <c r="D45" s="147">
        <v>0.242839982678</v>
      </c>
      <c r="E45" s="377">
        <v>3775.57168</v>
      </c>
      <c r="F45" s="141">
        <v>2106.9216500000002</v>
      </c>
      <c r="G45" s="142">
        <v>2</v>
      </c>
      <c r="H45" s="147"/>
      <c r="I45" s="141">
        <v>231.26516000000001</v>
      </c>
      <c r="J45" s="147"/>
      <c r="K45" s="382">
        <v>1.1365724509999999E-3</v>
      </c>
      <c r="L45" s="142">
        <v>0.53488372093000003</v>
      </c>
      <c r="M45" s="142">
        <v>0.53488372093000003</v>
      </c>
      <c r="N45" s="148">
        <v>2591.6332900000002</v>
      </c>
      <c r="O45" s="149">
        <v>0.81297059199199995</v>
      </c>
      <c r="P45" s="193"/>
    </row>
    <row r="46" spans="1:16" ht="15" thickBot="1">
      <c r="A46" s="143" t="s">
        <v>23</v>
      </c>
      <c r="B46" s="377">
        <v>5799.0836399999998</v>
      </c>
      <c r="C46" s="147">
        <v>4.6171166563999999E-2</v>
      </c>
      <c r="D46" s="147">
        <v>4.6171166563999999E-2</v>
      </c>
      <c r="E46" s="377">
        <v>1900.7926600000001</v>
      </c>
      <c r="F46" s="141">
        <v>735.56650999999999</v>
      </c>
      <c r="G46" s="142">
        <v>0</v>
      </c>
      <c r="H46" s="147">
        <v>-1</v>
      </c>
      <c r="I46" s="141">
        <v>0</v>
      </c>
      <c r="J46" s="147">
        <v>-1</v>
      </c>
      <c r="K46" s="382">
        <v>3.7837299610000001E-3</v>
      </c>
      <c r="L46" s="142">
        <v>0.71428571428499998</v>
      </c>
      <c r="M46" s="142">
        <v>0.5</v>
      </c>
      <c r="N46" s="148">
        <v>1295.4050299999999</v>
      </c>
      <c r="O46" s="151">
        <v>0.70433230446799999</v>
      </c>
      <c r="P46" s="193"/>
    </row>
    <row r="47" spans="1:16" ht="15" thickBot="1">
      <c r="A47" s="143" t="s">
        <v>15</v>
      </c>
      <c r="B47" s="377">
        <v>7194.8721599999999</v>
      </c>
      <c r="C47" s="147">
        <v>4.0341558275000002E-2</v>
      </c>
      <c r="D47" s="147">
        <v>0.206378207732</v>
      </c>
      <c r="E47" s="377">
        <v>3158.1735699999999</v>
      </c>
      <c r="F47" s="141">
        <v>1271.57583</v>
      </c>
      <c r="G47" s="142">
        <v>29</v>
      </c>
      <c r="H47" s="147">
        <v>0.208333333333</v>
      </c>
      <c r="I47" s="141">
        <v>359.68463000000003</v>
      </c>
      <c r="J47" s="147">
        <v>1.039106079375</v>
      </c>
      <c r="K47" s="382">
        <v>1.757746577E-3</v>
      </c>
      <c r="L47" s="142">
        <v>0.48771929824499999</v>
      </c>
      <c r="M47" s="142">
        <v>0.298245614035</v>
      </c>
      <c r="N47" s="148">
        <v>1613.02216</v>
      </c>
      <c r="O47" s="150">
        <v>1.211461564793</v>
      </c>
      <c r="P47" s="193"/>
    </row>
    <row r="48" spans="1:16" ht="15" thickBot="1">
      <c r="A48" s="143" t="s">
        <v>20</v>
      </c>
      <c r="B48" s="377">
        <v>3490.2532000000001</v>
      </c>
      <c r="C48" s="147">
        <v>-0.131229659586</v>
      </c>
      <c r="D48" s="147">
        <v>-0.131229659586</v>
      </c>
      <c r="E48" s="377">
        <v>852.79979000000003</v>
      </c>
      <c r="F48" s="141">
        <v>879.09726000000001</v>
      </c>
      <c r="G48" s="142">
        <v>1</v>
      </c>
      <c r="H48" s="147">
        <v>-0.75</v>
      </c>
      <c r="I48" s="141">
        <v>25.916329999999999</v>
      </c>
      <c r="J48" s="147">
        <v>-0.29018797892300002</v>
      </c>
      <c r="K48" s="382">
        <v>6.8847299490000001E-3</v>
      </c>
      <c r="L48" s="142">
        <v>16.5</v>
      </c>
      <c r="M48" s="142">
        <v>16</v>
      </c>
      <c r="N48" s="148">
        <v>1524.49017</v>
      </c>
      <c r="O48" s="149">
        <v>0.59964999971099997</v>
      </c>
      <c r="P48" s="193"/>
    </row>
    <row r="49" spans="1:16" s="197" customFormat="1" ht="15.6" thickBot="1">
      <c r="A49" s="48" t="s">
        <v>62</v>
      </c>
      <c r="B49" s="377">
        <v>158231.93646999999</v>
      </c>
      <c r="C49" s="147"/>
      <c r="D49" s="147"/>
      <c r="E49" s="377">
        <v>28943.820029999999</v>
      </c>
      <c r="F49" s="141"/>
      <c r="G49" s="142"/>
      <c r="H49" s="147"/>
      <c r="I49" s="141"/>
      <c r="J49" s="147"/>
      <c r="K49" s="382">
        <v>4.7936437719999997E-3</v>
      </c>
      <c r="L49" s="142"/>
      <c r="M49" s="142"/>
      <c r="N49" s="148"/>
      <c r="O49" s="149"/>
      <c r="P49" s="195"/>
    </row>
    <row r="50" spans="1:16" ht="15" thickBot="1">
      <c r="A50" s="140" t="s">
        <v>21</v>
      </c>
      <c r="B50" s="377">
        <v>3938.7038499999999</v>
      </c>
      <c r="C50" s="147">
        <v>-5.1022563287E-2</v>
      </c>
      <c r="D50" s="147">
        <v>-5.1022563287E-2</v>
      </c>
      <c r="E50" s="377">
        <v>1285.1452300000001</v>
      </c>
      <c r="F50" s="141">
        <v>862.86144000000002</v>
      </c>
      <c r="G50" s="142">
        <v>1</v>
      </c>
      <c r="H50" s="144">
        <v>0</v>
      </c>
      <c r="I50" s="141">
        <v>85.371449999999996</v>
      </c>
      <c r="J50" s="144">
        <v>-0.44000000787100002</v>
      </c>
      <c r="K50" s="382">
        <v>2.9962088780000002E-3</v>
      </c>
      <c r="L50" s="142">
        <v>0.38095238095200001</v>
      </c>
      <c r="M50" s="142">
        <v>0.33333333333300003</v>
      </c>
      <c r="N50" s="148">
        <v>6707.7567600000002</v>
      </c>
      <c r="O50" s="150">
        <v>0.14113636404400001</v>
      </c>
      <c r="P50" s="193"/>
    </row>
    <row r="51" spans="1:16" ht="15" thickBot="1">
      <c r="A51" s="143" t="s">
        <v>18</v>
      </c>
      <c r="B51" s="377">
        <v>13524.439060000001</v>
      </c>
      <c r="C51" s="147">
        <v>0.36052334991500001</v>
      </c>
      <c r="D51" s="147">
        <v>0.36052334991500001</v>
      </c>
      <c r="E51" s="377">
        <v>1680.87257</v>
      </c>
      <c r="F51" s="141">
        <v>3364.8547100000001</v>
      </c>
      <c r="G51" s="142">
        <v>5</v>
      </c>
      <c r="H51" s="147">
        <v>-0.166666666666</v>
      </c>
      <c r="I51" s="141">
        <v>321.97232000000002</v>
      </c>
      <c r="J51" s="147">
        <v>-0.24355302582900001</v>
      </c>
      <c r="K51" s="382">
        <v>7.4783616409999998E-3</v>
      </c>
      <c r="L51" s="142">
        <v>0.90361445783100003</v>
      </c>
      <c r="M51" s="142">
        <v>0.56626506024000001</v>
      </c>
      <c r="N51" s="148">
        <v>0.11129</v>
      </c>
      <c r="O51" s="149">
        <v>48708.618653967103</v>
      </c>
      <c r="P51" s="193"/>
    </row>
    <row r="52" spans="1:16" ht="15" thickBot="1">
      <c r="A52" s="143" t="s">
        <v>13</v>
      </c>
      <c r="B52" s="377">
        <v>84417.296669999996</v>
      </c>
      <c r="C52" s="147">
        <v>0.119008552425</v>
      </c>
      <c r="D52" s="147">
        <v>0.119008552425</v>
      </c>
      <c r="E52" s="377">
        <v>15682.49827</v>
      </c>
      <c r="F52" s="141">
        <v>13721.60715</v>
      </c>
      <c r="G52" s="142">
        <v>9</v>
      </c>
      <c r="H52" s="147">
        <v>-0.25</v>
      </c>
      <c r="I52" s="141">
        <v>487.30862000000002</v>
      </c>
      <c r="J52" s="147">
        <v>-0.41272551760699999</v>
      </c>
      <c r="K52" s="382">
        <v>5.6856049690000004E-3</v>
      </c>
      <c r="L52" s="142">
        <v>0.57236842105200003</v>
      </c>
      <c r="M52" s="142">
        <v>0.51315789473600004</v>
      </c>
      <c r="N52" s="148">
        <v>18293.88207</v>
      </c>
      <c r="O52" s="144">
        <v>0.83881869202399995</v>
      </c>
      <c r="P52" s="193"/>
    </row>
    <row r="53" spans="1:16" ht="15" thickBot="1">
      <c r="A53" s="143" t="s">
        <v>14</v>
      </c>
      <c r="B53" s="377">
        <v>3843.4900600000001</v>
      </c>
      <c r="C53" s="147">
        <v>0.16880608195800001</v>
      </c>
      <c r="D53" s="147">
        <v>0.329297231385</v>
      </c>
      <c r="E53" s="377">
        <v>594.52323999999999</v>
      </c>
      <c r="F53" s="141">
        <v>1302.7422999999999</v>
      </c>
      <c r="G53" s="142">
        <v>0</v>
      </c>
      <c r="H53" s="147">
        <v>-1</v>
      </c>
      <c r="I53" s="141">
        <v>0</v>
      </c>
      <c r="J53" s="147">
        <v>-1</v>
      </c>
      <c r="K53" s="382">
        <v>1.3341958429999999E-3</v>
      </c>
      <c r="L53" s="142">
        <v>0.125</v>
      </c>
      <c r="M53" s="142">
        <v>0.114130434782</v>
      </c>
      <c r="N53" s="148">
        <v>0</v>
      </c>
      <c r="O53" s="150"/>
      <c r="P53" s="193"/>
    </row>
    <row r="54" spans="1:16" ht="15" thickBot="1">
      <c r="A54" s="143" t="s">
        <v>19</v>
      </c>
      <c r="B54" s="377">
        <v>6347.1016</v>
      </c>
      <c r="C54" s="147">
        <v>1.0864625346629999</v>
      </c>
      <c r="D54" s="147">
        <v>1.4108329318999999</v>
      </c>
      <c r="E54" s="377">
        <v>293.73942</v>
      </c>
      <c r="F54" s="141">
        <v>3871.64849</v>
      </c>
      <c r="G54" s="142">
        <v>1</v>
      </c>
      <c r="H54" s="147"/>
      <c r="I54" s="141">
        <v>42.784829999999999</v>
      </c>
      <c r="J54" s="147"/>
      <c r="K54" s="382">
        <v>3.1680157129999999E-3</v>
      </c>
      <c r="L54" s="142">
        <v>0.13157894736799999</v>
      </c>
      <c r="M54" s="142">
        <v>0.82894736842100003</v>
      </c>
      <c r="N54" s="148">
        <v>728.92192999999997</v>
      </c>
      <c r="O54" s="150">
        <v>0.47859790691100002</v>
      </c>
      <c r="P54" s="193"/>
    </row>
    <row r="55" spans="1:16" ht="15" thickBot="1">
      <c r="A55" s="143" t="s">
        <v>22</v>
      </c>
      <c r="B55" s="377">
        <v>8714.5199300000004</v>
      </c>
      <c r="C55" s="147">
        <v>0.18362837798000001</v>
      </c>
      <c r="D55" s="147">
        <v>0.26384074108900002</v>
      </c>
      <c r="E55" s="377">
        <v>1706.48063</v>
      </c>
      <c r="F55" s="141">
        <v>1690.47622</v>
      </c>
      <c r="G55" s="142">
        <v>6</v>
      </c>
      <c r="H55" s="147">
        <v>-0.5</v>
      </c>
      <c r="I55" s="141">
        <v>267.80441999999999</v>
      </c>
      <c r="J55" s="147">
        <v>-0.34536340629099999</v>
      </c>
      <c r="K55" s="382">
        <v>8.005254731E-3</v>
      </c>
      <c r="L55" s="142">
        <v>2.848484848484</v>
      </c>
      <c r="M55" s="142">
        <v>1.3030303030299999</v>
      </c>
      <c r="N55" s="148">
        <v>4127.00443</v>
      </c>
      <c r="O55" s="149">
        <v>0.80512244809900002</v>
      </c>
      <c r="P55" s="193"/>
    </row>
    <row r="56" spans="1:16" ht="15" thickBot="1">
      <c r="A56" s="143" t="s">
        <v>17</v>
      </c>
      <c r="B56" s="377">
        <v>37446.385300000002</v>
      </c>
      <c r="C56" s="147">
        <v>0.15997139697400001</v>
      </c>
      <c r="D56" s="147">
        <v>0.15997139697400001</v>
      </c>
      <c r="E56" s="377">
        <v>7700.5606699999998</v>
      </c>
      <c r="F56" s="141">
        <v>7655.4168099999997</v>
      </c>
      <c r="G56" s="142">
        <v>5</v>
      </c>
      <c r="H56" s="147">
        <v>-0.444444444444</v>
      </c>
      <c r="I56" s="141">
        <v>882.67980999999997</v>
      </c>
      <c r="J56" s="147">
        <v>-5.4159587210999997E-2</v>
      </c>
      <c r="K56" s="382">
        <v>5.1171728139999999E-3</v>
      </c>
      <c r="L56" s="142">
        <v>0.43670886075900001</v>
      </c>
      <c r="M56" s="142">
        <v>0.34177215189799998</v>
      </c>
      <c r="N56" s="148">
        <v>15092.45271</v>
      </c>
      <c r="O56" s="150">
        <v>0.74423193272999999</v>
      </c>
      <c r="P56" s="193"/>
    </row>
    <row r="57" spans="1:16" ht="12.75" customHeight="1" thickTop="1" thickBot="1">
      <c r="A57" s="29" t="s">
        <v>64</v>
      </c>
      <c r="B57" s="378">
        <v>184741.16516</v>
      </c>
      <c r="C57" s="135"/>
      <c r="D57" s="135"/>
      <c r="E57" s="378">
        <v>38631.157729999999</v>
      </c>
      <c r="F57" s="135"/>
      <c r="G57" s="135"/>
      <c r="H57" s="135"/>
      <c r="I57" s="135"/>
      <c r="J57" s="135"/>
      <c r="K57" s="382">
        <v>3.6493864160000002E-3</v>
      </c>
      <c r="L57" s="135"/>
      <c r="M57" s="135"/>
      <c r="P57" s="196"/>
    </row>
    <row r="58" spans="1:16" ht="12.75" customHeight="1">
      <c r="A58" s="135"/>
      <c r="B58" s="135"/>
      <c r="C58" s="135"/>
      <c r="D58" s="135"/>
      <c r="E58" s="135"/>
      <c r="F58" s="135"/>
      <c r="G58" s="135"/>
      <c r="H58" s="135"/>
      <c r="I58" s="135"/>
      <c r="J58" s="135"/>
      <c r="K58" s="135"/>
      <c r="L58" s="135"/>
      <c r="M58" s="135"/>
    </row>
    <row r="59" spans="1:16" ht="12.75" customHeight="1" thickBot="1">
      <c r="A59" s="135"/>
      <c r="B59" s="135"/>
      <c r="C59" s="135"/>
      <c r="D59" s="135"/>
      <c r="E59" s="135"/>
      <c r="F59" s="135"/>
      <c r="G59" s="135"/>
      <c r="H59" s="135"/>
      <c r="I59" s="135"/>
      <c r="J59" s="135"/>
      <c r="K59" s="135"/>
      <c r="L59" s="135"/>
      <c r="M59" s="135"/>
    </row>
    <row r="60" spans="1:16" ht="22.5" customHeight="1" thickBot="1">
      <c r="A60" s="1004" t="s">
        <v>39</v>
      </c>
      <c r="B60" s="1005"/>
      <c r="C60" s="1005"/>
      <c r="D60" s="1005"/>
      <c r="E60" s="1005"/>
      <c r="F60" s="1005"/>
      <c r="G60" s="1006"/>
    </row>
    <row r="61" spans="1:16" ht="15.6" thickBot="1">
      <c r="A61" s="15"/>
      <c r="B61" s="1007" t="s">
        <v>24</v>
      </c>
      <c r="C61" s="1008"/>
      <c r="D61" s="119" t="s">
        <v>25</v>
      </c>
      <c r="E61" s="119" t="s">
        <v>26</v>
      </c>
      <c r="F61" s="1007" t="s">
        <v>2</v>
      </c>
      <c r="G61" s="1009"/>
    </row>
    <row r="62" spans="1:16" s="26" customFormat="1" ht="15.6" thickBot="1">
      <c r="A62" s="3" t="s">
        <v>3</v>
      </c>
      <c r="B62" s="4" t="s">
        <v>24</v>
      </c>
      <c r="C62" s="4" t="s">
        <v>40</v>
      </c>
      <c r="D62" s="4" t="s">
        <v>41</v>
      </c>
      <c r="E62" s="4" t="s">
        <v>42</v>
      </c>
      <c r="F62" s="4" t="s">
        <v>43</v>
      </c>
      <c r="G62" s="5" t="s">
        <v>44</v>
      </c>
      <c r="H62" s="118"/>
      <c r="I62" s="118"/>
      <c r="J62" s="118"/>
      <c r="K62" s="118"/>
      <c r="L62" s="118"/>
      <c r="M62" s="118"/>
    </row>
    <row r="63" spans="1:16" ht="15" thickBot="1">
      <c r="A63" s="140" t="s">
        <v>16</v>
      </c>
      <c r="B63" s="142">
        <v>312680</v>
      </c>
      <c r="C63" s="167">
        <v>9.9186191622E-2</v>
      </c>
      <c r="D63" s="142">
        <v>82419</v>
      </c>
      <c r="E63" s="167">
        <v>0.83892929880699996</v>
      </c>
      <c r="F63" s="142">
        <v>3000.1086956521699</v>
      </c>
      <c r="G63" s="142">
        <v>1831.5333333333299</v>
      </c>
      <c r="H63" s="142">
        <v>18876</v>
      </c>
      <c r="I63" s="168">
        <v>4.4243483788929998</v>
      </c>
    </row>
    <row r="64" spans="1:16" ht="15" thickBot="1">
      <c r="A64" s="143" t="s">
        <v>23</v>
      </c>
      <c r="B64" s="142">
        <v>26864</v>
      </c>
      <c r="C64" s="167">
        <v>0.516369383608</v>
      </c>
      <c r="D64" s="142">
        <v>12772</v>
      </c>
      <c r="E64" s="167">
        <v>0.78070712301599998</v>
      </c>
      <c r="F64" s="142">
        <v>641.83333333333303</v>
      </c>
      <c r="G64" s="142">
        <v>1161.0909090909099</v>
      </c>
      <c r="H64" s="142">
        <v>4902</v>
      </c>
      <c r="I64" s="168">
        <v>1.4202366381060001</v>
      </c>
    </row>
    <row r="65" spans="1:15" ht="15" thickBot="1">
      <c r="A65" s="143" t="s">
        <v>15</v>
      </c>
      <c r="B65" s="142">
        <v>185477</v>
      </c>
      <c r="C65" s="167">
        <v>-0.29018419229699999</v>
      </c>
      <c r="D65" s="142">
        <v>32151</v>
      </c>
      <c r="E65" s="167">
        <v>0.52666459520599995</v>
      </c>
      <c r="F65" s="142">
        <v>391.64864864864899</v>
      </c>
      <c r="G65" s="142">
        <v>102.718849840256</v>
      </c>
      <c r="H65" s="142">
        <v>49720</v>
      </c>
      <c r="I65" s="168">
        <v>1.160579243765</v>
      </c>
    </row>
    <row r="66" spans="1:15" ht="15" thickBot="1">
      <c r="A66" s="143" t="s">
        <v>20</v>
      </c>
      <c r="B66" s="142">
        <v>29836</v>
      </c>
      <c r="C66" s="167">
        <v>5.8126751072000001E-2</v>
      </c>
      <c r="D66" s="142">
        <v>3425</v>
      </c>
      <c r="E66" s="167">
        <v>0.72718477910299995</v>
      </c>
      <c r="F66" s="142">
        <v>1515.6</v>
      </c>
      <c r="G66" s="142">
        <v>685</v>
      </c>
      <c r="H66" s="142">
        <v>7000</v>
      </c>
      <c r="I66" s="168">
        <v>3.281857142857</v>
      </c>
    </row>
    <row r="67" spans="1:15" ht="15" thickBot="1">
      <c r="A67" s="140" t="s">
        <v>21</v>
      </c>
      <c r="B67" s="142">
        <v>18425</v>
      </c>
      <c r="C67" s="167">
        <v>0.27104028697499999</v>
      </c>
      <c r="D67" s="142">
        <v>31118</v>
      </c>
      <c r="E67" s="167">
        <v>0.63867058043699998</v>
      </c>
      <c r="F67" s="142">
        <v>664.47368421052602</v>
      </c>
      <c r="G67" s="142">
        <v>1944.875</v>
      </c>
      <c r="H67" s="142">
        <v>3150</v>
      </c>
      <c r="I67" s="168">
        <v>1.3126984126979999</v>
      </c>
    </row>
    <row r="68" spans="1:15" ht="15" thickBot="1">
      <c r="A68" s="143" t="s">
        <v>18</v>
      </c>
      <c r="B68" s="142">
        <v>7</v>
      </c>
      <c r="C68" s="167">
        <v>-0.99988751044500002</v>
      </c>
      <c r="D68" s="142">
        <v>8968</v>
      </c>
      <c r="E68" s="167">
        <v>5.84214523573056E-5</v>
      </c>
      <c r="F68" s="142">
        <v>263.911392405063</v>
      </c>
      <c r="G68" s="142">
        <v>118</v>
      </c>
      <c r="H68" s="142">
        <v>7531</v>
      </c>
      <c r="I68" s="168">
        <v>1.8299030673209999</v>
      </c>
    </row>
    <row r="69" spans="1:15" ht="15" thickBot="1">
      <c r="A69" s="143" t="s">
        <v>13</v>
      </c>
      <c r="B69" s="142">
        <v>525129</v>
      </c>
      <c r="C69" s="167">
        <v>7.7625373998E-2</v>
      </c>
      <c r="D69" s="142">
        <v>97014</v>
      </c>
      <c r="E69" s="167">
        <v>0.830166842402</v>
      </c>
      <c r="F69" s="142">
        <v>1532.59210526316</v>
      </c>
      <c r="G69" s="142">
        <v>320.17821782178203</v>
      </c>
      <c r="H69" s="142">
        <v>54575</v>
      </c>
      <c r="I69" s="168">
        <v>2.1122675217590001</v>
      </c>
    </row>
    <row r="70" spans="1:15" ht="15" thickBot="1">
      <c r="A70" s="143" t="s">
        <v>14</v>
      </c>
      <c r="B70" s="142">
        <v>158223</v>
      </c>
      <c r="C70" s="167">
        <v>3.0459927317999999E-2</v>
      </c>
      <c r="D70" s="142">
        <v>17602</v>
      </c>
      <c r="E70" s="167">
        <v>0.474180099854</v>
      </c>
      <c r="F70" s="142">
        <v>106.650273224044</v>
      </c>
      <c r="G70" s="142">
        <v>108.654320987654</v>
      </c>
      <c r="H70" s="142">
        <v>13824</v>
      </c>
      <c r="I70" s="168">
        <v>1.8213975694440001</v>
      </c>
    </row>
    <row r="71" spans="1:15" ht="15" thickBot="1">
      <c r="A71" s="143" t="s">
        <v>19</v>
      </c>
      <c r="B71" s="142">
        <v>0</v>
      </c>
      <c r="C71" s="167"/>
      <c r="D71" s="142">
        <v>0</v>
      </c>
      <c r="E71" s="167">
        <v>0</v>
      </c>
      <c r="F71" s="142">
        <v>85.118421052631007</v>
      </c>
      <c r="G71" s="142">
        <v>0</v>
      </c>
      <c r="H71" s="142">
        <v>10700</v>
      </c>
      <c r="I71" s="168">
        <v>1.670934579439</v>
      </c>
    </row>
    <row r="72" spans="1:15" ht="15" thickBot="1">
      <c r="A72" s="143" t="s">
        <v>22</v>
      </c>
      <c r="B72" s="142">
        <v>5942</v>
      </c>
      <c r="C72" s="167">
        <v>-0.59248336876700003</v>
      </c>
      <c r="D72" s="142">
        <v>0</v>
      </c>
      <c r="E72" s="167">
        <v>0.202702702702</v>
      </c>
      <c r="F72" s="142">
        <v>88.419354838708998</v>
      </c>
      <c r="G72" s="142">
        <v>0</v>
      </c>
      <c r="H72" s="142">
        <v>1921</v>
      </c>
      <c r="I72" s="168">
        <v>9.280583029672</v>
      </c>
    </row>
    <row r="73" spans="1:15" ht="15" thickBot="1">
      <c r="A73" s="143" t="s">
        <v>17</v>
      </c>
      <c r="B73" s="142">
        <v>0</v>
      </c>
      <c r="C73" s="167"/>
      <c r="D73" s="142">
        <v>0</v>
      </c>
      <c r="E73" s="167">
        <v>0</v>
      </c>
      <c r="F73" s="142">
        <v>158.15942028985501</v>
      </c>
      <c r="G73" s="142">
        <v>0</v>
      </c>
      <c r="H73" s="142">
        <v>18667</v>
      </c>
      <c r="I73" s="168">
        <v>1.5809717683610001</v>
      </c>
    </row>
    <row r="74" spans="1:15" ht="12.75" customHeight="1">
      <c r="A74" s="1010"/>
      <c r="B74" s="1010"/>
      <c r="C74" s="1010"/>
      <c r="D74" s="1010"/>
      <c r="E74" s="1010"/>
      <c r="F74" s="1010"/>
      <c r="G74" s="1010"/>
      <c r="H74" s="1010"/>
      <c r="I74" s="1010"/>
      <c r="J74" s="1010"/>
      <c r="K74" s="1010"/>
      <c r="L74" s="1010"/>
      <c r="M74" s="1010"/>
    </row>
    <row r="75" spans="1:15" ht="12.75" customHeight="1">
      <c r="A75" s="1010"/>
      <c r="B75" s="1010"/>
      <c r="C75" s="1010"/>
      <c r="D75" s="1010"/>
      <c r="E75" s="1010"/>
      <c r="F75" s="1010"/>
      <c r="G75" s="1010"/>
      <c r="H75" s="1010"/>
      <c r="I75" s="1010"/>
      <c r="J75" s="1010"/>
      <c r="K75" s="1010"/>
      <c r="L75" s="1010"/>
      <c r="M75" s="1010"/>
    </row>
    <row r="76" spans="1:15" ht="12.75" customHeight="1" thickBot="1">
      <c r="A76" s="1010"/>
      <c r="B76" s="1010"/>
      <c r="C76" s="1010"/>
      <c r="D76" s="1010"/>
      <c r="E76" s="1010"/>
      <c r="F76" s="1010"/>
      <c r="G76" s="1010"/>
      <c r="H76" s="1010"/>
      <c r="I76" s="1010"/>
      <c r="J76" s="1010"/>
      <c r="K76" s="1010"/>
      <c r="L76" s="1010"/>
      <c r="M76" s="1010"/>
    </row>
    <row r="77" spans="1:15" ht="22.5" customHeight="1" thickBot="1">
      <c r="A77" s="1004" t="s">
        <v>65</v>
      </c>
      <c r="B77" s="1005"/>
      <c r="C77" s="1005"/>
      <c r="D77" s="1005"/>
      <c r="E77" s="1005"/>
      <c r="F77" s="1005"/>
      <c r="G77" s="1005"/>
      <c r="H77" s="1005"/>
      <c r="I77" s="1005"/>
      <c r="J77" s="1005"/>
      <c r="K77" s="1006"/>
    </row>
    <row r="78" spans="1:15" s="176" customFormat="1" ht="15.6" thickBot="1">
      <c r="A78" s="15"/>
      <c r="B78" s="137" t="s">
        <v>24</v>
      </c>
      <c r="C78" s="185"/>
      <c r="D78" s="185"/>
      <c r="E78" s="185"/>
      <c r="F78" s="185"/>
      <c r="G78" s="185"/>
      <c r="H78" s="138"/>
      <c r="I78" s="137" t="s">
        <v>25</v>
      </c>
      <c r="J78" s="138"/>
      <c r="K78" s="137" t="s">
        <v>26</v>
      </c>
      <c r="L78" s="186"/>
    </row>
    <row r="79" spans="1:15" s="26" customFormat="1" ht="75.599999999999994" thickBot="1">
      <c r="A79" s="220" t="s">
        <v>3</v>
      </c>
      <c r="B79" s="221" t="s">
        <v>45</v>
      </c>
      <c r="C79" s="221" t="s">
        <v>46</v>
      </c>
      <c r="D79" s="221"/>
      <c r="E79" s="221" t="s">
        <v>47</v>
      </c>
      <c r="F79" s="221" t="s">
        <v>48</v>
      </c>
      <c r="G79" s="221" t="s">
        <v>28</v>
      </c>
      <c r="H79" s="221" t="s">
        <v>49</v>
      </c>
      <c r="I79" s="221" t="s">
        <v>50</v>
      </c>
      <c r="J79" s="221" t="s">
        <v>51</v>
      </c>
      <c r="K79" s="221" t="s">
        <v>52</v>
      </c>
      <c r="L79" s="222" t="s">
        <v>53</v>
      </c>
      <c r="O79" s="178" t="s">
        <v>234</v>
      </c>
    </row>
    <row r="80" spans="1:15" s="26" customFormat="1" ht="15.6" thickBot="1">
      <c r="A80" s="183" t="s">
        <v>63</v>
      </c>
      <c r="B80" s="383">
        <v>504663</v>
      </c>
      <c r="C80" s="383">
        <v>412372.69558</v>
      </c>
      <c r="D80" s="4"/>
      <c r="E80" s="383">
        <v>391988.38566000003</v>
      </c>
      <c r="F80" s="383">
        <v>113914.63705</v>
      </c>
      <c r="G80" s="4"/>
      <c r="H80" s="4"/>
      <c r="I80" s="4"/>
      <c r="J80" s="4"/>
      <c r="K80" s="385">
        <v>0.906503936643</v>
      </c>
      <c r="L80" s="385">
        <v>0.37475284114200003</v>
      </c>
      <c r="M80" s="176"/>
      <c r="N80" s="176"/>
      <c r="O80" s="385">
        <v>0.83202782201699998</v>
      </c>
    </row>
    <row r="81" spans="1:15" ht="15" thickBot="1">
      <c r="A81" s="140" t="s">
        <v>16</v>
      </c>
      <c r="B81" s="384">
        <v>179673</v>
      </c>
      <c r="C81" s="377">
        <v>196923.35477999999</v>
      </c>
      <c r="D81" s="351"/>
      <c r="E81" s="377">
        <v>268548.61416</v>
      </c>
      <c r="F81" s="377">
        <v>49938.403619999997</v>
      </c>
      <c r="G81" s="152">
        <v>-1.9321458711000002E-2</v>
      </c>
      <c r="H81" s="152">
        <v>-1.9321458688999999E-2</v>
      </c>
      <c r="I81" s="145">
        <v>15839</v>
      </c>
      <c r="J81" s="145">
        <v>8516</v>
      </c>
      <c r="K81" s="379">
        <v>0.853855106197</v>
      </c>
      <c r="L81" s="379">
        <v>0.36382310154199998</v>
      </c>
      <c r="M81" s="145">
        <v>18876</v>
      </c>
      <c r="N81" s="153">
        <v>0.83910786183499997</v>
      </c>
      <c r="O81" s="388">
        <v>0.84626326284700004</v>
      </c>
    </row>
    <row r="82" spans="1:15" ht="15" thickBot="1">
      <c r="A82" s="143" t="s">
        <v>23</v>
      </c>
      <c r="B82" s="384">
        <v>24951</v>
      </c>
      <c r="C82" s="377">
        <v>58003.382619999997</v>
      </c>
      <c r="D82" s="351"/>
      <c r="E82" s="377">
        <v>36352.611290000001</v>
      </c>
      <c r="F82" s="377">
        <v>15291.944079999999</v>
      </c>
      <c r="G82" s="152">
        <v>0.28054876438600002</v>
      </c>
      <c r="H82" s="152">
        <v>0.28054876438600002</v>
      </c>
      <c r="I82" s="145">
        <v>3983</v>
      </c>
      <c r="J82" s="145">
        <v>2700</v>
      </c>
      <c r="K82" s="379">
        <v>0.945341556423</v>
      </c>
      <c r="L82" s="379">
        <v>0.62807777411599996</v>
      </c>
      <c r="M82" s="145">
        <v>6128</v>
      </c>
      <c r="N82" s="155">
        <v>0.64996736292400004</v>
      </c>
      <c r="O82" s="388">
        <v>0.36244150154299998</v>
      </c>
    </row>
    <row r="83" spans="1:15" ht="15" thickBot="1">
      <c r="A83" s="143" t="s">
        <v>15</v>
      </c>
      <c r="B83" s="384">
        <v>250421</v>
      </c>
      <c r="C83" s="377">
        <v>92928.106280000007</v>
      </c>
      <c r="D83" s="351"/>
      <c r="E83" s="377">
        <v>59735.306909999999</v>
      </c>
      <c r="F83" s="377">
        <v>43333.719899999996</v>
      </c>
      <c r="G83" s="152">
        <v>-2.2503934943000001E-2</v>
      </c>
      <c r="H83" s="152">
        <v>0.13350268613300001</v>
      </c>
      <c r="I83" s="145">
        <v>29516</v>
      </c>
      <c r="J83" s="145">
        <v>12895</v>
      </c>
      <c r="K83" s="379">
        <v>0.932545360883</v>
      </c>
      <c r="L83" s="379">
        <v>0.39145686321000001</v>
      </c>
      <c r="M83" s="145">
        <v>37360</v>
      </c>
      <c r="N83" s="155">
        <v>0.79004282655199998</v>
      </c>
      <c r="O83" s="388">
        <v>0.91385726747100005</v>
      </c>
    </row>
    <row r="84" spans="1:15" ht="15" thickBot="1">
      <c r="A84" s="143" t="s">
        <v>20</v>
      </c>
      <c r="B84" s="384">
        <v>49618</v>
      </c>
      <c r="C84" s="377">
        <v>64517.851900000001</v>
      </c>
      <c r="D84" s="351"/>
      <c r="E84" s="377">
        <v>27351.853299999999</v>
      </c>
      <c r="F84" s="377">
        <v>5350.56945</v>
      </c>
      <c r="G84" s="152">
        <v>0.22178383003800001</v>
      </c>
      <c r="H84" s="152">
        <v>0.22178382984</v>
      </c>
      <c r="I84" s="145">
        <v>2756</v>
      </c>
      <c r="J84" s="145">
        <v>503</v>
      </c>
      <c r="K84" s="379">
        <v>0.95630441792900001</v>
      </c>
      <c r="L84" s="379">
        <v>0.17083198967999999</v>
      </c>
      <c r="M84" s="145">
        <v>7000</v>
      </c>
      <c r="N84" s="153">
        <v>0.39371428571400002</v>
      </c>
      <c r="O84" s="388">
        <v>0.51371325802199996</v>
      </c>
    </row>
    <row r="85" spans="1:15" s="176" customFormat="1" ht="15.6" thickBot="1">
      <c r="A85" s="184" t="s">
        <v>62</v>
      </c>
      <c r="B85" s="384">
        <v>939923</v>
      </c>
      <c r="C85" s="377">
        <v>1112404.3410199999</v>
      </c>
      <c r="D85" s="351"/>
      <c r="E85" s="377">
        <v>1427043.4061199999</v>
      </c>
      <c r="F85" s="377">
        <v>472077.49546000001</v>
      </c>
      <c r="G85" s="152"/>
      <c r="H85" s="152"/>
      <c r="I85" s="145"/>
      <c r="J85" s="145"/>
      <c r="K85" s="386">
        <v>0.76222135555299997</v>
      </c>
      <c r="L85" s="386">
        <v>0.55580393666899996</v>
      </c>
      <c r="M85" s="145"/>
      <c r="N85" s="153"/>
      <c r="O85" s="386">
        <v>0.50469311296899999</v>
      </c>
    </row>
    <row r="86" spans="1:15" ht="15" thickBot="1">
      <c r="A86" s="140" t="s">
        <v>21</v>
      </c>
      <c r="B86" s="384">
        <v>18550</v>
      </c>
      <c r="C86" s="377">
        <v>38549.99901</v>
      </c>
      <c r="D86" s="351"/>
      <c r="E86" s="377">
        <v>26141.52447</v>
      </c>
      <c r="F86" s="377">
        <v>24676.611980000001</v>
      </c>
      <c r="G86" s="152">
        <v>2.9978130597999999E-2</v>
      </c>
      <c r="H86" s="152">
        <v>2.9978130597999999E-2</v>
      </c>
      <c r="I86" s="145">
        <v>1422</v>
      </c>
      <c r="J86" s="145">
        <v>1427</v>
      </c>
      <c r="K86" s="379">
        <v>0.77426380077599999</v>
      </c>
      <c r="L86" s="379">
        <v>0.40213994886799997</v>
      </c>
      <c r="M86" s="145">
        <v>3150</v>
      </c>
      <c r="N86" s="155">
        <v>0.45142857142800003</v>
      </c>
      <c r="O86" s="388">
        <v>0.48899351840499999</v>
      </c>
    </row>
    <row r="87" spans="1:15" ht="15" thickBot="1">
      <c r="A87" s="143" t="s">
        <v>18</v>
      </c>
      <c r="B87" s="384">
        <v>70433</v>
      </c>
      <c r="C87" s="377">
        <v>52202.892899999999</v>
      </c>
      <c r="D87" s="351"/>
      <c r="E87" s="377">
        <v>92291.450760000007</v>
      </c>
      <c r="F87" s="377">
        <v>64848.588470000002</v>
      </c>
      <c r="G87" s="152">
        <v>0.14568394592200001</v>
      </c>
      <c r="H87" s="152">
        <v>0.14568394592200001</v>
      </c>
      <c r="I87" s="145">
        <v>2619</v>
      </c>
      <c r="J87" s="145">
        <v>12469</v>
      </c>
      <c r="K87" s="379">
        <v>0.80658117660799999</v>
      </c>
      <c r="L87" s="379">
        <v>0.77123619793099996</v>
      </c>
      <c r="M87" s="145">
        <v>4753</v>
      </c>
      <c r="N87" s="155">
        <v>0.55102040816300002</v>
      </c>
      <c r="O87" s="388">
        <v>0.59808785716799995</v>
      </c>
    </row>
    <row r="88" spans="1:15" ht="15" thickBot="1">
      <c r="A88" s="143" t="s">
        <v>13</v>
      </c>
      <c r="B88" s="384">
        <v>421135</v>
      </c>
      <c r="C88" s="377">
        <v>490381.82948000001</v>
      </c>
      <c r="D88" s="351"/>
      <c r="E88" s="377">
        <v>896333.78876999998</v>
      </c>
      <c r="F88" s="603">
        <v>211988.26871</v>
      </c>
      <c r="G88" s="152">
        <v>0.22771667530799999</v>
      </c>
      <c r="H88" s="152">
        <v>0.22771667531699999</v>
      </c>
      <c r="I88" s="145">
        <v>40105</v>
      </c>
      <c r="J88" s="145">
        <v>82745</v>
      </c>
      <c r="K88" s="379">
        <v>0.74153755414599998</v>
      </c>
      <c r="L88" s="379">
        <v>0.72052993397999998</v>
      </c>
      <c r="M88" s="145">
        <v>33597</v>
      </c>
      <c r="N88" s="153">
        <v>1.1937077715269999</v>
      </c>
      <c r="O88" s="388">
        <v>0.68362200189199995</v>
      </c>
    </row>
    <row r="89" spans="1:15" ht="15" thickBot="1">
      <c r="A89" s="143" t="s">
        <v>14</v>
      </c>
      <c r="B89" s="384">
        <v>183635</v>
      </c>
      <c r="C89" s="377">
        <v>78725.128899999996</v>
      </c>
      <c r="D89" s="351"/>
      <c r="E89" s="377">
        <v>58700.160279999996</v>
      </c>
      <c r="F89" s="377">
        <v>46131.827140000001</v>
      </c>
      <c r="G89" s="152">
        <v>0.103608810587</v>
      </c>
      <c r="H89" s="152">
        <v>0.25514758676499999</v>
      </c>
      <c r="I89" s="145">
        <v>11793</v>
      </c>
      <c r="J89" s="145">
        <v>6853</v>
      </c>
      <c r="K89" s="379">
        <v>0.70584750110100003</v>
      </c>
      <c r="L89" s="379">
        <v>0.39558240186100002</v>
      </c>
      <c r="M89" s="145">
        <v>13824</v>
      </c>
      <c r="N89" s="155">
        <v>0.85308159722200005</v>
      </c>
      <c r="O89" s="388">
        <v>0.11688364195000001</v>
      </c>
    </row>
    <row r="90" spans="1:15" ht="15" thickBot="1">
      <c r="A90" s="143" t="s">
        <v>19</v>
      </c>
      <c r="B90" s="384">
        <v>77237</v>
      </c>
      <c r="C90" s="377">
        <v>60981.139660000001</v>
      </c>
      <c r="D90" s="351"/>
      <c r="E90" s="377">
        <v>71365.698279999997</v>
      </c>
      <c r="F90" s="377">
        <v>13696.659729999999</v>
      </c>
      <c r="G90" s="152">
        <v>-3.5496492645000002E-2</v>
      </c>
      <c r="H90" s="152">
        <v>0.11444935189200001</v>
      </c>
      <c r="I90" s="145">
        <v>5758</v>
      </c>
      <c r="J90" s="145">
        <v>699</v>
      </c>
      <c r="K90" s="379">
        <v>0.90387148502299997</v>
      </c>
      <c r="L90" s="379">
        <v>0.247895309546</v>
      </c>
      <c r="M90" s="145">
        <v>10000</v>
      </c>
      <c r="N90" s="154">
        <v>0.57579999999999998</v>
      </c>
      <c r="O90" s="388">
        <v>0.29430865976999998</v>
      </c>
    </row>
    <row r="91" spans="1:15" ht="15" thickBot="1">
      <c r="A91" s="143" t="s">
        <v>22</v>
      </c>
      <c r="B91" s="384">
        <v>30817</v>
      </c>
      <c r="C91" s="377">
        <v>43393.746709999999</v>
      </c>
      <c r="D91" s="351"/>
      <c r="E91" s="377">
        <v>13637.613079999999</v>
      </c>
      <c r="F91" s="377">
        <v>16652.89892</v>
      </c>
      <c r="G91" s="152">
        <v>7.9011021532E-2</v>
      </c>
      <c r="H91" s="152">
        <v>0.152133655349</v>
      </c>
      <c r="I91" s="145">
        <v>2529</v>
      </c>
      <c r="J91" s="145">
        <v>137</v>
      </c>
      <c r="K91" s="379">
        <v>0.94863307111100004</v>
      </c>
      <c r="L91" s="379">
        <v>8.5364903808000006E-2</v>
      </c>
      <c r="M91" s="145">
        <v>3236</v>
      </c>
      <c r="N91" s="153">
        <v>0.78152039554999997</v>
      </c>
      <c r="O91" s="388">
        <v>4.1052588365696501E-5</v>
      </c>
    </row>
    <row r="92" spans="1:15" ht="15" thickBot="1">
      <c r="A92" s="143" t="s">
        <v>17</v>
      </c>
      <c r="B92" s="384">
        <v>138116</v>
      </c>
      <c r="C92" s="377">
        <v>348169.60436</v>
      </c>
      <c r="D92" s="351"/>
      <c r="E92" s="377">
        <v>268573.17047999997</v>
      </c>
      <c r="F92" s="377">
        <v>94082.640509999997</v>
      </c>
      <c r="G92" s="152">
        <v>3.205415608E-2</v>
      </c>
      <c r="H92" s="152">
        <v>3.205415608E-2</v>
      </c>
      <c r="I92" s="145">
        <v>10986</v>
      </c>
      <c r="J92" s="145">
        <v>6718</v>
      </c>
      <c r="K92" s="379">
        <v>0.74116197589800004</v>
      </c>
      <c r="L92" s="379">
        <v>0.44065760597499998</v>
      </c>
      <c r="M92" s="145">
        <v>13502</v>
      </c>
      <c r="N92" s="153">
        <v>0.81365723596499995</v>
      </c>
      <c r="O92" s="388">
        <v>0.66708091398900005</v>
      </c>
    </row>
    <row r="93" spans="1:15" ht="12.75" customHeight="1" thickBot="1">
      <c r="A93" s="181" t="s">
        <v>64</v>
      </c>
      <c r="B93" s="378">
        <v>1444586</v>
      </c>
      <c r="C93" s="378">
        <v>1524777.0366</v>
      </c>
      <c r="D93" s="135"/>
      <c r="E93" s="378">
        <v>1819031.7917800001</v>
      </c>
      <c r="F93" s="378">
        <v>585992.13251000002</v>
      </c>
      <c r="G93" s="135"/>
      <c r="H93" s="135"/>
      <c r="I93" s="135"/>
      <c r="J93" s="135"/>
      <c r="K93" s="387">
        <v>0.81543135287500002</v>
      </c>
      <c r="L93" s="387">
        <v>0.48903407272999999</v>
      </c>
      <c r="M93" s="135"/>
      <c r="O93" s="389">
        <v>0.64190566092800005</v>
      </c>
    </row>
    <row r="94" spans="1:15">
      <c r="A94" s="21" t="s">
        <v>54</v>
      </c>
      <c r="B94" s="22"/>
      <c r="C94" s="22"/>
      <c r="D94" s="22"/>
      <c r="E94" s="22"/>
      <c r="F94" s="22"/>
      <c r="G94" s="21" t="s">
        <v>55</v>
      </c>
      <c r="H94" s="23" t="s">
        <v>56</v>
      </c>
      <c r="I94" s="22"/>
      <c r="J94" s="22"/>
      <c r="K94" s="22"/>
      <c r="L94" s="22"/>
      <c r="M94" s="22"/>
    </row>
    <row r="95" spans="1:15" ht="15" thickBot="1">
      <c r="A95" s="24" t="s">
        <v>182</v>
      </c>
      <c r="D95" s="162">
        <f>SUM(C88,E88:F88)</f>
        <v>1598703.88696</v>
      </c>
      <c r="G95" s="24" t="s">
        <v>57</v>
      </c>
      <c r="H95" s="25" t="s">
        <v>58</v>
      </c>
    </row>
    <row r="96" spans="1:15" ht="15" thickTop="1">
      <c r="C96" s="36" t="s">
        <v>64</v>
      </c>
    </row>
    <row r="97" spans="1:12" ht="15" thickBot="1">
      <c r="C97" s="48" t="s">
        <v>62</v>
      </c>
    </row>
    <row r="98" spans="1:12" ht="15.6" thickBot="1">
      <c r="A98" s="183" t="s">
        <v>236</v>
      </c>
      <c r="B98" s="187"/>
      <c r="C98" s="49" t="s">
        <v>63</v>
      </c>
    </row>
    <row r="99" spans="1:12" ht="15" thickBot="1">
      <c r="A99" s="188" t="s">
        <v>239</v>
      </c>
      <c r="B99" s="143" t="s">
        <v>16</v>
      </c>
    </row>
    <row r="100" spans="1:12" ht="15" thickBot="1">
      <c r="A100" s="189"/>
      <c r="B100" s="143" t="s">
        <v>23</v>
      </c>
    </row>
    <row r="101" spans="1:12" ht="15.6" thickBot="1">
      <c r="A101" s="189"/>
      <c r="B101" s="143" t="s">
        <v>15</v>
      </c>
      <c r="J101" s="139" t="s">
        <v>238</v>
      </c>
      <c r="K101" s="4" t="s">
        <v>3</v>
      </c>
      <c r="L101" s="139" t="s">
        <v>234</v>
      </c>
    </row>
    <row r="102" spans="1:12" ht="15.6" thickBot="1">
      <c r="A102" s="190"/>
      <c r="B102" s="143" t="s">
        <v>20</v>
      </c>
      <c r="J102" s="183" t="s">
        <v>236</v>
      </c>
      <c r="K102" s="187"/>
      <c r="L102" s="179">
        <v>0.637038449801</v>
      </c>
    </row>
    <row r="103" spans="1:12" ht="15.6" thickBot="1">
      <c r="A103" s="184" t="s">
        <v>237</v>
      </c>
      <c r="B103" s="191"/>
      <c r="J103" s="188" t="s">
        <v>239</v>
      </c>
      <c r="K103" s="143" t="s">
        <v>16</v>
      </c>
      <c r="L103" s="177">
        <v>0.76275926984200004</v>
      </c>
    </row>
    <row r="104" spans="1:12" ht="15" thickBot="1">
      <c r="A104" s="188" t="s">
        <v>240</v>
      </c>
      <c r="B104" s="143" t="s">
        <v>21</v>
      </c>
      <c r="J104" s="189"/>
      <c r="K104" s="143" t="s">
        <v>23</v>
      </c>
      <c r="L104" s="177">
        <v>0.10243805221500001</v>
      </c>
    </row>
    <row r="105" spans="1:12" ht="15" thickBot="1">
      <c r="A105" s="189"/>
      <c r="B105" s="143" t="s">
        <v>18</v>
      </c>
      <c r="J105" s="189"/>
      <c r="K105" s="143" t="s">
        <v>15</v>
      </c>
      <c r="L105" s="177">
        <v>0.64139173828600005</v>
      </c>
    </row>
    <row r="106" spans="1:12" ht="15" thickBot="1">
      <c r="A106" s="189"/>
      <c r="B106" s="143" t="s">
        <v>13</v>
      </c>
      <c r="J106" s="190"/>
      <c r="K106" s="143" t="s">
        <v>20</v>
      </c>
      <c r="L106" s="177">
        <v>0.30538732191200002</v>
      </c>
    </row>
    <row r="107" spans="1:12" ht="15.6" thickBot="1">
      <c r="A107" s="189"/>
      <c r="B107" s="143" t="s">
        <v>14</v>
      </c>
      <c r="J107" s="184" t="s">
        <v>237</v>
      </c>
      <c r="K107" s="191"/>
      <c r="L107" s="180">
        <v>0.37394508732499998</v>
      </c>
    </row>
    <row r="108" spans="1:12" ht="15" thickBot="1">
      <c r="A108" s="189"/>
      <c r="B108" s="143" t="s">
        <v>19</v>
      </c>
      <c r="J108" s="188" t="s">
        <v>240</v>
      </c>
      <c r="K108" s="143" t="s">
        <v>21</v>
      </c>
      <c r="L108" s="177">
        <v>0.43917371826700002</v>
      </c>
    </row>
    <row r="109" spans="1:12" ht="15" thickBot="1">
      <c r="A109" s="189"/>
      <c r="B109" s="143" t="s">
        <v>22</v>
      </c>
      <c r="J109" s="189"/>
      <c r="K109" s="143" t="s">
        <v>18</v>
      </c>
      <c r="L109" s="177">
        <v>0.59083523473599997</v>
      </c>
    </row>
    <row r="110" spans="1:12" ht="15" thickBot="1">
      <c r="A110" s="190"/>
      <c r="B110" s="143" t="s">
        <v>17</v>
      </c>
      <c r="J110" s="189"/>
      <c r="K110" s="143" t="s">
        <v>13</v>
      </c>
      <c r="L110" s="177">
        <v>0.52777275557900005</v>
      </c>
    </row>
    <row r="111" spans="1:12" ht="15.6" thickBot="1">
      <c r="A111" s="181" t="s">
        <v>235</v>
      </c>
      <c r="B111" s="192"/>
      <c r="J111" s="189"/>
      <c r="K111" s="143" t="s">
        <v>14</v>
      </c>
      <c r="L111" s="177">
        <v>0.13034103905300001</v>
      </c>
    </row>
    <row r="112" spans="1:12" ht="15" thickBot="1">
      <c r="J112" s="189"/>
      <c r="K112" s="143" t="s">
        <v>19</v>
      </c>
      <c r="L112" s="177">
        <v>0.26980287442000001</v>
      </c>
    </row>
    <row r="113" spans="10:12" ht="15" thickBot="1">
      <c r="J113" s="189"/>
      <c r="K113" s="143" t="s">
        <v>22</v>
      </c>
      <c r="L113" s="177">
        <v>0</v>
      </c>
    </row>
    <row r="114" spans="10:12" ht="15" thickBot="1">
      <c r="J114" s="190"/>
      <c r="K114" s="143" t="s">
        <v>17</v>
      </c>
      <c r="L114" s="177">
        <v>0.33825803320499997</v>
      </c>
    </row>
    <row r="115" spans="10:12" ht="15.6" thickBot="1">
      <c r="J115" s="181" t="s">
        <v>235</v>
      </c>
      <c r="K115" s="192"/>
      <c r="L115" s="182">
        <v>0.48256009272099998</v>
      </c>
    </row>
  </sheetData>
  <mergeCells count="21">
    <mergeCell ref="A1:G1"/>
    <mergeCell ref="H1:M1"/>
    <mergeCell ref="H2:M2"/>
    <mergeCell ref="A3:M3"/>
    <mergeCell ref="A4:M4"/>
    <mergeCell ref="A41:M41"/>
    <mergeCell ref="B42:D42"/>
    <mergeCell ref="E42:J42"/>
    <mergeCell ref="L42:M42"/>
    <mergeCell ref="A5:J5"/>
    <mergeCell ref="A6:I6"/>
    <mergeCell ref="A19:M21"/>
    <mergeCell ref="A22:M22"/>
    <mergeCell ref="B23:D23"/>
    <mergeCell ref="E23:J23"/>
    <mergeCell ref="L23:M23"/>
    <mergeCell ref="A60:G60"/>
    <mergeCell ref="B61:C61"/>
    <mergeCell ref="F61:G61"/>
    <mergeCell ref="A74:M76"/>
    <mergeCell ref="A77:K77"/>
  </mergeCells>
  <pageMargins left="0.7" right="0.7" top="0.75" bottom="0.75" header="0.3" footer="0.3"/>
  <pageSetup paperSize="9" orientation="portrait" verticalDpi="0" r:id="rId1"/>
  <headerFooter>
    <oddFooter>&amp;R&amp;1#&amp;"Calibri"&amp;10&amp;K000000C2 - Confidential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Feuil8">
    <tabColor theme="5"/>
  </sheetPr>
  <dimension ref="A1:M89"/>
  <sheetViews>
    <sheetView topLeftCell="A34" workbookViewId="0">
      <selection activeCell="B47" activeCellId="1" sqref="B30 B47"/>
    </sheetView>
  </sheetViews>
  <sheetFormatPr baseColWidth="10" defaultColWidth="8.88671875" defaultRowHeight="14.4"/>
  <cols>
    <col min="1" max="1" width="23.33203125" style="118" customWidth="1"/>
    <col min="2" max="2" width="26.6640625" style="118" bestFit="1" customWidth="1"/>
    <col min="3" max="3" width="39.44140625" style="118" bestFit="1" customWidth="1"/>
    <col min="4" max="4" width="59" style="118" bestFit="1" customWidth="1"/>
    <col min="5" max="6" width="26.109375" style="118" customWidth="1"/>
    <col min="7" max="13" width="17" style="118" customWidth="1"/>
    <col min="14" max="16384" width="8.88671875" style="118"/>
  </cols>
  <sheetData>
    <row r="1" spans="1:13" ht="12.75" customHeight="1">
      <c r="A1" s="1010"/>
      <c r="B1" s="1010"/>
      <c r="C1" s="1010"/>
      <c r="D1" s="1010"/>
      <c r="E1" s="1010"/>
      <c r="F1" s="1010"/>
      <c r="G1" s="1010"/>
      <c r="H1" s="1010"/>
      <c r="I1" s="1010"/>
      <c r="J1" s="1010"/>
      <c r="K1" s="1010"/>
      <c r="L1" s="1010"/>
      <c r="M1" s="1010"/>
    </row>
    <row r="2" spans="1:13" ht="12.75" customHeight="1">
      <c r="H2" s="1010"/>
      <c r="I2" s="1010"/>
      <c r="J2" s="1010"/>
      <c r="K2" s="1010"/>
      <c r="L2" s="1010"/>
      <c r="M2" s="1010"/>
    </row>
    <row r="3" spans="1:13" ht="15">
      <c r="A3" s="1013" t="s">
        <v>0</v>
      </c>
      <c r="B3" s="1010"/>
      <c r="C3" s="1010"/>
      <c r="D3" s="1010"/>
      <c r="E3" s="1010"/>
      <c r="F3" s="1010"/>
      <c r="G3" s="1010"/>
      <c r="H3" s="1010"/>
      <c r="I3" s="1010"/>
      <c r="J3" s="1010"/>
      <c r="K3" s="1010"/>
      <c r="L3" s="1010"/>
      <c r="M3" s="1010"/>
    </row>
    <row r="4" spans="1:13" ht="15.6" thickBot="1">
      <c r="A4" s="1013" t="s">
        <v>181</v>
      </c>
      <c r="B4" s="1010"/>
      <c r="C4" s="1010"/>
      <c r="D4" s="1010"/>
      <c r="E4" s="1010"/>
      <c r="F4" s="1010"/>
      <c r="G4" s="1010"/>
      <c r="H4" s="1010"/>
      <c r="I4" s="1010"/>
      <c r="J4" s="1010"/>
      <c r="K4" s="1010"/>
      <c r="L4" s="1010"/>
      <c r="M4" s="1010"/>
    </row>
    <row r="5" spans="1:13" ht="22.5" customHeight="1" thickBot="1">
      <c r="A5" s="1004" t="s">
        <v>1</v>
      </c>
      <c r="B5" s="1005"/>
      <c r="C5" s="1005"/>
      <c r="D5" s="1005"/>
      <c r="E5" s="1005"/>
      <c r="F5" s="1005"/>
      <c r="G5" s="1005"/>
      <c r="H5" s="1005"/>
      <c r="I5" s="1005"/>
      <c r="J5" s="1006"/>
    </row>
    <row r="6" spans="1:13" ht="15.6" thickBot="1">
      <c r="A6" s="1012"/>
      <c r="B6" s="1011"/>
      <c r="C6" s="1011"/>
      <c r="D6" s="1011"/>
      <c r="E6" s="1011"/>
      <c r="F6" s="1011"/>
      <c r="G6" s="1011"/>
      <c r="H6" s="1011"/>
      <c r="I6" s="1008"/>
      <c r="J6" s="2" t="s">
        <v>2</v>
      </c>
    </row>
    <row r="7" spans="1:13" ht="15.6" thickBot="1">
      <c r="A7" s="3" t="s">
        <v>3</v>
      </c>
      <c r="B7" s="4" t="s">
        <v>4</v>
      </c>
      <c r="C7" s="4" t="s">
        <v>5</v>
      </c>
      <c r="D7" s="4" t="s">
        <v>6</v>
      </c>
      <c r="E7" s="4" t="s">
        <v>7</v>
      </c>
      <c r="F7" s="4" t="s">
        <v>8</v>
      </c>
      <c r="G7" s="4" t="s">
        <v>9</v>
      </c>
      <c r="H7" s="4" t="s">
        <v>10</v>
      </c>
      <c r="I7" s="4" t="s">
        <v>11</v>
      </c>
      <c r="J7" s="5" t="s">
        <v>12</v>
      </c>
    </row>
    <row r="8" spans="1:13" ht="15" thickBot="1">
      <c r="A8" s="6" t="s">
        <v>13</v>
      </c>
      <c r="B8" s="7">
        <v>438385</v>
      </c>
      <c r="C8" s="7">
        <v>275265</v>
      </c>
      <c r="D8" s="8">
        <v>0.62790697674399998</v>
      </c>
      <c r="E8" s="8">
        <v>0.17304463034000001</v>
      </c>
      <c r="F8" s="8">
        <v>6.0163146462000001E-2</v>
      </c>
      <c r="G8" s="7">
        <v>-2954</v>
      </c>
      <c r="H8" s="8">
        <v>-1.0617535107E-2</v>
      </c>
      <c r="I8" s="8">
        <v>0.16050134039899999</v>
      </c>
      <c r="J8" s="9">
        <v>188.96381578947401</v>
      </c>
    </row>
    <row r="9" spans="1:13" ht="15" thickBot="1">
      <c r="A9" s="10" t="s">
        <v>14</v>
      </c>
      <c r="B9" s="7">
        <v>302057</v>
      </c>
      <c r="C9" s="7">
        <v>159854</v>
      </c>
      <c r="D9" s="8">
        <v>0.52921799527900004</v>
      </c>
      <c r="E9" s="8">
        <v>0.14920330778499999</v>
      </c>
      <c r="F9" s="8">
        <v>7.5509277929999997E-3</v>
      </c>
      <c r="G9" s="7">
        <v>-2809</v>
      </c>
      <c r="H9" s="8">
        <v>-1.7268831879E-2</v>
      </c>
      <c r="I9" s="8">
        <v>0.19938867276300001</v>
      </c>
      <c r="J9" s="9">
        <v>154.77297297297301</v>
      </c>
    </row>
    <row r="10" spans="1:13" ht="15" thickBot="1">
      <c r="A10" s="10" t="s">
        <v>15</v>
      </c>
      <c r="B10" s="7">
        <v>250429</v>
      </c>
      <c r="C10" s="7">
        <v>205175</v>
      </c>
      <c r="D10" s="8">
        <v>0.819294091339</v>
      </c>
      <c r="E10" s="8">
        <v>0.14840557732000001</v>
      </c>
      <c r="F10" s="8">
        <v>8.0368802392000005E-2</v>
      </c>
      <c r="G10" s="7">
        <v>570</v>
      </c>
      <c r="H10" s="8">
        <v>2.7858556730000002E-3</v>
      </c>
      <c r="I10" s="8">
        <v>0.106969495951</v>
      </c>
      <c r="J10" s="9">
        <v>92.716216216215997</v>
      </c>
    </row>
    <row r="11" spans="1:13" ht="15" thickBot="1">
      <c r="A11" s="10" t="s">
        <v>16</v>
      </c>
      <c r="B11" s="7">
        <v>234030</v>
      </c>
      <c r="C11" s="7">
        <v>168981</v>
      </c>
      <c r="D11" s="8">
        <v>0.72204845532600004</v>
      </c>
      <c r="E11" s="8">
        <v>0.13953745856200001</v>
      </c>
      <c r="F11" s="8">
        <v>0.100545124167</v>
      </c>
      <c r="G11" s="7">
        <v>248</v>
      </c>
      <c r="H11" s="8">
        <v>1.4697776960000001E-3</v>
      </c>
      <c r="I11" s="8">
        <v>0.121699428139</v>
      </c>
      <c r="J11" s="9">
        <v>408.4375</v>
      </c>
    </row>
    <row r="12" spans="1:13" ht="15" thickBot="1">
      <c r="A12" s="10" t="s">
        <v>17</v>
      </c>
      <c r="B12" s="7">
        <v>213470</v>
      </c>
      <c r="C12" s="7">
        <v>130074</v>
      </c>
      <c r="D12" s="8">
        <v>0.609331521993</v>
      </c>
      <c r="E12" s="8">
        <v>7.9514330086000007E-2</v>
      </c>
      <c r="F12" s="8">
        <v>-8.1787378228999993E-2</v>
      </c>
      <c r="G12" s="7">
        <v>195</v>
      </c>
      <c r="H12" s="8">
        <v>1.5013974539999999E-3</v>
      </c>
      <c r="I12" s="8">
        <v>0.19718098021</v>
      </c>
      <c r="J12" s="9">
        <v>95.301204819277004</v>
      </c>
    </row>
    <row r="13" spans="1:13" ht="15" thickBot="1">
      <c r="A13" s="10" t="s">
        <v>18</v>
      </c>
      <c r="B13" s="7">
        <v>105326</v>
      </c>
      <c r="C13" s="7">
        <v>74886</v>
      </c>
      <c r="D13" s="8">
        <v>0.71099253745500002</v>
      </c>
      <c r="E13" s="8">
        <v>7.7221320381999997E-2</v>
      </c>
      <c r="F13" s="8">
        <v>4.6552811280000002E-3</v>
      </c>
      <c r="G13" s="7">
        <v>-280</v>
      </c>
      <c r="H13" s="8">
        <v>-3.72508847E-3</v>
      </c>
      <c r="I13" s="8">
        <v>0.131962686967</v>
      </c>
      <c r="J13" s="9">
        <v>86.705263157893995</v>
      </c>
    </row>
    <row r="14" spans="1:13" ht="15" thickBot="1">
      <c r="A14" s="10" t="s">
        <v>19</v>
      </c>
      <c r="B14" s="7">
        <v>104546</v>
      </c>
      <c r="C14" s="7">
        <v>73816</v>
      </c>
      <c r="D14" s="8">
        <v>0.70606240315199997</v>
      </c>
      <c r="E14" s="8">
        <v>7.6852559205000004E-2</v>
      </c>
      <c r="F14" s="8">
        <v>2.5293423153999999E-2</v>
      </c>
      <c r="G14" s="7">
        <v>0</v>
      </c>
      <c r="H14" s="8">
        <v>0</v>
      </c>
      <c r="I14" s="8">
        <v>0.11539957223400001</v>
      </c>
      <c r="J14" s="9">
        <v>146.34666666666701</v>
      </c>
    </row>
    <row r="15" spans="1:13" ht="15" thickBot="1">
      <c r="A15" s="10" t="s">
        <v>20</v>
      </c>
      <c r="B15" s="7">
        <v>51211</v>
      </c>
      <c r="C15" s="7">
        <v>35924</v>
      </c>
      <c r="D15" s="8">
        <v>0.70148991427600005</v>
      </c>
      <c r="E15" s="8">
        <v>7.2467466189999996E-2</v>
      </c>
      <c r="F15" s="8">
        <v>1.8513793200999999E-2</v>
      </c>
      <c r="G15" s="7">
        <v>157</v>
      </c>
      <c r="H15" s="8">
        <v>4.3895210660000001E-3</v>
      </c>
      <c r="I15" s="8">
        <v>8.7100705762000005E-2</v>
      </c>
      <c r="J15" s="9">
        <v>1086.3333333333301</v>
      </c>
    </row>
    <row r="16" spans="1:13" ht="15" thickBot="1">
      <c r="A16" s="10" t="s">
        <v>21</v>
      </c>
      <c r="B16" s="7">
        <v>43841</v>
      </c>
      <c r="C16" s="7">
        <v>30325</v>
      </c>
      <c r="D16" s="8">
        <v>0.69170411258800002</v>
      </c>
      <c r="E16" s="8">
        <v>9.0589587781E-2</v>
      </c>
      <c r="F16" s="8">
        <v>-3.9415339129999999E-3</v>
      </c>
      <c r="G16" s="7">
        <v>-622</v>
      </c>
      <c r="H16" s="8">
        <v>-2.0098878728000001E-2</v>
      </c>
      <c r="I16" s="8">
        <v>0.16147355287699999</v>
      </c>
      <c r="J16" s="9">
        <v>141.57575757575799</v>
      </c>
    </row>
    <row r="17" spans="1:13" ht="15" thickBot="1">
      <c r="A17" s="10" t="s">
        <v>22</v>
      </c>
      <c r="B17" s="7">
        <v>30703</v>
      </c>
      <c r="C17" s="7">
        <v>23140</v>
      </c>
      <c r="D17" s="8">
        <v>0.75367227958100003</v>
      </c>
      <c r="E17" s="8">
        <v>8.7543299293000004E-2</v>
      </c>
      <c r="F17" s="8">
        <v>4.0982500337000002E-2</v>
      </c>
      <c r="G17" s="7">
        <v>91</v>
      </c>
      <c r="H17" s="8">
        <v>3.9481105470000003E-3</v>
      </c>
      <c r="I17" s="8">
        <v>0.12056148329499999</v>
      </c>
      <c r="J17" s="9">
        <v>65.567567567566996</v>
      </c>
    </row>
    <row r="18" spans="1:13" ht="15" thickBot="1">
      <c r="A18" s="11" t="s">
        <v>23</v>
      </c>
      <c r="B18" s="12">
        <v>17595</v>
      </c>
      <c r="C18" s="12">
        <v>14762</v>
      </c>
      <c r="D18" s="13">
        <v>0.83898834896200003</v>
      </c>
      <c r="E18" s="13">
        <v>0.44430515759299999</v>
      </c>
      <c r="F18" s="13">
        <v>0.32181232091599998</v>
      </c>
      <c r="G18" s="12">
        <v>114</v>
      </c>
      <c r="H18" s="13">
        <v>7.7826324409999998E-3</v>
      </c>
      <c r="I18" s="13">
        <v>0.18430248185600001</v>
      </c>
      <c r="J18" s="14">
        <v>391.73333333333301</v>
      </c>
    </row>
    <row r="19" spans="1:13" ht="12.75" customHeight="1">
      <c r="A19" s="1010"/>
      <c r="B19" s="1010"/>
      <c r="C19" s="1010"/>
      <c r="D19" s="1010"/>
      <c r="E19" s="1010"/>
      <c r="F19" s="1010"/>
      <c r="G19" s="1010"/>
      <c r="H19" s="1010"/>
      <c r="I19" s="1010"/>
      <c r="J19" s="1010"/>
      <c r="K19" s="1010"/>
      <c r="L19" s="1010"/>
      <c r="M19" s="1010"/>
    </row>
    <row r="20" spans="1:13" ht="12.75" customHeight="1">
      <c r="A20" s="1010"/>
      <c r="B20" s="1010"/>
      <c r="C20" s="1010"/>
      <c r="D20" s="1010"/>
      <c r="E20" s="1010"/>
      <c r="F20" s="1010"/>
      <c r="G20" s="1010"/>
      <c r="H20" s="1010"/>
      <c r="I20" s="1010"/>
      <c r="J20" s="1010"/>
      <c r="K20" s="1010"/>
      <c r="L20" s="1010"/>
      <c r="M20" s="1010"/>
    </row>
    <row r="21" spans="1:13" ht="12.75" customHeight="1" thickBot="1">
      <c r="A21" s="1010"/>
      <c r="B21" s="1010"/>
      <c r="C21" s="1010"/>
      <c r="D21" s="1010"/>
      <c r="E21" s="1010"/>
      <c r="F21" s="1010"/>
      <c r="G21" s="1010"/>
      <c r="H21" s="1010"/>
      <c r="I21" s="1010"/>
      <c r="J21" s="1010"/>
      <c r="K21" s="1010"/>
      <c r="L21" s="1010"/>
      <c r="M21" s="1010"/>
    </row>
    <row r="22" spans="1:13" ht="22.5" customHeight="1" thickBot="1">
      <c r="A22" s="1004" t="s">
        <v>164</v>
      </c>
      <c r="B22" s="1005"/>
      <c r="C22" s="1005"/>
      <c r="D22" s="1005"/>
      <c r="E22" s="1005"/>
      <c r="F22" s="1005"/>
      <c r="G22" s="1005"/>
      <c r="H22" s="1005"/>
      <c r="I22" s="1005"/>
      <c r="J22" s="1005"/>
      <c r="K22" s="1005"/>
      <c r="L22" s="1005"/>
      <c r="M22" s="1006"/>
    </row>
    <row r="23" spans="1:13" ht="15.6" thickBot="1">
      <c r="A23" s="15"/>
      <c r="B23" s="1007" t="s">
        <v>24</v>
      </c>
      <c r="C23" s="1011"/>
      <c r="D23" s="1008"/>
      <c r="E23" s="1007" t="s">
        <v>25</v>
      </c>
      <c r="F23" s="1011"/>
      <c r="G23" s="1011"/>
      <c r="H23" s="1011"/>
      <c r="I23" s="1011"/>
      <c r="J23" s="1008"/>
      <c r="K23" s="119" t="s">
        <v>26</v>
      </c>
      <c r="L23" s="1007" t="s">
        <v>2</v>
      </c>
      <c r="M23" s="1009"/>
    </row>
    <row r="24" spans="1:13" s="26" customFormat="1" ht="15.6" thickBot="1">
      <c r="A24" s="3" t="s">
        <v>3</v>
      </c>
      <c r="B24" s="4" t="s">
        <v>27</v>
      </c>
      <c r="C24" s="4" t="s">
        <v>28</v>
      </c>
      <c r="D24" s="4" t="s">
        <v>29</v>
      </c>
      <c r="E24" s="4" t="s">
        <v>30</v>
      </c>
      <c r="F24" s="4" t="s">
        <v>31</v>
      </c>
      <c r="G24" s="4" t="s">
        <v>32</v>
      </c>
      <c r="H24" s="4" t="s">
        <v>33</v>
      </c>
      <c r="I24" s="4" t="s">
        <v>34</v>
      </c>
      <c r="J24" s="4" t="s">
        <v>35</v>
      </c>
      <c r="K24" s="4" t="s">
        <v>36</v>
      </c>
      <c r="L24" s="4" t="s">
        <v>38</v>
      </c>
      <c r="M24" s="5" t="s">
        <v>37</v>
      </c>
    </row>
    <row r="25" spans="1:13" ht="15" thickBot="1">
      <c r="A25" s="6" t="s">
        <v>13</v>
      </c>
      <c r="B25" s="16">
        <v>382117.43302</v>
      </c>
      <c r="C25" s="8">
        <v>0.21693706148299999</v>
      </c>
      <c r="D25" s="8">
        <v>0.21693706148299999</v>
      </c>
      <c r="E25" s="16">
        <v>223444.18802</v>
      </c>
      <c r="F25" s="16">
        <v>127958.08029</v>
      </c>
      <c r="G25" s="7">
        <v>2104</v>
      </c>
      <c r="H25" s="8">
        <v>-0.12624584717599999</v>
      </c>
      <c r="I25" s="16">
        <v>16765.576410000001</v>
      </c>
      <c r="J25" s="8">
        <v>-2.7847609852999999E-2</v>
      </c>
      <c r="K25" s="8">
        <v>0.31802272000100001</v>
      </c>
      <c r="L25" s="7">
        <v>106.69078947368401</v>
      </c>
      <c r="M25" s="9">
        <v>65.684210526314999</v>
      </c>
    </row>
    <row r="26" spans="1:13" ht="15" thickBot="1">
      <c r="A26" s="10" t="s">
        <v>14</v>
      </c>
      <c r="B26" s="16">
        <v>131858.48134</v>
      </c>
      <c r="C26" s="8">
        <v>6.1039234078E-2</v>
      </c>
      <c r="D26" s="8">
        <v>0.19543253313100001</v>
      </c>
      <c r="E26" s="16">
        <v>72440.383189999993</v>
      </c>
      <c r="F26" s="16">
        <v>39389.708059999997</v>
      </c>
      <c r="G26" s="7">
        <v>1625</v>
      </c>
      <c r="H26" s="8">
        <v>1.3724266999E-2</v>
      </c>
      <c r="I26" s="16">
        <v>4324.1155399999998</v>
      </c>
      <c r="J26" s="8">
        <v>-0.123379668697</v>
      </c>
      <c r="K26" s="8">
        <v>0.47669063868</v>
      </c>
      <c r="L26" s="7">
        <v>134.74054054054099</v>
      </c>
      <c r="M26" s="9">
        <v>91.308108108108001</v>
      </c>
    </row>
    <row r="27" spans="1:13" ht="15" thickBot="1">
      <c r="A27" s="10" t="s">
        <v>15</v>
      </c>
      <c r="B27" s="16">
        <v>127937.56612</v>
      </c>
      <c r="C27" s="8">
        <v>0.26059878898299998</v>
      </c>
      <c r="D27" s="8">
        <v>0.285972072046</v>
      </c>
      <c r="E27" s="16">
        <v>91713.355230000001</v>
      </c>
      <c r="F27" s="16">
        <v>27467.958549999999</v>
      </c>
      <c r="G27" s="7">
        <v>5874</v>
      </c>
      <c r="H27" s="8">
        <v>0.216904909881</v>
      </c>
      <c r="I27" s="16">
        <v>8902.5882000000001</v>
      </c>
      <c r="J27" s="8">
        <v>0.30930258735799998</v>
      </c>
      <c r="K27" s="8">
        <v>0.513434925421</v>
      </c>
      <c r="L27" s="7">
        <v>158.013513513514</v>
      </c>
      <c r="M27" s="9">
        <v>62.783783783783001</v>
      </c>
    </row>
    <row r="28" spans="1:13" ht="15" thickBot="1">
      <c r="A28" s="10" t="s">
        <v>16</v>
      </c>
      <c r="B28" s="16">
        <v>189601.71251000001</v>
      </c>
      <c r="C28" s="8">
        <v>9.4526804106999998E-2</v>
      </c>
      <c r="D28" s="8">
        <v>9.4526804106999998E-2</v>
      </c>
      <c r="E28" s="16">
        <v>117555.99421999999</v>
      </c>
      <c r="F28" s="16">
        <v>49342.959990000003</v>
      </c>
      <c r="G28" s="7">
        <v>1330</v>
      </c>
      <c r="H28" s="8">
        <v>-0.317948717948</v>
      </c>
      <c r="I28" s="16">
        <v>7254.57546</v>
      </c>
      <c r="J28" s="8">
        <v>-0.16951186248899999</v>
      </c>
      <c r="K28" s="8">
        <v>0.35164047915899999</v>
      </c>
      <c r="L28" s="7">
        <v>402.140625</v>
      </c>
      <c r="M28" s="9">
        <v>228.375</v>
      </c>
    </row>
    <row r="29" spans="1:13" ht="15" thickBot="1">
      <c r="A29" s="10" t="s">
        <v>17</v>
      </c>
      <c r="B29" s="16">
        <v>219451.44657</v>
      </c>
      <c r="C29" s="8">
        <v>0.10942926384899999</v>
      </c>
      <c r="D29" s="8">
        <v>0.10942926384899999</v>
      </c>
      <c r="E29" s="16">
        <v>96092.908960000001</v>
      </c>
      <c r="F29" s="16">
        <v>45006.610309999996</v>
      </c>
      <c r="G29" s="7">
        <v>838</v>
      </c>
      <c r="H29" s="8">
        <v>-0.21314553990599999</v>
      </c>
      <c r="I29" s="16">
        <v>6160.9662799999996</v>
      </c>
      <c r="J29" s="8">
        <v>-0.127252360826</v>
      </c>
      <c r="K29" s="8">
        <v>0.41390004856200002</v>
      </c>
      <c r="L29" s="7">
        <v>90.265060240962995</v>
      </c>
      <c r="M29" s="9">
        <v>39.89156626506</v>
      </c>
    </row>
    <row r="30" spans="1:13" ht="15" thickBot="1">
      <c r="A30" s="10" t="s">
        <v>18</v>
      </c>
      <c r="B30" s="16">
        <v>235148.67647000001</v>
      </c>
      <c r="C30" s="8">
        <v>0.102864608274</v>
      </c>
      <c r="D30" s="8">
        <v>0.102864608274</v>
      </c>
      <c r="E30" s="16">
        <v>113784.06913</v>
      </c>
      <c r="F30" s="16">
        <v>32620.373800000001</v>
      </c>
      <c r="G30" s="7">
        <v>952</v>
      </c>
      <c r="H30" s="8">
        <v>-0.50775594622499998</v>
      </c>
      <c r="I30" s="16">
        <v>7921.2356900000004</v>
      </c>
      <c r="J30" s="8">
        <v>-6.0694005760000003E-2</v>
      </c>
      <c r="K30" s="8">
        <v>0.70059100470799995</v>
      </c>
      <c r="L30" s="7">
        <v>313.884210526316</v>
      </c>
      <c r="M30" s="9">
        <v>69.989473684209997</v>
      </c>
    </row>
    <row r="31" spans="1:13" ht="15" thickBot="1">
      <c r="A31" s="10" t="s">
        <v>19</v>
      </c>
      <c r="B31" s="16">
        <v>91165.174289999995</v>
      </c>
      <c r="C31" s="8">
        <v>0.23907025815800001</v>
      </c>
      <c r="D31" s="8">
        <v>0.25250697350700002</v>
      </c>
      <c r="E31" s="16">
        <v>69608.187969999999</v>
      </c>
      <c r="F31" s="16">
        <v>22769.11274</v>
      </c>
      <c r="G31" s="7">
        <v>1113</v>
      </c>
      <c r="H31" s="8">
        <v>-8.9766606800000003E-4</v>
      </c>
      <c r="I31" s="16">
        <v>2875.8168999999998</v>
      </c>
      <c r="J31" s="8">
        <v>-3.7367366317000002E-2</v>
      </c>
      <c r="K31" s="8">
        <v>0.51368972032000004</v>
      </c>
      <c r="L31" s="7">
        <v>470.14666666666699</v>
      </c>
      <c r="M31" s="9">
        <v>105.226666666667</v>
      </c>
    </row>
    <row r="32" spans="1:13" ht="15" thickBot="1">
      <c r="A32" s="10" t="s">
        <v>20</v>
      </c>
      <c r="B32" s="116">
        <v>27279.502389638346</v>
      </c>
      <c r="C32" s="8">
        <v>-3.9389719763999999E-2</v>
      </c>
      <c r="D32" s="8">
        <v>-3.9389719763999999E-2</v>
      </c>
      <c r="E32" s="16">
        <v>16472.012699999999</v>
      </c>
      <c r="F32" s="16">
        <v>11224.39777</v>
      </c>
      <c r="G32" s="7">
        <v>688</v>
      </c>
      <c r="H32" s="8">
        <v>0.57077625570699997</v>
      </c>
      <c r="I32" s="16">
        <v>2074.4730300000001</v>
      </c>
      <c r="J32" s="8">
        <v>1.0818169933520001</v>
      </c>
      <c r="K32" s="8">
        <v>0.41042183622799999</v>
      </c>
      <c r="L32" s="7">
        <v>2723.3333333333298</v>
      </c>
      <c r="M32" s="9">
        <v>1942.3333333333301</v>
      </c>
    </row>
    <row r="33" spans="1:13" ht="15" thickBot="1">
      <c r="A33" s="10" t="s">
        <v>21</v>
      </c>
      <c r="B33" s="16">
        <v>61583.131710000001</v>
      </c>
      <c r="C33" s="8">
        <v>-5.2547541323999997E-2</v>
      </c>
      <c r="D33" s="8">
        <v>-5.2547541323999997E-2</v>
      </c>
      <c r="E33" s="16">
        <v>17159.72163</v>
      </c>
      <c r="F33" s="16">
        <v>6887.9555200000004</v>
      </c>
      <c r="G33" s="7">
        <v>232</v>
      </c>
      <c r="H33" s="8">
        <v>-2.9288702928E-2</v>
      </c>
      <c r="I33" s="16">
        <v>2287.03253</v>
      </c>
      <c r="J33" s="8">
        <v>-9.2559034770999998E-2</v>
      </c>
      <c r="K33" s="8">
        <v>0.44305866162000002</v>
      </c>
      <c r="L33" s="7">
        <v>60.484848484848001</v>
      </c>
      <c r="M33" s="9">
        <v>29.575757575756999</v>
      </c>
    </row>
    <row r="34" spans="1:13" ht="15" thickBot="1">
      <c r="A34" s="10" t="s">
        <v>22</v>
      </c>
      <c r="B34" s="115">
        <v>62783.535975709477</v>
      </c>
      <c r="C34" s="8">
        <v>-0.99041287269300005</v>
      </c>
      <c r="D34" s="8">
        <v>-0.99033184167300004</v>
      </c>
      <c r="E34" s="16">
        <v>68331.068209999998</v>
      </c>
      <c r="F34" s="16">
        <v>22928.632290000001</v>
      </c>
      <c r="G34" s="7">
        <v>1919</v>
      </c>
      <c r="H34" s="8">
        <v>-0.32855143456899999</v>
      </c>
      <c r="I34" s="16">
        <v>4718.4191300000002</v>
      </c>
      <c r="J34" s="8">
        <v>-0.12845527321399999</v>
      </c>
      <c r="K34" s="8">
        <v>0.63297504267100002</v>
      </c>
      <c r="L34" s="7">
        <v>467.40540540540502</v>
      </c>
      <c r="M34" s="9">
        <v>132.10810810810801</v>
      </c>
    </row>
    <row r="35" spans="1:13" ht="15" thickBot="1">
      <c r="A35" s="11" t="s">
        <v>23</v>
      </c>
      <c r="B35" s="17">
        <v>23375.149590000001</v>
      </c>
      <c r="C35" s="13">
        <v>0.37158475264399998</v>
      </c>
      <c r="D35" s="13">
        <v>0.37158475264399998</v>
      </c>
      <c r="E35" s="17">
        <v>16839.431189999999</v>
      </c>
      <c r="F35" s="17">
        <v>9207.4047200000005</v>
      </c>
      <c r="G35" s="12">
        <v>148</v>
      </c>
      <c r="H35" s="13">
        <v>-5.1282051282000002E-2</v>
      </c>
      <c r="I35" s="17">
        <v>1294.2830200000001</v>
      </c>
      <c r="J35" s="13">
        <v>6.3214461582000003E-2</v>
      </c>
      <c r="K35" s="13">
        <v>0.178974682656</v>
      </c>
      <c r="L35" s="12">
        <v>119.866666666667</v>
      </c>
      <c r="M35" s="14">
        <v>63</v>
      </c>
    </row>
    <row r="36" spans="1:13" ht="12.75" customHeight="1">
      <c r="A36" s="1010"/>
      <c r="B36" s="1010"/>
      <c r="C36" s="1010"/>
      <c r="D36" s="1010"/>
      <c r="E36" s="1010"/>
      <c r="F36" s="1010"/>
      <c r="G36" s="1010"/>
      <c r="H36" s="1010"/>
      <c r="I36" s="1010"/>
      <c r="J36" s="1010"/>
      <c r="K36" s="1010"/>
      <c r="L36" s="1010"/>
      <c r="M36" s="1010"/>
    </row>
    <row r="37" spans="1:13" ht="12.75" customHeight="1">
      <c r="A37" s="1010"/>
      <c r="B37" s="1010"/>
      <c r="C37" s="1010"/>
      <c r="D37" s="1010"/>
      <c r="E37" s="1010"/>
      <c r="F37" s="1010"/>
      <c r="G37" s="1010"/>
      <c r="H37" s="1010"/>
      <c r="I37" s="1010"/>
      <c r="J37" s="1010"/>
      <c r="K37" s="1010"/>
      <c r="L37" s="1010"/>
      <c r="M37" s="1010"/>
    </row>
    <row r="38" spans="1:13" ht="12.75" customHeight="1" thickBot="1">
      <c r="A38" s="1010"/>
      <c r="B38" s="1010"/>
      <c r="C38" s="1010"/>
      <c r="D38" s="1010"/>
      <c r="E38" s="1010"/>
      <c r="F38" s="1010"/>
      <c r="G38" s="1010"/>
      <c r="H38" s="1010"/>
      <c r="I38" s="1010"/>
      <c r="J38" s="1010"/>
      <c r="K38" s="1010"/>
      <c r="L38" s="1010"/>
      <c r="M38" s="1010"/>
    </row>
    <row r="39" spans="1:13" ht="22.5" customHeight="1" thickBot="1">
      <c r="A39" s="1004" t="s">
        <v>165</v>
      </c>
      <c r="B39" s="1005"/>
      <c r="C39" s="1005"/>
      <c r="D39" s="1005"/>
      <c r="E39" s="1005"/>
      <c r="F39" s="1005"/>
      <c r="G39" s="1005"/>
      <c r="H39" s="1005"/>
      <c r="I39" s="1005"/>
      <c r="J39" s="1005"/>
      <c r="K39" s="1005"/>
      <c r="L39" s="1005"/>
      <c r="M39" s="1006"/>
    </row>
    <row r="40" spans="1:13" ht="15.6" thickBot="1">
      <c r="A40" s="15"/>
      <c r="B40" s="1007" t="s">
        <v>24</v>
      </c>
      <c r="C40" s="1011"/>
      <c r="D40" s="1008"/>
      <c r="E40" s="1007" t="s">
        <v>25</v>
      </c>
      <c r="F40" s="1011"/>
      <c r="G40" s="1011"/>
      <c r="H40" s="1011"/>
      <c r="I40" s="1011"/>
      <c r="J40" s="1008"/>
      <c r="K40" s="119" t="s">
        <v>26</v>
      </c>
      <c r="L40" s="1007" t="s">
        <v>2</v>
      </c>
      <c r="M40" s="1009"/>
    </row>
    <row r="41" spans="1:13" ht="15.6" thickBot="1">
      <c r="A41" s="3" t="s">
        <v>3</v>
      </c>
      <c r="B41" s="4" t="s">
        <v>27</v>
      </c>
      <c r="C41" s="4" t="s">
        <v>28</v>
      </c>
      <c r="D41" s="4" t="s">
        <v>29</v>
      </c>
      <c r="E41" s="4" t="s">
        <v>30</v>
      </c>
      <c r="F41" s="4" t="s">
        <v>31</v>
      </c>
      <c r="G41" s="4" t="s">
        <v>32</v>
      </c>
      <c r="H41" s="4" t="s">
        <v>33</v>
      </c>
      <c r="I41" s="4" t="s">
        <v>34</v>
      </c>
      <c r="J41" s="4" t="s">
        <v>35</v>
      </c>
      <c r="K41" s="4" t="s">
        <v>36</v>
      </c>
      <c r="L41" s="4" t="s">
        <v>38</v>
      </c>
      <c r="M41" s="5" t="s">
        <v>37</v>
      </c>
    </row>
    <row r="42" spans="1:13" ht="15" thickBot="1">
      <c r="A42" s="6" t="s">
        <v>13</v>
      </c>
      <c r="B42" s="16">
        <v>66935.456080000004</v>
      </c>
      <c r="C42" s="8">
        <v>0.33747981875299998</v>
      </c>
      <c r="D42" s="8">
        <v>0.33747981875299998</v>
      </c>
      <c r="E42" s="16">
        <v>25970.25477</v>
      </c>
      <c r="F42" s="16">
        <v>20422.077150000001</v>
      </c>
      <c r="G42" s="7">
        <v>27</v>
      </c>
      <c r="H42" s="8">
        <v>0.17391304347799999</v>
      </c>
      <c r="I42" s="16">
        <v>1814.35796</v>
      </c>
      <c r="J42" s="8">
        <v>0.48763786028</v>
      </c>
      <c r="K42" s="8">
        <v>6.7090378609999998E-3</v>
      </c>
      <c r="L42" s="7">
        <v>1.2894736842100001</v>
      </c>
      <c r="M42" s="9">
        <v>1.230263157894</v>
      </c>
    </row>
    <row r="43" spans="1:13" ht="15" thickBot="1">
      <c r="A43" s="10" t="s">
        <v>14</v>
      </c>
      <c r="B43" s="16">
        <v>3633.4623900000001</v>
      </c>
      <c r="C43" s="8">
        <v>0.159316724099</v>
      </c>
      <c r="D43" s="8">
        <v>0.30615804009399999</v>
      </c>
      <c r="E43" s="16">
        <v>1195.5088499999999</v>
      </c>
      <c r="F43" s="16">
        <v>1111.1480799999999</v>
      </c>
      <c r="G43" s="7">
        <v>0</v>
      </c>
      <c r="H43" s="8">
        <v>-1</v>
      </c>
      <c r="I43" s="16">
        <v>0</v>
      </c>
      <c r="J43" s="8">
        <v>-1</v>
      </c>
      <c r="K43" s="8">
        <v>9.1751937700000001E-4</v>
      </c>
      <c r="L43" s="7">
        <v>0.113513513513</v>
      </c>
      <c r="M43" s="9">
        <v>9.7297297296999999E-2</v>
      </c>
    </row>
    <row r="44" spans="1:13" ht="15" thickBot="1">
      <c r="A44" s="10" t="s">
        <v>15</v>
      </c>
      <c r="B44" s="16">
        <v>3182.7072499999999</v>
      </c>
      <c r="C44" s="8">
        <v>0.18849544482</v>
      </c>
      <c r="D44" s="8">
        <v>0.21241743551100001</v>
      </c>
      <c r="E44" s="16">
        <v>1477.3944200000001</v>
      </c>
      <c r="F44" s="16">
        <v>1293.4846199999999</v>
      </c>
      <c r="G44" s="7">
        <v>9</v>
      </c>
      <c r="H44" s="8">
        <v>3.5</v>
      </c>
      <c r="I44" s="16">
        <v>204.11193</v>
      </c>
      <c r="J44" s="8">
        <v>5.942670026799</v>
      </c>
      <c r="K44" s="8">
        <v>1.712347208E-3</v>
      </c>
      <c r="L44" s="7">
        <v>0.22162162162099999</v>
      </c>
      <c r="M44" s="9">
        <v>0.159459459459</v>
      </c>
    </row>
    <row r="45" spans="1:13" ht="15" thickBot="1">
      <c r="A45" s="10" t="s">
        <v>16</v>
      </c>
      <c r="B45" s="16">
        <v>7769.9939599999998</v>
      </c>
      <c r="C45" s="8">
        <v>0.233270317615</v>
      </c>
      <c r="D45" s="8">
        <v>0.233270317615</v>
      </c>
      <c r="E45" s="16">
        <v>1488.13985</v>
      </c>
      <c r="F45" s="16">
        <v>1183.0043700000001</v>
      </c>
      <c r="G45" s="7">
        <v>2</v>
      </c>
      <c r="H45" s="8">
        <v>1</v>
      </c>
      <c r="I45" s="16">
        <v>167.69391999999999</v>
      </c>
      <c r="J45" s="8">
        <v>0.57142861158900005</v>
      </c>
      <c r="K45" s="8">
        <v>8.9549565600000004E-4</v>
      </c>
      <c r="L45" s="7">
        <v>0.34375</v>
      </c>
      <c r="M45" s="9">
        <v>0.265625</v>
      </c>
    </row>
    <row r="46" spans="1:13" ht="15" thickBot="1">
      <c r="A46" s="10" t="s">
        <v>17</v>
      </c>
      <c r="B46" s="16">
        <v>28704.965980000001</v>
      </c>
      <c r="C46" s="8">
        <v>0.16754101804099999</v>
      </c>
      <c r="D46" s="8">
        <v>0.16754101804099999</v>
      </c>
      <c r="E46" s="16">
        <v>12182.42779</v>
      </c>
      <c r="F46" s="16">
        <v>7206.5757899999999</v>
      </c>
      <c r="G46" s="7">
        <v>11</v>
      </c>
      <c r="H46" s="8">
        <v>1.75</v>
      </c>
      <c r="I46" s="16">
        <v>1660.8253299999999</v>
      </c>
      <c r="J46" s="8">
        <v>4.4883123333460002</v>
      </c>
      <c r="K46" s="8">
        <v>5.7282239190000004E-3</v>
      </c>
      <c r="L46" s="7">
        <v>0.5</v>
      </c>
      <c r="M46" s="9">
        <v>0.32530120481899999</v>
      </c>
    </row>
    <row r="47" spans="1:13" ht="15" thickBot="1">
      <c r="A47" s="10" t="s">
        <v>18</v>
      </c>
      <c r="B47" s="16">
        <v>8666.4918400000006</v>
      </c>
      <c r="C47" s="8">
        <v>5.7211205692E-2</v>
      </c>
      <c r="D47" s="8">
        <v>5.7211205692E-2</v>
      </c>
      <c r="E47" s="16">
        <v>2449.72136</v>
      </c>
      <c r="F47" s="16">
        <v>1568.1382900000001</v>
      </c>
      <c r="G47" s="7">
        <v>1</v>
      </c>
      <c r="H47" s="8">
        <v>-0.857142857142</v>
      </c>
      <c r="I47" s="16">
        <v>53.35716</v>
      </c>
      <c r="J47" s="8">
        <v>-0.90614105038500004</v>
      </c>
      <c r="K47" s="8">
        <v>5.9434371760000004E-3</v>
      </c>
      <c r="L47" s="7">
        <v>0.38947368421</v>
      </c>
      <c r="M47" s="9">
        <v>0.231578947368</v>
      </c>
    </row>
    <row r="48" spans="1:13" ht="15" thickBot="1">
      <c r="A48" s="10" t="s">
        <v>19</v>
      </c>
      <c r="B48" s="16">
        <v>2596.5861500000001</v>
      </c>
      <c r="C48" s="8">
        <v>-8.9240223593000004E-2</v>
      </c>
      <c r="D48" s="8">
        <v>-7.9363769250999999E-2</v>
      </c>
      <c r="E48" s="16">
        <v>508.59161</v>
      </c>
      <c r="F48" s="16">
        <v>437.53091999999998</v>
      </c>
      <c r="G48" s="7">
        <v>1</v>
      </c>
      <c r="H48" s="8">
        <v>0</v>
      </c>
      <c r="I48" s="16">
        <v>30.422360000000001</v>
      </c>
      <c r="J48" s="8">
        <v>2.7391408017750001</v>
      </c>
      <c r="K48" s="8">
        <v>3.7166661499999998E-3</v>
      </c>
      <c r="L48" s="7">
        <v>0.17333333333299999</v>
      </c>
      <c r="M48" s="9">
        <v>0.12</v>
      </c>
    </row>
    <row r="49" spans="1:13" ht="15" thickBot="1">
      <c r="A49" s="10" t="s">
        <v>20</v>
      </c>
      <c r="B49" s="116">
        <v>0</v>
      </c>
      <c r="C49" s="8">
        <v>-0.15254123326899999</v>
      </c>
      <c r="D49" s="8">
        <v>-0.15254123326899999</v>
      </c>
      <c r="E49" s="16">
        <v>249.29920000000001</v>
      </c>
      <c r="F49" s="16">
        <v>249.29920000000001</v>
      </c>
      <c r="G49" s="7">
        <v>0</v>
      </c>
      <c r="H49" s="18"/>
      <c r="I49" s="16">
        <v>0</v>
      </c>
      <c r="J49" s="18"/>
      <c r="K49" s="8">
        <v>6.6267698139999996E-3</v>
      </c>
      <c r="L49" s="7">
        <v>2.6666666666659999</v>
      </c>
      <c r="M49" s="9">
        <v>2.6666666666659999</v>
      </c>
    </row>
    <row r="50" spans="1:13" ht="15" thickBot="1">
      <c r="A50" s="10" t="s">
        <v>21</v>
      </c>
      <c r="B50" s="16">
        <v>3885.4235699999999</v>
      </c>
      <c r="C50" s="8">
        <v>-4.8679406745000001E-2</v>
      </c>
      <c r="D50" s="8">
        <v>-4.8679406745000001E-2</v>
      </c>
      <c r="E50" s="16">
        <v>518.93188999999995</v>
      </c>
      <c r="F50" s="16">
        <v>475.80988000000002</v>
      </c>
      <c r="G50" s="7">
        <v>2</v>
      </c>
      <c r="H50" s="18"/>
      <c r="I50" s="16">
        <v>77.748999999999995</v>
      </c>
      <c r="J50" s="18"/>
      <c r="K50" s="8">
        <v>3.182521933E-3</v>
      </c>
      <c r="L50" s="7">
        <v>0.24242424242400001</v>
      </c>
      <c r="M50" s="9">
        <v>0.21212121212099999</v>
      </c>
    </row>
    <row r="51" spans="1:13" ht="15" thickBot="1">
      <c r="A51" s="10" t="s">
        <v>22</v>
      </c>
      <c r="B51" s="16">
        <v>6395.8382300000003</v>
      </c>
      <c r="C51" s="8">
        <v>0.81289809847600003</v>
      </c>
      <c r="D51" s="8">
        <v>0.82822083095999999</v>
      </c>
      <c r="E51" s="16">
        <v>2384.5990999999999</v>
      </c>
      <c r="F51" s="16">
        <v>1207.21632</v>
      </c>
      <c r="G51" s="7">
        <v>5</v>
      </c>
      <c r="H51" s="8">
        <v>-0.166666666666</v>
      </c>
      <c r="I51" s="16">
        <v>264.66913</v>
      </c>
      <c r="J51" s="8">
        <v>1.0023858179739999</v>
      </c>
      <c r="K51" s="8">
        <v>9.8722147889999997E-3</v>
      </c>
      <c r="L51" s="7">
        <v>2.4324324324319999</v>
      </c>
      <c r="M51" s="9">
        <v>0.83783783783700005</v>
      </c>
    </row>
    <row r="52" spans="1:13" ht="15" thickBot="1">
      <c r="A52" s="11" t="s">
        <v>23</v>
      </c>
      <c r="B52" s="17">
        <v>4165.15272</v>
      </c>
      <c r="C52" s="13">
        <v>0.13021631500899999</v>
      </c>
      <c r="D52" s="13">
        <v>0.13021631500899999</v>
      </c>
      <c r="E52" s="17">
        <v>2183.5366800000002</v>
      </c>
      <c r="F52" s="17">
        <v>1498.57383</v>
      </c>
      <c r="G52" s="12">
        <v>0</v>
      </c>
      <c r="H52" s="13">
        <v>-1</v>
      </c>
      <c r="I52" s="17">
        <v>0</v>
      </c>
      <c r="J52" s="13">
        <v>-1</v>
      </c>
      <c r="K52" s="13">
        <v>4.0676064239999997E-3</v>
      </c>
      <c r="L52" s="12">
        <v>1.4</v>
      </c>
      <c r="M52" s="14">
        <v>1</v>
      </c>
    </row>
    <row r="53" spans="1:13" ht="12.75" customHeight="1">
      <c r="A53" s="1010"/>
      <c r="B53" s="1010"/>
      <c r="C53" s="1010"/>
      <c r="D53" s="1010"/>
      <c r="E53" s="1010"/>
      <c r="F53" s="1010"/>
      <c r="G53" s="1010"/>
      <c r="H53" s="1010"/>
      <c r="I53" s="1010"/>
      <c r="J53" s="1010"/>
      <c r="K53" s="1010"/>
      <c r="L53" s="1010"/>
      <c r="M53" s="1010"/>
    </row>
    <row r="54" spans="1:13" ht="12.75" customHeight="1">
      <c r="A54" s="1010"/>
      <c r="B54" s="1010"/>
      <c r="C54" s="1010"/>
      <c r="D54" s="1010"/>
      <c r="E54" s="1010"/>
      <c r="F54" s="1010"/>
      <c r="G54" s="1010"/>
      <c r="H54" s="1010"/>
      <c r="I54" s="1010"/>
      <c r="J54" s="1010"/>
      <c r="K54" s="1010"/>
      <c r="L54" s="1010"/>
      <c r="M54" s="1010"/>
    </row>
    <row r="55" spans="1:13" ht="12.75" customHeight="1" thickBot="1">
      <c r="A55" s="1010"/>
      <c r="B55" s="1010"/>
      <c r="C55" s="1010"/>
      <c r="D55" s="1010"/>
      <c r="E55" s="1010"/>
      <c r="F55" s="1010"/>
      <c r="G55" s="1010"/>
      <c r="H55" s="1010"/>
      <c r="I55" s="1010"/>
      <c r="J55" s="1010"/>
      <c r="K55" s="1010"/>
      <c r="L55" s="1010"/>
      <c r="M55" s="1010"/>
    </row>
    <row r="56" spans="1:13" ht="22.5" customHeight="1" thickBot="1">
      <c r="A56" s="1004" t="s">
        <v>39</v>
      </c>
      <c r="B56" s="1005"/>
      <c r="C56" s="1005"/>
      <c r="D56" s="1005"/>
      <c r="E56" s="1005"/>
      <c r="F56" s="1005"/>
      <c r="G56" s="1006"/>
    </row>
    <row r="57" spans="1:13" ht="15.6" thickBot="1">
      <c r="A57" s="15"/>
      <c r="B57" s="1007" t="s">
        <v>24</v>
      </c>
      <c r="C57" s="1008"/>
      <c r="D57" s="119" t="s">
        <v>25</v>
      </c>
      <c r="E57" s="119" t="s">
        <v>26</v>
      </c>
      <c r="F57" s="1007" t="s">
        <v>2</v>
      </c>
      <c r="G57" s="1009"/>
    </row>
    <row r="58" spans="1:13" s="26" customFormat="1" ht="15.6" thickBot="1">
      <c r="A58" s="3" t="s">
        <v>3</v>
      </c>
      <c r="B58" s="4" t="s">
        <v>24</v>
      </c>
      <c r="C58" s="4" t="s">
        <v>40</v>
      </c>
      <c r="D58" s="4" t="s">
        <v>41</v>
      </c>
      <c r="E58" s="4" t="s">
        <v>42</v>
      </c>
      <c r="F58" s="4" t="s">
        <v>43</v>
      </c>
      <c r="G58" s="5" t="s">
        <v>44</v>
      </c>
      <c r="H58" s="118"/>
      <c r="I58" s="118"/>
      <c r="J58" s="118"/>
      <c r="K58" s="118"/>
      <c r="L58" s="118"/>
      <c r="M58" s="118"/>
    </row>
    <row r="59" spans="1:13" ht="15" thickBot="1">
      <c r="A59" s="6" t="s">
        <v>13</v>
      </c>
      <c r="B59" s="7">
        <v>325349</v>
      </c>
      <c r="C59" s="8">
        <v>-3.0642042719999998E-3</v>
      </c>
      <c r="D59" s="7">
        <v>93321</v>
      </c>
      <c r="E59" s="8">
        <v>0.72107968684699997</v>
      </c>
      <c r="F59" s="7">
        <v>272.69127516778502</v>
      </c>
      <c r="G59" s="9">
        <v>306.97697368421098</v>
      </c>
    </row>
    <row r="60" spans="1:13" ht="15" thickBot="1">
      <c r="A60" s="10" t="s">
        <v>14</v>
      </c>
      <c r="B60" s="7">
        <v>146241</v>
      </c>
      <c r="C60" s="8">
        <v>8.5735710096000006E-2</v>
      </c>
      <c r="D60" s="7">
        <v>13678</v>
      </c>
      <c r="E60" s="8">
        <v>0.40943611045</v>
      </c>
      <c r="F60" s="7">
        <v>98.508379888267996</v>
      </c>
      <c r="G60" s="9">
        <v>73.935135135134999</v>
      </c>
    </row>
    <row r="61" spans="1:13" ht="15" thickBot="1">
      <c r="A61" s="10" t="s">
        <v>15</v>
      </c>
      <c r="B61" s="7">
        <v>207773</v>
      </c>
      <c r="C61" s="8">
        <v>5.0658643269999998E-2</v>
      </c>
      <c r="D61" s="7">
        <v>40360</v>
      </c>
      <c r="E61" s="8">
        <v>0.79654441330500003</v>
      </c>
      <c r="F61" s="7">
        <v>120.820652173913</v>
      </c>
      <c r="G61" s="9">
        <v>109.081081081081</v>
      </c>
    </row>
    <row r="62" spans="1:13" ht="15" thickBot="1">
      <c r="A62" s="10" t="s">
        <v>16</v>
      </c>
      <c r="B62" s="7">
        <v>136601</v>
      </c>
      <c r="C62" s="8">
        <v>-4.9566881196000001E-2</v>
      </c>
      <c r="D62" s="7">
        <v>20609</v>
      </c>
      <c r="E62" s="8">
        <v>0.70024440617499994</v>
      </c>
      <c r="F62" s="7">
        <v>611.671875</v>
      </c>
      <c r="G62" s="9">
        <v>322.015625</v>
      </c>
    </row>
    <row r="63" spans="1:13" ht="15" thickBot="1">
      <c r="A63" s="10" t="s">
        <v>17</v>
      </c>
      <c r="B63" s="7">
        <v>72808</v>
      </c>
      <c r="C63" s="8">
        <v>9.9951655789000005E-2</v>
      </c>
      <c r="D63" s="7">
        <v>9937</v>
      </c>
      <c r="E63" s="8">
        <v>0.48022664022</v>
      </c>
      <c r="F63" s="7">
        <v>26.717791411042001</v>
      </c>
      <c r="G63" s="9">
        <v>59.861445783131998</v>
      </c>
    </row>
    <row r="64" spans="1:13" ht="15" thickBot="1">
      <c r="A64" s="10" t="s">
        <v>18</v>
      </c>
      <c r="B64" s="7">
        <v>57977</v>
      </c>
      <c r="C64" s="8">
        <v>-0.20256106954200001</v>
      </c>
      <c r="D64" s="7">
        <v>11642</v>
      </c>
      <c r="E64" s="8">
        <v>0.63085222872000002</v>
      </c>
      <c r="F64" s="7">
        <v>175.89690721649501</v>
      </c>
      <c r="G64" s="9">
        <v>122.54736842105299</v>
      </c>
    </row>
    <row r="65" spans="1:13" ht="15" thickBot="1">
      <c r="A65" s="10" t="s">
        <v>19</v>
      </c>
      <c r="B65" s="7">
        <v>28317</v>
      </c>
      <c r="C65" s="8">
        <v>-2.4627996693E-2</v>
      </c>
      <c r="D65" s="7">
        <v>9915</v>
      </c>
      <c r="E65" s="8">
        <v>0.341186192695</v>
      </c>
      <c r="F65" s="7">
        <v>153.47945205479499</v>
      </c>
      <c r="G65" s="9">
        <v>132.19999999999999</v>
      </c>
    </row>
    <row r="66" spans="1:13" ht="15" thickBot="1">
      <c r="A66" s="10" t="s">
        <v>20</v>
      </c>
      <c r="B66" s="7">
        <v>25646</v>
      </c>
      <c r="C66" s="8">
        <v>-1.4411436916E-2</v>
      </c>
      <c r="D66" s="7">
        <v>4945</v>
      </c>
      <c r="E66" s="8">
        <v>0.63411646809900002</v>
      </c>
      <c r="F66" s="7">
        <v>642.83333333333303</v>
      </c>
      <c r="G66" s="9">
        <v>1648.3333333333301</v>
      </c>
    </row>
    <row r="67" spans="1:13" ht="15" thickBot="1">
      <c r="A67" s="10" t="s">
        <v>21</v>
      </c>
      <c r="B67" s="7">
        <v>12888</v>
      </c>
      <c r="C67" s="8">
        <v>-0.12475382003300001</v>
      </c>
      <c r="D67" s="7">
        <v>2562</v>
      </c>
      <c r="E67" s="8">
        <v>0.40791426215900001</v>
      </c>
      <c r="F67" s="7">
        <v>140.57894736842101</v>
      </c>
      <c r="G67" s="9">
        <v>77.636363636363001</v>
      </c>
    </row>
    <row r="68" spans="1:13" ht="15" thickBot="1">
      <c r="A68" s="10" t="s">
        <v>22</v>
      </c>
      <c r="B68" s="7">
        <v>17743</v>
      </c>
      <c r="C68" s="8">
        <v>1.2321046672530001</v>
      </c>
      <c r="D68" s="7">
        <v>11407</v>
      </c>
      <c r="E68" s="8">
        <v>0.57169403630000004</v>
      </c>
      <c r="F68" s="7">
        <v>94.305555555555003</v>
      </c>
      <c r="G68" s="9">
        <v>308.29729729729701</v>
      </c>
    </row>
    <row r="69" spans="1:13" ht="15" thickBot="1">
      <c r="A69" s="11" t="s">
        <v>23</v>
      </c>
      <c r="B69" s="12">
        <v>11015</v>
      </c>
      <c r="C69" s="13">
        <v>1.3712497699000001E-2</v>
      </c>
      <c r="D69" s="12">
        <v>3835</v>
      </c>
      <c r="E69" s="13">
        <v>0.58088334913899997</v>
      </c>
      <c r="F69" s="12">
        <v>228.470588235294</v>
      </c>
      <c r="G69" s="14">
        <v>255.666666666667</v>
      </c>
    </row>
    <row r="70" spans="1:13" ht="12.75" customHeight="1">
      <c r="A70" s="1010"/>
      <c r="B70" s="1010"/>
      <c r="C70" s="1010"/>
      <c r="D70" s="1010"/>
      <c r="E70" s="1010"/>
      <c r="F70" s="1010"/>
      <c r="G70" s="1010"/>
      <c r="H70" s="1010"/>
      <c r="I70" s="1010"/>
      <c r="J70" s="1010"/>
      <c r="K70" s="1010"/>
      <c r="L70" s="1010"/>
      <c r="M70" s="1010"/>
    </row>
    <row r="71" spans="1:13" ht="12.75" customHeight="1">
      <c r="A71" s="1010"/>
      <c r="B71" s="1010"/>
      <c r="C71" s="1010"/>
      <c r="D71" s="1010"/>
      <c r="E71" s="1010"/>
      <c r="F71" s="1010"/>
      <c r="G71" s="1010"/>
      <c r="H71" s="1010"/>
      <c r="I71" s="1010"/>
      <c r="J71" s="1010"/>
      <c r="K71" s="1010"/>
      <c r="L71" s="1010"/>
      <c r="M71" s="1010"/>
    </row>
    <row r="72" spans="1:13" ht="12.75" customHeight="1" thickBot="1">
      <c r="A72" s="1010"/>
      <c r="B72" s="1010"/>
      <c r="C72" s="1010"/>
      <c r="D72" s="1010"/>
      <c r="E72" s="1010"/>
      <c r="F72" s="1010"/>
      <c r="G72" s="1010"/>
      <c r="H72" s="1010"/>
      <c r="I72" s="1010"/>
      <c r="J72" s="1010"/>
      <c r="K72" s="1010"/>
      <c r="L72" s="1010"/>
      <c r="M72" s="1010"/>
    </row>
    <row r="73" spans="1:13" ht="22.5" customHeight="1" thickBot="1">
      <c r="A73" s="1004" t="s">
        <v>65</v>
      </c>
      <c r="B73" s="1005"/>
      <c r="C73" s="1005"/>
      <c r="D73" s="1005"/>
      <c r="E73" s="1005"/>
      <c r="F73" s="1005"/>
      <c r="G73" s="1005"/>
      <c r="H73" s="1005"/>
      <c r="I73" s="1005"/>
      <c r="J73" s="1005"/>
      <c r="K73" s="1006"/>
    </row>
    <row r="74" spans="1:13" ht="15.6" thickBot="1">
      <c r="A74" s="15"/>
      <c r="B74" s="1007" t="s">
        <v>24</v>
      </c>
      <c r="C74" s="1011"/>
      <c r="D74" s="1011"/>
      <c r="E74" s="1011"/>
      <c r="F74" s="1011"/>
      <c r="G74" s="1008"/>
      <c r="H74" s="1007" t="s">
        <v>25</v>
      </c>
      <c r="I74" s="1008"/>
      <c r="J74" s="1007" t="s">
        <v>26</v>
      </c>
      <c r="K74" s="1009"/>
    </row>
    <row r="75" spans="1:13" s="26" customFormat="1" ht="15.6" thickBot="1">
      <c r="A75" s="3" t="s">
        <v>3</v>
      </c>
      <c r="B75" s="4" t="s">
        <v>45</v>
      </c>
      <c r="C75" s="4" t="s">
        <v>46</v>
      </c>
      <c r="D75" s="4" t="s">
        <v>47</v>
      </c>
      <c r="E75" s="4" t="s">
        <v>48</v>
      </c>
      <c r="F75" s="4" t="s">
        <v>28</v>
      </c>
      <c r="G75" s="4" t="s">
        <v>49</v>
      </c>
      <c r="H75" s="4" t="s">
        <v>50</v>
      </c>
      <c r="I75" s="4" t="s">
        <v>51</v>
      </c>
      <c r="J75" s="4" t="s">
        <v>52</v>
      </c>
      <c r="K75" s="5" t="s">
        <v>53</v>
      </c>
      <c r="L75" s="118"/>
      <c r="M75" s="118"/>
    </row>
    <row r="76" spans="1:13" ht="15" thickBot="1">
      <c r="A76" s="6" t="s">
        <v>13</v>
      </c>
      <c r="B76" s="7">
        <v>308959</v>
      </c>
      <c r="C76" s="16">
        <v>321325.18550999998</v>
      </c>
      <c r="D76" s="16">
        <v>557376.04608999996</v>
      </c>
      <c r="E76" s="16">
        <v>423490.08863999997</v>
      </c>
      <c r="F76" s="8">
        <v>0.35790738313199999</v>
      </c>
      <c r="G76" s="8">
        <v>0.35790738313199999</v>
      </c>
      <c r="H76" s="7">
        <v>44047</v>
      </c>
      <c r="I76" s="7">
        <v>99016</v>
      </c>
      <c r="J76" s="8">
        <v>0.76079051096200001</v>
      </c>
      <c r="K76" s="19">
        <v>0.71206655404700003</v>
      </c>
    </row>
    <row r="77" spans="1:13" ht="15" thickBot="1">
      <c r="A77" s="10" t="s">
        <v>14</v>
      </c>
      <c r="B77" s="7">
        <v>181577</v>
      </c>
      <c r="C77" s="16">
        <v>79266.513949999993</v>
      </c>
      <c r="D77" s="16">
        <v>61782.107929999998</v>
      </c>
      <c r="E77" s="16">
        <v>52874.813999999998</v>
      </c>
      <c r="F77" s="8">
        <v>7.4682320728999996E-2</v>
      </c>
      <c r="G77" s="8">
        <v>0.21080367976799999</v>
      </c>
      <c r="H77" s="7">
        <v>24502</v>
      </c>
      <c r="I77" s="7">
        <v>6390</v>
      </c>
      <c r="J77" s="8">
        <v>0.71589700601700001</v>
      </c>
      <c r="K77" s="19">
        <v>0.372621266906</v>
      </c>
    </row>
    <row r="78" spans="1:13" ht="15" thickBot="1">
      <c r="A78" s="10" t="s">
        <v>15</v>
      </c>
      <c r="B78" s="7">
        <v>204761</v>
      </c>
      <c r="C78" s="16">
        <v>85086.177939999994</v>
      </c>
      <c r="D78" s="16">
        <v>49224.892319999999</v>
      </c>
      <c r="E78" s="16">
        <v>39176.474020000001</v>
      </c>
      <c r="F78" s="8">
        <v>6.4637467837000001E-2</v>
      </c>
      <c r="G78" s="8">
        <v>8.6066449094000005E-2</v>
      </c>
      <c r="H78" s="7">
        <v>32931</v>
      </c>
      <c r="I78" s="7">
        <v>11128</v>
      </c>
      <c r="J78" s="8">
        <v>0.90512976727100003</v>
      </c>
      <c r="K78" s="19">
        <v>0.38396490800499999</v>
      </c>
    </row>
    <row r="79" spans="1:13" ht="15" thickBot="1">
      <c r="A79" s="10" t="s">
        <v>16</v>
      </c>
      <c r="B79" s="7">
        <v>182178</v>
      </c>
      <c r="C79" s="16">
        <v>161648.88774000001</v>
      </c>
      <c r="D79" s="16">
        <v>220803.02101999999</v>
      </c>
      <c r="E79" s="16">
        <v>78705.442410000003</v>
      </c>
      <c r="F79" s="8">
        <v>0.171411876267</v>
      </c>
      <c r="G79" s="8">
        <v>0.171411876267</v>
      </c>
      <c r="H79" s="7">
        <v>22378</v>
      </c>
      <c r="I79" s="7">
        <v>10038</v>
      </c>
      <c r="J79" s="8">
        <v>0.85909066699799996</v>
      </c>
      <c r="K79" s="19">
        <v>0.30693391564700001</v>
      </c>
    </row>
    <row r="80" spans="1:13" ht="15" thickBot="1">
      <c r="A80" s="10" t="s">
        <v>17</v>
      </c>
      <c r="B80" s="7">
        <v>115275</v>
      </c>
      <c r="C80" s="16">
        <v>263453.03483000002</v>
      </c>
      <c r="D80" s="16">
        <v>211755.49137</v>
      </c>
      <c r="E80" s="16">
        <v>182054.72146999999</v>
      </c>
      <c r="F80" s="8">
        <v>0.16775955371199999</v>
      </c>
      <c r="G80" s="8">
        <v>0.16775955371199999</v>
      </c>
      <c r="H80" s="7">
        <v>13415</v>
      </c>
      <c r="I80" s="7">
        <v>5240</v>
      </c>
      <c r="J80" s="8">
        <v>0.69609606839100002</v>
      </c>
      <c r="K80" s="19">
        <v>0.47273090702199999</v>
      </c>
    </row>
    <row r="81" spans="1:13" ht="15" thickBot="1">
      <c r="A81" s="10" t="s">
        <v>18</v>
      </c>
      <c r="B81" s="7">
        <v>70145</v>
      </c>
      <c r="C81" s="16">
        <v>42848.051229999997</v>
      </c>
      <c r="D81" s="16">
        <v>68544.47838</v>
      </c>
      <c r="E81" s="16">
        <v>51167.291310000001</v>
      </c>
      <c r="F81" s="8">
        <v>0.158709623534</v>
      </c>
      <c r="G81" s="8">
        <v>0.158709623534</v>
      </c>
      <c r="H81" s="7">
        <v>4924</v>
      </c>
      <c r="I81" s="7">
        <v>13602</v>
      </c>
      <c r="J81" s="8">
        <v>0.79985578078599995</v>
      </c>
      <c r="K81" s="19">
        <v>0.63885105360100003</v>
      </c>
    </row>
    <row r="82" spans="1:13" ht="15" thickBot="1">
      <c r="A82" s="10" t="s">
        <v>19</v>
      </c>
      <c r="B82" s="7">
        <v>75621</v>
      </c>
      <c r="C82" s="16">
        <v>43210.585500000001</v>
      </c>
      <c r="D82" s="16">
        <v>71588.234160000007</v>
      </c>
      <c r="E82" s="16">
        <v>7909.4848899999997</v>
      </c>
      <c r="F82" s="8">
        <v>3.1877546377E-2</v>
      </c>
      <c r="G82" s="8">
        <v>4.3067424269000003E-2</v>
      </c>
      <c r="H82" s="7">
        <v>9761</v>
      </c>
      <c r="I82" s="7">
        <v>1178</v>
      </c>
      <c r="J82" s="8">
        <v>0.87479679202299998</v>
      </c>
      <c r="K82" s="19">
        <v>0.272637368592</v>
      </c>
    </row>
    <row r="83" spans="1:13" ht="15" thickBot="1">
      <c r="A83" s="10" t="s">
        <v>20</v>
      </c>
      <c r="B83" s="7">
        <v>61873</v>
      </c>
      <c r="C83" s="16">
        <v>40938.911599999999</v>
      </c>
      <c r="D83" s="16">
        <v>15459.94945</v>
      </c>
      <c r="E83" s="16">
        <v>5187.5124100000003</v>
      </c>
      <c r="F83" s="8">
        <v>0.19111993303399999</v>
      </c>
      <c r="G83" s="8">
        <v>0.19111993303399999</v>
      </c>
      <c r="H83" s="7">
        <v>11147</v>
      </c>
      <c r="I83" s="7">
        <v>493</v>
      </c>
      <c r="J83" s="8">
        <v>0.95354080837300004</v>
      </c>
      <c r="K83" s="19">
        <v>0.155494933749</v>
      </c>
    </row>
    <row r="84" spans="1:13" ht="15" thickBot="1">
      <c r="A84" s="10" t="s">
        <v>21</v>
      </c>
      <c r="B84" s="7">
        <v>27879</v>
      </c>
      <c r="C84" s="16">
        <v>29315.124739999999</v>
      </c>
      <c r="D84" s="16">
        <v>24384.487779999999</v>
      </c>
      <c r="E84" s="16">
        <v>27381.371899999998</v>
      </c>
      <c r="F84" s="8">
        <v>6.712456524E-3</v>
      </c>
      <c r="G84" s="8">
        <v>6.712456524E-3</v>
      </c>
      <c r="H84" s="7">
        <v>3802</v>
      </c>
      <c r="I84" s="7">
        <v>4281</v>
      </c>
      <c r="J84" s="8">
        <v>0.76676009892800001</v>
      </c>
      <c r="K84" s="19">
        <v>0.38529266281899999</v>
      </c>
    </row>
    <row r="85" spans="1:13" ht="15" thickBot="1">
      <c r="A85" s="10" t="s">
        <v>22</v>
      </c>
      <c r="B85" s="7">
        <v>28382</v>
      </c>
      <c r="C85" s="16">
        <v>30614.55933</v>
      </c>
      <c r="D85" s="16">
        <v>11322.749519999999</v>
      </c>
      <c r="E85" s="16">
        <v>12202.43491</v>
      </c>
      <c r="F85" s="8">
        <v>8.2652748876999999E-2</v>
      </c>
      <c r="G85" s="8">
        <v>9.180340008E-2</v>
      </c>
      <c r="H85" s="7">
        <v>2284</v>
      </c>
      <c r="I85" s="7">
        <v>74</v>
      </c>
      <c r="J85" s="8">
        <v>0.93677614520300001</v>
      </c>
      <c r="K85" s="19">
        <v>9.8271391528999996E-2</v>
      </c>
    </row>
    <row r="86" spans="1:13" ht="15" thickBot="1">
      <c r="A86" s="11" t="s">
        <v>23</v>
      </c>
      <c r="B86" s="12">
        <v>17136</v>
      </c>
      <c r="C86" s="17">
        <v>37588.482380000001</v>
      </c>
      <c r="D86" s="17">
        <v>20268.902620000001</v>
      </c>
      <c r="E86" s="17">
        <v>6721.8582900000001</v>
      </c>
      <c r="F86" s="13">
        <v>0.14817706351000001</v>
      </c>
      <c r="G86" s="13">
        <v>0.148177063306</v>
      </c>
      <c r="H86" s="12">
        <v>5450</v>
      </c>
      <c r="I86" s="12">
        <v>2977</v>
      </c>
      <c r="J86" s="13">
        <v>0.96592602628299995</v>
      </c>
      <c r="K86" s="20">
        <v>0.43611976696900001</v>
      </c>
    </row>
    <row r="87" spans="1:13" ht="12.75" customHeight="1" thickBot="1">
      <c r="A87" s="1010"/>
      <c r="B87" s="1010"/>
      <c r="C87" s="1010"/>
      <c r="D87" s="1010"/>
      <c r="E87" s="1010"/>
      <c r="F87" s="1010"/>
      <c r="G87" s="1010"/>
      <c r="H87" s="1010"/>
      <c r="I87" s="1010"/>
      <c r="J87" s="1010"/>
      <c r="K87" s="1010"/>
      <c r="L87" s="1010"/>
      <c r="M87" s="1010"/>
    </row>
    <row r="88" spans="1:13">
      <c r="A88" s="21" t="s">
        <v>54</v>
      </c>
      <c r="B88" s="22"/>
      <c r="C88" s="22"/>
      <c r="D88" s="22"/>
      <c r="E88" s="22"/>
      <c r="F88" s="22"/>
      <c r="G88" s="21" t="s">
        <v>55</v>
      </c>
      <c r="H88" s="23" t="s">
        <v>56</v>
      </c>
      <c r="I88" s="22"/>
      <c r="J88" s="22"/>
      <c r="K88" s="22"/>
      <c r="L88" s="22"/>
      <c r="M88" s="22"/>
    </row>
    <row r="89" spans="1:13">
      <c r="A89" s="24" t="s">
        <v>182</v>
      </c>
      <c r="G89" s="24" t="s">
        <v>57</v>
      </c>
      <c r="H89" s="25" t="s">
        <v>58</v>
      </c>
    </row>
  </sheetData>
  <mergeCells count="27">
    <mergeCell ref="A5:J5"/>
    <mergeCell ref="A1:G1"/>
    <mergeCell ref="H1:M1"/>
    <mergeCell ref="H2:M2"/>
    <mergeCell ref="A3:M3"/>
    <mergeCell ref="A4:M4"/>
    <mergeCell ref="A53:M55"/>
    <mergeCell ref="A6:I6"/>
    <mergeCell ref="A19:M21"/>
    <mergeCell ref="A22:M22"/>
    <mergeCell ref="B23:D23"/>
    <mergeCell ref="E23:J23"/>
    <mergeCell ref="L23:M23"/>
    <mergeCell ref="A36:M38"/>
    <mergeCell ref="A39:M39"/>
    <mergeCell ref="B40:D40"/>
    <mergeCell ref="E40:J40"/>
    <mergeCell ref="L40:M40"/>
    <mergeCell ref="A87:M87"/>
    <mergeCell ref="A56:G56"/>
    <mergeCell ref="B57:C57"/>
    <mergeCell ref="F57:G57"/>
    <mergeCell ref="A70:M72"/>
    <mergeCell ref="A73:K73"/>
    <mergeCell ref="B74:G74"/>
    <mergeCell ref="H74:I74"/>
    <mergeCell ref="J74:K74"/>
  </mergeCells>
  <pageMargins left="0.7" right="0.7" top="0.75" bottom="0.75" header="0.3" footer="0.3"/>
  <pageSetup paperSize="9" orientation="portrait" verticalDpi="0" r:id="rId1"/>
  <headerFooter>
    <oddFooter>&amp;R&amp;1#&amp;"Calibri"&amp;10&amp;K000000C2 - Confidential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23</vt:i4>
      </vt:variant>
      <vt:variant>
        <vt:lpstr>Plages nommées</vt:lpstr>
      </vt:variant>
      <vt:variant>
        <vt:i4>1</vt:i4>
      </vt:variant>
    </vt:vector>
  </HeadingPairs>
  <TitlesOfParts>
    <vt:vector size="24" baseType="lpstr">
      <vt:lpstr>Equipement_Efficité</vt:lpstr>
      <vt:lpstr>Mois courant</vt:lpstr>
      <vt:lpstr>Mois Y-1</vt:lpstr>
      <vt:lpstr>Equipement PPO</vt:lpstr>
      <vt:lpstr>PPT</vt:lpstr>
      <vt:lpstr>Objectifs</vt:lpstr>
      <vt:lpstr>Prod_Credit</vt:lpstr>
      <vt:lpstr>Prod_credit_Montant</vt:lpstr>
      <vt:lpstr>Tableau détaillé</vt:lpstr>
      <vt:lpstr>Client BGPAT</vt:lpstr>
      <vt:lpstr>Stock</vt:lpstr>
      <vt:lpstr>GRAPHES</vt:lpstr>
      <vt:lpstr>PPO AFS</vt:lpstr>
      <vt:lpstr>STOCK CLIENTS AFS</vt:lpstr>
      <vt:lpstr>Stock_renew</vt:lpstr>
      <vt:lpstr>PNB</vt:lpstr>
      <vt:lpstr>Source</vt:lpstr>
      <vt:lpstr>Gestionnaires_</vt:lpstr>
      <vt:lpstr>Feuil1</vt:lpstr>
      <vt:lpstr>Change</vt:lpstr>
      <vt:lpstr>Synthèse</vt:lpstr>
      <vt:lpstr>Dec A-1</vt:lpstr>
      <vt:lpstr>Dec2019_</vt:lpstr>
      <vt:lpstr>PPT!Zone_d_impression</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NGOUANDI Franck</dc:creator>
  <cp:lastModifiedBy>KOUASSI Jean-Christophe          SGCI</cp:lastModifiedBy>
  <cp:lastPrinted>2023-05-09T08:37:01Z</cp:lastPrinted>
  <dcterms:created xsi:type="dcterms:W3CDTF">2019-10-07T11:56:29Z</dcterms:created>
  <dcterms:modified xsi:type="dcterms:W3CDTF">2024-01-19T12:57:23Z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bc0d2a2-4550-429f-ba5f-2c914d3ffdc5_Enabled">
    <vt:lpwstr>true</vt:lpwstr>
  </property>
  <property fmtid="{D5CDD505-2E9C-101B-9397-08002B2CF9AE}" pid="3" name="MSIP_Label_2bc0d2a2-4550-429f-ba5f-2c914d3ffdc5_SetDate">
    <vt:lpwstr>2024-01-19T12:57:23Z</vt:lpwstr>
  </property>
  <property fmtid="{D5CDD505-2E9C-101B-9397-08002B2CF9AE}" pid="4" name="MSIP_Label_2bc0d2a2-4550-429f-ba5f-2c914d3ffdc5_Method">
    <vt:lpwstr>Privileged</vt:lpwstr>
  </property>
  <property fmtid="{D5CDD505-2E9C-101B-9397-08002B2CF9AE}" pid="5" name="MSIP_Label_2bc0d2a2-4550-429f-ba5f-2c914d3ffdc5_Name">
    <vt:lpwstr>2bc0d2a2-4550-429f-ba5f-2c914d3ffdc5</vt:lpwstr>
  </property>
  <property fmtid="{D5CDD505-2E9C-101B-9397-08002B2CF9AE}" pid="6" name="MSIP_Label_2bc0d2a2-4550-429f-ba5f-2c914d3ffdc5_SiteId">
    <vt:lpwstr>a491f8c5-c721-4e53-b604-6f27e7e4565d</vt:lpwstr>
  </property>
  <property fmtid="{D5CDD505-2E9C-101B-9397-08002B2CF9AE}" pid="7" name="MSIP_Label_2bc0d2a2-4550-429f-ba5f-2c914d3ffdc5_ActionId">
    <vt:lpwstr>ecc4c28f-24e5-41b6-9c49-aabbc6db6eed</vt:lpwstr>
  </property>
  <property fmtid="{D5CDD505-2E9C-101B-9397-08002B2CF9AE}" pid="8" name="MSIP_Label_2bc0d2a2-4550-429f-ba5f-2c914d3ffdc5_ContentBits">
    <vt:lpwstr>2</vt:lpwstr>
  </property>
</Properties>
</file>